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5.xml" ContentType="application/vnd.openxmlformats-officedocument.drawing+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6.xml" ContentType="application/vnd.openxmlformats-officedocument.drawing+xml"/>
  <Override PartName="/xl/comments4.xml" ContentType="application/vnd.openxmlformats-officedocument.spreadsheetml.comments+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7.xml" ContentType="application/vnd.openxmlformats-officedocument.drawing+xml"/>
  <Override PartName="/xl/comments5.xml" ContentType="application/vnd.openxmlformats-officedocument.spreadsheetml.comments+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8.xml" ContentType="application/vnd.openxmlformats-officedocument.drawing+xml"/>
  <Override PartName="/xl/comments6.xml" ContentType="application/vnd.openxmlformats-officedocument.spreadsheetml.comments+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9.xml" ContentType="application/vnd.openxmlformats-officedocument.drawing+xml"/>
  <Override PartName="/xl/charts/chart2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nida\Downloads\"/>
    </mc:Choice>
  </mc:AlternateContent>
  <xr:revisionPtr revIDLastSave="0" documentId="13_ncr:1_{27F9541C-9E17-4DF6-98F1-90662F26791D}" xr6:coauthVersionLast="47" xr6:coauthVersionMax="47" xr10:uidLastSave="{00000000-0000-0000-0000-000000000000}"/>
  <bookViews>
    <workbookView xWindow="-45" yWindow="-16320" windowWidth="29040" windowHeight="15720" tabRatio="762" xr2:uid="{00000000-000D-0000-FFFF-FFFF00000000}"/>
  </bookViews>
  <sheets>
    <sheet name="Summary" sheetId="1" r:id="rId1"/>
    <sheet name="Analysis" sheetId="5" r:id="rId2"/>
    <sheet name="Annual" sheetId="6" r:id="rId3"/>
    <sheet name="Solar" sheetId="7" r:id="rId4"/>
    <sheet name="ENSO" sheetId="8" r:id="rId5"/>
    <sheet name="Volcanic" sheetId="9" r:id="rId6"/>
    <sheet name="Forcing" sheetId="10" r:id="rId7"/>
    <sheet name="Kernel" sheetId="11" r:id="rId8"/>
    <sheet name="Diagnostics" sheetId="19" r:id="rId9"/>
    <sheet name="Open Items" sheetId="20" r:id="rId10"/>
    <sheet name="Recent 2023-25" sheetId="15" r:id="rId11"/>
    <sheet name="Sensitivity" sheetId="16" r:id="rId12"/>
    <sheet name="CERES" sheetId="18" r:id="rId13"/>
    <sheet name="Sources" sheetId="17" r:id="rId14"/>
    <sheet name="Change log" sheetId="21" r:id="rId15"/>
    <sheet name="Acronyms" sheetId="22" r:id="rId16"/>
    <sheet name="Glossary" sheetId="23" r:id="rId17"/>
    <sheet name="GLB.Ts+dSST (4)" sheetId="12" r:id="rId18"/>
    <sheet name="co2_mm_mlo" sheetId="13" r:id="rId19"/>
    <sheet name="co2_annmean_mlo" sheetId="14" r:id="rId20"/>
    <sheet name="Temp Dev, C, F" sheetId="3" r:id="rId21"/>
    <sheet name="F Plus CO2" sheetId="4"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761" i="4" l="1"/>
  <c r="C1760" i="4"/>
  <c r="C1759" i="4"/>
  <c r="C1758" i="4"/>
  <c r="C1757" i="4"/>
  <c r="C1756" i="4"/>
  <c r="C1755" i="4"/>
  <c r="D817" i="5" s="1"/>
  <c r="C1754" i="4"/>
  <c r="C1753" i="4"/>
  <c r="C1752" i="4"/>
  <c r="C1751" i="4"/>
  <c r="C1750" i="4"/>
  <c r="B1750" i="4"/>
  <c r="C812" i="5" s="1"/>
  <c r="E812" i="5" s="1"/>
  <c r="C1749" i="4"/>
  <c r="D811" i="5" s="1"/>
  <c r="F811" i="5" s="1"/>
  <c r="C1748" i="4"/>
  <c r="D810" i="5" s="1"/>
  <c r="F810" i="5" s="1"/>
  <c r="C1747" i="4"/>
  <c r="C1746" i="4"/>
  <c r="D808" i="5" s="1"/>
  <c r="F808" i="5" s="1"/>
  <c r="C1745" i="4"/>
  <c r="C1744" i="4"/>
  <c r="C1743" i="4"/>
  <c r="C1742" i="4"/>
  <c r="C1741" i="4"/>
  <c r="C1740" i="4"/>
  <c r="C1739" i="4"/>
  <c r="C1738" i="4"/>
  <c r="C1737" i="4"/>
  <c r="C1736" i="4"/>
  <c r="C1735" i="4"/>
  <c r="D797" i="5" s="1"/>
  <c r="F797" i="5" s="1"/>
  <c r="C797" i="8" s="1"/>
  <c r="C1734" i="4"/>
  <c r="C1733" i="4"/>
  <c r="D795" i="5" s="1"/>
  <c r="F795" i="5" s="1"/>
  <c r="C1732" i="4"/>
  <c r="D794" i="5" s="1"/>
  <c r="F794" i="5" s="1"/>
  <c r="C1731" i="4"/>
  <c r="C1730" i="4"/>
  <c r="D792" i="5" s="1"/>
  <c r="F792" i="5" s="1"/>
  <c r="C1729" i="4"/>
  <c r="C1728" i="4"/>
  <c r="D790" i="5" s="1"/>
  <c r="F790" i="5" s="1"/>
  <c r="C1727" i="4"/>
  <c r="C1726" i="4"/>
  <c r="C1725" i="4"/>
  <c r="D787" i="5" s="1"/>
  <c r="F787" i="5" s="1"/>
  <c r="C787" i="8" s="1"/>
  <c r="C1724" i="4"/>
  <c r="C1723" i="4"/>
  <c r="C1722" i="4"/>
  <c r="C1721" i="4"/>
  <c r="C1720" i="4"/>
  <c r="C1719" i="4"/>
  <c r="C1718" i="4"/>
  <c r="C1717" i="4"/>
  <c r="C1716" i="4"/>
  <c r="C1715" i="4"/>
  <c r="C1714" i="4"/>
  <c r="C1713" i="4"/>
  <c r="C1712" i="4"/>
  <c r="C1711" i="4"/>
  <c r="D773" i="5" s="1"/>
  <c r="F773" i="5" s="1"/>
  <c r="C1710" i="4"/>
  <c r="D772" i="5" s="1"/>
  <c r="F772" i="5" s="1"/>
  <c r="C1709" i="4"/>
  <c r="D771" i="5" s="1"/>
  <c r="F771" i="5" s="1"/>
  <c r="C771" i="9" s="1"/>
  <c r="C1708" i="4"/>
  <c r="C1707" i="4"/>
  <c r="C1706" i="4"/>
  <c r="C1705" i="4"/>
  <c r="C1704" i="4"/>
  <c r="C1703" i="4"/>
  <c r="C1702" i="4"/>
  <c r="C1701" i="4"/>
  <c r="C1700" i="4"/>
  <c r="C1699" i="4"/>
  <c r="C1698" i="4"/>
  <c r="C1697" i="4"/>
  <c r="C1696" i="4"/>
  <c r="C1695" i="4"/>
  <c r="D757" i="5" s="1"/>
  <c r="F757" i="5" s="1"/>
  <c r="C1694" i="4"/>
  <c r="C1693" i="4"/>
  <c r="C1692" i="4"/>
  <c r="C1691" i="4"/>
  <c r="C1690" i="4"/>
  <c r="D752" i="5" s="1"/>
  <c r="F752" i="5" s="1"/>
  <c r="C752" i="9" s="1"/>
  <c r="C1689" i="4"/>
  <c r="C1688" i="4"/>
  <c r="D750" i="5" s="1"/>
  <c r="F750" i="5" s="1"/>
  <c r="C1687" i="4"/>
  <c r="C1686" i="4"/>
  <c r="C1685" i="4"/>
  <c r="C1684" i="4"/>
  <c r="C1683" i="4"/>
  <c r="C1682" i="4"/>
  <c r="C1681" i="4"/>
  <c r="C1680" i="4"/>
  <c r="C1679" i="4"/>
  <c r="C1678" i="4"/>
  <c r="C1677" i="4"/>
  <c r="C1676" i="4"/>
  <c r="C1675" i="4"/>
  <c r="D737" i="5" s="1"/>
  <c r="C1674" i="4"/>
  <c r="C1673" i="4"/>
  <c r="C1672" i="4"/>
  <c r="C1671" i="4"/>
  <c r="C1670" i="4"/>
  <c r="D732" i="5" s="1"/>
  <c r="F732" i="5" s="1"/>
  <c r="C732" i="9" s="1"/>
  <c r="C1669" i="4"/>
  <c r="D731" i="5" s="1"/>
  <c r="F731" i="5" s="1"/>
  <c r="C1668" i="4"/>
  <c r="C1667" i="4"/>
  <c r="C1666" i="4"/>
  <c r="D728" i="5" s="1"/>
  <c r="F728" i="5" s="1"/>
  <c r="C728" i="7" s="1"/>
  <c r="C1665" i="4"/>
  <c r="C1664" i="4"/>
  <c r="C1663" i="4"/>
  <c r="C1662" i="4"/>
  <c r="C1661" i="4"/>
  <c r="C1660" i="4"/>
  <c r="C1659" i="4"/>
  <c r="C1658" i="4"/>
  <c r="C1657" i="4"/>
  <c r="C1656" i="4"/>
  <c r="C1655" i="4"/>
  <c r="C1654" i="4"/>
  <c r="B1654" i="4"/>
  <c r="C716" i="5" s="1"/>
  <c r="E716" i="5" s="1"/>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D681" i="5" s="1"/>
  <c r="F681" i="5" s="1"/>
  <c r="C1618" i="4"/>
  <c r="C1617" i="4"/>
  <c r="C1616" i="4"/>
  <c r="C1615" i="4"/>
  <c r="C1614" i="4"/>
  <c r="C1613" i="4"/>
  <c r="C1612" i="4"/>
  <c r="C1611" i="4"/>
  <c r="C1610" i="4"/>
  <c r="C1609" i="4"/>
  <c r="B1609" i="4"/>
  <c r="C1608" i="4"/>
  <c r="C1607" i="4"/>
  <c r="C1606" i="4"/>
  <c r="C1605" i="4"/>
  <c r="C1604" i="4"/>
  <c r="C1603" i="4"/>
  <c r="C1602" i="4"/>
  <c r="C1601" i="4"/>
  <c r="C1600" i="4"/>
  <c r="C1599" i="4"/>
  <c r="C1598" i="4"/>
  <c r="C1597" i="4"/>
  <c r="C1596" i="4"/>
  <c r="C1595" i="4"/>
  <c r="C1594" i="4"/>
  <c r="C1593" i="4"/>
  <c r="C1592" i="4"/>
  <c r="C1591" i="4"/>
  <c r="D653" i="5" s="1"/>
  <c r="F653" i="5" s="1"/>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D626" i="5" s="1"/>
  <c r="F626" i="5" s="1"/>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D558" i="5" s="1"/>
  <c r="F558" i="5" s="1"/>
  <c r="C558" i="7" s="1"/>
  <c r="B1496" i="4"/>
  <c r="C1495" i="4"/>
  <c r="C1494" i="4"/>
  <c r="C1493" i="4"/>
  <c r="D555" i="5" s="1"/>
  <c r="F555" i="5" s="1"/>
  <c r="C1492" i="4"/>
  <c r="C1491" i="4"/>
  <c r="C1490" i="4"/>
  <c r="C1489" i="4"/>
  <c r="C1488" i="4"/>
  <c r="C1487" i="4"/>
  <c r="C1486" i="4"/>
  <c r="C1485" i="4"/>
  <c r="C1484" i="4"/>
  <c r="C1483" i="4"/>
  <c r="C1482" i="4"/>
  <c r="C1481" i="4"/>
  <c r="C1480" i="4"/>
  <c r="C1479" i="4"/>
  <c r="C1478" i="4"/>
  <c r="C1477" i="4"/>
  <c r="C1476" i="4"/>
  <c r="D538" i="5" s="1"/>
  <c r="F538" i="5" s="1"/>
  <c r="C1475" i="4"/>
  <c r="C1474" i="4"/>
  <c r="C1473" i="4"/>
  <c r="C1472" i="4"/>
  <c r="C1471" i="4"/>
  <c r="C1470" i="4"/>
  <c r="C1469" i="4"/>
  <c r="C1468" i="4"/>
  <c r="C1467" i="4"/>
  <c r="C1466" i="4"/>
  <c r="C1465" i="4"/>
  <c r="C1464" i="4"/>
  <c r="C1463" i="4"/>
  <c r="C1462" i="4"/>
  <c r="D524" i="5" s="1"/>
  <c r="F524" i="5" s="1"/>
  <c r="C1461" i="4"/>
  <c r="C1460" i="4"/>
  <c r="C1459" i="4"/>
  <c r="C1458" i="4"/>
  <c r="C1457" i="4"/>
  <c r="C1456" i="4"/>
  <c r="C1455" i="4"/>
  <c r="C1454" i="4"/>
  <c r="C1453" i="4"/>
  <c r="C1452" i="4"/>
  <c r="C1451" i="4"/>
  <c r="C1450" i="4"/>
  <c r="C1449" i="4"/>
  <c r="C1448" i="4"/>
  <c r="C1447" i="4"/>
  <c r="C1446" i="4"/>
  <c r="C1445" i="4"/>
  <c r="C1444" i="4"/>
  <c r="C1443" i="4"/>
  <c r="C1442" i="4"/>
  <c r="C1441" i="4"/>
  <c r="C1440" i="4"/>
  <c r="B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D460" i="5" s="1"/>
  <c r="F460" i="5" s="1"/>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D422" i="5" s="1"/>
  <c r="F422" i="5" s="1"/>
  <c r="C422" i="7" s="1"/>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B1335" i="4"/>
  <c r="C1334" i="4"/>
  <c r="C1333" i="4"/>
  <c r="C1332" i="4"/>
  <c r="C1331" i="4"/>
  <c r="C1330" i="4"/>
  <c r="C1329" i="4"/>
  <c r="C1328" i="4"/>
  <c r="C1327" i="4"/>
  <c r="C1326" i="4"/>
  <c r="C1325" i="4"/>
  <c r="C1324" i="4"/>
  <c r="C1323" i="4"/>
  <c r="C1322" i="4"/>
  <c r="C1321" i="4"/>
  <c r="C1320" i="4"/>
  <c r="C1319" i="4"/>
  <c r="C1318" i="4"/>
  <c r="C1317" i="4"/>
  <c r="C1316" i="4"/>
  <c r="C1315" i="4"/>
  <c r="D377" i="5" s="1"/>
  <c r="F377" i="5" s="1"/>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D351" i="5" s="1"/>
  <c r="F351" i="5" s="1"/>
  <c r="C1288" i="4"/>
  <c r="C1287" i="4"/>
  <c r="C1286" i="4"/>
  <c r="C1285" i="4"/>
  <c r="C1284" i="4"/>
  <c r="C1283" i="4"/>
  <c r="C1282" i="4"/>
  <c r="C1281" i="4"/>
  <c r="C1280" i="4"/>
  <c r="C1279" i="4"/>
  <c r="C1278" i="4"/>
  <c r="C1277" i="4"/>
  <c r="C1276" i="4"/>
  <c r="C1275" i="4"/>
  <c r="C1274" i="4"/>
  <c r="C1273" i="4"/>
  <c r="C1272" i="4"/>
  <c r="C1271" i="4"/>
  <c r="D333" i="5" s="1"/>
  <c r="F333" i="5" s="1"/>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D261" i="5" s="1"/>
  <c r="F261" i="5" s="1"/>
  <c r="C1198" i="4"/>
  <c r="C1197" i="4"/>
  <c r="C1196" i="4"/>
  <c r="C1195" i="4"/>
  <c r="C1194" i="4"/>
  <c r="C1193" i="4"/>
  <c r="C1192" i="4"/>
  <c r="C1191" i="4"/>
  <c r="C1190" i="4"/>
  <c r="C1189" i="4"/>
  <c r="C1188" i="4"/>
  <c r="C1187" i="4"/>
  <c r="C1186" i="4"/>
  <c r="C1185" i="4"/>
  <c r="C1184" i="4"/>
  <c r="C1183" i="4"/>
  <c r="C1182" i="4"/>
  <c r="C1181" i="4"/>
  <c r="C1180" i="4"/>
  <c r="C1179" i="4"/>
  <c r="D241" i="5" s="1"/>
  <c r="F241" i="5" s="1"/>
  <c r="C1178" i="4"/>
  <c r="C1177" i="4"/>
  <c r="C1176" i="4"/>
  <c r="C1175" i="4"/>
  <c r="C1174" i="4"/>
  <c r="C1173" i="4"/>
  <c r="C1172" i="4"/>
  <c r="C1171" i="4"/>
  <c r="C1170" i="4"/>
  <c r="C1169" i="4"/>
  <c r="C1168" i="4"/>
  <c r="C1167" i="4"/>
  <c r="C1166" i="4"/>
  <c r="C1165" i="4"/>
  <c r="C1164" i="4"/>
  <c r="C1163" i="4"/>
  <c r="C1162" i="4"/>
  <c r="C1161" i="4"/>
  <c r="C1160" i="4"/>
  <c r="C1159" i="4"/>
  <c r="D221" i="5" s="1"/>
  <c r="F221" i="5" s="1"/>
  <c r="C221" i="8" s="1"/>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B1086" i="4"/>
  <c r="C1085" i="4"/>
  <c r="C1084" i="4"/>
  <c r="B1084" i="4"/>
  <c r="C1083" i="4"/>
  <c r="C1082" i="4"/>
  <c r="C1081" i="4"/>
  <c r="C1080" i="4"/>
  <c r="C1079" i="4"/>
  <c r="C1078" i="4"/>
  <c r="C1077" i="4"/>
  <c r="C1076" i="4"/>
  <c r="C1075" i="4"/>
  <c r="C1074" i="4"/>
  <c r="C1073" i="4"/>
  <c r="D135" i="5" s="1"/>
  <c r="C1072" i="4"/>
  <c r="C1071" i="4"/>
  <c r="C1070" i="4"/>
  <c r="C1069" i="4"/>
  <c r="B1069" i="4"/>
  <c r="C1068" i="4"/>
  <c r="C1067" i="4"/>
  <c r="C1066" i="4"/>
  <c r="C1065" i="4"/>
  <c r="C1064" i="4"/>
  <c r="C1063" i="4"/>
  <c r="C1062" i="4"/>
  <c r="C1061" i="4"/>
  <c r="C1060" i="4"/>
  <c r="C1059" i="4"/>
  <c r="C1058" i="4"/>
  <c r="C1057" i="4"/>
  <c r="C1056" i="4"/>
  <c r="C1055" i="4"/>
  <c r="D117" i="5" s="1"/>
  <c r="C1054" i="4"/>
  <c r="C1053" i="4"/>
  <c r="C1052" i="4"/>
  <c r="C1051" i="4"/>
  <c r="C1050" i="4"/>
  <c r="C1049" i="4"/>
  <c r="C1048" i="4"/>
  <c r="C1047" i="4"/>
  <c r="C1046" i="4"/>
  <c r="C1045" i="4"/>
  <c r="C1044" i="4"/>
  <c r="C1043" i="4"/>
  <c r="C1042" i="4"/>
  <c r="D104" i="5" s="1"/>
  <c r="F104" i="5" s="1"/>
  <c r="C1041" i="4"/>
  <c r="C1040" i="4"/>
  <c r="C1039" i="4"/>
  <c r="D101" i="5" s="1"/>
  <c r="F101" i="5" s="1"/>
  <c r="C1038" i="4"/>
  <c r="C1037" i="4"/>
  <c r="C1036" i="4"/>
  <c r="C1035" i="4"/>
  <c r="C1034" i="4"/>
  <c r="C1033" i="4"/>
  <c r="C1032" i="4"/>
  <c r="C1031" i="4"/>
  <c r="C1030" i="4"/>
  <c r="C1029" i="4"/>
  <c r="C1028" i="4"/>
  <c r="C1027" i="4"/>
  <c r="C1026" i="4"/>
  <c r="D88" i="5" s="1"/>
  <c r="F88" i="5" s="1"/>
  <c r="C88" i="9" s="1"/>
  <c r="C1025" i="4"/>
  <c r="C1024" i="4"/>
  <c r="C1023" i="4"/>
  <c r="C1022" i="4"/>
  <c r="C1021" i="4"/>
  <c r="C1020" i="4"/>
  <c r="D82" i="5" s="1"/>
  <c r="F82" i="5" s="1"/>
  <c r="C1019" i="4"/>
  <c r="C1018" i="4"/>
  <c r="C1017" i="4"/>
  <c r="C1016" i="4"/>
  <c r="C1015" i="4"/>
  <c r="C1014" i="4"/>
  <c r="C1013" i="4"/>
  <c r="C1012" i="4"/>
  <c r="C1011" i="4"/>
  <c r="C1010" i="4"/>
  <c r="C1009" i="4"/>
  <c r="C1008" i="4"/>
  <c r="C1007" i="4"/>
  <c r="C1006" i="4"/>
  <c r="D68" i="5" s="1"/>
  <c r="F68" i="5" s="1"/>
  <c r="C1005" i="4"/>
  <c r="C1004" i="4"/>
  <c r="C1003" i="4"/>
  <c r="C1002" i="4"/>
  <c r="C1001" i="4"/>
  <c r="C1000" i="4"/>
  <c r="C999" i="4"/>
  <c r="D61" i="5" s="1"/>
  <c r="F61" i="5" s="1"/>
  <c r="C61" i="7" s="1"/>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D24" i="5" s="1"/>
  <c r="F24" i="5" s="1"/>
  <c r="C961" i="4"/>
  <c r="C960" i="4"/>
  <c r="C959" i="4"/>
  <c r="C958" i="4"/>
  <c r="C957" i="4"/>
  <c r="C956" i="4"/>
  <c r="B956" i="4"/>
  <c r="C955" i="4"/>
  <c r="C954" i="4"/>
  <c r="C953" i="4"/>
  <c r="C952" i="4"/>
  <c r="C951" i="4"/>
  <c r="C950" i="4"/>
  <c r="C949" i="4"/>
  <c r="C948" i="4"/>
  <c r="C947" i="4"/>
  <c r="C946" i="4"/>
  <c r="C945" i="4"/>
  <c r="C944" i="4"/>
  <c r="D6" i="5" s="1"/>
  <c r="F6" i="5" s="1"/>
  <c r="D6" i="11" s="1"/>
  <c r="C943" i="4"/>
  <c r="C942" i="4"/>
  <c r="C941" i="4"/>
  <c r="C940" i="4"/>
  <c r="B937" i="4"/>
  <c r="B934" i="4"/>
  <c r="B890" i="4"/>
  <c r="B812" i="4"/>
  <c r="B711" i="4"/>
  <c r="B635" i="4"/>
  <c r="B576" i="4"/>
  <c r="B544" i="4"/>
  <c r="B482" i="4"/>
  <c r="B450" i="4"/>
  <c r="B428" i="4"/>
  <c r="B197" i="4"/>
  <c r="B69" i="4"/>
  <c r="B8" i="4"/>
  <c r="B1765" i="3"/>
  <c r="C1765" i="3" s="1"/>
  <c r="D1765" i="3" s="1"/>
  <c r="B1765" i="4" s="1"/>
  <c r="B1764" i="3"/>
  <c r="C1764" i="3" s="1"/>
  <c r="D1764" i="3" s="1"/>
  <c r="B1764" i="4" s="1"/>
  <c r="B1763" i="3"/>
  <c r="C1763" i="3" s="1"/>
  <c r="D1763" i="3" s="1"/>
  <c r="B1763" i="4" s="1"/>
  <c r="B1762" i="3"/>
  <c r="C1762" i="3" s="1"/>
  <c r="D1762" i="3" s="1"/>
  <c r="B1762" i="4" s="1"/>
  <c r="B1761" i="3"/>
  <c r="C1761" i="3" s="1"/>
  <c r="D1761" i="3" s="1"/>
  <c r="B1761" i="4" s="1"/>
  <c r="B1760" i="3"/>
  <c r="C1760" i="3" s="1"/>
  <c r="D1760" i="3" s="1"/>
  <c r="B1760" i="4" s="1"/>
  <c r="B1759" i="3"/>
  <c r="C1759" i="3" s="1"/>
  <c r="D1759" i="3" s="1"/>
  <c r="B1759" i="4" s="1"/>
  <c r="D1758" i="3"/>
  <c r="B1758" i="4" s="1"/>
  <c r="B1758" i="3"/>
  <c r="C1758" i="3" s="1"/>
  <c r="B1757" i="3"/>
  <c r="C1757" i="3" s="1"/>
  <c r="D1757" i="3" s="1"/>
  <c r="B1757" i="4" s="1"/>
  <c r="C819" i="5" s="1"/>
  <c r="E819" i="5" s="1"/>
  <c r="C1756" i="3"/>
  <c r="D1756" i="3" s="1"/>
  <c r="B1756" i="4" s="1"/>
  <c r="B1756" i="3"/>
  <c r="B1755" i="3"/>
  <c r="C1755" i="3" s="1"/>
  <c r="D1755" i="3" s="1"/>
  <c r="B1755" i="4" s="1"/>
  <c r="B1754" i="3"/>
  <c r="C1754" i="3" s="1"/>
  <c r="D1754" i="3" s="1"/>
  <c r="B1754" i="4" s="1"/>
  <c r="B1753" i="3"/>
  <c r="C1753" i="3" s="1"/>
  <c r="D1753" i="3" s="1"/>
  <c r="B1753" i="4" s="1"/>
  <c r="B1752" i="3"/>
  <c r="C1752" i="3" s="1"/>
  <c r="D1752" i="3" s="1"/>
  <c r="B1752" i="4" s="1"/>
  <c r="B1751" i="3"/>
  <c r="C1751" i="3" s="1"/>
  <c r="D1751" i="3" s="1"/>
  <c r="B1751" i="4" s="1"/>
  <c r="B1750" i="3"/>
  <c r="C1750" i="3" s="1"/>
  <c r="D1750" i="3" s="1"/>
  <c r="B1749" i="3"/>
  <c r="C1749" i="3" s="1"/>
  <c r="D1749" i="3" s="1"/>
  <c r="B1749" i="4" s="1"/>
  <c r="B1748" i="3"/>
  <c r="C1748" i="3" s="1"/>
  <c r="D1748" i="3" s="1"/>
  <c r="B1748" i="4" s="1"/>
  <c r="B1747" i="3"/>
  <c r="C1747" i="3" s="1"/>
  <c r="D1747" i="3" s="1"/>
  <c r="B1747" i="4" s="1"/>
  <c r="B1746" i="3"/>
  <c r="C1746" i="3" s="1"/>
  <c r="D1746" i="3" s="1"/>
  <c r="B1746" i="4" s="1"/>
  <c r="C808" i="5" s="1"/>
  <c r="E808" i="5" s="1"/>
  <c r="B808" i="9" s="1"/>
  <c r="D1745" i="3"/>
  <c r="B1745" i="4" s="1"/>
  <c r="B1745" i="3"/>
  <c r="C1745" i="3" s="1"/>
  <c r="B1744" i="3"/>
  <c r="C1744" i="3" s="1"/>
  <c r="D1744" i="3" s="1"/>
  <c r="B1744" i="4" s="1"/>
  <c r="C1743" i="3"/>
  <c r="D1743" i="3" s="1"/>
  <c r="B1743" i="4" s="1"/>
  <c r="B1743" i="3"/>
  <c r="B1742" i="3"/>
  <c r="C1742" i="3" s="1"/>
  <c r="D1742" i="3" s="1"/>
  <c r="B1742" i="4" s="1"/>
  <c r="D1741" i="3"/>
  <c r="B1741" i="4" s="1"/>
  <c r="C803" i="5" s="1"/>
  <c r="E803" i="5" s="1"/>
  <c r="C1741" i="3"/>
  <c r="B1741" i="3"/>
  <c r="C1740" i="3"/>
  <c r="D1740" i="3" s="1"/>
  <c r="B1740" i="4" s="1"/>
  <c r="B1740" i="3"/>
  <c r="C1739" i="3"/>
  <c r="D1739" i="3" s="1"/>
  <c r="B1739" i="4" s="1"/>
  <c r="B1739" i="3"/>
  <c r="B1738" i="3"/>
  <c r="C1738" i="3" s="1"/>
  <c r="D1738" i="3" s="1"/>
  <c r="B1738" i="4" s="1"/>
  <c r="B1737" i="3"/>
  <c r="C1737" i="3" s="1"/>
  <c r="D1737" i="3" s="1"/>
  <c r="B1737" i="4" s="1"/>
  <c r="B1736" i="3"/>
  <c r="C1736" i="3" s="1"/>
  <c r="D1736" i="3" s="1"/>
  <c r="B1736" i="4" s="1"/>
  <c r="B1735" i="3"/>
  <c r="C1735" i="3" s="1"/>
  <c r="D1735" i="3" s="1"/>
  <c r="B1735" i="4" s="1"/>
  <c r="B1734" i="3"/>
  <c r="C1734" i="3" s="1"/>
  <c r="D1734" i="3" s="1"/>
  <c r="B1734" i="4" s="1"/>
  <c r="B1733" i="3"/>
  <c r="C1733" i="3" s="1"/>
  <c r="D1733" i="3" s="1"/>
  <c r="B1733" i="4" s="1"/>
  <c r="B1732" i="3"/>
  <c r="C1732" i="3" s="1"/>
  <c r="D1732" i="3" s="1"/>
  <c r="B1732" i="4" s="1"/>
  <c r="B1731" i="3"/>
  <c r="C1731" i="3" s="1"/>
  <c r="D1731" i="3" s="1"/>
  <c r="B1731" i="4" s="1"/>
  <c r="B1730" i="3"/>
  <c r="C1730" i="3" s="1"/>
  <c r="D1730" i="3" s="1"/>
  <c r="B1730" i="4" s="1"/>
  <c r="B1729" i="3"/>
  <c r="C1729" i="3" s="1"/>
  <c r="D1729" i="3" s="1"/>
  <c r="B1729" i="4" s="1"/>
  <c r="B1728" i="3"/>
  <c r="C1728" i="3" s="1"/>
  <c r="D1728" i="3" s="1"/>
  <c r="B1728" i="4" s="1"/>
  <c r="B1727" i="3"/>
  <c r="C1727" i="3" s="1"/>
  <c r="D1727" i="3" s="1"/>
  <c r="B1727" i="4" s="1"/>
  <c r="B1726" i="3"/>
  <c r="C1726" i="3" s="1"/>
  <c r="D1726" i="3" s="1"/>
  <c r="B1726" i="4" s="1"/>
  <c r="C788" i="5" s="1"/>
  <c r="E788" i="5" s="1"/>
  <c r="C788" i="11" s="1"/>
  <c r="B1725" i="3"/>
  <c r="C1725" i="3" s="1"/>
  <c r="D1725" i="3" s="1"/>
  <c r="B1725" i="4" s="1"/>
  <c r="C1724" i="3"/>
  <c r="D1724" i="3" s="1"/>
  <c r="B1724" i="4" s="1"/>
  <c r="B1724" i="3"/>
  <c r="B1723" i="3"/>
  <c r="C1723" i="3" s="1"/>
  <c r="D1723" i="3" s="1"/>
  <c r="B1723" i="4" s="1"/>
  <c r="B1722" i="3"/>
  <c r="C1722" i="3" s="1"/>
  <c r="D1722" i="3" s="1"/>
  <c r="B1722" i="4" s="1"/>
  <c r="D1721" i="3"/>
  <c r="B1721" i="4" s="1"/>
  <c r="B1721" i="3"/>
  <c r="C1721" i="3" s="1"/>
  <c r="B1720" i="3"/>
  <c r="C1720" i="3" s="1"/>
  <c r="D1720" i="3" s="1"/>
  <c r="B1720" i="4" s="1"/>
  <c r="C1719" i="3"/>
  <c r="D1719" i="3" s="1"/>
  <c r="B1719" i="4" s="1"/>
  <c r="B1719" i="3"/>
  <c r="B1718" i="3"/>
  <c r="C1718" i="3" s="1"/>
  <c r="D1718" i="3" s="1"/>
  <c r="B1718" i="4" s="1"/>
  <c r="B1717" i="3"/>
  <c r="C1717" i="3" s="1"/>
  <c r="D1717" i="3" s="1"/>
  <c r="B1717" i="4" s="1"/>
  <c r="B1716" i="3"/>
  <c r="C1716" i="3" s="1"/>
  <c r="D1716" i="3" s="1"/>
  <c r="B1716" i="4" s="1"/>
  <c r="C1715" i="3"/>
  <c r="D1715" i="3" s="1"/>
  <c r="B1715" i="4" s="1"/>
  <c r="B1715" i="3"/>
  <c r="C1714" i="3"/>
  <c r="D1714" i="3" s="1"/>
  <c r="B1714" i="4" s="1"/>
  <c r="C776" i="5" s="1"/>
  <c r="E776" i="5" s="1"/>
  <c r="B1714" i="3"/>
  <c r="B1713" i="3"/>
  <c r="C1713" i="3" s="1"/>
  <c r="D1713" i="3" s="1"/>
  <c r="B1713" i="4" s="1"/>
  <c r="B1712" i="3"/>
  <c r="C1712" i="3" s="1"/>
  <c r="D1712" i="3" s="1"/>
  <c r="B1712" i="4" s="1"/>
  <c r="B1711" i="3"/>
  <c r="C1711" i="3" s="1"/>
  <c r="D1711" i="3" s="1"/>
  <c r="B1711" i="4" s="1"/>
  <c r="B1710" i="3"/>
  <c r="C1710" i="3" s="1"/>
  <c r="D1710" i="3" s="1"/>
  <c r="B1710" i="4" s="1"/>
  <c r="C1709" i="3"/>
  <c r="D1709" i="3" s="1"/>
  <c r="B1709" i="4" s="1"/>
  <c r="B1709" i="3"/>
  <c r="C1708" i="3"/>
  <c r="D1708" i="3" s="1"/>
  <c r="B1708" i="4" s="1"/>
  <c r="B1708" i="3"/>
  <c r="B1707" i="3"/>
  <c r="C1707" i="3" s="1"/>
  <c r="D1707" i="3" s="1"/>
  <c r="B1707" i="4" s="1"/>
  <c r="C1706" i="3"/>
  <c r="D1706" i="3" s="1"/>
  <c r="B1706" i="4" s="1"/>
  <c r="B1706" i="3"/>
  <c r="B1705" i="3"/>
  <c r="C1705" i="3" s="1"/>
  <c r="D1705" i="3" s="1"/>
  <c r="B1705" i="4" s="1"/>
  <c r="D1704" i="3"/>
  <c r="B1704" i="4" s="1"/>
  <c r="B1704" i="3"/>
  <c r="C1704" i="3" s="1"/>
  <c r="B1703" i="3"/>
  <c r="C1703" i="3" s="1"/>
  <c r="D1703" i="3" s="1"/>
  <c r="B1703" i="4" s="1"/>
  <c r="B1702" i="3"/>
  <c r="C1702" i="3" s="1"/>
  <c r="D1702" i="3" s="1"/>
  <c r="B1702" i="4" s="1"/>
  <c r="B1701" i="3"/>
  <c r="C1701" i="3" s="1"/>
  <c r="D1701" i="3" s="1"/>
  <c r="B1701" i="4" s="1"/>
  <c r="B1700" i="3"/>
  <c r="C1700" i="3" s="1"/>
  <c r="D1700" i="3" s="1"/>
  <c r="B1700" i="4" s="1"/>
  <c r="D1699" i="3"/>
  <c r="B1699" i="4" s="1"/>
  <c r="B1699" i="3"/>
  <c r="C1699" i="3" s="1"/>
  <c r="B1698" i="3"/>
  <c r="C1698" i="3" s="1"/>
  <c r="D1698" i="3" s="1"/>
  <c r="B1698" i="4" s="1"/>
  <c r="C1697" i="3"/>
  <c r="D1697" i="3" s="1"/>
  <c r="B1697" i="4" s="1"/>
  <c r="B1697" i="3"/>
  <c r="D1696" i="3"/>
  <c r="B1696" i="4" s="1"/>
  <c r="B1696" i="3"/>
  <c r="C1696" i="3" s="1"/>
  <c r="B1695" i="3"/>
  <c r="C1695" i="3" s="1"/>
  <c r="D1695" i="3" s="1"/>
  <c r="B1695" i="4" s="1"/>
  <c r="B1694" i="3"/>
  <c r="C1694" i="3" s="1"/>
  <c r="D1694" i="3" s="1"/>
  <c r="B1694" i="4" s="1"/>
  <c r="C756" i="5" s="1"/>
  <c r="E756" i="5" s="1"/>
  <c r="B1693" i="3"/>
  <c r="C1693" i="3" s="1"/>
  <c r="D1693" i="3" s="1"/>
  <c r="B1693" i="4" s="1"/>
  <c r="B1692" i="3"/>
  <c r="C1692" i="3" s="1"/>
  <c r="D1692" i="3" s="1"/>
  <c r="B1692" i="4" s="1"/>
  <c r="B1691" i="3"/>
  <c r="C1691" i="3" s="1"/>
  <c r="D1691" i="3" s="1"/>
  <c r="B1691" i="4" s="1"/>
  <c r="D1690" i="3"/>
  <c r="B1690" i="4" s="1"/>
  <c r="B1690" i="3"/>
  <c r="C1690" i="3" s="1"/>
  <c r="B1689" i="3"/>
  <c r="C1689" i="3" s="1"/>
  <c r="D1689" i="3" s="1"/>
  <c r="B1689" i="4" s="1"/>
  <c r="B1688" i="3"/>
  <c r="C1688" i="3" s="1"/>
  <c r="D1688" i="3" s="1"/>
  <c r="B1688" i="4" s="1"/>
  <c r="B1687" i="3"/>
  <c r="C1687" i="3" s="1"/>
  <c r="D1687" i="3" s="1"/>
  <c r="B1687" i="4" s="1"/>
  <c r="C1686" i="3"/>
  <c r="D1686" i="3" s="1"/>
  <c r="B1686" i="4" s="1"/>
  <c r="B1686" i="3"/>
  <c r="B1685" i="3"/>
  <c r="C1685" i="3" s="1"/>
  <c r="D1685" i="3" s="1"/>
  <c r="B1685" i="4" s="1"/>
  <c r="B1684" i="3"/>
  <c r="C1684" i="3" s="1"/>
  <c r="D1684" i="3" s="1"/>
  <c r="B1684" i="4" s="1"/>
  <c r="C1683" i="3"/>
  <c r="D1683" i="3" s="1"/>
  <c r="B1683" i="4" s="1"/>
  <c r="B1683" i="3"/>
  <c r="B1682" i="3"/>
  <c r="C1682" i="3" s="1"/>
  <c r="D1682" i="3" s="1"/>
  <c r="B1682" i="4" s="1"/>
  <c r="B1681" i="3"/>
  <c r="C1681" i="3" s="1"/>
  <c r="D1681" i="3" s="1"/>
  <c r="B1681" i="4" s="1"/>
  <c r="B1680" i="3"/>
  <c r="C1680" i="3" s="1"/>
  <c r="D1680" i="3" s="1"/>
  <c r="B1680" i="4" s="1"/>
  <c r="D1679" i="3"/>
  <c r="B1679" i="4" s="1"/>
  <c r="C1679" i="3"/>
  <c r="B1679" i="3"/>
  <c r="B1678" i="3"/>
  <c r="C1678" i="3" s="1"/>
  <c r="D1678" i="3" s="1"/>
  <c r="B1678" i="4" s="1"/>
  <c r="B1677" i="3"/>
  <c r="C1677" i="3" s="1"/>
  <c r="D1677" i="3" s="1"/>
  <c r="B1677" i="4" s="1"/>
  <c r="B1676" i="3"/>
  <c r="C1676" i="3" s="1"/>
  <c r="D1676" i="3" s="1"/>
  <c r="B1676" i="4" s="1"/>
  <c r="B1675" i="3"/>
  <c r="C1675" i="3" s="1"/>
  <c r="D1675" i="3" s="1"/>
  <c r="B1675" i="4" s="1"/>
  <c r="B1674" i="3"/>
  <c r="C1674" i="3" s="1"/>
  <c r="D1674" i="3" s="1"/>
  <c r="B1674" i="4" s="1"/>
  <c r="B1673" i="3"/>
  <c r="C1673" i="3" s="1"/>
  <c r="D1673" i="3" s="1"/>
  <c r="B1673" i="4" s="1"/>
  <c r="B1672" i="3"/>
  <c r="C1672" i="3" s="1"/>
  <c r="D1672" i="3" s="1"/>
  <c r="B1672" i="4" s="1"/>
  <c r="C1671" i="3"/>
  <c r="D1671" i="3" s="1"/>
  <c r="B1671" i="4" s="1"/>
  <c r="B1671" i="3"/>
  <c r="B1670" i="3"/>
  <c r="C1670" i="3" s="1"/>
  <c r="D1670" i="3" s="1"/>
  <c r="B1670" i="4" s="1"/>
  <c r="B1669" i="3"/>
  <c r="C1669" i="3" s="1"/>
  <c r="D1669" i="3" s="1"/>
  <c r="B1669" i="4" s="1"/>
  <c r="B1668" i="3"/>
  <c r="C1668" i="3" s="1"/>
  <c r="D1668" i="3" s="1"/>
  <c r="B1668" i="4" s="1"/>
  <c r="B1667" i="3"/>
  <c r="C1667" i="3" s="1"/>
  <c r="D1667" i="3" s="1"/>
  <c r="B1667" i="4" s="1"/>
  <c r="B1666" i="3"/>
  <c r="C1666" i="3" s="1"/>
  <c r="D1666" i="3" s="1"/>
  <c r="B1666" i="4" s="1"/>
  <c r="B1665" i="3"/>
  <c r="C1665" i="3" s="1"/>
  <c r="D1665" i="3" s="1"/>
  <c r="B1665" i="4" s="1"/>
  <c r="D1664" i="3"/>
  <c r="B1664" i="4" s="1"/>
  <c r="B1664" i="3"/>
  <c r="C1664" i="3" s="1"/>
  <c r="B1663" i="3"/>
  <c r="C1663" i="3" s="1"/>
  <c r="D1663" i="3" s="1"/>
  <c r="B1663" i="4" s="1"/>
  <c r="B1662" i="3"/>
  <c r="C1662" i="3" s="1"/>
  <c r="D1662" i="3" s="1"/>
  <c r="B1662" i="4" s="1"/>
  <c r="C1661" i="3"/>
  <c r="D1661" i="3" s="1"/>
  <c r="B1661" i="4" s="1"/>
  <c r="B1661" i="3"/>
  <c r="B1660" i="3"/>
  <c r="C1660" i="3" s="1"/>
  <c r="D1660" i="3" s="1"/>
  <c r="B1660" i="4" s="1"/>
  <c r="B1659" i="3"/>
  <c r="C1659" i="3" s="1"/>
  <c r="D1659" i="3" s="1"/>
  <c r="B1659" i="4" s="1"/>
  <c r="D1658" i="3"/>
  <c r="B1658" i="4" s="1"/>
  <c r="B1658" i="3"/>
  <c r="C1658" i="3" s="1"/>
  <c r="B1657" i="3"/>
  <c r="C1657" i="3" s="1"/>
  <c r="D1657" i="3" s="1"/>
  <c r="B1657" i="4" s="1"/>
  <c r="D1656" i="3"/>
  <c r="B1656" i="4" s="1"/>
  <c r="B1656" i="3"/>
  <c r="C1656" i="3" s="1"/>
  <c r="B1655" i="3"/>
  <c r="C1655" i="3" s="1"/>
  <c r="D1655" i="3" s="1"/>
  <c r="B1655" i="4" s="1"/>
  <c r="B1654" i="3"/>
  <c r="C1654" i="3" s="1"/>
  <c r="D1654" i="3" s="1"/>
  <c r="B1653" i="3"/>
  <c r="C1653" i="3" s="1"/>
  <c r="D1653" i="3" s="1"/>
  <c r="B1653" i="4" s="1"/>
  <c r="C715" i="5" s="1"/>
  <c r="E715" i="5" s="1"/>
  <c r="C1652" i="3"/>
  <c r="D1652" i="3" s="1"/>
  <c r="B1652" i="4" s="1"/>
  <c r="B1652" i="3"/>
  <c r="B1651" i="3"/>
  <c r="C1651" i="3" s="1"/>
  <c r="D1651" i="3" s="1"/>
  <c r="B1651" i="4" s="1"/>
  <c r="B1650" i="3"/>
  <c r="C1650" i="3" s="1"/>
  <c r="D1650" i="3" s="1"/>
  <c r="B1650" i="4" s="1"/>
  <c r="D1649" i="3"/>
  <c r="B1649" i="4" s="1"/>
  <c r="B1649" i="3"/>
  <c r="C1649" i="3" s="1"/>
  <c r="B1648" i="3"/>
  <c r="C1648" i="3" s="1"/>
  <c r="D1648" i="3" s="1"/>
  <c r="B1648" i="4" s="1"/>
  <c r="D1647" i="3"/>
  <c r="B1647" i="4" s="1"/>
  <c r="B1647" i="3"/>
  <c r="C1647" i="3" s="1"/>
  <c r="B1646" i="3"/>
  <c r="C1646" i="3" s="1"/>
  <c r="D1646" i="3" s="1"/>
  <c r="B1646" i="4" s="1"/>
  <c r="B1645" i="3"/>
  <c r="C1645" i="3" s="1"/>
  <c r="D1645" i="3" s="1"/>
  <c r="B1645" i="4" s="1"/>
  <c r="D1644" i="3"/>
  <c r="B1644" i="4" s="1"/>
  <c r="B1644" i="3"/>
  <c r="C1644" i="3" s="1"/>
  <c r="B1643" i="3"/>
  <c r="C1643" i="3" s="1"/>
  <c r="D1643" i="3" s="1"/>
  <c r="B1643" i="4" s="1"/>
  <c r="B1642" i="3"/>
  <c r="C1642" i="3" s="1"/>
  <c r="D1642" i="3" s="1"/>
  <c r="B1642" i="4" s="1"/>
  <c r="B1641" i="3"/>
  <c r="C1641" i="3" s="1"/>
  <c r="D1641" i="3" s="1"/>
  <c r="B1641" i="4" s="1"/>
  <c r="B1640" i="3"/>
  <c r="C1640" i="3" s="1"/>
  <c r="D1640" i="3" s="1"/>
  <c r="B1640" i="4" s="1"/>
  <c r="B1639" i="3"/>
  <c r="C1639" i="3" s="1"/>
  <c r="D1639" i="3" s="1"/>
  <c r="B1639" i="4" s="1"/>
  <c r="B1638" i="3"/>
  <c r="C1638" i="3" s="1"/>
  <c r="D1638" i="3" s="1"/>
  <c r="B1638" i="4" s="1"/>
  <c r="B1637" i="3"/>
  <c r="C1637" i="3" s="1"/>
  <c r="D1637" i="3" s="1"/>
  <c r="B1637" i="4" s="1"/>
  <c r="B1636" i="3"/>
  <c r="C1636" i="3" s="1"/>
  <c r="D1636" i="3" s="1"/>
  <c r="B1636" i="4" s="1"/>
  <c r="C1635" i="3"/>
  <c r="D1635" i="3" s="1"/>
  <c r="B1635" i="4" s="1"/>
  <c r="B1635" i="3"/>
  <c r="B1634" i="3"/>
  <c r="C1634" i="3" s="1"/>
  <c r="D1634" i="3" s="1"/>
  <c r="B1634" i="4" s="1"/>
  <c r="B1633" i="3"/>
  <c r="C1633" i="3" s="1"/>
  <c r="D1633" i="3" s="1"/>
  <c r="B1633" i="4" s="1"/>
  <c r="B1632" i="3"/>
  <c r="C1632" i="3" s="1"/>
  <c r="D1632" i="3" s="1"/>
  <c r="B1632" i="4" s="1"/>
  <c r="C1631" i="3"/>
  <c r="D1631" i="3" s="1"/>
  <c r="B1631" i="4" s="1"/>
  <c r="C693" i="5" s="1"/>
  <c r="E693" i="5" s="1"/>
  <c r="B1631" i="3"/>
  <c r="B1630" i="3"/>
  <c r="C1630" i="3" s="1"/>
  <c r="D1630" i="3" s="1"/>
  <c r="B1630" i="4" s="1"/>
  <c r="B1629" i="3"/>
  <c r="C1629" i="3" s="1"/>
  <c r="D1629" i="3" s="1"/>
  <c r="B1629" i="4" s="1"/>
  <c r="B1628" i="3"/>
  <c r="C1628" i="3" s="1"/>
  <c r="D1628" i="3" s="1"/>
  <c r="B1628" i="4" s="1"/>
  <c r="B1627" i="3"/>
  <c r="C1627" i="3" s="1"/>
  <c r="D1627" i="3" s="1"/>
  <c r="B1627" i="4" s="1"/>
  <c r="B1626" i="3"/>
  <c r="C1626" i="3" s="1"/>
  <c r="D1626" i="3" s="1"/>
  <c r="B1626" i="4" s="1"/>
  <c r="C1625" i="3"/>
  <c r="D1625" i="3" s="1"/>
  <c r="B1625" i="4" s="1"/>
  <c r="B1625" i="3"/>
  <c r="B1624" i="3"/>
  <c r="C1624" i="3" s="1"/>
  <c r="D1624" i="3" s="1"/>
  <c r="B1624" i="4" s="1"/>
  <c r="B1623" i="3"/>
  <c r="C1623" i="3" s="1"/>
  <c r="D1623" i="3" s="1"/>
  <c r="B1623" i="4" s="1"/>
  <c r="B1622" i="3"/>
  <c r="C1622" i="3" s="1"/>
  <c r="D1622" i="3" s="1"/>
  <c r="B1622" i="4" s="1"/>
  <c r="D1621" i="3"/>
  <c r="B1621" i="4" s="1"/>
  <c r="B1621" i="3"/>
  <c r="C1621" i="3" s="1"/>
  <c r="B1620" i="3"/>
  <c r="C1620" i="3" s="1"/>
  <c r="D1620" i="3" s="1"/>
  <c r="B1620" i="4" s="1"/>
  <c r="B1619" i="3"/>
  <c r="C1619" i="3" s="1"/>
  <c r="D1619" i="3" s="1"/>
  <c r="B1619" i="4" s="1"/>
  <c r="B1618" i="3"/>
  <c r="C1618" i="3" s="1"/>
  <c r="D1618" i="3" s="1"/>
  <c r="B1618" i="4" s="1"/>
  <c r="C1617" i="3"/>
  <c r="D1617" i="3" s="1"/>
  <c r="B1617" i="4" s="1"/>
  <c r="B1617" i="3"/>
  <c r="B1616" i="3"/>
  <c r="C1616" i="3" s="1"/>
  <c r="D1616" i="3" s="1"/>
  <c r="B1616" i="4" s="1"/>
  <c r="B1615" i="3"/>
  <c r="C1615" i="3" s="1"/>
  <c r="D1615" i="3" s="1"/>
  <c r="B1615" i="4" s="1"/>
  <c r="B1614" i="3"/>
  <c r="C1614" i="3" s="1"/>
  <c r="D1614" i="3" s="1"/>
  <c r="B1614" i="4" s="1"/>
  <c r="C1613" i="3"/>
  <c r="D1613" i="3" s="1"/>
  <c r="B1613" i="4" s="1"/>
  <c r="B1613" i="3"/>
  <c r="B1612" i="3"/>
  <c r="C1612" i="3" s="1"/>
  <c r="D1612" i="3" s="1"/>
  <c r="B1612" i="4" s="1"/>
  <c r="C1611" i="3"/>
  <c r="D1611" i="3" s="1"/>
  <c r="B1611" i="4" s="1"/>
  <c r="B1611" i="3"/>
  <c r="B1610" i="3"/>
  <c r="C1610" i="3" s="1"/>
  <c r="D1610" i="3" s="1"/>
  <c r="B1610" i="4" s="1"/>
  <c r="B1609" i="3"/>
  <c r="C1609" i="3" s="1"/>
  <c r="D1609" i="3" s="1"/>
  <c r="B1608" i="3"/>
  <c r="C1608" i="3" s="1"/>
  <c r="D1608" i="3" s="1"/>
  <c r="B1608" i="4" s="1"/>
  <c r="B1607" i="3"/>
  <c r="C1607" i="3" s="1"/>
  <c r="D1607" i="3" s="1"/>
  <c r="B1607" i="4" s="1"/>
  <c r="C1606" i="3"/>
  <c r="D1606" i="3" s="1"/>
  <c r="B1606" i="4" s="1"/>
  <c r="B1606" i="3"/>
  <c r="B1605" i="3"/>
  <c r="C1605" i="3" s="1"/>
  <c r="D1605" i="3" s="1"/>
  <c r="B1605" i="4" s="1"/>
  <c r="B1604" i="3"/>
  <c r="C1604" i="3" s="1"/>
  <c r="D1604" i="3" s="1"/>
  <c r="B1604" i="4" s="1"/>
  <c r="B1603" i="3"/>
  <c r="C1603" i="3" s="1"/>
  <c r="D1603" i="3" s="1"/>
  <c r="B1603" i="4" s="1"/>
  <c r="B1602" i="3"/>
  <c r="C1602" i="3" s="1"/>
  <c r="D1602" i="3" s="1"/>
  <c r="B1602" i="4" s="1"/>
  <c r="B1601" i="3"/>
  <c r="C1601" i="3" s="1"/>
  <c r="D1601" i="3" s="1"/>
  <c r="B1601" i="4" s="1"/>
  <c r="B1600" i="3"/>
  <c r="C1600" i="3" s="1"/>
  <c r="D1600" i="3" s="1"/>
  <c r="B1600" i="4" s="1"/>
  <c r="B1599" i="3"/>
  <c r="C1599" i="3" s="1"/>
  <c r="D1599" i="3" s="1"/>
  <c r="B1599" i="4" s="1"/>
  <c r="B1598" i="3"/>
  <c r="C1598" i="3" s="1"/>
  <c r="D1598" i="3" s="1"/>
  <c r="B1598" i="4" s="1"/>
  <c r="C1597" i="3"/>
  <c r="D1597" i="3" s="1"/>
  <c r="B1597" i="4" s="1"/>
  <c r="B1597" i="3"/>
  <c r="C1596" i="3"/>
  <c r="D1596" i="3" s="1"/>
  <c r="B1596" i="4" s="1"/>
  <c r="B1596" i="3"/>
  <c r="B1595" i="3"/>
  <c r="C1595" i="3" s="1"/>
  <c r="D1595" i="3" s="1"/>
  <c r="B1595" i="4" s="1"/>
  <c r="B1594" i="3"/>
  <c r="C1594" i="3" s="1"/>
  <c r="D1594" i="3" s="1"/>
  <c r="B1594" i="4" s="1"/>
  <c r="C1593" i="3"/>
  <c r="D1593" i="3" s="1"/>
  <c r="B1593" i="4" s="1"/>
  <c r="B1593" i="3"/>
  <c r="B1592" i="3"/>
  <c r="C1592" i="3" s="1"/>
  <c r="D1592" i="3" s="1"/>
  <c r="B1592" i="4" s="1"/>
  <c r="B1591" i="3"/>
  <c r="C1591" i="3" s="1"/>
  <c r="D1591" i="3" s="1"/>
  <c r="B1591" i="4" s="1"/>
  <c r="B1590" i="3"/>
  <c r="C1590" i="3" s="1"/>
  <c r="D1590" i="3" s="1"/>
  <c r="B1590" i="4" s="1"/>
  <c r="B1589" i="3"/>
  <c r="C1589" i="3" s="1"/>
  <c r="D1589" i="3" s="1"/>
  <c r="B1589" i="4" s="1"/>
  <c r="B1588" i="3"/>
  <c r="C1588" i="3" s="1"/>
  <c r="D1588" i="3" s="1"/>
  <c r="B1588" i="4" s="1"/>
  <c r="C650" i="5" s="1"/>
  <c r="E650" i="5" s="1"/>
  <c r="B1587" i="3"/>
  <c r="C1587" i="3" s="1"/>
  <c r="D1587" i="3" s="1"/>
  <c r="B1587" i="4" s="1"/>
  <c r="B1586" i="3"/>
  <c r="C1586" i="3" s="1"/>
  <c r="D1586" i="3" s="1"/>
  <c r="B1586" i="4" s="1"/>
  <c r="B1585" i="3"/>
  <c r="C1585" i="3" s="1"/>
  <c r="D1585" i="3" s="1"/>
  <c r="B1585" i="4" s="1"/>
  <c r="B1584" i="3"/>
  <c r="C1584" i="3" s="1"/>
  <c r="D1584" i="3" s="1"/>
  <c r="B1584" i="4" s="1"/>
  <c r="B1583" i="3"/>
  <c r="C1583" i="3" s="1"/>
  <c r="D1583" i="3" s="1"/>
  <c r="B1583" i="4" s="1"/>
  <c r="B1582" i="3"/>
  <c r="C1582" i="3" s="1"/>
  <c r="D1582" i="3" s="1"/>
  <c r="B1582" i="4" s="1"/>
  <c r="C1581" i="3"/>
  <c r="D1581" i="3" s="1"/>
  <c r="B1581" i="4" s="1"/>
  <c r="B1581" i="3"/>
  <c r="B1580" i="3"/>
  <c r="C1580" i="3" s="1"/>
  <c r="D1580" i="3" s="1"/>
  <c r="B1580" i="4" s="1"/>
  <c r="B1579" i="3"/>
  <c r="C1579" i="3" s="1"/>
  <c r="D1579" i="3" s="1"/>
  <c r="B1579" i="4" s="1"/>
  <c r="B1578" i="3"/>
  <c r="C1578" i="3" s="1"/>
  <c r="D1578" i="3" s="1"/>
  <c r="B1578" i="4" s="1"/>
  <c r="C1577" i="3"/>
  <c r="D1577" i="3" s="1"/>
  <c r="B1577" i="4" s="1"/>
  <c r="B1577" i="3"/>
  <c r="B1576" i="3"/>
  <c r="C1576" i="3" s="1"/>
  <c r="D1576" i="3" s="1"/>
  <c r="B1576" i="4" s="1"/>
  <c r="B1575" i="3"/>
  <c r="C1575" i="3" s="1"/>
  <c r="D1575" i="3" s="1"/>
  <c r="B1575" i="4" s="1"/>
  <c r="B1574" i="3"/>
  <c r="C1574" i="3" s="1"/>
  <c r="D1574" i="3" s="1"/>
  <c r="B1574" i="4" s="1"/>
  <c r="B1573" i="3"/>
  <c r="C1573" i="3" s="1"/>
  <c r="D1573" i="3" s="1"/>
  <c r="B1573" i="4" s="1"/>
  <c r="B1572" i="3"/>
  <c r="C1572" i="3" s="1"/>
  <c r="D1572" i="3" s="1"/>
  <c r="B1572" i="4" s="1"/>
  <c r="C1571" i="3"/>
  <c r="D1571" i="3" s="1"/>
  <c r="B1571" i="4" s="1"/>
  <c r="B1571" i="3"/>
  <c r="B1570" i="3"/>
  <c r="C1570" i="3" s="1"/>
  <c r="D1570" i="3" s="1"/>
  <c r="B1570" i="4" s="1"/>
  <c r="B1569" i="3"/>
  <c r="C1569" i="3" s="1"/>
  <c r="D1569" i="3" s="1"/>
  <c r="B1569" i="4" s="1"/>
  <c r="B1568" i="3"/>
  <c r="C1568" i="3" s="1"/>
  <c r="D1568" i="3" s="1"/>
  <c r="B1568" i="4" s="1"/>
  <c r="B1567" i="3"/>
  <c r="C1567" i="3" s="1"/>
  <c r="D1567" i="3" s="1"/>
  <c r="B1567" i="4" s="1"/>
  <c r="C1566" i="3"/>
  <c r="D1566" i="3" s="1"/>
  <c r="B1566" i="4" s="1"/>
  <c r="B1566" i="3"/>
  <c r="B1565" i="3"/>
  <c r="C1565" i="3" s="1"/>
  <c r="D1565" i="3" s="1"/>
  <c r="B1565" i="4" s="1"/>
  <c r="C627" i="5" s="1"/>
  <c r="D1564" i="3"/>
  <c r="B1564" i="4" s="1"/>
  <c r="C626" i="5" s="1"/>
  <c r="E626" i="5" s="1"/>
  <c r="B1564" i="3"/>
  <c r="C1564" i="3" s="1"/>
  <c r="B1563" i="3"/>
  <c r="C1563" i="3" s="1"/>
  <c r="D1563" i="3" s="1"/>
  <c r="B1563" i="4" s="1"/>
  <c r="C1562" i="3"/>
  <c r="D1562" i="3" s="1"/>
  <c r="B1562" i="4" s="1"/>
  <c r="B1562" i="3"/>
  <c r="B1561" i="3"/>
  <c r="C1561" i="3" s="1"/>
  <c r="D1561" i="3" s="1"/>
  <c r="B1561" i="4" s="1"/>
  <c r="C1560" i="3"/>
  <c r="D1560" i="3" s="1"/>
  <c r="B1560" i="4" s="1"/>
  <c r="B1560" i="3"/>
  <c r="B1559" i="3"/>
  <c r="C1559" i="3" s="1"/>
  <c r="D1559" i="3" s="1"/>
  <c r="B1559" i="4" s="1"/>
  <c r="B1558" i="3"/>
  <c r="C1558" i="3" s="1"/>
  <c r="D1558" i="3" s="1"/>
  <c r="B1558" i="4" s="1"/>
  <c r="C1557" i="3"/>
  <c r="D1557" i="3" s="1"/>
  <c r="B1557" i="4" s="1"/>
  <c r="B1557" i="3"/>
  <c r="B1556" i="3"/>
  <c r="C1556" i="3" s="1"/>
  <c r="D1556" i="3" s="1"/>
  <c r="B1556" i="4" s="1"/>
  <c r="B1555" i="3"/>
  <c r="C1555" i="3" s="1"/>
  <c r="D1555" i="3" s="1"/>
  <c r="B1555" i="4" s="1"/>
  <c r="B1554" i="3"/>
  <c r="C1554" i="3" s="1"/>
  <c r="D1554" i="3" s="1"/>
  <c r="B1554" i="4" s="1"/>
  <c r="B1553" i="3"/>
  <c r="C1553" i="3" s="1"/>
  <c r="D1553" i="3" s="1"/>
  <c r="B1553" i="4" s="1"/>
  <c r="B1552" i="3"/>
  <c r="C1552" i="3" s="1"/>
  <c r="D1552" i="3" s="1"/>
  <c r="B1552" i="4" s="1"/>
  <c r="B1551" i="3"/>
  <c r="C1551" i="3" s="1"/>
  <c r="D1551" i="3" s="1"/>
  <c r="B1551" i="4" s="1"/>
  <c r="B1550" i="3"/>
  <c r="C1550" i="3" s="1"/>
  <c r="D1550" i="3" s="1"/>
  <c r="B1550" i="4" s="1"/>
  <c r="B1549" i="3"/>
  <c r="C1549" i="3" s="1"/>
  <c r="D1549" i="3" s="1"/>
  <c r="B1549" i="4" s="1"/>
  <c r="B1548" i="3"/>
  <c r="C1548" i="3" s="1"/>
  <c r="D1548" i="3" s="1"/>
  <c r="B1548" i="4" s="1"/>
  <c r="C610" i="5" s="1"/>
  <c r="E610" i="5" s="1"/>
  <c r="B1547" i="3"/>
  <c r="C1547" i="3" s="1"/>
  <c r="D1547" i="3" s="1"/>
  <c r="B1547" i="4" s="1"/>
  <c r="C1546" i="3"/>
  <c r="D1546" i="3" s="1"/>
  <c r="B1546" i="4" s="1"/>
  <c r="B1546" i="3"/>
  <c r="C1545" i="3"/>
  <c r="D1545" i="3" s="1"/>
  <c r="B1545" i="4" s="1"/>
  <c r="B1545" i="3"/>
  <c r="B1544" i="3"/>
  <c r="C1544" i="3" s="1"/>
  <c r="D1544" i="3" s="1"/>
  <c r="B1544" i="4" s="1"/>
  <c r="B1543" i="3"/>
  <c r="C1543" i="3" s="1"/>
  <c r="D1543" i="3" s="1"/>
  <c r="B1543" i="4" s="1"/>
  <c r="D1542" i="3"/>
  <c r="B1542" i="4" s="1"/>
  <c r="C1542" i="3"/>
  <c r="B1542" i="3"/>
  <c r="B1541" i="3"/>
  <c r="C1541" i="3" s="1"/>
  <c r="D1541" i="3" s="1"/>
  <c r="B1541" i="4" s="1"/>
  <c r="B1540" i="3"/>
  <c r="C1540" i="3" s="1"/>
  <c r="D1540" i="3" s="1"/>
  <c r="B1540" i="4" s="1"/>
  <c r="B1539" i="3"/>
  <c r="C1539" i="3" s="1"/>
  <c r="D1539" i="3" s="1"/>
  <c r="B1539" i="4" s="1"/>
  <c r="C601" i="5" s="1"/>
  <c r="E601" i="5" s="1"/>
  <c r="B1538" i="3"/>
  <c r="C1538" i="3" s="1"/>
  <c r="D1538" i="3" s="1"/>
  <c r="B1538" i="4" s="1"/>
  <c r="B1537" i="3"/>
  <c r="C1537" i="3" s="1"/>
  <c r="D1537" i="3" s="1"/>
  <c r="B1537" i="4" s="1"/>
  <c r="C1536" i="3"/>
  <c r="D1536" i="3" s="1"/>
  <c r="B1536" i="4" s="1"/>
  <c r="B1536" i="3"/>
  <c r="B1535" i="3"/>
  <c r="C1535" i="3" s="1"/>
  <c r="D1535" i="3" s="1"/>
  <c r="B1535" i="4" s="1"/>
  <c r="C597" i="5" s="1"/>
  <c r="E597" i="5" s="1"/>
  <c r="B1534" i="3"/>
  <c r="C1534" i="3" s="1"/>
  <c r="D1534" i="3" s="1"/>
  <c r="B1534" i="4" s="1"/>
  <c r="B1533" i="3"/>
  <c r="C1533" i="3" s="1"/>
  <c r="D1533" i="3" s="1"/>
  <c r="B1533" i="4" s="1"/>
  <c r="B1532" i="3"/>
  <c r="C1532" i="3" s="1"/>
  <c r="D1532" i="3" s="1"/>
  <c r="B1532" i="4" s="1"/>
  <c r="C1531" i="3"/>
  <c r="D1531" i="3" s="1"/>
  <c r="B1531" i="4" s="1"/>
  <c r="B1531" i="3"/>
  <c r="B1530" i="3"/>
  <c r="C1530" i="3" s="1"/>
  <c r="D1530" i="3" s="1"/>
  <c r="B1530" i="4" s="1"/>
  <c r="C1529" i="3"/>
  <c r="D1529" i="3" s="1"/>
  <c r="B1529" i="4" s="1"/>
  <c r="B1529" i="3"/>
  <c r="B1528" i="3"/>
  <c r="C1528" i="3" s="1"/>
  <c r="D1528" i="3" s="1"/>
  <c r="B1528" i="4" s="1"/>
  <c r="C590" i="5" s="1"/>
  <c r="E590" i="5" s="1"/>
  <c r="B1527" i="3"/>
  <c r="C1527" i="3" s="1"/>
  <c r="D1527" i="3" s="1"/>
  <c r="B1527" i="4" s="1"/>
  <c r="B1526" i="3"/>
  <c r="C1526" i="3" s="1"/>
  <c r="D1526" i="3" s="1"/>
  <c r="B1526" i="4" s="1"/>
  <c r="B1525" i="3"/>
  <c r="C1525" i="3" s="1"/>
  <c r="D1525" i="3" s="1"/>
  <c r="B1525" i="4" s="1"/>
  <c r="D1524" i="3"/>
  <c r="B1524" i="4" s="1"/>
  <c r="B1524" i="3"/>
  <c r="C1524" i="3" s="1"/>
  <c r="B1523" i="3"/>
  <c r="C1523" i="3" s="1"/>
  <c r="D1523" i="3" s="1"/>
  <c r="B1523" i="4" s="1"/>
  <c r="B1522" i="3"/>
  <c r="C1522" i="3" s="1"/>
  <c r="D1522" i="3" s="1"/>
  <c r="B1522" i="4" s="1"/>
  <c r="B1521" i="3"/>
  <c r="C1521" i="3" s="1"/>
  <c r="D1521" i="3" s="1"/>
  <c r="B1521" i="4" s="1"/>
  <c r="B1520" i="3"/>
  <c r="C1520" i="3" s="1"/>
  <c r="D1520" i="3" s="1"/>
  <c r="B1520" i="4" s="1"/>
  <c r="C1519" i="3"/>
  <c r="D1519" i="3" s="1"/>
  <c r="B1519" i="4" s="1"/>
  <c r="B1519" i="3"/>
  <c r="D1518" i="3"/>
  <c r="B1518" i="4" s="1"/>
  <c r="B1518" i="3"/>
  <c r="C1518" i="3" s="1"/>
  <c r="B1517" i="3"/>
  <c r="C1517" i="3" s="1"/>
  <c r="D1517" i="3" s="1"/>
  <c r="B1517" i="4" s="1"/>
  <c r="B1516" i="3"/>
  <c r="C1516" i="3" s="1"/>
  <c r="D1516" i="3" s="1"/>
  <c r="B1516" i="4" s="1"/>
  <c r="B1515" i="3"/>
  <c r="C1515" i="3" s="1"/>
  <c r="D1515" i="3" s="1"/>
  <c r="B1515" i="4" s="1"/>
  <c r="B1514" i="3"/>
  <c r="C1514" i="3" s="1"/>
  <c r="D1514" i="3" s="1"/>
  <c r="B1514" i="4" s="1"/>
  <c r="C1513" i="3"/>
  <c r="D1513" i="3" s="1"/>
  <c r="B1513" i="4" s="1"/>
  <c r="B1513" i="3"/>
  <c r="B1512" i="3"/>
  <c r="C1512" i="3" s="1"/>
  <c r="D1512" i="3" s="1"/>
  <c r="B1512" i="4" s="1"/>
  <c r="C574" i="5" s="1"/>
  <c r="E574" i="5" s="1"/>
  <c r="C1511" i="3"/>
  <c r="D1511" i="3" s="1"/>
  <c r="B1511" i="4" s="1"/>
  <c r="B1511" i="3"/>
  <c r="B1510" i="3"/>
  <c r="C1510" i="3" s="1"/>
  <c r="D1510" i="3" s="1"/>
  <c r="B1510" i="4" s="1"/>
  <c r="B1509" i="3"/>
  <c r="C1509" i="3" s="1"/>
  <c r="D1509" i="3" s="1"/>
  <c r="B1509" i="4" s="1"/>
  <c r="B1508" i="3"/>
  <c r="C1508" i="3" s="1"/>
  <c r="D1508" i="3" s="1"/>
  <c r="B1508" i="4" s="1"/>
  <c r="B1507" i="3"/>
  <c r="C1507" i="3" s="1"/>
  <c r="D1507" i="3" s="1"/>
  <c r="B1507" i="4" s="1"/>
  <c r="B1506" i="3"/>
  <c r="C1506" i="3" s="1"/>
  <c r="D1506" i="3" s="1"/>
  <c r="B1506" i="4" s="1"/>
  <c r="B1505" i="3"/>
  <c r="C1505" i="3" s="1"/>
  <c r="D1505" i="3" s="1"/>
  <c r="B1505" i="4" s="1"/>
  <c r="B1504" i="3"/>
  <c r="C1504" i="3" s="1"/>
  <c r="D1504" i="3" s="1"/>
  <c r="B1504" i="4" s="1"/>
  <c r="B1503" i="3"/>
  <c r="C1503" i="3" s="1"/>
  <c r="D1503" i="3" s="1"/>
  <c r="B1503" i="4" s="1"/>
  <c r="B1502" i="3"/>
  <c r="C1502" i="3" s="1"/>
  <c r="D1502" i="3" s="1"/>
  <c r="B1502" i="4" s="1"/>
  <c r="C1501" i="3"/>
  <c r="D1501" i="3" s="1"/>
  <c r="B1501" i="4" s="1"/>
  <c r="B1501" i="3"/>
  <c r="B1500" i="3"/>
  <c r="C1500" i="3" s="1"/>
  <c r="D1500" i="3" s="1"/>
  <c r="B1500" i="4" s="1"/>
  <c r="D1499" i="3"/>
  <c r="B1499" i="4" s="1"/>
  <c r="B1499" i="3"/>
  <c r="C1499" i="3" s="1"/>
  <c r="B1498" i="3"/>
  <c r="C1498" i="3" s="1"/>
  <c r="D1498" i="3" s="1"/>
  <c r="B1498" i="4" s="1"/>
  <c r="D1497" i="3"/>
  <c r="B1497" i="4" s="1"/>
  <c r="C1497" i="3"/>
  <c r="B1497" i="3"/>
  <c r="B1496" i="3"/>
  <c r="C1496" i="3" s="1"/>
  <c r="D1496" i="3" s="1"/>
  <c r="B1495" i="3"/>
  <c r="C1495" i="3" s="1"/>
  <c r="D1495" i="3" s="1"/>
  <c r="B1495" i="4" s="1"/>
  <c r="C1494" i="3"/>
  <c r="D1494" i="3" s="1"/>
  <c r="B1494" i="4" s="1"/>
  <c r="B1494" i="3"/>
  <c r="B1493" i="3"/>
  <c r="C1493" i="3" s="1"/>
  <c r="D1493" i="3" s="1"/>
  <c r="B1493" i="4" s="1"/>
  <c r="C1492" i="3"/>
  <c r="D1492" i="3" s="1"/>
  <c r="B1492" i="4" s="1"/>
  <c r="B1492" i="3"/>
  <c r="D1491" i="3"/>
  <c r="B1491" i="4" s="1"/>
  <c r="B1491" i="3"/>
  <c r="C1491" i="3" s="1"/>
  <c r="B1490" i="3"/>
  <c r="C1490" i="3" s="1"/>
  <c r="D1490" i="3" s="1"/>
  <c r="B1490" i="4" s="1"/>
  <c r="B1489" i="3"/>
  <c r="C1489" i="3" s="1"/>
  <c r="D1489" i="3" s="1"/>
  <c r="B1489" i="4" s="1"/>
  <c r="C1488" i="3"/>
  <c r="D1488" i="3" s="1"/>
  <c r="B1488" i="4" s="1"/>
  <c r="B1488" i="3"/>
  <c r="B1487" i="3"/>
  <c r="C1487" i="3" s="1"/>
  <c r="D1487" i="3" s="1"/>
  <c r="B1487" i="4" s="1"/>
  <c r="B1486" i="3"/>
  <c r="C1486" i="3" s="1"/>
  <c r="D1486" i="3" s="1"/>
  <c r="B1486" i="4" s="1"/>
  <c r="B1485" i="3"/>
  <c r="C1485" i="3" s="1"/>
  <c r="D1485" i="3" s="1"/>
  <c r="B1485" i="4" s="1"/>
  <c r="B1484" i="3"/>
  <c r="C1484" i="3" s="1"/>
  <c r="D1484" i="3" s="1"/>
  <c r="B1484" i="4" s="1"/>
  <c r="B1483" i="3"/>
  <c r="C1483" i="3" s="1"/>
  <c r="D1483" i="3" s="1"/>
  <c r="B1483" i="4" s="1"/>
  <c r="B1482" i="3"/>
  <c r="C1482" i="3" s="1"/>
  <c r="D1482" i="3" s="1"/>
  <c r="B1482" i="4" s="1"/>
  <c r="C1481" i="3"/>
  <c r="D1481" i="3" s="1"/>
  <c r="B1481" i="4" s="1"/>
  <c r="B1481" i="3"/>
  <c r="B1480" i="3"/>
  <c r="C1480" i="3" s="1"/>
  <c r="D1480" i="3" s="1"/>
  <c r="B1480" i="4" s="1"/>
  <c r="C1479" i="3"/>
  <c r="D1479" i="3" s="1"/>
  <c r="B1479" i="4" s="1"/>
  <c r="B1479" i="3"/>
  <c r="B1478" i="3"/>
  <c r="C1478" i="3" s="1"/>
  <c r="D1478" i="3" s="1"/>
  <c r="B1478" i="4" s="1"/>
  <c r="B1477" i="3"/>
  <c r="C1477" i="3" s="1"/>
  <c r="D1477" i="3" s="1"/>
  <c r="B1477" i="4" s="1"/>
  <c r="B1476" i="3"/>
  <c r="C1476" i="3" s="1"/>
  <c r="D1476" i="3" s="1"/>
  <c r="B1476" i="4" s="1"/>
  <c r="C538" i="5" s="1"/>
  <c r="E538" i="5" s="1"/>
  <c r="C1475" i="3"/>
  <c r="D1475" i="3" s="1"/>
  <c r="B1475" i="4" s="1"/>
  <c r="B1475" i="3"/>
  <c r="C1474" i="3"/>
  <c r="D1474" i="3" s="1"/>
  <c r="B1474" i="4" s="1"/>
  <c r="B1474" i="3"/>
  <c r="B1473" i="3"/>
  <c r="C1473" i="3" s="1"/>
  <c r="D1473" i="3" s="1"/>
  <c r="B1473" i="4" s="1"/>
  <c r="B1472" i="3"/>
  <c r="C1472" i="3" s="1"/>
  <c r="D1472" i="3" s="1"/>
  <c r="B1472" i="4" s="1"/>
  <c r="B1471" i="3"/>
  <c r="C1471" i="3" s="1"/>
  <c r="D1471" i="3" s="1"/>
  <c r="B1471" i="4" s="1"/>
  <c r="B1470" i="3"/>
  <c r="C1470" i="3" s="1"/>
  <c r="D1470" i="3" s="1"/>
  <c r="B1470" i="4" s="1"/>
  <c r="B1469" i="3"/>
  <c r="C1469" i="3" s="1"/>
  <c r="D1469" i="3" s="1"/>
  <c r="B1469" i="4" s="1"/>
  <c r="B1468" i="3"/>
  <c r="C1468" i="3" s="1"/>
  <c r="D1468" i="3" s="1"/>
  <c r="B1468" i="4" s="1"/>
  <c r="B1467" i="3"/>
  <c r="C1467" i="3" s="1"/>
  <c r="D1467" i="3" s="1"/>
  <c r="B1467" i="4" s="1"/>
  <c r="B1466" i="3"/>
  <c r="C1466" i="3" s="1"/>
  <c r="D1466" i="3" s="1"/>
  <c r="B1466" i="4" s="1"/>
  <c r="C1465" i="3"/>
  <c r="D1465" i="3" s="1"/>
  <c r="B1465" i="4" s="1"/>
  <c r="B1465" i="3"/>
  <c r="B1464" i="3"/>
  <c r="C1464" i="3" s="1"/>
  <c r="D1464" i="3" s="1"/>
  <c r="B1464" i="4" s="1"/>
  <c r="B1463" i="3"/>
  <c r="C1463" i="3" s="1"/>
  <c r="D1463" i="3" s="1"/>
  <c r="B1463" i="4" s="1"/>
  <c r="B1462" i="3"/>
  <c r="C1462" i="3" s="1"/>
  <c r="D1462" i="3" s="1"/>
  <c r="B1462" i="4" s="1"/>
  <c r="C1461" i="3"/>
  <c r="D1461" i="3" s="1"/>
  <c r="B1461" i="4" s="1"/>
  <c r="B1461" i="3"/>
  <c r="B1460" i="3"/>
  <c r="C1460" i="3" s="1"/>
  <c r="D1460" i="3" s="1"/>
  <c r="B1460" i="4" s="1"/>
  <c r="C522" i="5" s="1"/>
  <c r="E522" i="5" s="1"/>
  <c r="B1459" i="3"/>
  <c r="C1459" i="3" s="1"/>
  <c r="D1459" i="3" s="1"/>
  <c r="B1459" i="4" s="1"/>
  <c r="C1458" i="3"/>
  <c r="D1458" i="3" s="1"/>
  <c r="B1458" i="4" s="1"/>
  <c r="B1458" i="3"/>
  <c r="C1457" i="3"/>
  <c r="D1457" i="3" s="1"/>
  <c r="B1457" i="4" s="1"/>
  <c r="B1457" i="3"/>
  <c r="C1456" i="3"/>
  <c r="D1456" i="3" s="1"/>
  <c r="B1456" i="4" s="1"/>
  <c r="B1456" i="3"/>
  <c r="B1455" i="3"/>
  <c r="C1455" i="3" s="1"/>
  <c r="D1455" i="3" s="1"/>
  <c r="B1455" i="4" s="1"/>
  <c r="B1454" i="3"/>
  <c r="C1454" i="3" s="1"/>
  <c r="D1454" i="3" s="1"/>
  <c r="B1454" i="4" s="1"/>
  <c r="B1453" i="3"/>
  <c r="C1453" i="3" s="1"/>
  <c r="D1453" i="3" s="1"/>
  <c r="B1453" i="4" s="1"/>
  <c r="B1452" i="3"/>
  <c r="C1452" i="3" s="1"/>
  <c r="D1452" i="3" s="1"/>
  <c r="B1452" i="4" s="1"/>
  <c r="B1451" i="3"/>
  <c r="C1451" i="3" s="1"/>
  <c r="D1451" i="3" s="1"/>
  <c r="B1451" i="4" s="1"/>
  <c r="B1450" i="3"/>
  <c r="C1450" i="3" s="1"/>
  <c r="D1450" i="3" s="1"/>
  <c r="B1450" i="4" s="1"/>
  <c r="B1449" i="3"/>
  <c r="C1449" i="3" s="1"/>
  <c r="D1449" i="3" s="1"/>
  <c r="B1449" i="4" s="1"/>
  <c r="B1448" i="3"/>
  <c r="C1448" i="3" s="1"/>
  <c r="D1448" i="3" s="1"/>
  <c r="B1448" i="4" s="1"/>
  <c r="C1447" i="3"/>
  <c r="D1447" i="3" s="1"/>
  <c r="B1447" i="4" s="1"/>
  <c r="B1447" i="3"/>
  <c r="B1446" i="3"/>
  <c r="C1446" i="3" s="1"/>
  <c r="D1446" i="3" s="1"/>
  <c r="B1446" i="4" s="1"/>
  <c r="B1445" i="3"/>
  <c r="C1445" i="3" s="1"/>
  <c r="D1445" i="3" s="1"/>
  <c r="B1445" i="4" s="1"/>
  <c r="B1444" i="3"/>
  <c r="C1444" i="3" s="1"/>
  <c r="D1444" i="3" s="1"/>
  <c r="B1444" i="4" s="1"/>
  <c r="B1443" i="3"/>
  <c r="C1443" i="3" s="1"/>
  <c r="D1443" i="3" s="1"/>
  <c r="B1443" i="4" s="1"/>
  <c r="B1442" i="3"/>
  <c r="C1442" i="3" s="1"/>
  <c r="D1442" i="3" s="1"/>
  <c r="B1442" i="4" s="1"/>
  <c r="B1441" i="3"/>
  <c r="C1441" i="3" s="1"/>
  <c r="D1441" i="3" s="1"/>
  <c r="B1441" i="4" s="1"/>
  <c r="B1440" i="3"/>
  <c r="C1440" i="3" s="1"/>
  <c r="D1440" i="3" s="1"/>
  <c r="B1439" i="3"/>
  <c r="C1439" i="3" s="1"/>
  <c r="D1439" i="3" s="1"/>
  <c r="B1439" i="4" s="1"/>
  <c r="B1438" i="3"/>
  <c r="C1438" i="3" s="1"/>
  <c r="D1438" i="3" s="1"/>
  <c r="B1438" i="4" s="1"/>
  <c r="C500" i="5" s="1"/>
  <c r="E500" i="5" s="1"/>
  <c r="C1437" i="3"/>
  <c r="D1437" i="3" s="1"/>
  <c r="B1437" i="4" s="1"/>
  <c r="B1437" i="3"/>
  <c r="B1436" i="3"/>
  <c r="C1436" i="3" s="1"/>
  <c r="D1436" i="3" s="1"/>
  <c r="B1436" i="4" s="1"/>
  <c r="B1435" i="3"/>
  <c r="C1435" i="3" s="1"/>
  <c r="D1435" i="3" s="1"/>
  <c r="B1435" i="4" s="1"/>
  <c r="B1434" i="3"/>
  <c r="C1434" i="3" s="1"/>
  <c r="D1434" i="3" s="1"/>
  <c r="B1434" i="4" s="1"/>
  <c r="B1433" i="3"/>
  <c r="C1433" i="3" s="1"/>
  <c r="D1433" i="3" s="1"/>
  <c r="B1433" i="4" s="1"/>
  <c r="B1432" i="3"/>
  <c r="C1432" i="3" s="1"/>
  <c r="D1432" i="3" s="1"/>
  <c r="B1432" i="4" s="1"/>
  <c r="C1431" i="3"/>
  <c r="D1431" i="3" s="1"/>
  <c r="B1431" i="4" s="1"/>
  <c r="B1431" i="3"/>
  <c r="B1430" i="3"/>
  <c r="C1430" i="3" s="1"/>
  <c r="D1430" i="3" s="1"/>
  <c r="B1430" i="4" s="1"/>
  <c r="B1429" i="3"/>
  <c r="C1429" i="3" s="1"/>
  <c r="D1429" i="3" s="1"/>
  <c r="B1429" i="4" s="1"/>
  <c r="B1428" i="3"/>
  <c r="C1428" i="3" s="1"/>
  <c r="D1428" i="3" s="1"/>
  <c r="B1428" i="4" s="1"/>
  <c r="B1427" i="3"/>
  <c r="C1427" i="3" s="1"/>
  <c r="D1427" i="3" s="1"/>
  <c r="B1427" i="4" s="1"/>
  <c r="B1426" i="3"/>
  <c r="C1426" i="3" s="1"/>
  <c r="D1426" i="3" s="1"/>
  <c r="B1426" i="4" s="1"/>
  <c r="D1425" i="3"/>
  <c r="B1425" i="4" s="1"/>
  <c r="C487" i="5" s="1"/>
  <c r="E487" i="5" s="1"/>
  <c r="B1425" i="3"/>
  <c r="C1425" i="3" s="1"/>
  <c r="C1424" i="3"/>
  <c r="D1424" i="3" s="1"/>
  <c r="B1424" i="4" s="1"/>
  <c r="B1424" i="3"/>
  <c r="B1423" i="3"/>
  <c r="C1423" i="3" s="1"/>
  <c r="D1423" i="3" s="1"/>
  <c r="B1423" i="4" s="1"/>
  <c r="B1422" i="3"/>
  <c r="C1422" i="3" s="1"/>
  <c r="D1422" i="3" s="1"/>
  <c r="B1422" i="4" s="1"/>
  <c r="B1421" i="3"/>
  <c r="C1421" i="3" s="1"/>
  <c r="D1421" i="3" s="1"/>
  <c r="B1421" i="4" s="1"/>
  <c r="C1420" i="3"/>
  <c r="D1420" i="3" s="1"/>
  <c r="B1420" i="4" s="1"/>
  <c r="B1420" i="3"/>
  <c r="C1419" i="3"/>
  <c r="D1419" i="3" s="1"/>
  <c r="B1419" i="4" s="1"/>
  <c r="B1419" i="3"/>
  <c r="B1418" i="3"/>
  <c r="C1418" i="3" s="1"/>
  <c r="D1418" i="3" s="1"/>
  <c r="B1418" i="4" s="1"/>
  <c r="C1417" i="3"/>
  <c r="D1417" i="3" s="1"/>
  <c r="B1417" i="4" s="1"/>
  <c r="C479" i="5" s="1"/>
  <c r="E479" i="5" s="1"/>
  <c r="B1417" i="3"/>
  <c r="B1416" i="3"/>
  <c r="C1416" i="3" s="1"/>
  <c r="D1416" i="3" s="1"/>
  <c r="B1416" i="4" s="1"/>
  <c r="B1415" i="3"/>
  <c r="C1415" i="3" s="1"/>
  <c r="D1415" i="3" s="1"/>
  <c r="B1415" i="4" s="1"/>
  <c r="B1414" i="3"/>
  <c r="C1414" i="3" s="1"/>
  <c r="D1414" i="3" s="1"/>
  <c r="B1414" i="4" s="1"/>
  <c r="C1413" i="3"/>
  <c r="D1413" i="3" s="1"/>
  <c r="B1413" i="4" s="1"/>
  <c r="B1413" i="3"/>
  <c r="D1412" i="3"/>
  <c r="B1412" i="4" s="1"/>
  <c r="C1412" i="3"/>
  <c r="B1412" i="3"/>
  <c r="D1411" i="3"/>
  <c r="B1411" i="4" s="1"/>
  <c r="C473" i="5" s="1"/>
  <c r="E473" i="5" s="1"/>
  <c r="B1411" i="3"/>
  <c r="C1411" i="3" s="1"/>
  <c r="B1410" i="3"/>
  <c r="C1410" i="3" s="1"/>
  <c r="D1410" i="3" s="1"/>
  <c r="B1410" i="4" s="1"/>
  <c r="C1409" i="3"/>
  <c r="D1409" i="3" s="1"/>
  <c r="B1409" i="4" s="1"/>
  <c r="B1409" i="3"/>
  <c r="D1408" i="3"/>
  <c r="B1408" i="4" s="1"/>
  <c r="B1408" i="3"/>
  <c r="C1408" i="3" s="1"/>
  <c r="B1407" i="3"/>
  <c r="C1407" i="3" s="1"/>
  <c r="D1407" i="3" s="1"/>
  <c r="B1407" i="4" s="1"/>
  <c r="B1406" i="3"/>
  <c r="C1406" i="3" s="1"/>
  <c r="D1406" i="3" s="1"/>
  <c r="B1406" i="4" s="1"/>
  <c r="B1405" i="3"/>
  <c r="C1405" i="3" s="1"/>
  <c r="D1405" i="3" s="1"/>
  <c r="B1405" i="4" s="1"/>
  <c r="B1404" i="3"/>
  <c r="C1404" i="3" s="1"/>
  <c r="D1404" i="3" s="1"/>
  <c r="B1404" i="4" s="1"/>
  <c r="B1403" i="3"/>
  <c r="C1403" i="3" s="1"/>
  <c r="D1403" i="3" s="1"/>
  <c r="B1403" i="4" s="1"/>
  <c r="B1402" i="3"/>
  <c r="C1402" i="3" s="1"/>
  <c r="D1402" i="3" s="1"/>
  <c r="B1402" i="4" s="1"/>
  <c r="B1401" i="3"/>
  <c r="C1401" i="3" s="1"/>
  <c r="D1401" i="3" s="1"/>
  <c r="B1401" i="4" s="1"/>
  <c r="B1400" i="3"/>
  <c r="C1400" i="3" s="1"/>
  <c r="D1400" i="3" s="1"/>
  <c r="B1400" i="4" s="1"/>
  <c r="B1399" i="3"/>
  <c r="C1399" i="3" s="1"/>
  <c r="D1399" i="3" s="1"/>
  <c r="B1399" i="4" s="1"/>
  <c r="B1398" i="3"/>
  <c r="C1398" i="3" s="1"/>
  <c r="D1398" i="3" s="1"/>
  <c r="B1398" i="4" s="1"/>
  <c r="C1397" i="3"/>
  <c r="D1397" i="3" s="1"/>
  <c r="B1397" i="4" s="1"/>
  <c r="B1397" i="3"/>
  <c r="B1396" i="3"/>
  <c r="C1396" i="3" s="1"/>
  <c r="D1396" i="3" s="1"/>
  <c r="B1396" i="4" s="1"/>
  <c r="B1395" i="3"/>
  <c r="C1395" i="3" s="1"/>
  <c r="D1395" i="3" s="1"/>
  <c r="B1395" i="4" s="1"/>
  <c r="B1394" i="3"/>
  <c r="C1394" i="3" s="1"/>
  <c r="D1394" i="3" s="1"/>
  <c r="B1394" i="4" s="1"/>
  <c r="B1393" i="3"/>
  <c r="C1393" i="3" s="1"/>
  <c r="D1393" i="3" s="1"/>
  <c r="B1393" i="4" s="1"/>
  <c r="C1392" i="3"/>
  <c r="D1392" i="3" s="1"/>
  <c r="B1392" i="4" s="1"/>
  <c r="B1392" i="3"/>
  <c r="B1391" i="3"/>
  <c r="C1391" i="3" s="1"/>
  <c r="D1391" i="3" s="1"/>
  <c r="B1391" i="4" s="1"/>
  <c r="B1390" i="3"/>
  <c r="C1390" i="3" s="1"/>
  <c r="D1390" i="3" s="1"/>
  <c r="B1390" i="4" s="1"/>
  <c r="B1389" i="3"/>
  <c r="C1389" i="3" s="1"/>
  <c r="D1389" i="3" s="1"/>
  <c r="B1389" i="4" s="1"/>
  <c r="B1388" i="3"/>
  <c r="C1388" i="3" s="1"/>
  <c r="D1388" i="3" s="1"/>
  <c r="B1388" i="4" s="1"/>
  <c r="B1387" i="3"/>
  <c r="C1387" i="3" s="1"/>
  <c r="D1387" i="3" s="1"/>
  <c r="B1387" i="4" s="1"/>
  <c r="B1386" i="3"/>
  <c r="C1386" i="3" s="1"/>
  <c r="D1386" i="3" s="1"/>
  <c r="B1386" i="4" s="1"/>
  <c r="B1385" i="3"/>
  <c r="C1385" i="3" s="1"/>
  <c r="D1385" i="3" s="1"/>
  <c r="B1385" i="4" s="1"/>
  <c r="B1384" i="3"/>
  <c r="C1384" i="3" s="1"/>
  <c r="D1384" i="3" s="1"/>
  <c r="B1384" i="4" s="1"/>
  <c r="B1383" i="3"/>
  <c r="C1383" i="3" s="1"/>
  <c r="D1383" i="3" s="1"/>
  <c r="B1383" i="4" s="1"/>
  <c r="B1382" i="3"/>
  <c r="C1382" i="3" s="1"/>
  <c r="D1382" i="3" s="1"/>
  <c r="B1382" i="4" s="1"/>
  <c r="B1381" i="3"/>
  <c r="C1381" i="3" s="1"/>
  <c r="D1381" i="3" s="1"/>
  <c r="B1381" i="4" s="1"/>
  <c r="B1380" i="3"/>
  <c r="C1380" i="3" s="1"/>
  <c r="D1380" i="3" s="1"/>
  <c r="B1380" i="4" s="1"/>
  <c r="B1379" i="3"/>
  <c r="C1379" i="3" s="1"/>
  <c r="D1379" i="3" s="1"/>
  <c r="B1379" i="4" s="1"/>
  <c r="B1378" i="3"/>
  <c r="C1378" i="3" s="1"/>
  <c r="D1378" i="3" s="1"/>
  <c r="B1378" i="4" s="1"/>
  <c r="C1377" i="3"/>
  <c r="D1377" i="3" s="1"/>
  <c r="B1377" i="4" s="1"/>
  <c r="B1377" i="3"/>
  <c r="B1376" i="3"/>
  <c r="C1376" i="3" s="1"/>
  <c r="D1376" i="3" s="1"/>
  <c r="B1376" i="4" s="1"/>
  <c r="B1375" i="3"/>
  <c r="C1375" i="3" s="1"/>
  <c r="D1375" i="3" s="1"/>
  <c r="B1375" i="4" s="1"/>
  <c r="B1374" i="3"/>
  <c r="C1374" i="3" s="1"/>
  <c r="D1374" i="3" s="1"/>
  <c r="B1374" i="4" s="1"/>
  <c r="B1373" i="3"/>
  <c r="C1373" i="3" s="1"/>
  <c r="D1373" i="3" s="1"/>
  <c r="B1373" i="4" s="1"/>
  <c r="B1372" i="3"/>
  <c r="C1372" i="3" s="1"/>
  <c r="D1372" i="3" s="1"/>
  <c r="B1372" i="4" s="1"/>
  <c r="C1371" i="3"/>
  <c r="D1371" i="3" s="1"/>
  <c r="B1371" i="4" s="1"/>
  <c r="B1371" i="3"/>
  <c r="B1370" i="3"/>
  <c r="C1370" i="3" s="1"/>
  <c r="D1370" i="3" s="1"/>
  <c r="B1370" i="4" s="1"/>
  <c r="B1369" i="3"/>
  <c r="C1369" i="3" s="1"/>
  <c r="D1369" i="3" s="1"/>
  <c r="B1369" i="4" s="1"/>
  <c r="B1368" i="3"/>
  <c r="C1368" i="3" s="1"/>
  <c r="D1368" i="3" s="1"/>
  <c r="B1368" i="4" s="1"/>
  <c r="B1367" i="3"/>
  <c r="C1367" i="3" s="1"/>
  <c r="D1367" i="3" s="1"/>
  <c r="B1367" i="4" s="1"/>
  <c r="B1366" i="3"/>
  <c r="C1366" i="3" s="1"/>
  <c r="D1366" i="3" s="1"/>
  <c r="B1366" i="4" s="1"/>
  <c r="B1365" i="3"/>
  <c r="C1365" i="3" s="1"/>
  <c r="D1365" i="3" s="1"/>
  <c r="B1365" i="4" s="1"/>
  <c r="B1364" i="3"/>
  <c r="C1364" i="3" s="1"/>
  <c r="D1364" i="3" s="1"/>
  <c r="B1364" i="4" s="1"/>
  <c r="B1363" i="3"/>
  <c r="C1363" i="3" s="1"/>
  <c r="D1363" i="3" s="1"/>
  <c r="B1363" i="4" s="1"/>
  <c r="C1362" i="3"/>
  <c r="D1362" i="3" s="1"/>
  <c r="B1362" i="4" s="1"/>
  <c r="B1362" i="3"/>
  <c r="B1361" i="3"/>
  <c r="C1361" i="3" s="1"/>
  <c r="D1361" i="3" s="1"/>
  <c r="B1361" i="4" s="1"/>
  <c r="B1360" i="3"/>
  <c r="C1360" i="3" s="1"/>
  <c r="D1360" i="3" s="1"/>
  <c r="B1360" i="4" s="1"/>
  <c r="C1359" i="3"/>
  <c r="D1359" i="3" s="1"/>
  <c r="B1359" i="4" s="1"/>
  <c r="B1359" i="3"/>
  <c r="B1358" i="3"/>
  <c r="C1358" i="3" s="1"/>
  <c r="D1358" i="3" s="1"/>
  <c r="B1358" i="4" s="1"/>
  <c r="B1357" i="3"/>
  <c r="C1357" i="3" s="1"/>
  <c r="D1357" i="3" s="1"/>
  <c r="B1357" i="4" s="1"/>
  <c r="C1356" i="3"/>
  <c r="D1356" i="3" s="1"/>
  <c r="B1356" i="4" s="1"/>
  <c r="B1356" i="3"/>
  <c r="D1355" i="3"/>
  <c r="B1355" i="4" s="1"/>
  <c r="B1355" i="3"/>
  <c r="C1355" i="3" s="1"/>
  <c r="C1354" i="3"/>
  <c r="D1354" i="3" s="1"/>
  <c r="B1354" i="4" s="1"/>
  <c r="B1354" i="3"/>
  <c r="D1353" i="3"/>
  <c r="B1353" i="4" s="1"/>
  <c r="B1353" i="3"/>
  <c r="C1353" i="3" s="1"/>
  <c r="B1352" i="3"/>
  <c r="C1352" i="3" s="1"/>
  <c r="D1352" i="3" s="1"/>
  <c r="B1352" i="4" s="1"/>
  <c r="B1351" i="3"/>
  <c r="C1351" i="3" s="1"/>
  <c r="D1351" i="3" s="1"/>
  <c r="B1351" i="4" s="1"/>
  <c r="B1350" i="3"/>
  <c r="C1350" i="3" s="1"/>
  <c r="D1350" i="3" s="1"/>
  <c r="B1350" i="4" s="1"/>
  <c r="B1349" i="3"/>
  <c r="C1349" i="3" s="1"/>
  <c r="D1349" i="3" s="1"/>
  <c r="B1349" i="4" s="1"/>
  <c r="D1348" i="3"/>
  <c r="B1348" i="4" s="1"/>
  <c r="B1348" i="3"/>
  <c r="C1348" i="3" s="1"/>
  <c r="B1347" i="3"/>
  <c r="C1347" i="3" s="1"/>
  <c r="D1347" i="3" s="1"/>
  <c r="B1347" i="4" s="1"/>
  <c r="D1346" i="3"/>
  <c r="B1346" i="4" s="1"/>
  <c r="B1346" i="3"/>
  <c r="C1346" i="3" s="1"/>
  <c r="B1345" i="3"/>
  <c r="C1345" i="3" s="1"/>
  <c r="D1345" i="3" s="1"/>
  <c r="B1345" i="4" s="1"/>
  <c r="B1344" i="3"/>
  <c r="C1344" i="3" s="1"/>
  <c r="D1344" i="3" s="1"/>
  <c r="B1344" i="4" s="1"/>
  <c r="B1343" i="3"/>
  <c r="C1343" i="3" s="1"/>
  <c r="D1343" i="3" s="1"/>
  <c r="B1343" i="4" s="1"/>
  <c r="B1342" i="3"/>
  <c r="C1342" i="3" s="1"/>
  <c r="D1342" i="3" s="1"/>
  <c r="B1342" i="4" s="1"/>
  <c r="B1341" i="3"/>
  <c r="C1341" i="3" s="1"/>
  <c r="D1341" i="3" s="1"/>
  <c r="B1341" i="4" s="1"/>
  <c r="B1340" i="3"/>
  <c r="C1340" i="3" s="1"/>
  <c r="D1340" i="3" s="1"/>
  <c r="B1340" i="4" s="1"/>
  <c r="B1339" i="3"/>
  <c r="C1339" i="3" s="1"/>
  <c r="D1339" i="3" s="1"/>
  <c r="B1339" i="4" s="1"/>
  <c r="B1338" i="3"/>
  <c r="C1338" i="3" s="1"/>
  <c r="D1338" i="3" s="1"/>
  <c r="B1338" i="4" s="1"/>
  <c r="C1337" i="3"/>
  <c r="D1337" i="3" s="1"/>
  <c r="B1337" i="4" s="1"/>
  <c r="B1337" i="3"/>
  <c r="C1336" i="3"/>
  <c r="D1336" i="3" s="1"/>
  <c r="B1336" i="4" s="1"/>
  <c r="B1336" i="3"/>
  <c r="B1335" i="3"/>
  <c r="C1335" i="3" s="1"/>
  <c r="D1335" i="3" s="1"/>
  <c r="C1334" i="3"/>
  <c r="D1334" i="3" s="1"/>
  <c r="B1334" i="4" s="1"/>
  <c r="B1334" i="3"/>
  <c r="B1333" i="3"/>
  <c r="C1333" i="3" s="1"/>
  <c r="D1333" i="3" s="1"/>
  <c r="B1333" i="4" s="1"/>
  <c r="C395" i="5" s="1"/>
  <c r="E395" i="5" s="1"/>
  <c r="B1332" i="3"/>
  <c r="C1332" i="3" s="1"/>
  <c r="D1332" i="3" s="1"/>
  <c r="B1332" i="4" s="1"/>
  <c r="B1331" i="3"/>
  <c r="C1331" i="3" s="1"/>
  <c r="D1331" i="3" s="1"/>
  <c r="B1331" i="4" s="1"/>
  <c r="D1330" i="3"/>
  <c r="B1330" i="4" s="1"/>
  <c r="B1330" i="3"/>
  <c r="C1330" i="3" s="1"/>
  <c r="D1329" i="3"/>
  <c r="B1329" i="4" s="1"/>
  <c r="B1329" i="3"/>
  <c r="C1329" i="3" s="1"/>
  <c r="D1328" i="3"/>
  <c r="B1328" i="4" s="1"/>
  <c r="C1328" i="3"/>
  <c r="B1328" i="3"/>
  <c r="B1327" i="3"/>
  <c r="C1327" i="3" s="1"/>
  <c r="D1327" i="3" s="1"/>
  <c r="B1327" i="4" s="1"/>
  <c r="B1326" i="3"/>
  <c r="C1326" i="3" s="1"/>
  <c r="D1326" i="3" s="1"/>
  <c r="B1326" i="4" s="1"/>
  <c r="D1325" i="3"/>
  <c r="B1325" i="4" s="1"/>
  <c r="B1325" i="3"/>
  <c r="C1325" i="3" s="1"/>
  <c r="D1324" i="3"/>
  <c r="B1324" i="4" s="1"/>
  <c r="B1324" i="3"/>
  <c r="C1324" i="3" s="1"/>
  <c r="B1323" i="3"/>
  <c r="C1323" i="3" s="1"/>
  <c r="D1323" i="3" s="1"/>
  <c r="B1323" i="4" s="1"/>
  <c r="B1322" i="3"/>
  <c r="C1322" i="3" s="1"/>
  <c r="D1322" i="3" s="1"/>
  <c r="B1322" i="4" s="1"/>
  <c r="B1321" i="3"/>
  <c r="C1321" i="3" s="1"/>
  <c r="D1321" i="3" s="1"/>
  <c r="B1321" i="4" s="1"/>
  <c r="B1320" i="3"/>
  <c r="C1320" i="3" s="1"/>
  <c r="D1320" i="3" s="1"/>
  <c r="B1320" i="4" s="1"/>
  <c r="B1319" i="3"/>
  <c r="C1319" i="3" s="1"/>
  <c r="D1319" i="3" s="1"/>
  <c r="B1319" i="4" s="1"/>
  <c r="B1318" i="3"/>
  <c r="C1318" i="3" s="1"/>
  <c r="D1318" i="3" s="1"/>
  <c r="B1318" i="4" s="1"/>
  <c r="B1317" i="3"/>
  <c r="C1317" i="3" s="1"/>
  <c r="D1317" i="3" s="1"/>
  <c r="B1317" i="4" s="1"/>
  <c r="B1316" i="3"/>
  <c r="C1316" i="3" s="1"/>
  <c r="D1316" i="3" s="1"/>
  <c r="B1316" i="4" s="1"/>
  <c r="B1315" i="3"/>
  <c r="C1315" i="3" s="1"/>
  <c r="D1315" i="3" s="1"/>
  <c r="B1315" i="4" s="1"/>
  <c r="B1314" i="3"/>
  <c r="C1314" i="3" s="1"/>
  <c r="D1314" i="3" s="1"/>
  <c r="B1314" i="4" s="1"/>
  <c r="B1313" i="3"/>
  <c r="C1313" i="3" s="1"/>
  <c r="D1313" i="3" s="1"/>
  <c r="B1313" i="4" s="1"/>
  <c r="B1312" i="3"/>
  <c r="C1312" i="3" s="1"/>
  <c r="D1312" i="3" s="1"/>
  <c r="B1312" i="4" s="1"/>
  <c r="B1311" i="3"/>
  <c r="C1311" i="3" s="1"/>
  <c r="D1311" i="3" s="1"/>
  <c r="B1311" i="4" s="1"/>
  <c r="B1310" i="3"/>
  <c r="C1310" i="3" s="1"/>
  <c r="D1310" i="3" s="1"/>
  <c r="B1310" i="4" s="1"/>
  <c r="B1309" i="3"/>
  <c r="C1309" i="3" s="1"/>
  <c r="D1309" i="3" s="1"/>
  <c r="B1309" i="4" s="1"/>
  <c r="B1308" i="3"/>
  <c r="C1308" i="3" s="1"/>
  <c r="D1308" i="3" s="1"/>
  <c r="B1308" i="4" s="1"/>
  <c r="B1307" i="3"/>
  <c r="C1307" i="3" s="1"/>
  <c r="D1307" i="3" s="1"/>
  <c r="B1307" i="4" s="1"/>
  <c r="C1306" i="3"/>
  <c r="D1306" i="3" s="1"/>
  <c r="B1306" i="4" s="1"/>
  <c r="B1306" i="3"/>
  <c r="B1305" i="3"/>
  <c r="C1305" i="3" s="1"/>
  <c r="D1305" i="3" s="1"/>
  <c r="B1305" i="4" s="1"/>
  <c r="D1304" i="3"/>
  <c r="B1304" i="4" s="1"/>
  <c r="C1304" i="3"/>
  <c r="B1304" i="3"/>
  <c r="B1303" i="3"/>
  <c r="C1303" i="3" s="1"/>
  <c r="D1303" i="3" s="1"/>
  <c r="B1303" i="4" s="1"/>
  <c r="B1302" i="3"/>
  <c r="C1302" i="3" s="1"/>
  <c r="D1302" i="3" s="1"/>
  <c r="B1302" i="4" s="1"/>
  <c r="B1301" i="3"/>
  <c r="C1301" i="3" s="1"/>
  <c r="D1301" i="3" s="1"/>
  <c r="B1301" i="4" s="1"/>
  <c r="B1300" i="3"/>
  <c r="C1300" i="3" s="1"/>
  <c r="D1300" i="3" s="1"/>
  <c r="B1300" i="4" s="1"/>
  <c r="B1299" i="3"/>
  <c r="C1299" i="3" s="1"/>
  <c r="D1299" i="3" s="1"/>
  <c r="B1299" i="4" s="1"/>
  <c r="B1298" i="3"/>
  <c r="C1298" i="3" s="1"/>
  <c r="D1298" i="3" s="1"/>
  <c r="B1298" i="4" s="1"/>
  <c r="D1297" i="3"/>
  <c r="B1297" i="4" s="1"/>
  <c r="B1297" i="3"/>
  <c r="C1297" i="3" s="1"/>
  <c r="B1296" i="3"/>
  <c r="C1296" i="3" s="1"/>
  <c r="D1296" i="3" s="1"/>
  <c r="B1296" i="4" s="1"/>
  <c r="B1295" i="3"/>
  <c r="C1295" i="3" s="1"/>
  <c r="D1295" i="3" s="1"/>
  <c r="B1295" i="4" s="1"/>
  <c r="B1294" i="3"/>
  <c r="C1294" i="3" s="1"/>
  <c r="D1294" i="3" s="1"/>
  <c r="B1294" i="4" s="1"/>
  <c r="B1293" i="3"/>
  <c r="C1293" i="3" s="1"/>
  <c r="D1293" i="3" s="1"/>
  <c r="B1293" i="4" s="1"/>
  <c r="C1292" i="3"/>
  <c r="D1292" i="3" s="1"/>
  <c r="B1292" i="4" s="1"/>
  <c r="B1292" i="3"/>
  <c r="B1291" i="3"/>
  <c r="C1291" i="3" s="1"/>
  <c r="D1291" i="3" s="1"/>
  <c r="B1291" i="4" s="1"/>
  <c r="C1290" i="3"/>
  <c r="D1290" i="3" s="1"/>
  <c r="B1290" i="4" s="1"/>
  <c r="B1290" i="3"/>
  <c r="B1289" i="3"/>
  <c r="C1289" i="3" s="1"/>
  <c r="D1289" i="3" s="1"/>
  <c r="B1289" i="4" s="1"/>
  <c r="B1288" i="3"/>
  <c r="C1288" i="3" s="1"/>
  <c r="D1288" i="3" s="1"/>
  <c r="B1288" i="4" s="1"/>
  <c r="B1287" i="3"/>
  <c r="C1287" i="3" s="1"/>
  <c r="D1287" i="3" s="1"/>
  <c r="B1287" i="4" s="1"/>
  <c r="C1286" i="3"/>
  <c r="D1286" i="3" s="1"/>
  <c r="B1286" i="4" s="1"/>
  <c r="B1286" i="3"/>
  <c r="B1285" i="3"/>
  <c r="C1285" i="3" s="1"/>
  <c r="D1285" i="3" s="1"/>
  <c r="B1285" i="4" s="1"/>
  <c r="D1284" i="3"/>
  <c r="B1284" i="4" s="1"/>
  <c r="B1284" i="3"/>
  <c r="C1284" i="3" s="1"/>
  <c r="C1283" i="3"/>
  <c r="D1283" i="3" s="1"/>
  <c r="B1283" i="4" s="1"/>
  <c r="B1283" i="3"/>
  <c r="B1282" i="3"/>
  <c r="C1282" i="3" s="1"/>
  <c r="D1282" i="3" s="1"/>
  <c r="B1282" i="4" s="1"/>
  <c r="C344" i="5" s="1"/>
  <c r="E344" i="5" s="1"/>
  <c r="B344" i="9" s="1"/>
  <c r="C1281" i="3"/>
  <c r="D1281" i="3" s="1"/>
  <c r="B1281" i="4" s="1"/>
  <c r="B1281" i="3"/>
  <c r="B1280" i="3"/>
  <c r="C1280" i="3" s="1"/>
  <c r="D1280" i="3" s="1"/>
  <c r="B1280" i="4" s="1"/>
  <c r="C1279" i="3"/>
  <c r="D1279" i="3" s="1"/>
  <c r="B1279" i="4" s="1"/>
  <c r="B1279" i="3"/>
  <c r="B1278" i="3"/>
  <c r="C1278" i="3" s="1"/>
  <c r="D1278" i="3" s="1"/>
  <c r="B1278" i="4" s="1"/>
  <c r="B1277" i="3"/>
  <c r="C1277" i="3" s="1"/>
  <c r="D1277" i="3" s="1"/>
  <c r="B1277" i="4" s="1"/>
  <c r="B1276" i="3"/>
  <c r="C1276" i="3" s="1"/>
  <c r="D1276" i="3" s="1"/>
  <c r="B1276" i="4" s="1"/>
  <c r="C1275" i="3"/>
  <c r="D1275" i="3" s="1"/>
  <c r="B1275" i="4" s="1"/>
  <c r="B1275" i="3"/>
  <c r="B1274" i="3"/>
  <c r="C1274" i="3" s="1"/>
  <c r="D1274" i="3" s="1"/>
  <c r="B1274" i="4" s="1"/>
  <c r="D1273" i="3"/>
  <c r="B1273" i="4" s="1"/>
  <c r="B1273" i="3"/>
  <c r="C1273" i="3" s="1"/>
  <c r="B1272" i="3"/>
  <c r="C1272" i="3" s="1"/>
  <c r="D1272" i="3" s="1"/>
  <c r="B1272" i="4" s="1"/>
  <c r="B1271" i="3"/>
  <c r="C1271" i="3" s="1"/>
  <c r="D1271" i="3" s="1"/>
  <c r="B1271" i="4" s="1"/>
  <c r="D1270" i="3"/>
  <c r="B1270" i="4" s="1"/>
  <c r="B1270" i="3"/>
  <c r="C1270" i="3" s="1"/>
  <c r="B1269" i="3"/>
  <c r="C1269" i="3" s="1"/>
  <c r="D1269" i="3" s="1"/>
  <c r="B1269" i="4" s="1"/>
  <c r="C1268" i="3"/>
  <c r="D1268" i="3" s="1"/>
  <c r="B1268" i="4" s="1"/>
  <c r="B1268" i="3"/>
  <c r="B1267" i="3"/>
  <c r="C1267" i="3" s="1"/>
  <c r="D1267" i="3" s="1"/>
  <c r="B1267" i="4" s="1"/>
  <c r="B1266" i="3"/>
  <c r="C1266" i="3" s="1"/>
  <c r="D1266" i="3" s="1"/>
  <c r="B1266" i="4" s="1"/>
  <c r="B1265" i="3"/>
  <c r="C1265" i="3" s="1"/>
  <c r="D1265" i="3" s="1"/>
  <c r="B1265" i="4" s="1"/>
  <c r="C1264" i="3"/>
  <c r="D1264" i="3" s="1"/>
  <c r="B1264" i="4" s="1"/>
  <c r="B1264" i="3"/>
  <c r="B1263" i="3"/>
  <c r="C1263" i="3" s="1"/>
  <c r="D1263" i="3" s="1"/>
  <c r="B1263" i="4" s="1"/>
  <c r="B1262" i="3"/>
  <c r="C1262" i="3" s="1"/>
  <c r="D1262" i="3" s="1"/>
  <c r="B1262" i="4" s="1"/>
  <c r="C1261" i="3"/>
  <c r="D1261" i="3" s="1"/>
  <c r="B1261" i="4" s="1"/>
  <c r="B1261" i="3"/>
  <c r="C1260" i="3"/>
  <c r="D1260" i="3" s="1"/>
  <c r="B1260" i="4" s="1"/>
  <c r="B1260" i="3"/>
  <c r="B1259" i="3"/>
  <c r="C1259" i="3" s="1"/>
  <c r="D1259" i="3" s="1"/>
  <c r="B1259" i="4" s="1"/>
  <c r="C1258" i="3"/>
  <c r="D1258" i="3" s="1"/>
  <c r="B1258" i="4" s="1"/>
  <c r="B1258" i="3"/>
  <c r="B1257" i="3"/>
  <c r="C1257" i="3" s="1"/>
  <c r="D1257" i="3" s="1"/>
  <c r="B1257" i="4" s="1"/>
  <c r="B1256" i="3"/>
  <c r="C1256" i="3" s="1"/>
  <c r="D1256" i="3" s="1"/>
  <c r="B1256" i="4" s="1"/>
  <c r="B1255" i="3"/>
  <c r="C1255" i="3" s="1"/>
  <c r="D1255" i="3" s="1"/>
  <c r="B1255" i="4" s="1"/>
  <c r="C1254" i="3"/>
  <c r="D1254" i="3" s="1"/>
  <c r="B1254" i="4" s="1"/>
  <c r="C316" i="5" s="1"/>
  <c r="E316" i="5" s="1"/>
  <c r="B1254" i="3"/>
  <c r="B1253" i="3"/>
  <c r="C1253" i="3" s="1"/>
  <c r="D1253" i="3" s="1"/>
  <c r="B1253" i="4" s="1"/>
  <c r="D1252" i="3"/>
  <c r="B1252" i="4" s="1"/>
  <c r="B1252" i="3"/>
  <c r="C1252" i="3" s="1"/>
  <c r="B1251" i="3"/>
  <c r="C1251" i="3" s="1"/>
  <c r="D1251" i="3" s="1"/>
  <c r="B1251" i="4" s="1"/>
  <c r="B1250" i="3"/>
  <c r="C1250" i="3" s="1"/>
  <c r="D1250" i="3" s="1"/>
  <c r="B1250" i="4" s="1"/>
  <c r="B1249" i="3"/>
  <c r="C1249" i="3" s="1"/>
  <c r="D1249" i="3" s="1"/>
  <c r="B1249" i="4" s="1"/>
  <c r="C1248" i="3"/>
  <c r="D1248" i="3" s="1"/>
  <c r="B1248" i="4" s="1"/>
  <c r="B1248" i="3"/>
  <c r="D1247" i="3"/>
  <c r="B1247" i="4" s="1"/>
  <c r="B1247" i="3"/>
  <c r="C1247" i="3" s="1"/>
  <c r="B1246" i="3"/>
  <c r="C1246" i="3" s="1"/>
  <c r="D1246" i="3" s="1"/>
  <c r="B1246" i="4" s="1"/>
  <c r="C1245" i="3"/>
  <c r="D1245" i="3" s="1"/>
  <c r="B1245" i="4" s="1"/>
  <c r="B1245" i="3"/>
  <c r="B1244" i="3"/>
  <c r="C1244" i="3" s="1"/>
  <c r="D1244" i="3" s="1"/>
  <c r="B1244" i="4" s="1"/>
  <c r="B1243" i="3"/>
  <c r="C1243" i="3" s="1"/>
  <c r="D1243" i="3" s="1"/>
  <c r="B1243" i="4" s="1"/>
  <c r="D1242" i="3"/>
  <c r="B1242" i="4" s="1"/>
  <c r="C1242" i="3"/>
  <c r="B1242" i="3"/>
  <c r="B1241" i="3"/>
  <c r="C1241" i="3" s="1"/>
  <c r="D1241" i="3" s="1"/>
  <c r="B1241" i="4" s="1"/>
  <c r="C303" i="5" s="1"/>
  <c r="C1240" i="3"/>
  <c r="D1240" i="3" s="1"/>
  <c r="B1240" i="4" s="1"/>
  <c r="B1240" i="3"/>
  <c r="C1239" i="3"/>
  <c r="D1239" i="3" s="1"/>
  <c r="B1239" i="4" s="1"/>
  <c r="B1239" i="3"/>
  <c r="C1238" i="3"/>
  <c r="D1238" i="3" s="1"/>
  <c r="B1238" i="4" s="1"/>
  <c r="B1238" i="3"/>
  <c r="B1237" i="3"/>
  <c r="C1237" i="3" s="1"/>
  <c r="D1237" i="3" s="1"/>
  <c r="B1237" i="4" s="1"/>
  <c r="C1236" i="3"/>
  <c r="D1236" i="3" s="1"/>
  <c r="B1236" i="4" s="1"/>
  <c r="B1236" i="3"/>
  <c r="B1235" i="3"/>
  <c r="C1235" i="3" s="1"/>
  <c r="D1235" i="3" s="1"/>
  <c r="B1235" i="4" s="1"/>
  <c r="B1234" i="3"/>
  <c r="C1234" i="3" s="1"/>
  <c r="D1234" i="3" s="1"/>
  <c r="B1234" i="4" s="1"/>
  <c r="B1233" i="3"/>
  <c r="C1233" i="3" s="1"/>
  <c r="D1233" i="3" s="1"/>
  <c r="B1233" i="4" s="1"/>
  <c r="B1232" i="3"/>
  <c r="C1232" i="3" s="1"/>
  <c r="D1232" i="3" s="1"/>
  <c r="B1232" i="4" s="1"/>
  <c r="B1231" i="3"/>
  <c r="C1231" i="3" s="1"/>
  <c r="D1231" i="3" s="1"/>
  <c r="B1231" i="4" s="1"/>
  <c r="B1230" i="3"/>
  <c r="C1230" i="3" s="1"/>
  <c r="D1230" i="3" s="1"/>
  <c r="B1230" i="4" s="1"/>
  <c r="C1229" i="3"/>
  <c r="D1229" i="3" s="1"/>
  <c r="B1229" i="4" s="1"/>
  <c r="B1229" i="3"/>
  <c r="B1228" i="3"/>
  <c r="C1228" i="3" s="1"/>
  <c r="D1228" i="3" s="1"/>
  <c r="B1228" i="4" s="1"/>
  <c r="B1227" i="3"/>
  <c r="C1227" i="3" s="1"/>
  <c r="D1227" i="3" s="1"/>
  <c r="B1227" i="4" s="1"/>
  <c r="B1226" i="3"/>
  <c r="C1226" i="3" s="1"/>
  <c r="D1226" i="3" s="1"/>
  <c r="B1226" i="4" s="1"/>
  <c r="B1225" i="3"/>
  <c r="C1225" i="3" s="1"/>
  <c r="D1225" i="3" s="1"/>
  <c r="B1225" i="4" s="1"/>
  <c r="B1224" i="3"/>
  <c r="C1224" i="3" s="1"/>
  <c r="D1224" i="3" s="1"/>
  <c r="B1224" i="4" s="1"/>
  <c r="C286" i="5" s="1"/>
  <c r="E286" i="5" s="1"/>
  <c r="C1223" i="3"/>
  <c r="D1223" i="3" s="1"/>
  <c r="B1223" i="4" s="1"/>
  <c r="B1223" i="3"/>
  <c r="B1222" i="3"/>
  <c r="C1222" i="3" s="1"/>
  <c r="D1222" i="3" s="1"/>
  <c r="B1222" i="4" s="1"/>
  <c r="B1221" i="3"/>
  <c r="C1221" i="3" s="1"/>
  <c r="D1221" i="3" s="1"/>
  <c r="B1221" i="4" s="1"/>
  <c r="B1220" i="3"/>
  <c r="C1220" i="3" s="1"/>
  <c r="D1220" i="3" s="1"/>
  <c r="B1220" i="4" s="1"/>
  <c r="B1219" i="3"/>
  <c r="C1219" i="3" s="1"/>
  <c r="D1219" i="3" s="1"/>
  <c r="B1219" i="4" s="1"/>
  <c r="C1218" i="3"/>
  <c r="D1218" i="3" s="1"/>
  <c r="B1218" i="4" s="1"/>
  <c r="B1218" i="3"/>
  <c r="B1217" i="3"/>
  <c r="C1217" i="3" s="1"/>
  <c r="D1217" i="3" s="1"/>
  <c r="B1217" i="4" s="1"/>
  <c r="C1216" i="3"/>
  <c r="D1216" i="3" s="1"/>
  <c r="B1216" i="4" s="1"/>
  <c r="B1216" i="3"/>
  <c r="B1215" i="3"/>
  <c r="C1215" i="3" s="1"/>
  <c r="D1215" i="3" s="1"/>
  <c r="B1215" i="4" s="1"/>
  <c r="C1214" i="3"/>
  <c r="D1214" i="3" s="1"/>
  <c r="B1214" i="4" s="1"/>
  <c r="B1214" i="3"/>
  <c r="B1213" i="3"/>
  <c r="C1213" i="3" s="1"/>
  <c r="D1213" i="3" s="1"/>
  <c r="B1213" i="4" s="1"/>
  <c r="B1212" i="3"/>
  <c r="C1212" i="3" s="1"/>
  <c r="D1212" i="3" s="1"/>
  <c r="B1212" i="4" s="1"/>
  <c r="B1211" i="3"/>
  <c r="C1211" i="3" s="1"/>
  <c r="D1211" i="3" s="1"/>
  <c r="B1211" i="4" s="1"/>
  <c r="B1210" i="3"/>
  <c r="C1210" i="3" s="1"/>
  <c r="D1210" i="3" s="1"/>
  <c r="B1210" i="4" s="1"/>
  <c r="B1209" i="3"/>
  <c r="C1209" i="3" s="1"/>
  <c r="D1209" i="3" s="1"/>
  <c r="B1209" i="4" s="1"/>
  <c r="B1208" i="3"/>
  <c r="C1208" i="3" s="1"/>
  <c r="D1208" i="3" s="1"/>
  <c r="B1208" i="4" s="1"/>
  <c r="B1207" i="3"/>
  <c r="C1207" i="3" s="1"/>
  <c r="D1207" i="3" s="1"/>
  <c r="B1207" i="4" s="1"/>
  <c r="B1206" i="3"/>
  <c r="C1206" i="3" s="1"/>
  <c r="D1206" i="3" s="1"/>
  <c r="B1206" i="4" s="1"/>
  <c r="B1205" i="3"/>
  <c r="C1205" i="3" s="1"/>
  <c r="D1205" i="3" s="1"/>
  <c r="B1205" i="4" s="1"/>
  <c r="B1204" i="3"/>
  <c r="C1204" i="3" s="1"/>
  <c r="D1204" i="3" s="1"/>
  <c r="B1204" i="4" s="1"/>
  <c r="C266" i="5" s="1"/>
  <c r="E266" i="5" s="1"/>
  <c r="B1203" i="3"/>
  <c r="C1203" i="3" s="1"/>
  <c r="D1203" i="3" s="1"/>
  <c r="B1203" i="4" s="1"/>
  <c r="B1202" i="3"/>
  <c r="C1202" i="3" s="1"/>
  <c r="D1202" i="3" s="1"/>
  <c r="B1202" i="4" s="1"/>
  <c r="C1201" i="3"/>
  <c r="D1201" i="3" s="1"/>
  <c r="B1201" i="4" s="1"/>
  <c r="B1201" i="3"/>
  <c r="C1200" i="3"/>
  <c r="D1200" i="3" s="1"/>
  <c r="B1200" i="4" s="1"/>
  <c r="B1200" i="3"/>
  <c r="C1199" i="3"/>
  <c r="D1199" i="3" s="1"/>
  <c r="B1199" i="4" s="1"/>
  <c r="B1199" i="3"/>
  <c r="B1198" i="3"/>
  <c r="C1198" i="3" s="1"/>
  <c r="D1198" i="3" s="1"/>
  <c r="B1198" i="4" s="1"/>
  <c r="B1197" i="3"/>
  <c r="C1197" i="3" s="1"/>
  <c r="D1197" i="3" s="1"/>
  <c r="B1197" i="4" s="1"/>
  <c r="B1196" i="3"/>
  <c r="C1196" i="3" s="1"/>
  <c r="D1196" i="3" s="1"/>
  <c r="B1196" i="4" s="1"/>
  <c r="B1195" i="3"/>
  <c r="C1195" i="3" s="1"/>
  <c r="D1195" i="3" s="1"/>
  <c r="B1195" i="4" s="1"/>
  <c r="B1194" i="3"/>
  <c r="C1194" i="3" s="1"/>
  <c r="D1194" i="3" s="1"/>
  <c r="B1194" i="4" s="1"/>
  <c r="D1193" i="3"/>
  <c r="B1193" i="4" s="1"/>
  <c r="B1193" i="3"/>
  <c r="C1193" i="3" s="1"/>
  <c r="B1192" i="3"/>
  <c r="C1192" i="3" s="1"/>
  <c r="D1192" i="3" s="1"/>
  <c r="B1192" i="4" s="1"/>
  <c r="B1191" i="3"/>
  <c r="C1191" i="3" s="1"/>
  <c r="D1191" i="3" s="1"/>
  <c r="B1191" i="4" s="1"/>
  <c r="B1190" i="3"/>
  <c r="C1190" i="3" s="1"/>
  <c r="D1190" i="3" s="1"/>
  <c r="B1190" i="4" s="1"/>
  <c r="C1189" i="3"/>
  <c r="D1189" i="3" s="1"/>
  <c r="B1189" i="4" s="1"/>
  <c r="B1189" i="3"/>
  <c r="D1188" i="3"/>
  <c r="B1188" i="4" s="1"/>
  <c r="B1188" i="3"/>
  <c r="C1188" i="3" s="1"/>
  <c r="B1187" i="3"/>
  <c r="C1187" i="3" s="1"/>
  <c r="D1187" i="3" s="1"/>
  <c r="B1187" i="4" s="1"/>
  <c r="C1186" i="3"/>
  <c r="D1186" i="3" s="1"/>
  <c r="B1186" i="4" s="1"/>
  <c r="B1186" i="3"/>
  <c r="B1185" i="3"/>
  <c r="C1185" i="3" s="1"/>
  <c r="D1185" i="3" s="1"/>
  <c r="B1185" i="4" s="1"/>
  <c r="C1184" i="3"/>
  <c r="D1184" i="3" s="1"/>
  <c r="B1184" i="4" s="1"/>
  <c r="B1184" i="3"/>
  <c r="B1183" i="3"/>
  <c r="C1183" i="3" s="1"/>
  <c r="D1183" i="3" s="1"/>
  <c r="B1183" i="4" s="1"/>
  <c r="B1182" i="3"/>
  <c r="C1182" i="3" s="1"/>
  <c r="D1182" i="3" s="1"/>
  <c r="B1182" i="4" s="1"/>
  <c r="B1181" i="3"/>
  <c r="C1181" i="3" s="1"/>
  <c r="D1181" i="3" s="1"/>
  <c r="B1181" i="4" s="1"/>
  <c r="B1180" i="3"/>
  <c r="C1180" i="3" s="1"/>
  <c r="D1180" i="3" s="1"/>
  <c r="B1180" i="4" s="1"/>
  <c r="B1179" i="3"/>
  <c r="C1179" i="3" s="1"/>
  <c r="D1179" i="3" s="1"/>
  <c r="B1179" i="4" s="1"/>
  <c r="B1178" i="3"/>
  <c r="C1178" i="3" s="1"/>
  <c r="D1178" i="3" s="1"/>
  <c r="B1178" i="4" s="1"/>
  <c r="B1177" i="3"/>
  <c r="C1177" i="3" s="1"/>
  <c r="D1177" i="3" s="1"/>
  <c r="B1177" i="4" s="1"/>
  <c r="C1176" i="3"/>
  <c r="D1176" i="3" s="1"/>
  <c r="B1176" i="4" s="1"/>
  <c r="B1176" i="3"/>
  <c r="B1175" i="3"/>
  <c r="C1175" i="3" s="1"/>
  <c r="D1175" i="3" s="1"/>
  <c r="B1175" i="4" s="1"/>
  <c r="B1174" i="3"/>
  <c r="C1174" i="3" s="1"/>
  <c r="D1174" i="3" s="1"/>
  <c r="B1174" i="4" s="1"/>
  <c r="B1173" i="3"/>
  <c r="C1173" i="3" s="1"/>
  <c r="D1173" i="3" s="1"/>
  <c r="B1173" i="4" s="1"/>
  <c r="B1172" i="3"/>
  <c r="C1172" i="3" s="1"/>
  <c r="D1172" i="3" s="1"/>
  <c r="B1172" i="4" s="1"/>
  <c r="B1171" i="3"/>
  <c r="C1171" i="3" s="1"/>
  <c r="D1171" i="3" s="1"/>
  <c r="B1171" i="4" s="1"/>
  <c r="C1170" i="3"/>
  <c r="D1170" i="3" s="1"/>
  <c r="B1170" i="4" s="1"/>
  <c r="B1170" i="3"/>
  <c r="D1169" i="3"/>
  <c r="B1169" i="4" s="1"/>
  <c r="C1169" i="3"/>
  <c r="B1169" i="3"/>
  <c r="B1168" i="3"/>
  <c r="C1168" i="3" s="1"/>
  <c r="D1168" i="3" s="1"/>
  <c r="B1168" i="4" s="1"/>
  <c r="B1167" i="3"/>
  <c r="C1167" i="3" s="1"/>
  <c r="D1167" i="3" s="1"/>
  <c r="B1167" i="4" s="1"/>
  <c r="B1166" i="3"/>
  <c r="C1166" i="3" s="1"/>
  <c r="D1166" i="3" s="1"/>
  <c r="B1166" i="4" s="1"/>
  <c r="B1165" i="3"/>
  <c r="C1165" i="3" s="1"/>
  <c r="D1165" i="3" s="1"/>
  <c r="B1165" i="4" s="1"/>
  <c r="B1164" i="3"/>
  <c r="C1164" i="3" s="1"/>
  <c r="D1164" i="3" s="1"/>
  <c r="B1164" i="4" s="1"/>
  <c r="B1163" i="3"/>
  <c r="C1163" i="3" s="1"/>
  <c r="D1163" i="3" s="1"/>
  <c r="B1163" i="4" s="1"/>
  <c r="B1162" i="3"/>
  <c r="C1162" i="3" s="1"/>
  <c r="D1162" i="3" s="1"/>
  <c r="B1162" i="4" s="1"/>
  <c r="C1161" i="3"/>
  <c r="D1161" i="3" s="1"/>
  <c r="B1161" i="4" s="1"/>
  <c r="B1161" i="3"/>
  <c r="B1160" i="3"/>
  <c r="C1160" i="3" s="1"/>
  <c r="D1160" i="3" s="1"/>
  <c r="B1160" i="4" s="1"/>
  <c r="B1159" i="3"/>
  <c r="C1159" i="3" s="1"/>
  <c r="D1159" i="3" s="1"/>
  <c r="B1159" i="4" s="1"/>
  <c r="C1158" i="3"/>
  <c r="D1158" i="3" s="1"/>
  <c r="B1158" i="4" s="1"/>
  <c r="B1158" i="3"/>
  <c r="C1157" i="3"/>
  <c r="D1157" i="3" s="1"/>
  <c r="B1157" i="4" s="1"/>
  <c r="B1157" i="3"/>
  <c r="B1156" i="3"/>
  <c r="C1156" i="3" s="1"/>
  <c r="D1156" i="3" s="1"/>
  <c r="B1156" i="4" s="1"/>
  <c r="B1155" i="3"/>
  <c r="C1155" i="3" s="1"/>
  <c r="D1155" i="3" s="1"/>
  <c r="B1155" i="4" s="1"/>
  <c r="B1154" i="3"/>
  <c r="C1154" i="3" s="1"/>
  <c r="D1154" i="3" s="1"/>
  <c r="B1154" i="4" s="1"/>
  <c r="B1153" i="3"/>
  <c r="C1153" i="3" s="1"/>
  <c r="D1153" i="3" s="1"/>
  <c r="B1153" i="4" s="1"/>
  <c r="B1152" i="3"/>
  <c r="C1152" i="3" s="1"/>
  <c r="D1152" i="3" s="1"/>
  <c r="B1152" i="4" s="1"/>
  <c r="D1151" i="3"/>
  <c r="B1151" i="4" s="1"/>
  <c r="C1151" i="3"/>
  <c r="B1151" i="3"/>
  <c r="B1150" i="3"/>
  <c r="C1150" i="3" s="1"/>
  <c r="D1150" i="3" s="1"/>
  <c r="B1150" i="4" s="1"/>
  <c r="C212" i="5" s="1"/>
  <c r="C1149" i="3"/>
  <c r="D1149" i="3" s="1"/>
  <c r="B1149" i="4" s="1"/>
  <c r="B1149" i="3"/>
  <c r="B1148" i="3"/>
  <c r="C1148" i="3" s="1"/>
  <c r="D1148" i="3" s="1"/>
  <c r="B1148" i="4" s="1"/>
  <c r="B1147" i="3"/>
  <c r="C1147" i="3" s="1"/>
  <c r="D1147" i="3" s="1"/>
  <c r="B1147" i="4" s="1"/>
  <c r="C209" i="5" s="1"/>
  <c r="E209" i="5" s="1"/>
  <c r="B1146" i="3"/>
  <c r="C1146" i="3" s="1"/>
  <c r="D1146" i="3" s="1"/>
  <c r="B1146" i="4" s="1"/>
  <c r="B1145" i="3"/>
  <c r="C1145" i="3" s="1"/>
  <c r="D1145" i="3" s="1"/>
  <c r="B1145" i="4" s="1"/>
  <c r="C1144" i="3"/>
  <c r="D1144" i="3" s="1"/>
  <c r="B1144" i="4" s="1"/>
  <c r="B1144" i="3"/>
  <c r="D1143" i="3"/>
  <c r="B1143" i="4" s="1"/>
  <c r="B1143" i="3"/>
  <c r="C1143" i="3" s="1"/>
  <c r="B1142" i="3"/>
  <c r="C1142" i="3" s="1"/>
  <c r="D1142" i="3" s="1"/>
  <c r="B1142" i="4" s="1"/>
  <c r="B1141" i="3"/>
  <c r="C1141" i="3" s="1"/>
  <c r="D1141" i="3" s="1"/>
  <c r="B1141" i="4" s="1"/>
  <c r="C1140" i="3"/>
  <c r="D1140" i="3" s="1"/>
  <c r="B1140" i="4" s="1"/>
  <c r="B1140" i="3"/>
  <c r="B1139" i="3"/>
  <c r="C1139" i="3" s="1"/>
  <c r="D1139" i="3" s="1"/>
  <c r="B1139" i="4" s="1"/>
  <c r="B1138" i="3"/>
  <c r="C1138" i="3" s="1"/>
  <c r="D1138" i="3" s="1"/>
  <c r="B1138" i="4" s="1"/>
  <c r="D1137" i="3"/>
  <c r="B1137" i="4" s="1"/>
  <c r="C1137" i="3"/>
  <c r="B1137" i="3"/>
  <c r="D1136" i="3"/>
  <c r="B1136" i="4" s="1"/>
  <c r="B1136" i="3"/>
  <c r="C1136" i="3" s="1"/>
  <c r="B1135" i="3"/>
  <c r="C1135" i="3" s="1"/>
  <c r="D1135" i="3" s="1"/>
  <c r="B1135" i="4" s="1"/>
  <c r="C1134" i="3"/>
  <c r="D1134" i="3" s="1"/>
  <c r="B1134" i="4" s="1"/>
  <c r="B1134" i="3"/>
  <c r="B1133" i="3"/>
  <c r="C1133" i="3" s="1"/>
  <c r="D1133" i="3" s="1"/>
  <c r="B1133" i="4" s="1"/>
  <c r="B1132" i="3"/>
  <c r="C1132" i="3" s="1"/>
  <c r="D1132" i="3" s="1"/>
  <c r="B1132" i="4" s="1"/>
  <c r="B1131" i="3"/>
  <c r="C1131" i="3" s="1"/>
  <c r="D1131" i="3" s="1"/>
  <c r="B1131" i="4" s="1"/>
  <c r="B1130" i="3"/>
  <c r="C1130" i="3" s="1"/>
  <c r="D1130" i="3" s="1"/>
  <c r="B1130" i="4" s="1"/>
  <c r="D1129" i="3"/>
  <c r="B1129" i="4" s="1"/>
  <c r="B1129" i="3"/>
  <c r="C1129" i="3" s="1"/>
  <c r="B1128" i="3"/>
  <c r="C1128" i="3" s="1"/>
  <c r="D1128" i="3" s="1"/>
  <c r="B1128" i="4" s="1"/>
  <c r="B1127" i="3"/>
  <c r="C1127" i="3" s="1"/>
  <c r="D1127" i="3" s="1"/>
  <c r="B1127" i="4" s="1"/>
  <c r="B1126" i="3"/>
  <c r="C1126" i="3" s="1"/>
  <c r="D1126" i="3" s="1"/>
  <c r="B1126" i="4" s="1"/>
  <c r="C1125" i="3"/>
  <c r="D1125" i="3" s="1"/>
  <c r="B1125" i="4" s="1"/>
  <c r="B1125" i="3"/>
  <c r="B1124" i="3"/>
  <c r="C1124" i="3" s="1"/>
  <c r="D1124" i="3" s="1"/>
  <c r="B1124" i="4" s="1"/>
  <c r="C1123" i="3"/>
  <c r="D1123" i="3" s="1"/>
  <c r="B1123" i="4" s="1"/>
  <c r="B1123" i="3"/>
  <c r="C1122" i="3"/>
  <c r="D1122" i="3" s="1"/>
  <c r="B1122" i="4" s="1"/>
  <c r="B1122" i="3"/>
  <c r="B1121" i="3"/>
  <c r="C1121" i="3" s="1"/>
  <c r="D1121" i="3" s="1"/>
  <c r="B1121" i="4" s="1"/>
  <c r="C1120" i="3"/>
  <c r="D1120" i="3" s="1"/>
  <c r="B1120" i="4" s="1"/>
  <c r="B1120" i="3"/>
  <c r="B1119" i="3"/>
  <c r="C1119" i="3" s="1"/>
  <c r="D1119" i="3" s="1"/>
  <c r="B1119" i="4" s="1"/>
  <c r="B1118" i="3"/>
  <c r="C1118" i="3" s="1"/>
  <c r="D1118" i="3" s="1"/>
  <c r="B1118" i="4" s="1"/>
  <c r="B1117" i="3"/>
  <c r="C1117" i="3" s="1"/>
  <c r="D1117" i="3" s="1"/>
  <c r="B1117" i="4" s="1"/>
  <c r="B1116" i="3"/>
  <c r="C1116" i="3" s="1"/>
  <c r="D1116" i="3" s="1"/>
  <c r="B1116" i="4" s="1"/>
  <c r="C1115" i="3"/>
  <c r="D1115" i="3" s="1"/>
  <c r="B1115" i="4" s="1"/>
  <c r="B1115" i="3"/>
  <c r="C1114" i="3"/>
  <c r="D1114" i="3" s="1"/>
  <c r="B1114" i="4" s="1"/>
  <c r="B1114" i="3"/>
  <c r="B1113" i="3"/>
  <c r="C1113" i="3" s="1"/>
  <c r="D1113" i="3" s="1"/>
  <c r="B1113" i="4" s="1"/>
  <c r="C1112" i="3"/>
  <c r="D1112" i="3" s="1"/>
  <c r="B1112" i="4" s="1"/>
  <c r="B1112" i="3"/>
  <c r="B1111" i="3"/>
  <c r="C1111" i="3" s="1"/>
  <c r="D1111" i="3" s="1"/>
  <c r="B1111" i="4" s="1"/>
  <c r="C1110" i="3"/>
  <c r="D1110" i="3" s="1"/>
  <c r="B1110" i="4" s="1"/>
  <c r="B1110" i="3"/>
  <c r="C1109" i="3"/>
  <c r="D1109" i="3" s="1"/>
  <c r="B1109" i="4" s="1"/>
  <c r="B1109" i="3"/>
  <c r="B1108" i="3"/>
  <c r="C1108" i="3" s="1"/>
  <c r="D1108" i="3" s="1"/>
  <c r="B1108" i="4" s="1"/>
  <c r="D1107" i="3"/>
  <c r="B1107" i="4" s="1"/>
  <c r="B1107" i="3"/>
  <c r="C1107" i="3" s="1"/>
  <c r="B1106" i="3"/>
  <c r="C1106" i="3" s="1"/>
  <c r="D1106" i="3" s="1"/>
  <c r="B1106" i="4" s="1"/>
  <c r="B1105" i="3"/>
  <c r="C1105" i="3" s="1"/>
  <c r="D1105" i="3" s="1"/>
  <c r="B1105" i="4" s="1"/>
  <c r="C167" i="5" s="1"/>
  <c r="E167" i="5" s="1"/>
  <c r="B167" i="8" s="1"/>
  <c r="D1104" i="3"/>
  <c r="B1104" i="4" s="1"/>
  <c r="B1104" i="3"/>
  <c r="C1104" i="3" s="1"/>
  <c r="B1103" i="3"/>
  <c r="C1103" i="3" s="1"/>
  <c r="D1103" i="3" s="1"/>
  <c r="B1103" i="4" s="1"/>
  <c r="B1102" i="3"/>
  <c r="C1102" i="3" s="1"/>
  <c r="D1102" i="3" s="1"/>
  <c r="B1102" i="4" s="1"/>
  <c r="B1101" i="3"/>
  <c r="C1101" i="3" s="1"/>
  <c r="D1101" i="3" s="1"/>
  <c r="B1101" i="4" s="1"/>
  <c r="C163" i="5" s="1"/>
  <c r="E163" i="5" s="1"/>
  <c r="B163" i="8" s="1"/>
  <c r="B1100" i="3"/>
  <c r="C1100" i="3" s="1"/>
  <c r="D1100" i="3" s="1"/>
  <c r="B1100" i="4" s="1"/>
  <c r="B1099" i="3"/>
  <c r="C1099" i="3" s="1"/>
  <c r="D1099" i="3" s="1"/>
  <c r="B1099" i="4" s="1"/>
  <c r="B1098" i="3"/>
  <c r="C1098" i="3" s="1"/>
  <c r="D1098" i="3" s="1"/>
  <c r="B1098" i="4" s="1"/>
  <c r="B1097" i="3"/>
  <c r="C1097" i="3" s="1"/>
  <c r="D1097" i="3" s="1"/>
  <c r="B1097" i="4" s="1"/>
  <c r="C1096" i="3"/>
  <c r="D1096" i="3" s="1"/>
  <c r="B1096" i="4" s="1"/>
  <c r="B1096" i="3"/>
  <c r="C1095" i="3"/>
  <c r="D1095" i="3" s="1"/>
  <c r="B1095" i="4" s="1"/>
  <c r="B1095" i="3"/>
  <c r="D1094" i="3"/>
  <c r="B1094" i="4" s="1"/>
  <c r="B1094" i="3"/>
  <c r="C1094" i="3" s="1"/>
  <c r="D1093" i="3"/>
  <c r="B1093" i="4" s="1"/>
  <c r="B1093" i="3"/>
  <c r="C1093" i="3" s="1"/>
  <c r="C1092" i="3"/>
  <c r="D1092" i="3" s="1"/>
  <c r="B1092" i="4" s="1"/>
  <c r="B1092" i="3"/>
  <c r="C1091" i="3"/>
  <c r="D1091" i="3" s="1"/>
  <c r="B1091" i="4" s="1"/>
  <c r="B1091" i="3"/>
  <c r="B1090" i="3"/>
  <c r="C1090" i="3" s="1"/>
  <c r="D1090" i="3" s="1"/>
  <c r="B1090" i="4" s="1"/>
  <c r="B1089" i="3"/>
  <c r="C1089" i="3" s="1"/>
  <c r="D1089" i="3" s="1"/>
  <c r="B1089" i="4" s="1"/>
  <c r="B1088" i="3"/>
  <c r="C1088" i="3" s="1"/>
  <c r="D1088" i="3" s="1"/>
  <c r="B1088" i="4" s="1"/>
  <c r="B1087" i="3"/>
  <c r="C1087" i="3" s="1"/>
  <c r="D1087" i="3" s="1"/>
  <c r="B1087" i="4" s="1"/>
  <c r="B1086" i="3"/>
  <c r="C1086" i="3" s="1"/>
  <c r="D1086" i="3" s="1"/>
  <c r="B1085" i="3"/>
  <c r="C1085" i="3" s="1"/>
  <c r="D1085" i="3" s="1"/>
  <c r="B1085" i="4" s="1"/>
  <c r="B1084" i="3"/>
  <c r="C1084" i="3" s="1"/>
  <c r="D1084" i="3" s="1"/>
  <c r="B1083" i="3"/>
  <c r="C1083" i="3" s="1"/>
  <c r="D1083" i="3" s="1"/>
  <c r="B1083" i="4" s="1"/>
  <c r="B1082" i="3"/>
  <c r="C1082" i="3" s="1"/>
  <c r="D1082" i="3" s="1"/>
  <c r="B1082" i="4" s="1"/>
  <c r="B1081" i="3"/>
  <c r="C1081" i="3" s="1"/>
  <c r="D1081" i="3" s="1"/>
  <c r="B1081" i="4" s="1"/>
  <c r="C1080" i="3"/>
  <c r="D1080" i="3" s="1"/>
  <c r="B1080" i="4" s="1"/>
  <c r="B1080" i="3"/>
  <c r="B1079" i="3"/>
  <c r="C1079" i="3" s="1"/>
  <c r="D1079" i="3" s="1"/>
  <c r="B1079" i="4" s="1"/>
  <c r="B1078" i="3"/>
  <c r="C1078" i="3" s="1"/>
  <c r="D1078" i="3" s="1"/>
  <c r="B1078" i="4" s="1"/>
  <c r="B1077" i="3"/>
  <c r="C1077" i="3" s="1"/>
  <c r="D1077" i="3" s="1"/>
  <c r="B1077" i="4" s="1"/>
  <c r="B1076" i="3"/>
  <c r="C1076" i="3" s="1"/>
  <c r="D1076" i="3" s="1"/>
  <c r="B1076" i="4" s="1"/>
  <c r="D1075" i="3"/>
  <c r="B1075" i="4" s="1"/>
  <c r="B1075" i="3"/>
  <c r="C1075" i="3" s="1"/>
  <c r="B1074" i="3"/>
  <c r="C1074" i="3" s="1"/>
  <c r="D1074" i="3" s="1"/>
  <c r="B1074" i="4" s="1"/>
  <c r="C136" i="5" s="1"/>
  <c r="E136" i="5" s="1"/>
  <c r="B1073" i="3"/>
  <c r="C1073" i="3" s="1"/>
  <c r="D1073" i="3" s="1"/>
  <c r="B1073" i="4" s="1"/>
  <c r="C135" i="5" s="1"/>
  <c r="E135" i="5" s="1"/>
  <c r="B135" i="7" s="1"/>
  <c r="C1072" i="3"/>
  <c r="D1072" i="3" s="1"/>
  <c r="B1072" i="4" s="1"/>
  <c r="B1072" i="3"/>
  <c r="B1071" i="3"/>
  <c r="C1071" i="3" s="1"/>
  <c r="D1071" i="3" s="1"/>
  <c r="B1071" i="4" s="1"/>
  <c r="B1070" i="3"/>
  <c r="C1070" i="3" s="1"/>
  <c r="D1070" i="3" s="1"/>
  <c r="B1070" i="4" s="1"/>
  <c r="B1069" i="3"/>
  <c r="C1069" i="3" s="1"/>
  <c r="D1069" i="3" s="1"/>
  <c r="B1068" i="3"/>
  <c r="C1068" i="3" s="1"/>
  <c r="D1068" i="3" s="1"/>
  <c r="B1068" i="4" s="1"/>
  <c r="B1067" i="3"/>
  <c r="C1067" i="3" s="1"/>
  <c r="D1067" i="3" s="1"/>
  <c r="B1067" i="4" s="1"/>
  <c r="B1066" i="3"/>
  <c r="C1066" i="3" s="1"/>
  <c r="D1066" i="3" s="1"/>
  <c r="B1066" i="4" s="1"/>
  <c r="B1065" i="3"/>
  <c r="C1065" i="3" s="1"/>
  <c r="D1065" i="3" s="1"/>
  <c r="B1065" i="4" s="1"/>
  <c r="B1064" i="3"/>
  <c r="C1064" i="3" s="1"/>
  <c r="D1064" i="3" s="1"/>
  <c r="B1064" i="4" s="1"/>
  <c r="C1063" i="3"/>
  <c r="D1063" i="3" s="1"/>
  <c r="B1063" i="4" s="1"/>
  <c r="B1063" i="3"/>
  <c r="B1062" i="3"/>
  <c r="C1062" i="3" s="1"/>
  <c r="D1062" i="3" s="1"/>
  <c r="B1062" i="4" s="1"/>
  <c r="C1061" i="3"/>
  <c r="D1061" i="3" s="1"/>
  <c r="B1061" i="4" s="1"/>
  <c r="B1061" i="3"/>
  <c r="B1060" i="3"/>
  <c r="C1060" i="3" s="1"/>
  <c r="D1060" i="3" s="1"/>
  <c r="B1060" i="4" s="1"/>
  <c r="B1059" i="3"/>
  <c r="C1059" i="3" s="1"/>
  <c r="D1059" i="3" s="1"/>
  <c r="B1059" i="4" s="1"/>
  <c r="B1058" i="3"/>
  <c r="C1058" i="3" s="1"/>
  <c r="D1058" i="3" s="1"/>
  <c r="B1058" i="4" s="1"/>
  <c r="D1057" i="3"/>
  <c r="B1057" i="4" s="1"/>
  <c r="B1057" i="3"/>
  <c r="C1057" i="3" s="1"/>
  <c r="B1056" i="3"/>
  <c r="C1056" i="3" s="1"/>
  <c r="D1056" i="3" s="1"/>
  <c r="B1056" i="4" s="1"/>
  <c r="B1055" i="3"/>
  <c r="C1055" i="3" s="1"/>
  <c r="D1055" i="3" s="1"/>
  <c r="B1055" i="4" s="1"/>
  <c r="B1054" i="3"/>
  <c r="C1054" i="3" s="1"/>
  <c r="D1054" i="3" s="1"/>
  <c r="B1054" i="4" s="1"/>
  <c r="B1053" i="3"/>
  <c r="C1053" i="3" s="1"/>
  <c r="D1053" i="3" s="1"/>
  <c r="B1053" i="4" s="1"/>
  <c r="C1052" i="3"/>
  <c r="D1052" i="3" s="1"/>
  <c r="B1052" i="4" s="1"/>
  <c r="B1052" i="3"/>
  <c r="B1051" i="3"/>
  <c r="C1051" i="3" s="1"/>
  <c r="D1051" i="3" s="1"/>
  <c r="B1051" i="4" s="1"/>
  <c r="B1050" i="3"/>
  <c r="C1050" i="3" s="1"/>
  <c r="D1050" i="3" s="1"/>
  <c r="B1050" i="4" s="1"/>
  <c r="B1049" i="3"/>
  <c r="C1049" i="3" s="1"/>
  <c r="D1049" i="3" s="1"/>
  <c r="B1049" i="4" s="1"/>
  <c r="D1048" i="3"/>
  <c r="B1048" i="4" s="1"/>
  <c r="B1048" i="3"/>
  <c r="C1048" i="3" s="1"/>
  <c r="B1047" i="3"/>
  <c r="C1047" i="3" s="1"/>
  <c r="D1047" i="3" s="1"/>
  <c r="B1047" i="4" s="1"/>
  <c r="C1046" i="3"/>
  <c r="D1046" i="3" s="1"/>
  <c r="B1046" i="4" s="1"/>
  <c r="B1046" i="3"/>
  <c r="B1045" i="3"/>
  <c r="C1045" i="3" s="1"/>
  <c r="D1045" i="3" s="1"/>
  <c r="B1045" i="4" s="1"/>
  <c r="C1044" i="3"/>
  <c r="D1044" i="3" s="1"/>
  <c r="B1044" i="4" s="1"/>
  <c r="C106" i="5" s="1"/>
  <c r="E106" i="5" s="1"/>
  <c r="B1044" i="3"/>
  <c r="B1043" i="3"/>
  <c r="C1043" i="3" s="1"/>
  <c r="D1043" i="3" s="1"/>
  <c r="B1043" i="4" s="1"/>
  <c r="C105" i="5" s="1"/>
  <c r="E105" i="5" s="1"/>
  <c r="B105" i="7" s="1"/>
  <c r="B1042" i="3"/>
  <c r="C1042" i="3" s="1"/>
  <c r="D1042" i="3" s="1"/>
  <c r="B1042" i="4" s="1"/>
  <c r="B1041" i="3"/>
  <c r="C1041" i="3" s="1"/>
  <c r="D1041" i="3" s="1"/>
  <c r="B1041" i="4" s="1"/>
  <c r="B1040" i="3"/>
  <c r="C1040" i="3" s="1"/>
  <c r="D1040" i="3" s="1"/>
  <c r="B1040" i="4" s="1"/>
  <c r="C102" i="5" s="1"/>
  <c r="B1039" i="3"/>
  <c r="C1039" i="3" s="1"/>
  <c r="D1039" i="3" s="1"/>
  <c r="B1039" i="4" s="1"/>
  <c r="C1038" i="3"/>
  <c r="D1038" i="3" s="1"/>
  <c r="B1038" i="4" s="1"/>
  <c r="B1038" i="3"/>
  <c r="C1037" i="3"/>
  <c r="D1037" i="3" s="1"/>
  <c r="B1037" i="4" s="1"/>
  <c r="B1037" i="3"/>
  <c r="C1036" i="3"/>
  <c r="D1036" i="3" s="1"/>
  <c r="B1036" i="4" s="1"/>
  <c r="B1036" i="3"/>
  <c r="D1035" i="3"/>
  <c r="B1035" i="4" s="1"/>
  <c r="B1035" i="3"/>
  <c r="C1035" i="3" s="1"/>
  <c r="B1034" i="3"/>
  <c r="C1034" i="3" s="1"/>
  <c r="D1034" i="3" s="1"/>
  <c r="B1034" i="4" s="1"/>
  <c r="C96" i="5" s="1"/>
  <c r="E96" i="5" s="1"/>
  <c r="C1033" i="3"/>
  <c r="D1033" i="3" s="1"/>
  <c r="B1033" i="4" s="1"/>
  <c r="C95" i="5" s="1"/>
  <c r="E95" i="5" s="1"/>
  <c r="B1033" i="3"/>
  <c r="C1032" i="3"/>
  <c r="D1032" i="3" s="1"/>
  <c r="B1032" i="4" s="1"/>
  <c r="B1032" i="3"/>
  <c r="B1031" i="3"/>
  <c r="C1031" i="3" s="1"/>
  <c r="D1031" i="3" s="1"/>
  <c r="B1031" i="4" s="1"/>
  <c r="B1030" i="3"/>
  <c r="C1030" i="3" s="1"/>
  <c r="D1030" i="3" s="1"/>
  <c r="B1030" i="4" s="1"/>
  <c r="B1029" i="3"/>
  <c r="C1029" i="3" s="1"/>
  <c r="D1029" i="3" s="1"/>
  <c r="B1029" i="4" s="1"/>
  <c r="B1028" i="3"/>
  <c r="C1028" i="3" s="1"/>
  <c r="D1028" i="3" s="1"/>
  <c r="B1028" i="4" s="1"/>
  <c r="B1027" i="3"/>
  <c r="C1027" i="3" s="1"/>
  <c r="D1027" i="3" s="1"/>
  <c r="B1027" i="4" s="1"/>
  <c r="C1026" i="3"/>
  <c r="D1026" i="3" s="1"/>
  <c r="B1026" i="4" s="1"/>
  <c r="B1026" i="3"/>
  <c r="B1025" i="3"/>
  <c r="C1025" i="3" s="1"/>
  <c r="D1025" i="3" s="1"/>
  <c r="B1025" i="4" s="1"/>
  <c r="B1024" i="3"/>
  <c r="C1024" i="3" s="1"/>
  <c r="D1024" i="3" s="1"/>
  <c r="B1024" i="4" s="1"/>
  <c r="C1023" i="3"/>
  <c r="D1023" i="3" s="1"/>
  <c r="B1023" i="4" s="1"/>
  <c r="C85" i="5" s="1"/>
  <c r="E85" i="5" s="1"/>
  <c r="B1023" i="3"/>
  <c r="D1022" i="3"/>
  <c r="B1022" i="4" s="1"/>
  <c r="B1022" i="3"/>
  <c r="C1022" i="3" s="1"/>
  <c r="C1021" i="3"/>
  <c r="D1021" i="3" s="1"/>
  <c r="B1021" i="4" s="1"/>
  <c r="B1021" i="3"/>
  <c r="C1020" i="3"/>
  <c r="D1020" i="3" s="1"/>
  <c r="B1020" i="4" s="1"/>
  <c r="B1020" i="3"/>
  <c r="B1019" i="3"/>
  <c r="C1019" i="3" s="1"/>
  <c r="D1019" i="3" s="1"/>
  <c r="B1019" i="4" s="1"/>
  <c r="C1018" i="3"/>
  <c r="D1018" i="3" s="1"/>
  <c r="B1018" i="4" s="1"/>
  <c r="B1018" i="3"/>
  <c r="B1017" i="3"/>
  <c r="C1017" i="3" s="1"/>
  <c r="D1017" i="3" s="1"/>
  <c r="B1017" i="4" s="1"/>
  <c r="B1016" i="3"/>
  <c r="C1016" i="3" s="1"/>
  <c r="D1016" i="3" s="1"/>
  <c r="B1016" i="4" s="1"/>
  <c r="B1015" i="3"/>
  <c r="C1015" i="3" s="1"/>
  <c r="D1015" i="3" s="1"/>
  <c r="B1015" i="4" s="1"/>
  <c r="B1014" i="3"/>
  <c r="C1014" i="3" s="1"/>
  <c r="D1014" i="3" s="1"/>
  <c r="B1014" i="4" s="1"/>
  <c r="B1013" i="3"/>
  <c r="C1013" i="3" s="1"/>
  <c r="D1013" i="3" s="1"/>
  <c r="B1013" i="4" s="1"/>
  <c r="C1012" i="3"/>
  <c r="D1012" i="3" s="1"/>
  <c r="B1012" i="4" s="1"/>
  <c r="B1012" i="3"/>
  <c r="B1011" i="3"/>
  <c r="C1011" i="3" s="1"/>
  <c r="D1011" i="3" s="1"/>
  <c r="B1011" i="4" s="1"/>
  <c r="B1010" i="3"/>
  <c r="C1010" i="3" s="1"/>
  <c r="D1010" i="3" s="1"/>
  <c r="B1010" i="4" s="1"/>
  <c r="B1009" i="3"/>
  <c r="C1009" i="3" s="1"/>
  <c r="D1009" i="3" s="1"/>
  <c r="B1009" i="4" s="1"/>
  <c r="B1008" i="3"/>
  <c r="C1008" i="3" s="1"/>
  <c r="D1008" i="3" s="1"/>
  <c r="B1008" i="4" s="1"/>
  <c r="B1007" i="3"/>
  <c r="C1007" i="3" s="1"/>
  <c r="D1007" i="3" s="1"/>
  <c r="B1007" i="4" s="1"/>
  <c r="B1006" i="3"/>
  <c r="C1006" i="3" s="1"/>
  <c r="D1006" i="3" s="1"/>
  <c r="B1006" i="4" s="1"/>
  <c r="B1005" i="3"/>
  <c r="C1005" i="3" s="1"/>
  <c r="D1005" i="3" s="1"/>
  <c r="B1005" i="4" s="1"/>
  <c r="B1004" i="3"/>
  <c r="C1004" i="3" s="1"/>
  <c r="D1004" i="3" s="1"/>
  <c r="B1004" i="4" s="1"/>
  <c r="B1003" i="3"/>
  <c r="C1003" i="3" s="1"/>
  <c r="D1003" i="3" s="1"/>
  <c r="B1003" i="4" s="1"/>
  <c r="D1002" i="3"/>
  <c r="B1002" i="4" s="1"/>
  <c r="B1002" i="3"/>
  <c r="C1002" i="3" s="1"/>
  <c r="D1001" i="3"/>
  <c r="B1001" i="4" s="1"/>
  <c r="B1001" i="3"/>
  <c r="C1001" i="3" s="1"/>
  <c r="B1000" i="3"/>
  <c r="C1000" i="3" s="1"/>
  <c r="D1000" i="3" s="1"/>
  <c r="B1000" i="4" s="1"/>
  <c r="B999" i="3"/>
  <c r="C999" i="3" s="1"/>
  <c r="D999" i="3" s="1"/>
  <c r="B999" i="4" s="1"/>
  <c r="B998" i="3"/>
  <c r="C998" i="3" s="1"/>
  <c r="D998" i="3" s="1"/>
  <c r="B998" i="4" s="1"/>
  <c r="C997" i="3"/>
  <c r="D997" i="3" s="1"/>
  <c r="B997" i="4" s="1"/>
  <c r="B997" i="3"/>
  <c r="C996" i="3"/>
  <c r="D996" i="3" s="1"/>
  <c r="B996" i="4" s="1"/>
  <c r="B996" i="3"/>
  <c r="B995" i="3"/>
  <c r="C995" i="3" s="1"/>
  <c r="D995" i="3" s="1"/>
  <c r="B995" i="4" s="1"/>
  <c r="C994" i="3"/>
  <c r="D994" i="3" s="1"/>
  <c r="B994" i="4" s="1"/>
  <c r="B994" i="3"/>
  <c r="B993" i="3"/>
  <c r="C993" i="3" s="1"/>
  <c r="D993" i="3" s="1"/>
  <c r="B993" i="4" s="1"/>
  <c r="B992" i="3"/>
  <c r="C992" i="3" s="1"/>
  <c r="D992" i="3" s="1"/>
  <c r="B992" i="4" s="1"/>
  <c r="B991" i="3"/>
  <c r="C991" i="3" s="1"/>
  <c r="D991" i="3" s="1"/>
  <c r="B991" i="4" s="1"/>
  <c r="D990" i="3"/>
  <c r="B990" i="4" s="1"/>
  <c r="B990" i="3"/>
  <c r="C990" i="3" s="1"/>
  <c r="B989" i="3"/>
  <c r="C989" i="3" s="1"/>
  <c r="D989" i="3" s="1"/>
  <c r="B989" i="4" s="1"/>
  <c r="B988" i="3"/>
  <c r="C988" i="3" s="1"/>
  <c r="D988" i="3" s="1"/>
  <c r="B988" i="4" s="1"/>
  <c r="B987" i="3"/>
  <c r="C987" i="3" s="1"/>
  <c r="D987" i="3" s="1"/>
  <c r="B987" i="4" s="1"/>
  <c r="B986" i="3"/>
  <c r="C986" i="3" s="1"/>
  <c r="D986" i="3" s="1"/>
  <c r="B986" i="4" s="1"/>
  <c r="C985" i="3"/>
  <c r="D985" i="3" s="1"/>
  <c r="B985" i="4" s="1"/>
  <c r="B985" i="3"/>
  <c r="B984" i="3"/>
  <c r="C984" i="3" s="1"/>
  <c r="D984" i="3" s="1"/>
  <c r="B984" i="4" s="1"/>
  <c r="C46" i="5" s="1"/>
  <c r="E46" i="5" s="1"/>
  <c r="B983" i="3"/>
  <c r="C983" i="3" s="1"/>
  <c r="D983" i="3" s="1"/>
  <c r="B983" i="4" s="1"/>
  <c r="B982" i="3"/>
  <c r="C982" i="3" s="1"/>
  <c r="D982" i="3" s="1"/>
  <c r="B982" i="4" s="1"/>
  <c r="B981" i="3"/>
  <c r="C981" i="3" s="1"/>
  <c r="D981" i="3" s="1"/>
  <c r="B981" i="4" s="1"/>
  <c r="B980" i="3"/>
  <c r="C980" i="3" s="1"/>
  <c r="D980" i="3" s="1"/>
  <c r="B980" i="4" s="1"/>
  <c r="B979" i="3"/>
  <c r="C979" i="3" s="1"/>
  <c r="D979" i="3" s="1"/>
  <c r="B979" i="4" s="1"/>
  <c r="B978" i="3"/>
  <c r="C978" i="3" s="1"/>
  <c r="D978" i="3" s="1"/>
  <c r="B978" i="4" s="1"/>
  <c r="D977" i="3"/>
  <c r="B977" i="4" s="1"/>
  <c r="B977" i="3"/>
  <c r="C977" i="3" s="1"/>
  <c r="C976" i="3"/>
  <c r="D976" i="3" s="1"/>
  <c r="B976" i="4" s="1"/>
  <c r="B976" i="3"/>
  <c r="D975" i="3"/>
  <c r="B975" i="4" s="1"/>
  <c r="B975" i="3"/>
  <c r="C975" i="3" s="1"/>
  <c r="B974" i="3"/>
  <c r="C974" i="3" s="1"/>
  <c r="D974" i="3" s="1"/>
  <c r="B974" i="4" s="1"/>
  <c r="D973" i="3"/>
  <c r="B973" i="4" s="1"/>
  <c r="B973" i="3"/>
  <c r="C973" i="3" s="1"/>
  <c r="C972" i="3"/>
  <c r="D972" i="3" s="1"/>
  <c r="B972" i="4" s="1"/>
  <c r="B972" i="3"/>
  <c r="B971" i="3"/>
  <c r="C971" i="3" s="1"/>
  <c r="D971" i="3" s="1"/>
  <c r="B971" i="4" s="1"/>
  <c r="B970" i="3"/>
  <c r="C970" i="3" s="1"/>
  <c r="D970" i="3" s="1"/>
  <c r="B970" i="4" s="1"/>
  <c r="D969" i="3"/>
  <c r="B969" i="4" s="1"/>
  <c r="B969" i="3"/>
  <c r="C969" i="3" s="1"/>
  <c r="B968" i="3"/>
  <c r="C968" i="3" s="1"/>
  <c r="D968" i="3" s="1"/>
  <c r="B968" i="4" s="1"/>
  <c r="B967" i="3"/>
  <c r="C967" i="3" s="1"/>
  <c r="D967" i="3" s="1"/>
  <c r="B967" i="4" s="1"/>
  <c r="D966" i="3"/>
  <c r="B966" i="4" s="1"/>
  <c r="B966" i="3"/>
  <c r="C966" i="3" s="1"/>
  <c r="B965" i="3"/>
  <c r="C965" i="3" s="1"/>
  <c r="D965" i="3" s="1"/>
  <c r="B965" i="4" s="1"/>
  <c r="B964" i="3"/>
  <c r="C964" i="3" s="1"/>
  <c r="D964" i="3" s="1"/>
  <c r="B964" i="4" s="1"/>
  <c r="C26" i="5" s="1"/>
  <c r="E26" i="5" s="1"/>
  <c r="B963" i="3"/>
  <c r="C963" i="3" s="1"/>
  <c r="D963" i="3" s="1"/>
  <c r="B963" i="4" s="1"/>
  <c r="B962" i="3"/>
  <c r="C962" i="3" s="1"/>
  <c r="D962" i="3" s="1"/>
  <c r="B962" i="4" s="1"/>
  <c r="C961" i="3"/>
  <c r="D961" i="3" s="1"/>
  <c r="B961" i="4" s="1"/>
  <c r="B961" i="3"/>
  <c r="B960" i="3"/>
  <c r="C960" i="3" s="1"/>
  <c r="D960" i="3" s="1"/>
  <c r="B960" i="4" s="1"/>
  <c r="C959" i="3"/>
  <c r="D959" i="3" s="1"/>
  <c r="B959" i="4" s="1"/>
  <c r="B959" i="3"/>
  <c r="B958" i="3"/>
  <c r="C958" i="3" s="1"/>
  <c r="D958" i="3" s="1"/>
  <c r="B958" i="4" s="1"/>
  <c r="C957" i="3"/>
  <c r="D957" i="3" s="1"/>
  <c r="B957" i="4" s="1"/>
  <c r="B957" i="3"/>
  <c r="B956" i="3"/>
  <c r="C956" i="3" s="1"/>
  <c r="D956" i="3" s="1"/>
  <c r="D955" i="3"/>
  <c r="B955" i="4" s="1"/>
  <c r="B955" i="3"/>
  <c r="C955" i="3" s="1"/>
  <c r="C954" i="3"/>
  <c r="D954" i="3" s="1"/>
  <c r="B954" i="4" s="1"/>
  <c r="B954" i="3"/>
  <c r="B953" i="3"/>
  <c r="C953" i="3" s="1"/>
  <c r="D953" i="3" s="1"/>
  <c r="B953" i="4" s="1"/>
  <c r="C15" i="5" s="1"/>
  <c r="E15" i="5" s="1"/>
  <c r="B952" i="3"/>
  <c r="C952" i="3" s="1"/>
  <c r="D952" i="3" s="1"/>
  <c r="B952" i="4" s="1"/>
  <c r="B951" i="3"/>
  <c r="C951" i="3" s="1"/>
  <c r="D951" i="3" s="1"/>
  <c r="B951" i="4" s="1"/>
  <c r="B950" i="3"/>
  <c r="C950" i="3" s="1"/>
  <c r="D950" i="3" s="1"/>
  <c r="B950" i="4" s="1"/>
  <c r="B949" i="3"/>
  <c r="C949" i="3" s="1"/>
  <c r="D949" i="3" s="1"/>
  <c r="B949" i="4" s="1"/>
  <c r="C948" i="3"/>
  <c r="D948" i="3" s="1"/>
  <c r="B948" i="4" s="1"/>
  <c r="B948" i="3"/>
  <c r="D947" i="3"/>
  <c r="B947" i="4" s="1"/>
  <c r="B947" i="3"/>
  <c r="C947" i="3" s="1"/>
  <c r="B946" i="3"/>
  <c r="C946" i="3" s="1"/>
  <c r="D946" i="3" s="1"/>
  <c r="B946" i="4" s="1"/>
  <c r="B945" i="3"/>
  <c r="C945" i="3" s="1"/>
  <c r="D945" i="3" s="1"/>
  <c r="B945" i="4" s="1"/>
  <c r="D944" i="3"/>
  <c r="B944" i="4" s="1"/>
  <c r="C944" i="3"/>
  <c r="B944" i="3"/>
  <c r="B943" i="3"/>
  <c r="C943" i="3" s="1"/>
  <c r="D943" i="3" s="1"/>
  <c r="B943" i="4" s="1"/>
  <c r="B942" i="3"/>
  <c r="C942" i="3" s="1"/>
  <c r="D942" i="3" s="1"/>
  <c r="B942" i="4" s="1"/>
  <c r="B941" i="3"/>
  <c r="C941" i="3" s="1"/>
  <c r="D941" i="3" s="1"/>
  <c r="B941" i="4" s="1"/>
  <c r="B940" i="3"/>
  <c r="C940" i="3" s="1"/>
  <c r="D940" i="3" s="1"/>
  <c r="B940" i="4" s="1"/>
  <c r="C2" i="5" s="1"/>
  <c r="E2" i="5" s="1"/>
  <c r="C939" i="3"/>
  <c r="D939" i="3" s="1"/>
  <c r="B939" i="4" s="1"/>
  <c r="B939" i="3"/>
  <c r="D938" i="3"/>
  <c r="B938" i="4" s="1"/>
  <c r="B938" i="3"/>
  <c r="C938" i="3" s="1"/>
  <c r="B937" i="3"/>
  <c r="C937" i="3" s="1"/>
  <c r="D937" i="3" s="1"/>
  <c r="B936" i="3"/>
  <c r="C936" i="3" s="1"/>
  <c r="D936" i="3" s="1"/>
  <c r="B936" i="4" s="1"/>
  <c r="B935" i="3"/>
  <c r="C935" i="3" s="1"/>
  <c r="D935" i="3" s="1"/>
  <c r="B935" i="4" s="1"/>
  <c r="C934" i="3"/>
  <c r="D934" i="3" s="1"/>
  <c r="B934" i="3"/>
  <c r="B933" i="3"/>
  <c r="C933" i="3" s="1"/>
  <c r="D933" i="3" s="1"/>
  <c r="B933" i="4" s="1"/>
  <c r="B932" i="3"/>
  <c r="C932" i="3" s="1"/>
  <c r="D932" i="3" s="1"/>
  <c r="B932" i="4" s="1"/>
  <c r="C931" i="3"/>
  <c r="D931" i="3" s="1"/>
  <c r="B931" i="4" s="1"/>
  <c r="B931" i="3"/>
  <c r="B930" i="3"/>
  <c r="C930" i="3" s="1"/>
  <c r="D930" i="3" s="1"/>
  <c r="B930" i="4" s="1"/>
  <c r="B929" i="3"/>
  <c r="C929" i="3" s="1"/>
  <c r="D929" i="3" s="1"/>
  <c r="B929" i="4" s="1"/>
  <c r="B928" i="3"/>
  <c r="C928" i="3" s="1"/>
  <c r="D928" i="3" s="1"/>
  <c r="B928" i="4" s="1"/>
  <c r="D927" i="3"/>
  <c r="B927" i="4" s="1"/>
  <c r="B927" i="3"/>
  <c r="C927" i="3" s="1"/>
  <c r="C926" i="3"/>
  <c r="D926" i="3" s="1"/>
  <c r="B926" i="4" s="1"/>
  <c r="B926" i="3"/>
  <c r="C925" i="3"/>
  <c r="D925" i="3" s="1"/>
  <c r="B925" i="4" s="1"/>
  <c r="B925" i="3"/>
  <c r="D924" i="3"/>
  <c r="B924" i="4" s="1"/>
  <c r="B924" i="3"/>
  <c r="C924" i="3" s="1"/>
  <c r="B923" i="3"/>
  <c r="C923" i="3" s="1"/>
  <c r="D923" i="3" s="1"/>
  <c r="B923" i="4" s="1"/>
  <c r="B922" i="3"/>
  <c r="C922" i="3" s="1"/>
  <c r="D922" i="3" s="1"/>
  <c r="B922" i="4" s="1"/>
  <c r="C921" i="3"/>
  <c r="D921" i="3" s="1"/>
  <c r="B921" i="4" s="1"/>
  <c r="B921" i="3"/>
  <c r="C920" i="3"/>
  <c r="D920" i="3" s="1"/>
  <c r="B920" i="4" s="1"/>
  <c r="B920" i="3"/>
  <c r="D919" i="3"/>
  <c r="B919" i="4" s="1"/>
  <c r="B919" i="3"/>
  <c r="C919" i="3" s="1"/>
  <c r="C918" i="3"/>
  <c r="D918" i="3" s="1"/>
  <c r="B918" i="4" s="1"/>
  <c r="B918" i="3"/>
  <c r="B917" i="3"/>
  <c r="C917" i="3" s="1"/>
  <c r="D917" i="3" s="1"/>
  <c r="B917" i="4" s="1"/>
  <c r="B916" i="3"/>
  <c r="C916" i="3" s="1"/>
  <c r="D916" i="3" s="1"/>
  <c r="B916" i="4" s="1"/>
  <c r="B915" i="3"/>
  <c r="C915" i="3" s="1"/>
  <c r="D915" i="3" s="1"/>
  <c r="B915" i="4" s="1"/>
  <c r="B914" i="3"/>
  <c r="C914" i="3" s="1"/>
  <c r="D914" i="3" s="1"/>
  <c r="B914" i="4" s="1"/>
  <c r="B913" i="3"/>
  <c r="C913" i="3" s="1"/>
  <c r="D913" i="3" s="1"/>
  <c r="B913" i="4" s="1"/>
  <c r="B912" i="3"/>
  <c r="C912" i="3" s="1"/>
  <c r="D912" i="3" s="1"/>
  <c r="B912" i="4" s="1"/>
  <c r="D911" i="3"/>
  <c r="B911" i="4" s="1"/>
  <c r="B911" i="3"/>
  <c r="C911" i="3" s="1"/>
  <c r="B910" i="3"/>
  <c r="C910" i="3" s="1"/>
  <c r="D910" i="3" s="1"/>
  <c r="B910" i="4" s="1"/>
  <c r="B909" i="3"/>
  <c r="C909" i="3" s="1"/>
  <c r="D909" i="3" s="1"/>
  <c r="B909" i="4" s="1"/>
  <c r="B908" i="3"/>
  <c r="C908" i="3" s="1"/>
  <c r="D908" i="3" s="1"/>
  <c r="B908" i="4" s="1"/>
  <c r="D907" i="3"/>
  <c r="B907" i="4" s="1"/>
  <c r="B907" i="3"/>
  <c r="C907" i="3" s="1"/>
  <c r="D906" i="3"/>
  <c r="B906" i="4" s="1"/>
  <c r="B906" i="3"/>
  <c r="C906" i="3" s="1"/>
  <c r="B905" i="3"/>
  <c r="C905" i="3" s="1"/>
  <c r="D905" i="3" s="1"/>
  <c r="B905" i="4" s="1"/>
  <c r="B904" i="3"/>
  <c r="C904" i="3" s="1"/>
  <c r="D904" i="3" s="1"/>
  <c r="B904" i="4" s="1"/>
  <c r="B903" i="3"/>
  <c r="C903" i="3" s="1"/>
  <c r="D903" i="3" s="1"/>
  <c r="B903" i="4" s="1"/>
  <c r="B902" i="3"/>
  <c r="C902" i="3" s="1"/>
  <c r="D902" i="3" s="1"/>
  <c r="B902" i="4" s="1"/>
  <c r="B901" i="3"/>
  <c r="C901" i="3" s="1"/>
  <c r="D901" i="3" s="1"/>
  <c r="B901" i="4" s="1"/>
  <c r="B900" i="3"/>
  <c r="C900" i="3" s="1"/>
  <c r="D900" i="3" s="1"/>
  <c r="B900" i="4" s="1"/>
  <c r="B899" i="3"/>
  <c r="C899" i="3" s="1"/>
  <c r="D899" i="3" s="1"/>
  <c r="B899" i="4" s="1"/>
  <c r="D898" i="3"/>
  <c r="B898" i="4" s="1"/>
  <c r="B898" i="3"/>
  <c r="C898" i="3" s="1"/>
  <c r="B897" i="3"/>
  <c r="C897" i="3" s="1"/>
  <c r="D897" i="3" s="1"/>
  <c r="B897" i="4" s="1"/>
  <c r="B896" i="3"/>
  <c r="C896" i="3" s="1"/>
  <c r="D896" i="3" s="1"/>
  <c r="B896" i="4" s="1"/>
  <c r="C895" i="3"/>
  <c r="D895" i="3" s="1"/>
  <c r="B895" i="4" s="1"/>
  <c r="B895" i="3"/>
  <c r="C894" i="3"/>
  <c r="D894" i="3" s="1"/>
  <c r="B894" i="4" s="1"/>
  <c r="B894" i="3"/>
  <c r="D893" i="3"/>
  <c r="B893" i="4" s="1"/>
  <c r="B893" i="3"/>
  <c r="C893" i="3" s="1"/>
  <c r="B892" i="3"/>
  <c r="C892" i="3" s="1"/>
  <c r="D892" i="3" s="1"/>
  <c r="B892" i="4" s="1"/>
  <c r="B891" i="3"/>
  <c r="C891" i="3" s="1"/>
  <c r="D891" i="3" s="1"/>
  <c r="B891" i="4" s="1"/>
  <c r="B890" i="3"/>
  <c r="C890" i="3" s="1"/>
  <c r="D890" i="3" s="1"/>
  <c r="B889" i="3"/>
  <c r="C889" i="3" s="1"/>
  <c r="D889" i="3" s="1"/>
  <c r="B889" i="4" s="1"/>
  <c r="C888" i="3"/>
  <c r="D888" i="3" s="1"/>
  <c r="B888" i="4" s="1"/>
  <c r="B888" i="3"/>
  <c r="D887" i="3"/>
  <c r="B887" i="4" s="1"/>
  <c r="B887" i="3"/>
  <c r="C887" i="3" s="1"/>
  <c r="B886" i="3"/>
  <c r="C886" i="3" s="1"/>
  <c r="D886" i="3" s="1"/>
  <c r="B886" i="4" s="1"/>
  <c r="C885" i="3"/>
  <c r="D885" i="3" s="1"/>
  <c r="B885" i="4" s="1"/>
  <c r="B885" i="3"/>
  <c r="B884" i="3"/>
  <c r="C884" i="3" s="1"/>
  <c r="D884" i="3" s="1"/>
  <c r="B884" i="4" s="1"/>
  <c r="B883" i="3"/>
  <c r="C883" i="3" s="1"/>
  <c r="D883" i="3" s="1"/>
  <c r="B883" i="4" s="1"/>
  <c r="B882" i="3"/>
  <c r="C882" i="3" s="1"/>
  <c r="D882" i="3" s="1"/>
  <c r="B882" i="4" s="1"/>
  <c r="B881" i="3"/>
  <c r="C881" i="3" s="1"/>
  <c r="D881" i="3" s="1"/>
  <c r="B881" i="4" s="1"/>
  <c r="B880" i="3"/>
  <c r="C880" i="3" s="1"/>
  <c r="D880" i="3" s="1"/>
  <c r="B880" i="4" s="1"/>
  <c r="B879" i="3"/>
  <c r="C879" i="3" s="1"/>
  <c r="D879" i="3" s="1"/>
  <c r="B879" i="4" s="1"/>
  <c r="B878" i="3"/>
  <c r="C878" i="3" s="1"/>
  <c r="D878" i="3" s="1"/>
  <c r="B878" i="4" s="1"/>
  <c r="B877" i="3"/>
  <c r="C877" i="3" s="1"/>
  <c r="D877" i="3" s="1"/>
  <c r="B877" i="4" s="1"/>
  <c r="B876" i="3"/>
  <c r="C876" i="3" s="1"/>
  <c r="D876" i="3" s="1"/>
  <c r="B876" i="4" s="1"/>
  <c r="B875" i="3"/>
  <c r="C875" i="3" s="1"/>
  <c r="D875" i="3" s="1"/>
  <c r="B875" i="4" s="1"/>
  <c r="C874" i="3"/>
  <c r="D874" i="3" s="1"/>
  <c r="B874" i="4" s="1"/>
  <c r="B874" i="3"/>
  <c r="B873" i="3"/>
  <c r="C873" i="3" s="1"/>
  <c r="D873" i="3" s="1"/>
  <c r="B873" i="4" s="1"/>
  <c r="B872" i="3"/>
  <c r="C872" i="3" s="1"/>
  <c r="D872" i="3" s="1"/>
  <c r="B872" i="4" s="1"/>
  <c r="B871" i="3"/>
  <c r="C871" i="3" s="1"/>
  <c r="D871" i="3" s="1"/>
  <c r="B871" i="4" s="1"/>
  <c r="B870" i="3"/>
  <c r="C870" i="3" s="1"/>
  <c r="D870" i="3" s="1"/>
  <c r="B870" i="4" s="1"/>
  <c r="B869" i="3"/>
  <c r="C869" i="3" s="1"/>
  <c r="D869" i="3" s="1"/>
  <c r="B869" i="4" s="1"/>
  <c r="B868" i="3"/>
  <c r="C868" i="3" s="1"/>
  <c r="D868" i="3" s="1"/>
  <c r="B868" i="4" s="1"/>
  <c r="B867" i="3"/>
  <c r="C867" i="3" s="1"/>
  <c r="D867" i="3" s="1"/>
  <c r="B867" i="4" s="1"/>
  <c r="B866" i="3"/>
  <c r="C866" i="3" s="1"/>
  <c r="D866" i="3" s="1"/>
  <c r="B866" i="4" s="1"/>
  <c r="B865" i="3"/>
  <c r="C865" i="3" s="1"/>
  <c r="D865" i="3" s="1"/>
  <c r="B865" i="4" s="1"/>
  <c r="C864" i="3"/>
  <c r="D864" i="3" s="1"/>
  <c r="B864" i="4" s="1"/>
  <c r="B864" i="3"/>
  <c r="D863" i="3"/>
  <c r="B863" i="4" s="1"/>
  <c r="B863" i="3"/>
  <c r="C863" i="3" s="1"/>
  <c r="B862" i="3"/>
  <c r="C862" i="3" s="1"/>
  <c r="D862" i="3" s="1"/>
  <c r="B862" i="4" s="1"/>
  <c r="D861" i="3"/>
  <c r="B861" i="4" s="1"/>
  <c r="B861" i="3"/>
  <c r="C861" i="3" s="1"/>
  <c r="C860" i="3"/>
  <c r="D860" i="3" s="1"/>
  <c r="B860" i="4" s="1"/>
  <c r="B860" i="3"/>
  <c r="B859" i="3"/>
  <c r="C859" i="3" s="1"/>
  <c r="D859" i="3" s="1"/>
  <c r="B859" i="4" s="1"/>
  <c r="B858" i="3"/>
  <c r="C858" i="3" s="1"/>
  <c r="D858" i="3" s="1"/>
  <c r="B858" i="4" s="1"/>
  <c r="C857" i="3"/>
  <c r="D857" i="3" s="1"/>
  <c r="B857" i="4" s="1"/>
  <c r="B857" i="3"/>
  <c r="B856" i="3"/>
  <c r="C856" i="3" s="1"/>
  <c r="D856" i="3" s="1"/>
  <c r="B856" i="4" s="1"/>
  <c r="B855" i="3"/>
  <c r="C855" i="3" s="1"/>
  <c r="D855" i="3" s="1"/>
  <c r="B855" i="4" s="1"/>
  <c r="B854" i="3"/>
  <c r="C854" i="3" s="1"/>
  <c r="D854" i="3" s="1"/>
  <c r="B854" i="4" s="1"/>
  <c r="B853" i="3"/>
  <c r="C853" i="3" s="1"/>
  <c r="D853" i="3" s="1"/>
  <c r="B853" i="4" s="1"/>
  <c r="C852" i="3"/>
  <c r="D852" i="3" s="1"/>
  <c r="B852" i="4" s="1"/>
  <c r="B852" i="3"/>
  <c r="B851" i="3"/>
  <c r="C851" i="3" s="1"/>
  <c r="D851" i="3" s="1"/>
  <c r="B851" i="4" s="1"/>
  <c r="C850" i="3"/>
  <c r="D850" i="3" s="1"/>
  <c r="B850" i="4" s="1"/>
  <c r="B850" i="3"/>
  <c r="B849" i="3"/>
  <c r="C849" i="3" s="1"/>
  <c r="D849" i="3" s="1"/>
  <c r="B849" i="4" s="1"/>
  <c r="C848" i="3"/>
  <c r="D848" i="3" s="1"/>
  <c r="B848" i="4" s="1"/>
  <c r="B848" i="3"/>
  <c r="B847" i="3"/>
  <c r="C847" i="3" s="1"/>
  <c r="D847" i="3" s="1"/>
  <c r="B847" i="4" s="1"/>
  <c r="B846" i="3"/>
  <c r="C846" i="3" s="1"/>
  <c r="D846" i="3" s="1"/>
  <c r="B846" i="4" s="1"/>
  <c r="D845" i="3"/>
  <c r="B845" i="4" s="1"/>
  <c r="B845" i="3"/>
  <c r="C845" i="3" s="1"/>
  <c r="B844" i="3"/>
  <c r="C844" i="3" s="1"/>
  <c r="D844" i="3" s="1"/>
  <c r="B844" i="4" s="1"/>
  <c r="C843" i="3"/>
  <c r="D843" i="3" s="1"/>
  <c r="B843" i="4" s="1"/>
  <c r="B843" i="3"/>
  <c r="B842" i="3"/>
  <c r="C842" i="3" s="1"/>
  <c r="D842" i="3" s="1"/>
  <c r="B842" i="4" s="1"/>
  <c r="B841" i="3"/>
  <c r="C841" i="3" s="1"/>
  <c r="D841" i="3" s="1"/>
  <c r="B841" i="4" s="1"/>
  <c r="B840" i="3"/>
  <c r="C840" i="3" s="1"/>
  <c r="D840" i="3" s="1"/>
  <c r="B840" i="4" s="1"/>
  <c r="B839" i="3"/>
  <c r="C839" i="3" s="1"/>
  <c r="D839" i="3" s="1"/>
  <c r="B839" i="4" s="1"/>
  <c r="B838" i="3"/>
  <c r="C838" i="3" s="1"/>
  <c r="D838" i="3" s="1"/>
  <c r="B838" i="4" s="1"/>
  <c r="C837" i="3"/>
  <c r="D837" i="3" s="1"/>
  <c r="B837" i="4" s="1"/>
  <c r="B837" i="3"/>
  <c r="C836" i="3"/>
  <c r="D836" i="3" s="1"/>
  <c r="B836" i="4" s="1"/>
  <c r="B836" i="3"/>
  <c r="D835" i="3"/>
  <c r="B835" i="4" s="1"/>
  <c r="B835" i="3"/>
  <c r="C835" i="3" s="1"/>
  <c r="B834" i="3"/>
  <c r="C834" i="3" s="1"/>
  <c r="D834" i="3" s="1"/>
  <c r="B834" i="4" s="1"/>
  <c r="B833" i="3"/>
  <c r="C833" i="3" s="1"/>
  <c r="D833" i="3" s="1"/>
  <c r="B833" i="4" s="1"/>
  <c r="B832" i="3"/>
  <c r="C832" i="3" s="1"/>
  <c r="D832" i="3" s="1"/>
  <c r="B832" i="4" s="1"/>
  <c r="B831" i="3"/>
  <c r="C831" i="3" s="1"/>
  <c r="D831" i="3" s="1"/>
  <c r="B831" i="4" s="1"/>
  <c r="B830" i="3"/>
  <c r="C830" i="3" s="1"/>
  <c r="D830" i="3" s="1"/>
  <c r="B830" i="4" s="1"/>
  <c r="D829" i="3"/>
  <c r="B829" i="4" s="1"/>
  <c r="B829" i="3"/>
  <c r="C829" i="3" s="1"/>
  <c r="B828" i="3"/>
  <c r="C828" i="3" s="1"/>
  <c r="D828" i="3" s="1"/>
  <c r="B828" i="4" s="1"/>
  <c r="B827" i="3"/>
  <c r="C827" i="3" s="1"/>
  <c r="D827" i="3" s="1"/>
  <c r="B827" i="4" s="1"/>
  <c r="B826" i="3"/>
  <c r="C826" i="3" s="1"/>
  <c r="D826" i="3" s="1"/>
  <c r="B826" i="4" s="1"/>
  <c r="B825" i="3"/>
  <c r="C825" i="3" s="1"/>
  <c r="D825" i="3" s="1"/>
  <c r="B825" i="4" s="1"/>
  <c r="D824" i="3"/>
  <c r="B824" i="4" s="1"/>
  <c r="B824" i="3"/>
  <c r="C824" i="3" s="1"/>
  <c r="B823" i="3"/>
  <c r="C823" i="3" s="1"/>
  <c r="D823" i="3" s="1"/>
  <c r="B823" i="4" s="1"/>
  <c r="D822" i="3"/>
  <c r="B822" i="4" s="1"/>
  <c r="C822" i="3"/>
  <c r="B822" i="3"/>
  <c r="B821" i="3"/>
  <c r="C821" i="3" s="1"/>
  <c r="D821" i="3" s="1"/>
  <c r="B821" i="4" s="1"/>
  <c r="C820" i="3"/>
  <c r="D820" i="3" s="1"/>
  <c r="B820" i="4" s="1"/>
  <c r="B820" i="3"/>
  <c r="B819" i="3"/>
  <c r="C819" i="3" s="1"/>
  <c r="D819" i="3" s="1"/>
  <c r="B819" i="4" s="1"/>
  <c r="B818" i="3"/>
  <c r="C818" i="3" s="1"/>
  <c r="D818" i="3" s="1"/>
  <c r="B818" i="4" s="1"/>
  <c r="B817" i="3"/>
  <c r="C817" i="3" s="1"/>
  <c r="D817" i="3" s="1"/>
  <c r="B817" i="4" s="1"/>
  <c r="B816" i="3"/>
  <c r="C816" i="3" s="1"/>
  <c r="D816" i="3" s="1"/>
  <c r="B816" i="4" s="1"/>
  <c r="B815" i="3"/>
  <c r="C815" i="3" s="1"/>
  <c r="D815" i="3" s="1"/>
  <c r="B815" i="4" s="1"/>
  <c r="B814" i="3"/>
  <c r="C814" i="3" s="1"/>
  <c r="D814" i="3" s="1"/>
  <c r="B814" i="4" s="1"/>
  <c r="B813" i="3"/>
  <c r="C813" i="3" s="1"/>
  <c r="D813" i="3" s="1"/>
  <c r="B813" i="4" s="1"/>
  <c r="B812" i="3"/>
  <c r="C812" i="3" s="1"/>
  <c r="D812" i="3" s="1"/>
  <c r="C811" i="3"/>
  <c r="D811" i="3" s="1"/>
  <c r="B811" i="4" s="1"/>
  <c r="B811" i="3"/>
  <c r="B810" i="3"/>
  <c r="C810" i="3" s="1"/>
  <c r="D810" i="3" s="1"/>
  <c r="B810" i="4" s="1"/>
  <c r="C809" i="3"/>
  <c r="D809" i="3" s="1"/>
  <c r="B809" i="4" s="1"/>
  <c r="B809" i="3"/>
  <c r="B808" i="3"/>
  <c r="C808" i="3" s="1"/>
  <c r="D808" i="3" s="1"/>
  <c r="B808" i="4" s="1"/>
  <c r="B807" i="3"/>
  <c r="C807" i="3" s="1"/>
  <c r="D807" i="3" s="1"/>
  <c r="B807" i="4" s="1"/>
  <c r="B806" i="3"/>
  <c r="C806" i="3" s="1"/>
  <c r="D806" i="3" s="1"/>
  <c r="B806" i="4" s="1"/>
  <c r="B805" i="3"/>
  <c r="C805" i="3" s="1"/>
  <c r="D805" i="3" s="1"/>
  <c r="B805" i="4" s="1"/>
  <c r="B804" i="3"/>
  <c r="C804" i="3" s="1"/>
  <c r="D804" i="3" s="1"/>
  <c r="B804" i="4" s="1"/>
  <c r="B803" i="3"/>
  <c r="C803" i="3" s="1"/>
  <c r="D803" i="3" s="1"/>
  <c r="B803" i="4" s="1"/>
  <c r="B802" i="3"/>
  <c r="C802" i="3" s="1"/>
  <c r="D802" i="3" s="1"/>
  <c r="B802" i="4" s="1"/>
  <c r="B801" i="3"/>
  <c r="C801" i="3" s="1"/>
  <c r="D801" i="3" s="1"/>
  <c r="B801" i="4" s="1"/>
  <c r="B800" i="3"/>
  <c r="C800" i="3" s="1"/>
  <c r="D800" i="3" s="1"/>
  <c r="B800" i="4" s="1"/>
  <c r="B799" i="3"/>
  <c r="C799" i="3" s="1"/>
  <c r="D799" i="3" s="1"/>
  <c r="B799" i="4" s="1"/>
  <c r="B798" i="3"/>
  <c r="C798" i="3" s="1"/>
  <c r="D798" i="3" s="1"/>
  <c r="B798" i="4" s="1"/>
  <c r="C797" i="3"/>
  <c r="D797" i="3" s="1"/>
  <c r="B797" i="4" s="1"/>
  <c r="B797" i="3"/>
  <c r="B796" i="3"/>
  <c r="C796" i="3" s="1"/>
  <c r="D796" i="3" s="1"/>
  <c r="B796" i="4" s="1"/>
  <c r="B795" i="3"/>
  <c r="C795" i="3" s="1"/>
  <c r="D795" i="3" s="1"/>
  <c r="B795" i="4" s="1"/>
  <c r="B794" i="3"/>
  <c r="C794" i="3" s="1"/>
  <c r="D794" i="3" s="1"/>
  <c r="B794" i="4" s="1"/>
  <c r="B793" i="3"/>
  <c r="C793" i="3" s="1"/>
  <c r="D793" i="3" s="1"/>
  <c r="B793" i="4" s="1"/>
  <c r="D792" i="3"/>
  <c r="B792" i="4" s="1"/>
  <c r="B792" i="3"/>
  <c r="C792" i="3" s="1"/>
  <c r="B791" i="3"/>
  <c r="C791" i="3" s="1"/>
  <c r="D791" i="3" s="1"/>
  <c r="B791" i="4" s="1"/>
  <c r="B790" i="3"/>
  <c r="C790" i="3" s="1"/>
  <c r="D790" i="3" s="1"/>
  <c r="B790" i="4" s="1"/>
  <c r="B789" i="3"/>
  <c r="C789" i="3" s="1"/>
  <c r="D789" i="3" s="1"/>
  <c r="B789" i="4" s="1"/>
  <c r="B788" i="3"/>
  <c r="C788" i="3" s="1"/>
  <c r="D788" i="3" s="1"/>
  <c r="B788" i="4" s="1"/>
  <c r="B787" i="3"/>
  <c r="C787" i="3" s="1"/>
  <c r="D787" i="3" s="1"/>
  <c r="B787" i="4" s="1"/>
  <c r="C786" i="3"/>
  <c r="D786" i="3" s="1"/>
  <c r="B786" i="4" s="1"/>
  <c r="B786" i="3"/>
  <c r="D785" i="3"/>
  <c r="B785" i="4" s="1"/>
  <c r="C785" i="3"/>
  <c r="B785" i="3"/>
  <c r="B784" i="3"/>
  <c r="C784" i="3" s="1"/>
  <c r="D784" i="3" s="1"/>
  <c r="B784" i="4" s="1"/>
  <c r="B783" i="3"/>
  <c r="C783" i="3" s="1"/>
  <c r="D783" i="3" s="1"/>
  <c r="B783" i="4" s="1"/>
  <c r="B782" i="3"/>
  <c r="C782" i="3" s="1"/>
  <c r="D782" i="3" s="1"/>
  <c r="B782" i="4" s="1"/>
  <c r="B781" i="3"/>
  <c r="C781" i="3" s="1"/>
  <c r="D781" i="3" s="1"/>
  <c r="B781" i="4" s="1"/>
  <c r="B780" i="3"/>
  <c r="C780" i="3" s="1"/>
  <c r="D780" i="3" s="1"/>
  <c r="B780" i="4" s="1"/>
  <c r="B779" i="3"/>
  <c r="C779" i="3" s="1"/>
  <c r="D779" i="3" s="1"/>
  <c r="B779" i="4" s="1"/>
  <c r="B778" i="3"/>
  <c r="C778" i="3" s="1"/>
  <c r="D778" i="3" s="1"/>
  <c r="B778" i="4" s="1"/>
  <c r="B777" i="3"/>
  <c r="C777" i="3" s="1"/>
  <c r="D777" i="3" s="1"/>
  <c r="B777" i="4" s="1"/>
  <c r="C776" i="3"/>
  <c r="D776" i="3" s="1"/>
  <c r="B776" i="4" s="1"/>
  <c r="B776" i="3"/>
  <c r="D775" i="3"/>
  <c r="B775" i="4" s="1"/>
  <c r="B775" i="3"/>
  <c r="C775" i="3" s="1"/>
  <c r="B774" i="3"/>
  <c r="C774" i="3" s="1"/>
  <c r="D774" i="3" s="1"/>
  <c r="B774" i="4" s="1"/>
  <c r="B773" i="3"/>
  <c r="C773" i="3" s="1"/>
  <c r="D773" i="3" s="1"/>
  <c r="B773" i="4" s="1"/>
  <c r="B772" i="3"/>
  <c r="C772" i="3" s="1"/>
  <c r="D772" i="3" s="1"/>
  <c r="B772" i="4" s="1"/>
  <c r="D771" i="3"/>
  <c r="B771" i="4" s="1"/>
  <c r="B771" i="3"/>
  <c r="C771" i="3" s="1"/>
  <c r="D770" i="3"/>
  <c r="B770" i="4" s="1"/>
  <c r="B770" i="3"/>
  <c r="C770" i="3" s="1"/>
  <c r="B769" i="3"/>
  <c r="C769" i="3" s="1"/>
  <c r="D769" i="3" s="1"/>
  <c r="B769" i="4" s="1"/>
  <c r="B768" i="3"/>
  <c r="C768" i="3" s="1"/>
  <c r="D768" i="3" s="1"/>
  <c r="B768" i="4" s="1"/>
  <c r="B767" i="3"/>
  <c r="C767" i="3" s="1"/>
  <c r="D767" i="3" s="1"/>
  <c r="B767" i="4" s="1"/>
  <c r="B766" i="3"/>
  <c r="C766" i="3" s="1"/>
  <c r="D766" i="3" s="1"/>
  <c r="B766" i="4" s="1"/>
  <c r="D765" i="3"/>
  <c r="B765" i="4" s="1"/>
  <c r="B765" i="3"/>
  <c r="C765" i="3" s="1"/>
  <c r="C764" i="3"/>
  <c r="D764" i="3" s="1"/>
  <c r="B764" i="4" s="1"/>
  <c r="B764" i="3"/>
  <c r="C763" i="3"/>
  <c r="D763" i="3" s="1"/>
  <c r="B763" i="4" s="1"/>
  <c r="B763" i="3"/>
  <c r="B762" i="3"/>
  <c r="C762" i="3" s="1"/>
  <c r="D762" i="3" s="1"/>
  <c r="B762" i="4" s="1"/>
  <c r="B761" i="3"/>
  <c r="C761" i="3" s="1"/>
  <c r="D761" i="3" s="1"/>
  <c r="B761" i="4" s="1"/>
  <c r="B760" i="3"/>
  <c r="C760" i="3" s="1"/>
  <c r="D760" i="3" s="1"/>
  <c r="B760" i="4" s="1"/>
  <c r="C759" i="3"/>
  <c r="D759" i="3" s="1"/>
  <c r="B759" i="4" s="1"/>
  <c r="B759" i="3"/>
  <c r="B758" i="3"/>
  <c r="C758" i="3" s="1"/>
  <c r="D758" i="3" s="1"/>
  <c r="B758" i="4" s="1"/>
  <c r="B757" i="3"/>
  <c r="C757" i="3" s="1"/>
  <c r="D757" i="3" s="1"/>
  <c r="B757" i="4" s="1"/>
  <c r="B756" i="3"/>
  <c r="C756" i="3" s="1"/>
  <c r="D756" i="3" s="1"/>
  <c r="B756" i="4" s="1"/>
  <c r="D755" i="3"/>
  <c r="B755" i="4" s="1"/>
  <c r="B755" i="3"/>
  <c r="C755" i="3" s="1"/>
  <c r="B754" i="3"/>
  <c r="C754" i="3" s="1"/>
  <c r="D754" i="3" s="1"/>
  <c r="B754" i="4" s="1"/>
  <c r="B753" i="3"/>
  <c r="C753" i="3" s="1"/>
  <c r="D753" i="3" s="1"/>
  <c r="B753" i="4" s="1"/>
  <c r="B752" i="3"/>
  <c r="C752" i="3" s="1"/>
  <c r="D752" i="3" s="1"/>
  <c r="B752" i="4" s="1"/>
  <c r="B751" i="3"/>
  <c r="C751" i="3" s="1"/>
  <c r="D751" i="3" s="1"/>
  <c r="B751" i="4" s="1"/>
  <c r="B750" i="3"/>
  <c r="C750" i="3" s="1"/>
  <c r="D750" i="3" s="1"/>
  <c r="B750" i="4" s="1"/>
  <c r="B749" i="3"/>
  <c r="C749" i="3" s="1"/>
  <c r="D749" i="3" s="1"/>
  <c r="B749" i="4" s="1"/>
  <c r="C748" i="3"/>
  <c r="D748" i="3" s="1"/>
  <c r="B748" i="4" s="1"/>
  <c r="B748" i="3"/>
  <c r="B747" i="3"/>
  <c r="C747" i="3" s="1"/>
  <c r="D747" i="3" s="1"/>
  <c r="B747" i="4" s="1"/>
  <c r="B746" i="3"/>
  <c r="C746" i="3" s="1"/>
  <c r="D746" i="3" s="1"/>
  <c r="B746" i="4" s="1"/>
  <c r="B745" i="3"/>
  <c r="C745" i="3" s="1"/>
  <c r="D745" i="3" s="1"/>
  <c r="B745" i="4" s="1"/>
  <c r="B744" i="3"/>
  <c r="C744" i="3" s="1"/>
  <c r="D744" i="3" s="1"/>
  <c r="B744" i="4" s="1"/>
  <c r="C743" i="3"/>
  <c r="D743" i="3" s="1"/>
  <c r="B743" i="4" s="1"/>
  <c r="B743" i="3"/>
  <c r="B742" i="3"/>
  <c r="C742" i="3" s="1"/>
  <c r="D742" i="3" s="1"/>
  <c r="B742" i="4" s="1"/>
  <c r="C741" i="3"/>
  <c r="D741" i="3" s="1"/>
  <c r="B741" i="4" s="1"/>
  <c r="B741" i="3"/>
  <c r="B740" i="3"/>
  <c r="C740" i="3" s="1"/>
  <c r="D740" i="3" s="1"/>
  <c r="B740" i="4" s="1"/>
  <c r="B739" i="3"/>
  <c r="C739" i="3" s="1"/>
  <c r="D739" i="3" s="1"/>
  <c r="B739" i="4" s="1"/>
  <c r="B738" i="3"/>
  <c r="C738" i="3" s="1"/>
  <c r="D738" i="3" s="1"/>
  <c r="B738" i="4" s="1"/>
  <c r="B737" i="3"/>
  <c r="C737" i="3" s="1"/>
  <c r="D737" i="3" s="1"/>
  <c r="B737" i="4" s="1"/>
  <c r="B736" i="3"/>
  <c r="C736" i="3" s="1"/>
  <c r="D736" i="3" s="1"/>
  <c r="B736" i="4" s="1"/>
  <c r="B735" i="3"/>
  <c r="C735" i="3" s="1"/>
  <c r="D735" i="3" s="1"/>
  <c r="B735" i="4" s="1"/>
  <c r="B734" i="3"/>
  <c r="C734" i="3" s="1"/>
  <c r="D734" i="3" s="1"/>
  <c r="B734" i="4" s="1"/>
  <c r="B733" i="3"/>
  <c r="C733" i="3" s="1"/>
  <c r="D733" i="3" s="1"/>
  <c r="B733" i="4" s="1"/>
  <c r="B732" i="3"/>
  <c r="C732" i="3" s="1"/>
  <c r="D732" i="3" s="1"/>
  <c r="B732" i="4" s="1"/>
  <c r="B731" i="3"/>
  <c r="C731" i="3" s="1"/>
  <c r="D731" i="3" s="1"/>
  <c r="B731" i="4" s="1"/>
  <c r="C730" i="3"/>
  <c r="D730" i="3" s="1"/>
  <c r="B730" i="4" s="1"/>
  <c r="B730" i="3"/>
  <c r="B729" i="3"/>
  <c r="C729" i="3" s="1"/>
  <c r="D729" i="3" s="1"/>
  <c r="B729" i="4" s="1"/>
  <c r="B728" i="3"/>
  <c r="C728" i="3" s="1"/>
  <c r="D728" i="3" s="1"/>
  <c r="B728" i="4" s="1"/>
  <c r="B727" i="3"/>
  <c r="C727" i="3" s="1"/>
  <c r="D727" i="3" s="1"/>
  <c r="B727" i="4" s="1"/>
  <c r="D726" i="3"/>
  <c r="B726" i="4" s="1"/>
  <c r="B726" i="3"/>
  <c r="C726" i="3" s="1"/>
  <c r="B725" i="3"/>
  <c r="C725" i="3" s="1"/>
  <c r="D725" i="3" s="1"/>
  <c r="B725" i="4" s="1"/>
  <c r="C724" i="3"/>
  <c r="D724" i="3" s="1"/>
  <c r="B724" i="4" s="1"/>
  <c r="B724" i="3"/>
  <c r="C723" i="3"/>
  <c r="D723" i="3" s="1"/>
  <c r="B723" i="4" s="1"/>
  <c r="B723" i="3"/>
  <c r="B722" i="3"/>
  <c r="C722" i="3" s="1"/>
  <c r="D722" i="3" s="1"/>
  <c r="B722" i="4" s="1"/>
  <c r="C721" i="3"/>
  <c r="D721" i="3" s="1"/>
  <c r="B721" i="4" s="1"/>
  <c r="B721" i="3"/>
  <c r="B720" i="3"/>
  <c r="C720" i="3" s="1"/>
  <c r="D720" i="3" s="1"/>
  <c r="B720" i="4" s="1"/>
  <c r="B719" i="3"/>
  <c r="C719" i="3" s="1"/>
  <c r="D719" i="3" s="1"/>
  <c r="B719" i="4" s="1"/>
  <c r="B718" i="3"/>
  <c r="C718" i="3" s="1"/>
  <c r="D718" i="3" s="1"/>
  <c r="B718" i="4" s="1"/>
  <c r="C717" i="3"/>
  <c r="D717" i="3" s="1"/>
  <c r="B717" i="4" s="1"/>
  <c r="B717" i="3"/>
  <c r="B716" i="3"/>
  <c r="C716" i="3" s="1"/>
  <c r="D716" i="3" s="1"/>
  <c r="B716" i="4" s="1"/>
  <c r="B715" i="3"/>
  <c r="C715" i="3" s="1"/>
  <c r="D715" i="3" s="1"/>
  <c r="B715" i="4" s="1"/>
  <c r="B714" i="3"/>
  <c r="C714" i="3" s="1"/>
  <c r="D714" i="3" s="1"/>
  <c r="B714" i="4" s="1"/>
  <c r="B713" i="3"/>
  <c r="C713" i="3" s="1"/>
  <c r="D713" i="3" s="1"/>
  <c r="B713" i="4" s="1"/>
  <c r="C712" i="3"/>
  <c r="D712" i="3" s="1"/>
  <c r="B712" i="4" s="1"/>
  <c r="B712" i="3"/>
  <c r="B711" i="3"/>
  <c r="C711" i="3" s="1"/>
  <c r="D711" i="3" s="1"/>
  <c r="B710" i="3"/>
  <c r="C710" i="3" s="1"/>
  <c r="D710" i="3" s="1"/>
  <c r="B710" i="4" s="1"/>
  <c r="B709" i="3"/>
  <c r="C709" i="3" s="1"/>
  <c r="D709" i="3" s="1"/>
  <c r="B709" i="4" s="1"/>
  <c r="B708" i="3"/>
  <c r="C708" i="3" s="1"/>
  <c r="D708" i="3" s="1"/>
  <c r="B708" i="4" s="1"/>
  <c r="D707" i="3"/>
  <c r="B707" i="4" s="1"/>
  <c r="B707" i="3"/>
  <c r="C707" i="3" s="1"/>
  <c r="D706" i="3"/>
  <c r="B706" i="4" s="1"/>
  <c r="B706" i="3"/>
  <c r="C706" i="3" s="1"/>
  <c r="B705" i="3"/>
  <c r="C705" i="3" s="1"/>
  <c r="D705" i="3" s="1"/>
  <c r="B705" i="4" s="1"/>
  <c r="B704" i="3"/>
  <c r="C704" i="3" s="1"/>
  <c r="D704" i="3" s="1"/>
  <c r="B704" i="4" s="1"/>
  <c r="B703" i="3"/>
  <c r="C703" i="3" s="1"/>
  <c r="D703" i="3" s="1"/>
  <c r="B703" i="4" s="1"/>
  <c r="B702" i="3"/>
  <c r="C702" i="3" s="1"/>
  <c r="D702" i="3" s="1"/>
  <c r="B702" i="4" s="1"/>
  <c r="D701" i="3"/>
  <c r="B701" i="4" s="1"/>
  <c r="C701" i="3"/>
  <c r="B701" i="3"/>
  <c r="C700" i="3"/>
  <c r="D700" i="3" s="1"/>
  <c r="B700" i="4" s="1"/>
  <c r="B700" i="3"/>
  <c r="C699" i="3"/>
  <c r="D699" i="3" s="1"/>
  <c r="B699" i="4" s="1"/>
  <c r="B699" i="3"/>
  <c r="C698" i="3"/>
  <c r="D698" i="3" s="1"/>
  <c r="B698" i="4" s="1"/>
  <c r="B698" i="3"/>
  <c r="B697" i="3"/>
  <c r="C697" i="3" s="1"/>
  <c r="D697" i="3" s="1"/>
  <c r="B697" i="4" s="1"/>
  <c r="B696" i="3"/>
  <c r="C696" i="3" s="1"/>
  <c r="D696" i="3" s="1"/>
  <c r="B696" i="4" s="1"/>
  <c r="B695" i="3"/>
  <c r="C695" i="3" s="1"/>
  <c r="D695" i="3" s="1"/>
  <c r="B695" i="4" s="1"/>
  <c r="B694" i="3"/>
  <c r="C694" i="3" s="1"/>
  <c r="D694" i="3" s="1"/>
  <c r="B694" i="4" s="1"/>
  <c r="D693" i="3"/>
  <c r="B693" i="4" s="1"/>
  <c r="B693" i="3"/>
  <c r="C693" i="3" s="1"/>
  <c r="B692" i="3"/>
  <c r="C692" i="3" s="1"/>
  <c r="D692" i="3" s="1"/>
  <c r="B692" i="4" s="1"/>
  <c r="B691" i="3"/>
  <c r="C691" i="3" s="1"/>
  <c r="D691" i="3" s="1"/>
  <c r="B691" i="4" s="1"/>
  <c r="B690" i="3"/>
  <c r="C690" i="3" s="1"/>
  <c r="D690" i="3" s="1"/>
  <c r="B690" i="4" s="1"/>
  <c r="D689" i="3"/>
  <c r="B689" i="4" s="1"/>
  <c r="B689" i="3"/>
  <c r="C689" i="3" s="1"/>
  <c r="B688" i="3"/>
  <c r="C688" i="3" s="1"/>
  <c r="D688" i="3" s="1"/>
  <c r="B688" i="4" s="1"/>
  <c r="B687" i="3"/>
  <c r="C687" i="3" s="1"/>
  <c r="D687" i="3" s="1"/>
  <c r="B687" i="4" s="1"/>
  <c r="D686" i="3"/>
  <c r="B686" i="4" s="1"/>
  <c r="B686" i="3"/>
  <c r="C686" i="3" s="1"/>
  <c r="B685" i="3"/>
  <c r="C685" i="3" s="1"/>
  <c r="D685" i="3" s="1"/>
  <c r="B685" i="4" s="1"/>
  <c r="B684" i="3"/>
  <c r="C684" i="3" s="1"/>
  <c r="D684" i="3" s="1"/>
  <c r="B684" i="4" s="1"/>
  <c r="C683" i="3"/>
  <c r="D683" i="3" s="1"/>
  <c r="B683" i="4" s="1"/>
  <c r="B683" i="3"/>
  <c r="B682" i="3"/>
  <c r="C682" i="3" s="1"/>
  <c r="D682" i="3" s="1"/>
  <c r="B682" i="4" s="1"/>
  <c r="C681" i="3"/>
  <c r="D681" i="3" s="1"/>
  <c r="B681" i="4" s="1"/>
  <c r="B681" i="3"/>
  <c r="B680" i="3"/>
  <c r="C680" i="3" s="1"/>
  <c r="D680" i="3" s="1"/>
  <c r="B680" i="4" s="1"/>
  <c r="B679" i="3"/>
  <c r="C679" i="3" s="1"/>
  <c r="D679" i="3" s="1"/>
  <c r="B679" i="4" s="1"/>
  <c r="B678" i="3"/>
  <c r="C678" i="3" s="1"/>
  <c r="D678" i="3" s="1"/>
  <c r="B678" i="4" s="1"/>
  <c r="B677" i="3"/>
  <c r="C677" i="3" s="1"/>
  <c r="D677" i="3" s="1"/>
  <c r="B677" i="4" s="1"/>
  <c r="B676" i="3"/>
  <c r="C676" i="3" s="1"/>
  <c r="D676" i="3" s="1"/>
  <c r="B676" i="4" s="1"/>
  <c r="C675" i="3"/>
  <c r="D675" i="3" s="1"/>
  <c r="B675" i="4" s="1"/>
  <c r="B675" i="3"/>
  <c r="B674" i="3"/>
  <c r="C674" i="3" s="1"/>
  <c r="D674" i="3" s="1"/>
  <c r="B674" i="4" s="1"/>
  <c r="B673" i="3"/>
  <c r="C673" i="3" s="1"/>
  <c r="D673" i="3" s="1"/>
  <c r="B673" i="4" s="1"/>
  <c r="C672" i="3"/>
  <c r="D672" i="3" s="1"/>
  <c r="B672" i="4" s="1"/>
  <c r="B672" i="3"/>
  <c r="B671" i="3"/>
  <c r="C671" i="3" s="1"/>
  <c r="D671" i="3" s="1"/>
  <c r="B671" i="4" s="1"/>
  <c r="C670" i="3"/>
  <c r="D670" i="3" s="1"/>
  <c r="B670" i="4" s="1"/>
  <c r="B670" i="3"/>
  <c r="B669" i="3"/>
  <c r="C669" i="3" s="1"/>
  <c r="D669" i="3" s="1"/>
  <c r="B669" i="4" s="1"/>
  <c r="B668" i="3"/>
  <c r="C668" i="3" s="1"/>
  <c r="D668" i="3" s="1"/>
  <c r="B668" i="4" s="1"/>
  <c r="B667" i="3"/>
  <c r="C667" i="3" s="1"/>
  <c r="D667" i="3" s="1"/>
  <c r="B667" i="4" s="1"/>
  <c r="D666" i="3"/>
  <c r="B666" i="4" s="1"/>
  <c r="B666" i="3"/>
  <c r="C666" i="3" s="1"/>
  <c r="B665" i="3"/>
  <c r="C665" i="3" s="1"/>
  <c r="D665" i="3" s="1"/>
  <c r="B665" i="4" s="1"/>
  <c r="B664" i="3"/>
  <c r="C664" i="3" s="1"/>
  <c r="D664" i="3" s="1"/>
  <c r="B664" i="4" s="1"/>
  <c r="B663" i="3"/>
  <c r="C663" i="3" s="1"/>
  <c r="D663" i="3" s="1"/>
  <c r="B663" i="4" s="1"/>
  <c r="B662" i="3"/>
  <c r="C662" i="3" s="1"/>
  <c r="D662" i="3" s="1"/>
  <c r="B662" i="4" s="1"/>
  <c r="B661" i="3"/>
  <c r="C661" i="3" s="1"/>
  <c r="D661" i="3" s="1"/>
  <c r="B661" i="4" s="1"/>
  <c r="B660" i="3"/>
  <c r="C660" i="3" s="1"/>
  <c r="D660" i="3" s="1"/>
  <c r="B660" i="4" s="1"/>
  <c r="B659" i="3"/>
  <c r="C659" i="3" s="1"/>
  <c r="D659" i="3" s="1"/>
  <c r="B659" i="4" s="1"/>
  <c r="B658" i="3"/>
  <c r="C658" i="3" s="1"/>
  <c r="D658" i="3" s="1"/>
  <c r="B658" i="4" s="1"/>
  <c r="B657" i="3"/>
  <c r="C657" i="3" s="1"/>
  <c r="D657" i="3" s="1"/>
  <c r="B657" i="4" s="1"/>
  <c r="B656" i="3"/>
  <c r="C656" i="3" s="1"/>
  <c r="D656" i="3" s="1"/>
  <c r="B656" i="4" s="1"/>
  <c r="D655" i="3"/>
  <c r="B655" i="4" s="1"/>
  <c r="B655" i="3"/>
  <c r="C655" i="3" s="1"/>
  <c r="D654" i="3"/>
  <c r="B654" i="4" s="1"/>
  <c r="C654" i="3"/>
  <c r="B654" i="3"/>
  <c r="C653" i="3"/>
  <c r="D653" i="3" s="1"/>
  <c r="B653" i="4" s="1"/>
  <c r="B653" i="3"/>
  <c r="B652" i="3"/>
  <c r="C652" i="3" s="1"/>
  <c r="D652" i="3" s="1"/>
  <c r="B652" i="4" s="1"/>
  <c r="C651" i="3"/>
  <c r="D651" i="3" s="1"/>
  <c r="B651" i="4" s="1"/>
  <c r="B651" i="3"/>
  <c r="C650" i="3"/>
  <c r="D650" i="3" s="1"/>
  <c r="B650" i="4" s="1"/>
  <c r="B650" i="3"/>
  <c r="B649" i="3"/>
  <c r="C649" i="3" s="1"/>
  <c r="D649" i="3" s="1"/>
  <c r="B649" i="4" s="1"/>
  <c r="B648" i="3"/>
  <c r="C648" i="3" s="1"/>
  <c r="D648" i="3" s="1"/>
  <c r="B648" i="4" s="1"/>
  <c r="B647" i="3"/>
  <c r="C647" i="3" s="1"/>
  <c r="D647" i="3" s="1"/>
  <c r="B647" i="4" s="1"/>
  <c r="B646" i="3"/>
  <c r="C646" i="3" s="1"/>
  <c r="D646" i="3" s="1"/>
  <c r="B646" i="4" s="1"/>
  <c r="C645" i="3"/>
  <c r="D645" i="3" s="1"/>
  <c r="B645" i="4" s="1"/>
  <c r="B645" i="3"/>
  <c r="C644" i="3"/>
  <c r="D644" i="3" s="1"/>
  <c r="B644" i="4" s="1"/>
  <c r="B644" i="3"/>
  <c r="B643" i="3"/>
  <c r="C643" i="3" s="1"/>
  <c r="D643" i="3" s="1"/>
  <c r="B643" i="4" s="1"/>
  <c r="C642" i="3"/>
  <c r="D642" i="3" s="1"/>
  <c r="B642" i="4" s="1"/>
  <c r="B642" i="3"/>
  <c r="B641" i="3"/>
  <c r="C641" i="3" s="1"/>
  <c r="D641" i="3" s="1"/>
  <c r="B641" i="4" s="1"/>
  <c r="C640" i="3"/>
  <c r="D640" i="3" s="1"/>
  <c r="B640" i="4" s="1"/>
  <c r="B640" i="3"/>
  <c r="C639" i="3"/>
  <c r="D639" i="3" s="1"/>
  <c r="B639" i="4" s="1"/>
  <c r="B639" i="3"/>
  <c r="B638" i="3"/>
  <c r="C638" i="3" s="1"/>
  <c r="D638" i="3" s="1"/>
  <c r="B638" i="4" s="1"/>
  <c r="D637" i="3"/>
  <c r="B637" i="4" s="1"/>
  <c r="B637" i="3"/>
  <c r="C637" i="3" s="1"/>
  <c r="C636" i="3"/>
  <c r="D636" i="3" s="1"/>
  <c r="B636" i="4" s="1"/>
  <c r="B636" i="3"/>
  <c r="B635" i="3"/>
  <c r="C635" i="3" s="1"/>
  <c r="D635" i="3" s="1"/>
  <c r="B634" i="3"/>
  <c r="C634" i="3" s="1"/>
  <c r="D634" i="3" s="1"/>
  <c r="B634" i="4" s="1"/>
  <c r="C633" i="3"/>
  <c r="D633" i="3" s="1"/>
  <c r="B633" i="4" s="1"/>
  <c r="B633" i="3"/>
  <c r="B632" i="3"/>
  <c r="C632" i="3" s="1"/>
  <c r="D632" i="3" s="1"/>
  <c r="B632" i="4" s="1"/>
  <c r="D631" i="3"/>
  <c r="B631" i="4" s="1"/>
  <c r="B631" i="3"/>
  <c r="C631" i="3" s="1"/>
  <c r="B630" i="3"/>
  <c r="C630" i="3" s="1"/>
  <c r="D630" i="3" s="1"/>
  <c r="B630" i="4" s="1"/>
  <c r="C629" i="3"/>
  <c r="D629" i="3" s="1"/>
  <c r="B629" i="4" s="1"/>
  <c r="B629" i="3"/>
  <c r="B628" i="3"/>
  <c r="C628" i="3" s="1"/>
  <c r="D628" i="3" s="1"/>
  <c r="B628" i="4" s="1"/>
  <c r="B627" i="3"/>
  <c r="C627" i="3" s="1"/>
  <c r="D627" i="3" s="1"/>
  <c r="B627" i="4" s="1"/>
  <c r="B626" i="3"/>
  <c r="C626" i="3" s="1"/>
  <c r="D626" i="3" s="1"/>
  <c r="B626" i="4" s="1"/>
  <c r="B625" i="3"/>
  <c r="C625" i="3" s="1"/>
  <c r="D625" i="3" s="1"/>
  <c r="B625" i="4" s="1"/>
  <c r="B624" i="3"/>
  <c r="C624" i="3" s="1"/>
  <c r="D624" i="3" s="1"/>
  <c r="B624" i="4" s="1"/>
  <c r="B623" i="3"/>
  <c r="C623" i="3" s="1"/>
  <c r="D623" i="3" s="1"/>
  <c r="B623" i="4" s="1"/>
  <c r="B622" i="3"/>
  <c r="C622" i="3" s="1"/>
  <c r="D622" i="3" s="1"/>
  <c r="B622" i="4" s="1"/>
  <c r="B621" i="3"/>
  <c r="C621" i="3" s="1"/>
  <c r="D621" i="3" s="1"/>
  <c r="B621" i="4" s="1"/>
  <c r="B620" i="3"/>
  <c r="C620" i="3" s="1"/>
  <c r="D620" i="3" s="1"/>
  <c r="B620" i="4" s="1"/>
  <c r="B619" i="3"/>
  <c r="C619" i="3" s="1"/>
  <c r="D619" i="3" s="1"/>
  <c r="B619" i="4" s="1"/>
  <c r="B618" i="3"/>
  <c r="C618" i="3" s="1"/>
  <c r="D618" i="3" s="1"/>
  <c r="B618" i="4" s="1"/>
  <c r="D617" i="3"/>
  <c r="B617" i="4" s="1"/>
  <c r="B617" i="3"/>
  <c r="C617" i="3" s="1"/>
  <c r="B616" i="3"/>
  <c r="C616" i="3" s="1"/>
  <c r="D616" i="3" s="1"/>
  <c r="B616" i="4" s="1"/>
  <c r="B615" i="3"/>
  <c r="C615" i="3" s="1"/>
  <c r="D615" i="3" s="1"/>
  <c r="B615" i="4" s="1"/>
  <c r="B614" i="3"/>
  <c r="C614" i="3" s="1"/>
  <c r="D614" i="3" s="1"/>
  <c r="B614" i="4" s="1"/>
  <c r="B613" i="3"/>
  <c r="C613" i="3" s="1"/>
  <c r="D613" i="3" s="1"/>
  <c r="B613" i="4" s="1"/>
  <c r="C612" i="3"/>
  <c r="D612" i="3" s="1"/>
  <c r="B612" i="4" s="1"/>
  <c r="B612" i="3"/>
  <c r="D611" i="3"/>
  <c r="B611" i="4" s="1"/>
  <c r="B611" i="3"/>
  <c r="C611" i="3" s="1"/>
  <c r="B610" i="3"/>
  <c r="C610" i="3" s="1"/>
  <c r="D610" i="3" s="1"/>
  <c r="B610" i="4" s="1"/>
  <c r="B609" i="3"/>
  <c r="C609" i="3" s="1"/>
  <c r="D609" i="3" s="1"/>
  <c r="B609" i="4" s="1"/>
  <c r="C608" i="3"/>
  <c r="D608" i="3" s="1"/>
  <c r="B608" i="4" s="1"/>
  <c r="B608" i="3"/>
  <c r="B607" i="3"/>
  <c r="C607" i="3" s="1"/>
  <c r="D607" i="3" s="1"/>
  <c r="B607" i="4" s="1"/>
  <c r="B606" i="3"/>
  <c r="C606" i="3" s="1"/>
  <c r="D606" i="3" s="1"/>
  <c r="B606" i="4" s="1"/>
  <c r="C605" i="3"/>
  <c r="D605" i="3" s="1"/>
  <c r="B605" i="4" s="1"/>
  <c r="B605" i="3"/>
  <c r="D604" i="3"/>
  <c r="B604" i="4" s="1"/>
  <c r="B604" i="3"/>
  <c r="C604" i="3" s="1"/>
  <c r="C603" i="3"/>
  <c r="D603" i="3" s="1"/>
  <c r="B603" i="4" s="1"/>
  <c r="B603" i="3"/>
  <c r="C602" i="3"/>
  <c r="D602" i="3" s="1"/>
  <c r="B602" i="4" s="1"/>
  <c r="B602" i="3"/>
  <c r="D601" i="3"/>
  <c r="B601" i="4" s="1"/>
  <c r="B601" i="3"/>
  <c r="C601" i="3" s="1"/>
  <c r="C600" i="3"/>
  <c r="D600" i="3" s="1"/>
  <c r="B600" i="4" s="1"/>
  <c r="B600" i="3"/>
  <c r="B599" i="3"/>
  <c r="C599" i="3" s="1"/>
  <c r="D599" i="3" s="1"/>
  <c r="B599" i="4" s="1"/>
  <c r="B598" i="3"/>
  <c r="C598" i="3" s="1"/>
  <c r="D598" i="3" s="1"/>
  <c r="B598" i="4" s="1"/>
  <c r="D597" i="3"/>
  <c r="B597" i="4" s="1"/>
  <c r="B597" i="3"/>
  <c r="C597" i="3" s="1"/>
  <c r="B596" i="3"/>
  <c r="C596" i="3" s="1"/>
  <c r="D596" i="3" s="1"/>
  <c r="B596" i="4" s="1"/>
  <c r="D595" i="3"/>
  <c r="B595" i="4" s="1"/>
  <c r="B595" i="3"/>
  <c r="C595" i="3" s="1"/>
  <c r="C594" i="3"/>
  <c r="D594" i="3" s="1"/>
  <c r="B594" i="4" s="1"/>
  <c r="B594" i="3"/>
  <c r="C593" i="3"/>
  <c r="D593" i="3" s="1"/>
  <c r="B593" i="4" s="1"/>
  <c r="B593" i="3"/>
  <c r="B592" i="3"/>
  <c r="C592" i="3" s="1"/>
  <c r="D592" i="3" s="1"/>
  <c r="B592" i="4" s="1"/>
  <c r="B591" i="3"/>
  <c r="C591" i="3" s="1"/>
  <c r="D591" i="3" s="1"/>
  <c r="B591" i="4" s="1"/>
  <c r="B590" i="3"/>
  <c r="C590" i="3" s="1"/>
  <c r="D590" i="3" s="1"/>
  <c r="B590" i="4" s="1"/>
  <c r="B589" i="3"/>
  <c r="C589" i="3" s="1"/>
  <c r="D589" i="3" s="1"/>
  <c r="B589" i="4" s="1"/>
  <c r="D588" i="3"/>
  <c r="B588" i="4" s="1"/>
  <c r="B588" i="3"/>
  <c r="C588" i="3" s="1"/>
  <c r="B587" i="3"/>
  <c r="C587" i="3" s="1"/>
  <c r="D587" i="3" s="1"/>
  <c r="B587" i="4" s="1"/>
  <c r="B586" i="3"/>
  <c r="C586" i="3" s="1"/>
  <c r="D586" i="3" s="1"/>
  <c r="B586" i="4" s="1"/>
  <c r="B585" i="3"/>
  <c r="C585" i="3" s="1"/>
  <c r="D585" i="3" s="1"/>
  <c r="B585" i="4" s="1"/>
  <c r="B584" i="3"/>
  <c r="C584" i="3" s="1"/>
  <c r="D584" i="3" s="1"/>
  <c r="B584" i="4" s="1"/>
  <c r="B583" i="3"/>
  <c r="C583" i="3" s="1"/>
  <c r="D583" i="3" s="1"/>
  <c r="B583" i="4" s="1"/>
  <c r="B582" i="3"/>
  <c r="C582" i="3" s="1"/>
  <c r="D582" i="3" s="1"/>
  <c r="B582" i="4" s="1"/>
  <c r="B581" i="3"/>
  <c r="C581" i="3" s="1"/>
  <c r="D581" i="3" s="1"/>
  <c r="B581" i="4" s="1"/>
  <c r="B580" i="3"/>
  <c r="C580" i="3" s="1"/>
  <c r="D580" i="3" s="1"/>
  <c r="B580" i="4" s="1"/>
  <c r="C579" i="3"/>
  <c r="D579" i="3" s="1"/>
  <c r="B579" i="4" s="1"/>
  <c r="B579" i="3"/>
  <c r="B578" i="3"/>
  <c r="C578" i="3" s="1"/>
  <c r="D578" i="3" s="1"/>
  <c r="B578" i="4" s="1"/>
  <c r="B577" i="3"/>
  <c r="C577" i="3" s="1"/>
  <c r="D577" i="3" s="1"/>
  <c r="B577" i="4" s="1"/>
  <c r="B576" i="3"/>
  <c r="C576" i="3" s="1"/>
  <c r="D576" i="3" s="1"/>
  <c r="B575" i="3"/>
  <c r="C575" i="3" s="1"/>
  <c r="D575" i="3" s="1"/>
  <c r="B575" i="4" s="1"/>
  <c r="B574" i="3"/>
  <c r="C574" i="3" s="1"/>
  <c r="D574" i="3" s="1"/>
  <c r="B574" i="4" s="1"/>
  <c r="B573" i="3"/>
  <c r="C573" i="3" s="1"/>
  <c r="D573" i="3" s="1"/>
  <c r="B573" i="4" s="1"/>
  <c r="B572" i="3"/>
  <c r="C572" i="3" s="1"/>
  <c r="D572" i="3" s="1"/>
  <c r="B572" i="4" s="1"/>
  <c r="D571" i="3"/>
  <c r="B571" i="4" s="1"/>
  <c r="B571" i="3"/>
  <c r="C571" i="3" s="1"/>
  <c r="B570" i="3"/>
  <c r="C570" i="3" s="1"/>
  <c r="D570" i="3" s="1"/>
  <c r="B570" i="4" s="1"/>
  <c r="B569" i="3"/>
  <c r="C569" i="3" s="1"/>
  <c r="D569" i="3" s="1"/>
  <c r="B569" i="4" s="1"/>
  <c r="B568" i="3"/>
  <c r="C568" i="3" s="1"/>
  <c r="D568" i="3" s="1"/>
  <c r="B568" i="4" s="1"/>
  <c r="C567" i="3"/>
  <c r="D567" i="3" s="1"/>
  <c r="B567" i="4" s="1"/>
  <c r="B567" i="3"/>
  <c r="B566" i="3"/>
  <c r="C566" i="3" s="1"/>
  <c r="D566" i="3" s="1"/>
  <c r="B566" i="4" s="1"/>
  <c r="B565" i="3"/>
  <c r="C565" i="3" s="1"/>
  <c r="D565" i="3" s="1"/>
  <c r="B565" i="4" s="1"/>
  <c r="B564" i="3"/>
  <c r="C564" i="3" s="1"/>
  <c r="D564" i="3" s="1"/>
  <c r="B564" i="4" s="1"/>
  <c r="C563" i="3"/>
  <c r="D563" i="3" s="1"/>
  <c r="B563" i="4" s="1"/>
  <c r="B563" i="3"/>
  <c r="B562" i="3"/>
  <c r="C562" i="3" s="1"/>
  <c r="D562" i="3" s="1"/>
  <c r="B562" i="4" s="1"/>
  <c r="B561" i="3"/>
  <c r="C561" i="3" s="1"/>
  <c r="D561" i="3" s="1"/>
  <c r="B561" i="4" s="1"/>
  <c r="B560" i="3"/>
  <c r="C560" i="3" s="1"/>
  <c r="D560" i="3" s="1"/>
  <c r="B560" i="4" s="1"/>
  <c r="B559" i="3"/>
  <c r="C559" i="3" s="1"/>
  <c r="D559" i="3" s="1"/>
  <c r="B559" i="4" s="1"/>
  <c r="B558" i="3"/>
  <c r="C558" i="3" s="1"/>
  <c r="D558" i="3" s="1"/>
  <c r="B558" i="4" s="1"/>
  <c r="C557" i="3"/>
  <c r="D557" i="3" s="1"/>
  <c r="B557" i="4" s="1"/>
  <c r="B557" i="3"/>
  <c r="C556" i="3"/>
  <c r="D556" i="3" s="1"/>
  <c r="B556" i="4" s="1"/>
  <c r="B556" i="3"/>
  <c r="B555" i="3"/>
  <c r="C555" i="3" s="1"/>
  <c r="D555" i="3" s="1"/>
  <c r="B555" i="4" s="1"/>
  <c r="B554" i="3"/>
  <c r="C554" i="3" s="1"/>
  <c r="D554" i="3" s="1"/>
  <c r="B554" i="4" s="1"/>
  <c r="B553" i="3"/>
  <c r="C553" i="3" s="1"/>
  <c r="D553" i="3" s="1"/>
  <c r="B553" i="4" s="1"/>
  <c r="C552" i="3"/>
  <c r="D552" i="3" s="1"/>
  <c r="B552" i="4" s="1"/>
  <c r="B552" i="3"/>
  <c r="D551" i="3"/>
  <c r="B551" i="4" s="1"/>
  <c r="B551" i="3"/>
  <c r="C551" i="3" s="1"/>
  <c r="B550" i="3"/>
  <c r="C550" i="3" s="1"/>
  <c r="D550" i="3" s="1"/>
  <c r="B550" i="4" s="1"/>
  <c r="D549" i="3"/>
  <c r="B549" i="4" s="1"/>
  <c r="B549" i="3"/>
  <c r="C549" i="3" s="1"/>
  <c r="B548" i="3"/>
  <c r="C548" i="3" s="1"/>
  <c r="D548" i="3" s="1"/>
  <c r="B548" i="4" s="1"/>
  <c r="B547" i="3"/>
  <c r="C547" i="3" s="1"/>
  <c r="D547" i="3" s="1"/>
  <c r="B547" i="4" s="1"/>
  <c r="B546" i="3"/>
  <c r="C546" i="3" s="1"/>
  <c r="D546" i="3" s="1"/>
  <c r="B546" i="4" s="1"/>
  <c r="D545" i="3"/>
  <c r="B545" i="4" s="1"/>
  <c r="B545" i="3"/>
  <c r="C545" i="3" s="1"/>
  <c r="B544" i="3"/>
  <c r="C544" i="3" s="1"/>
  <c r="D544" i="3" s="1"/>
  <c r="B543" i="3"/>
  <c r="C543" i="3" s="1"/>
  <c r="D543" i="3" s="1"/>
  <c r="B543" i="4" s="1"/>
  <c r="B542" i="3"/>
  <c r="C542" i="3" s="1"/>
  <c r="D542" i="3" s="1"/>
  <c r="B542" i="4" s="1"/>
  <c r="B541" i="3"/>
  <c r="C541" i="3" s="1"/>
  <c r="D541" i="3" s="1"/>
  <c r="B541" i="4" s="1"/>
  <c r="C540" i="3"/>
  <c r="D540" i="3" s="1"/>
  <c r="B540" i="4" s="1"/>
  <c r="B540" i="3"/>
  <c r="B539" i="3"/>
  <c r="C539" i="3" s="1"/>
  <c r="D539" i="3" s="1"/>
  <c r="B539" i="4" s="1"/>
  <c r="B538" i="3"/>
  <c r="C538" i="3" s="1"/>
  <c r="D538" i="3" s="1"/>
  <c r="B538" i="4" s="1"/>
  <c r="B537" i="3"/>
  <c r="C537" i="3" s="1"/>
  <c r="D537" i="3" s="1"/>
  <c r="B537" i="4" s="1"/>
  <c r="B536" i="3"/>
  <c r="C536" i="3" s="1"/>
  <c r="D536" i="3" s="1"/>
  <c r="B536" i="4" s="1"/>
  <c r="B535" i="3"/>
  <c r="C535" i="3" s="1"/>
  <c r="D535" i="3" s="1"/>
  <c r="B535" i="4" s="1"/>
  <c r="B534" i="3"/>
  <c r="C534" i="3" s="1"/>
  <c r="D534" i="3" s="1"/>
  <c r="B534" i="4" s="1"/>
  <c r="B533" i="3"/>
  <c r="C533" i="3" s="1"/>
  <c r="D533" i="3" s="1"/>
  <c r="B533" i="4" s="1"/>
  <c r="B532" i="3"/>
  <c r="C532" i="3" s="1"/>
  <c r="D532" i="3" s="1"/>
  <c r="B532" i="4" s="1"/>
  <c r="C531" i="3"/>
  <c r="D531" i="3" s="1"/>
  <c r="B531" i="4" s="1"/>
  <c r="B531" i="3"/>
  <c r="C530" i="3"/>
  <c r="D530" i="3" s="1"/>
  <c r="B530" i="4" s="1"/>
  <c r="B530" i="3"/>
  <c r="B529" i="3"/>
  <c r="C529" i="3" s="1"/>
  <c r="D529" i="3" s="1"/>
  <c r="B529" i="4" s="1"/>
  <c r="B528" i="3"/>
  <c r="C528" i="3" s="1"/>
  <c r="D528" i="3" s="1"/>
  <c r="B528" i="4" s="1"/>
  <c r="B527" i="3"/>
  <c r="C527" i="3" s="1"/>
  <c r="D527" i="3" s="1"/>
  <c r="B527" i="4" s="1"/>
  <c r="B526" i="3"/>
  <c r="C526" i="3" s="1"/>
  <c r="D526" i="3" s="1"/>
  <c r="B526" i="4" s="1"/>
  <c r="B525" i="3"/>
  <c r="C525" i="3" s="1"/>
  <c r="D525" i="3" s="1"/>
  <c r="B525" i="4" s="1"/>
  <c r="B524" i="3"/>
  <c r="C524" i="3" s="1"/>
  <c r="D524" i="3" s="1"/>
  <c r="B524" i="4" s="1"/>
  <c r="B523" i="3"/>
  <c r="C523" i="3" s="1"/>
  <c r="D523" i="3" s="1"/>
  <c r="B523" i="4" s="1"/>
  <c r="B522" i="3"/>
  <c r="C522" i="3" s="1"/>
  <c r="D522" i="3" s="1"/>
  <c r="B522" i="4" s="1"/>
  <c r="B521" i="3"/>
  <c r="C521" i="3" s="1"/>
  <c r="D521" i="3" s="1"/>
  <c r="B521" i="4" s="1"/>
  <c r="B520" i="3"/>
  <c r="C520" i="3" s="1"/>
  <c r="D520" i="3" s="1"/>
  <c r="B520" i="4" s="1"/>
  <c r="B519" i="3"/>
  <c r="C519" i="3" s="1"/>
  <c r="D519" i="3" s="1"/>
  <c r="B519" i="4" s="1"/>
  <c r="B518" i="3"/>
  <c r="C518" i="3" s="1"/>
  <c r="D518" i="3" s="1"/>
  <c r="B518" i="4" s="1"/>
  <c r="B517" i="3"/>
  <c r="C517" i="3" s="1"/>
  <c r="D517" i="3" s="1"/>
  <c r="B517" i="4" s="1"/>
  <c r="B516" i="3"/>
  <c r="C516" i="3" s="1"/>
  <c r="D516" i="3" s="1"/>
  <c r="B516" i="4" s="1"/>
  <c r="D515" i="3"/>
  <c r="B515" i="4" s="1"/>
  <c r="B515" i="3"/>
  <c r="C515" i="3" s="1"/>
  <c r="C514" i="3"/>
  <c r="D514" i="3" s="1"/>
  <c r="B514" i="4" s="1"/>
  <c r="B514" i="3"/>
  <c r="B513" i="3"/>
  <c r="C513" i="3" s="1"/>
  <c r="D513" i="3" s="1"/>
  <c r="B513" i="4" s="1"/>
  <c r="B512" i="3"/>
  <c r="C512" i="3" s="1"/>
  <c r="D512" i="3" s="1"/>
  <c r="B512" i="4" s="1"/>
  <c r="B511" i="3"/>
  <c r="C511" i="3" s="1"/>
  <c r="D511" i="3" s="1"/>
  <c r="B511" i="4" s="1"/>
  <c r="B510" i="3"/>
  <c r="C510" i="3" s="1"/>
  <c r="D510" i="3" s="1"/>
  <c r="B510" i="4" s="1"/>
  <c r="B509" i="3"/>
  <c r="C509" i="3" s="1"/>
  <c r="D509" i="3" s="1"/>
  <c r="B509" i="4" s="1"/>
  <c r="B508" i="3"/>
  <c r="C508" i="3" s="1"/>
  <c r="D508" i="3" s="1"/>
  <c r="B508" i="4" s="1"/>
  <c r="B507" i="3"/>
  <c r="C507" i="3" s="1"/>
  <c r="D507" i="3" s="1"/>
  <c r="B507" i="4" s="1"/>
  <c r="B506" i="3"/>
  <c r="C506" i="3" s="1"/>
  <c r="D506" i="3" s="1"/>
  <c r="B506" i="4" s="1"/>
  <c r="B505" i="3"/>
  <c r="C505" i="3" s="1"/>
  <c r="D505" i="3" s="1"/>
  <c r="B505" i="4" s="1"/>
  <c r="D504" i="3"/>
  <c r="B504" i="4" s="1"/>
  <c r="B504" i="3"/>
  <c r="C504" i="3" s="1"/>
  <c r="B503" i="3"/>
  <c r="C503" i="3" s="1"/>
  <c r="D503" i="3" s="1"/>
  <c r="B503" i="4" s="1"/>
  <c r="B502" i="3"/>
  <c r="C502" i="3" s="1"/>
  <c r="D502" i="3" s="1"/>
  <c r="B502" i="4" s="1"/>
  <c r="D501" i="3"/>
  <c r="B501" i="4" s="1"/>
  <c r="B501" i="3"/>
  <c r="C501" i="3" s="1"/>
  <c r="B500" i="3"/>
  <c r="C500" i="3" s="1"/>
  <c r="D500" i="3" s="1"/>
  <c r="B500" i="4" s="1"/>
  <c r="C499" i="3"/>
  <c r="D499" i="3" s="1"/>
  <c r="B499" i="4" s="1"/>
  <c r="B499" i="3"/>
  <c r="B498" i="3"/>
  <c r="C498" i="3" s="1"/>
  <c r="D498" i="3" s="1"/>
  <c r="B498" i="4" s="1"/>
  <c r="B497" i="3"/>
  <c r="C497" i="3" s="1"/>
  <c r="D497" i="3" s="1"/>
  <c r="B497" i="4" s="1"/>
  <c r="D496" i="3"/>
  <c r="B496" i="4" s="1"/>
  <c r="C496" i="3"/>
  <c r="B496" i="3"/>
  <c r="B495" i="3"/>
  <c r="C495" i="3" s="1"/>
  <c r="D495" i="3" s="1"/>
  <c r="B495" i="4" s="1"/>
  <c r="C494" i="3"/>
  <c r="D494" i="3" s="1"/>
  <c r="B494" i="4" s="1"/>
  <c r="B494" i="3"/>
  <c r="B493" i="3"/>
  <c r="C493" i="3" s="1"/>
  <c r="D493" i="3" s="1"/>
  <c r="B493" i="4" s="1"/>
  <c r="C492" i="3"/>
  <c r="D492" i="3" s="1"/>
  <c r="B492" i="4" s="1"/>
  <c r="B492" i="3"/>
  <c r="C491" i="3"/>
  <c r="D491" i="3" s="1"/>
  <c r="B491" i="4" s="1"/>
  <c r="B491" i="3"/>
  <c r="C490" i="3"/>
  <c r="D490" i="3" s="1"/>
  <c r="B490" i="4" s="1"/>
  <c r="B490" i="3"/>
  <c r="B489" i="3"/>
  <c r="C489" i="3" s="1"/>
  <c r="D489" i="3" s="1"/>
  <c r="B489" i="4" s="1"/>
  <c r="B488" i="3"/>
  <c r="C488" i="3" s="1"/>
  <c r="D488" i="3" s="1"/>
  <c r="B488" i="4" s="1"/>
  <c r="C487" i="3"/>
  <c r="D487" i="3" s="1"/>
  <c r="B487" i="4" s="1"/>
  <c r="B487" i="3"/>
  <c r="B486" i="3"/>
  <c r="C486" i="3" s="1"/>
  <c r="D486" i="3" s="1"/>
  <c r="B486" i="4" s="1"/>
  <c r="D485" i="3"/>
  <c r="B485" i="4" s="1"/>
  <c r="B485" i="3"/>
  <c r="C485" i="3" s="1"/>
  <c r="B484" i="3"/>
  <c r="C484" i="3" s="1"/>
  <c r="D484" i="3" s="1"/>
  <c r="B484" i="4" s="1"/>
  <c r="C483" i="3"/>
  <c r="D483" i="3" s="1"/>
  <c r="B483" i="4" s="1"/>
  <c r="B483" i="3"/>
  <c r="B482" i="3"/>
  <c r="C482" i="3" s="1"/>
  <c r="D482" i="3" s="1"/>
  <c r="B481" i="3"/>
  <c r="C481" i="3" s="1"/>
  <c r="D481" i="3" s="1"/>
  <c r="B481" i="4" s="1"/>
  <c r="B480" i="3"/>
  <c r="C480" i="3" s="1"/>
  <c r="D480" i="3" s="1"/>
  <c r="B480" i="4" s="1"/>
  <c r="B479" i="3"/>
  <c r="C479" i="3" s="1"/>
  <c r="D479" i="3" s="1"/>
  <c r="B479" i="4" s="1"/>
  <c r="D478" i="3"/>
  <c r="B478" i="4" s="1"/>
  <c r="C478" i="3"/>
  <c r="B478" i="3"/>
  <c r="B477" i="3"/>
  <c r="C477" i="3" s="1"/>
  <c r="D477" i="3" s="1"/>
  <c r="B477" i="4" s="1"/>
  <c r="B476" i="3"/>
  <c r="C476" i="3" s="1"/>
  <c r="D476" i="3" s="1"/>
  <c r="B476" i="4" s="1"/>
  <c r="C475" i="3"/>
  <c r="D475" i="3" s="1"/>
  <c r="B475" i="4" s="1"/>
  <c r="B475" i="3"/>
  <c r="B474" i="3"/>
  <c r="C474" i="3" s="1"/>
  <c r="D474" i="3" s="1"/>
  <c r="B474" i="4" s="1"/>
  <c r="D473" i="3"/>
  <c r="B473" i="4" s="1"/>
  <c r="B473" i="3"/>
  <c r="C473" i="3" s="1"/>
  <c r="B472" i="3"/>
  <c r="C472" i="3" s="1"/>
  <c r="D472" i="3" s="1"/>
  <c r="B472" i="4" s="1"/>
  <c r="B471" i="3"/>
  <c r="C471" i="3" s="1"/>
  <c r="D471" i="3" s="1"/>
  <c r="B471" i="4" s="1"/>
  <c r="B470" i="3"/>
  <c r="C470" i="3" s="1"/>
  <c r="D470" i="3" s="1"/>
  <c r="B470" i="4" s="1"/>
  <c r="B469" i="3"/>
  <c r="C469" i="3" s="1"/>
  <c r="D469" i="3" s="1"/>
  <c r="B469" i="4" s="1"/>
  <c r="C468" i="3"/>
  <c r="D468" i="3" s="1"/>
  <c r="B468" i="4" s="1"/>
  <c r="B468" i="3"/>
  <c r="B467" i="3"/>
  <c r="C467" i="3" s="1"/>
  <c r="D467" i="3" s="1"/>
  <c r="B467" i="4" s="1"/>
  <c r="B466" i="3"/>
  <c r="C466" i="3" s="1"/>
  <c r="D466" i="3" s="1"/>
  <c r="B466" i="4" s="1"/>
  <c r="B465" i="3"/>
  <c r="C465" i="3" s="1"/>
  <c r="D465" i="3" s="1"/>
  <c r="B465" i="4" s="1"/>
  <c r="B464" i="3"/>
  <c r="C464" i="3" s="1"/>
  <c r="D464" i="3" s="1"/>
  <c r="B464" i="4" s="1"/>
  <c r="B463" i="3"/>
  <c r="C463" i="3" s="1"/>
  <c r="D463" i="3" s="1"/>
  <c r="B463" i="4" s="1"/>
  <c r="B462" i="3"/>
  <c r="C462" i="3" s="1"/>
  <c r="D462" i="3" s="1"/>
  <c r="B462" i="4" s="1"/>
  <c r="B461" i="3"/>
  <c r="C461" i="3" s="1"/>
  <c r="D461" i="3" s="1"/>
  <c r="B461" i="4" s="1"/>
  <c r="B460" i="3"/>
  <c r="C460" i="3" s="1"/>
  <c r="D460" i="3" s="1"/>
  <c r="B460" i="4" s="1"/>
  <c r="B459" i="3"/>
  <c r="C459" i="3" s="1"/>
  <c r="D459" i="3" s="1"/>
  <c r="B459" i="4" s="1"/>
  <c r="B458" i="3"/>
  <c r="C458" i="3" s="1"/>
  <c r="D458" i="3" s="1"/>
  <c r="B458" i="4" s="1"/>
  <c r="B457" i="3"/>
  <c r="C457" i="3" s="1"/>
  <c r="D457" i="3" s="1"/>
  <c r="B457" i="4" s="1"/>
  <c r="C456" i="3"/>
  <c r="D456" i="3" s="1"/>
  <c r="B456" i="4" s="1"/>
  <c r="B456" i="3"/>
  <c r="C455" i="3"/>
  <c r="D455" i="3" s="1"/>
  <c r="B455" i="4" s="1"/>
  <c r="B455" i="3"/>
  <c r="C454" i="3"/>
  <c r="D454" i="3" s="1"/>
  <c r="B454" i="4" s="1"/>
  <c r="B454" i="3"/>
  <c r="B453" i="3"/>
  <c r="C453" i="3" s="1"/>
  <c r="D453" i="3" s="1"/>
  <c r="B453" i="4" s="1"/>
  <c r="C452" i="3"/>
  <c r="D452" i="3" s="1"/>
  <c r="B452" i="4" s="1"/>
  <c r="B452" i="3"/>
  <c r="B451" i="3"/>
  <c r="C451" i="3" s="1"/>
  <c r="D451" i="3" s="1"/>
  <c r="B451" i="4" s="1"/>
  <c r="B450" i="3"/>
  <c r="C450" i="3" s="1"/>
  <c r="D450" i="3" s="1"/>
  <c r="D449" i="3"/>
  <c r="B449" i="4" s="1"/>
  <c r="B449" i="3"/>
  <c r="C449" i="3" s="1"/>
  <c r="C448" i="3"/>
  <c r="D448" i="3" s="1"/>
  <c r="B448" i="4" s="1"/>
  <c r="B448" i="3"/>
  <c r="B447" i="3"/>
  <c r="C447" i="3" s="1"/>
  <c r="D447" i="3" s="1"/>
  <c r="B447" i="4" s="1"/>
  <c r="B446" i="3"/>
  <c r="C446" i="3" s="1"/>
  <c r="D446" i="3" s="1"/>
  <c r="B446" i="4" s="1"/>
  <c r="B445" i="3"/>
  <c r="C445" i="3" s="1"/>
  <c r="D445" i="3" s="1"/>
  <c r="B445" i="4" s="1"/>
  <c r="B444" i="3"/>
  <c r="C444" i="3" s="1"/>
  <c r="D444" i="3" s="1"/>
  <c r="B444" i="4" s="1"/>
  <c r="B443" i="3"/>
  <c r="C443" i="3" s="1"/>
  <c r="D443" i="3" s="1"/>
  <c r="B443" i="4" s="1"/>
  <c r="B442" i="3"/>
  <c r="C442" i="3" s="1"/>
  <c r="D442" i="3" s="1"/>
  <c r="B442" i="4" s="1"/>
  <c r="B441" i="3"/>
  <c r="C441" i="3" s="1"/>
  <c r="D441" i="3" s="1"/>
  <c r="B441" i="4" s="1"/>
  <c r="B440" i="3"/>
  <c r="C440" i="3" s="1"/>
  <c r="D440" i="3" s="1"/>
  <c r="B440" i="4" s="1"/>
  <c r="B439" i="3"/>
  <c r="C439" i="3" s="1"/>
  <c r="D439" i="3" s="1"/>
  <c r="B439" i="4" s="1"/>
  <c r="B438" i="3"/>
  <c r="C438" i="3" s="1"/>
  <c r="D438" i="3" s="1"/>
  <c r="B438" i="4" s="1"/>
  <c r="B437" i="3"/>
  <c r="C437" i="3" s="1"/>
  <c r="D437" i="3" s="1"/>
  <c r="B437" i="4" s="1"/>
  <c r="C436" i="3"/>
  <c r="D436" i="3" s="1"/>
  <c r="B436" i="4" s="1"/>
  <c r="B436" i="3"/>
  <c r="C435" i="3"/>
  <c r="D435" i="3" s="1"/>
  <c r="B435" i="4" s="1"/>
  <c r="B435" i="3"/>
  <c r="C434" i="3"/>
  <c r="D434" i="3" s="1"/>
  <c r="B434" i="4" s="1"/>
  <c r="B434" i="3"/>
  <c r="D433" i="3"/>
  <c r="B433" i="4" s="1"/>
  <c r="B433" i="3"/>
  <c r="C433" i="3" s="1"/>
  <c r="B432" i="3"/>
  <c r="C432" i="3" s="1"/>
  <c r="D432" i="3" s="1"/>
  <c r="B432" i="4" s="1"/>
  <c r="B431" i="3"/>
  <c r="C431" i="3" s="1"/>
  <c r="D431" i="3" s="1"/>
  <c r="B431" i="4" s="1"/>
  <c r="B430" i="3"/>
  <c r="C430" i="3" s="1"/>
  <c r="D430" i="3" s="1"/>
  <c r="B430" i="4" s="1"/>
  <c r="B429" i="3"/>
  <c r="C429" i="3" s="1"/>
  <c r="D429" i="3" s="1"/>
  <c r="B429" i="4" s="1"/>
  <c r="B428" i="3"/>
  <c r="C428" i="3" s="1"/>
  <c r="D428" i="3" s="1"/>
  <c r="B427" i="3"/>
  <c r="C427" i="3" s="1"/>
  <c r="D427" i="3" s="1"/>
  <c r="B427" i="4" s="1"/>
  <c r="B426" i="3"/>
  <c r="C426" i="3" s="1"/>
  <c r="D426" i="3" s="1"/>
  <c r="B426" i="4" s="1"/>
  <c r="C425" i="3"/>
  <c r="D425" i="3" s="1"/>
  <c r="B425" i="4" s="1"/>
  <c r="B425" i="3"/>
  <c r="B424" i="3"/>
  <c r="C424" i="3" s="1"/>
  <c r="D424" i="3" s="1"/>
  <c r="B424" i="4" s="1"/>
  <c r="B423" i="3"/>
  <c r="C423" i="3" s="1"/>
  <c r="D423" i="3" s="1"/>
  <c r="B423" i="4" s="1"/>
  <c r="B422" i="3"/>
  <c r="C422" i="3" s="1"/>
  <c r="D422" i="3" s="1"/>
  <c r="B422" i="4" s="1"/>
  <c r="B421" i="3"/>
  <c r="C421" i="3" s="1"/>
  <c r="D421" i="3" s="1"/>
  <c r="B421" i="4" s="1"/>
  <c r="B420" i="3"/>
  <c r="C420" i="3" s="1"/>
  <c r="D420" i="3" s="1"/>
  <c r="B420" i="4" s="1"/>
  <c r="B419" i="3"/>
  <c r="C419" i="3" s="1"/>
  <c r="D419" i="3" s="1"/>
  <c r="B419" i="4" s="1"/>
  <c r="B418" i="3"/>
  <c r="C418" i="3" s="1"/>
  <c r="D418" i="3" s="1"/>
  <c r="B418" i="4" s="1"/>
  <c r="B417" i="3"/>
  <c r="C417" i="3" s="1"/>
  <c r="D417" i="3" s="1"/>
  <c r="B417" i="4" s="1"/>
  <c r="D416" i="3"/>
  <c r="B416" i="4" s="1"/>
  <c r="C416" i="3"/>
  <c r="B416" i="3"/>
  <c r="B415" i="3"/>
  <c r="C415" i="3" s="1"/>
  <c r="D415" i="3" s="1"/>
  <c r="B415" i="4" s="1"/>
  <c r="C414" i="3"/>
  <c r="D414" i="3" s="1"/>
  <c r="B414" i="4" s="1"/>
  <c r="B414" i="3"/>
  <c r="B413" i="3"/>
  <c r="C413" i="3" s="1"/>
  <c r="D413" i="3" s="1"/>
  <c r="B413" i="4" s="1"/>
  <c r="C412" i="3"/>
  <c r="D412" i="3" s="1"/>
  <c r="B412" i="4" s="1"/>
  <c r="B412" i="3"/>
  <c r="B411" i="3"/>
  <c r="C411" i="3" s="1"/>
  <c r="D411" i="3" s="1"/>
  <c r="B411" i="4" s="1"/>
  <c r="B410" i="3"/>
  <c r="C410" i="3" s="1"/>
  <c r="D410" i="3" s="1"/>
  <c r="B410" i="4" s="1"/>
  <c r="C409" i="3"/>
  <c r="D409" i="3" s="1"/>
  <c r="B409" i="4" s="1"/>
  <c r="B409" i="3"/>
  <c r="B408" i="3"/>
  <c r="C408" i="3" s="1"/>
  <c r="D408" i="3" s="1"/>
  <c r="B408" i="4" s="1"/>
  <c r="B407" i="3"/>
  <c r="C407" i="3" s="1"/>
  <c r="D407" i="3" s="1"/>
  <c r="B407" i="4" s="1"/>
  <c r="B406" i="3"/>
  <c r="C406" i="3" s="1"/>
  <c r="D406" i="3" s="1"/>
  <c r="B406" i="4" s="1"/>
  <c r="D405" i="3"/>
  <c r="B405" i="4" s="1"/>
  <c r="B405" i="3"/>
  <c r="C405" i="3" s="1"/>
  <c r="B404" i="3"/>
  <c r="C404" i="3" s="1"/>
  <c r="D404" i="3" s="1"/>
  <c r="B404" i="4" s="1"/>
  <c r="B403" i="3"/>
  <c r="C403" i="3" s="1"/>
  <c r="D403" i="3" s="1"/>
  <c r="B403" i="4" s="1"/>
  <c r="B402" i="3"/>
  <c r="C402" i="3" s="1"/>
  <c r="D402" i="3" s="1"/>
  <c r="B402" i="4" s="1"/>
  <c r="C401" i="3"/>
  <c r="D401" i="3" s="1"/>
  <c r="B401" i="4" s="1"/>
  <c r="B401" i="3"/>
  <c r="B400" i="3"/>
  <c r="C400" i="3" s="1"/>
  <c r="D400" i="3" s="1"/>
  <c r="B400" i="4" s="1"/>
  <c r="B399" i="3"/>
  <c r="C399" i="3" s="1"/>
  <c r="D399" i="3" s="1"/>
  <c r="B399" i="4" s="1"/>
  <c r="B398" i="3"/>
  <c r="C398" i="3" s="1"/>
  <c r="D398" i="3" s="1"/>
  <c r="B398" i="4" s="1"/>
  <c r="B397" i="3"/>
  <c r="C397" i="3" s="1"/>
  <c r="D397" i="3" s="1"/>
  <c r="B397" i="4" s="1"/>
  <c r="B396" i="3"/>
  <c r="C396" i="3" s="1"/>
  <c r="D396" i="3" s="1"/>
  <c r="B396" i="4" s="1"/>
  <c r="B395" i="3"/>
  <c r="C395" i="3" s="1"/>
  <c r="D395" i="3" s="1"/>
  <c r="B395" i="4" s="1"/>
  <c r="B394" i="3"/>
  <c r="C394" i="3" s="1"/>
  <c r="D394" i="3" s="1"/>
  <c r="B394" i="4" s="1"/>
  <c r="B393" i="3"/>
  <c r="C393" i="3" s="1"/>
  <c r="D393" i="3" s="1"/>
  <c r="B393" i="4" s="1"/>
  <c r="B392" i="3"/>
  <c r="C392" i="3" s="1"/>
  <c r="D392" i="3" s="1"/>
  <c r="B392" i="4" s="1"/>
  <c r="D391" i="3"/>
  <c r="B391" i="4" s="1"/>
  <c r="B391" i="3"/>
  <c r="C391" i="3" s="1"/>
  <c r="B390" i="3"/>
  <c r="C390" i="3" s="1"/>
  <c r="D390" i="3" s="1"/>
  <c r="B390" i="4" s="1"/>
  <c r="C389" i="3"/>
  <c r="D389" i="3" s="1"/>
  <c r="B389" i="4" s="1"/>
  <c r="B389" i="3"/>
  <c r="D388" i="3"/>
  <c r="B388" i="4" s="1"/>
  <c r="C388" i="3"/>
  <c r="B388" i="3"/>
  <c r="B387" i="3"/>
  <c r="C387" i="3" s="1"/>
  <c r="D387" i="3" s="1"/>
  <c r="B387" i="4" s="1"/>
  <c r="B386" i="3"/>
  <c r="C386" i="3" s="1"/>
  <c r="D386" i="3" s="1"/>
  <c r="B386" i="4" s="1"/>
  <c r="B385" i="3"/>
  <c r="C385" i="3" s="1"/>
  <c r="D385" i="3" s="1"/>
  <c r="B385" i="4" s="1"/>
  <c r="B384" i="3"/>
  <c r="C384" i="3" s="1"/>
  <c r="D384" i="3" s="1"/>
  <c r="B384" i="4" s="1"/>
  <c r="C383" i="3"/>
  <c r="D383" i="3" s="1"/>
  <c r="B383" i="4" s="1"/>
  <c r="B383" i="3"/>
  <c r="C382" i="3"/>
  <c r="D382" i="3" s="1"/>
  <c r="B382" i="4" s="1"/>
  <c r="B382" i="3"/>
  <c r="B381" i="3"/>
  <c r="C381" i="3" s="1"/>
  <c r="D381" i="3" s="1"/>
  <c r="B381" i="4" s="1"/>
  <c r="B380" i="3"/>
  <c r="C380" i="3" s="1"/>
  <c r="D380" i="3" s="1"/>
  <c r="B380" i="4" s="1"/>
  <c r="B379" i="3"/>
  <c r="C379" i="3" s="1"/>
  <c r="D379" i="3" s="1"/>
  <c r="B379" i="4" s="1"/>
  <c r="D378" i="3"/>
  <c r="B378" i="4" s="1"/>
  <c r="B378" i="3"/>
  <c r="C378" i="3" s="1"/>
  <c r="B377" i="3"/>
  <c r="C377" i="3" s="1"/>
  <c r="D377" i="3" s="1"/>
  <c r="B377" i="4" s="1"/>
  <c r="B376" i="3"/>
  <c r="C376" i="3" s="1"/>
  <c r="D376" i="3" s="1"/>
  <c r="B376" i="4" s="1"/>
  <c r="C375" i="3"/>
  <c r="D375" i="3" s="1"/>
  <c r="B375" i="4" s="1"/>
  <c r="B375" i="3"/>
  <c r="B374" i="3"/>
  <c r="C374" i="3" s="1"/>
  <c r="D374" i="3" s="1"/>
  <c r="B374" i="4" s="1"/>
  <c r="B373" i="3"/>
  <c r="C373" i="3" s="1"/>
  <c r="D373" i="3" s="1"/>
  <c r="B373" i="4" s="1"/>
  <c r="C372" i="3"/>
  <c r="D372" i="3" s="1"/>
  <c r="B372" i="4" s="1"/>
  <c r="B372" i="3"/>
  <c r="D371" i="3"/>
  <c r="B371" i="4" s="1"/>
  <c r="B371" i="3"/>
  <c r="C371" i="3" s="1"/>
  <c r="D370" i="3"/>
  <c r="B370" i="4" s="1"/>
  <c r="B370" i="3"/>
  <c r="C370" i="3" s="1"/>
  <c r="B369" i="3"/>
  <c r="C369" i="3" s="1"/>
  <c r="D369" i="3" s="1"/>
  <c r="B369" i="4" s="1"/>
  <c r="B368" i="3"/>
  <c r="C368" i="3" s="1"/>
  <c r="D368" i="3" s="1"/>
  <c r="B368" i="4" s="1"/>
  <c r="D367" i="3"/>
  <c r="B367" i="4" s="1"/>
  <c r="B367" i="3"/>
  <c r="C367" i="3" s="1"/>
  <c r="B366" i="3"/>
  <c r="C366" i="3" s="1"/>
  <c r="D366" i="3" s="1"/>
  <c r="B366" i="4" s="1"/>
  <c r="B365" i="3"/>
  <c r="C365" i="3" s="1"/>
  <c r="D365" i="3" s="1"/>
  <c r="B365" i="4" s="1"/>
  <c r="B364" i="3"/>
  <c r="C364" i="3" s="1"/>
  <c r="D364" i="3" s="1"/>
  <c r="B364" i="4" s="1"/>
  <c r="B363" i="3"/>
  <c r="C363" i="3" s="1"/>
  <c r="D363" i="3" s="1"/>
  <c r="B363" i="4" s="1"/>
  <c r="B362" i="3"/>
  <c r="C362" i="3" s="1"/>
  <c r="D362" i="3" s="1"/>
  <c r="B362" i="4" s="1"/>
  <c r="B361" i="3"/>
  <c r="C361" i="3" s="1"/>
  <c r="D361" i="3" s="1"/>
  <c r="B361" i="4" s="1"/>
  <c r="B360" i="3"/>
  <c r="C360" i="3" s="1"/>
  <c r="D360" i="3" s="1"/>
  <c r="B360" i="4" s="1"/>
  <c r="C359" i="3"/>
  <c r="D359" i="3" s="1"/>
  <c r="B359" i="4" s="1"/>
  <c r="B359" i="3"/>
  <c r="B358" i="3"/>
  <c r="C358" i="3" s="1"/>
  <c r="D358" i="3" s="1"/>
  <c r="B358" i="4" s="1"/>
  <c r="B357" i="3"/>
  <c r="C357" i="3" s="1"/>
  <c r="D357" i="3" s="1"/>
  <c r="B357" i="4" s="1"/>
  <c r="D356" i="3"/>
  <c r="B356" i="4" s="1"/>
  <c r="B356" i="3"/>
  <c r="C356" i="3" s="1"/>
  <c r="B355" i="3"/>
  <c r="C355" i="3" s="1"/>
  <c r="D355" i="3" s="1"/>
  <c r="B355" i="4" s="1"/>
  <c r="C354" i="3"/>
  <c r="D354" i="3" s="1"/>
  <c r="B354" i="4" s="1"/>
  <c r="B354" i="3"/>
  <c r="B353" i="3"/>
  <c r="C353" i="3" s="1"/>
  <c r="D353" i="3" s="1"/>
  <c r="B353" i="4" s="1"/>
  <c r="B352" i="3"/>
  <c r="C352" i="3" s="1"/>
  <c r="D352" i="3" s="1"/>
  <c r="B352" i="4" s="1"/>
  <c r="B351" i="3"/>
  <c r="C351" i="3" s="1"/>
  <c r="D351" i="3" s="1"/>
  <c r="B351" i="4" s="1"/>
  <c r="D350" i="3"/>
  <c r="B350" i="4" s="1"/>
  <c r="B350" i="3"/>
  <c r="C350" i="3" s="1"/>
  <c r="B349" i="3"/>
  <c r="C349" i="3" s="1"/>
  <c r="D349" i="3" s="1"/>
  <c r="B349" i="4" s="1"/>
  <c r="B348" i="3"/>
  <c r="C348" i="3" s="1"/>
  <c r="D348" i="3" s="1"/>
  <c r="B348" i="4" s="1"/>
  <c r="D347" i="3"/>
  <c r="B347" i="4" s="1"/>
  <c r="B347" i="3"/>
  <c r="C347" i="3" s="1"/>
  <c r="B346" i="3"/>
  <c r="C346" i="3" s="1"/>
  <c r="D346" i="3" s="1"/>
  <c r="B346" i="4" s="1"/>
  <c r="B345" i="3"/>
  <c r="C345" i="3" s="1"/>
  <c r="D345" i="3" s="1"/>
  <c r="B345" i="4" s="1"/>
  <c r="B344" i="3"/>
  <c r="C344" i="3" s="1"/>
  <c r="D344" i="3" s="1"/>
  <c r="B344" i="4" s="1"/>
  <c r="B343" i="3"/>
  <c r="C343" i="3" s="1"/>
  <c r="D343" i="3" s="1"/>
  <c r="B343" i="4" s="1"/>
  <c r="B342" i="3"/>
  <c r="C342" i="3" s="1"/>
  <c r="D342" i="3" s="1"/>
  <c r="B342" i="4" s="1"/>
  <c r="B341" i="3"/>
  <c r="C341" i="3" s="1"/>
  <c r="D341" i="3" s="1"/>
  <c r="B341" i="4" s="1"/>
  <c r="B340" i="3"/>
  <c r="C340" i="3" s="1"/>
  <c r="D340" i="3" s="1"/>
  <c r="B340" i="4" s="1"/>
  <c r="B339" i="3"/>
  <c r="C339" i="3" s="1"/>
  <c r="D339" i="3" s="1"/>
  <c r="B339" i="4" s="1"/>
  <c r="B338" i="3"/>
  <c r="C338" i="3" s="1"/>
  <c r="D338" i="3" s="1"/>
  <c r="B338" i="4" s="1"/>
  <c r="B337" i="3"/>
  <c r="C337" i="3" s="1"/>
  <c r="D337" i="3" s="1"/>
  <c r="B337" i="4" s="1"/>
  <c r="C336" i="3"/>
  <c r="D336" i="3" s="1"/>
  <c r="B336" i="4" s="1"/>
  <c r="B336" i="3"/>
  <c r="B335" i="3"/>
  <c r="C335" i="3" s="1"/>
  <c r="D335" i="3" s="1"/>
  <c r="B335" i="4" s="1"/>
  <c r="C334" i="3"/>
  <c r="D334" i="3" s="1"/>
  <c r="B334" i="4" s="1"/>
  <c r="B334" i="3"/>
  <c r="B333" i="3"/>
  <c r="C333" i="3" s="1"/>
  <c r="D333" i="3" s="1"/>
  <c r="B333" i="4" s="1"/>
  <c r="D332" i="3"/>
  <c r="B332" i="4" s="1"/>
  <c r="C332" i="3"/>
  <c r="B332" i="3"/>
  <c r="B331" i="3"/>
  <c r="C331" i="3" s="1"/>
  <c r="D331" i="3" s="1"/>
  <c r="B331" i="4" s="1"/>
  <c r="B330" i="3"/>
  <c r="C330" i="3" s="1"/>
  <c r="D330" i="3" s="1"/>
  <c r="B330" i="4" s="1"/>
  <c r="B329" i="3"/>
  <c r="C329" i="3" s="1"/>
  <c r="D329" i="3" s="1"/>
  <c r="B329" i="4" s="1"/>
  <c r="C328" i="3"/>
  <c r="D328" i="3" s="1"/>
  <c r="B328" i="4" s="1"/>
  <c r="B328" i="3"/>
  <c r="B327" i="3"/>
  <c r="C327" i="3" s="1"/>
  <c r="D327" i="3" s="1"/>
  <c r="B327" i="4" s="1"/>
  <c r="B326" i="3"/>
  <c r="C326" i="3" s="1"/>
  <c r="D326" i="3" s="1"/>
  <c r="B326" i="4" s="1"/>
  <c r="B325" i="3"/>
  <c r="C325" i="3" s="1"/>
  <c r="D325" i="3" s="1"/>
  <c r="B325" i="4" s="1"/>
  <c r="B324" i="3"/>
  <c r="C324" i="3" s="1"/>
  <c r="D324" i="3" s="1"/>
  <c r="B324" i="4" s="1"/>
  <c r="B323" i="3"/>
  <c r="C323" i="3" s="1"/>
  <c r="D323" i="3" s="1"/>
  <c r="B323" i="4" s="1"/>
  <c r="D322" i="3"/>
  <c r="B322" i="4" s="1"/>
  <c r="B322" i="3"/>
  <c r="C322" i="3" s="1"/>
  <c r="B321" i="3"/>
  <c r="C321" i="3" s="1"/>
  <c r="D321" i="3" s="1"/>
  <c r="B321" i="4" s="1"/>
  <c r="B320" i="3"/>
  <c r="C320" i="3" s="1"/>
  <c r="D320" i="3" s="1"/>
  <c r="B320" i="4" s="1"/>
  <c r="B319" i="3"/>
  <c r="C319" i="3" s="1"/>
  <c r="D319" i="3" s="1"/>
  <c r="B319" i="4" s="1"/>
  <c r="B318" i="3"/>
  <c r="C318" i="3" s="1"/>
  <c r="D318" i="3" s="1"/>
  <c r="B318" i="4" s="1"/>
  <c r="B317" i="3"/>
  <c r="C317" i="3" s="1"/>
  <c r="D317" i="3" s="1"/>
  <c r="B317" i="4" s="1"/>
  <c r="D316" i="3"/>
  <c r="B316" i="4" s="1"/>
  <c r="C316" i="3"/>
  <c r="B316" i="3"/>
  <c r="B315" i="3"/>
  <c r="C315" i="3" s="1"/>
  <c r="D315" i="3" s="1"/>
  <c r="B315" i="4" s="1"/>
  <c r="B314" i="3"/>
  <c r="C314" i="3" s="1"/>
  <c r="D314" i="3" s="1"/>
  <c r="B314" i="4" s="1"/>
  <c r="D313" i="3"/>
  <c r="B313" i="4" s="1"/>
  <c r="B313" i="3"/>
  <c r="C313" i="3" s="1"/>
  <c r="B312" i="3"/>
  <c r="C312" i="3" s="1"/>
  <c r="D312" i="3" s="1"/>
  <c r="B312" i="4" s="1"/>
  <c r="D311" i="3"/>
  <c r="B311" i="4" s="1"/>
  <c r="B311" i="3"/>
  <c r="C311" i="3" s="1"/>
  <c r="B310" i="3"/>
  <c r="C310" i="3" s="1"/>
  <c r="D310" i="3" s="1"/>
  <c r="B310" i="4" s="1"/>
  <c r="C309" i="3"/>
  <c r="D309" i="3" s="1"/>
  <c r="B309" i="4" s="1"/>
  <c r="B309" i="3"/>
  <c r="B308" i="3"/>
  <c r="C308" i="3" s="1"/>
  <c r="D308" i="3" s="1"/>
  <c r="B308" i="4" s="1"/>
  <c r="B307" i="3"/>
  <c r="C307" i="3" s="1"/>
  <c r="D307" i="3" s="1"/>
  <c r="B307" i="4" s="1"/>
  <c r="B306" i="3"/>
  <c r="C306" i="3" s="1"/>
  <c r="D306" i="3" s="1"/>
  <c r="B306" i="4" s="1"/>
  <c r="B305" i="3"/>
  <c r="C305" i="3" s="1"/>
  <c r="D305" i="3" s="1"/>
  <c r="B305" i="4" s="1"/>
  <c r="B304" i="3"/>
  <c r="C304" i="3" s="1"/>
  <c r="D304" i="3" s="1"/>
  <c r="B304" i="4" s="1"/>
  <c r="B303" i="3"/>
  <c r="C303" i="3" s="1"/>
  <c r="D303" i="3" s="1"/>
  <c r="B303" i="4" s="1"/>
  <c r="B302" i="3"/>
  <c r="C302" i="3" s="1"/>
  <c r="D302" i="3" s="1"/>
  <c r="B302" i="4" s="1"/>
  <c r="B301" i="3"/>
  <c r="C301" i="3" s="1"/>
  <c r="D301" i="3" s="1"/>
  <c r="B301" i="4" s="1"/>
  <c r="C300" i="3"/>
  <c r="D300" i="3" s="1"/>
  <c r="B300" i="4" s="1"/>
  <c r="B300" i="3"/>
  <c r="B299" i="3"/>
  <c r="C299" i="3" s="1"/>
  <c r="D299" i="3" s="1"/>
  <c r="B299" i="4" s="1"/>
  <c r="B298" i="3"/>
  <c r="C298" i="3" s="1"/>
  <c r="D298" i="3" s="1"/>
  <c r="B298" i="4" s="1"/>
  <c r="B297" i="3"/>
  <c r="C297" i="3" s="1"/>
  <c r="D297" i="3" s="1"/>
  <c r="B297" i="4" s="1"/>
  <c r="B296" i="3"/>
  <c r="C296" i="3" s="1"/>
  <c r="D296" i="3" s="1"/>
  <c r="B296" i="4" s="1"/>
  <c r="B295" i="3"/>
  <c r="C295" i="3" s="1"/>
  <c r="D295" i="3" s="1"/>
  <c r="B295" i="4" s="1"/>
  <c r="B294" i="3"/>
  <c r="C294" i="3" s="1"/>
  <c r="D294" i="3" s="1"/>
  <c r="B294" i="4" s="1"/>
  <c r="B293" i="3"/>
  <c r="C293" i="3" s="1"/>
  <c r="D293" i="3" s="1"/>
  <c r="B293" i="4" s="1"/>
  <c r="C292" i="3"/>
  <c r="D292" i="3" s="1"/>
  <c r="B292" i="4" s="1"/>
  <c r="B292" i="3"/>
  <c r="D291" i="3"/>
  <c r="B291" i="4" s="1"/>
  <c r="B291" i="3"/>
  <c r="C291" i="3" s="1"/>
  <c r="B290" i="3"/>
  <c r="C290" i="3" s="1"/>
  <c r="D290" i="3" s="1"/>
  <c r="B290" i="4" s="1"/>
  <c r="B289" i="3"/>
  <c r="C289" i="3" s="1"/>
  <c r="D289" i="3" s="1"/>
  <c r="B289" i="4" s="1"/>
  <c r="B288" i="3"/>
  <c r="C288" i="3" s="1"/>
  <c r="D288" i="3" s="1"/>
  <c r="B288" i="4" s="1"/>
  <c r="B287" i="3"/>
  <c r="C287" i="3" s="1"/>
  <c r="D287" i="3" s="1"/>
  <c r="B287" i="4" s="1"/>
  <c r="B286" i="3"/>
  <c r="C286" i="3" s="1"/>
  <c r="D286" i="3" s="1"/>
  <c r="B286" i="4" s="1"/>
  <c r="B285" i="3"/>
  <c r="C285" i="3" s="1"/>
  <c r="D285" i="3" s="1"/>
  <c r="B285" i="4" s="1"/>
  <c r="B284" i="3"/>
  <c r="C284" i="3" s="1"/>
  <c r="D284" i="3" s="1"/>
  <c r="B284" i="4" s="1"/>
  <c r="B283" i="3"/>
  <c r="C283" i="3" s="1"/>
  <c r="D283" i="3" s="1"/>
  <c r="B283" i="4" s="1"/>
  <c r="C282" i="3"/>
  <c r="D282" i="3" s="1"/>
  <c r="B282" i="4" s="1"/>
  <c r="B282" i="3"/>
  <c r="B281" i="3"/>
  <c r="C281" i="3" s="1"/>
  <c r="D281" i="3" s="1"/>
  <c r="B281" i="4" s="1"/>
  <c r="C280" i="3"/>
  <c r="D280" i="3" s="1"/>
  <c r="B280" i="4" s="1"/>
  <c r="B280" i="3"/>
  <c r="B279" i="3"/>
  <c r="C279" i="3" s="1"/>
  <c r="D279" i="3" s="1"/>
  <c r="B279" i="4" s="1"/>
  <c r="C278" i="3"/>
  <c r="D278" i="3" s="1"/>
  <c r="B278" i="4" s="1"/>
  <c r="B278" i="3"/>
  <c r="B277" i="3"/>
  <c r="C277" i="3" s="1"/>
  <c r="D277" i="3" s="1"/>
  <c r="B277" i="4" s="1"/>
  <c r="B276" i="3"/>
  <c r="C276" i="3" s="1"/>
  <c r="D276" i="3" s="1"/>
  <c r="B276" i="4" s="1"/>
  <c r="D275" i="3"/>
  <c r="B275" i="4" s="1"/>
  <c r="B275" i="3"/>
  <c r="C275" i="3" s="1"/>
  <c r="C274" i="3"/>
  <c r="D274" i="3" s="1"/>
  <c r="B274" i="4" s="1"/>
  <c r="B274" i="3"/>
  <c r="B273" i="3"/>
  <c r="C273" i="3" s="1"/>
  <c r="D273" i="3" s="1"/>
  <c r="B273" i="4" s="1"/>
  <c r="B272" i="3"/>
  <c r="C272" i="3" s="1"/>
  <c r="D272" i="3" s="1"/>
  <c r="B272" i="4" s="1"/>
  <c r="B271" i="3"/>
  <c r="C271" i="3" s="1"/>
  <c r="D271" i="3" s="1"/>
  <c r="B271" i="4" s="1"/>
  <c r="B270" i="3"/>
  <c r="C270" i="3" s="1"/>
  <c r="D270" i="3" s="1"/>
  <c r="B270" i="4" s="1"/>
  <c r="B269" i="3"/>
  <c r="C269" i="3" s="1"/>
  <c r="D269" i="3" s="1"/>
  <c r="B269" i="4" s="1"/>
  <c r="B268" i="3"/>
  <c r="C268" i="3" s="1"/>
  <c r="D268" i="3" s="1"/>
  <c r="B268" i="4" s="1"/>
  <c r="D267" i="3"/>
  <c r="B267" i="4" s="1"/>
  <c r="B267" i="3"/>
  <c r="C267" i="3" s="1"/>
  <c r="B266" i="3"/>
  <c r="C266" i="3" s="1"/>
  <c r="D266" i="3" s="1"/>
  <c r="B266" i="4" s="1"/>
  <c r="B265" i="3"/>
  <c r="C265" i="3" s="1"/>
  <c r="D265" i="3" s="1"/>
  <c r="B265" i="4" s="1"/>
  <c r="B264" i="3"/>
  <c r="C264" i="3" s="1"/>
  <c r="D264" i="3" s="1"/>
  <c r="B264" i="4" s="1"/>
  <c r="B263" i="3"/>
  <c r="C263" i="3" s="1"/>
  <c r="D263" i="3" s="1"/>
  <c r="B263" i="4" s="1"/>
  <c r="D262" i="3"/>
  <c r="B262" i="4" s="1"/>
  <c r="C262" i="3"/>
  <c r="B262" i="3"/>
  <c r="C261" i="3"/>
  <c r="D261" i="3" s="1"/>
  <c r="B261" i="4" s="1"/>
  <c r="B261" i="3"/>
  <c r="C260" i="3"/>
  <c r="D260" i="3" s="1"/>
  <c r="B260" i="4" s="1"/>
  <c r="B260" i="3"/>
  <c r="C259" i="3"/>
  <c r="D259" i="3" s="1"/>
  <c r="B259" i="4" s="1"/>
  <c r="B259" i="3"/>
  <c r="C258" i="3"/>
  <c r="D258" i="3" s="1"/>
  <c r="B258" i="4" s="1"/>
  <c r="B258" i="3"/>
  <c r="B257" i="3"/>
  <c r="C257" i="3" s="1"/>
  <c r="D257" i="3" s="1"/>
  <c r="B257" i="4" s="1"/>
  <c r="D256" i="3"/>
  <c r="B256" i="4" s="1"/>
  <c r="B256" i="3"/>
  <c r="C256" i="3" s="1"/>
  <c r="B255" i="3"/>
  <c r="C255" i="3" s="1"/>
  <c r="D255" i="3" s="1"/>
  <c r="B255" i="4" s="1"/>
  <c r="B254" i="3"/>
  <c r="C254" i="3" s="1"/>
  <c r="D254" i="3" s="1"/>
  <c r="B254" i="4" s="1"/>
  <c r="B253" i="3"/>
  <c r="C253" i="3" s="1"/>
  <c r="D253" i="3" s="1"/>
  <c r="B253" i="4" s="1"/>
  <c r="B252" i="3"/>
  <c r="C252" i="3" s="1"/>
  <c r="D252" i="3" s="1"/>
  <c r="B252" i="4" s="1"/>
  <c r="B251" i="3"/>
  <c r="C251" i="3" s="1"/>
  <c r="D251" i="3" s="1"/>
  <c r="B251" i="4" s="1"/>
  <c r="B250" i="3"/>
  <c r="C250" i="3" s="1"/>
  <c r="D250" i="3" s="1"/>
  <c r="B250" i="4" s="1"/>
  <c r="B249" i="3"/>
  <c r="C249" i="3" s="1"/>
  <c r="D249" i="3" s="1"/>
  <c r="B249" i="4" s="1"/>
  <c r="D248" i="3"/>
  <c r="B248" i="4" s="1"/>
  <c r="C248" i="3"/>
  <c r="B248" i="3"/>
  <c r="D247" i="3"/>
  <c r="B247" i="4" s="1"/>
  <c r="B247" i="3"/>
  <c r="C247" i="3" s="1"/>
  <c r="B246" i="3"/>
  <c r="C246" i="3" s="1"/>
  <c r="D246" i="3" s="1"/>
  <c r="B246" i="4" s="1"/>
  <c r="D245" i="3"/>
  <c r="B245" i="4" s="1"/>
  <c r="B245" i="3"/>
  <c r="C245" i="3" s="1"/>
  <c r="B244" i="3"/>
  <c r="C244" i="3" s="1"/>
  <c r="D244" i="3" s="1"/>
  <c r="B244" i="4" s="1"/>
  <c r="D243" i="3"/>
  <c r="B243" i="4" s="1"/>
  <c r="B243" i="3"/>
  <c r="C243" i="3" s="1"/>
  <c r="C242" i="3"/>
  <c r="D242" i="3" s="1"/>
  <c r="B242" i="4" s="1"/>
  <c r="B242" i="3"/>
  <c r="B241" i="3"/>
  <c r="C241" i="3" s="1"/>
  <c r="D241" i="3" s="1"/>
  <c r="B241" i="4" s="1"/>
  <c r="B240" i="3"/>
  <c r="C240" i="3" s="1"/>
  <c r="D240" i="3" s="1"/>
  <c r="B240" i="4" s="1"/>
  <c r="D239" i="3"/>
  <c r="B239" i="4" s="1"/>
  <c r="C239" i="3"/>
  <c r="B239" i="3"/>
  <c r="B238" i="3"/>
  <c r="C238" i="3" s="1"/>
  <c r="D238" i="3" s="1"/>
  <c r="B238" i="4" s="1"/>
  <c r="C237" i="3"/>
  <c r="D237" i="3" s="1"/>
  <c r="B237" i="4" s="1"/>
  <c r="B237" i="3"/>
  <c r="D236" i="3"/>
  <c r="B236" i="4" s="1"/>
  <c r="B236" i="3"/>
  <c r="C236" i="3" s="1"/>
  <c r="B235" i="3"/>
  <c r="C235" i="3" s="1"/>
  <c r="D235" i="3" s="1"/>
  <c r="B235" i="4" s="1"/>
  <c r="B234" i="3"/>
  <c r="C234" i="3" s="1"/>
  <c r="D234" i="3" s="1"/>
  <c r="B234" i="4" s="1"/>
  <c r="B233" i="3"/>
  <c r="C233" i="3" s="1"/>
  <c r="D233" i="3" s="1"/>
  <c r="B233" i="4" s="1"/>
  <c r="D232" i="3"/>
  <c r="B232" i="4" s="1"/>
  <c r="C232" i="3"/>
  <c r="B232" i="3"/>
  <c r="B231" i="3"/>
  <c r="C231" i="3" s="1"/>
  <c r="D231" i="3" s="1"/>
  <c r="B231" i="4" s="1"/>
  <c r="B230" i="3"/>
  <c r="C230" i="3" s="1"/>
  <c r="D230" i="3" s="1"/>
  <c r="B230" i="4" s="1"/>
  <c r="B229" i="3"/>
  <c r="C229" i="3" s="1"/>
  <c r="D229" i="3" s="1"/>
  <c r="B229" i="4" s="1"/>
  <c r="B228" i="3"/>
  <c r="C228" i="3" s="1"/>
  <c r="D228" i="3" s="1"/>
  <c r="B228" i="4" s="1"/>
  <c r="D227" i="3"/>
  <c r="B227" i="4" s="1"/>
  <c r="B227" i="3"/>
  <c r="C227" i="3" s="1"/>
  <c r="B226" i="3"/>
  <c r="C226" i="3" s="1"/>
  <c r="D226" i="3" s="1"/>
  <c r="B226" i="4" s="1"/>
  <c r="B225" i="3"/>
  <c r="C225" i="3" s="1"/>
  <c r="D225" i="3" s="1"/>
  <c r="B225" i="4" s="1"/>
  <c r="B224" i="3"/>
  <c r="C224" i="3" s="1"/>
  <c r="D224" i="3" s="1"/>
  <c r="B224" i="4" s="1"/>
  <c r="B223" i="3"/>
  <c r="C223" i="3" s="1"/>
  <c r="D223" i="3" s="1"/>
  <c r="B223" i="4" s="1"/>
  <c r="B222" i="3"/>
  <c r="C222" i="3" s="1"/>
  <c r="D222" i="3" s="1"/>
  <c r="B222" i="4" s="1"/>
  <c r="B221" i="3"/>
  <c r="C221" i="3" s="1"/>
  <c r="D221" i="3" s="1"/>
  <c r="B221" i="4" s="1"/>
  <c r="B220" i="3"/>
  <c r="C220" i="3" s="1"/>
  <c r="D220" i="3" s="1"/>
  <c r="B220" i="4" s="1"/>
  <c r="B219" i="3"/>
  <c r="C219" i="3" s="1"/>
  <c r="D219" i="3" s="1"/>
  <c r="B219" i="4" s="1"/>
  <c r="B218" i="3"/>
  <c r="C218" i="3" s="1"/>
  <c r="D218" i="3" s="1"/>
  <c r="B218" i="4" s="1"/>
  <c r="B217" i="3"/>
  <c r="C217" i="3" s="1"/>
  <c r="D217" i="3" s="1"/>
  <c r="B217" i="4" s="1"/>
  <c r="C216" i="3"/>
  <c r="D216" i="3" s="1"/>
  <c r="B216" i="4" s="1"/>
  <c r="B216" i="3"/>
  <c r="B215" i="3"/>
  <c r="C215" i="3" s="1"/>
  <c r="D215" i="3" s="1"/>
  <c r="B215" i="4" s="1"/>
  <c r="B214" i="3"/>
  <c r="C214" i="3" s="1"/>
  <c r="D214" i="3" s="1"/>
  <c r="B214" i="4" s="1"/>
  <c r="D213" i="3"/>
  <c r="B213" i="4" s="1"/>
  <c r="B213" i="3"/>
  <c r="C213" i="3" s="1"/>
  <c r="B212" i="3"/>
  <c r="C212" i="3" s="1"/>
  <c r="D212" i="3" s="1"/>
  <c r="B212" i="4" s="1"/>
  <c r="D211" i="3"/>
  <c r="B211" i="4" s="1"/>
  <c r="B211" i="3"/>
  <c r="C211" i="3" s="1"/>
  <c r="D210" i="3"/>
  <c r="B210" i="4" s="1"/>
  <c r="B210" i="3"/>
  <c r="C210" i="3" s="1"/>
  <c r="B209" i="3"/>
  <c r="C209" i="3" s="1"/>
  <c r="D209" i="3" s="1"/>
  <c r="B209" i="4" s="1"/>
  <c r="B208" i="3"/>
  <c r="C208" i="3" s="1"/>
  <c r="D208" i="3" s="1"/>
  <c r="B208" i="4" s="1"/>
  <c r="D207" i="3"/>
  <c r="B207" i="4" s="1"/>
  <c r="B207" i="3"/>
  <c r="C207" i="3" s="1"/>
  <c r="B206" i="3"/>
  <c r="C206" i="3" s="1"/>
  <c r="D206" i="3" s="1"/>
  <c r="B206" i="4" s="1"/>
  <c r="D205" i="3"/>
  <c r="B205" i="4" s="1"/>
  <c r="B205" i="3"/>
  <c r="C205" i="3" s="1"/>
  <c r="B204" i="3"/>
  <c r="C204" i="3" s="1"/>
  <c r="D204" i="3" s="1"/>
  <c r="B204" i="4" s="1"/>
  <c r="B203" i="3"/>
  <c r="C203" i="3" s="1"/>
  <c r="D203" i="3" s="1"/>
  <c r="B203" i="4" s="1"/>
  <c r="B202" i="3"/>
  <c r="C202" i="3" s="1"/>
  <c r="D202" i="3" s="1"/>
  <c r="B202" i="4" s="1"/>
  <c r="B201" i="3"/>
  <c r="C201" i="3" s="1"/>
  <c r="D201" i="3" s="1"/>
  <c r="B201" i="4" s="1"/>
  <c r="C200" i="3"/>
  <c r="D200" i="3" s="1"/>
  <c r="B200" i="4" s="1"/>
  <c r="B200" i="3"/>
  <c r="B199" i="3"/>
  <c r="C199" i="3" s="1"/>
  <c r="D199" i="3" s="1"/>
  <c r="B199" i="4" s="1"/>
  <c r="C198" i="3"/>
  <c r="D198" i="3" s="1"/>
  <c r="B198" i="4" s="1"/>
  <c r="B198" i="3"/>
  <c r="B197" i="3"/>
  <c r="C197" i="3" s="1"/>
  <c r="D197" i="3" s="1"/>
  <c r="C196" i="3"/>
  <c r="D196" i="3" s="1"/>
  <c r="B196" i="4" s="1"/>
  <c r="B196" i="3"/>
  <c r="C195" i="3"/>
  <c r="D195" i="3" s="1"/>
  <c r="B195" i="4" s="1"/>
  <c r="B195" i="3"/>
  <c r="C194" i="3"/>
  <c r="D194" i="3" s="1"/>
  <c r="B194" i="4" s="1"/>
  <c r="B194" i="3"/>
  <c r="D193" i="3"/>
  <c r="B193" i="4" s="1"/>
  <c r="B193" i="3"/>
  <c r="C193" i="3" s="1"/>
  <c r="B192" i="3"/>
  <c r="C192" i="3" s="1"/>
  <c r="D192" i="3" s="1"/>
  <c r="B192" i="4" s="1"/>
  <c r="B191" i="3"/>
  <c r="C191" i="3" s="1"/>
  <c r="D191" i="3" s="1"/>
  <c r="B191" i="4" s="1"/>
  <c r="D190" i="3"/>
  <c r="B190" i="4" s="1"/>
  <c r="C190" i="3"/>
  <c r="B190" i="3"/>
  <c r="B189" i="3"/>
  <c r="C189" i="3" s="1"/>
  <c r="D189" i="3" s="1"/>
  <c r="B189" i="4" s="1"/>
  <c r="B188" i="3"/>
  <c r="C188" i="3" s="1"/>
  <c r="D188" i="3" s="1"/>
  <c r="B188" i="4" s="1"/>
  <c r="B187" i="3"/>
  <c r="C187" i="3" s="1"/>
  <c r="D187" i="3" s="1"/>
  <c r="B187" i="4" s="1"/>
  <c r="B186" i="3"/>
  <c r="C186" i="3" s="1"/>
  <c r="D186" i="3" s="1"/>
  <c r="B186" i="4" s="1"/>
  <c r="B185" i="3"/>
  <c r="C185" i="3" s="1"/>
  <c r="D185" i="3" s="1"/>
  <c r="B185" i="4" s="1"/>
  <c r="B184" i="3"/>
  <c r="C184" i="3" s="1"/>
  <c r="D184" i="3" s="1"/>
  <c r="B184" i="4" s="1"/>
  <c r="B183" i="3"/>
  <c r="C183" i="3" s="1"/>
  <c r="D183" i="3" s="1"/>
  <c r="B183" i="4" s="1"/>
  <c r="B182" i="3"/>
  <c r="C182" i="3" s="1"/>
  <c r="D182" i="3" s="1"/>
  <c r="B182" i="4" s="1"/>
  <c r="C181" i="3"/>
  <c r="D181" i="3" s="1"/>
  <c r="B181" i="4" s="1"/>
  <c r="B181" i="3"/>
  <c r="B180" i="3"/>
  <c r="C180" i="3" s="1"/>
  <c r="D180" i="3" s="1"/>
  <c r="B180" i="4" s="1"/>
  <c r="B179" i="3"/>
  <c r="C179" i="3" s="1"/>
  <c r="D179" i="3" s="1"/>
  <c r="B179" i="4" s="1"/>
  <c r="B178" i="3"/>
  <c r="C178" i="3" s="1"/>
  <c r="D178" i="3" s="1"/>
  <c r="B178" i="4" s="1"/>
  <c r="B177" i="3"/>
  <c r="C177" i="3" s="1"/>
  <c r="D177" i="3" s="1"/>
  <c r="B177" i="4" s="1"/>
  <c r="B176" i="3"/>
  <c r="C176" i="3" s="1"/>
  <c r="D176" i="3" s="1"/>
  <c r="B176" i="4" s="1"/>
  <c r="B175" i="3"/>
  <c r="C175" i="3" s="1"/>
  <c r="D175" i="3" s="1"/>
  <c r="B175" i="4" s="1"/>
  <c r="C174" i="3"/>
  <c r="D174" i="3" s="1"/>
  <c r="B174" i="4" s="1"/>
  <c r="B174" i="3"/>
  <c r="D173" i="3"/>
  <c r="B173" i="4" s="1"/>
  <c r="B173" i="3"/>
  <c r="C173" i="3" s="1"/>
  <c r="C172" i="3"/>
  <c r="D172" i="3" s="1"/>
  <c r="B172" i="4" s="1"/>
  <c r="B172" i="3"/>
  <c r="D171" i="3"/>
  <c r="B171" i="4" s="1"/>
  <c r="B171" i="3"/>
  <c r="C171" i="3" s="1"/>
  <c r="D170" i="3"/>
  <c r="B170" i="4" s="1"/>
  <c r="C170" i="3"/>
  <c r="B170" i="3"/>
  <c r="B169" i="3"/>
  <c r="C169" i="3" s="1"/>
  <c r="D169" i="3" s="1"/>
  <c r="B169" i="4" s="1"/>
  <c r="B168" i="3"/>
  <c r="C168" i="3" s="1"/>
  <c r="D168" i="3" s="1"/>
  <c r="B168" i="4" s="1"/>
  <c r="B167" i="3"/>
  <c r="C167" i="3" s="1"/>
  <c r="D167" i="3" s="1"/>
  <c r="B167" i="4" s="1"/>
  <c r="B166" i="3"/>
  <c r="C166" i="3" s="1"/>
  <c r="D166" i="3" s="1"/>
  <c r="B166" i="4" s="1"/>
  <c r="C165" i="3"/>
  <c r="D165" i="3" s="1"/>
  <c r="B165" i="4" s="1"/>
  <c r="B165" i="3"/>
  <c r="B164" i="3"/>
  <c r="C164" i="3" s="1"/>
  <c r="D164" i="3" s="1"/>
  <c r="B164" i="4" s="1"/>
  <c r="B163" i="3"/>
  <c r="C163" i="3" s="1"/>
  <c r="D163" i="3" s="1"/>
  <c r="B163" i="4" s="1"/>
  <c r="B162" i="3"/>
  <c r="C162" i="3" s="1"/>
  <c r="D162" i="3" s="1"/>
  <c r="B162" i="4" s="1"/>
  <c r="B161" i="3"/>
  <c r="C161" i="3" s="1"/>
  <c r="D161" i="3" s="1"/>
  <c r="B161" i="4" s="1"/>
  <c r="B160" i="3"/>
  <c r="C160" i="3" s="1"/>
  <c r="D160" i="3" s="1"/>
  <c r="B160" i="4" s="1"/>
  <c r="B159" i="3"/>
  <c r="C159" i="3" s="1"/>
  <c r="D159" i="3" s="1"/>
  <c r="B159" i="4" s="1"/>
  <c r="C158" i="3"/>
  <c r="D158" i="3" s="1"/>
  <c r="B158" i="4" s="1"/>
  <c r="B158" i="3"/>
  <c r="B157" i="3"/>
  <c r="C157" i="3" s="1"/>
  <c r="D157" i="3" s="1"/>
  <c r="B157" i="4" s="1"/>
  <c r="B156" i="3"/>
  <c r="C156" i="3" s="1"/>
  <c r="D156" i="3" s="1"/>
  <c r="B156" i="4" s="1"/>
  <c r="B155" i="3"/>
  <c r="C155" i="3" s="1"/>
  <c r="D155" i="3" s="1"/>
  <c r="B155" i="4" s="1"/>
  <c r="C154" i="3"/>
  <c r="D154" i="3" s="1"/>
  <c r="B154" i="4" s="1"/>
  <c r="B154" i="3"/>
  <c r="B153" i="3"/>
  <c r="C153" i="3" s="1"/>
  <c r="D153" i="3" s="1"/>
  <c r="B153" i="4" s="1"/>
  <c r="C152" i="3"/>
  <c r="D152" i="3" s="1"/>
  <c r="B152" i="4" s="1"/>
  <c r="B152" i="3"/>
  <c r="B151" i="3"/>
  <c r="C151" i="3" s="1"/>
  <c r="D151" i="3" s="1"/>
  <c r="B151" i="4" s="1"/>
  <c r="B150" i="3"/>
  <c r="C150" i="3" s="1"/>
  <c r="D150" i="3" s="1"/>
  <c r="B150" i="4" s="1"/>
  <c r="B149" i="3"/>
  <c r="C149" i="3" s="1"/>
  <c r="D149" i="3" s="1"/>
  <c r="B149" i="4" s="1"/>
  <c r="B148" i="3"/>
  <c r="C148" i="3" s="1"/>
  <c r="D148" i="3" s="1"/>
  <c r="B148" i="4" s="1"/>
  <c r="B147" i="3"/>
  <c r="C147" i="3" s="1"/>
  <c r="D147" i="3" s="1"/>
  <c r="B147" i="4" s="1"/>
  <c r="B146" i="3"/>
  <c r="C146" i="3" s="1"/>
  <c r="D146" i="3" s="1"/>
  <c r="B146" i="4" s="1"/>
  <c r="B145" i="3"/>
  <c r="C145" i="3" s="1"/>
  <c r="D145" i="3" s="1"/>
  <c r="B145" i="4" s="1"/>
  <c r="B144" i="3"/>
  <c r="C144" i="3" s="1"/>
  <c r="D144" i="3" s="1"/>
  <c r="B144" i="4" s="1"/>
  <c r="B143" i="3"/>
  <c r="C143" i="3" s="1"/>
  <c r="D143" i="3" s="1"/>
  <c r="B143" i="4" s="1"/>
  <c r="B142" i="3"/>
  <c r="C142" i="3" s="1"/>
  <c r="D142" i="3" s="1"/>
  <c r="B142" i="4" s="1"/>
  <c r="C141" i="3"/>
  <c r="D141" i="3" s="1"/>
  <c r="B141" i="4" s="1"/>
  <c r="B141" i="3"/>
  <c r="B140" i="3"/>
  <c r="C140" i="3" s="1"/>
  <c r="D140" i="3" s="1"/>
  <c r="B140" i="4" s="1"/>
  <c r="C139" i="3"/>
  <c r="D139" i="3" s="1"/>
  <c r="B139" i="4" s="1"/>
  <c r="B139" i="3"/>
  <c r="B138" i="3"/>
  <c r="C138" i="3" s="1"/>
  <c r="D138" i="3" s="1"/>
  <c r="B138" i="4" s="1"/>
  <c r="B137" i="3"/>
  <c r="C137" i="3" s="1"/>
  <c r="D137" i="3" s="1"/>
  <c r="B137" i="4" s="1"/>
  <c r="B136" i="3"/>
  <c r="C136" i="3" s="1"/>
  <c r="D136" i="3" s="1"/>
  <c r="B136" i="4" s="1"/>
  <c r="D135" i="3"/>
  <c r="B135" i="4" s="1"/>
  <c r="C135" i="3"/>
  <c r="B135" i="3"/>
  <c r="B134" i="3"/>
  <c r="C134" i="3" s="1"/>
  <c r="D134" i="3" s="1"/>
  <c r="B134" i="4" s="1"/>
  <c r="B133" i="3"/>
  <c r="C133" i="3" s="1"/>
  <c r="D133" i="3" s="1"/>
  <c r="B133" i="4" s="1"/>
  <c r="C132" i="3"/>
  <c r="D132" i="3" s="1"/>
  <c r="B132" i="4" s="1"/>
  <c r="B132" i="3"/>
  <c r="B131" i="3"/>
  <c r="C131" i="3" s="1"/>
  <c r="D131" i="3" s="1"/>
  <c r="B131" i="4" s="1"/>
  <c r="C130" i="3"/>
  <c r="D130" i="3" s="1"/>
  <c r="B130" i="4" s="1"/>
  <c r="B130" i="3"/>
  <c r="C129" i="3"/>
  <c r="D129" i="3" s="1"/>
  <c r="B129" i="4" s="1"/>
  <c r="B129" i="3"/>
  <c r="B128" i="3"/>
  <c r="C128" i="3" s="1"/>
  <c r="D128" i="3" s="1"/>
  <c r="B128" i="4" s="1"/>
  <c r="D127" i="3"/>
  <c r="B127" i="4" s="1"/>
  <c r="B127" i="3"/>
  <c r="C127" i="3" s="1"/>
  <c r="B126" i="3"/>
  <c r="C126" i="3" s="1"/>
  <c r="D126" i="3" s="1"/>
  <c r="B126" i="4" s="1"/>
  <c r="B125" i="3"/>
  <c r="C125" i="3" s="1"/>
  <c r="D125" i="3" s="1"/>
  <c r="B125" i="4" s="1"/>
  <c r="B124" i="3"/>
  <c r="C124" i="3" s="1"/>
  <c r="D124" i="3" s="1"/>
  <c r="B124" i="4" s="1"/>
  <c r="B123" i="3"/>
  <c r="C123" i="3" s="1"/>
  <c r="D123" i="3" s="1"/>
  <c r="B123" i="4" s="1"/>
  <c r="B122" i="3"/>
  <c r="C122" i="3" s="1"/>
  <c r="D122" i="3" s="1"/>
  <c r="B122" i="4" s="1"/>
  <c r="B121" i="3"/>
  <c r="C121" i="3" s="1"/>
  <c r="D121" i="3" s="1"/>
  <c r="B121" i="4" s="1"/>
  <c r="B120" i="3"/>
  <c r="C120" i="3" s="1"/>
  <c r="D120" i="3" s="1"/>
  <c r="B120" i="4" s="1"/>
  <c r="C119" i="3"/>
  <c r="D119" i="3" s="1"/>
  <c r="B119" i="4" s="1"/>
  <c r="B119" i="3"/>
  <c r="B118" i="3"/>
  <c r="C118" i="3" s="1"/>
  <c r="D118" i="3" s="1"/>
  <c r="B118" i="4" s="1"/>
  <c r="C117" i="3"/>
  <c r="D117" i="3" s="1"/>
  <c r="B117" i="4" s="1"/>
  <c r="B117" i="3"/>
  <c r="B116" i="3"/>
  <c r="C116" i="3" s="1"/>
  <c r="D116" i="3" s="1"/>
  <c r="B116" i="4" s="1"/>
  <c r="B115" i="3"/>
  <c r="C115" i="3" s="1"/>
  <c r="D115" i="3" s="1"/>
  <c r="B115" i="4" s="1"/>
  <c r="C114" i="3"/>
  <c r="D114" i="3" s="1"/>
  <c r="B114" i="4" s="1"/>
  <c r="B114" i="3"/>
  <c r="D113" i="3"/>
  <c r="B113" i="4" s="1"/>
  <c r="B113" i="3"/>
  <c r="C113" i="3" s="1"/>
  <c r="D112" i="3"/>
  <c r="B112" i="4" s="1"/>
  <c r="B112" i="3"/>
  <c r="C112" i="3" s="1"/>
  <c r="D111" i="3"/>
  <c r="B111" i="4" s="1"/>
  <c r="B111" i="3"/>
  <c r="C111" i="3" s="1"/>
  <c r="B110" i="3"/>
  <c r="C110" i="3" s="1"/>
  <c r="D110" i="3" s="1"/>
  <c r="B110" i="4" s="1"/>
  <c r="C109" i="3"/>
  <c r="D109" i="3" s="1"/>
  <c r="B109" i="4" s="1"/>
  <c r="B109" i="3"/>
  <c r="B108" i="3"/>
  <c r="C108" i="3" s="1"/>
  <c r="D108" i="3" s="1"/>
  <c r="B108" i="4" s="1"/>
  <c r="B107" i="3"/>
  <c r="C107" i="3" s="1"/>
  <c r="D107" i="3" s="1"/>
  <c r="B107" i="4" s="1"/>
  <c r="B106" i="3"/>
  <c r="C106" i="3" s="1"/>
  <c r="D106" i="3" s="1"/>
  <c r="B106" i="4" s="1"/>
  <c r="B105" i="3"/>
  <c r="C105" i="3" s="1"/>
  <c r="D105" i="3" s="1"/>
  <c r="B105" i="4" s="1"/>
  <c r="B104" i="3"/>
  <c r="C104" i="3" s="1"/>
  <c r="D104" i="3" s="1"/>
  <c r="B104" i="4" s="1"/>
  <c r="B103" i="3"/>
  <c r="C103" i="3" s="1"/>
  <c r="D103" i="3" s="1"/>
  <c r="B103" i="4" s="1"/>
  <c r="B102" i="3"/>
  <c r="C102" i="3" s="1"/>
  <c r="D102" i="3" s="1"/>
  <c r="B102" i="4" s="1"/>
  <c r="B101" i="3"/>
  <c r="C101" i="3" s="1"/>
  <c r="D101" i="3" s="1"/>
  <c r="B101" i="4" s="1"/>
  <c r="C100" i="3"/>
  <c r="D100" i="3" s="1"/>
  <c r="B100" i="4" s="1"/>
  <c r="B100" i="3"/>
  <c r="D99" i="3"/>
  <c r="B99" i="4" s="1"/>
  <c r="B99" i="3"/>
  <c r="C99" i="3" s="1"/>
  <c r="D98" i="3"/>
  <c r="B98" i="4" s="1"/>
  <c r="C98" i="3"/>
  <c r="B98" i="3"/>
  <c r="B97" i="3"/>
  <c r="C97" i="3" s="1"/>
  <c r="D97" i="3" s="1"/>
  <c r="B97" i="4" s="1"/>
  <c r="C96" i="3"/>
  <c r="D96" i="3" s="1"/>
  <c r="B96" i="4" s="1"/>
  <c r="B96" i="3"/>
  <c r="C95" i="3"/>
  <c r="D95" i="3" s="1"/>
  <c r="B95" i="4" s="1"/>
  <c r="B95" i="3"/>
  <c r="C94" i="3"/>
  <c r="D94" i="3" s="1"/>
  <c r="B94" i="4" s="1"/>
  <c r="B94" i="3"/>
  <c r="B93" i="3"/>
  <c r="C93" i="3" s="1"/>
  <c r="D93" i="3" s="1"/>
  <c r="B93" i="4" s="1"/>
  <c r="B92" i="3"/>
  <c r="C92" i="3" s="1"/>
  <c r="D92" i="3" s="1"/>
  <c r="B92" i="4" s="1"/>
  <c r="B91" i="3"/>
  <c r="C91" i="3" s="1"/>
  <c r="D91" i="3" s="1"/>
  <c r="B91" i="4" s="1"/>
  <c r="B90" i="3"/>
  <c r="C90" i="3" s="1"/>
  <c r="D90" i="3" s="1"/>
  <c r="B90" i="4" s="1"/>
  <c r="C89" i="3"/>
  <c r="D89" i="3" s="1"/>
  <c r="B89" i="4" s="1"/>
  <c r="B89" i="3"/>
  <c r="C88" i="3"/>
  <c r="D88" i="3" s="1"/>
  <c r="B88" i="4" s="1"/>
  <c r="B88" i="3"/>
  <c r="B87" i="3"/>
  <c r="C87" i="3" s="1"/>
  <c r="D87" i="3" s="1"/>
  <c r="B87" i="4" s="1"/>
  <c r="B86" i="3"/>
  <c r="C86" i="3" s="1"/>
  <c r="D86" i="3" s="1"/>
  <c r="B86" i="4" s="1"/>
  <c r="D85" i="3"/>
  <c r="B85" i="4" s="1"/>
  <c r="B85" i="3"/>
  <c r="C85" i="3" s="1"/>
  <c r="B84" i="3"/>
  <c r="C84" i="3" s="1"/>
  <c r="D84" i="3" s="1"/>
  <c r="B84" i="4" s="1"/>
  <c r="B83" i="3"/>
  <c r="C83" i="3" s="1"/>
  <c r="D83" i="3" s="1"/>
  <c r="B83" i="4" s="1"/>
  <c r="B82" i="3"/>
  <c r="C82" i="3" s="1"/>
  <c r="D82" i="3" s="1"/>
  <c r="B82" i="4" s="1"/>
  <c r="B81" i="3"/>
  <c r="C81" i="3" s="1"/>
  <c r="D81" i="3" s="1"/>
  <c r="B81" i="4" s="1"/>
  <c r="B80" i="3"/>
  <c r="C80" i="3" s="1"/>
  <c r="D80" i="3" s="1"/>
  <c r="B80" i="4" s="1"/>
  <c r="B79" i="3"/>
  <c r="C79" i="3" s="1"/>
  <c r="D79" i="3" s="1"/>
  <c r="B79" i="4" s="1"/>
  <c r="C78" i="3"/>
  <c r="D78" i="3" s="1"/>
  <c r="B78" i="4" s="1"/>
  <c r="B78" i="3"/>
  <c r="C77" i="3"/>
  <c r="D77" i="3" s="1"/>
  <c r="B77" i="4" s="1"/>
  <c r="B77" i="3"/>
  <c r="B76" i="3"/>
  <c r="C76" i="3" s="1"/>
  <c r="D76" i="3" s="1"/>
  <c r="B76" i="4" s="1"/>
  <c r="B75" i="3"/>
  <c r="C75" i="3" s="1"/>
  <c r="D75" i="3" s="1"/>
  <c r="B75" i="4" s="1"/>
  <c r="C74" i="3"/>
  <c r="D74" i="3" s="1"/>
  <c r="B74" i="4" s="1"/>
  <c r="B74" i="3"/>
  <c r="D73" i="3"/>
  <c r="B73" i="4" s="1"/>
  <c r="B73" i="3"/>
  <c r="C73" i="3" s="1"/>
  <c r="B72" i="3"/>
  <c r="C72" i="3" s="1"/>
  <c r="D72" i="3" s="1"/>
  <c r="B72" i="4" s="1"/>
  <c r="B71" i="3"/>
  <c r="C71" i="3" s="1"/>
  <c r="D71" i="3" s="1"/>
  <c r="B71" i="4" s="1"/>
  <c r="D70" i="3"/>
  <c r="B70" i="4" s="1"/>
  <c r="C70" i="3"/>
  <c r="B70" i="3"/>
  <c r="B69" i="3"/>
  <c r="C69" i="3" s="1"/>
  <c r="D69" i="3" s="1"/>
  <c r="B68" i="3"/>
  <c r="C68" i="3" s="1"/>
  <c r="D68" i="3" s="1"/>
  <c r="B68" i="4" s="1"/>
  <c r="B67" i="3"/>
  <c r="C67" i="3" s="1"/>
  <c r="D67" i="3" s="1"/>
  <c r="B67" i="4" s="1"/>
  <c r="B66" i="3"/>
  <c r="C66" i="3" s="1"/>
  <c r="D66" i="3" s="1"/>
  <c r="B66" i="4" s="1"/>
  <c r="C65" i="3"/>
  <c r="D65" i="3" s="1"/>
  <c r="B65" i="4" s="1"/>
  <c r="B65" i="3"/>
  <c r="B64" i="3"/>
  <c r="C64" i="3" s="1"/>
  <c r="D64" i="3" s="1"/>
  <c r="B64" i="4" s="1"/>
  <c r="B63" i="3"/>
  <c r="C63" i="3" s="1"/>
  <c r="D63" i="3" s="1"/>
  <c r="B63" i="4" s="1"/>
  <c r="C62" i="3"/>
  <c r="D62" i="3" s="1"/>
  <c r="B62" i="4" s="1"/>
  <c r="B62" i="3"/>
  <c r="B61" i="3"/>
  <c r="C61" i="3" s="1"/>
  <c r="D61" i="3" s="1"/>
  <c r="B61" i="4" s="1"/>
  <c r="C60" i="3"/>
  <c r="D60" i="3" s="1"/>
  <c r="B60" i="4" s="1"/>
  <c r="B60" i="3"/>
  <c r="C59" i="3"/>
  <c r="D59" i="3" s="1"/>
  <c r="B59" i="4" s="1"/>
  <c r="B59" i="3"/>
  <c r="D58" i="3"/>
  <c r="B58" i="4" s="1"/>
  <c r="B58" i="3"/>
  <c r="C58" i="3" s="1"/>
  <c r="B57" i="3"/>
  <c r="C57" i="3" s="1"/>
  <c r="D57" i="3" s="1"/>
  <c r="B57" i="4" s="1"/>
  <c r="B56" i="3"/>
  <c r="C56" i="3" s="1"/>
  <c r="D56" i="3" s="1"/>
  <c r="B56" i="4" s="1"/>
  <c r="B55" i="3"/>
  <c r="C55" i="3" s="1"/>
  <c r="D55" i="3" s="1"/>
  <c r="B55" i="4" s="1"/>
  <c r="B54" i="3"/>
  <c r="C54" i="3" s="1"/>
  <c r="D54" i="3" s="1"/>
  <c r="B54" i="4" s="1"/>
  <c r="D53" i="3"/>
  <c r="B53" i="4" s="1"/>
  <c r="B53" i="3"/>
  <c r="C53" i="3" s="1"/>
  <c r="B52" i="3"/>
  <c r="C52" i="3" s="1"/>
  <c r="D52" i="3" s="1"/>
  <c r="B52" i="4" s="1"/>
  <c r="B51" i="3"/>
  <c r="C51" i="3" s="1"/>
  <c r="D51" i="3" s="1"/>
  <c r="B51" i="4" s="1"/>
  <c r="B50" i="3"/>
  <c r="C50" i="3" s="1"/>
  <c r="D50" i="3" s="1"/>
  <c r="B50" i="4" s="1"/>
  <c r="C49" i="3"/>
  <c r="D49" i="3" s="1"/>
  <c r="B49" i="4" s="1"/>
  <c r="B49" i="3"/>
  <c r="B48" i="3"/>
  <c r="C48" i="3" s="1"/>
  <c r="D48" i="3" s="1"/>
  <c r="B48" i="4" s="1"/>
  <c r="D47" i="3"/>
  <c r="B47" i="4" s="1"/>
  <c r="B47" i="3"/>
  <c r="C47" i="3" s="1"/>
  <c r="B46" i="3"/>
  <c r="C46" i="3" s="1"/>
  <c r="D46" i="3" s="1"/>
  <c r="B46" i="4" s="1"/>
  <c r="B45" i="3"/>
  <c r="C45" i="3" s="1"/>
  <c r="D45" i="3" s="1"/>
  <c r="B45" i="4" s="1"/>
  <c r="B44" i="3"/>
  <c r="C44" i="3" s="1"/>
  <c r="D44" i="3" s="1"/>
  <c r="B44" i="4" s="1"/>
  <c r="B43" i="3"/>
  <c r="C43" i="3" s="1"/>
  <c r="D43" i="3" s="1"/>
  <c r="B43" i="4" s="1"/>
  <c r="C42" i="3"/>
  <c r="D42" i="3" s="1"/>
  <c r="B42" i="4" s="1"/>
  <c r="B42" i="3"/>
  <c r="C41" i="3"/>
  <c r="D41" i="3" s="1"/>
  <c r="B41" i="4" s="1"/>
  <c r="B41" i="3"/>
  <c r="C40" i="3"/>
  <c r="D40" i="3" s="1"/>
  <c r="B40" i="4" s="1"/>
  <c r="B40" i="3"/>
  <c r="B39" i="3"/>
  <c r="C39" i="3" s="1"/>
  <c r="D39" i="3" s="1"/>
  <c r="B39" i="4" s="1"/>
  <c r="C38" i="3"/>
  <c r="D38" i="3" s="1"/>
  <c r="B38" i="4" s="1"/>
  <c r="B38" i="3"/>
  <c r="C37" i="3"/>
  <c r="D37" i="3" s="1"/>
  <c r="B37" i="4" s="1"/>
  <c r="B37" i="3"/>
  <c r="C36" i="3"/>
  <c r="D36" i="3" s="1"/>
  <c r="B36" i="4" s="1"/>
  <c r="B36" i="3"/>
  <c r="B35" i="3"/>
  <c r="C35" i="3" s="1"/>
  <c r="D35" i="3" s="1"/>
  <c r="B35" i="4" s="1"/>
  <c r="D34" i="3"/>
  <c r="B34" i="4" s="1"/>
  <c r="C34" i="3"/>
  <c r="B34" i="3"/>
  <c r="B33" i="3"/>
  <c r="C33" i="3" s="1"/>
  <c r="D33" i="3" s="1"/>
  <c r="B33" i="4" s="1"/>
  <c r="B32" i="3"/>
  <c r="C32" i="3" s="1"/>
  <c r="D32" i="3" s="1"/>
  <c r="B32" i="4" s="1"/>
  <c r="B31" i="3"/>
  <c r="C31" i="3" s="1"/>
  <c r="D31" i="3" s="1"/>
  <c r="B31" i="4" s="1"/>
  <c r="C30" i="3"/>
  <c r="D30" i="3" s="1"/>
  <c r="B30" i="4" s="1"/>
  <c r="B30" i="3"/>
  <c r="B29" i="3"/>
  <c r="C29" i="3" s="1"/>
  <c r="D29" i="3" s="1"/>
  <c r="B29" i="4" s="1"/>
  <c r="B28" i="3"/>
  <c r="C28" i="3" s="1"/>
  <c r="D28" i="3" s="1"/>
  <c r="B28" i="4" s="1"/>
  <c r="B27" i="3"/>
  <c r="C27" i="3" s="1"/>
  <c r="D27" i="3" s="1"/>
  <c r="B27" i="4" s="1"/>
  <c r="B26" i="3"/>
  <c r="C26" i="3" s="1"/>
  <c r="D26" i="3" s="1"/>
  <c r="B26" i="4" s="1"/>
  <c r="C25" i="3"/>
  <c r="D25" i="3" s="1"/>
  <c r="B25" i="4" s="1"/>
  <c r="B25" i="3"/>
  <c r="B24" i="3"/>
  <c r="C24" i="3" s="1"/>
  <c r="D24" i="3" s="1"/>
  <c r="B24" i="4" s="1"/>
  <c r="B23" i="3"/>
  <c r="C23" i="3" s="1"/>
  <c r="D23" i="3" s="1"/>
  <c r="B23" i="4" s="1"/>
  <c r="C22" i="3"/>
  <c r="D22" i="3" s="1"/>
  <c r="B22" i="4" s="1"/>
  <c r="B22" i="3"/>
  <c r="B21" i="3"/>
  <c r="C21" i="3" s="1"/>
  <c r="D21" i="3" s="1"/>
  <c r="B21" i="4" s="1"/>
  <c r="C20" i="3"/>
  <c r="D20" i="3" s="1"/>
  <c r="B20" i="4" s="1"/>
  <c r="B20" i="3"/>
  <c r="B19" i="3"/>
  <c r="C19" i="3" s="1"/>
  <c r="D19" i="3" s="1"/>
  <c r="B19" i="4" s="1"/>
  <c r="B18" i="3"/>
  <c r="C18" i="3" s="1"/>
  <c r="D18" i="3" s="1"/>
  <c r="B18" i="4" s="1"/>
  <c r="B17" i="3"/>
  <c r="C17" i="3" s="1"/>
  <c r="D17" i="3" s="1"/>
  <c r="B17" i="4" s="1"/>
  <c r="D16" i="3"/>
  <c r="B16" i="4" s="1"/>
  <c r="C16" i="3"/>
  <c r="B16" i="3"/>
  <c r="C15" i="3"/>
  <c r="D15" i="3" s="1"/>
  <c r="B15" i="4" s="1"/>
  <c r="B15" i="3"/>
  <c r="B14" i="3"/>
  <c r="C14" i="3" s="1"/>
  <c r="D14" i="3" s="1"/>
  <c r="B14" i="4" s="1"/>
  <c r="B13" i="3"/>
  <c r="C13" i="3" s="1"/>
  <c r="D13" i="3" s="1"/>
  <c r="B13" i="4" s="1"/>
  <c r="C12" i="3"/>
  <c r="D12" i="3" s="1"/>
  <c r="B12" i="4" s="1"/>
  <c r="B12" i="3"/>
  <c r="B11" i="3"/>
  <c r="C11" i="3" s="1"/>
  <c r="D11" i="3" s="1"/>
  <c r="B11" i="4" s="1"/>
  <c r="C10" i="3"/>
  <c r="D10" i="3" s="1"/>
  <c r="B10" i="4" s="1"/>
  <c r="B10" i="3"/>
  <c r="D9" i="3"/>
  <c r="B9" i="4" s="1"/>
  <c r="B9" i="3"/>
  <c r="C9" i="3" s="1"/>
  <c r="B8" i="3"/>
  <c r="C8" i="3" s="1"/>
  <c r="D8" i="3" s="1"/>
  <c r="B7" i="3"/>
  <c r="C7" i="3" s="1"/>
  <c r="D7" i="3" s="1"/>
  <c r="B7" i="4" s="1"/>
  <c r="B6" i="3"/>
  <c r="C6" i="3" s="1"/>
  <c r="D6" i="3" s="1"/>
  <c r="B6" i="4" s="1"/>
  <c r="B5" i="3"/>
  <c r="C5" i="3" s="1"/>
  <c r="D5" i="3" s="1"/>
  <c r="B5" i="4" s="1"/>
  <c r="B4" i="3"/>
  <c r="C4" i="3" s="1"/>
  <c r="D4" i="3" s="1"/>
  <c r="B4" i="4" s="1"/>
  <c r="B3" i="3"/>
  <c r="C3" i="3" s="1"/>
  <c r="D3" i="3" s="1"/>
  <c r="B3" i="4" s="1"/>
  <c r="B2" i="3"/>
  <c r="C2" i="3" s="1"/>
  <c r="D2" i="3" s="1"/>
  <c r="B2" i="4" s="1"/>
  <c r="V149" i="12"/>
  <c r="W149" i="12" s="1"/>
  <c r="U149" i="12"/>
  <c r="U148" i="12"/>
  <c r="V148" i="12" s="1"/>
  <c r="W148" i="12" s="1"/>
  <c r="W147" i="12"/>
  <c r="U147" i="12"/>
  <c r="V147" i="12" s="1"/>
  <c r="V146" i="12"/>
  <c r="W146" i="12" s="1"/>
  <c r="U146" i="12"/>
  <c r="U145" i="12"/>
  <c r="V145" i="12" s="1"/>
  <c r="W145" i="12" s="1"/>
  <c r="U144" i="12"/>
  <c r="V144" i="12" s="1"/>
  <c r="W144" i="12" s="1"/>
  <c r="U143" i="12"/>
  <c r="V143" i="12" s="1"/>
  <c r="W143" i="12" s="1"/>
  <c r="V142" i="12"/>
  <c r="W142" i="12" s="1"/>
  <c r="U142" i="12"/>
  <c r="U141" i="12"/>
  <c r="V141" i="12" s="1"/>
  <c r="W141" i="12" s="1"/>
  <c r="V140" i="12"/>
  <c r="W140" i="12" s="1"/>
  <c r="U140" i="12"/>
  <c r="W139" i="12"/>
  <c r="U139" i="12"/>
  <c r="V139" i="12" s="1"/>
  <c r="U138" i="12"/>
  <c r="V138" i="12" s="1"/>
  <c r="W138" i="12" s="1"/>
  <c r="U137" i="12"/>
  <c r="V137" i="12" s="1"/>
  <c r="W137" i="12" s="1"/>
  <c r="U136" i="12"/>
  <c r="V136" i="12" s="1"/>
  <c r="W136" i="12" s="1"/>
  <c r="U135" i="12"/>
  <c r="V135" i="12" s="1"/>
  <c r="W135" i="12" s="1"/>
  <c r="U134" i="12"/>
  <c r="V134" i="12" s="1"/>
  <c r="W134" i="12" s="1"/>
  <c r="V133" i="12"/>
  <c r="W133" i="12" s="1"/>
  <c r="U133" i="12"/>
  <c r="U132" i="12"/>
  <c r="V132" i="12" s="1"/>
  <c r="W132" i="12" s="1"/>
  <c r="U131" i="12"/>
  <c r="V131" i="12" s="1"/>
  <c r="W131" i="12" s="1"/>
  <c r="U130" i="12"/>
  <c r="V130" i="12" s="1"/>
  <c r="W130" i="12" s="1"/>
  <c r="U129" i="12"/>
  <c r="V129" i="12" s="1"/>
  <c r="W129" i="12" s="1"/>
  <c r="V128" i="12"/>
  <c r="W128" i="12" s="1"/>
  <c r="U128" i="12"/>
  <c r="U127" i="12"/>
  <c r="V127" i="12" s="1"/>
  <c r="W127" i="12" s="1"/>
  <c r="U126" i="12"/>
  <c r="V126" i="12" s="1"/>
  <c r="W126" i="12" s="1"/>
  <c r="V125" i="12"/>
  <c r="W125" i="12" s="1"/>
  <c r="U125" i="12"/>
  <c r="U124" i="12"/>
  <c r="V124" i="12" s="1"/>
  <c r="W124" i="12" s="1"/>
  <c r="U123" i="12"/>
  <c r="V123" i="12" s="1"/>
  <c r="W123" i="12" s="1"/>
  <c r="V122" i="12"/>
  <c r="W122" i="12" s="1"/>
  <c r="U122" i="12"/>
  <c r="U121" i="12"/>
  <c r="V121" i="12" s="1"/>
  <c r="W121" i="12" s="1"/>
  <c r="U120" i="12"/>
  <c r="V120" i="12" s="1"/>
  <c r="W120" i="12" s="1"/>
  <c r="U119" i="12"/>
  <c r="V119" i="12" s="1"/>
  <c r="W119" i="12" s="1"/>
  <c r="W118" i="12"/>
  <c r="V118" i="12"/>
  <c r="U118" i="12"/>
  <c r="U117" i="12"/>
  <c r="V117" i="12" s="1"/>
  <c r="W117" i="12" s="1"/>
  <c r="U116" i="12"/>
  <c r="V116" i="12" s="1"/>
  <c r="W116" i="12" s="1"/>
  <c r="W115" i="12"/>
  <c r="U115" i="12"/>
  <c r="V115" i="12" s="1"/>
  <c r="U114" i="12"/>
  <c r="V114" i="12" s="1"/>
  <c r="W114" i="12" s="1"/>
  <c r="V113" i="12"/>
  <c r="W113" i="12" s="1"/>
  <c r="U113" i="12"/>
  <c r="U112" i="12"/>
  <c r="V112" i="12" s="1"/>
  <c r="W112" i="12" s="1"/>
  <c r="U111" i="12"/>
  <c r="V111" i="12" s="1"/>
  <c r="W111" i="12" s="1"/>
  <c r="V110" i="12"/>
  <c r="W110" i="12" s="1"/>
  <c r="U110" i="12"/>
  <c r="U109" i="12"/>
  <c r="V109" i="12" s="1"/>
  <c r="W109" i="12" s="1"/>
  <c r="U108" i="12"/>
  <c r="V108" i="12" s="1"/>
  <c r="W108" i="12" s="1"/>
  <c r="V107" i="12"/>
  <c r="W107" i="12" s="1"/>
  <c r="U107" i="12"/>
  <c r="V106" i="12"/>
  <c r="W106" i="12" s="1"/>
  <c r="U106" i="12"/>
  <c r="U105" i="12"/>
  <c r="V105" i="12" s="1"/>
  <c r="W105" i="12" s="1"/>
  <c r="U104" i="12"/>
  <c r="V104" i="12" s="1"/>
  <c r="W104" i="12" s="1"/>
  <c r="V103" i="12"/>
  <c r="W103" i="12" s="1"/>
  <c r="U103" i="12"/>
  <c r="W102" i="12"/>
  <c r="V102" i="12"/>
  <c r="U102" i="12"/>
  <c r="U101" i="12"/>
  <c r="V101" i="12" s="1"/>
  <c r="W101" i="12" s="1"/>
  <c r="U100" i="12"/>
  <c r="V100" i="12" s="1"/>
  <c r="W100" i="12" s="1"/>
  <c r="U99" i="12"/>
  <c r="V99" i="12" s="1"/>
  <c r="W99" i="12" s="1"/>
  <c r="V98" i="12"/>
  <c r="W98" i="12" s="1"/>
  <c r="U98" i="12"/>
  <c r="V97" i="12"/>
  <c r="W97" i="12" s="1"/>
  <c r="U97" i="12"/>
  <c r="U96" i="12"/>
  <c r="V96" i="12" s="1"/>
  <c r="W96" i="12" s="1"/>
  <c r="W95" i="12"/>
  <c r="U95" i="12"/>
  <c r="V95" i="12" s="1"/>
  <c r="U94" i="12"/>
  <c r="V94" i="12" s="1"/>
  <c r="W94" i="12" s="1"/>
  <c r="U93" i="12"/>
  <c r="V93" i="12" s="1"/>
  <c r="W93" i="12" s="1"/>
  <c r="U92" i="12"/>
  <c r="V92" i="12" s="1"/>
  <c r="W92" i="12" s="1"/>
  <c r="W91" i="12"/>
  <c r="U91" i="12"/>
  <c r="V91" i="12" s="1"/>
  <c r="U90" i="12"/>
  <c r="V90" i="12" s="1"/>
  <c r="W90" i="12" s="1"/>
  <c r="U89" i="12"/>
  <c r="V89" i="12" s="1"/>
  <c r="W89" i="12" s="1"/>
  <c r="V88" i="12"/>
  <c r="W88" i="12" s="1"/>
  <c r="U88" i="12"/>
  <c r="U87" i="12"/>
  <c r="V87" i="12" s="1"/>
  <c r="W87" i="12" s="1"/>
  <c r="U86" i="12"/>
  <c r="V86" i="12" s="1"/>
  <c r="W86" i="12" s="1"/>
  <c r="U85" i="12"/>
  <c r="V85" i="12" s="1"/>
  <c r="W85" i="12" s="1"/>
  <c r="U84" i="12"/>
  <c r="V84" i="12" s="1"/>
  <c r="W84" i="12" s="1"/>
  <c r="U83" i="12"/>
  <c r="V83" i="12" s="1"/>
  <c r="W83" i="12" s="1"/>
  <c r="U82" i="12"/>
  <c r="V82" i="12" s="1"/>
  <c r="W82" i="12" s="1"/>
  <c r="U81" i="12"/>
  <c r="V81" i="12" s="1"/>
  <c r="W81" i="12" s="1"/>
  <c r="V80" i="12"/>
  <c r="W80" i="12" s="1"/>
  <c r="U80" i="12"/>
  <c r="U79" i="12"/>
  <c r="V79" i="12" s="1"/>
  <c r="W79" i="12" s="1"/>
  <c r="U78" i="12"/>
  <c r="V78" i="12" s="1"/>
  <c r="W78" i="12" s="1"/>
  <c r="U77" i="12"/>
  <c r="V77" i="12" s="1"/>
  <c r="W77" i="12" s="1"/>
  <c r="V76" i="12"/>
  <c r="W76" i="12" s="1"/>
  <c r="U76" i="12"/>
  <c r="U75" i="12"/>
  <c r="V75" i="12" s="1"/>
  <c r="W75" i="12" s="1"/>
  <c r="U74" i="12"/>
  <c r="V74" i="12" s="1"/>
  <c r="W74" i="12" s="1"/>
  <c r="U73" i="12"/>
  <c r="V73" i="12" s="1"/>
  <c r="W73" i="12" s="1"/>
  <c r="U72" i="12"/>
  <c r="V72" i="12" s="1"/>
  <c r="W72" i="12" s="1"/>
  <c r="W71" i="12"/>
  <c r="V71" i="12"/>
  <c r="U71" i="12"/>
  <c r="U70" i="12"/>
  <c r="V70" i="12" s="1"/>
  <c r="W70" i="12" s="1"/>
  <c r="U69" i="12"/>
  <c r="V69" i="12" s="1"/>
  <c r="W69" i="12" s="1"/>
  <c r="U68" i="12"/>
  <c r="V68" i="12" s="1"/>
  <c r="W68" i="12" s="1"/>
  <c r="U67" i="12"/>
  <c r="V67" i="12" s="1"/>
  <c r="W67" i="12" s="1"/>
  <c r="U66" i="12"/>
  <c r="V66" i="12" s="1"/>
  <c r="W66" i="12" s="1"/>
  <c r="U65" i="12"/>
  <c r="V65" i="12" s="1"/>
  <c r="W65" i="12" s="1"/>
  <c r="V64" i="12"/>
  <c r="W64" i="12" s="1"/>
  <c r="U64" i="12"/>
  <c r="U63" i="12"/>
  <c r="V63" i="12" s="1"/>
  <c r="W63" i="12" s="1"/>
  <c r="V62" i="12"/>
  <c r="W62" i="12" s="1"/>
  <c r="U62" i="12"/>
  <c r="U61" i="12"/>
  <c r="V61" i="12" s="1"/>
  <c r="W61" i="12" s="1"/>
  <c r="U60" i="12"/>
  <c r="V60" i="12" s="1"/>
  <c r="W60" i="12" s="1"/>
  <c r="U59" i="12"/>
  <c r="V59" i="12" s="1"/>
  <c r="W59" i="12" s="1"/>
  <c r="U58" i="12"/>
  <c r="V58" i="12" s="1"/>
  <c r="W58" i="12" s="1"/>
  <c r="U57" i="12"/>
  <c r="V57" i="12" s="1"/>
  <c r="W57" i="12" s="1"/>
  <c r="U56" i="12"/>
  <c r="V56" i="12" s="1"/>
  <c r="W56" i="12" s="1"/>
  <c r="U55" i="12"/>
  <c r="V55" i="12" s="1"/>
  <c r="W55" i="12" s="1"/>
  <c r="V54" i="12"/>
  <c r="W54" i="12" s="1"/>
  <c r="U54" i="12"/>
  <c r="U53" i="12"/>
  <c r="V53" i="12" s="1"/>
  <c r="W53" i="12" s="1"/>
  <c r="U52" i="12"/>
  <c r="V52" i="12" s="1"/>
  <c r="W52" i="12" s="1"/>
  <c r="U51" i="12"/>
  <c r="V51" i="12" s="1"/>
  <c r="W51" i="12" s="1"/>
  <c r="U50" i="12"/>
  <c r="V50" i="12" s="1"/>
  <c r="W50" i="12" s="1"/>
  <c r="V49" i="12"/>
  <c r="W49" i="12" s="1"/>
  <c r="U49" i="12"/>
  <c r="U48" i="12"/>
  <c r="V48" i="12" s="1"/>
  <c r="W48" i="12" s="1"/>
  <c r="V47" i="12"/>
  <c r="W47" i="12" s="1"/>
  <c r="U47" i="12"/>
  <c r="U46" i="12"/>
  <c r="V46" i="12" s="1"/>
  <c r="W46" i="12" s="1"/>
  <c r="U45" i="12"/>
  <c r="V45" i="12" s="1"/>
  <c r="W45" i="12" s="1"/>
  <c r="U44" i="12"/>
  <c r="V44" i="12" s="1"/>
  <c r="W44" i="12" s="1"/>
  <c r="W43" i="12"/>
  <c r="U43" i="12"/>
  <c r="V43" i="12" s="1"/>
  <c r="U42" i="12"/>
  <c r="V42" i="12" s="1"/>
  <c r="W42" i="12" s="1"/>
  <c r="W41" i="12"/>
  <c r="U41" i="12"/>
  <c r="V41" i="12" s="1"/>
  <c r="U40" i="12"/>
  <c r="V40" i="12" s="1"/>
  <c r="W40" i="12" s="1"/>
  <c r="U39" i="12"/>
  <c r="V39" i="12" s="1"/>
  <c r="W39" i="12" s="1"/>
  <c r="V38" i="12"/>
  <c r="W38" i="12" s="1"/>
  <c r="U38" i="12"/>
  <c r="V37" i="12"/>
  <c r="W37" i="12" s="1"/>
  <c r="U37" i="12"/>
  <c r="U36" i="12"/>
  <c r="V36" i="12" s="1"/>
  <c r="W36" i="12" s="1"/>
  <c r="U35" i="12"/>
  <c r="V35" i="12" s="1"/>
  <c r="W35" i="12" s="1"/>
  <c r="U34" i="12"/>
  <c r="V34" i="12" s="1"/>
  <c r="W34" i="12" s="1"/>
  <c r="W33" i="12"/>
  <c r="U33" i="12"/>
  <c r="V33" i="12" s="1"/>
  <c r="U32" i="12"/>
  <c r="V32" i="12" s="1"/>
  <c r="W32" i="12" s="1"/>
  <c r="W31" i="12"/>
  <c r="U31" i="12"/>
  <c r="V31" i="12" s="1"/>
  <c r="V30" i="12"/>
  <c r="W30" i="12" s="1"/>
  <c r="U30" i="12"/>
  <c r="U29" i="12"/>
  <c r="V29" i="12" s="1"/>
  <c r="W29" i="12" s="1"/>
  <c r="V28" i="12"/>
  <c r="W28" i="12" s="1"/>
  <c r="U28" i="12"/>
  <c r="V27" i="12"/>
  <c r="W27" i="12" s="1"/>
  <c r="U27" i="12"/>
  <c r="U26" i="12"/>
  <c r="V26" i="12" s="1"/>
  <c r="W26" i="12" s="1"/>
  <c r="U25" i="12"/>
  <c r="V25" i="12" s="1"/>
  <c r="W25" i="12" s="1"/>
  <c r="V24" i="12"/>
  <c r="W24" i="12" s="1"/>
  <c r="U24" i="12"/>
  <c r="W23" i="12"/>
  <c r="U23" i="12"/>
  <c r="V23" i="12" s="1"/>
  <c r="V22" i="12"/>
  <c r="W22" i="12" s="1"/>
  <c r="U22" i="12"/>
  <c r="U21" i="12"/>
  <c r="V21" i="12" s="1"/>
  <c r="W21" i="12" s="1"/>
  <c r="U20" i="12"/>
  <c r="V20" i="12" s="1"/>
  <c r="W20" i="12" s="1"/>
  <c r="U19" i="12"/>
  <c r="V19" i="12" s="1"/>
  <c r="W19" i="12" s="1"/>
  <c r="U18" i="12"/>
  <c r="V18" i="12" s="1"/>
  <c r="W18" i="12" s="1"/>
  <c r="U17" i="12"/>
  <c r="V17" i="12" s="1"/>
  <c r="W17" i="12" s="1"/>
  <c r="V16" i="12"/>
  <c r="W16" i="12" s="1"/>
  <c r="U16" i="12"/>
  <c r="W15" i="12"/>
  <c r="U15" i="12"/>
  <c r="V15" i="12" s="1"/>
  <c r="U14" i="12"/>
  <c r="V14" i="12" s="1"/>
  <c r="W14" i="12" s="1"/>
  <c r="U13" i="12"/>
  <c r="V13" i="12" s="1"/>
  <c r="W13" i="12" s="1"/>
  <c r="U12" i="12"/>
  <c r="V12" i="12" s="1"/>
  <c r="W12" i="12" s="1"/>
  <c r="U11" i="12"/>
  <c r="V11" i="12" s="1"/>
  <c r="W11" i="12" s="1"/>
  <c r="V10" i="12"/>
  <c r="W10" i="12" s="1"/>
  <c r="U10" i="12"/>
  <c r="U9" i="12"/>
  <c r="V9" i="12" s="1"/>
  <c r="W9" i="12" s="1"/>
  <c r="V8" i="12"/>
  <c r="W8" i="12" s="1"/>
  <c r="U8" i="12"/>
  <c r="U7" i="12"/>
  <c r="V7" i="12" s="1"/>
  <c r="W7" i="12" s="1"/>
  <c r="U6" i="12"/>
  <c r="V6" i="12" s="1"/>
  <c r="W6" i="12" s="1"/>
  <c r="V5" i="12"/>
  <c r="W5" i="12" s="1"/>
  <c r="U5" i="12"/>
  <c r="U4" i="12"/>
  <c r="V4" i="12" s="1"/>
  <c r="W4" i="12" s="1"/>
  <c r="U3" i="12"/>
  <c r="V3" i="12" s="1"/>
  <c r="W3" i="12" s="1"/>
  <c r="I29" i="18"/>
  <c r="J28" i="18" s="1"/>
  <c r="K28" i="18" s="1"/>
  <c r="L28" i="18" s="1"/>
  <c r="E29" i="18"/>
  <c r="D29" i="18"/>
  <c r="C29" i="18"/>
  <c r="B29" i="18"/>
  <c r="I28" i="18"/>
  <c r="J29" i="18" s="1"/>
  <c r="K29" i="18" s="1"/>
  <c r="L29" i="18" s="1"/>
  <c r="E28" i="18"/>
  <c r="D28" i="18"/>
  <c r="C28" i="18"/>
  <c r="B28" i="18"/>
  <c r="I27" i="18"/>
  <c r="E27" i="18"/>
  <c r="D27" i="18"/>
  <c r="C27" i="18"/>
  <c r="AC57" i="20" s="1"/>
  <c r="B27" i="18"/>
  <c r="I26" i="18"/>
  <c r="J27" i="18" s="1"/>
  <c r="K27" i="18" s="1"/>
  <c r="E26" i="18"/>
  <c r="D26" i="18"/>
  <c r="C26" i="18"/>
  <c r="B26" i="18"/>
  <c r="I25" i="18"/>
  <c r="J26" i="18" s="1"/>
  <c r="K26" i="18" s="1"/>
  <c r="L26" i="18" s="1"/>
  <c r="E25" i="18"/>
  <c r="D25" i="18"/>
  <c r="C25" i="18"/>
  <c r="B25" i="18"/>
  <c r="I24" i="18"/>
  <c r="E24" i="18"/>
  <c r="D24" i="18"/>
  <c r="C24" i="18"/>
  <c r="B24" i="18"/>
  <c r="I23" i="18"/>
  <c r="E23" i="18"/>
  <c r="D23" i="18"/>
  <c r="C23" i="18"/>
  <c r="B23" i="18"/>
  <c r="I22" i="18"/>
  <c r="J23" i="18" s="1"/>
  <c r="K23" i="18" s="1"/>
  <c r="E22" i="18"/>
  <c r="D22" i="18"/>
  <c r="C22" i="18"/>
  <c r="B22" i="18"/>
  <c r="I21" i="18"/>
  <c r="J22" i="18" s="1"/>
  <c r="K22" i="18" s="1"/>
  <c r="E21" i="18"/>
  <c r="D21" i="18"/>
  <c r="C21" i="18"/>
  <c r="B21" i="18"/>
  <c r="I20" i="18"/>
  <c r="J21" i="18" s="1"/>
  <c r="K21" i="18" s="1"/>
  <c r="E20" i="18"/>
  <c r="D20" i="18"/>
  <c r="C20" i="18"/>
  <c r="B20" i="18"/>
  <c r="I19" i="18"/>
  <c r="E19" i="18"/>
  <c r="D19" i="18"/>
  <c r="C19" i="18"/>
  <c r="B19" i="18"/>
  <c r="I18" i="18"/>
  <c r="E18" i="18"/>
  <c r="D18" i="18"/>
  <c r="C18" i="18"/>
  <c r="B18" i="18"/>
  <c r="O17" i="18"/>
  <c r="I17" i="18"/>
  <c r="E17" i="18"/>
  <c r="D17" i="18"/>
  <c r="C17" i="18"/>
  <c r="B17" i="18"/>
  <c r="I16" i="18"/>
  <c r="E16" i="18"/>
  <c r="D16" i="18"/>
  <c r="C16" i="18"/>
  <c r="B16" i="18"/>
  <c r="J15" i="18"/>
  <c r="K15" i="18" s="1"/>
  <c r="L15" i="18" s="1"/>
  <c r="I15" i="18"/>
  <c r="E15" i="18"/>
  <c r="D15" i="18"/>
  <c r="C15" i="18"/>
  <c r="B15" i="18"/>
  <c r="I14" i="18"/>
  <c r="E14" i="18"/>
  <c r="D14" i="18"/>
  <c r="C14" i="18"/>
  <c r="B14" i="18"/>
  <c r="J13" i="18"/>
  <c r="K13" i="18" s="1"/>
  <c r="L13" i="18" s="1"/>
  <c r="I13" i="18"/>
  <c r="E13" i="18"/>
  <c r="D13" i="18"/>
  <c r="C13" i="18"/>
  <c r="B13" i="18"/>
  <c r="I12" i="18"/>
  <c r="E12" i="18"/>
  <c r="D12" i="18"/>
  <c r="C12" i="18"/>
  <c r="B12" i="18"/>
  <c r="I11" i="18"/>
  <c r="E11" i="18"/>
  <c r="D11" i="18"/>
  <c r="C11" i="18"/>
  <c r="B11" i="18"/>
  <c r="I10" i="18"/>
  <c r="E10" i="18"/>
  <c r="D10" i="18"/>
  <c r="C10" i="18"/>
  <c r="B10" i="18"/>
  <c r="I9" i="18"/>
  <c r="E9" i="18"/>
  <c r="D9" i="18"/>
  <c r="C9" i="18"/>
  <c r="B9" i="18"/>
  <c r="I8" i="18"/>
  <c r="E8" i="18"/>
  <c r="D8" i="18"/>
  <c r="C8" i="18"/>
  <c r="B8" i="18"/>
  <c r="I7" i="18"/>
  <c r="E7" i="18"/>
  <c r="D7" i="18"/>
  <c r="C7" i="18"/>
  <c r="B7" i="18"/>
  <c r="I6" i="18"/>
  <c r="E6" i="18"/>
  <c r="D6" i="18"/>
  <c r="C6" i="18"/>
  <c r="B6" i="18"/>
  <c r="I5" i="18"/>
  <c r="E5" i="18"/>
  <c r="D5" i="18"/>
  <c r="C5" i="18"/>
  <c r="B5" i="18"/>
  <c r="AR823" i="16"/>
  <c r="Q823" i="16"/>
  <c r="G823" i="16"/>
  <c r="U823" i="16" s="1"/>
  <c r="E823" i="16"/>
  <c r="G822" i="16"/>
  <c r="E822" i="16"/>
  <c r="G821" i="16"/>
  <c r="E821" i="16"/>
  <c r="Q820" i="16"/>
  <c r="G820" i="16"/>
  <c r="U820" i="16" s="1"/>
  <c r="E820" i="16"/>
  <c r="G819" i="16"/>
  <c r="E819" i="16"/>
  <c r="G818" i="16"/>
  <c r="E818" i="16"/>
  <c r="G817" i="16"/>
  <c r="E817" i="16"/>
  <c r="G816" i="16"/>
  <c r="E816" i="16"/>
  <c r="G815" i="16"/>
  <c r="E815" i="16"/>
  <c r="T814" i="16"/>
  <c r="G814" i="16"/>
  <c r="E814" i="16"/>
  <c r="L814" i="16" s="1"/>
  <c r="G813" i="16"/>
  <c r="E813" i="16"/>
  <c r="T812" i="16"/>
  <c r="G812" i="16"/>
  <c r="E812" i="16"/>
  <c r="L812" i="16" s="1"/>
  <c r="G811" i="16"/>
  <c r="E811" i="16"/>
  <c r="U810" i="16"/>
  <c r="G810" i="16"/>
  <c r="Q810" i="16" s="1"/>
  <c r="E810" i="16"/>
  <c r="G809" i="16"/>
  <c r="U809" i="16" s="1"/>
  <c r="E809" i="16"/>
  <c r="Q808" i="16"/>
  <c r="G808" i="16"/>
  <c r="U808" i="16" s="1"/>
  <c r="E808" i="16"/>
  <c r="L808" i="16" s="1"/>
  <c r="T807" i="16"/>
  <c r="L807" i="16"/>
  <c r="G807" i="16"/>
  <c r="U807" i="16" s="1"/>
  <c r="E807" i="16"/>
  <c r="T806" i="16"/>
  <c r="L806" i="16"/>
  <c r="G806" i="16"/>
  <c r="E806" i="16"/>
  <c r="G805" i="16"/>
  <c r="E805" i="16"/>
  <c r="Q804" i="16"/>
  <c r="G804" i="16"/>
  <c r="U804" i="16" s="1"/>
  <c r="E804" i="16"/>
  <c r="G803" i="16"/>
  <c r="E803" i="16"/>
  <c r="T803" i="16" s="1"/>
  <c r="U802" i="16"/>
  <c r="T802" i="16"/>
  <c r="Q802" i="16"/>
  <c r="L802" i="16"/>
  <c r="G802" i="16"/>
  <c r="E802" i="16"/>
  <c r="G801" i="16"/>
  <c r="E801" i="16"/>
  <c r="T800" i="16"/>
  <c r="L800" i="16"/>
  <c r="G800" i="16"/>
  <c r="E800" i="16"/>
  <c r="Q799" i="16"/>
  <c r="G799" i="16"/>
  <c r="U799" i="16" s="1"/>
  <c r="E799" i="16"/>
  <c r="G798" i="16"/>
  <c r="E798" i="16"/>
  <c r="U797" i="16"/>
  <c r="T797" i="16"/>
  <c r="Q797" i="16"/>
  <c r="G797" i="16"/>
  <c r="E797" i="16"/>
  <c r="L797" i="16" s="1"/>
  <c r="G796" i="16"/>
  <c r="E796" i="16"/>
  <c r="G795" i="16"/>
  <c r="E795" i="16"/>
  <c r="T795" i="16" s="1"/>
  <c r="U794" i="16"/>
  <c r="G794" i="16"/>
  <c r="Q794" i="16" s="1"/>
  <c r="E794" i="16"/>
  <c r="U793" i="16"/>
  <c r="G793" i="16"/>
  <c r="Q793" i="16" s="1"/>
  <c r="E793" i="16"/>
  <c r="G792" i="16"/>
  <c r="E792" i="16"/>
  <c r="Q791" i="16"/>
  <c r="L791" i="16"/>
  <c r="G791" i="16"/>
  <c r="U791" i="16" s="1"/>
  <c r="E791" i="16"/>
  <c r="T791" i="16" s="1"/>
  <c r="G790" i="16"/>
  <c r="U790" i="16" s="1"/>
  <c r="E790" i="16"/>
  <c r="G789" i="16"/>
  <c r="E789" i="16"/>
  <c r="T789" i="16" s="1"/>
  <c r="G788" i="16"/>
  <c r="Q788" i="16" s="1"/>
  <c r="E788" i="16"/>
  <c r="G787" i="16"/>
  <c r="E787" i="16"/>
  <c r="T786" i="16"/>
  <c r="G786" i="16"/>
  <c r="E786" i="16"/>
  <c r="L786" i="16" s="1"/>
  <c r="G785" i="16"/>
  <c r="E785" i="16"/>
  <c r="U784" i="16"/>
  <c r="L784" i="16"/>
  <c r="G784" i="16"/>
  <c r="Q784" i="16" s="1"/>
  <c r="E784" i="16"/>
  <c r="T784" i="16" s="1"/>
  <c r="T783" i="16"/>
  <c r="G783" i="16"/>
  <c r="E783" i="16"/>
  <c r="L783" i="16" s="1"/>
  <c r="T782" i="16"/>
  <c r="Q782" i="16"/>
  <c r="G782" i="16"/>
  <c r="U782" i="16" s="1"/>
  <c r="E782" i="16"/>
  <c r="L782" i="16" s="1"/>
  <c r="G781" i="16"/>
  <c r="E781" i="16"/>
  <c r="U780" i="16"/>
  <c r="G780" i="16"/>
  <c r="Q780" i="16" s="1"/>
  <c r="E780" i="16"/>
  <c r="T779" i="16"/>
  <c r="Q779" i="16"/>
  <c r="L779" i="16"/>
  <c r="G779" i="16"/>
  <c r="U779" i="16" s="1"/>
  <c r="E779" i="16"/>
  <c r="G778" i="16"/>
  <c r="E778" i="16"/>
  <c r="L778" i="16" s="1"/>
  <c r="U777" i="16"/>
  <c r="Q777" i="16"/>
  <c r="G777" i="16"/>
  <c r="E777" i="16"/>
  <c r="L777" i="16" s="1"/>
  <c r="U776" i="16"/>
  <c r="G776" i="16"/>
  <c r="Q776" i="16" s="1"/>
  <c r="E776" i="16"/>
  <c r="T775" i="16"/>
  <c r="L775" i="16"/>
  <c r="G775" i="16"/>
  <c r="E775" i="16"/>
  <c r="T774" i="16"/>
  <c r="G774" i="16"/>
  <c r="E774" i="16"/>
  <c r="L774" i="16" s="1"/>
  <c r="U773" i="16"/>
  <c r="G773" i="16"/>
  <c r="Q773" i="16" s="1"/>
  <c r="E773" i="16"/>
  <c r="L772" i="16"/>
  <c r="G772" i="16"/>
  <c r="E772" i="16"/>
  <c r="T772" i="16" s="1"/>
  <c r="G771" i="16"/>
  <c r="U771" i="16" s="1"/>
  <c r="E771" i="16"/>
  <c r="G770" i="16"/>
  <c r="E770" i="16"/>
  <c r="L770" i="16" s="1"/>
  <c r="U769" i="16"/>
  <c r="Q769" i="16"/>
  <c r="G769" i="16"/>
  <c r="E769" i="16"/>
  <c r="T768" i="16"/>
  <c r="Q768" i="16"/>
  <c r="L768" i="16"/>
  <c r="G768" i="16"/>
  <c r="U768" i="16" s="1"/>
  <c r="E768" i="16"/>
  <c r="G767" i="16"/>
  <c r="E767" i="16"/>
  <c r="U766" i="16"/>
  <c r="T766" i="16"/>
  <c r="G766" i="16"/>
  <c r="Q766" i="16" s="1"/>
  <c r="E766" i="16"/>
  <c r="L766" i="16" s="1"/>
  <c r="T765" i="16"/>
  <c r="Q765" i="16"/>
  <c r="G765" i="16"/>
  <c r="U765" i="16" s="1"/>
  <c r="E765" i="16"/>
  <c r="L765" i="16" s="1"/>
  <c r="Q764" i="16"/>
  <c r="G764" i="16"/>
  <c r="U764" i="16" s="1"/>
  <c r="E764" i="16"/>
  <c r="T764" i="16" s="1"/>
  <c r="T763" i="16"/>
  <c r="Q763" i="16"/>
  <c r="L763" i="16"/>
  <c r="G763" i="16"/>
  <c r="U763" i="16" s="1"/>
  <c r="E763" i="16"/>
  <c r="G762" i="16"/>
  <c r="E762" i="16"/>
  <c r="U761" i="16"/>
  <c r="Q761" i="16"/>
  <c r="G761" i="16"/>
  <c r="E761" i="16"/>
  <c r="T761" i="16" s="1"/>
  <c r="U760" i="16"/>
  <c r="Q760" i="16"/>
  <c r="G760" i="16"/>
  <c r="E760" i="16"/>
  <c r="Q759" i="16"/>
  <c r="G759" i="16"/>
  <c r="U759" i="16" s="1"/>
  <c r="E759" i="16"/>
  <c r="U758" i="16"/>
  <c r="G758" i="16"/>
  <c r="Q758" i="16" s="1"/>
  <c r="E758" i="16"/>
  <c r="L758" i="16" s="1"/>
  <c r="T757" i="16"/>
  <c r="G757" i="16"/>
  <c r="E757" i="16"/>
  <c r="L757" i="16" s="1"/>
  <c r="L756" i="16"/>
  <c r="G756" i="16"/>
  <c r="U756" i="16" s="1"/>
  <c r="E756" i="16"/>
  <c r="T756" i="16" s="1"/>
  <c r="L755" i="16"/>
  <c r="G755" i="16"/>
  <c r="E755" i="16"/>
  <c r="T755" i="16" s="1"/>
  <c r="U754" i="16"/>
  <c r="G754" i="16"/>
  <c r="Q754" i="16" s="1"/>
  <c r="E754" i="16"/>
  <c r="T753" i="16"/>
  <c r="G753" i="16"/>
  <c r="E753" i="16"/>
  <c r="L753" i="16" s="1"/>
  <c r="U752" i="16"/>
  <c r="G752" i="16"/>
  <c r="Q752" i="16" s="1"/>
  <c r="E752" i="16"/>
  <c r="G751" i="16"/>
  <c r="E751" i="16"/>
  <c r="G750" i="16"/>
  <c r="E750" i="16"/>
  <c r="T750" i="16" s="1"/>
  <c r="G749" i="16"/>
  <c r="E749" i="16"/>
  <c r="G748" i="16"/>
  <c r="E748" i="16"/>
  <c r="T747" i="16"/>
  <c r="G747" i="16"/>
  <c r="E747" i="16"/>
  <c r="L747" i="16" s="1"/>
  <c r="L746" i="16"/>
  <c r="G746" i="16"/>
  <c r="U746" i="16" s="1"/>
  <c r="E746" i="16"/>
  <c r="T746" i="16" s="1"/>
  <c r="T745" i="16"/>
  <c r="G745" i="16"/>
  <c r="E745" i="16"/>
  <c r="L745" i="16" s="1"/>
  <c r="G744" i="16"/>
  <c r="E744" i="16"/>
  <c r="G743" i="16"/>
  <c r="E743" i="16"/>
  <c r="U742" i="16"/>
  <c r="L742" i="16"/>
  <c r="G742" i="16"/>
  <c r="Q742" i="16" s="1"/>
  <c r="E742" i="16"/>
  <c r="T742" i="16" s="1"/>
  <c r="T741" i="16"/>
  <c r="L741" i="16"/>
  <c r="G741" i="16"/>
  <c r="U741" i="16" s="1"/>
  <c r="E741" i="16"/>
  <c r="U740" i="16"/>
  <c r="Q740" i="16"/>
  <c r="G740" i="16"/>
  <c r="E740" i="16"/>
  <c r="G739" i="16"/>
  <c r="U739" i="16" s="1"/>
  <c r="E739" i="16"/>
  <c r="T738" i="16"/>
  <c r="G738" i="16"/>
  <c r="Q738" i="16" s="1"/>
  <c r="E738" i="16"/>
  <c r="L738" i="16" s="1"/>
  <c r="G737" i="16"/>
  <c r="U737" i="16" s="1"/>
  <c r="E737" i="16"/>
  <c r="L737" i="16" s="1"/>
  <c r="Q736" i="16"/>
  <c r="G736" i="16"/>
  <c r="U736" i="16" s="1"/>
  <c r="E736" i="16"/>
  <c r="U735" i="16"/>
  <c r="G735" i="16"/>
  <c r="Q735" i="16" s="1"/>
  <c r="E735" i="16"/>
  <c r="L734" i="16"/>
  <c r="G734" i="16"/>
  <c r="E734" i="16"/>
  <c r="T734" i="16" s="1"/>
  <c r="U733" i="16"/>
  <c r="G733" i="16"/>
  <c r="Q733" i="16" s="1"/>
  <c r="E733" i="16"/>
  <c r="L733" i="16" s="1"/>
  <c r="U732" i="16"/>
  <c r="G732" i="16"/>
  <c r="Q732" i="16" s="1"/>
  <c r="E732" i="16"/>
  <c r="L732" i="16" s="1"/>
  <c r="U731" i="16"/>
  <c r="T731" i="16"/>
  <c r="Q731" i="16"/>
  <c r="G731" i="16"/>
  <c r="E731" i="16"/>
  <c r="L731" i="16" s="1"/>
  <c r="Q730" i="16"/>
  <c r="G730" i="16"/>
  <c r="U730" i="16" s="1"/>
  <c r="E730" i="16"/>
  <c r="G729" i="16"/>
  <c r="U729" i="16" s="1"/>
  <c r="E729" i="16"/>
  <c r="L728" i="16"/>
  <c r="G728" i="16"/>
  <c r="U728" i="16" s="1"/>
  <c r="E728" i="16"/>
  <c r="T728" i="16" s="1"/>
  <c r="Q727" i="16"/>
  <c r="G727" i="16"/>
  <c r="U727" i="16" s="1"/>
  <c r="E727" i="16"/>
  <c r="G726" i="16"/>
  <c r="Q726" i="16" s="1"/>
  <c r="E726" i="16"/>
  <c r="Q725" i="16"/>
  <c r="G725" i="16"/>
  <c r="U725" i="16" s="1"/>
  <c r="E725" i="16"/>
  <c r="G724" i="16"/>
  <c r="Q724" i="16" s="1"/>
  <c r="E724" i="16"/>
  <c r="T723" i="16"/>
  <c r="L723" i="16"/>
  <c r="G723" i="16"/>
  <c r="E723" i="16"/>
  <c r="G722" i="16"/>
  <c r="E722" i="16"/>
  <c r="U721" i="16"/>
  <c r="Q721" i="16"/>
  <c r="G721" i="16"/>
  <c r="E721" i="16"/>
  <c r="Q720" i="16"/>
  <c r="L720" i="16"/>
  <c r="G720" i="16"/>
  <c r="U720" i="16" s="1"/>
  <c r="E720" i="16"/>
  <c r="T720" i="16" s="1"/>
  <c r="U719" i="16"/>
  <c r="T719" i="16"/>
  <c r="Q719" i="16"/>
  <c r="L719" i="16"/>
  <c r="G719" i="16"/>
  <c r="E719" i="16"/>
  <c r="G718" i="16"/>
  <c r="E718" i="16"/>
  <c r="Q717" i="16"/>
  <c r="G717" i="16"/>
  <c r="U717" i="16" s="1"/>
  <c r="E717" i="16"/>
  <c r="T717" i="16" s="1"/>
  <c r="G716" i="16"/>
  <c r="E716" i="16"/>
  <c r="L716" i="16" s="1"/>
  <c r="T715" i="16"/>
  <c r="G715" i="16"/>
  <c r="E715" i="16"/>
  <c r="L715" i="16" s="1"/>
  <c r="T714" i="16"/>
  <c r="L714" i="16"/>
  <c r="G714" i="16"/>
  <c r="E714" i="16"/>
  <c r="G713" i="16"/>
  <c r="E713" i="16"/>
  <c r="T713" i="16" s="1"/>
  <c r="T712" i="16"/>
  <c r="G712" i="16"/>
  <c r="E712" i="16"/>
  <c r="L712" i="16" s="1"/>
  <c r="Q711" i="16"/>
  <c r="G711" i="16"/>
  <c r="U711" i="16" s="1"/>
  <c r="E711" i="16"/>
  <c r="T711" i="16" s="1"/>
  <c r="G710" i="16"/>
  <c r="E710" i="16"/>
  <c r="G709" i="16"/>
  <c r="E709" i="16"/>
  <c r="T708" i="16"/>
  <c r="G708" i="16"/>
  <c r="E708" i="16"/>
  <c r="L708" i="16" s="1"/>
  <c r="G707" i="16"/>
  <c r="E707" i="16"/>
  <c r="L707" i="16" s="1"/>
  <c r="G706" i="16"/>
  <c r="U706" i="16" s="1"/>
  <c r="E706" i="16"/>
  <c r="Q705" i="16"/>
  <c r="G705" i="16"/>
  <c r="U705" i="16" s="1"/>
  <c r="E705" i="16"/>
  <c r="G704" i="16"/>
  <c r="Q704" i="16" s="1"/>
  <c r="E704" i="16"/>
  <c r="G703" i="16"/>
  <c r="E703" i="16"/>
  <c r="U702" i="16"/>
  <c r="Q702" i="16"/>
  <c r="L702" i="16"/>
  <c r="G702" i="16"/>
  <c r="E702" i="16"/>
  <c r="T702" i="16" s="1"/>
  <c r="G701" i="16"/>
  <c r="E701" i="16"/>
  <c r="U700" i="16"/>
  <c r="T700" i="16"/>
  <c r="Q700" i="16"/>
  <c r="L700" i="16"/>
  <c r="G700" i="16"/>
  <c r="E700" i="16"/>
  <c r="G699" i="16"/>
  <c r="E699" i="16"/>
  <c r="Q698" i="16"/>
  <c r="G698" i="16"/>
  <c r="U698" i="16" s="1"/>
  <c r="E698" i="16"/>
  <c r="G697" i="16"/>
  <c r="E697" i="16"/>
  <c r="T697" i="16" s="1"/>
  <c r="T696" i="16"/>
  <c r="G696" i="16"/>
  <c r="U696" i="16" s="1"/>
  <c r="E696" i="16"/>
  <c r="L696" i="16" s="1"/>
  <c r="T695" i="16"/>
  <c r="G695" i="16"/>
  <c r="E695" i="16"/>
  <c r="L695" i="16" s="1"/>
  <c r="Q694" i="16"/>
  <c r="G694" i="16"/>
  <c r="U694" i="16" s="1"/>
  <c r="E694" i="16"/>
  <c r="U693" i="16"/>
  <c r="G693" i="16"/>
  <c r="Q693" i="16" s="1"/>
  <c r="E693" i="16"/>
  <c r="L692" i="16"/>
  <c r="G692" i="16"/>
  <c r="E692" i="16"/>
  <c r="T692" i="16" s="1"/>
  <c r="G691" i="16"/>
  <c r="E691" i="16"/>
  <c r="G690" i="16"/>
  <c r="E690" i="16"/>
  <c r="Q689" i="16"/>
  <c r="L689" i="16"/>
  <c r="G689" i="16"/>
  <c r="U689" i="16" s="1"/>
  <c r="E689" i="16"/>
  <c r="T689" i="16" s="1"/>
  <c r="G688" i="16"/>
  <c r="E688" i="16"/>
  <c r="L688" i="16" s="1"/>
  <c r="G687" i="16"/>
  <c r="E687" i="16"/>
  <c r="L687" i="16" s="1"/>
  <c r="Q686" i="16"/>
  <c r="G686" i="16"/>
  <c r="U686" i="16" s="1"/>
  <c r="E686" i="16"/>
  <c r="G685" i="16"/>
  <c r="E685" i="16"/>
  <c r="T684" i="16"/>
  <c r="L684" i="16"/>
  <c r="G684" i="16"/>
  <c r="U684" i="16" s="1"/>
  <c r="E684" i="16"/>
  <c r="T683" i="16"/>
  <c r="L683" i="16"/>
  <c r="G683" i="16"/>
  <c r="E683" i="16"/>
  <c r="G682" i="16"/>
  <c r="E682" i="16"/>
  <c r="T681" i="16"/>
  <c r="G681" i="16"/>
  <c r="E681" i="16"/>
  <c r="L681" i="16" s="1"/>
  <c r="L680" i="16"/>
  <c r="G680" i="16"/>
  <c r="E680" i="16"/>
  <c r="T680" i="16" s="1"/>
  <c r="G679" i="16"/>
  <c r="E679" i="16"/>
  <c r="U678" i="16"/>
  <c r="T678" i="16"/>
  <c r="G678" i="16"/>
  <c r="Q678" i="16" s="1"/>
  <c r="E678" i="16"/>
  <c r="L678" i="16" s="1"/>
  <c r="T677" i="16"/>
  <c r="G677" i="16"/>
  <c r="U677" i="16" s="1"/>
  <c r="E677" i="16"/>
  <c r="L677" i="16" s="1"/>
  <c r="U676" i="16"/>
  <c r="G676" i="16"/>
  <c r="Q676" i="16" s="1"/>
  <c r="E676" i="16"/>
  <c r="U675" i="16"/>
  <c r="G675" i="16"/>
  <c r="Q675" i="16" s="1"/>
  <c r="E675" i="16"/>
  <c r="T674" i="16"/>
  <c r="G674" i="16"/>
  <c r="U674" i="16" s="1"/>
  <c r="E674" i="16"/>
  <c r="L674" i="16" s="1"/>
  <c r="G673" i="16"/>
  <c r="U673" i="16" s="1"/>
  <c r="E673" i="16"/>
  <c r="U672" i="16"/>
  <c r="G672" i="16"/>
  <c r="Q672" i="16" s="1"/>
  <c r="E672" i="16"/>
  <c r="G671" i="16"/>
  <c r="U671" i="16" s="1"/>
  <c r="E671" i="16"/>
  <c r="G670" i="16"/>
  <c r="E670" i="16"/>
  <c r="Q669" i="16"/>
  <c r="G669" i="16"/>
  <c r="U669" i="16" s="1"/>
  <c r="E669" i="16"/>
  <c r="G668" i="16"/>
  <c r="E668" i="16"/>
  <c r="T668" i="16" s="1"/>
  <c r="T667" i="16"/>
  <c r="G667" i="16"/>
  <c r="E667" i="16"/>
  <c r="L667" i="16" s="1"/>
  <c r="G666" i="16"/>
  <c r="U666" i="16" s="1"/>
  <c r="E666" i="16"/>
  <c r="T666" i="16" s="1"/>
  <c r="G665" i="16"/>
  <c r="E665" i="16"/>
  <c r="U664" i="16"/>
  <c r="Q664" i="16"/>
  <c r="G664" i="16"/>
  <c r="E664" i="16"/>
  <c r="U663" i="16"/>
  <c r="G663" i="16"/>
  <c r="Q663" i="16" s="1"/>
  <c r="E663" i="16"/>
  <c r="T662" i="16"/>
  <c r="L662" i="16"/>
  <c r="G662" i="16"/>
  <c r="E662" i="16"/>
  <c r="T661" i="16"/>
  <c r="G661" i="16"/>
  <c r="E661" i="16"/>
  <c r="L661" i="16" s="1"/>
  <c r="L660" i="16"/>
  <c r="G660" i="16"/>
  <c r="E660" i="16"/>
  <c r="T660" i="16" s="1"/>
  <c r="T659" i="16"/>
  <c r="G659" i="16"/>
  <c r="E659" i="16"/>
  <c r="L659" i="16" s="1"/>
  <c r="G658" i="16"/>
  <c r="E658" i="16"/>
  <c r="Q657" i="16"/>
  <c r="G657" i="16"/>
  <c r="U657" i="16" s="1"/>
  <c r="E657" i="16"/>
  <c r="U656" i="16"/>
  <c r="T656" i="16"/>
  <c r="G656" i="16"/>
  <c r="Q656" i="16" s="1"/>
  <c r="E656" i="16"/>
  <c r="L656" i="16" s="1"/>
  <c r="G655" i="16"/>
  <c r="E655" i="16"/>
  <c r="G654" i="16"/>
  <c r="E654" i="16"/>
  <c r="T653" i="16"/>
  <c r="Q653" i="16"/>
  <c r="G653" i="16"/>
  <c r="U653" i="16" s="1"/>
  <c r="E653" i="16"/>
  <c r="L653" i="16" s="1"/>
  <c r="G652" i="16"/>
  <c r="E652" i="16"/>
  <c r="T652" i="16" s="1"/>
  <c r="U651" i="16"/>
  <c r="Q651" i="16"/>
  <c r="G651" i="16"/>
  <c r="E651" i="16"/>
  <c r="G650" i="16"/>
  <c r="E650" i="16"/>
  <c r="Q649" i="16"/>
  <c r="L649" i="16"/>
  <c r="G649" i="16"/>
  <c r="U649" i="16" s="1"/>
  <c r="E649" i="16"/>
  <c r="T649" i="16" s="1"/>
  <c r="T648" i="16"/>
  <c r="G648" i="16"/>
  <c r="E648" i="16"/>
  <c r="L648" i="16" s="1"/>
  <c r="Q647" i="16"/>
  <c r="G647" i="16"/>
  <c r="U647" i="16" s="1"/>
  <c r="E647" i="16"/>
  <c r="T646" i="16"/>
  <c r="L646" i="16"/>
  <c r="G646" i="16"/>
  <c r="U646" i="16" s="1"/>
  <c r="E646" i="16"/>
  <c r="G645" i="16"/>
  <c r="E645" i="16"/>
  <c r="U644" i="16"/>
  <c r="T644" i="16"/>
  <c r="G644" i="16"/>
  <c r="Q644" i="16" s="1"/>
  <c r="E644" i="16"/>
  <c r="L644" i="16" s="1"/>
  <c r="U643" i="16"/>
  <c r="G643" i="16"/>
  <c r="Q643" i="16" s="1"/>
  <c r="E643" i="16"/>
  <c r="G642" i="16"/>
  <c r="E642" i="16"/>
  <c r="T641" i="16"/>
  <c r="G641" i="16"/>
  <c r="E641" i="16"/>
  <c r="L641" i="16" s="1"/>
  <c r="U640" i="16"/>
  <c r="T640" i="16"/>
  <c r="G640" i="16"/>
  <c r="Q640" i="16" s="1"/>
  <c r="E640" i="16"/>
  <c r="L640" i="16" s="1"/>
  <c r="U639" i="16"/>
  <c r="G639" i="16"/>
  <c r="Q639" i="16" s="1"/>
  <c r="E639" i="16"/>
  <c r="T638" i="16"/>
  <c r="L638" i="16"/>
  <c r="G638" i="16"/>
  <c r="Q638" i="16" s="1"/>
  <c r="E638" i="16"/>
  <c r="T637" i="16"/>
  <c r="L637" i="16"/>
  <c r="G637" i="16"/>
  <c r="U637" i="16" s="1"/>
  <c r="E637" i="16"/>
  <c r="G636" i="16"/>
  <c r="E636" i="16"/>
  <c r="T635" i="16"/>
  <c r="G635" i="16"/>
  <c r="E635" i="16"/>
  <c r="L635" i="16" s="1"/>
  <c r="G634" i="16"/>
  <c r="E634" i="16"/>
  <c r="G633" i="16"/>
  <c r="E633" i="16"/>
  <c r="L632" i="16"/>
  <c r="G632" i="16"/>
  <c r="E632" i="16"/>
  <c r="T632" i="16" s="1"/>
  <c r="U631" i="16"/>
  <c r="T631" i="16"/>
  <c r="Q631" i="16"/>
  <c r="L631" i="16"/>
  <c r="G631" i="16"/>
  <c r="E631" i="16"/>
  <c r="G630" i="16"/>
  <c r="E630" i="16"/>
  <c r="Q629" i="16"/>
  <c r="L629" i="16"/>
  <c r="G629" i="16"/>
  <c r="U629" i="16" s="1"/>
  <c r="E629" i="16"/>
  <c r="T629" i="16" s="1"/>
  <c r="G628" i="16"/>
  <c r="U628" i="16" s="1"/>
  <c r="E628" i="16"/>
  <c r="U627" i="16"/>
  <c r="T627" i="16"/>
  <c r="G627" i="16"/>
  <c r="Q627" i="16" s="1"/>
  <c r="E627" i="16"/>
  <c r="L627" i="16" s="1"/>
  <c r="G626" i="16"/>
  <c r="E626" i="16"/>
  <c r="Q625" i="16"/>
  <c r="L625" i="16"/>
  <c r="G625" i="16"/>
  <c r="U625" i="16" s="1"/>
  <c r="E625" i="16"/>
  <c r="T625" i="16" s="1"/>
  <c r="U624" i="16"/>
  <c r="G624" i="16"/>
  <c r="Q624" i="16" s="1"/>
  <c r="E624" i="16"/>
  <c r="U623" i="16"/>
  <c r="G623" i="16"/>
  <c r="Q623" i="16" s="1"/>
  <c r="E623" i="16"/>
  <c r="T623" i="16" s="1"/>
  <c r="T622" i="16"/>
  <c r="Q622" i="16"/>
  <c r="G622" i="16"/>
  <c r="U622" i="16" s="1"/>
  <c r="E622" i="16"/>
  <c r="L622" i="16" s="1"/>
  <c r="T621" i="16"/>
  <c r="L621" i="16"/>
  <c r="G621" i="16"/>
  <c r="U621" i="16" s="1"/>
  <c r="E621" i="16"/>
  <c r="L620" i="16"/>
  <c r="G620" i="16"/>
  <c r="E620" i="16"/>
  <c r="T620" i="16" s="1"/>
  <c r="Q619" i="16"/>
  <c r="G619" i="16"/>
  <c r="U619" i="16" s="1"/>
  <c r="E619" i="16"/>
  <c r="L619" i="16" s="1"/>
  <c r="G618" i="16"/>
  <c r="U618" i="16" s="1"/>
  <c r="E618" i="16"/>
  <c r="G617" i="16"/>
  <c r="E617" i="16"/>
  <c r="U616" i="16"/>
  <c r="G616" i="16"/>
  <c r="Q616" i="16" s="1"/>
  <c r="E616" i="16"/>
  <c r="G615" i="16"/>
  <c r="E615" i="16"/>
  <c r="G614" i="16"/>
  <c r="E614" i="16"/>
  <c r="T613" i="16"/>
  <c r="G613" i="16"/>
  <c r="E613" i="16"/>
  <c r="L613" i="16" s="1"/>
  <c r="L612" i="16"/>
  <c r="G612" i="16"/>
  <c r="Q612" i="16" s="1"/>
  <c r="E612" i="16"/>
  <c r="T612" i="16" s="1"/>
  <c r="U611" i="16"/>
  <c r="T611" i="16"/>
  <c r="Q611" i="16"/>
  <c r="L611" i="16"/>
  <c r="G611" i="16"/>
  <c r="E611" i="16"/>
  <c r="G610" i="16"/>
  <c r="E610" i="16"/>
  <c r="Q609" i="16"/>
  <c r="G609" i="16"/>
  <c r="U609" i="16" s="1"/>
  <c r="E609" i="16"/>
  <c r="G608" i="16"/>
  <c r="U608" i="16" s="1"/>
  <c r="E608" i="16"/>
  <c r="G607" i="16"/>
  <c r="E607" i="16"/>
  <c r="G606" i="16"/>
  <c r="E606" i="16"/>
  <c r="U605" i="16"/>
  <c r="Q605" i="16"/>
  <c r="L605" i="16"/>
  <c r="G605" i="16"/>
  <c r="E605" i="16"/>
  <c r="T605" i="16" s="1"/>
  <c r="U604" i="16"/>
  <c r="T604" i="16"/>
  <c r="Q604" i="16"/>
  <c r="L604" i="16"/>
  <c r="G604" i="16"/>
  <c r="E604" i="16"/>
  <c r="G603" i="16"/>
  <c r="Q603" i="16" s="1"/>
  <c r="E603" i="16"/>
  <c r="U602" i="16"/>
  <c r="G602" i="16"/>
  <c r="Q602" i="16" s="1"/>
  <c r="E602" i="16"/>
  <c r="U601" i="16"/>
  <c r="T601" i="16"/>
  <c r="Q601" i="16"/>
  <c r="L601" i="16"/>
  <c r="G601" i="16"/>
  <c r="E601" i="16"/>
  <c r="Q600" i="16"/>
  <c r="G600" i="16"/>
  <c r="U600" i="16" s="1"/>
  <c r="E600" i="16"/>
  <c r="G599" i="16"/>
  <c r="E599" i="16"/>
  <c r="L599" i="16" s="1"/>
  <c r="G598" i="16"/>
  <c r="U598" i="16" s="1"/>
  <c r="E598" i="16"/>
  <c r="G597" i="16"/>
  <c r="E597" i="16"/>
  <c r="U596" i="16"/>
  <c r="T596" i="16"/>
  <c r="Q596" i="16"/>
  <c r="G596" i="16"/>
  <c r="E596" i="16"/>
  <c r="L596" i="16" s="1"/>
  <c r="T595" i="16"/>
  <c r="G595" i="16"/>
  <c r="E595" i="16"/>
  <c r="L595" i="16" s="1"/>
  <c r="L594" i="16"/>
  <c r="G594" i="16"/>
  <c r="E594" i="16"/>
  <c r="T594" i="16" s="1"/>
  <c r="G593" i="16"/>
  <c r="E593" i="16"/>
  <c r="L593" i="16" s="1"/>
  <c r="G592" i="16"/>
  <c r="E592" i="16"/>
  <c r="U591" i="16"/>
  <c r="Q591" i="16"/>
  <c r="L591" i="16"/>
  <c r="G591" i="16"/>
  <c r="E591" i="16"/>
  <c r="T591" i="16" s="1"/>
  <c r="U590" i="16"/>
  <c r="G590" i="16"/>
  <c r="Q590" i="16" s="1"/>
  <c r="E590" i="16"/>
  <c r="T589" i="16"/>
  <c r="Q589" i="16"/>
  <c r="L589" i="16"/>
  <c r="G589" i="16"/>
  <c r="U589" i="16" s="1"/>
  <c r="E589" i="16"/>
  <c r="G588" i="16"/>
  <c r="E588" i="16"/>
  <c r="T588" i="16" s="1"/>
  <c r="G587" i="16"/>
  <c r="E587" i="16"/>
  <c r="L587" i="16" s="1"/>
  <c r="G586" i="16"/>
  <c r="E586" i="16"/>
  <c r="G585" i="16"/>
  <c r="E585" i="16"/>
  <c r="T585" i="16" s="1"/>
  <c r="G584" i="16"/>
  <c r="E584" i="16"/>
  <c r="U583" i="16"/>
  <c r="T583" i="16"/>
  <c r="G583" i="16"/>
  <c r="Q583" i="16" s="1"/>
  <c r="E583" i="16"/>
  <c r="L583" i="16" s="1"/>
  <c r="G582" i="16"/>
  <c r="E582" i="16"/>
  <c r="U581" i="16"/>
  <c r="T581" i="16"/>
  <c r="Q581" i="16"/>
  <c r="G581" i="16"/>
  <c r="E581" i="16"/>
  <c r="L581" i="16" s="1"/>
  <c r="G580" i="16"/>
  <c r="E580" i="16"/>
  <c r="U579" i="16"/>
  <c r="G579" i="16"/>
  <c r="Q579" i="16" s="1"/>
  <c r="E579" i="16"/>
  <c r="T579" i="16" s="1"/>
  <c r="U578" i="16"/>
  <c r="Q578" i="16"/>
  <c r="G578" i="16"/>
  <c r="E578" i="16"/>
  <c r="T578" i="16" s="1"/>
  <c r="G577" i="16"/>
  <c r="E577" i="16"/>
  <c r="G576" i="16"/>
  <c r="E576" i="16"/>
  <c r="L576" i="16" s="1"/>
  <c r="G575" i="16"/>
  <c r="E575" i="16"/>
  <c r="U574" i="16"/>
  <c r="L574" i="16"/>
  <c r="G574" i="16"/>
  <c r="Q574" i="16" s="1"/>
  <c r="E574" i="16"/>
  <c r="T574" i="16" s="1"/>
  <c r="U573" i="16"/>
  <c r="G573" i="16"/>
  <c r="Q573" i="16" s="1"/>
  <c r="E573" i="16"/>
  <c r="L573" i="16" s="1"/>
  <c r="U572" i="16"/>
  <c r="L572" i="16"/>
  <c r="G572" i="16"/>
  <c r="Q572" i="16" s="1"/>
  <c r="E572" i="16"/>
  <c r="T572" i="16" s="1"/>
  <c r="U571" i="16"/>
  <c r="Q571" i="16"/>
  <c r="G571" i="16"/>
  <c r="E571" i="16"/>
  <c r="L570" i="16"/>
  <c r="G570" i="16"/>
  <c r="U570" i="16" s="1"/>
  <c r="E570" i="16"/>
  <c r="T570" i="16" s="1"/>
  <c r="G569" i="16"/>
  <c r="E569" i="16"/>
  <c r="T568" i="16"/>
  <c r="G568" i="16"/>
  <c r="E568" i="16"/>
  <c r="L568" i="16" s="1"/>
  <c r="G567" i="16"/>
  <c r="Q567" i="16" s="1"/>
  <c r="E567" i="16"/>
  <c r="T566" i="16"/>
  <c r="L566" i="16"/>
  <c r="G566" i="16"/>
  <c r="Q566" i="16" s="1"/>
  <c r="E566" i="16"/>
  <c r="Q565" i="16"/>
  <c r="L565" i="16"/>
  <c r="G565" i="16"/>
  <c r="U565" i="16" s="1"/>
  <c r="E565" i="16"/>
  <c r="T565" i="16" s="1"/>
  <c r="Q564" i="16"/>
  <c r="G564" i="16"/>
  <c r="U564" i="16" s="1"/>
  <c r="E564" i="16"/>
  <c r="G563" i="16"/>
  <c r="Q563" i="16" s="1"/>
  <c r="E563" i="16"/>
  <c r="U562" i="16"/>
  <c r="T562" i="16"/>
  <c r="Q562" i="16"/>
  <c r="G562" i="16"/>
  <c r="E562" i="16"/>
  <c r="L562" i="16" s="1"/>
  <c r="Q561" i="16"/>
  <c r="G561" i="16"/>
  <c r="U561" i="16" s="1"/>
  <c r="E561" i="16"/>
  <c r="U560" i="16"/>
  <c r="T560" i="16"/>
  <c r="Q560" i="16"/>
  <c r="L560" i="16"/>
  <c r="G560" i="16"/>
  <c r="E560" i="16"/>
  <c r="G559" i="16"/>
  <c r="E559" i="16"/>
  <c r="T559" i="16" s="1"/>
  <c r="G558" i="16"/>
  <c r="E558" i="16"/>
  <c r="T558" i="16" s="1"/>
  <c r="Q557" i="16"/>
  <c r="G557" i="16"/>
  <c r="U557" i="16" s="1"/>
  <c r="E557" i="16"/>
  <c r="U556" i="16"/>
  <c r="T556" i="16"/>
  <c r="G556" i="16"/>
  <c r="Q556" i="16" s="1"/>
  <c r="E556" i="16"/>
  <c r="L556" i="16" s="1"/>
  <c r="T555" i="16"/>
  <c r="L555" i="16"/>
  <c r="G555" i="16"/>
  <c r="E555" i="16"/>
  <c r="G554" i="16"/>
  <c r="E554" i="16"/>
  <c r="U553" i="16"/>
  <c r="G553" i="16"/>
  <c r="Q553" i="16" s="1"/>
  <c r="E553" i="16"/>
  <c r="G552" i="16"/>
  <c r="Q552" i="16" s="1"/>
  <c r="E552" i="16"/>
  <c r="L552" i="16" s="1"/>
  <c r="T551" i="16"/>
  <c r="G551" i="16"/>
  <c r="Q551" i="16" s="1"/>
  <c r="E551" i="16"/>
  <c r="L551" i="16" s="1"/>
  <c r="G550" i="16"/>
  <c r="E550" i="16"/>
  <c r="G549" i="16"/>
  <c r="E549" i="16"/>
  <c r="G548" i="16"/>
  <c r="E548" i="16"/>
  <c r="G547" i="16"/>
  <c r="E547" i="16"/>
  <c r="L546" i="16"/>
  <c r="G546" i="16"/>
  <c r="U546" i="16" s="1"/>
  <c r="E546" i="16"/>
  <c r="T546" i="16" s="1"/>
  <c r="T545" i="16"/>
  <c r="L545" i="16"/>
  <c r="G545" i="16"/>
  <c r="E545" i="16"/>
  <c r="G544" i="16"/>
  <c r="E544" i="16"/>
  <c r="G543" i="16"/>
  <c r="U543" i="16" s="1"/>
  <c r="E543" i="16"/>
  <c r="Q542" i="16"/>
  <c r="G542" i="16"/>
  <c r="U542" i="16" s="1"/>
  <c r="E542" i="16"/>
  <c r="T541" i="16"/>
  <c r="G541" i="16"/>
  <c r="E541" i="16"/>
  <c r="L541" i="16" s="1"/>
  <c r="T540" i="16"/>
  <c r="Q540" i="16"/>
  <c r="L540" i="16"/>
  <c r="G540" i="16"/>
  <c r="U540" i="16" s="1"/>
  <c r="E540" i="16"/>
  <c r="G539" i="16"/>
  <c r="E539" i="16"/>
  <c r="G538" i="16"/>
  <c r="U538" i="16" s="1"/>
  <c r="E538" i="16"/>
  <c r="L538" i="16" s="1"/>
  <c r="Q537" i="16"/>
  <c r="G537" i="16"/>
  <c r="U537" i="16" s="1"/>
  <c r="E537" i="16"/>
  <c r="L536" i="16"/>
  <c r="G536" i="16"/>
  <c r="E536" i="16"/>
  <c r="T536" i="16" s="1"/>
  <c r="G535" i="16"/>
  <c r="E535" i="16"/>
  <c r="G534" i="16"/>
  <c r="E534" i="16"/>
  <c r="T533" i="16"/>
  <c r="Q533" i="16"/>
  <c r="G533" i="16"/>
  <c r="U533" i="16" s="1"/>
  <c r="E533" i="16"/>
  <c r="L533" i="16" s="1"/>
  <c r="G532" i="16"/>
  <c r="E532" i="16"/>
  <c r="Q531" i="16"/>
  <c r="G531" i="16"/>
  <c r="U531" i="16" s="1"/>
  <c r="E531" i="16"/>
  <c r="G530" i="16"/>
  <c r="E530" i="16"/>
  <c r="G529" i="16"/>
  <c r="E529" i="16"/>
  <c r="T528" i="16"/>
  <c r="G528" i="16"/>
  <c r="E528" i="16"/>
  <c r="L528" i="16" s="1"/>
  <c r="T527" i="16"/>
  <c r="Q527" i="16"/>
  <c r="G527" i="16"/>
  <c r="U527" i="16" s="1"/>
  <c r="E527" i="16"/>
  <c r="L527" i="16" s="1"/>
  <c r="G526" i="16"/>
  <c r="E526" i="16"/>
  <c r="U525" i="16"/>
  <c r="Q525" i="16"/>
  <c r="G525" i="16"/>
  <c r="E525" i="16"/>
  <c r="G524" i="16"/>
  <c r="E524" i="16"/>
  <c r="T523" i="16"/>
  <c r="G523" i="16"/>
  <c r="E523" i="16"/>
  <c r="L523" i="16" s="1"/>
  <c r="U522" i="16"/>
  <c r="G522" i="16"/>
  <c r="Q522" i="16" s="1"/>
  <c r="E522" i="16"/>
  <c r="L522" i="16" s="1"/>
  <c r="T521" i="16"/>
  <c r="L521" i="16"/>
  <c r="G521" i="16"/>
  <c r="E521" i="16"/>
  <c r="Q520" i="16"/>
  <c r="L520" i="16"/>
  <c r="G520" i="16"/>
  <c r="U520" i="16" s="1"/>
  <c r="E520" i="16"/>
  <c r="T520" i="16" s="1"/>
  <c r="G519" i="16"/>
  <c r="E519" i="16"/>
  <c r="T518" i="16"/>
  <c r="L518" i="16"/>
  <c r="G518" i="16"/>
  <c r="E518" i="16"/>
  <c r="U517" i="16"/>
  <c r="L517" i="16"/>
  <c r="G517" i="16"/>
  <c r="Q517" i="16" s="1"/>
  <c r="E517" i="16"/>
  <c r="T517" i="16" s="1"/>
  <c r="L516" i="16"/>
  <c r="G516" i="16"/>
  <c r="E516" i="16"/>
  <c r="T516" i="16" s="1"/>
  <c r="G515" i="16"/>
  <c r="E515" i="16"/>
  <c r="L514" i="16"/>
  <c r="G514" i="16"/>
  <c r="E514" i="16"/>
  <c r="T514" i="16" s="1"/>
  <c r="G513" i="16"/>
  <c r="E513" i="16"/>
  <c r="G512" i="16"/>
  <c r="E512" i="16"/>
  <c r="T511" i="16"/>
  <c r="G511" i="16"/>
  <c r="E511" i="16"/>
  <c r="L511" i="16" s="1"/>
  <c r="G510" i="16"/>
  <c r="E510" i="16"/>
  <c r="G509" i="16"/>
  <c r="Q509" i="16" s="1"/>
  <c r="E509" i="16"/>
  <c r="T508" i="16"/>
  <c r="Q508" i="16"/>
  <c r="G508" i="16"/>
  <c r="U508" i="16" s="1"/>
  <c r="E508" i="16"/>
  <c r="L508" i="16" s="1"/>
  <c r="U507" i="16"/>
  <c r="T507" i="16"/>
  <c r="L507" i="16"/>
  <c r="G507" i="16"/>
  <c r="Q507" i="16" s="1"/>
  <c r="E507" i="16"/>
  <c r="U506" i="16"/>
  <c r="T506" i="16"/>
  <c r="G506" i="16"/>
  <c r="Q506" i="16" s="1"/>
  <c r="E506" i="16"/>
  <c r="L506" i="16" s="1"/>
  <c r="G505" i="16"/>
  <c r="U505" i="16" s="1"/>
  <c r="E505" i="16"/>
  <c r="G504" i="16"/>
  <c r="E504" i="16"/>
  <c r="L503" i="16"/>
  <c r="G503" i="16"/>
  <c r="E503" i="16"/>
  <c r="T503" i="16" s="1"/>
  <c r="Q502" i="16"/>
  <c r="G502" i="16"/>
  <c r="U502" i="16" s="1"/>
  <c r="E502" i="16"/>
  <c r="U501" i="16"/>
  <c r="T501" i="16"/>
  <c r="Q501" i="16"/>
  <c r="L501" i="16"/>
  <c r="G501" i="16"/>
  <c r="E501" i="16"/>
  <c r="T500" i="16"/>
  <c r="L500" i="16"/>
  <c r="G500" i="16"/>
  <c r="E500" i="16"/>
  <c r="G499" i="16"/>
  <c r="E499" i="16"/>
  <c r="G498" i="16"/>
  <c r="E498" i="16"/>
  <c r="T498" i="16" s="1"/>
  <c r="T497" i="16"/>
  <c r="L497" i="16"/>
  <c r="G497" i="16"/>
  <c r="U497" i="16" s="1"/>
  <c r="E497" i="16"/>
  <c r="L496" i="16"/>
  <c r="G496" i="16"/>
  <c r="E496" i="16"/>
  <c r="T496" i="16" s="1"/>
  <c r="Q495" i="16"/>
  <c r="G495" i="16"/>
  <c r="U495" i="16" s="1"/>
  <c r="E495" i="16"/>
  <c r="T494" i="16"/>
  <c r="L494" i="16"/>
  <c r="G494" i="16"/>
  <c r="E494" i="16"/>
  <c r="G493" i="16"/>
  <c r="E493" i="16"/>
  <c r="G492" i="16"/>
  <c r="E492" i="16"/>
  <c r="Q491" i="16"/>
  <c r="G491" i="16"/>
  <c r="U491" i="16" s="1"/>
  <c r="E491" i="16"/>
  <c r="Q490" i="16"/>
  <c r="L490" i="16"/>
  <c r="G490" i="16"/>
  <c r="U490" i="16" s="1"/>
  <c r="E490" i="16"/>
  <c r="T490" i="16" s="1"/>
  <c r="G489" i="16"/>
  <c r="Q489" i="16" s="1"/>
  <c r="E489" i="16"/>
  <c r="G488" i="16"/>
  <c r="E488" i="16"/>
  <c r="G487" i="16"/>
  <c r="E487" i="16"/>
  <c r="L487" i="16" s="1"/>
  <c r="L486" i="16"/>
  <c r="G486" i="16"/>
  <c r="U486" i="16" s="1"/>
  <c r="E486" i="16"/>
  <c r="T486" i="16" s="1"/>
  <c r="G485" i="16"/>
  <c r="E485" i="16"/>
  <c r="L484" i="16"/>
  <c r="G484" i="16"/>
  <c r="E484" i="16"/>
  <c r="T484" i="16" s="1"/>
  <c r="G483" i="16"/>
  <c r="E483" i="16"/>
  <c r="G482" i="16"/>
  <c r="E482" i="16"/>
  <c r="G481" i="16"/>
  <c r="Q481" i="16" s="1"/>
  <c r="E481" i="16"/>
  <c r="G480" i="16"/>
  <c r="E480" i="16"/>
  <c r="T480" i="16" s="1"/>
  <c r="T479" i="16"/>
  <c r="G479" i="16"/>
  <c r="E479" i="16"/>
  <c r="L479" i="16" s="1"/>
  <c r="U478" i="16"/>
  <c r="T478" i="16"/>
  <c r="L478" i="16"/>
  <c r="G478" i="16"/>
  <c r="Q478" i="16" s="1"/>
  <c r="E478" i="16"/>
  <c r="Q477" i="16"/>
  <c r="G477" i="16"/>
  <c r="U477" i="16" s="1"/>
  <c r="E477" i="16"/>
  <c r="G476" i="16"/>
  <c r="E476" i="16"/>
  <c r="G475" i="16"/>
  <c r="E475" i="16"/>
  <c r="T475" i="16" s="1"/>
  <c r="Q474" i="16"/>
  <c r="G474" i="16"/>
  <c r="U474" i="16" s="1"/>
  <c r="E474" i="16"/>
  <c r="T473" i="16"/>
  <c r="G473" i="16"/>
  <c r="E473" i="16"/>
  <c r="L473" i="16" s="1"/>
  <c r="G472" i="16"/>
  <c r="E472" i="16"/>
  <c r="L471" i="16"/>
  <c r="G471" i="16"/>
  <c r="E471" i="16"/>
  <c r="T471" i="16" s="1"/>
  <c r="G470" i="16"/>
  <c r="E470" i="16"/>
  <c r="L469" i="16"/>
  <c r="G469" i="16"/>
  <c r="E469" i="16"/>
  <c r="T469" i="16" s="1"/>
  <c r="U468" i="16"/>
  <c r="Q468" i="16"/>
  <c r="G468" i="16"/>
  <c r="E468" i="16"/>
  <c r="Q467" i="16"/>
  <c r="G467" i="16"/>
  <c r="U467" i="16" s="1"/>
  <c r="E467" i="16"/>
  <c r="U466" i="16"/>
  <c r="T466" i="16"/>
  <c r="G466" i="16"/>
  <c r="Q466" i="16" s="1"/>
  <c r="E466" i="16"/>
  <c r="L466" i="16" s="1"/>
  <c r="L465" i="16"/>
  <c r="G465" i="16"/>
  <c r="E465" i="16"/>
  <c r="T465" i="16" s="1"/>
  <c r="U464" i="16"/>
  <c r="T464" i="16"/>
  <c r="Q464" i="16"/>
  <c r="G464" i="16"/>
  <c r="E464" i="16"/>
  <c r="L464" i="16" s="1"/>
  <c r="G463" i="16"/>
  <c r="E463" i="16"/>
  <c r="T463" i="16" s="1"/>
  <c r="G462" i="16"/>
  <c r="E462" i="16"/>
  <c r="U461" i="16"/>
  <c r="G461" i="16"/>
  <c r="Q461" i="16" s="1"/>
  <c r="E461" i="16"/>
  <c r="L461" i="16" s="1"/>
  <c r="G460" i="16"/>
  <c r="E460" i="16"/>
  <c r="U459" i="16"/>
  <c r="Q459" i="16"/>
  <c r="G459" i="16"/>
  <c r="E459" i="16"/>
  <c r="T459" i="16" s="1"/>
  <c r="G458" i="16"/>
  <c r="E458" i="16"/>
  <c r="L457" i="16"/>
  <c r="G457" i="16"/>
  <c r="U457" i="16" s="1"/>
  <c r="E457" i="16"/>
  <c r="T457" i="16" s="1"/>
  <c r="G456" i="16"/>
  <c r="Q456" i="16" s="1"/>
  <c r="E456" i="16"/>
  <c r="T455" i="16"/>
  <c r="G455" i="16"/>
  <c r="E455" i="16"/>
  <c r="L455" i="16" s="1"/>
  <c r="G454" i="16"/>
  <c r="E454" i="16"/>
  <c r="Q453" i="16"/>
  <c r="G453" i="16"/>
  <c r="U453" i="16" s="1"/>
  <c r="E453" i="16"/>
  <c r="G452" i="16"/>
  <c r="U452" i="16" s="1"/>
  <c r="E452" i="16"/>
  <c r="G451" i="16"/>
  <c r="E451" i="16"/>
  <c r="G450" i="16"/>
  <c r="E450" i="16"/>
  <c r="T449" i="16"/>
  <c r="G449" i="16"/>
  <c r="E449" i="16"/>
  <c r="L449" i="16" s="1"/>
  <c r="Q448" i="16"/>
  <c r="G448" i="16"/>
  <c r="U448" i="16" s="1"/>
  <c r="E448" i="16"/>
  <c r="G447" i="16"/>
  <c r="E447" i="16"/>
  <c r="Q446" i="16"/>
  <c r="G446" i="16"/>
  <c r="U446" i="16" s="1"/>
  <c r="E446" i="16"/>
  <c r="U445" i="16"/>
  <c r="Q445" i="16"/>
  <c r="G445" i="16"/>
  <c r="E445" i="16"/>
  <c r="G444" i="16"/>
  <c r="E444" i="16"/>
  <c r="T444" i="16" s="1"/>
  <c r="G443" i="16"/>
  <c r="E443" i="16"/>
  <c r="L443" i="16" s="1"/>
  <c r="U442" i="16"/>
  <c r="T442" i="16"/>
  <c r="Q442" i="16"/>
  <c r="L442" i="16"/>
  <c r="G442" i="16"/>
  <c r="E442" i="16"/>
  <c r="U441" i="16"/>
  <c r="Q441" i="16"/>
  <c r="G441" i="16"/>
  <c r="E441" i="16"/>
  <c r="T441" i="16" s="1"/>
  <c r="G440" i="16"/>
  <c r="U440" i="16" s="1"/>
  <c r="E440" i="16"/>
  <c r="T440" i="16" s="1"/>
  <c r="T439" i="16"/>
  <c r="G439" i="16"/>
  <c r="U439" i="16" s="1"/>
  <c r="E439" i="16"/>
  <c r="L439" i="16" s="1"/>
  <c r="U438" i="16"/>
  <c r="G438" i="16"/>
  <c r="Q438" i="16" s="1"/>
  <c r="E438" i="16"/>
  <c r="G437" i="16"/>
  <c r="E437" i="16"/>
  <c r="L437" i="16" s="1"/>
  <c r="G436" i="16"/>
  <c r="E436" i="16"/>
  <c r="T435" i="16"/>
  <c r="G435" i="16"/>
  <c r="E435" i="16"/>
  <c r="L435" i="16" s="1"/>
  <c r="U434" i="16"/>
  <c r="T434" i="16"/>
  <c r="Q434" i="16"/>
  <c r="G434" i="16"/>
  <c r="E434" i="16"/>
  <c r="L434" i="16" s="1"/>
  <c r="U433" i="16"/>
  <c r="Q433" i="16"/>
  <c r="G433" i="16"/>
  <c r="E433" i="16"/>
  <c r="G432" i="16"/>
  <c r="E432" i="16"/>
  <c r="G431" i="16"/>
  <c r="E431" i="16"/>
  <c r="L431" i="16" s="1"/>
  <c r="T430" i="16"/>
  <c r="G430" i="16"/>
  <c r="E430" i="16"/>
  <c r="L430" i="16" s="1"/>
  <c r="G429" i="16"/>
  <c r="U429" i="16" s="1"/>
  <c r="E429" i="16"/>
  <c r="G428" i="16"/>
  <c r="E428" i="16"/>
  <c r="L428" i="16" s="1"/>
  <c r="G427" i="16"/>
  <c r="Q427" i="16" s="1"/>
  <c r="E427" i="16"/>
  <c r="L427" i="16" s="1"/>
  <c r="G426" i="16"/>
  <c r="E426" i="16"/>
  <c r="L426" i="16" s="1"/>
  <c r="Q425" i="16"/>
  <c r="G425" i="16"/>
  <c r="U425" i="16" s="1"/>
  <c r="E425" i="16"/>
  <c r="U424" i="16"/>
  <c r="Q424" i="16"/>
  <c r="G424" i="16"/>
  <c r="E424" i="16"/>
  <c r="T423" i="16"/>
  <c r="L423" i="16"/>
  <c r="G423" i="16"/>
  <c r="E423" i="16"/>
  <c r="U422" i="16"/>
  <c r="G422" i="16"/>
  <c r="Q422" i="16" s="1"/>
  <c r="E422" i="16"/>
  <c r="T421" i="16"/>
  <c r="L421" i="16"/>
  <c r="G421" i="16"/>
  <c r="Q421" i="16" s="1"/>
  <c r="E421" i="16"/>
  <c r="L420" i="16"/>
  <c r="G420" i="16"/>
  <c r="Q420" i="16" s="1"/>
  <c r="E420" i="16"/>
  <c r="T420" i="16" s="1"/>
  <c r="G419" i="16"/>
  <c r="E419" i="16"/>
  <c r="G418" i="16"/>
  <c r="E418" i="16"/>
  <c r="T418" i="16" s="1"/>
  <c r="U417" i="16"/>
  <c r="T417" i="16"/>
  <c r="Q417" i="16"/>
  <c r="G417" i="16"/>
  <c r="E417" i="16"/>
  <c r="L417" i="16" s="1"/>
  <c r="G416" i="16"/>
  <c r="U416" i="16" s="1"/>
  <c r="E416" i="16"/>
  <c r="G415" i="16"/>
  <c r="E415" i="16"/>
  <c r="G414" i="16"/>
  <c r="E414" i="16"/>
  <c r="T413" i="16"/>
  <c r="Q413" i="16"/>
  <c r="G413" i="16"/>
  <c r="U413" i="16" s="1"/>
  <c r="E413" i="16"/>
  <c r="L413" i="16" s="1"/>
  <c r="G412" i="16"/>
  <c r="E412" i="16"/>
  <c r="T411" i="16"/>
  <c r="L411" i="16"/>
  <c r="G411" i="16"/>
  <c r="E411" i="16"/>
  <c r="U410" i="16"/>
  <c r="G410" i="16"/>
  <c r="Q410" i="16" s="1"/>
  <c r="E410" i="16"/>
  <c r="U409" i="16"/>
  <c r="Q409" i="16"/>
  <c r="G409" i="16"/>
  <c r="E409" i="16"/>
  <c r="G408" i="16"/>
  <c r="U408" i="16" s="1"/>
  <c r="E408" i="16"/>
  <c r="U407" i="16"/>
  <c r="Q407" i="16"/>
  <c r="G407" i="16"/>
  <c r="E407" i="16"/>
  <c r="U406" i="16"/>
  <c r="G406" i="16"/>
  <c r="Q406" i="16" s="1"/>
  <c r="E406" i="16"/>
  <c r="L406" i="16" s="1"/>
  <c r="G405" i="16"/>
  <c r="Q405" i="16" s="1"/>
  <c r="E405" i="16"/>
  <c r="G404" i="16"/>
  <c r="E404" i="16"/>
  <c r="G403" i="16"/>
  <c r="E403" i="16"/>
  <c r="U402" i="16"/>
  <c r="L402" i="16"/>
  <c r="G402" i="16"/>
  <c r="Q402" i="16" s="1"/>
  <c r="E402" i="16"/>
  <c r="T402" i="16" s="1"/>
  <c r="U401" i="16"/>
  <c r="T401" i="16"/>
  <c r="L401" i="16"/>
  <c r="G401" i="16"/>
  <c r="Q401" i="16" s="1"/>
  <c r="E401" i="16"/>
  <c r="U400" i="16"/>
  <c r="G400" i="16"/>
  <c r="Q400" i="16" s="1"/>
  <c r="E400" i="16"/>
  <c r="L399" i="16"/>
  <c r="G399" i="16"/>
  <c r="U399" i="16" s="1"/>
  <c r="E399" i="16"/>
  <c r="T399" i="16" s="1"/>
  <c r="G398" i="16"/>
  <c r="E398" i="16"/>
  <c r="L397" i="16"/>
  <c r="G397" i="16"/>
  <c r="U397" i="16" s="1"/>
  <c r="E397" i="16"/>
  <c r="T397" i="16" s="1"/>
  <c r="G396" i="16"/>
  <c r="E396" i="16"/>
  <c r="U395" i="16"/>
  <c r="Q395" i="16"/>
  <c r="L395" i="16"/>
  <c r="G395" i="16"/>
  <c r="E395" i="16"/>
  <c r="T395" i="16" s="1"/>
  <c r="U394" i="16"/>
  <c r="G394" i="16"/>
  <c r="Q394" i="16" s="1"/>
  <c r="E394" i="16"/>
  <c r="G393" i="16"/>
  <c r="E393" i="16"/>
  <c r="U392" i="16"/>
  <c r="Q392" i="16"/>
  <c r="G392" i="16"/>
  <c r="E392" i="16"/>
  <c r="G391" i="16"/>
  <c r="E391" i="16"/>
  <c r="U390" i="16"/>
  <c r="Q390" i="16"/>
  <c r="G390" i="16"/>
  <c r="E390" i="16"/>
  <c r="U389" i="16"/>
  <c r="Q389" i="16"/>
  <c r="G389" i="16"/>
  <c r="E389" i="16"/>
  <c r="G388" i="16"/>
  <c r="E388" i="16"/>
  <c r="T388" i="16" s="1"/>
  <c r="G387" i="16"/>
  <c r="E387" i="16"/>
  <c r="G386" i="16"/>
  <c r="E386" i="16"/>
  <c r="Q385" i="16"/>
  <c r="G385" i="16"/>
  <c r="U385" i="16" s="1"/>
  <c r="E385" i="16"/>
  <c r="G384" i="16"/>
  <c r="E384" i="16"/>
  <c r="L383" i="16"/>
  <c r="G383" i="16"/>
  <c r="E383" i="16"/>
  <c r="T383" i="16" s="1"/>
  <c r="G382" i="16"/>
  <c r="E382" i="16"/>
  <c r="G381" i="16"/>
  <c r="E381" i="16"/>
  <c r="G380" i="16"/>
  <c r="U380" i="16" s="1"/>
  <c r="E380" i="16"/>
  <c r="G379" i="16"/>
  <c r="E379" i="16"/>
  <c r="Q378" i="16"/>
  <c r="G378" i="16"/>
  <c r="U378" i="16" s="1"/>
  <c r="E378" i="16"/>
  <c r="Q377" i="16"/>
  <c r="L377" i="16"/>
  <c r="G377" i="16"/>
  <c r="U377" i="16" s="1"/>
  <c r="E377" i="16"/>
  <c r="T377" i="16" s="1"/>
  <c r="G376" i="16"/>
  <c r="E376" i="16"/>
  <c r="U375" i="16"/>
  <c r="Q375" i="16"/>
  <c r="G375" i="16"/>
  <c r="E375" i="16"/>
  <c r="T375" i="16" s="1"/>
  <c r="T374" i="16"/>
  <c r="L374" i="16"/>
  <c r="G374" i="16"/>
  <c r="Q374" i="16" s="1"/>
  <c r="E374" i="16"/>
  <c r="L373" i="16"/>
  <c r="G373" i="16"/>
  <c r="E373" i="16"/>
  <c r="T373" i="16" s="1"/>
  <c r="G372" i="16"/>
  <c r="E372" i="16"/>
  <c r="L372" i="16" s="1"/>
  <c r="Q371" i="16"/>
  <c r="G371" i="16"/>
  <c r="U371" i="16" s="1"/>
  <c r="E371" i="16"/>
  <c r="L371" i="16" s="1"/>
  <c r="U370" i="16"/>
  <c r="T370" i="16"/>
  <c r="Q370" i="16"/>
  <c r="G370" i="16"/>
  <c r="E370" i="16"/>
  <c r="L370" i="16" s="1"/>
  <c r="L369" i="16"/>
  <c r="G369" i="16"/>
  <c r="E369" i="16"/>
  <c r="T369" i="16" s="1"/>
  <c r="G368" i="16"/>
  <c r="E368" i="16"/>
  <c r="T368" i="16" s="1"/>
  <c r="Q367" i="16"/>
  <c r="L367" i="16"/>
  <c r="G367" i="16"/>
  <c r="U367" i="16" s="1"/>
  <c r="E367" i="16"/>
  <c r="T367" i="16" s="1"/>
  <c r="G366" i="16"/>
  <c r="E366" i="16"/>
  <c r="T365" i="16"/>
  <c r="G365" i="16"/>
  <c r="E365" i="16"/>
  <c r="L365" i="16" s="1"/>
  <c r="G364" i="16"/>
  <c r="E364" i="16"/>
  <c r="L363" i="16"/>
  <c r="G363" i="16"/>
  <c r="E363" i="16"/>
  <c r="T363" i="16" s="1"/>
  <c r="G362" i="16"/>
  <c r="E362" i="16"/>
  <c r="G361" i="16"/>
  <c r="E361" i="16"/>
  <c r="G360" i="16"/>
  <c r="E360" i="16"/>
  <c r="G359" i="16"/>
  <c r="E359" i="16"/>
  <c r="G358" i="16"/>
  <c r="E358" i="16"/>
  <c r="T357" i="16"/>
  <c r="L357" i="16"/>
  <c r="G357" i="16"/>
  <c r="E357" i="16"/>
  <c r="U356" i="16"/>
  <c r="Q356" i="16"/>
  <c r="G356" i="16"/>
  <c r="E356" i="16"/>
  <c r="T356" i="16" s="1"/>
  <c r="L355" i="16"/>
  <c r="G355" i="16"/>
  <c r="U355" i="16" s="1"/>
  <c r="E355" i="16"/>
  <c r="T355" i="16" s="1"/>
  <c r="L354" i="16"/>
  <c r="G354" i="16"/>
  <c r="E354" i="16"/>
  <c r="T354" i="16" s="1"/>
  <c r="G353" i="16"/>
  <c r="Q353" i="16" s="1"/>
  <c r="E353" i="16"/>
  <c r="L352" i="16"/>
  <c r="G352" i="16"/>
  <c r="E352" i="16"/>
  <c r="T352" i="16" s="1"/>
  <c r="G351" i="16"/>
  <c r="E351" i="16"/>
  <c r="L350" i="16"/>
  <c r="G350" i="16"/>
  <c r="Q350" i="16" s="1"/>
  <c r="E350" i="16"/>
  <c r="T350" i="16" s="1"/>
  <c r="G349" i="16"/>
  <c r="E349" i="16"/>
  <c r="G348" i="16"/>
  <c r="E348" i="16"/>
  <c r="U347" i="16"/>
  <c r="Q347" i="16"/>
  <c r="G347" i="16"/>
  <c r="E347" i="16"/>
  <c r="U346" i="16"/>
  <c r="Q346" i="16"/>
  <c r="G346" i="16"/>
  <c r="E346" i="16"/>
  <c r="G345" i="16"/>
  <c r="E345" i="16"/>
  <c r="L345" i="16" s="1"/>
  <c r="Q344" i="16"/>
  <c r="G344" i="16"/>
  <c r="U344" i="16" s="1"/>
  <c r="E344" i="16"/>
  <c r="Q343" i="16"/>
  <c r="G343" i="16"/>
  <c r="U343" i="16" s="1"/>
  <c r="E343" i="16"/>
  <c r="G342" i="16"/>
  <c r="E342" i="16"/>
  <c r="U341" i="16"/>
  <c r="G341" i="16"/>
  <c r="Q341" i="16" s="1"/>
  <c r="E341" i="16"/>
  <c r="G340" i="16"/>
  <c r="E340" i="16"/>
  <c r="L339" i="16"/>
  <c r="G339" i="16"/>
  <c r="E339" i="16"/>
  <c r="T339" i="16" s="1"/>
  <c r="Q338" i="16"/>
  <c r="G338" i="16"/>
  <c r="U338" i="16" s="1"/>
  <c r="E338" i="16"/>
  <c r="G337" i="16"/>
  <c r="E337" i="16"/>
  <c r="T336" i="16"/>
  <c r="G336" i="16"/>
  <c r="E336" i="16"/>
  <c r="L336" i="16" s="1"/>
  <c r="L335" i="16"/>
  <c r="G335" i="16"/>
  <c r="Q335" i="16" s="1"/>
  <c r="E335" i="16"/>
  <c r="T335" i="16" s="1"/>
  <c r="T334" i="16"/>
  <c r="Q334" i="16"/>
  <c r="G334" i="16"/>
  <c r="U334" i="16" s="1"/>
  <c r="E334" i="16"/>
  <c r="L334" i="16" s="1"/>
  <c r="G333" i="16"/>
  <c r="E333" i="16"/>
  <c r="T332" i="16"/>
  <c r="G332" i="16"/>
  <c r="E332" i="16"/>
  <c r="L332" i="16" s="1"/>
  <c r="G331" i="16"/>
  <c r="E331" i="16"/>
  <c r="L331" i="16" s="1"/>
  <c r="L330" i="16"/>
  <c r="G330" i="16"/>
  <c r="U330" i="16" s="1"/>
  <c r="E330" i="16"/>
  <c r="T330" i="16" s="1"/>
  <c r="U329" i="16"/>
  <c r="L329" i="16"/>
  <c r="G329" i="16"/>
  <c r="Q329" i="16" s="1"/>
  <c r="E329" i="16"/>
  <c r="T329" i="16" s="1"/>
  <c r="U328" i="16"/>
  <c r="T328" i="16"/>
  <c r="L328" i="16"/>
  <c r="G328" i="16"/>
  <c r="Q328" i="16" s="1"/>
  <c r="E328" i="16"/>
  <c r="U327" i="16"/>
  <c r="Q327" i="16"/>
  <c r="L327" i="16"/>
  <c r="G327" i="16"/>
  <c r="E327" i="16"/>
  <c r="T327" i="16" s="1"/>
  <c r="G326" i="16"/>
  <c r="U326" i="16" s="1"/>
  <c r="E326" i="16"/>
  <c r="T325" i="16"/>
  <c r="Q325" i="16"/>
  <c r="G325" i="16"/>
  <c r="U325" i="16" s="1"/>
  <c r="E325" i="16"/>
  <c r="L325" i="16" s="1"/>
  <c r="U324" i="16"/>
  <c r="G324" i="16"/>
  <c r="Q324" i="16" s="1"/>
  <c r="E324" i="16"/>
  <c r="G323" i="16"/>
  <c r="E323" i="16"/>
  <c r="U322" i="16"/>
  <c r="G322" i="16"/>
  <c r="Q322" i="16" s="1"/>
  <c r="E322" i="16"/>
  <c r="U321" i="16"/>
  <c r="G321" i="16"/>
  <c r="Q321" i="16" s="1"/>
  <c r="E321" i="16"/>
  <c r="Q320" i="16"/>
  <c r="L320" i="16"/>
  <c r="G320" i="16"/>
  <c r="U320" i="16" s="1"/>
  <c r="E320" i="16"/>
  <c r="T320" i="16" s="1"/>
  <c r="G319" i="16"/>
  <c r="E319" i="16"/>
  <c r="G318" i="16"/>
  <c r="U318" i="16" s="1"/>
  <c r="E318" i="16"/>
  <c r="G317" i="16"/>
  <c r="E317" i="16"/>
  <c r="G316" i="16"/>
  <c r="E316" i="16"/>
  <c r="T315" i="16"/>
  <c r="G315" i="16"/>
  <c r="E315" i="16"/>
  <c r="L315" i="16" s="1"/>
  <c r="G314" i="16"/>
  <c r="E314" i="16"/>
  <c r="G313" i="16"/>
  <c r="Q313" i="16" s="1"/>
  <c r="E313" i="16"/>
  <c r="U312" i="16"/>
  <c r="G312" i="16"/>
  <c r="Q312" i="16" s="1"/>
  <c r="E312" i="16"/>
  <c r="T311" i="16"/>
  <c r="Q311" i="16"/>
  <c r="L311" i="16"/>
  <c r="G311" i="16"/>
  <c r="U311" i="16" s="1"/>
  <c r="E311" i="16"/>
  <c r="U310" i="16"/>
  <c r="G310" i="16"/>
  <c r="Q310" i="16" s="1"/>
  <c r="E310" i="16"/>
  <c r="T310" i="16" s="1"/>
  <c r="G309" i="16"/>
  <c r="E309" i="16"/>
  <c r="L309" i="16" s="1"/>
  <c r="T308" i="16"/>
  <c r="G308" i="16"/>
  <c r="E308" i="16"/>
  <c r="L308" i="16" s="1"/>
  <c r="G307" i="16"/>
  <c r="E307" i="16"/>
  <c r="G306" i="16"/>
  <c r="E306" i="16"/>
  <c r="T305" i="16"/>
  <c r="Q305" i="16"/>
  <c r="G305" i="16"/>
  <c r="U305" i="16" s="1"/>
  <c r="E305" i="16"/>
  <c r="L305" i="16" s="1"/>
  <c r="G304" i="16"/>
  <c r="E304" i="16"/>
  <c r="G303" i="16"/>
  <c r="E303" i="16"/>
  <c r="L303" i="16" s="1"/>
  <c r="G302" i="16"/>
  <c r="E302" i="16"/>
  <c r="G301" i="16"/>
  <c r="E301" i="16"/>
  <c r="L301" i="16" s="1"/>
  <c r="L300" i="16"/>
  <c r="G300" i="16"/>
  <c r="E300" i="16"/>
  <c r="T300" i="16" s="1"/>
  <c r="L299" i="16"/>
  <c r="G299" i="16"/>
  <c r="E299" i="16"/>
  <c r="T299" i="16" s="1"/>
  <c r="G298" i="16"/>
  <c r="E298" i="16"/>
  <c r="U297" i="16"/>
  <c r="Q297" i="16"/>
  <c r="G297" i="16"/>
  <c r="E297" i="16"/>
  <c r="T296" i="16"/>
  <c r="Q296" i="16"/>
  <c r="L296" i="16"/>
  <c r="G296" i="16"/>
  <c r="U296" i="16" s="1"/>
  <c r="E296" i="16"/>
  <c r="G295" i="16"/>
  <c r="U295" i="16" s="1"/>
  <c r="E295" i="16"/>
  <c r="G294" i="16"/>
  <c r="Q294" i="16" s="1"/>
  <c r="E294" i="16"/>
  <c r="G293" i="16"/>
  <c r="Q293" i="16" s="1"/>
  <c r="E293" i="16"/>
  <c r="G292" i="16"/>
  <c r="E292" i="16"/>
  <c r="U291" i="16"/>
  <c r="T291" i="16"/>
  <c r="G291" i="16"/>
  <c r="Q291" i="16" s="1"/>
  <c r="E291" i="16"/>
  <c r="L291" i="16" s="1"/>
  <c r="U290" i="16"/>
  <c r="T290" i="16"/>
  <c r="Q290" i="16"/>
  <c r="G290" i="16"/>
  <c r="E290" i="16"/>
  <c r="L290" i="16" s="1"/>
  <c r="T289" i="16"/>
  <c r="L289" i="16"/>
  <c r="G289" i="16"/>
  <c r="E289" i="16"/>
  <c r="Q288" i="16"/>
  <c r="L288" i="16"/>
  <c r="G288" i="16"/>
  <c r="U288" i="16" s="1"/>
  <c r="E288" i="16"/>
  <c r="T288" i="16" s="1"/>
  <c r="T287" i="16"/>
  <c r="G287" i="16"/>
  <c r="E287" i="16"/>
  <c r="L287" i="16" s="1"/>
  <c r="G286" i="16"/>
  <c r="U286" i="16" s="1"/>
  <c r="E286" i="16"/>
  <c r="G285" i="16"/>
  <c r="E285" i="16"/>
  <c r="L285" i="16" s="1"/>
  <c r="G284" i="16"/>
  <c r="E284" i="16"/>
  <c r="G283" i="16"/>
  <c r="E283" i="16"/>
  <c r="G282" i="16"/>
  <c r="Q282" i="16" s="1"/>
  <c r="E282" i="16"/>
  <c r="U281" i="16"/>
  <c r="G281" i="16"/>
  <c r="Q281" i="16" s="1"/>
  <c r="E281" i="16"/>
  <c r="G280" i="16"/>
  <c r="E280" i="16"/>
  <c r="L279" i="16"/>
  <c r="G279" i="16"/>
  <c r="E279" i="16"/>
  <c r="T279" i="16" s="1"/>
  <c r="G278" i="16"/>
  <c r="U278" i="16" s="1"/>
  <c r="E278" i="16"/>
  <c r="G277" i="16"/>
  <c r="E277" i="16"/>
  <c r="T277" i="16" s="1"/>
  <c r="G276" i="16"/>
  <c r="E276" i="16"/>
  <c r="G275" i="16"/>
  <c r="E275" i="16"/>
  <c r="U274" i="16"/>
  <c r="G274" i="16"/>
  <c r="Q274" i="16" s="1"/>
  <c r="E274" i="16"/>
  <c r="L273" i="16"/>
  <c r="G273" i="16"/>
  <c r="E273" i="16"/>
  <c r="T273" i="16" s="1"/>
  <c r="U272" i="16"/>
  <c r="T272" i="16"/>
  <c r="G272" i="16"/>
  <c r="Q272" i="16" s="1"/>
  <c r="E272" i="16"/>
  <c r="L272" i="16" s="1"/>
  <c r="Q271" i="16"/>
  <c r="G271" i="16"/>
  <c r="U271" i="16" s="1"/>
  <c r="E271" i="16"/>
  <c r="T270" i="16"/>
  <c r="Q270" i="16"/>
  <c r="L270" i="16"/>
  <c r="G270" i="16"/>
  <c r="U270" i="16" s="1"/>
  <c r="E270" i="16"/>
  <c r="G269" i="16"/>
  <c r="E269" i="16"/>
  <c r="T269" i="16" s="1"/>
  <c r="G268" i="16"/>
  <c r="E268" i="16"/>
  <c r="G267" i="16"/>
  <c r="E267" i="16"/>
  <c r="L267" i="16" s="1"/>
  <c r="T266" i="16"/>
  <c r="G266" i="16"/>
  <c r="Q266" i="16" s="1"/>
  <c r="E266" i="16"/>
  <c r="L266" i="16" s="1"/>
  <c r="G265" i="16"/>
  <c r="E265" i="16"/>
  <c r="U264" i="16"/>
  <c r="Q264" i="16"/>
  <c r="L264" i="16"/>
  <c r="G264" i="16"/>
  <c r="E264" i="16"/>
  <c r="T264" i="16" s="1"/>
  <c r="U263" i="16"/>
  <c r="T263" i="16"/>
  <c r="G263" i="16"/>
  <c r="Q263" i="16" s="1"/>
  <c r="E263" i="16"/>
  <c r="L263" i="16" s="1"/>
  <c r="G262" i="16"/>
  <c r="E262" i="16"/>
  <c r="L262" i="16" s="1"/>
  <c r="G261" i="16"/>
  <c r="E261" i="16"/>
  <c r="U260" i="16"/>
  <c r="G260" i="16"/>
  <c r="Q260" i="16" s="1"/>
  <c r="E260" i="16"/>
  <c r="T260" i="16" s="1"/>
  <c r="G259" i="16"/>
  <c r="E259" i="16"/>
  <c r="G258" i="16"/>
  <c r="U258" i="16" s="1"/>
  <c r="E258" i="16"/>
  <c r="T258" i="16" s="1"/>
  <c r="U257" i="16"/>
  <c r="T257" i="16"/>
  <c r="L257" i="16"/>
  <c r="G257" i="16"/>
  <c r="Q257" i="16" s="1"/>
  <c r="E257" i="16"/>
  <c r="G256" i="16"/>
  <c r="E256" i="16"/>
  <c r="G255" i="16"/>
  <c r="Q255" i="16" s="1"/>
  <c r="E255" i="16"/>
  <c r="G254" i="16"/>
  <c r="E254" i="16"/>
  <c r="G253" i="16"/>
  <c r="E253" i="16"/>
  <c r="T252" i="16"/>
  <c r="G252" i="16"/>
  <c r="E252" i="16"/>
  <c r="L252" i="16" s="1"/>
  <c r="T251" i="16"/>
  <c r="G251" i="16"/>
  <c r="E251" i="16"/>
  <c r="L251" i="16" s="1"/>
  <c r="Q250" i="16"/>
  <c r="G250" i="16"/>
  <c r="U250" i="16" s="1"/>
  <c r="E250" i="16"/>
  <c r="U249" i="16"/>
  <c r="Q249" i="16"/>
  <c r="G249" i="16"/>
  <c r="E249" i="16"/>
  <c r="G248" i="16"/>
  <c r="E248" i="16"/>
  <c r="U247" i="16"/>
  <c r="T247" i="16"/>
  <c r="Q247" i="16"/>
  <c r="G247" i="16"/>
  <c r="E247" i="16"/>
  <c r="L247" i="16" s="1"/>
  <c r="Q246" i="16"/>
  <c r="G246" i="16"/>
  <c r="U246" i="16" s="1"/>
  <c r="E246" i="16"/>
  <c r="T245" i="16"/>
  <c r="G245" i="16"/>
  <c r="E245" i="16"/>
  <c r="L245" i="16" s="1"/>
  <c r="U244" i="16"/>
  <c r="Q244" i="16"/>
  <c r="G244" i="16"/>
  <c r="E244" i="16"/>
  <c r="Q243" i="16"/>
  <c r="G243" i="16"/>
  <c r="U243" i="16" s="1"/>
  <c r="E243" i="16"/>
  <c r="G242" i="16"/>
  <c r="E242" i="16"/>
  <c r="G241" i="16"/>
  <c r="E241" i="16"/>
  <c r="T241" i="16" s="1"/>
  <c r="Q240" i="16"/>
  <c r="G240" i="16"/>
  <c r="U240" i="16" s="1"/>
  <c r="E240" i="16"/>
  <c r="G239" i="16"/>
  <c r="U239" i="16" s="1"/>
  <c r="E239" i="16"/>
  <c r="T239" i="16" s="1"/>
  <c r="G238" i="16"/>
  <c r="E238" i="16"/>
  <c r="U237" i="16"/>
  <c r="Q237" i="16"/>
  <c r="L237" i="16"/>
  <c r="G237" i="16"/>
  <c r="E237" i="16"/>
  <c r="T237" i="16" s="1"/>
  <c r="U236" i="16"/>
  <c r="T236" i="16"/>
  <c r="G236" i="16"/>
  <c r="Q236" i="16" s="1"/>
  <c r="E236" i="16"/>
  <c r="L236" i="16" s="1"/>
  <c r="G235" i="16"/>
  <c r="Q235" i="16" s="1"/>
  <c r="E235" i="16"/>
  <c r="G234" i="16"/>
  <c r="E234" i="16"/>
  <c r="U233" i="16"/>
  <c r="Q233" i="16"/>
  <c r="G233" i="16"/>
  <c r="E233" i="16"/>
  <c r="G232" i="16"/>
  <c r="E232" i="16"/>
  <c r="U231" i="16"/>
  <c r="T231" i="16"/>
  <c r="L231" i="16"/>
  <c r="G231" i="16"/>
  <c r="Q231" i="16" s="1"/>
  <c r="E231" i="16"/>
  <c r="U230" i="16"/>
  <c r="Q230" i="16"/>
  <c r="G230" i="16"/>
  <c r="E230" i="16"/>
  <c r="T230" i="16" s="1"/>
  <c r="U229" i="16"/>
  <c r="Q229" i="16"/>
  <c r="G229" i="16"/>
  <c r="E229" i="16"/>
  <c r="T228" i="16"/>
  <c r="Q228" i="16"/>
  <c r="G228" i="16"/>
  <c r="U228" i="16" s="1"/>
  <c r="E228" i="16"/>
  <c r="L228" i="16" s="1"/>
  <c r="G227" i="16"/>
  <c r="E227" i="16"/>
  <c r="U226" i="16"/>
  <c r="Q226" i="16"/>
  <c r="G226" i="16"/>
  <c r="E226" i="16"/>
  <c r="Q225" i="16"/>
  <c r="G225" i="16"/>
  <c r="U225" i="16" s="1"/>
  <c r="E225" i="16"/>
  <c r="G224" i="16"/>
  <c r="E224" i="16"/>
  <c r="L223" i="16"/>
  <c r="G223" i="16"/>
  <c r="E223" i="16"/>
  <c r="T223" i="16" s="1"/>
  <c r="G222" i="16"/>
  <c r="E222" i="16"/>
  <c r="U221" i="16"/>
  <c r="T221" i="16"/>
  <c r="G221" i="16"/>
  <c r="Q221" i="16" s="1"/>
  <c r="E221" i="16"/>
  <c r="L221" i="16" s="1"/>
  <c r="G220" i="16"/>
  <c r="E220" i="16"/>
  <c r="T220" i="16" s="1"/>
  <c r="G219" i="16"/>
  <c r="E219" i="16"/>
  <c r="T218" i="16"/>
  <c r="Q218" i="16"/>
  <c r="G218" i="16"/>
  <c r="U218" i="16" s="1"/>
  <c r="E218" i="16"/>
  <c r="L218" i="16" s="1"/>
  <c r="Q217" i="16"/>
  <c r="G217" i="16"/>
  <c r="U217" i="16" s="1"/>
  <c r="E217" i="16"/>
  <c r="G216" i="16"/>
  <c r="E216" i="16"/>
  <c r="T215" i="16"/>
  <c r="G215" i="16"/>
  <c r="E215" i="16"/>
  <c r="L215" i="16" s="1"/>
  <c r="G214" i="16"/>
  <c r="E214" i="16"/>
  <c r="U213" i="16"/>
  <c r="T213" i="16"/>
  <c r="L213" i="16"/>
  <c r="G213" i="16"/>
  <c r="Q213" i="16" s="1"/>
  <c r="E213" i="16"/>
  <c r="G212" i="16"/>
  <c r="E212" i="16"/>
  <c r="U211" i="16"/>
  <c r="Q211" i="16"/>
  <c r="L211" i="16"/>
  <c r="G211" i="16"/>
  <c r="E211" i="16"/>
  <c r="T211" i="16" s="1"/>
  <c r="U210" i="16"/>
  <c r="T210" i="16"/>
  <c r="Q210" i="16"/>
  <c r="L210" i="16"/>
  <c r="G210" i="16"/>
  <c r="E210" i="16"/>
  <c r="U209" i="16"/>
  <c r="T209" i="16"/>
  <c r="G209" i="16"/>
  <c r="Q209" i="16" s="1"/>
  <c r="E209" i="16"/>
  <c r="L209" i="16" s="1"/>
  <c r="G208" i="16"/>
  <c r="E208" i="16"/>
  <c r="G207" i="16"/>
  <c r="Q207" i="16" s="1"/>
  <c r="E207" i="16"/>
  <c r="U206" i="16"/>
  <c r="T206" i="16"/>
  <c r="Q206" i="16"/>
  <c r="G206" i="16"/>
  <c r="E206" i="16"/>
  <c r="L206" i="16" s="1"/>
  <c r="T205" i="16"/>
  <c r="G205" i="16"/>
  <c r="E205" i="16"/>
  <c r="L205" i="16" s="1"/>
  <c r="U204" i="16"/>
  <c r="Q204" i="16"/>
  <c r="G204" i="16"/>
  <c r="E204" i="16"/>
  <c r="G203" i="16"/>
  <c r="E203" i="16"/>
  <c r="G202" i="16"/>
  <c r="E202" i="16"/>
  <c r="G201" i="16"/>
  <c r="E201" i="16"/>
  <c r="G200" i="16"/>
  <c r="E200" i="16"/>
  <c r="G199" i="16"/>
  <c r="U199" i="16" s="1"/>
  <c r="E199" i="16"/>
  <c r="G198" i="16"/>
  <c r="E198" i="16"/>
  <c r="G197" i="16"/>
  <c r="U197" i="16" s="1"/>
  <c r="E197" i="16"/>
  <c r="T196" i="16"/>
  <c r="Q196" i="16"/>
  <c r="G196" i="16"/>
  <c r="U196" i="16" s="1"/>
  <c r="E196" i="16"/>
  <c r="L196" i="16" s="1"/>
  <c r="G195" i="16"/>
  <c r="E195" i="16"/>
  <c r="G194" i="16"/>
  <c r="U194" i="16" s="1"/>
  <c r="E194" i="16"/>
  <c r="G193" i="16"/>
  <c r="E193" i="16"/>
  <c r="L193" i="16" s="1"/>
  <c r="U192" i="16"/>
  <c r="G192" i="16"/>
  <c r="Q192" i="16" s="1"/>
  <c r="E192" i="16"/>
  <c r="U191" i="16"/>
  <c r="L191" i="16"/>
  <c r="G191" i="16"/>
  <c r="Q191" i="16" s="1"/>
  <c r="E191" i="16"/>
  <c r="T191" i="16" s="1"/>
  <c r="T190" i="16"/>
  <c r="G190" i="16"/>
  <c r="E190" i="16"/>
  <c r="L190" i="16" s="1"/>
  <c r="T189" i="16"/>
  <c r="G189" i="16"/>
  <c r="E189" i="16"/>
  <c r="L189" i="16" s="1"/>
  <c r="U188" i="16"/>
  <c r="T188" i="16"/>
  <c r="L188" i="16"/>
  <c r="G188" i="16"/>
  <c r="Q188" i="16" s="1"/>
  <c r="E188" i="16"/>
  <c r="G187" i="16"/>
  <c r="E187" i="16"/>
  <c r="U186" i="16"/>
  <c r="Q186" i="16"/>
  <c r="G186" i="16"/>
  <c r="E186" i="16"/>
  <c r="L186" i="16" s="1"/>
  <c r="G185" i="16"/>
  <c r="E185" i="16"/>
  <c r="T184" i="16"/>
  <c r="Q184" i="16"/>
  <c r="L184" i="16"/>
  <c r="G184" i="16"/>
  <c r="U184" i="16" s="1"/>
  <c r="E184" i="16"/>
  <c r="G183" i="16"/>
  <c r="E183" i="16"/>
  <c r="Q182" i="16"/>
  <c r="G182" i="16"/>
  <c r="U182" i="16" s="1"/>
  <c r="E182" i="16"/>
  <c r="T181" i="16"/>
  <c r="Q181" i="16"/>
  <c r="L181" i="16"/>
  <c r="G181" i="16"/>
  <c r="U181" i="16" s="1"/>
  <c r="E181" i="16"/>
  <c r="Q180" i="16"/>
  <c r="G180" i="16"/>
  <c r="U180" i="16" s="1"/>
  <c r="E180" i="16"/>
  <c r="G179" i="16"/>
  <c r="E179" i="16"/>
  <c r="G178" i="16"/>
  <c r="E178" i="16"/>
  <c r="G177" i="16"/>
  <c r="E177" i="16"/>
  <c r="G176" i="16"/>
  <c r="E176" i="16"/>
  <c r="L176" i="16" s="1"/>
  <c r="U175" i="16"/>
  <c r="T175" i="16"/>
  <c r="Q175" i="16"/>
  <c r="G175" i="16"/>
  <c r="E175" i="16"/>
  <c r="L175" i="16" s="1"/>
  <c r="L174" i="16"/>
  <c r="G174" i="16"/>
  <c r="Q174" i="16" s="1"/>
  <c r="E174" i="16"/>
  <c r="T174" i="16" s="1"/>
  <c r="T173" i="16"/>
  <c r="G173" i="16"/>
  <c r="E173" i="16"/>
  <c r="L173" i="16" s="1"/>
  <c r="G172" i="16"/>
  <c r="Q172" i="16" s="1"/>
  <c r="E172" i="16"/>
  <c r="G171" i="16"/>
  <c r="U171" i="16" s="1"/>
  <c r="E171" i="16"/>
  <c r="G170" i="16"/>
  <c r="E170" i="16"/>
  <c r="U169" i="16"/>
  <c r="T169" i="16"/>
  <c r="Q169" i="16"/>
  <c r="G169" i="16"/>
  <c r="E169" i="16"/>
  <c r="L169" i="16" s="1"/>
  <c r="U168" i="16"/>
  <c r="Q168" i="16"/>
  <c r="G168" i="16"/>
  <c r="E168" i="16"/>
  <c r="L167" i="16"/>
  <c r="G167" i="16"/>
  <c r="E167" i="16"/>
  <c r="T167" i="16" s="1"/>
  <c r="G166" i="16"/>
  <c r="E166" i="16"/>
  <c r="G165" i="16"/>
  <c r="E165" i="16"/>
  <c r="T165" i="16" s="1"/>
  <c r="G164" i="16"/>
  <c r="E164" i="16"/>
  <c r="G163" i="16"/>
  <c r="E163" i="16"/>
  <c r="G162" i="16"/>
  <c r="E162" i="16"/>
  <c r="L162" i="16" s="1"/>
  <c r="G161" i="16"/>
  <c r="E161" i="16"/>
  <c r="G160" i="16"/>
  <c r="E160" i="16"/>
  <c r="T160" i="16" s="1"/>
  <c r="G159" i="16"/>
  <c r="E159" i="16"/>
  <c r="T158" i="16"/>
  <c r="G158" i="16"/>
  <c r="E158" i="16"/>
  <c r="L158" i="16" s="1"/>
  <c r="G157" i="16"/>
  <c r="U157" i="16" s="1"/>
  <c r="E157" i="16"/>
  <c r="U156" i="16"/>
  <c r="T156" i="16"/>
  <c r="Q156" i="16"/>
  <c r="G156" i="16"/>
  <c r="E156" i="16"/>
  <c r="L156" i="16" s="1"/>
  <c r="U155" i="16"/>
  <c r="T155" i="16"/>
  <c r="Q155" i="16"/>
  <c r="G155" i="16"/>
  <c r="E155" i="16"/>
  <c r="L155" i="16" s="1"/>
  <c r="L154" i="16"/>
  <c r="G154" i="16"/>
  <c r="E154" i="16"/>
  <c r="T154" i="16" s="1"/>
  <c r="T153" i="16"/>
  <c r="G153" i="16"/>
  <c r="E153" i="16"/>
  <c r="L153" i="16" s="1"/>
  <c r="G152" i="16"/>
  <c r="E152" i="16"/>
  <c r="G151" i="16"/>
  <c r="E151" i="16"/>
  <c r="L150" i="16"/>
  <c r="G150" i="16"/>
  <c r="E150" i="16"/>
  <c r="T150" i="16" s="1"/>
  <c r="Q149" i="16"/>
  <c r="G149" i="16"/>
  <c r="U149" i="16" s="1"/>
  <c r="E149" i="16"/>
  <c r="T148" i="16"/>
  <c r="L148" i="16"/>
  <c r="G148" i="16"/>
  <c r="E148" i="16"/>
  <c r="L147" i="16"/>
  <c r="G147" i="16"/>
  <c r="E147" i="16"/>
  <c r="T147" i="16" s="1"/>
  <c r="T146" i="16"/>
  <c r="L146" i="16"/>
  <c r="G146" i="16"/>
  <c r="E146" i="16"/>
  <c r="G145" i="16"/>
  <c r="E145" i="16"/>
  <c r="T145" i="16" s="1"/>
  <c r="G144" i="16"/>
  <c r="U144" i="16" s="1"/>
  <c r="E144" i="16"/>
  <c r="T144" i="16" s="1"/>
  <c r="T143" i="16"/>
  <c r="L143" i="16"/>
  <c r="G143" i="16"/>
  <c r="E143" i="16"/>
  <c r="G142" i="16"/>
  <c r="E142" i="16"/>
  <c r="G141" i="16"/>
  <c r="E141" i="16"/>
  <c r="T140" i="16"/>
  <c r="L140" i="16"/>
  <c r="G140" i="16"/>
  <c r="E140" i="16"/>
  <c r="L139" i="16"/>
  <c r="G139" i="16"/>
  <c r="E139" i="16"/>
  <c r="T139" i="16" s="1"/>
  <c r="G138" i="16"/>
  <c r="U138" i="16" s="1"/>
  <c r="E138" i="16"/>
  <c r="L137" i="16"/>
  <c r="G137" i="16"/>
  <c r="E137" i="16"/>
  <c r="T137" i="16" s="1"/>
  <c r="T136" i="16"/>
  <c r="L136" i="16"/>
  <c r="G136" i="16"/>
  <c r="U136" i="16" s="1"/>
  <c r="E136" i="16"/>
  <c r="U135" i="16"/>
  <c r="L135" i="16"/>
  <c r="G135" i="16"/>
  <c r="Q135" i="16" s="1"/>
  <c r="E135" i="16"/>
  <c r="T135" i="16" s="1"/>
  <c r="Q134" i="16"/>
  <c r="G134" i="16"/>
  <c r="U134" i="16" s="1"/>
  <c r="E134" i="16"/>
  <c r="G133" i="16"/>
  <c r="E133" i="16"/>
  <c r="L132" i="16"/>
  <c r="G132" i="16"/>
  <c r="E132" i="16"/>
  <c r="T132" i="16" s="1"/>
  <c r="G131" i="16"/>
  <c r="E131" i="16"/>
  <c r="U130" i="16"/>
  <c r="Q130" i="16"/>
  <c r="G130" i="16"/>
  <c r="E130" i="16"/>
  <c r="U129" i="16"/>
  <c r="G129" i="16"/>
  <c r="Q129" i="16" s="1"/>
  <c r="E129" i="16"/>
  <c r="L129" i="16" s="1"/>
  <c r="Q128" i="16"/>
  <c r="G128" i="16"/>
  <c r="U128" i="16" s="1"/>
  <c r="E128" i="16"/>
  <c r="L128" i="16" s="1"/>
  <c r="T127" i="16"/>
  <c r="G127" i="16"/>
  <c r="Q127" i="16" s="1"/>
  <c r="E127" i="16"/>
  <c r="L127" i="16" s="1"/>
  <c r="U126" i="16"/>
  <c r="Q126" i="16"/>
  <c r="G126" i="16"/>
  <c r="E126" i="16"/>
  <c r="Q125" i="16"/>
  <c r="G125" i="16"/>
  <c r="U125" i="16" s="1"/>
  <c r="E125" i="16"/>
  <c r="L125" i="16" s="1"/>
  <c r="U124" i="16"/>
  <c r="Q124" i="16"/>
  <c r="L124" i="16"/>
  <c r="G124" i="16"/>
  <c r="E124" i="16"/>
  <c r="T124" i="16" s="1"/>
  <c r="U123" i="16"/>
  <c r="T123" i="16"/>
  <c r="Q123" i="16"/>
  <c r="L123" i="16"/>
  <c r="G123" i="16"/>
  <c r="E123" i="16"/>
  <c r="Q122" i="16"/>
  <c r="G122" i="16"/>
  <c r="U122" i="16" s="1"/>
  <c r="E122" i="16"/>
  <c r="Q121" i="16"/>
  <c r="G121" i="16"/>
  <c r="U121" i="16" s="1"/>
  <c r="E121" i="16"/>
  <c r="G120" i="16"/>
  <c r="E120" i="16"/>
  <c r="T119" i="16"/>
  <c r="Q119" i="16"/>
  <c r="L119" i="16"/>
  <c r="G119" i="16"/>
  <c r="U119" i="16" s="1"/>
  <c r="E119" i="16"/>
  <c r="G118" i="16"/>
  <c r="E118" i="16"/>
  <c r="U117" i="16"/>
  <c r="T117" i="16"/>
  <c r="L117" i="16"/>
  <c r="G117" i="16"/>
  <c r="Q117" i="16" s="1"/>
  <c r="E117" i="16"/>
  <c r="T116" i="16"/>
  <c r="G116" i="16"/>
  <c r="E116" i="16"/>
  <c r="L116" i="16" s="1"/>
  <c r="T115" i="16"/>
  <c r="L115" i="16"/>
  <c r="G115" i="16"/>
  <c r="E115" i="16"/>
  <c r="G114" i="16"/>
  <c r="E114" i="16"/>
  <c r="T113" i="16"/>
  <c r="G113" i="16"/>
  <c r="E113" i="16"/>
  <c r="L113" i="16" s="1"/>
  <c r="U112" i="16"/>
  <c r="L112" i="16"/>
  <c r="G112" i="16"/>
  <c r="Q112" i="16" s="1"/>
  <c r="E112" i="16"/>
  <c r="T112" i="16" s="1"/>
  <c r="U111" i="16"/>
  <c r="T111" i="16"/>
  <c r="L111" i="16"/>
  <c r="G111" i="16"/>
  <c r="Q111" i="16" s="1"/>
  <c r="E111" i="16"/>
  <c r="L110" i="16"/>
  <c r="G110" i="16"/>
  <c r="E110" i="16"/>
  <c r="T110" i="16" s="1"/>
  <c r="T109" i="16"/>
  <c r="G109" i="16"/>
  <c r="E109" i="16"/>
  <c r="L109" i="16" s="1"/>
  <c r="T108" i="16"/>
  <c r="L108" i="16"/>
  <c r="G108" i="16"/>
  <c r="E108" i="16"/>
  <c r="L107" i="16"/>
  <c r="G107" i="16"/>
  <c r="E107" i="16"/>
  <c r="T107" i="16" s="1"/>
  <c r="U106" i="16"/>
  <c r="T106" i="16"/>
  <c r="Q106" i="16"/>
  <c r="L106" i="16"/>
  <c r="G106" i="16"/>
  <c r="E106" i="16"/>
  <c r="U105" i="16"/>
  <c r="T105" i="16"/>
  <c r="L105" i="16"/>
  <c r="G105" i="16"/>
  <c r="Q105" i="16" s="1"/>
  <c r="E105" i="16"/>
  <c r="U104" i="16"/>
  <c r="T104" i="16"/>
  <c r="L104" i="16"/>
  <c r="G104" i="16"/>
  <c r="Q104" i="16" s="1"/>
  <c r="E104" i="16"/>
  <c r="Q103" i="16"/>
  <c r="L103" i="16"/>
  <c r="G103" i="16"/>
  <c r="U103" i="16" s="1"/>
  <c r="E103" i="16"/>
  <c r="T103" i="16" s="1"/>
  <c r="T102" i="16"/>
  <c r="L102" i="16"/>
  <c r="G102" i="16"/>
  <c r="U102" i="16" s="1"/>
  <c r="E102" i="16"/>
  <c r="U101" i="16"/>
  <c r="T101" i="16"/>
  <c r="Q101" i="16"/>
  <c r="L101" i="16"/>
  <c r="G101" i="16"/>
  <c r="E101" i="16"/>
  <c r="G100" i="16"/>
  <c r="E100" i="16"/>
  <c r="L99" i="16"/>
  <c r="G99" i="16"/>
  <c r="E99" i="16"/>
  <c r="T99" i="16" s="1"/>
  <c r="G98" i="16"/>
  <c r="Q98" i="16" s="1"/>
  <c r="E98" i="16"/>
  <c r="U97" i="16"/>
  <c r="T97" i="16"/>
  <c r="L97" i="16"/>
  <c r="G97" i="16"/>
  <c r="Q97" i="16" s="1"/>
  <c r="E97" i="16"/>
  <c r="T96" i="16"/>
  <c r="G96" i="16"/>
  <c r="E96" i="16"/>
  <c r="L96" i="16" s="1"/>
  <c r="U95" i="16"/>
  <c r="L95" i="16"/>
  <c r="G95" i="16"/>
  <c r="Q95" i="16" s="1"/>
  <c r="E95" i="16"/>
  <c r="T95" i="16" s="1"/>
  <c r="U94" i="16"/>
  <c r="T94" i="16"/>
  <c r="Q94" i="16"/>
  <c r="L94" i="16"/>
  <c r="G94" i="16"/>
  <c r="E94" i="16"/>
  <c r="Q93" i="16"/>
  <c r="G93" i="16"/>
  <c r="U93" i="16" s="1"/>
  <c r="E93" i="16"/>
  <c r="Q92" i="16"/>
  <c r="G92" i="16"/>
  <c r="U92" i="16" s="1"/>
  <c r="E92" i="16"/>
  <c r="U91" i="16"/>
  <c r="Q91" i="16"/>
  <c r="G91" i="16"/>
  <c r="E91" i="16"/>
  <c r="G90" i="16"/>
  <c r="E90" i="16"/>
  <c r="U89" i="16"/>
  <c r="T89" i="16"/>
  <c r="Q89" i="16"/>
  <c r="G89" i="16"/>
  <c r="E89" i="16"/>
  <c r="L89" i="16" s="1"/>
  <c r="U88" i="16"/>
  <c r="G88" i="16"/>
  <c r="Q88" i="16" s="1"/>
  <c r="E88" i="16"/>
  <c r="T88" i="16" s="1"/>
  <c r="U87" i="16"/>
  <c r="T87" i="16"/>
  <c r="Q87" i="16"/>
  <c r="G87" i="16"/>
  <c r="E87" i="16"/>
  <c r="L87" i="16" s="1"/>
  <c r="G86" i="16"/>
  <c r="E86" i="16"/>
  <c r="L86" i="16" s="1"/>
  <c r="U85" i="16"/>
  <c r="T85" i="16"/>
  <c r="G85" i="16"/>
  <c r="Q85" i="16" s="1"/>
  <c r="E85" i="16"/>
  <c r="L85" i="16" s="1"/>
  <c r="G84" i="16"/>
  <c r="U84" i="16" s="1"/>
  <c r="E84" i="16"/>
  <c r="Q83" i="16"/>
  <c r="G83" i="16"/>
  <c r="U83" i="16" s="1"/>
  <c r="E83" i="16"/>
  <c r="T82" i="16"/>
  <c r="Q82" i="16"/>
  <c r="L82" i="16"/>
  <c r="G82" i="16"/>
  <c r="U82" i="16" s="1"/>
  <c r="E82" i="16"/>
  <c r="U81" i="16"/>
  <c r="Q81" i="16"/>
  <c r="G81" i="16"/>
  <c r="E81" i="16"/>
  <c r="G80" i="16"/>
  <c r="E80" i="16"/>
  <c r="T80" i="16" s="1"/>
  <c r="G79" i="16"/>
  <c r="U79" i="16" s="1"/>
  <c r="E79" i="16"/>
  <c r="G78" i="16"/>
  <c r="E78" i="16"/>
  <c r="G77" i="16"/>
  <c r="E77" i="16"/>
  <c r="G76" i="16"/>
  <c r="E76" i="16"/>
  <c r="G75" i="16"/>
  <c r="E75" i="16"/>
  <c r="U74" i="16"/>
  <c r="Q74" i="16"/>
  <c r="G74" i="16"/>
  <c r="E74" i="16"/>
  <c r="L74" i="16" s="1"/>
  <c r="T73" i="16"/>
  <c r="G73" i="16"/>
  <c r="E73" i="16"/>
  <c r="L73" i="16" s="1"/>
  <c r="G72" i="16"/>
  <c r="E72" i="16"/>
  <c r="G71" i="16"/>
  <c r="E71" i="16"/>
  <c r="U70" i="16"/>
  <c r="T70" i="16"/>
  <c r="Q70" i="16"/>
  <c r="L70" i="16"/>
  <c r="G70" i="16"/>
  <c r="E70" i="16"/>
  <c r="U69" i="16"/>
  <c r="T69" i="16"/>
  <c r="Q69" i="16"/>
  <c r="G69" i="16"/>
  <c r="E69" i="16"/>
  <c r="L69" i="16" s="1"/>
  <c r="U68" i="16"/>
  <c r="T68" i="16"/>
  <c r="Q68" i="16"/>
  <c r="G68" i="16"/>
  <c r="E68" i="16"/>
  <c r="L68" i="16" s="1"/>
  <c r="AD67" i="16"/>
  <c r="AC67" i="16"/>
  <c r="G67" i="16"/>
  <c r="U67" i="16" s="1"/>
  <c r="E67" i="16"/>
  <c r="T67" i="16" s="1"/>
  <c r="U66" i="16"/>
  <c r="Q66" i="16"/>
  <c r="G66" i="16"/>
  <c r="E66" i="16"/>
  <c r="Q65" i="16"/>
  <c r="G65" i="16"/>
  <c r="U65" i="16" s="1"/>
  <c r="E65" i="16"/>
  <c r="T65" i="16" s="1"/>
  <c r="U64" i="16"/>
  <c r="T64" i="16"/>
  <c r="L64" i="16"/>
  <c r="G64" i="16"/>
  <c r="Q64" i="16" s="1"/>
  <c r="E64" i="16"/>
  <c r="Q63" i="16"/>
  <c r="G63" i="16"/>
  <c r="U63" i="16" s="1"/>
  <c r="E63" i="16"/>
  <c r="G62" i="16"/>
  <c r="E62" i="16"/>
  <c r="T62" i="16" s="1"/>
  <c r="Q61" i="16"/>
  <c r="G61" i="16"/>
  <c r="U61" i="16" s="1"/>
  <c r="E61" i="16"/>
  <c r="U60" i="16"/>
  <c r="Q60" i="16"/>
  <c r="G60" i="16"/>
  <c r="E60" i="16"/>
  <c r="L59" i="16"/>
  <c r="G59" i="16"/>
  <c r="Q59" i="16" s="1"/>
  <c r="E59" i="16"/>
  <c r="T59" i="16" s="1"/>
  <c r="G58" i="16"/>
  <c r="E58" i="16"/>
  <c r="G57" i="16"/>
  <c r="E57" i="16"/>
  <c r="G56" i="16"/>
  <c r="E56" i="16"/>
  <c r="G55" i="16"/>
  <c r="E55" i="16"/>
  <c r="T55" i="16" s="1"/>
  <c r="G54" i="16"/>
  <c r="E54" i="16"/>
  <c r="L53" i="16"/>
  <c r="G53" i="16"/>
  <c r="E53" i="16"/>
  <c r="T53" i="16" s="1"/>
  <c r="G52" i="16"/>
  <c r="E52" i="16"/>
  <c r="G51" i="16"/>
  <c r="U51" i="16" s="1"/>
  <c r="E51" i="16"/>
  <c r="T50" i="16"/>
  <c r="L50" i="16"/>
  <c r="G50" i="16"/>
  <c r="E50" i="16"/>
  <c r="L49" i="16"/>
  <c r="G49" i="16"/>
  <c r="E49" i="16"/>
  <c r="T49" i="16" s="1"/>
  <c r="G48" i="16"/>
  <c r="E48" i="16"/>
  <c r="U47" i="16"/>
  <c r="Q47" i="16"/>
  <c r="G47" i="16"/>
  <c r="E47" i="16"/>
  <c r="T47" i="16" s="1"/>
  <c r="G46" i="16"/>
  <c r="E46" i="16"/>
  <c r="L46" i="16" s="1"/>
  <c r="G45" i="16"/>
  <c r="E45" i="16"/>
  <c r="G44" i="16"/>
  <c r="E44" i="16"/>
  <c r="T44" i="16" s="1"/>
  <c r="T43" i="16"/>
  <c r="G43" i="16"/>
  <c r="U43" i="16" s="1"/>
  <c r="E43" i="16"/>
  <c r="L43" i="16" s="1"/>
  <c r="Q42" i="16"/>
  <c r="L42" i="16"/>
  <c r="G42" i="16"/>
  <c r="U42" i="16" s="1"/>
  <c r="E42" i="16"/>
  <c r="T42" i="16" s="1"/>
  <c r="G41" i="16"/>
  <c r="E41" i="16"/>
  <c r="L41" i="16" s="1"/>
  <c r="L40" i="16"/>
  <c r="G40" i="16"/>
  <c r="E40" i="16"/>
  <c r="T40" i="16" s="1"/>
  <c r="G39" i="16"/>
  <c r="E39" i="16"/>
  <c r="L39" i="16" s="1"/>
  <c r="L38" i="16"/>
  <c r="G38" i="16"/>
  <c r="U38" i="16" s="1"/>
  <c r="E38" i="16"/>
  <c r="T38" i="16" s="1"/>
  <c r="G37" i="16"/>
  <c r="E37" i="16"/>
  <c r="L37" i="16" s="1"/>
  <c r="G36" i="16"/>
  <c r="Q36" i="16" s="1"/>
  <c r="E36" i="16"/>
  <c r="G35" i="16"/>
  <c r="E35" i="16"/>
  <c r="G34" i="16"/>
  <c r="E34" i="16"/>
  <c r="T33" i="16"/>
  <c r="G33" i="16"/>
  <c r="E33" i="16"/>
  <c r="L33" i="16" s="1"/>
  <c r="G32" i="16"/>
  <c r="U32" i="16" s="1"/>
  <c r="E32" i="16"/>
  <c r="U31" i="16"/>
  <c r="G31" i="16"/>
  <c r="Q31" i="16" s="1"/>
  <c r="E31" i="16"/>
  <c r="T30" i="16"/>
  <c r="G30" i="16"/>
  <c r="E30" i="16"/>
  <c r="L30" i="16" s="1"/>
  <c r="Q29" i="16"/>
  <c r="G29" i="16"/>
  <c r="U29" i="16" s="1"/>
  <c r="E29" i="16"/>
  <c r="G28" i="16"/>
  <c r="E28" i="16"/>
  <c r="T27" i="16"/>
  <c r="L27" i="16"/>
  <c r="G27" i="16"/>
  <c r="E27" i="16"/>
  <c r="L26" i="16"/>
  <c r="G26" i="16"/>
  <c r="Q26" i="16" s="1"/>
  <c r="E26" i="16"/>
  <c r="T26" i="16" s="1"/>
  <c r="AC25" i="16"/>
  <c r="G25" i="16"/>
  <c r="E25" i="16"/>
  <c r="G24" i="16"/>
  <c r="E24" i="16"/>
  <c r="G23" i="16"/>
  <c r="U23" i="16" s="1"/>
  <c r="E23" i="16"/>
  <c r="L23" i="16" s="1"/>
  <c r="G22" i="16"/>
  <c r="E22" i="16"/>
  <c r="L22" i="16" s="1"/>
  <c r="U21" i="16"/>
  <c r="L21" i="16"/>
  <c r="G21" i="16"/>
  <c r="Q21" i="16" s="1"/>
  <c r="E21" i="16"/>
  <c r="T21" i="16" s="1"/>
  <c r="G20" i="16"/>
  <c r="E20" i="16"/>
  <c r="Q19" i="16"/>
  <c r="G19" i="16"/>
  <c r="U19" i="16" s="1"/>
  <c r="E19" i="16"/>
  <c r="L19" i="16" s="1"/>
  <c r="AC18" i="16"/>
  <c r="AB18" i="16"/>
  <c r="G18" i="16"/>
  <c r="E18" i="16"/>
  <c r="T18" i="16" s="1"/>
  <c r="AB17" i="16"/>
  <c r="T17" i="16"/>
  <c r="L17" i="16"/>
  <c r="G17" i="16"/>
  <c r="E17" i="16"/>
  <c r="T16" i="16"/>
  <c r="G16" i="16"/>
  <c r="E16" i="16"/>
  <c r="L16" i="16" s="1"/>
  <c r="Q15" i="16"/>
  <c r="G15" i="16"/>
  <c r="U15" i="16" s="1"/>
  <c r="E15" i="16"/>
  <c r="G14" i="16"/>
  <c r="E14" i="16"/>
  <c r="T14" i="16" s="1"/>
  <c r="L13" i="16"/>
  <c r="G13" i="16"/>
  <c r="E13" i="16"/>
  <c r="T13" i="16" s="1"/>
  <c r="T12" i="16"/>
  <c r="Q12" i="16"/>
  <c r="L12" i="16"/>
  <c r="G12" i="16"/>
  <c r="U12" i="16" s="1"/>
  <c r="E12" i="16"/>
  <c r="G11" i="16"/>
  <c r="Q11" i="16" s="1"/>
  <c r="E11" i="16"/>
  <c r="U10" i="16"/>
  <c r="G10" i="16"/>
  <c r="Q10" i="16" s="1"/>
  <c r="E10" i="16"/>
  <c r="L9" i="16"/>
  <c r="G9" i="16"/>
  <c r="E9" i="16"/>
  <c r="T9" i="16" s="1"/>
  <c r="U8" i="16"/>
  <c r="Q8" i="16"/>
  <c r="M8" i="16"/>
  <c r="I8" i="16"/>
  <c r="E8" i="16"/>
  <c r="U7" i="16"/>
  <c r="Q7" i="16"/>
  <c r="M7" i="16"/>
  <c r="I7" i="16"/>
  <c r="E7" i="16"/>
  <c r="U6" i="16"/>
  <c r="Q6" i="16"/>
  <c r="M6" i="16"/>
  <c r="I6" i="16"/>
  <c r="E6" i="16"/>
  <c r="U5" i="16"/>
  <c r="Q5" i="16"/>
  <c r="I5" i="16"/>
  <c r="M5" i="16" s="1"/>
  <c r="E5" i="16"/>
  <c r="U4" i="16"/>
  <c r="T4" i="16"/>
  <c r="Q4" i="16"/>
  <c r="L4" i="16"/>
  <c r="I4" i="16"/>
  <c r="M4" i="16" s="1"/>
  <c r="U3" i="16"/>
  <c r="T3" i="16"/>
  <c r="Q3" i="16"/>
  <c r="M3" i="16"/>
  <c r="L3" i="16"/>
  <c r="I3" i="16"/>
  <c r="U2" i="16"/>
  <c r="T2" i="16"/>
  <c r="Q2" i="16"/>
  <c r="L2" i="16"/>
  <c r="I2" i="16"/>
  <c r="M2" i="16" s="1"/>
  <c r="D22" i="15"/>
  <c r="K823" i="20"/>
  <c r="D823" i="20"/>
  <c r="D822" i="20"/>
  <c r="D821" i="20"/>
  <c r="K821" i="20" s="1"/>
  <c r="AK820" i="20"/>
  <c r="D820" i="20"/>
  <c r="AK819" i="20"/>
  <c r="D819" i="20"/>
  <c r="AK818" i="20"/>
  <c r="D818" i="20"/>
  <c r="AK817" i="20"/>
  <c r="D817" i="20"/>
  <c r="K817" i="20" s="1"/>
  <c r="AK816" i="20"/>
  <c r="K816" i="20"/>
  <c r="D816" i="20"/>
  <c r="AK815" i="20"/>
  <c r="D815" i="20"/>
  <c r="K815" i="20" s="1"/>
  <c r="AK814" i="20"/>
  <c r="D814" i="20"/>
  <c r="AK813" i="20"/>
  <c r="D813" i="20"/>
  <c r="K813" i="20" s="1"/>
  <c r="AK812" i="20"/>
  <c r="K812" i="20"/>
  <c r="D812" i="20"/>
  <c r="AK811" i="20"/>
  <c r="K811" i="20"/>
  <c r="D811" i="20"/>
  <c r="AK810" i="20"/>
  <c r="D810" i="20"/>
  <c r="AK809" i="20"/>
  <c r="D809" i="20"/>
  <c r="AK808" i="20"/>
  <c r="K808" i="20"/>
  <c r="D808" i="20"/>
  <c r="AK807" i="20"/>
  <c r="D807" i="20"/>
  <c r="AK806" i="20"/>
  <c r="K806" i="20"/>
  <c r="D806" i="20"/>
  <c r="AK805" i="20"/>
  <c r="D805" i="20"/>
  <c r="K805" i="20" s="1"/>
  <c r="AK804" i="20"/>
  <c r="K804" i="20"/>
  <c r="D804" i="20"/>
  <c r="AK803" i="20"/>
  <c r="K803" i="20"/>
  <c r="D803" i="20"/>
  <c r="AK802" i="20"/>
  <c r="K802" i="20"/>
  <c r="D802" i="20"/>
  <c r="AK801" i="20"/>
  <c r="K801" i="20"/>
  <c r="D801" i="20"/>
  <c r="AK800" i="20"/>
  <c r="D800" i="20"/>
  <c r="K800" i="20" s="1"/>
  <c r="AK799" i="20"/>
  <c r="D799" i="20"/>
  <c r="AK798" i="20"/>
  <c r="D798" i="20"/>
  <c r="K798" i="20" s="1"/>
  <c r="AK797" i="20"/>
  <c r="D797" i="20"/>
  <c r="AK796" i="20"/>
  <c r="D796" i="20"/>
  <c r="K796" i="20" s="1"/>
  <c r="AK795" i="20"/>
  <c r="D795" i="20"/>
  <c r="K795" i="20" s="1"/>
  <c r="AK794" i="20"/>
  <c r="D794" i="20"/>
  <c r="AK793" i="20"/>
  <c r="K793" i="20"/>
  <c r="D793" i="20"/>
  <c r="AK792" i="20"/>
  <c r="K792" i="20"/>
  <c r="D792" i="20"/>
  <c r="AK791" i="20"/>
  <c r="D791" i="20"/>
  <c r="K791" i="20" s="1"/>
  <c r="AK790" i="20"/>
  <c r="D790" i="20"/>
  <c r="K790" i="20" s="1"/>
  <c r="AK789" i="20"/>
  <c r="D789" i="20"/>
  <c r="AK788" i="20"/>
  <c r="D788" i="20"/>
  <c r="K788" i="20" s="1"/>
  <c r="AK787" i="20"/>
  <c r="D787" i="20"/>
  <c r="AK786" i="20"/>
  <c r="D786" i="20"/>
  <c r="K786" i="20" s="1"/>
  <c r="AK785" i="20"/>
  <c r="D785" i="20"/>
  <c r="K785" i="20" s="1"/>
  <c r="AK784" i="20"/>
  <c r="K784" i="20"/>
  <c r="D784" i="20"/>
  <c r="AK783" i="20"/>
  <c r="D783" i="20"/>
  <c r="K783" i="20" s="1"/>
  <c r="AK782" i="20"/>
  <c r="D782" i="20"/>
  <c r="AK781" i="20"/>
  <c r="D781" i="20"/>
  <c r="K781" i="20" s="1"/>
  <c r="AK780" i="20"/>
  <c r="K780" i="20"/>
  <c r="D780" i="20"/>
  <c r="AK779" i="20"/>
  <c r="D779" i="20"/>
  <c r="AK778" i="20"/>
  <c r="D778" i="20"/>
  <c r="K778" i="20" s="1"/>
  <c r="AK777" i="20"/>
  <c r="D777" i="20"/>
  <c r="K777" i="20" s="1"/>
  <c r="AK776" i="20"/>
  <c r="K776" i="20"/>
  <c r="D776" i="20"/>
  <c r="AK775" i="20"/>
  <c r="D775" i="20"/>
  <c r="K775" i="20" s="1"/>
  <c r="AK774" i="20"/>
  <c r="D774" i="20"/>
  <c r="AK773" i="20"/>
  <c r="D773" i="20"/>
  <c r="K773" i="20" s="1"/>
  <c r="AK772" i="20"/>
  <c r="K772" i="20"/>
  <c r="D772" i="20"/>
  <c r="AK771" i="20"/>
  <c r="D771" i="20"/>
  <c r="AK770" i="20"/>
  <c r="D770" i="20"/>
  <c r="K770" i="20" s="1"/>
  <c r="AK769" i="20"/>
  <c r="D769" i="20"/>
  <c r="AK768" i="20"/>
  <c r="D768" i="20"/>
  <c r="K768" i="20" s="1"/>
  <c r="AK767" i="20"/>
  <c r="D767" i="20"/>
  <c r="AK766" i="20"/>
  <c r="D766" i="20"/>
  <c r="K766" i="20" s="1"/>
  <c r="AK765" i="20"/>
  <c r="D765" i="20"/>
  <c r="K765" i="20" s="1"/>
  <c r="AK764" i="20"/>
  <c r="D764" i="20"/>
  <c r="K764" i="20" s="1"/>
  <c r="AK763" i="20"/>
  <c r="D763" i="20"/>
  <c r="K763" i="20" s="1"/>
  <c r="AK762" i="20"/>
  <c r="K762" i="20"/>
  <c r="D762" i="20"/>
  <c r="AK761" i="20"/>
  <c r="D761" i="20"/>
  <c r="K761" i="20" s="1"/>
  <c r="AK760" i="20"/>
  <c r="D760" i="20"/>
  <c r="AK759" i="20"/>
  <c r="D759" i="20"/>
  <c r="K759" i="20" s="1"/>
  <c r="AK758" i="20"/>
  <c r="D758" i="20"/>
  <c r="K758" i="20" s="1"/>
  <c r="AK757" i="20"/>
  <c r="D757" i="20"/>
  <c r="AK756" i="20"/>
  <c r="K756" i="20"/>
  <c r="D756" i="20"/>
  <c r="AK755" i="20"/>
  <c r="K755" i="20"/>
  <c r="D755" i="20"/>
  <c r="AK754" i="20"/>
  <c r="D754" i="20"/>
  <c r="K754" i="20" s="1"/>
  <c r="AK753" i="20"/>
  <c r="D753" i="20"/>
  <c r="K753" i="20" s="1"/>
  <c r="AK752" i="20"/>
  <c r="K752" i="20"/>
  <c r="D752" i="20"/>
  <c r="AK751" i="20"/>
  <c r="D751" i="20"/>
  <c r="K751" i="20" s="1"/>
  <c r="AK750" i="20"/>
  <c r="D750" i="20"/>
  <c r="K750" i="20" s="1"/>
  <c r="AK749" i="20"/>
  <c r="K749" i="20"/>
  <c r="D749" i="20"/>
  <c r="AK748" i="20"/>
  <c r="K748" i="20"/>
  <c r="D748" i="20"/>
  <c r="AK747" i="20"/>
  <c r="D747" i="20"/>
  <c r="K747" i="20" s="1"/>
  <c r="AK746" i="20"/>
  <c r="K746" i="20"/>
  <c r="D746" i="20"/>
  <c r="AK745" i="20"/>
  <c r="K745" i="20"/>
  <c r="D745" i="20"/>
  <c r="AK744" i="20"/>
  <c r="D744" i="20"/>
  <c r="AK743" i="20"/>
  <c r="D743" i="20"/>
  <c r="K743" i="20" s="1"/>
  <c r="AK742" i="20"/>
  <c r="D742" i="20"/>
  <c r="K742" i="20" s="1"/>
  <c r="AK741" i="20"/>
  <c r="D741" i="20"/>
  <c r="AK740" i="20"/>
  <c r="K740" i="20"/>
  <c r="D740" i="20"/>
  <c r="AK739" i="20"/>
  <c r="D739" i="20"/>
  <c r="AK738" i="20"/>
  <c r="K738" i="20"/>
  <c r="D738" i="20"/>
  <c r="AK737" i="20"/>
  <c r="K737" i="20"/>
  <c r="D737" i="20"/>
  <c r="AK736" i="20"/>
  <c r="D736" i="20"/>
  <c r="K736" i="20" s="1"/>
  <c r="AK735" i="20"/>
  <c r="D735" i="20"/>
  <c r="K735" i="20" s="1"/>
  <c r="AK734" i="20"/>
  <c r="D734" i="20"/>
  <c r="K734" i="20" s="1"/>
  <c r="AK733" i="20"/>
  <c r="D733" i="20"/>
  <c r="AK732" i="20"/>
  <c r="D732" i="20"/>
  <c r="K732" i="20" s="1"/>
  <c r="AK731" i="20"/>
  <c r="D731" i="20"/>
  <c r="K731" i="20" s="1"/>
  <c r="AK730" i="20"/>
  <c r="D730" i="20"/>
  <c r="K730" i="20" s="1"/>
  <c r="AK729" i="20"/>
  <c r="D729" i="20"/>
  <c r="K729" i="20" s="1"/>
  <c r="AK728" i="20"/>
  <c r="K728" i="20"/>
  <c r="D728" i="20"/>
  <c r="AK727" i="20"/>
  <c r="K727" i="20"/>
  <c r="D727" i="20"/>
  <c r="AK726" i="20"/>
  <c r="D726" i="20"/>
  <c r="K726" i="20" s="1"/>
  <c r="AK725" i="20"/>
  <c r="K725" i="20"/>
  <c r="D725" i="20"/>
  <c r="AK724" i="20"/>
  <c r="K724" i="20"/>
  <c r="D724" i="20"/>
  <c r="AK723" i="20"/>
  <c r="D723" i="20"/>
  <c r="K723" i="20" s="1"/>
  <c r="AK722" i="20"/>
  <c r="K722" i="20"/>
  <c r="D722" i="20"/>
  <c r="AK721" i="20"/>
  <c r="K721" i="20"/>
  <c r="D721" i="20"/>
  <c r="AK720" i="20"/>
  <c r="K720" i="20"/>
  <c r="D720" i="20"/>
  <c r="AK719" i="20"/>
  <c r="D719" i="20"/>
  <c r="AK718" i="20"/>
  <c r="D718" i="20"/>
  <c r="K718" i="20" s="1"/>
  <c r="AK717" i="20"/>
  <c r="K717" i="20"/>
  <c r="D717" i="20"/>
  <c r="AK716" i="20"/>
  <c r="D716" i="20"/>
  <c r="K716" i="20" s="1"/>
  <c r="AK715" i="20"/>
  <c r="D715" i="20"/>
  <c r="K715" i="20" s="1"/>
  <c r="AK714" i="20"/>
  <c r="D714" i="20"/>
  <c r="K714" i="20" s="1"/>
  <c r="AK713" i="20"/>
  <c r="D713" i="20"/>
  <c r="AK712" i="20"/>
  <c r="D712" i="20"/>
  <c r="K712" i="20" s="1"/>
  <c r="AK711" i="20"/>
  <c r="D711" i="20"/>
  <c r="AK710" i="20"/>
  <c r="D710" i="20"/>
  <c r="K710" i="20" s="1"/>
  <c r="AK709" i="20"/>
  <c r="D709" i="20"/>
  <c r="K709" i="20" s="1"/>
  <c r="AK708" i="20"/>
  <c r="D708" i="20"/>
  <c r="AK707" i="20"/>
  <c r="K707" i="20"/>
  <c r="D707" i="20"/>
  <c r="AK706" i="20"/>
  <c r="K706" i="20"/>
  <c r="D706" i="20"/>
  <c r="AK705" i="20"/>
  <c r="D705" i="20"/>
  <c r="K705" i="20" s="1"/>
  <c r="AK704" i="20"/>
  <c r="D704" i="20"/>
  <c r="AK703" i="20"/>
  <c r="D703" i="20"/>
  <c r="K703" i="20" s="1"/>
  <c r="AK702" i="20"/>
  <c r="K702" i="20"/>
  <c r="D702" i="20"/>
  <c r="AK701" i="20"/>
  <c r="D701" i="20"/>
  <c r="K701" i="20" s="1"/>
  <c r="AK700" i="20"/>
  <c r="K700" i="20"/>
  <c r="D700" i="20"/>
  <c r="AK699" i="20"/>
  <c r="K699" i="20"/>
  <c r="D699" i="20"/>
  <c r="AK698" i="20"/>
  <c r="D698" i="20"/>
  <c r="K698" i="20" s="1"/>
  <c r="AK697" i="20"/>
  <c r="D697" i="20"/>
  <c r="K697" i="20" s="1"/>
  <c r="AK696" i="20"/>
  <c r="K696" i="20"/>
  <c r="D696" i="20"/>
  <c r="AK695" i="20"/>
  <c r="K695" i="20"/>
  <c r="D695" i="20"/>
  <c r="AK694" i="20"/>
  <c r="D694" i="20"/>
  <c r="K694" i="20" s="1"/>
  <c r="AK693" i="20"/>
  <c r="D693" i="20"/>
  <c r="K693" i="20" s="1"/>
  <c r="AK692" i="20"/>
  <c r="K692" i="20"/>
  <c r="D692" i="20"/>
  <c r="AK691" i="20"/>
  <c r="D691" i="20"/>
  <c r="AK690" i="20"/>
  <c r="K690" i="20"/>
  <c r="D690" i="20"/>
  <c r="AK689" i="20"/>
  <c r="K689" i="20"/>
  <c r="D689" i="20"/>
  <c r="AK688" i="20"/>
  <c r="D688" i="20"/>
  <c r="K688" i="20" s="1"/>
  <c r="AK687" i="20"/>
  <c r="D687" i="20"/>
  <c r="K687" i="20" s="1"/>
  <c r="AK686" i="20"/>
  <c r="D686" i="20"/>
  <c r="K686" i="20" s="1"/>
  <c r="AK685" i="20"/>
  <c r="D685" i="20"/>
  <c r="K685" i="20" s="1"/>
  <c r="AK684" i="20"/>
  <c r="D684" i="20"/>
  <c r="K684" i="20" s="1"/>
  <c r="AK683" i="20"/>
  <c r="D683" i="20"/>
  <c r="AK682" i="20"/>
  <c r="D682" i="20"/>
  <c r="K682" i="20" s="1"/>
  <c r="AK681" i="20"/>
  <c r="D681" i="20"/>
  <c r="K681" i="20" s="1"/>
  <c r="AK680" i="20"/>
  <c r="D680" i="20"/>
  <c r="K680" i="20" s="1"/>
  <c r="AK679" i="20"/>
  <c r="D679" i="20"/>
  <c r="K679" i="20" s="1"/>
  <c r="AK678" i="20"/>
  <c r="D678" i="20"/>
  <c r="AK677" i="20"/>
  <c r="K677" i="20"/>
  <c r="D677" i="20"/>
  <c r="AK676" i="20"/>
  <c r="D676" i="20"/>
  <c r="K676" i="20" s="1"/>
  <c r="AK675" i="20"/>
  <c r="K675" i="20"/>
  <c r="D675" i="20"/>
  <c r="AK674" i="20"/>
  <c r="D674" i="20"/>
  <c r="AK673" i="20"/>
  <c r="D673" i="20"/>
  <c r="K673" i="20" s="1"/>
  <c r="AK672" i="20"/>
  <c r="D672" i="20"/>
  <c r="K672" i="20" s="1"/>
  <c r="AK671" i="20"/>
  <c r="D671" i="20"/>
  <c r="K671" i="20" s="1"/>
  <c r="AK670" i="20"/>
  <c r="K670" i="20"/>
  <c r="D670" i="20"/>
  <c r="AK669" i="20"/>
  <c r="D669" i="20"/>
  <c r="AK668" i="20"/>
  <c r="D668" i="20"/>
  <c r="K668" i="20" s="1"/>
  <c r="AK667" i="20"/>
  <c r="K667" i="20"/>
  <c r="D667" i="20"/>
  <c r="AK666" i="20"/>
  <c r="D666" i="20"/>
  <c r="K666" i="20" s="1"/>
  <c r="AK665" i="20"/>
  <c r="D665" i="20"/>
  <c r="K665" i="20" s="1"/>
  <c r="AK664" i="20"/>
  <c r="D664" i="20"/>
  <c r="K664" i="20" s="1"/>
  <c r="AK663" i="20"/>
  <c r="D663" i="20"/>
  <c r="AK662" i="20"/>
  <c r="K662" i="20"/>
  <c r="D662" i="20"/>
  <c r="AK661" i="20"/>
  <c r="D661" i="20"/>
  <c r="AK660" i="20"/>
  <c r="K660" i="20"/>
  <c r="D660" i="20"/>
  <c r="AK659" i="20"/>
  <c r="D659" i="20"/>
  <c r="K659" i="20" s="1"/>
  <c r="AK658" i="20"/>
  <c r="K658" i="20"/>
  <c r="D658" i="20"/>
  <c r="AK657" i="20"/>
  <c r="K657" i="20"/>
  <c r="D657" i="20"/>
  <c r="AK656" i="20"/>
  <c r="D656" i="20"/>
  <c r="K656" i="20" s="1"/>
  <c r="AK655" i="20"/>
  <c r="D655" i="20"/>
  <c r="K655" i="20" s="1"/>
  <c r="AK654" i="20"/>
  <c r="D654" i="20"/>
  <c r="AK653" i="20"/>
  <c r="D653" i="20"/>
  <c r="K653" i="20" s="1"/>
  <c r="AK652" i="20"/>
  <c r="D652" i="20"/>
  <c r="K652" i="20" s="1"/>
  <c r="AK651" i="20"/>
  <c r="K651" i="20"/>
  <c r="D651" i="20"/>
  <c r="AK650" i="20"/>
  <c r="K650" i="20"/>
  <c r="D650" i="20"/>
  <c r="AK649" i="20"/>
  <c r="D649" i="20"/>
  <c r="K649" i="20" s="1"/>
  <c r="AK648" i="20"/>
  <c r="D648" i="20"/>
  <c r="K648" i="20" s="1"/>
  <c r="AK647" i="20"/>
  <c r="D647" i="20"/>
  <c r="K647" i="20" s="1"/>
  <c r="AK646" i="20"/>
  <c r="K646" i="20"/>
  <c r="D646" i="20"/>
  <c r="AK645" i="20"/>
  <c r="D645" i="20"/>
  <c r="K645" i="20" s="1"/>
  <c r="AK644" i="20"/>
  <c r="K644" i="20"/>
  <c r="D644" i="20"/>
  <c r="AK643" i="20"/>
  <c r="D643" i="20"/>
  <c r="AK642" i="20"/>
  <c r="D642" i="20"/>
  <c r="K642" i="20" s="1"/>
  <c r="AK641" i="20"/>
  <c r="D641" i="20"/>
  <c r="AK640" i="20"/>
  <c r="D640" i="20"/>
  <c r="K640" i="20" s="1"/>
  <c r="AK639" i="20"/>
  <c r="D639" i="20"/>
  <c r="K639" i="20" s="1"/>
  <c r="AK638" i="20"/>
  <c r="D638" i="20"/>
  <c r="K638" i="20" s="1"/>
  <c r="AK637" i="20"/>
  <c r="K637" i="20"/>
  <c r="D637" i="20"/>
  <c r="AK636" i="20"/>
  <c r="D636" i="20"/>
  <c r="K636" i="20" s="1"/>
  <c r="AK635" i="20"/>
  <c r="D635" i="20"/>
  <c r="K635" i="20" s="1"/>
  <c r="AK634" i="20"/>
  <c r="D634" i="20"/>
  <c r="AK633" i="20"/>
  <c r="D633" i="20"/>
  <c r="AK632" i="20"/>
  <c r="K632" i="20"/>
  <c r="D632" i="20"/>
  <c r="AK631" i="20"/>
  <c r="D631" i="20"/>
  <c r="K631" i="20" s="1"/>
  <c r="AK630" i="20"/>
  <c r="K630" i="20"/>
  <c r="D630" i="20"/>
  <c r="AK629" i="20"/>
  <c r="D629" i="20"/>
  <c r="K629" i="20" s="1"/>
  <c r="AK628" i="20"/>
  <c r="D628" i="20"/>
  <c r="K628" i="20" s="1"/>
  <c r="AK627" i="20"/>
  <c r="D627" i="20"/>
  <c r="K627" i="20" s="1"/>
  <c r="AK626" i="20"/>
  <c r="D626" i="20"/>
  <c r="K626" i="20" s="1"/>
  <c r="AK625" i="20"/>
  <c r="D625" i="20"/>
  <c r="K625" i="20" s="1"/>
  <c r="AK624" i="20"/>
  <c r="D624" i="20"/>
  <c r="AK623" i="20"/>
  <c r="D623" i="20"/>
  <c r="K623" i="20" s="1"/>
  <c r="AK622" i="20"/>
  <c r="K622" i="20"/>
  <c r="D622" i="20"/>
  <c r="AK621" i="20"/>
  <c r="D621" i="20"/>
  <c r="K621" i="20" s="1"/>
  <c r="AK620" i="20"/>
  <c r="D620" i="20"/>
  <c r="K620" i="20" s="1"/>
  <c r="AK619" i="20"/>
  <c r="D619" i="20"/>
  <c r="K619" i="20" s="1"/>
  <c r="AK618" i="20"/>
  <c r="K618" i="20"/>
  <c r="D618" i="20"/>
  <c r="AK617" i="20"/>
  <c r="D617" i="20"/>
  <c r="K617" i="20" s="1"/>
  <c r="AK616" i="20"/>
  <c r="K616" i="20"/>
  <c r="D616" i="20"/>
  <c r="AK615" i="20"/>
  <c r="K615" i="20"/>
  <c r="D615" i="20"/>
  <c r="AK614" i="20"/>
  <c r="D614" i="20"/>
  <c r="AK613" i="20"/>
  <c r="D613" i="20"/>
  <c r="AK612" i="20"/>
  <c r="K612" i="20"/>
  <c r="D612" i="20"/>
  <c r="AK611" i="20"/>
  <c r="K611" i="20"/>
  <c r="D611" i="20"/>
  <c r="AK610" i="20"/>
  <c r="D610" i="20"/>
  <c r="K610" i="20" s="1"/>
  <c r="AK609" i="20"/>
  <c r="D609" i="20"/>
  <c r="K609" i="20" s="1"/>
  <c r="AK608" i="20"/>
  <c r="K608" i="20"/>
  <c r="D608" i="20"/>
  <c r="AK607" i="20"/>
  <c r="K607" i="20"/>
  <c r="D607" i="20"/>
  <c r="AK606" i="20"/>
  <c r="K606" i="20"/>
  <c r="D606" i="20"/>
  <c r="AK605" i="20"/>
  <c r="K605" i="20"/>
  <c r="D605" i="20"/>
  <c r="AK604" i="20"/>
  <c r="D604" i="20"/>
  <c r="AK603" i="20"/>
  <c r="D603" i="20"/>
  <c r="AK602" i="20"/>
  <c r="D602" i="20"/>
  <c r="K602" i="20" s="1"/>
  <c r="AK601" i="20"/>
  <c r="D601" i="20"/>
  <c r="AK600" i="20"/>
  <c r="D600" i="20"/>
  <c r="K600" i="20" s="1"/>
  <c r="AK599" i="20"/>
  <c r="D599" i="20"/>
  <c r="K599" i="20" s="1"/>
  <c r="AK598" i="20"/>
  <c r="K598" i="20"/>
  <c r="D598" i="20"/>
  <c r="AK597" i="20"/>
  <c r="K597" i="20"/>
  <c r="D597" i="20"/>
  <c r="AK596" i="20"/>
  <c r="D596" i="20"/>
  <c r="K596" i="20" s="1"/>
  <c r="AK595" i="20"/>
  <c r="D595" i="20"/>
  <c r="K595" i="20" s="1"/>
  <c r="AK594" i="20"/>
  <c r="D594" i="20"/>
  <c r="AK593" i="20"/>
  <c r="K593" i="20"/>
  <c r="D593" i="20"/>
  <c r="AK592" i="20"/>
  <c r="K592" i="20"/>
  <c r="D592" i="20"/>
  <c r="AK591" i="20"/>
  <c r="K591" i="20"/>
  <c r="D591" i="20"/>
  <c r="AK590" i="20"/>
  <c r="K590" i="20"/>
  <c r="D590" i="20"/>
  <c r="AK589" i="20"/>
  <c r="D589" i="20"/>
  <c r="K589" i="20" s="1"/>
  <c r="AK588" i="20"/>
  <c r="D588" i="20"/>
  <c r="AK587" i="20"/>
  <c r="D587" i="20"/>
  <c r="AK586" i="20"/>
  <c r="D586" i="20"/>
  <c r="K586" i="20" s="1"/>
  <c r="AK585" i="20"/>
  <c r="D585" i="20"/>
  <c r="AK584" i="20"/>
  <c r="K584" i="20"/>
  <c r="D584" i="20"/>
  <c r="AK583" i="20"/>
  <c r="K583" i="20"/>
  <c r="D583" i="20"/>
  <c r="AK582" i="20"/>
  <c r="D582" i="20"/>
  <c r="K582" i="20" s="1"/>
  <c r="AK581" i="20"/>
  <c r="D581" i="20"/>
  <c r="AK580" i="20"/>
  <c r="D580" i="20"/>
  <c r="AK579" i="20"/>
  <c r="D579" i="20"/>
  <c r="K579" i="20" s="1"/>
  <c r="AK578" i="20"/>
  <c r="D578" i="20"/>
  <c r="K578" i="20" s="1"/>
  <c r="AK577" i="20"/>
  <c r="D577" i="20"/>
  <c r="AK576" i="20"/>
  <c r="D576" i="20"/>
  <c r="AK575" i="20"/>
  <c r="D575" i="20"/>
  <c r="K575" i="20" s="1"/>
  <c r="AK574" i="20"/>
  <c r="D574" i="20"/>
  <c r="K574" i="20" s="1"/>
  <c r="AK573" i="20"/>
  <c r="D573" i="20"/>
  <c r="K573" i="20" s="1"/>
  <c r="AK572" i="20"/>
  <c r="D572" i="20"/>
  <c r="K572" i="20" s="1"/>
  <c r="AK571" i="20"/>
  <c r="K571" i="20"/>
  <c r="D571" i="20"/>
  <c r="AK570" i="20"/>
  <c r="D570" i="20"/>
  <c r="AK569" i="20"/>
  <c r="K569" i="20"/>
  <c r="D569" i="20"/>
  <c r="AK568" i="20"/>
  <c r="D568" i="20"/>
  <c r="K568" i="20" s="1"/>
  <c r="AK567" i="20"/>
  <c r="K567" i="20"/>
  <c r="D567" i="20"/>
  <c r="AK566" i="20"/>
  <c r="K566" i="20"/>
  <c r="D566" i="20"/>
  <c r="AK565" i="20"/>
  <c r="K565" i="20"/>
  <c r="D565" i="20"/>
  <c r="AK564" i="20"/>
  <c r="D564" i="20"/>
  <c r="K564" i="20" s="1"/>
  <c r="AK563" i="20"/>
  <c r="K563" i="20"/>
  <c r="D563" i="20"/>
  <c r="AK562" i="20"/>
  <c r="D562" i="20"/>
  <c r="K562" i="20" s="1"/>
  <c r="AK561" i="20"/>
  <c r="D561" i="20"/>
  <c r="K561" i="20" s="1"/>
  <c r="AK560" i="20"/>
  <c r="D560" i="20"/>
  <c r="AK559" i="20"/>
  <c r="D559" i="20"/>
  <c r="K559" i="20" s="1"/>
  <c r="AK558" i="20"/>
  <c r="D558" i="20"/>
  <c r="K558" i="20" s="1"/>
  <c r="AK557" i="20"/>
  <c r="D557" i="20"/>
  <c r="AK556" i="20"/>
  <c r="D556" i="20"/>
  <c r="K556" i="20" s="1"/>
  <c r="AK555" i="20"/>
  <c r="K555" i="20"/>
  <c r="D555" i="20"/>
  <c r="AK554" i="20"/>
  <c r="D554" i="20"/>
  <c r="K554" i="20" s="1"/>
  <c r="AK553" i="20"/>
  <c r="D553" i="20"/>
  <c r="K553" i="20" s="1"/>
  <c r="AK552" i="20"/>
  <c r="D552" i="20"/>
  <c r="AK551" i="20"/>
  <c r="D551" i="20"/>
  <c r="K551" i="20" s="1"/>
  <c r="AK550" i="20"/>
  <c r="D550" i="20"/>
  <c r="AK549" i="20"/>
  <c r="D549" i="20"/>
  <c r="K549" i="20" s="1"/>
  <c r="AK548" i="20"/>
  <c r="D548" i="20"/>
  <c r="K548" i="20" s="1"/>
  <c r="AK547" i="20"/>
  <c r="D547" i="20"/>
  <c r="AK546" i="20"/>
  <c r="D546" i="20"/>
  <c r="AK545" i="20"/>
  <c r="D545" i="20"/>
  <c r="AK544" i="20"/>
  <c r="D544" i="20"/>
  <c r="K544" i="20" s="1"/>
  <c r="AK543" i="20"/>
  <c r="K543" i="20"/>
  <c r="D543" i="20"/>
  <c r="AK542" i="20"/>
  <c r="D542" i="20"/>
  <c r="AK541" i="20"/>
  <c r="D541" i="20"/>
  <c r="AK540" i="20"/>
  <c r="D540" i="20"/>
  <c r="K540" i="20" s="1"/>
  <c r="AK539" i="20"/>
  <c r="D539" i="20"/>
  <c r="K539" i="20" s="1"/>
  <c r="AK538" i="20"/>
  <c r="K538" i="20"/>
  <c r="D538" i="20"/>
  <c r="AK537" i="20"/>
  <c r="D537" i="20"/>
  <c r="AK536" i="20"/>
  <c r="D536" i="20"/>
  <c r="AK535" i="20"/>
  <c r="D535" i="20"/>
  <c r="AK534" i="20"/>
  <c r="D534" i="20"/>
  <c r="K534" i="20" s="1"/>
  <c r="AK533" i="20"/>
  <c r="K533" i="20"/>
  <c r="D533" i="20"/>
  <c r="AK532" i="20"/>
  <c r="D532" i="20"/>
  <c r="K532" i="20" s="1"/>
  <c r="AK531" i="20"/>
  <c r="D531" i="20"/>
  <c r="AK530" i="20"/>
  <c r="D530" i="20"/>
  <c r="AK529" i="20"/>
  <c r="D529" i="20"/>
  <c r="K529" i="20" s="1"/>
  <c r="AK528" i="20"/>
  <c r="D528" i="20"/>
  <c r="K528" i="20" s="1"/>
  <c r="AK527" i="20"/>
  <c r="K527" i="20"/>
  <c r="D527" i="20"/>
  <c r="AK526" i="20"/>
  <c r="D526" i="20"/>
  <c r="AK525" i="20"/>
  <c r="D525" i="20"/>
  <c r="AK524" i="20"/>
  <c r="D524" i="20"/>
  <c r="AK523" i="20"/>
  <c r="D523" i="20"/>
  <c r="K523" i="20" s="1"/>
  <c r="AK522" i="20"/>
  <c r="K522" i="20"/>
  <c r="D522" i="20"/>
  <c r="AK521" i="20"/>
  <c r="D521" i="20"/>
  <c r="K521" i="20" s="1"/>
  <c r="AK520" i="20"/>
  <c r="D520" i="20"/>
  <c r="AK519" i="20"/>
  <c r="D519" i="20"/>
  <c r="K519" i="20" s="1"/>
  <c r="AK518" i="20"/>
  <c r="K518" i="20"/>
  <c r="D518" i="20"/>
  <c r="AK517" i="20"/>
  <c r="K517" i="20"/>
  <c r="D517" i="20"/>
  <c r="AK516" i="20"/>
  <c r="D516" i="20"/>
  <c r="K516" i="20" s="1"/>
  <c r="AK515" i="20"/>
  <c r="D515" i="20"/>
  <c r="K515" i="20" s="1"/>
  <c r="AK514" i="20"/>
  <c r="D514" i="20"/>
  <c r="K514" i="20" s="1"/>
  <c r="AK513" i="20"/>
  <c r="K513" i="20"/>
  <c r="D513" i="20"/>
  <c r="AK512" i="20"/>
  <c r="K512" i="20"/>
  <c r="D512" i="20"/>
  <c r="AK511" i="20"/>
  <c r="D511" i="20"/>
  <c r="AK510" i="20"/>
  <c r="K510" i="20"/>
  <c r="D510" i="20"/>
  <c r="AK509" i="20"/>
  <c r="D509" i="20"/>
  <c r="AK508" i="20"/>
  <c r="K508" i="20"/>
  <c r="D508" i="20"/>
  <c r="AK507" i="20"/>
  <c r="K507" i="20"/>
  <c r="D507" i="20"/>
  <c r="AK506" i="20"/>
  <c r="D506" i="20"/>
  <c r="AK505" i="20"/>
  <c r="D505" i="20"/>
  <c r="K505" i="20" s="1"/>
  <c r="AK504" i="20"/>
  <c r="D504" i="20"/>
  <c r="AK503" i="20"/>
  <c r="D503" i="20"/>
  <c r="K503" i="20" s="1"/>
  <c r="AK502" i="20"/>
  <c r="D502" i="20"/>
  <c r="K502" i="20" s="1"/>
  <c r="AK501" i="20"/>
  <c r="D501" i="20"/>
  <c r="AK500" i="20"/>
  <c r="K500" i="20"/>
  <c r="D500" i="20"/>
  <c r="AK499" i="20"/>
  <c r="D499" i="20"/>
  <c r="K499" i="20" s="1"/>
  <c r="AK498" i="20"/>
  <c r="K498" i="20"/>
  <c r="D498" i="20"/>
  <c r="AK497" i="20"/>
  <c r="D497" i="20"/>
  <c r="K497" i="20" s="1"/>
  <c r="AK496" i="20"/>
  <c r="D496" i="20"/>
  <c r="K496" i="20" s="1"/>
  <c r="AK495" i="20"/>
  <c r="K495" i="20"/>
  <c r="D495" i="20"/>
  <c r="AK494" i="20"/>
  <c r="D494" i="20"/>
  <c r="K494" i="20" s="1"/>
  <c r="AK493" i="20"/>
  <c r="K493" i="20"/>
  <c r="D493" i="20"/>
  <c r="AK492" i="20"/>
  <c r="D492" i="20"/>
  <c r="K492" i="20" s="1"/>
  <c r="AK491" i="20"/>
  <c r="D491" i="20"/>
  <c r="AK490" i="20"/>
  <c r="D490" i="20"/>
  <c r="K490" i="20" s="1"/>
  <c r="AK489" i="20"/>
  <c r="D489" i="20"/>
  <c r="K489" i="20" s="1"/>
  <c r="AK488" i="20"/>
  <c r="K488" i="20"/>
  <c r="D488" i="20"/>
  <c r="AK487" i="20"/>
  <c r="K487" i="20"/>
  <c r="D487" i="20"/>
  <c r="AK486" i="20"/>
  <c r="D486" i="20"/>
  <c r="AK485" i="20"/>
  <c r="D485" i="20"/>
  <c r="K485" i="20" s="1"/>
  <c r="AK484" i="20"/>
  <c r="D484" i="20"/>
  <c r="AK483" i="20"/>
  <c r="D483" i="20"/>
  <c r="K483" i="20" s="1"/>
  <c r="AK482" i="20"/>
  <c r="D482" i="20"/>
  <c r="AK481" i="20"/>
  <c r="D481" i="20"/>
  <c r="K481" i="20" s="1"/>
  <c r="AK480" i="20"/>
  <c r="K480" i="20"/>
  <c r="D480" i="20"/>
  <c r="AK479" i="20"/>
  <c r="D479" i="20"/>
  <c r="K479" i="20" s="1"/>
  <c r="AK478" i="20"/>
  <c r="K478" i="20"/>
  <c r="D478" i="20"/>
  <c r="AK477" i="20"/>
  <c r="K477" i="20"/>
  <c r="D477" i="20"/>
  <c r="AK476" i="20"/>
  <c r="D476" i="20"/>
  <c r="K476" i="20" s="1"/>
  <c r="AK475" i="20"/>
  <c r="D475" i="20"/>
  <c r="AK474" i="20"/>
  <c r="D474" i="20"/>
  <c r="AK473" i="20"/>
  <c r="K473" i="20"/>
  <c r="D473" i="20"/>
  <c r="AK472" i="20"/>
  <c r="D472" i="20"/>
  <c r="AK471" i="20"/>
  <c r="D471" i="20"/>
  <c r="K471" i="20" s="1"/>
  <c r="AK470" i="20"/>
  <c r="K470" i="20"/>
  <c r="D470" i="20"/>
  <c r="AK469" i="20"/>
  <c r="D469" i="20"/>
  <c r="AK468" i="20"/>
  <c r="D468" i="20"/>
  <c r="K468" i="20" s="1"/>
  <c r="AK467" i="20"/>
  <c r="D467" i="20"/>
  <c r="K467" i="20" s="1"/>
  <c r="AK466" i="20"/>
  <c r="D466" i="20"/>
  <c r="K466" i="20" s="1"/>
  <c r="AK465" i="20"/>
  <c r="D465" i="20"/>
  <c r="AK464" i="20"/>
  <c r="D464" i="20"/>
  <c r="AK463" i="20"/>
  <c r="D463" i="20"/>
  <c r="K463" i="20" s="1"/>
  <c r="AK462" i="20"/>
  <c r="D462" i="20"/>
  <c r="K462" i="20" s="1"/>
  <c r="AK461" i="20"/>
  <c r="D461" i="20"/>
  <c r="K461" i="20" s="1"/>
  <c r="AK460" i="20"/>
  <c r="D460" i="20"/>
  <c r="K460" i="20" s="1"/>
  <c r="AK459" i="20"/>
  <c r="D459" i="20"/>
  <c r="AK458" i="20"/>
  <c r="K458" i="20"/>
  <c r="D458" i="20"/>
  <c r="AK457" i="20"/>
  <c r="D457" i="20"/>
  <c r="AK456" i="20"/>
  <c r="D456" i="20"/>
  <c r="K456" i="20" s="1"/>
  <c r="AK455" i="20"/>
  <c r="K455" i="20"/>
  <c r="D455" i="20"/>
  <c r="AK454" i="20"/>
  <c r="D454" i="20"/>
  <c r="K454" i="20" s="1"/>
  <c r="AK453" i="20"/>
  <c r="K453" i="20"/>
  <c r="D453" i="20"/>
  <c r="AK452" i="20"/>
  <c r="D452" i="20"/>
  <c r="AK451" i="20"/>
  <c r="D451" i="20"/>
  <c r="K451" i="20" s="1"/>
  <c r="AK450" i="20"/>
  <c r="D450" i="20"/>
  <c r="AK449" i="20"/>
  <c r="D449" i="20"/>
  <c r="K449" i="20" s="1"/>
  <c r="AK448" i="20"/>
  <c r="K448" i="20"/>
  <c r="D448" i="20"/>
  <c r="AK447" i="20"/>
  <c r="D447" i="20"/>
  <c r="AK446" i="20"/>
  <c r="D446" i="20"/>
  <c r="K446" i="20" s="1"/>
  <c r="AK445" i="20"/>
  <c r="K445" i="20"/>
  <c r="D445" i="20"/>
  <c r="AK444" i="20"/>
  <c r="D444" i="20"/>
  <c r="K444" i="20" s="1"/>
  <c r="AK443" i="20"/>
  <c r="D443" i="20"/>
  <c r="K443" i="20" s="1"/>
  <c r="AK442" i="20"/>
  <c r="K442" i="20"/>
  <c r="D442" i="20"/>
  <c r="AK441" i="20"/>
  <c r="K441" i="20"/>
  <c r="D441" i="20"/>
  <c r="AK440" i="20"/>
  <c r="D440" i="20"/>
  <c r="AK439" i="20"/>
  <c r="D439" i="20"/>
  <c r="AK438" i="20"/>
  <c r="D438" i="20"/>
  <c r="K438" i="20" s="1"/>
  <c r="AK437" i="20"/>
  <c r="D437" i="20"/>
  <c r="AK436" i="20"/>
  <c r="D436" i="20"/>
  <c r="K436" i="20" s="1"/>
  <c r="AK435" i="20"/>
  <c r="D435" i="20"/>
  <c r="AK434" i="20"/>
  <c r="D434" i="20"/>
  <c r="K434" i="20" s="1"/>
  <c r="AK433" i="20"/>
  <c r="K433" i="20"/>
  <c r="D433" i="20"/>
  <c r="AK432" i="20"/>
  <c r="D432" i="20"/>
  <c r="AK431" i="20"/>
  <c r="D431" i="20"/>
  <c r="K431" i="20" s="1"/>
  <c r="AK430" i="20"/>
  <c r="D430" i="20"/>
  <c r="AK429" i="20"/>
  <c r="D429" i="20"/>
  <c r="K429" i="20" s="1"/>
  <c r="AK428" i="20"/>
  <c r="K428" i="20"/>
  <c r="D428" i="20"/>
  <c r="AK427" i="20"/>
  <c r="K427" i="20"/>
  <c r="D427" i="20"/>
  <c r="AK426" i="20"/>
  <c r="D426" i="20"/>
  <c r="AK425" i="20"/>
  <c r="D425" i="20"/>
  <c r="K425" i="20" s="1"/>
  <c r="AK424" i="20"/>
  <c r="D424" i="20"/>
  <c r="AK423" i="20"/>
  <c r="D423" i="20"/>
  <c r="K423" i="20" s="1"/>
  <c r="AK422" i="20"/>
  <c r="K422" i="20"/>
  <c r="D422" i="20"/>
  <c r="AK421" i="20"/>
  <c r="D421" i="20"/>
  <c r="AK420" i="20"/>
  <c r="K420" i="20"/>
  <c r="D420" i="20"/>
  <c r="AK419" i="20"/>
  <c r="D419" i="20"/>
  <c r="AK418" i="20"/>
  <c r="K418" i="20"/>
  <c r="D418" i="20"/>
  <c r="AK417" i="20"/>
  <c r="D417" i="20"/>
  <c r="K417" i="20" s="1"/>
  <c r="AK416" i="20"/>
  <c r="D416" i="20"/>
  <c r="AK415" i="20"/>
  <c r="K415" i="20"/>
  <c r="D415" i="20"/>
  <c r="AK414" i="20"/>
  <c r="D414" i="20"/>
  <c r="K414" i="20" s="1"/>
  <c r="AK413" i="20"/>
  <c r="K413" i="20"/>
  <c r="D413" i="20"/>
  <c r="AK412" i="20"/>
  <c r="D412" i="20"/>
  <c r="K412" i="20" s="1"/>
  <c r="AK411" i="20"/>
  <c r="D411" i="20"/>
  <c r="AK410" i="20"/>
  <c r="D410" i="20"/>
  <c r="AK409" i="20"/>
  <c r="D409" i="20"/>
  <c r="K409" i="20" s="1"/>
  <c r="AK408" i="20"/>
  <c r="D408" i="20"/>
  <c r="K408" i="20" s="1"/>
  <c r="AK407" i="20"/>
  <c r="D407" i="20"/>
  <c r="K407" i="20" s="1"/>
  <c r="AK406" i="20"/>
  <c r="D406" i="20"/>
  <c r="AK405" i="20"/>
  <c r="D405" i="20"/>
  <c r="AK404" i="20"/>
  <c r="D404" i="20"/>
  <c r="K404" i="20" s="1"/>
  <c r="AK403" i="20"/>
  <c r="K403" i="20"/>
  <c r="D403" i="20"/>
  <c r="AK402" i="20"/>
  <c r="D402" i="20"/>
  <c r="AK401" i="20"/>
  <c r="D401" i="20"/>
  <c r="K401" i="20" s="1"/>
  <c r="AK400" i="20"/>
  <c r="D400" i="20"/>
  <c r="AK399" i="20"/>
  <c r="D399" i="20"/>
  <c r="AK398" i="20"/>
  <c r="D398" i="20"/>
  <c r="K398" i="20" s="1"/>
  <c r="AK397" i="20"/>
  <c r="D397" i="20"/>
  <c r="AK396" i="20"/>
  <c r="D396" i="20"/>
  <c r="K396" i="20" s="1"/>
  <c r="AK395" i="20"/>
  <c r="K395" i="20"/>
  <c r="D395" i="20"/>
  <c r="AK394" i="20"/>
  <c r="D394" i="20"/>
  <c r="K394" i="20" s="1"/>
  <c r="AK393" i="20"/>
  <c r="D393" i="20"/>
  <c r="K393" i="20" s="1"/>
  <c r="AK392" i="20"/>
  <c r="K392" i="20"/>
  <c r="D392" i="20"/>
  <c r="AK391" i="20"/>
  <c r="D391" i="20"/>
  <c r="K391" i="20" s="1"/>
  <c r="AK390" i="20"/>
  <c r="D390" i="20"/>
  <c r="AK389" i="20"/>
  <c r="D389" i="20"/>
  <c r="K389" i="20" s="1"/>
  <c r="AK388" i="20"/>
  <c r="K388" i="20"/>
  <c r="D388" i="20"/>
  <c r="AK387" i="20"/>
  <c r="D387" i="20"/>
  <c r="AK386" i="20"/>
  <c r="D386" i="20"/>
  <c r="K386" i="20" s="1"/>
  <c r="AK385" i="20"/>
  <c r="K385" i="20"/>
  <c r="D385" i="20"/>
  <c r="AK384" i="20"/>
  <c r="D384" i="20"/>
  <c r="K384" i="20" s="1"/>
  <c r="AK383" i="20"/>
  <c r="D383" i="20"/>
  <c r="K383" i="20" s="1"/>
  <c r="AK382" i="20"/>
  <c r="D382" i="20"/>
  <c r="K382" i="20" s="1"/>
  <c r="AK381" i="20"/>
  <c r="D381" i="20"/>
  <c r="K381" i="20" s="1"/>
  <c r="AK380" i="20"/>
  <c r="K380" i="20"/>
  <c r="D380" i="20"/>
  <c r="AK379" i="20"/>
  <c r="D379" i="20"/>
  <c r="K379" i="20" s="1"/>
  <c r="AK378" i="20"/>
  <c r="K378" i="20"/>
  <c r="D378" i="20"/>
  <c r="AK377" i="20"/>
  <c r="D377" i="20"/>
  <c r="K377" i="20" s="1"/>
  <c r="AK376" i="20"/>
  <c r="D376" i="20"/>
  <c r="K376" i="20" s="1"/>
  <c r="AK375" i="20"/>
  <c r="D375" i="20"/>
  <c r="K375" i="20" s="1"/>
  <c r="AK374" i="20"/>
  <c r="G374" i="20"/>
  <c r="J374" i="20" s="1"/>
  <c r="D374" i="20"/>
  <c r="K374" i="20" s="1"/>
  <c r="AK373" i="20"/>
  <c r="K373" i="20"/>
  <c r="D373" i="20"/>
  <c r="AK372" i="20"/>
  <c r="D372" i="20"/>
  <c r="AK371" i="20"/>
  <c r="K371" i="20"/>
  <c r="D371" i="20"/>
  <c r="AK370" i="20"/>
  <c r="D370" i="20"/>
  <c r="AK369" i="20"/>
  <c r="D369" i="20"/>
  <c r="K369" i="20" s="1"/>
  <c r="AK368" i="20"/>
  <c r="D368" i="20"/>
  <c r="K368" i="20" s="1"/>
  <c r="AK367" i="20"/>
  <c r="D367" i="20"/>
  <c r="K367" i="20" s="1"/>
  <c r="AK366" i="20"/>
  <c r="K366" i="20"/>
  <c r="D366" i="20"/>
  <c r="AK365" i="20"/>
  <c r="D365" i="20"/>
  <c r="K365" i="20" s="1"/>
  <c r="AK364" i="20"/>
  <c r="D364" i="20"/>
  <c r="AK363" i="20"/>
  <c r="D363" i="20"/>
  <c r="K363" i="20" s="1"/>
  <c r="AK362" i="20"/>
  <c r="D362" i="20"/>
  <c r="AK361" i="20"/>
  <c r="D361" i="20"/>
  <c r="AK360" i="20"/>
  <c r="D360" i="20"/>
  <c r="K360" i="20" s="1"/>
  <c r="AK359" i="20"/>
  <c r="D359" i="20"/>
  <c r="AK358" i="20"/>
  <c r="D358" i="20"/>
  <c r="K358" i="20" s="1"/>
  <c r="AK357" i="20"/>
  <c r="D357" i="20"/>
  <c r="K357" i="20" s="1"/>
  <c r="AK356" i="20"/>
  <c r="D356" i="20"/>
  <c r="K356" i="20" s="1"/>
  <c r="AK355" i="20"/>
  <c r="D355" i="20"/>
  <c r="AK354" i="20"/>
  <c r="D354" i="20"/>
  <c r="K354" i="20" s="1"/>
  <c r="AK353" i="20"/>
  <c r="K353" i="20"/>
  <c r="D353" i="20"/>
  <c r="AK352" i="20"/>
  <c r="D352" i="20"/>
  <c r="AK351" i="20"/>
  <c r="D351" i="20"/>
  <c r="K351" i="20" s="1"/>
  <c r="AK350" i="20"/>
  <c r="D350" i="20"/>
  <c r="AK349" i="20"/>
  <c r="D349" i="20"/>
  <c r="AK348" i="20"/>
  <c r="D348" i="20"/>
  <c r="K348" i="20" s="1"/>
  <c r="AK347" i="20"/>
  <c r="D347" i="20"/>
  <c r="AK346" i="20"/>
  <c r="D346" i="20"/>
  <c r="K346" i="20" s="1"/>
  <c r="AK345" i="20"/>
  <c r="D345" i="20"/>
  <c r="K345" i="20" s="1"/>
  <c r="AK344" i="20"/>
  <c r="D344" i="20"/>
  <c r="AK343" i="20"/>
  <c r="K343" i="20"/>
  <c r="D343" i="20"/>
  <c r="AK342" i="20"/>
  <c r="K342" i="20"/>
  <c r="D342" i="20"/>
  <c r="AK341" i="20"/>
  <c r="D341" i="20"/>
  <c r="K341" i="20" s="1"/>
  <c r="AK340" i="20"/>
  <c r="D340" i="20"/>
  <c r="AK339" i="20"/>
  <c r="D339" i="20"/>
  <c r="K339" i="20" s="1"/>
  <c r="AK338" i="20"/>
  <c r="K338" i="20"/>
  <c r="D338" i="20"/>
  <c r="AK337" i="20"/>
  <c r="D337" i="20"/>
  <c r="AK336" i="20"/>
  <c r="K336" i="20"/>
  <c r="D336" i="20"/>
  <c r="AK335" i="20"/>
  <c r="D335" i="20"/>
  <c r="AK334" i="20"/>
  <c r="D334" i="20"/>
  <c r="AK333" i="20"/>
  <c r="K333" i="20"/>
  <c r="D333" i="20"/>
  <c r="AK332" i="20"/>
  <c r="D332" i="20"/>
  <c r="AK331" i="20"/>
  <c r="D331" i="20"/>
  <c r="K331" i="20" s="1"/>
  <c r="AK330" i="20"/>
  <c r="D330" i="20"/>
  <c r="AK329" i="20"/>
  <c r="D329" i="20"/>
  <c r="K329" i="20" s="1"/>
  <c r="AK328" i="20"/>
  <c r="D328" i="20"/>
  <c r="K328" i="20" s="1"/>
  <c r="AK327" i="20"/>
  <c r="D327" i="20"/>
  <c r="K327" i="20" s="1"/>
  <c r="AK326" i="20"/>
  <c r="D326" i="20"/>
  <c r="AK325" i="20"/>
  <c r="D325" i="20"/>
  <c r="AK324" i="20"/>
  <c r="D324" i="20"/>
  <c r="AK323" i="20"/>
  <c r="D323" i="20"/>
  <c r="K323" i="20" s="1"/>
  <c r="AK322" i="20"/>
  <c r="D322" i="20"/>
  <c r="AK321" i="20"/>
  <c r="K321" i="20"/>
  <c r="D321" i="20"/>
  <c r="AK320" i="20"/>
  <c r="D320" i="20"/>
  <c r="K320" i="20" s="1"/>
  <c r="AK319" i="20"/>
  <c r="D319" i="20"/>
  <c r="K319" i="20" s="1"/>
  <c r="AK318" i="20"/>
  <c r="D318" i="20"/>
  <c r="K318" i="20" s="1"/>
  <c r="AK317" i="20"/>
  <c r="K317" i="20"/>
  <c r="D317" i="20"/>
  <c r="AK316" i="20"/>
  <c r="K316" i="20"/>
  <c r="D316" i="20"/>
  <c r="AK315" i="20"/>
  <c r="D315" i="20"/>
  <c r="AK314" i="20"/>
  <c r="D314" i="20"/>
  <c r="AK313" i="20"/>
  <c r="K313" i="20"/>
  <c r="D313" i="20"/>
  <c r="AK312" i="20"/>
  <c r="D312" i="20"/>
  <c r="AK311" i="20"/>
  <c r="D311" i="20"/>
  <c r="AK310" i="20"/>
  <c r="D310" i="20"/>
  <c r="K310" i="20" s="1"/>
  <c r="AK309" i="20"/>
  <c r="D309" i="20"/>
  <c r="AK308" i="20"/>
  <c r="D308" i="20"/>
  <c r="K308" i="20" s="1"/>
  <c r="AK307" i="20"/>
  <c r="D307" i="20"/>
  <c r="K307" i="20" s="1"/>
  <c r="AK306" i="20"/>
  <c r="D306" i="20"/>
  <c r="K306" i="20" s="1"/>
  <c r="AK305" i="20"/>
  <c r="D305" i="20"/>
  <c r="AK304" i="20"/>
  <c r="D304" i="20"/>
  <c r="K304" i="20" s="1"/>
  <c r="AK303" i="20"/>
  <c r="D303" i="20"/>
  <c r="K303" i="20" s="1"/>
  <c r="AK302" i="20"/>
  <c r="D302" i="20"/>
  <c r="AK301" i="20"/>
  <c r="D301" i="20"/>
  <c r="K301" i="20" s="1"/>
  <c r="AK300" i="20"/>
  <c r="D300" i="20"/>
  <c r="AK299" i="20"/>
  <c r="D299" i="20"/>
  <c r="AK298" i="20"/>
  <c r="K298" i="20"/>
  <c r="D298" i="20"/>
  <c r="AK297" i="20"/>
  <c r="D297" i="20"/>
  <c r="AK296" i="20"/>
  <c r="D296" i="20"/>
  <c r="AK295" i="20"/>
  <c r="D295" i="20"/>
  <c r="K295" i="20" s="1"/>
  <c r="AK294" i="20"/>
  <c r="D294" i="20"/>
  <c r="AK293" i="20"/>
  <c r="D293" i="20"/>
  <c r="K293" i="20" s="1"/>
  <c r="AK292" i="20"/>
  <c r="K292" i="20"/>
  <c r="D292" i="20"/>
  <c r="AK291" i="20"/>
  <c r="D291" i="20"/>
  <c r="K291" i="20" s="1"/>
  <c r="AK290" i="20"/>
  <c r="D290" i="20"/>
  <c r="AK289" i="20"/>
  <c r="D289" i="20"/>
  <c r="K289" i="20" s="1"/>
  <c r="AK288" i="20"/>
  <c r="D288" i="20"/>
  <c r="K288" i="20" s="1"/>
  <c r="AK287" i="20"/>
  <c r="D287" i="20"/>
  <c r="K287" i="20" s="1"/>
  <c r="AK286" i="20"/>
  <c r="K286" i="20"/>
  <c r="D286" i="20"/>
  <c r="AK285" i="20"/>
  <c r="D285" i="20"/>
  <c r="K285" i="20" s="1"/>
  <c r="AK284" i="20"/>
  <c r="D284" i="20"/>
  <c r="AK283" i="20"/>
  <c r="K283" i="20"/>
  <c r="D283" i="20"/>
  <c r="AK282" i="20"/>
  <c r="K282" i="20"/>
  <c r="D282" i="20"/>
  <c r="AK281" i="20"/>
  <c r="D281" i="20"/>
  <c r="K281" i="20" s="1"/>
  <c r="AK280" i="20"/>
  <c r="D280" i="20"/>
  <c r="AK279" i="20"/>
  <c r="D279" i="20"/>
  <c r="K279" i="20" s="1"/>
  <c r="AK278" i="20"/>
  <c r="D278" i="20"/>
  <c r="K278" i="20" s="1"/>
  <c r="AK277" i="20"/>
  <c r="D277" i="20"/>
  <c r="K277" i="20" s="1"/>
  <c r="AK276" i="20"/>
  <c r="D276" i="20"/>
  <c r="AK275" i="20"/>
  <c r="K275" i="20"/>
  <c r="D275" i="20"/>
  <c r="AK274" i="20"/>
  <c r="D274" i="20"/>
  <c r="K274" i="20" s="1"/>
  <c r="AK273" i="20"/>
  <c r="K273" i="20"/>
  <c r="D273" i="20"/>
  <c r="AK272" i="20"/>
  <c r="K272" i="20"/>
  <c r="D272" i="20"/>
  <c r="AK271" i="20"/>
  <c r="D271" i="20"/>
  <c r="K271" i="20" s="1"/>
  <c r="AK270" i="20"/>
  <c r="D270" i="20"/>
  <c r="AK269" i="20"/>
  <c r="D269" i="20"/>
  <c r="K269" i="20" s="1"/>
  <c r="AK268" i="20"/>
  <c r="D268" i="20"/>
  <c r="K268" i="20" s="1"/>
  <c r="AK267" i="20"/>
  <c r="D267" i="20"/>
  <c r="AK266" i="20"/>
  <c r="D266" i="20"/>
  <c r="K266" i="20" s="1"/>
  <c r="AK265" i="20"/>
  <c r="D265" i="20"/>
  <c r="K265" i="20" s="1"/>
  <c r="AK264" i="20"/>
  <c r="D264" i="20"/>
  <c r="AK263" i="20"/>
  <c r="K263" i="20"/>
  <c r="D263" i="20"/>
  <c r="AK262" i="20"/>
  <c r="K262" i="20"/>
  <c r="D262" i="20"/>
  <c r="AK261" i="20"/>
  <c r="D261" i="20"/>
  <c r="AK260" i="20"/>
  <c r="D260" i="20"/>
  <c r="AK259" i="20"/>
  <c r="D259" i="20"/>
  <c r="K259" i="20" s="1"/>
  <c r="AK258" i="20"/>
  <c r="D258" i="20"/>
  <c r="K258" i="20" s="1"/>
  <c r="AK257" i="20"/>
  <c r="D257" i="20"/>
  <c r="AK256" i="20"/>
  <c r="D256" i="20"/>
  <c r="AK255" i="20"/>
  <c r="D255" i="20"/>
  <c r="K255" i="20" s="1"/>
  <c r="AK254" i="20"/>
  <c r="D254" i="20"/>
  <c r="K254" i="20" s="1"/>
  <c r="AK253" i="20"/>
  <c r="K253" i="20"/>
  <c r="D253" i="20"/>
  <c r="AK252" i="20"/>
  <c r="D252" i="20"/>
  <c r="K252" i="20" s="1"/>
  <c r="AK251" i="20"/>
  <c r="D251" i="20"/>
  <c r="AK250" i="20"/>
  <c r="D250" i="20"/>
  <c r="AK249" i="20"/>
  <c r="D249" i="20"/>
  <c r="K249" i="20" s="1"/>
  <c r="AK248" i="20"/>
  <c r="D248" i="20"/>
  <c r="K248" i="20" s="1"/>
  <c r="AK247" i="20"/>
  <c r="D247" i="20"/>
  <c r="AK246" i="20"/>
  <c r="D246" i="20"/>
  <c r="K246" i="20" s="1"/>
  <c r="AK245" i="20"/>
  <c r="K245" i="20"/>
  <c r="D245" i="20"/>
  <c r="AK244" i="20"/>
  <c r="D244" i="20"/>
  <c r="AK243" i="20"/>
  <c r="D243" i="20"/>
  <c r="AK242" i="20"/>
  <c r="D242" i="20"/>
  <c r="K242" i="20" s="1"/>
  <c r="AK241" i="20"/>
  <c r="D241" i="20"/>
  <c r="K241" i="20" s="1"/>
  <c r="AK240" i="20"/>
  <c r="K240" i="20"/>
  <c r="D240" i="20"/>
  <c r="AK239" i="20"/>
  <c r="D239" i="20"/>
  <c r="K239" i="20" s="1"/>
  <c r="AK238" i="20"/>
  <c r="D238" i="20"/>
  <c r="K238" i="20" s="1"/>
  <c r="AK237" i="20"/>
  <c r="D237" i="20"/>
  <c r="K237" i="20" s="1"/>
  <c r="AK236" i="20"/>
  <c r="K236" i="20"/>
  <c r="D236" i="20"/>
  <c r="AK235" i="20"/>
  <c r="K235" i="20"/>
  <c r="D235" i="20"/>
  <c r="AK234" i="20"/>
  <c r="D234" i="20"/>
  <c r="K234" i="20" s="1"/>
  <c r="AK233" i="20"/>
  <c r="D233" i="20"/>
  <c r="AK232" i="20"/>
  <c r="D232" i="20"/>
  <c r="K232" i="20" s="1"/>
  <c r="AK231" i="20"/>
  <c r="K231" i="20"/>
  <c r="D231" i="20"/>
  <c r="AK230" i="20"/>
  <c r="D230" i="20"/>
  <c r="K230" i="20" s="1"/>
  <c r="AK229" i="20"/>
  <c r="D229" i="20"/>
  <c r="AK228" i="20"/>
  <c r="D228" i="20"/>
  <c r="K228" i="20" s="1"/>
  <c r="AK227" i="20"/>
  <c r="D227" i="20"/>
  <c r="K227" i="20" s="1"/>
  <c r="AK226" i="20"/>
  <c r="D226" i="20"/>
  <c r="K226" i="20" s="1"/>
  <c r="AK225" i="20"/>
  <c r="D225" i="20"/>
  <c r="K225" i="20" s="1"/>
  <c r="AK224" i="20"/>
  <c r="D224" i="20"/>
  <c r="K224" i="20" s="1"/>
  <c r="AK223" i="20"/>
  <c r="D223" i="20"/>
  <c r="AK222" i="20"/>
  <c r="D222" i="20"/>
  <c r="K222" i="20" s="1"/>
  <c r="AK221" i="20"/>
  <c r="D221" i="20"/>
  <c r="K221" i="20" s="1"/>
  <c r="AK220" i="20"/>
  <c r="D220" i="20"/>
  <c r="K220" i="20" s="1"/>
  <c r="AK219" i="20"/>
  <c r="D219" i="20"/>
  <c r="K219" i="20" s="1"/>
  <c r="AK218" i="20"/>
  <c r="D218" i="20"/>
  <c r="AK217" i="20"/>
  <c r="D217" i="20"/>
  <c r="K217" i="20" s="1"/>
  <c r="AK216" i="20"/>
  <c r="K216" i="20"/>
  <c r="D216" i="20"/>
  <c r="AK215" i="20"/>
  <c r="D215" i="20"/>
  <c r="K215" i="20" s="1"/>
  <c r="AK214" i="20"/>
  <c r="K214" i="20"/>
  <c r="D214" i="20"/>
  <c r="AK213" i="20"/>
  <c r="D213" i="20"/>
  <c r="AK212" i="20"/>
  <c r="D212" i="20"/>
  <c r="K212" i="20" s="1"/>
  <c r="AK211" i="20"/>
  <c r="D211" i="20"/>
  <c r="K211" i="20" s="1"/>
  <c r="AK210" i="20"/>
  <c r="D210" i="20"/>
  <c r="K210" i="20" s="1"/>
  <c r="AK209" i="20"/>
  <c r="D209" i="20"/>
  <c r="K209" i="20" s="1"/>
  <c r="AK208" i="20"/>
  <c r="D208" i="20"/>
  <c r="AK207" i="20"/>
  <c r="D207" i="20"/>
  <c r="K207" i="20" s="1"/>
  <c r="AK206" i="20"/>
  <c r="D206" i="20"/>
  <c r="AK205" i="20"/>
  <c r="K205" i="20"/>
  <c r="D205" i="20"/>
  <c r="AK204" i="20"/>
  <c r="D204" i="20"/>
  <c r="K204" i="20" s="1"/>
  <c r="AK203" i="20"/>
  <c r="D203" i="20"/>
  <c r="K203" i="20" s="1"/>
  <c r="AK202" i="20"/>
  <c r="D202" i="20"/>
  <c r="K202" i="20" s="1"/>
  <c r="AK201" i="20"/>
  <c r="K201" i="20"/>
  <c r="D201" i="20"/>
  <c r="AK200" i="20"/>
  <c r="D200" i="20"/>
  <c r="K200" i="20" s="1"/>
  <c r="AK199" i="20"/>
  <c r="K199" i="20"/>
  <c r="D199" i="20"/>
  <c r="AK198" i="20"/>
  <c r="D198" i="20"/>
  <c r="AK197" i="20"/>
  <c r="K197" i="20"/>
  <c r="D197" i="20"/>
  <c r="AK196" i="20"/>
  <c r="D196" i="20"/>
  <c r="AK195" i="20"/>
  <c r="D195" i="20"/>
  <c r="K195" i="20" s="1"/>
  <c r="AK194" i="20"/>
  <c r="D194" i="20"/>
  <c r="K194" i="20" s="1"/>
  <c r="AK193" i="20"/>
  <c r="K193" i="20"/>
  <c r="D193" i="20"/>
  <c r="AK192" i="20"/>
  <c r="D192" i="20"/>
  <c r="K192" i="20" s="1"/>
  <c r="AK191" i="20"/>
  <c r="D191" i="20"/>
  <c r="AK190" i="20"/>
  <c r="D190" i="20"/>
  <c r="K190" i="20" s="1"/>
  <c r="AK189" i="20"/>
  <c r="K189" i="20"/>
  <c r="D189" i="20"/>
  <c r="AK188" i="20"/>
  <c r="D188" i="20"/>
  <c r="AK187" i="20"/>
  <c r="K187" i="20"/>
  <c r="D187" i="20"/>
  <c r="AK186" i="20"/>
  <c r="K186" i="20"/>
  <c r="D186" i="20"/>
  <c r="AK185" i="20"/>
  <c r="D185" i="20"/>
  <c r="K185" i="20" s="1"/>
  <c r="AK184" i="20"/>
  <c r="K184" i="20"/>
  <c r="D184" i="20"/>
  <c r="AK183" i="20"/>
  <c r="K183" i="20"/>
  <c r="D183" i="20"/>
  <c r="AK182" i="20"/>
  <c r="K182" i="20"/>
  <c r="D182" i="20"/>
  <c r="AK181" i="20"/>
  <c r="D181" i="20"/>
  <c r="K181" i="20" s="1"/>
  <c r="AK180" i="20"/>
  <c r="K180" i="20"/>
  <c r="D180" i="20"/>
  <c r="AK179" i="20"/>
  <c r="K179" i="20"/>
  <c r="D179" i="20"/>
  <c r="AK178" i="20"/>
  <c r="D178" i="20"/>
  <c r="AK177" i="20"/>
  <c r="D177" i="20"/>
  <c r="K177" i="20" s="1"/>
  <c r="AK176" i="20"/>
  <c r="D176" i="20"/>
  <c r="K176" i="20" s="1"/>
  <c r="AK175" i="20"/>
  <c r="D175" i="20"/>
  <c r="K175" i="20" s="1"/>
  <c r="AK174" i="20"/>
  <c r="K174" i="20"/>
  <c r="D174" i="20"/>
  <c r="AK173" i="20"/>
  <c r="D173" i="20"/>
  <c r="K173" i="20" s="1"/>
  <c r="AK172" i="20"/>
  <c r="K172" i="20"/>
  <c r="D172" i="20"/>
  <c r="AK171" i="20"/>
  <c r="D171" i="20"/>
  <c r="K171" i="20" s="1"/>
  <c r="AK170" i="20"/>
  <c r="D170" i="20"/>
  <c r="K170" i="20" s="1"/>
  <c r="AK169" i="20"/>
  <c r="D169" i="20"/>
  <c r="K169" i="20" s="1"/>
  <c r="AK168" i="20"/>
  <c r="D168" i="20"/>
  <c r="K168" i="20" s="1"/>
  <c r="AK167" i="20"/>
  <c r="D167" i="20"/>
  <c r="K167" i="20" s="1"/>
  <c r="AK166" i="20"/>
  <c r="D166" i="20"/>
  <c r="AK165" i="20"/>
  <c r="D165" i="20"/>
  <c r="K165" i="20" s="1"/>
  <c r="AK164" i="20"/>
  <c r="D164" i="20"/>
  <c r="K164" i="20" s="1"/>
  <c r="AK163" i="20"/>
  <c r="D163" i="20"/>
  <c r="AK162" i="20"/>
  <c r="K162" i="20"/>
  <c r="D162" i="20"/>
  <c r="AK161" i="20"/>
  <c r="D161" i="20"/>
  <c r="AK160" i="20"/>
  <c r="K160" i="20"/>
  <c r="D160" i="20"/>
  <c r="AK159" i="20"/>
  <c r="K159" i="20"/>
  <c r="D159" i="20"/>
  <c r="AK158" i="20"/>
  <c r="K158" i="20"/>
  <c r="D158" i="20"/>
  <c r="AK157" i="20"/>
  <c r="H157" i="20"/>
  <c r="D157" i="20"/>
  <c r="K157" i="20" s="1"/>
  <c r="AK156" i="20"/>
  <c r="D156" i="20"/>
  <c r="K156" i="20" s="1"/>
  <c r="AK155" i="20"/>
  <c r="K155" i="20"/>
  <c r="D155" i="20"/>
  <c r="AK154" i="20"/>
  <c r="K154" i="20"/>
  <c r="D154" i="20"/>
  <c r="AK153" i="20"/>
  <c r="D153" i="20"/>
  <c r="K153" i="20" s="1"/>
  <c r="AK152" i="20"/>
  <c r="D152" i="20"/>
  <c r="K152" i="20" s="1"/>
  <c r="AK151" i="20"/>
  <c r="K151" i="20"/>
  <c r="D151" i="20"/>
  <c r="AK150" i="20"/>
  <c r="K150" i="20"/>
  <c r="D150" i="20"/>
  <c r="AK149" i="20"/>
  <c r="K149" i="20"/>
  <c r="D149" i="20"/>
  <c r="AK148" i="20"/>
  <c r="K148" i="20"/>
  <c r="D148" i="20"/>
  <c r="AK147" i="20"/>
  <c r="D147" i="20"/>
  <c r="K147" i="20" s="1"/>
  <c r="AK146" i="20"/>
  <c r="D146" i="20"/>
  <c r="K146" i="20" s="1"/>
  <c r="AK145" i="20"/>
  <c r="D145" i="20"/>
  <c r="K145" i="20" s="1"/>
  <c r="AK144" i="20"/>
  <c r="D144" i="20"/>
  <c r="K144" i="20" s="1"/>
  <c r="AK143" i="20"/>
  <c r="D143" i="20"/>
  <c r="K143" i="20" s="1"/>
  <c r="AK142" i="20"/>
  <c r="K142" i="20"/>
  <c r="D142" i="20"/>
  <c r="AK141" i="20"/>
  <c r="D141" i="20"/>
  <c r="K141" i="20" s="1"/>
  <c r="AK140" i="20"/>
  <c r="K140" i="20"/>
  <c r="D140" i="20"/>
  <c r="AK139" i="20"/>
  <c r="K139" i="20"/>
  <c r="D139" i="20"/>
  <c r="AK138" i="20"/>
  <c r="K138" i="20"/>
  <c r="D138" i="20"/>
  <c r="AK137" i="20"/>
  <c r="K137" i="20"/>
  <c r="D137" i="20"/>
  <c r="AK136" i="20"/>
  <c r="K136" i="20"/>
  <c r="D136" i="20"/>
  <c r="AK135" i="20"/>
  <c r="D135" i="20"/>
  <c r="K135" i="20" s="1"/>
  <c r="AK134" i="20"/>
  <c r="D134" i="20"/>
  <c r="K134" i="20" s="1"/>
  <c r="AK133" i="20"/>
  <c r="D133" i="20"/>
  <c r="AK132" i="20"/>
  <c r="D132" i="20"/>
  <c r="K132" i="20" s="1"/>
  <c r="AK131" i="20"/>
  <c r="D131" i="20"/>
  <c r="K131" i="20" s="1"/>
  <c r="AK130" i="20"/>
  <c r="D130" i="20"/>
  <c r="K130" i="20" s="1"/>
  <c r="AK129" i="20"/>
  <c r="D129" i="20"/>
  <c r="K129" i="20" s="1"/>
  <c r="AK128" i="20"/>
  <c r="K128" i="20"/>
  <c r="D128" i="20"/>
  <c r="AK127" i="20"/>
  <c r="D127" i="20"/>
  <c r="K127" i="20" s="1"/>
  <c r="AK126" i="20"/>
  <c r="D126" i="20"/>
  <c r="K126" i="20" s="1"/>
  <c r="AK125" i="20"/>
  <c r="K125" i="20"/>
  <c r="D125" i="20"/>
  <c r="AK124" i="20"/>
  <c r="D124" i="20"/>
  <c r="K124" i="20" s="1"/>
  <c r="AK123" i="20"/>
  <c r="D123" i="20"/>
  <c r="AK122" i="20"/>
  <c r="K122" i="20"/>
  <c r="D122" i="20"/>
  <c r="AK121" i="20"/>
  <c r="D121" i="20"/>
  <c r="AK120" i="20"/>
  <c r="K120" i="20"/>
  <c r="D120" i="20"/>
  <c r="AK119" i="20"/>
  <c r="D119" i="20"/>
  <c r="K119" i="20" s="1"/>
  <c r="AK118" i="20"/>
  <c r="D118" i="20"/>
  <c r="K118" i="20" s="1"/>
  <c r="AK117" i="20"/>
  <c r="K117" i="20"/>
  <c r="D117" i="20"/>
  <c r="AK116" i="20"/>
  <c r="D116" i="20"/>
  <c r="AK115" i="20"/>
  <c r="K115" i="20"/>
  <c r="D115" i="20"/>
  <c r="AK114" i="20"/>
  <c r="K114" i="20"/>
  <c r="D114" i="20"/>
  <c r="AK113" i="20"/>
  <c r="K113" i="20"/>
  <c r="D113" i="20"/>
  <c r="AK112" i="20"/>
  <c r="D112" i="20"/>
  <c r="K112" i="20" s="1"/>
  <c r="AK111" i="20"/>
  <c r="D111" i="20"/>
  <c r="K111" i="20" s="1"/>
  <c r="AK110" i="20"/>
  <c r="D110" i="20"/>
  <c r="K110" i="20" s="1"/>
  <c r="AK109" i="20"/>
  <c r="D109" i="20"/>
  <c r="K109" i="20" s="1"/>
  <c r="AK108" i="20"/>
  <c r="D108" i="20"/>
  <c r="K108" i="20" s="1"/>
  <c r="AK107" i="20"/>
  <c r="D107" i="20"/>
  <c r="K107" i="20" s="1"/>
  <c r="AK106" i="20"/>
  <c r="D106" i="20"/>
  <c r="K106" i="20" s="1"/>
  <c r="AK105" i="20"/>
  <c r="D105" i="20"/>
  <c r="K105" i="20" s="1"/>
  <c r="AK104" i="20"/>
  <c r="K104" i="20"/>
  <c r="D104" i="20"/>
  <c r="AK103" i="20"/>
  <c r="D103" i="20"/>
  <c r="K103" i="20" s="1"/>
  <c r="AK102" i="20"/>
  <c r="K102" i="20"/>
  <c r="D102" i="20"/>
  <c r="AK101" i="20"/>
  <c r="K101" i="20"/>
  <c r="D101" i="20"/>
  <c r="AK100" i="20"/>
  <c r="K100" i="20"/>
  <c r="D100" i="20"/>
  <c r="AK99" i="20"/>
  <c r="K99" i="20"/>
  <c r="D99" i="20"/>
  <c r="AK98" i="20"/>
  <c r="K98" i="20"/>
  <c r="D98" i="20"/>
  <c r="AK97" i="20"/>
  <c r="D97" i="20"/>
  <c r="K97" i="20" s="1"/>
  <c r="AK96" i="20"/>
  <c r="D96" i="20"/>
  <c r="K96" i="20" s="1"/>
  <c r="AK95" i="20"/>
  <c r="K95" i="20"/>
  <c r="D95" i="20"/>
  <c r="AK94" i="20"/>
  <c r="K94" i="20"/>
  <c r="D94" i="20"/>
  <c r="AK93" i="20"/>
  <c r="K93" i="20"/>
  <c r="D93" i="20"/>
  <c r="AK92" i="20"/>
  <c r="K92" i="20"/>
  <c r="D92" i="20"/>
  <c r="AK91" i="20"/>
  <c r="D91" i="20"/>
  <c r="K91" i="20" s="1"/>
  <c r="AK90" i="20"/>
  <c r="K90" i="20"/>
  <c r="D90" i="20"/>
  <c r="AK89" i="20"/>
  <c r="D89" i="20"/>
  <c r="K89" i="20" s="1"/>
  <c r="AK88" i="20"/>
  <c r="D88" i="20"/>
  <c r="AK87" i="20"/>
  <c r="K87" i="20"/>
  <c r="D87" i="20"/>
  <c r="AK86" i="20"/>
  <c r="K86" i="20"/>
  <c r="D86" i="20"/>
  <c r="AK85" i="20"/>
  <c r="D85" i="20"/>
  <c r="K85" i="20" s="1"/>
  <c r="AK84" i="20"/>
  <c r="D84" i="20"/>
  <c r="K84" i="20" s="1"/>
  <c r="AK83" i="20"/>
  <c r="D83" i="20"/>
  <c r="K83" i="20" s="1"/>
  <c r="AK82" i="20"/>
  <c r="D82" i="20"/>
  <c r="K82" i="20" s="1"/>
  <c r="AK81" i="20"/>
  <c r="D81" i="20"/>
  <c r="K81" i="20" s="1"/>
  <c r="AK80" i="20"/>
  <c r="D80" i="20"/>
  <c r="K80" i="20" s="1"/>
  <c r="AK79" i="20"/>
  <c r="K79" i="20"/>
  <c r="D79" i="20"/>
  <c r="AK78" i="20"/>
  <c r="D78" i="20"/>
  <c r="AK77" i="20"/>
  <c r="D77" i="20"/>
  <c r="K77" i="20" s="1"/>
  <c r="AK76" i="20"/>
  <c r="D76" i="20"/>
  <c r="K76" i="20" s="1"/>
  <c r="AK75" i="20"/>
  <c r="K75" i="20"/>
  <c r="D75" i="20"/>
  <c r="AK74" i="20"/>
  <c r="K74" i="20"/>
  <c r="D74" i="20"/>
  <c r="AK73" i="20"/>
  <c r="K73" i="20"/>
  <c r="D73" i="20"/>
  <c r="AK72" i="20"/>
  <c r="D72" i="20"/>
  <c r="K72" i="20" s="1"/>
  <c r="AK71" i="20"/>
  <c r="K71" i="20"/>
  <c r="D71" i="20"/>
  <c r="AK70" i="20"/>
  <c r="K70" i="20"/>
  <c r="D70" i="20"/>
  <c r="AK69" i="20"/>
  <c r="D69" i="20"/>
  <c r="K69" i="20" s="1"/>
  <c r="AK68" i="20"/>
  <c r="X68" i="20"/>
  <c r="O68" i="20"/>
  <c r="D68" i="20"/>
  <c r="K68" i="20" s="1"/>
  <c r="AK67" i="20"/>
  <c r="X67" i="20"/>
  <c r="O67" i="20"/>
  <c r="K67" i="20"/>
  <c r="D67" i="20"/>
  <c r="AK66" i="20"/>
  <c r="X66" i="20"/>
  <c r="O66" i="20"/>
  <c r="D66" i="20"/>
  <c r="K66" i="20" s="1"/>
  <c r="AK65" i="20"/>
  <c r="X65" i="20"/>
  <c r="O65" i="20"/>
  <c r="D65" i="20"/>
  <c r="K65" i="20" s="1"/>
  <c r="AK64" i="20"/>
  <c r="X64" i="20"/>
  <c r="O64" i="20"/>
  <c r="D64" i="20"/>
  <c r="K64" i="20" s="1"/>
  <c r="AK63" i="20"/>
  <c r="X63" i="20"/>
  <c r="O63" i="20"/>
  <c r="D63" i="20"/>
  <c r="K63" i="20" s="1"/>
  <c r="AK62" i="20"/>
  <c r="X62" i="20"/>
  <c r="O62" i="20"/>
  <c r="D62" i="20"/>
  <c r="AK61" i="20"/>
  <c r="X61" i="20"/>
  <c r="O61" i="20"/>
  <c r="K61" i="20"/>
  <c r="D61" i="20"/>
  <c r="AK60" i="20"/>
  <c r="X60" i="20"/>
  <c r="O60" i="20"/>
  <c r="D60" i="20"/>
  <c r="AK59" i="20"/>
  <c r="X59" i="20"/>
  <c r="O59" i="20"/>
  <c r="K59" i="20"/>
  <c r="D59" i="20"/>
  <c r="AK58" i="20"/>
  <c r="X58" i="20"/>
  <c r="O58" i="20"/>
  <c r="D58" i="20"/>
  <c r="AK57" i="20"/>
  <c r="X57" i="20"/>
  <c r="O57" i="20"/>
  <c r="D57" i="20"/>
  <c r="K57" i="20" s="1"/>
  <c r="AK56" i="20"/>
  <c r="AC56" i="20"/>
  <c r="AB56" i="20"/>
  <c r="X56" i="20"/>
  <c r="O56" i="20"/>
  <c r="D56" i="20"/>
  <c r="K56" i="20" s="1"/>
  <c r="AK55" i="20"/>
  <c r="AC55" i="20"/>
  <c r="AB55" i="20"/>
  <c r="AD55" i="20" s="1"/>
  <c r="X55" i="20"/>
  <c r="O55" i="20"/>
  <c r="D55" i="20"/>
  <c r="AK54" i="20"/>
  <c r="X54" i="20"/>
  <c r="O54" i="20"/>
  <c r="D54" i="20"/>
  <c r="K54" i="20" s="1"/>
  <c r="AK53" i="20"/>
  <c r="X53" i="20"/>
  <c r="O53" i="20"/>
  <c r="D53" i="20"/>
  <c r="K53" i="20" s="1"/>
  <c r="AK52" i="20"/>
  <c r="X52" i="20"/>
  <c r="O52" i="20"/>
  <c r="D52" i="20"/>
  <c r="AK51" i="20"/>
  <c r="X51" i="20"/>
  <c r="O51" i="20"/>
  <c r="D51" i="20"/>
  <c r="AK50" i="20"/>
  <c r="X50" i="20"/>
  <c r="O50" i="20"/>
  <c r="D50" i="20"/>
  <c r="AK49" i="20"/>
  <c r="X49" i="20"/>
  <c r="O49" i="20"/>
  <c r="D49" i="20"/>
  <c r="AK48" i="20"/>
  <c r="X48" i="20"/>
  <c r="O48" i="20"/>
  <c r="D48" i="20"/>
  <c r="K48" i="20" s="1"/>
  <c r="AK47" i="20"/>
  <c r="X47" i="20"/>
  <c r="O47" i="20"/>
  <c r="D47" i="20"/>
  <c r="K47" i="20" s="1"/>
  <c r="AK46" i="20"/>
  <c r="X46" i="20"/>
  <c r="O46" i="20"/>
  <c r="K46" i="20"/>
  <c r="D46" i="20"/>
  <c r="AK45" i="20"/>
  <c r="X45" i="20"/>
  <c r="O45" i="20"/>
  <c r="D45" i="20"/>
  <c r="AK44" i="20"/>
  <c r="X44" i="20"/>
  <c r="O44" i="20"/>
  <c r="D44" i="20"/>
  <c r="AK43" i="20"/>
  <c r="X43" i="20"/>
  <c r="O43" i="20"/>
  <c r="K43" i="20"/>
  <c r="D43" i="20"/>
  <c r="AK42" i="20"/>
  <c r="X42" i="20"/>
  <c r="O42" i="20"/>
  <c r="D42" i="20"/>
  <c r="K42" i="20" s="1"/>
  <c r="AK41" i="20"/>
  <c r="X41" i="20"/>
  <c r="O41" i="20"/>
  <c r="D41" i="20"/>
  <c r="K41" i="20" s="1"/>
  <c r="AK40" i="20"/>
  <c r="X40" i="20"/>
  <c r="O40" i="20"/>
  <c r="D40" i="20"/>
  <c r="K40" i="20" s="1"/>
  <c r="AK39" i="20"/>
  <c r="X39" i="20"/>
  <c r="O39" i="20"/>
  <c r="D39" i="20"/>
  <c r="K39" i="20" s="1"/>
  <c r="AK38" i="20"/>
  <c r="X38" i="20"/>
  <c r="O38" i="20"/>
  <c r="D38" i="20"/>
  <c r="K38" i="20" s="1"/>
  <c r="AK37" i="20"/>
  <c r="X37" i="20"/>
  <c r="O37" i="20"/>
  <c r="D37" i="20"/>
  <c r="AK36" i="20"/>
  <c r="AD36" i="20"/>
  <c r="AC36" i="20"/>
  <c r="AB36" i="20"/>
  <c r="X36" i="20"/>
  <c r="O36" i="20"/>
  <c r="K36" i="20"/>
  <c r="D36" i="20"/>
  <c r="AK35" i="20"/>
  <c r="X35" i="20"/>
  <c r="O35" i="20"/>
  <c r="K35" i="20"/>
  <c r="D35" i="20"/>
  <c r="AK34" i="20"/>
  <c r="X34" i="20"/>
  <c r="O34" i="20"/>
  <c r="D34" i="20"/>
  <c r="K34" i="20" s="1"/>
  <c r="AK33" i="20"/>
  <c r="X33" i="20"/>
  <c r="O33" i="20"/>
  <c r="D33" i="20"/>
  <c r="K33" i="20" s="1"/>
  <c r="AK32" i="20"/>
  <c r="X32" i="20"/>
  <c r="O32" i="20"/>
  <c r="D32" i="20"/>
  <c r="AK31" i="20"/>
  <c r="X31" i="20"/>
  <c r="O31" i="20"/>
  <c r="D31" i="20"/>
  <c r="K31" i="20" s="1"/>
  <c r="AK30" i="20"/>
  <c r="X30" i="20"/>
  <c r="O30" i="20"/>
  <c r="D30" i="20"/>
  <c r="AK29" i="20"/>
  <c r="X29" i="20"/>
  <c r="O29" i="20"/>
  <c r="K29" i="20"/>
  <c r="D29" i="20"/>
  <c r="AK28" i="20"/>
  <c r="X28" i="20"/>
  <c r="O28" i="20"/>
  <c r="D28" i="20"/>
  <c r="AK27" i="20"/>
  <c r="X27" i="20"/>
  <c r="O27" i="20"/>
  <c r="D27" i="20"/>
  <c r="AK26" i="20"/>
  <c r="X26" i="20"/>
  <c r="O26" i="20"/>
  <c r="D26" i="20"/>
  <c r="AK25" i="20"/>
  <c r="X25" i="20"/>
  <c r="O25" i="20"/>
  <c r="D25" i="20"/>
  <c r="K25" i="20" s="1"/>
  <c r="AK24" i="20"/>
  <c r="X24" i="20"/>
  <c r="O24" i="20"/>
  <c r="K24" i="20"/>
  <c r="D24" i="20"/>
  <c r="AK23" i="20"/>
  <c r="X23" i="20"/>
  <c r="O23" i="20"/>
  <c r="K23" i="20"/>
  <c r="D23" i="20"/>
  <c r="AK22" i="20"/>
  <c r="X22" i="20"/>
  <c r="O22" i="20"/>
  <c r="D22" i="20"/>
  <c r="AK21" i="20"/>
  <c r="X21" i="20"/>
  <c r="O21" i="20"/>
  <c r="D21" i="20"/>
  <c r="AK20" i="20"/>
  <c r="X20" i="20"/>
  <c r="O20" i="20"/>
  <c r="D20" i="20"/>
  <c r="AK19" i="20"/>
  <c r="X19" i="20"/>
  <c r="O19" i="20"/>
  <c r="D19" i="20"/>
  <c r="AK18" i="20"/>
  <c r="X18" i="20"/>
  <c r="O18" i="20"/>
  <c r="D18" i="20"/>
  <c r="K18" i="20" s="1"/>
  <c r="AK17" i="20"/>
  <c r="X17" i="20"/>
  <c r="O17" i="20"/>
  <c r="D17" i="20"/>
  <c r="AK16" i="20"/>
  <c r="X16" i="20"/>
  <c r="O16" i="20"/>
  <c r="D16" i="20"/>
  <c r="K16" i="20" s="1"/>
  <c r="AK15" i="20"/>
  <c r="X15" i="20"/>
  <c r="O15" i="20"/>
  <c r="D15" i="20"/>
  <c r="AK14" i="20"/>
  <c r="X14" i="20"/>
  <c r="O14" i="20"/>
  <c r="D14" i="20"/>
  <c r="AK13" i="20"/>
  <c r="AC13" i="20"/>
  <c r="AB13" i="20"/>
  <c r="X13" i="20"/>
  <c r="O13" i="20"/>
  <c r="D13" i="20"/>
  <c r="K13" i="20" s="1"/>
  <c r="AK12" i="20"/>
  <c r="AC12" i="20"/>
  <c r="AB12" i="20"/>
  <c r="X12" i="20"/>
  <c r="O12" i="20"/>
  <c r="D12" i="20"/>
  <c r="AK11" i="20"/>
  <c r="AB11" i="20"/>
  <c r="X11" i="20"/>
  <c r="O11" i="20"/>
  <c r="D11" i="20"/>
  <c r="K11" i="20" s="1"/>
  <c r="AK10" i="20"/>
  <c r="X10" i="20"/>
  <c r="O10" i="20"/>
  <c r="D10" i="20"/>
  <c r="K10" i="20" s="1"/>
  <c r="AK9" i="20"/>
  <c r="X9" i="20"/>
  <c r="O9" i="20"/>
  <c r="D9" i="20"/>
  <c r="X8" i="20"/>
  <c r="O8" i="20"/>
  <c r="G8" i="20"/>
  <c r="J8" i="20" s="1"/>
  <c r="D8" i="20"/>
  <c r="K8" i="20" s="1"/>
  <c r="X7" i="20"/>
  <c r="O7" i="20"/>
  <c r="M7" i="20"/>
  <c r="G7" i="20"/>
  <c r="J7" i="20" s="1"/>
  <c r="D7" i="20"/>
  <c r="K7" i="20" s="1"/>
  <c r="X6" i="20"/>
  <c r="O6" i="20"/>
  <c r="J6" i="20"/>
  <c r="G6" i="20"/>
  <c r="M6" i="20" s="1"/>
  <c r="D6" i="20"/>
  <c r="K6" i="20" s="1"/>
  <c r="X5" i="20"/>
  <c r="O5" i="20"/>
  <c r="M5" i="20"/>
  <c r="J5" i="20"/>
  <c r="G5" i="20"/>
  <c r="D5" i="20"/>
  <c r="K5" i="20" s="1"/>
  <c r="X4" i="20"/>
  <c r="O4" i="20"/>
  <c r="N4" i="20"/>
  <c r="M4" i="20"/>
  <c r="K4" i="20"/>
  <c r="G4" i="20"/>
  <c r="J4" i="20" s="1"/>
  <c r="X3" i="20"/>
  <c r="O3" i="20"/>
  <c r="N3" i="20"/>
  <c r="K3" i="20"/>
  <c r="J3" i="20"/>
  <c r="G3" i="20"/>
  <c r="M3" i="20" s="1"/>
  <c r="X2" i="20"/>
  <c r="O2" i="20"/>
  <c r="N2" i="20"/>
  <c r="K2" i="20"/>
  <c r="G2" i="20"/>
  <c r="AN823" i="19"/>
  <c r="AN822" i="19"/>
  <c r="AN821" i="19"/>
  <c r="AN820" i="19"/>
  <c r="AN819" i="19"/>
  <c r="AN818" i="19"/>
  <c r="AN817" i="19"/>
  <c r="AN816" i="19"/>
  <c r="AN815" i="19"/>
  <c r="AN814" i="19"/>
  <c r="AN813" i="19"/>
  <c r="AN812" i="19"/>
  <c r="AN811" i="19"/>
  <c r="AN810" i="19"/>
  <c r="AN809" i="19"/>
  <c r="AN808" i="19"/>
  <c r="AN807" i="19"/>
  <c r="AN806" i="19"/>
  <c r="AN805" i="19"/>
  <c r="AN804" i="19"/>
  <c r="AN803" i="19"/>
  <c r="AN802" i="19"/>
  <c r="AN801" i="19"/>
  <c r="AN800" i="19"/>
  <c r="AN799" i="19"/>
  <c r="AN798" i="19"/>
  <c r="AN797" i="19"/>
  <c r="AN796" i="19"/>
  <c r="AN795" i="19"/>
  <c r="AN794" i="19"/>
  <c r="AN793" i="19"/>
  <c r="AN792" i="19"/>
  <c r="AN791" i="19"/>
  <c r="AN790" i="19"/>
  <c r="AN789" i="19"/>
  <c r="AN788" i="19"/>
  <c r="AN787" i="19"/>
  <c r="AN786" i="19"/>
  <c r="AN785" i="19"/>
  <c r="AN784" i="19"/>
  <c r="AN783" i="19"/>
  <c r="AN782" i="19"/>
  <c r="AN781" i="19"/>
  <c r="AN780" i="19"/>
  <c r="AN779" i="19"/>
  <c r="AN778" i="19"/>
  <c r="AN777" i="19"/>
  <c r="AN776" i="19"/>
  <c r="AN775" i="19"/>
  <c r="AN774" i="19"/>
  <c r="AN773" i="19"/>
  <c r="AN772" i="19"/>
  <c r="AN771" i="19"/>
  <c r="AN770" i="19"/>
  <c r="AN769" i="19"/>
  <c r="AN768" i="19"/>
  <c r="AN767" i="19"/>
  <c r="AN766" i="19"/>
  <c r="G766" i="19"/>
  <c r="J766" i="19" s="1"/>
  <c r="AN765" i="19"/>
  <c r="AN764" i="19"/>
  <c r="AN763" i="19"/>
  <c r="AN762" i="19"/>
  <c r="AN761" i="19"/>
  <c r="AN760" i="19"/>
  <c r="AN759" i="19"/>
  <c r="AN758" i="19"/>
  <c r="AN757" i="19"/>
  <c r="AN756" i="19"/>
  <c r="AN755" i="19"/>
  <c r="AN754" i="19"/>
  <c r="AN753" i="19"/>
  <c r="AN752" i="19"/>
  <c r="AN751" i="19"/>
  <c r="AN750" i="19"/>
  <c r="AN749" i="19"/>
  <c r="AN748" i="19"/>
  <c r="AN747" i="19"/>
  <c r="AN746" i="19"/>
  <c r="AN745" i="19"/>
  <c r="AN744" i="19"/>
  <c r="AN743" i="19"/>
  <c r="AN742" i="19"/>
  <c r="AN741" i="19"/>
  <c r="AN740" i="19"/>
  <c r="AN739" i="19"/>
  <c r="AN738" i="19"/>
  <c r="AN737" i="19"/>
  <c r="AN736" i="19"/>
  <c r="AN735" i="19"/>
  <c r="AN734" i="19"/>
  <c r="AN733" i="19"/>
  <c r="AN732" i="19"/>
  <c r="AN731" i="19"/>
  <c r="AN730" i="19"/>
  <c r="AN729" i="19"/>
  <c r="AN728" i="19"/>
  <c r="AN727" i="19"/>
  <c r="AN726" i="19"/>
  <c r="AN725" i="19"/>
  <c r="AN724" i="19"/>
  <c r="AN723" i="19"/>
  <c r="AN722" i="19"/>
  <c r="AN721" i="19"/>
  <c r="AN720" i="19"/>
  <c r="AN719" i="19"/>
  <c r="AN718" i="19"/>
  <c r="AN717" i="19"/>
  <c r="AN716" i="19"/>
  <c r="AN715" i="19"/>
  <c r="AN714" i="19"/>
  <c r="AN713" i="19"/>
  <c r="AN712" i="19"/>
  <c r="AN711" i="19"/>
  <c r="AN710" i="19"/>
  <c r="AN709" i="19"/>
  <c r="AN708" i="19"/>
  <c r="AN707" i="19"/>
  <c r="AN706" i="19"/>
  <c r="AN705" i="19"/>
  <c r="AN704" i="19"/>
  <c r="AN703" i="19"/>
  <c r="AN702" i="19"/>
  <c r="AN701" i="19"/>
  <c r="AN700" i="19"/>
  <c r="AN699" i="19"/>
  <c r="AN698" i="19"/>
  <c r="AN697" i="19"/>
  <c r="AN696" i="19"/>
  <c r="AN695" i="19"/>
  <c r="AN694" i="19"/>
  <c r="AN693" i="19"/>
  <c r="AN692" i="19"/>
  <c r="AN691" i="19"/>
  <c r="AN690" i="19"/>
  <c r="AN689" i="19"/>
  <c r="AN688" i="19"/>
  <c r="AN687" i="19"/>
  <c r="AN686" i="19"/>
  <c r="AN685" i="19"/>
  <c r="AN684" i="19"/>
  <c r="AN683" i="19"/>
  <c r="AN682" i="19"/>
  <c r="AN681" i="19"/>
  <c r="AN680" i="19"/>
  <c r="AN679" i="19"/>
  <c r="AN678" i="19"/>
  <c r="AN677" i="19"/>
  <c r="AN676" i="19"/>
  <c r="AN675" i="19"/>
  <c r="AN674" i="19"/>
  <c r="AN673" i="19"/>
  <c r="AN672" i="19"/>
  <c r="AN671" i="19"/>
  <c r="AN670" i="19"/>
  <c r="AN669" i="19"/>
  <c r="AN668" i="19"/>
  <c r="AN667" i="19"/>
  <c r="AN666" i="19"/>
  <c r="AN665" i="19"/>
  <c r="AN664" i="19"/>
  <c r="AN663" i="19"/>
  <c r="AN662" i="19"/>
  <c r="AN661" i="19"/>
  <c r="AN660" i="19"/>
  <c r="AN659" i="19"/>
  <c r="AN658" i="19"/>
  <c r="AN657" i="19"/>
  <c r="AN656" i="19"/>
  <c r="AN655" i="19"/>
  <c r="AN654" i="19"/>
  <c r="AN653" i="19"/>
  <c r="AN652" i="19"/>
  <c r="AN651" i="19"/>
  <c r="AN650" i="19"/>
  <c r="AN649" i="19"/>
  <c r="AN648" i="19"/>
  <c r="AN647" i="19"/>
  <c r="AN646" i="19"/>
  <c r="AN645" i="19"/>
  <c r="AN644" i="19"/>
  <c r="AN643" i="19"/>
  <c r="AN642" i="19"/>
  <c r="AN641" i="19"/>
  <c r="AN640" i="19"/>
  <c r="AN639" i="19"/>
  <c r="AN638" i="19"/>
  <c r="AN637" i="19"/>
  <c r="AN636" i="19"/>
  <c r="AN635" i="19"/>
  <c r="AN634" i="19"/>
  <c r="AN633" i="19"/>
  <c r="AN632" i="19"/>
  <c r="AN631" i="19"/>
  <c r="AN630" i="19"/>
  <c r="G630" i="19"/>
  <c r="J630" i="19" s="1"/>
  <c r="AN629" i="19"/>
  <c r="AN628" i="19"/>
  <c r="AN627" i="19"/>
  <c r="AN626" i="19"/>
  <c r="AN625" i="19"/>
  <c r="AN624" i="19"/>
  <c r="AN623" i="19"/>
  <c r="AN622" i="19"/>
  <c r="AN621" i="19"/>
  <c r="AN620" i="19"/>
  <c r="AN619" i="19"/>
  <c r="AN618" i="19"/>
  <c r="AN617" i="19"/>
  <c r="AN616" i="19"/>
  <c r="AN615" i="19"/>
  <c r="AN614" i="19"/>
  <c r="AN613" i="19"/>
  <c r="AN612" i="19"/>
  <c r="AN611" i="19"/>
  <c r="AN610" i="19"/>
  <c r="AN609" i="19"/>
  <c r="AN608" i="19"/>
  <c r="AN607" i="19"/>
  <c r="AN606" i="19"/>
  <c r="AN605" i="19"/>
  <c r="AN604" i="19"/>
  <c r="AN603" i="19"/>
  <c r="AN602" i="19"/>
  <c r="AN601" i="19"/>
  <c r="AN600" i="19"/>
  <c r="AN599" i="19"/>
  <c r="AN598" i="19"/>
  <c r="AN597" i="19"/>
  <c r="AN596" i="19"/>
  <c r="AN595" i="19"/>
  <c r="AN594" i="19"/>
  <c r="AN593" i="19"/>
  <c r="AN592" i="19"/>
  <c r="AN591" i="19"/>
  <c r="AN590" i="19"/>
  <c r="AN589" i="19"/>
  <c r="AN588" i="19"/>
  <c r="AN587" i="19"/>
  <c r="AN586" i="19"/>
  <c r="AN585" i="19"/>
  <c r="AN584" i="19"/>
  <c r="AN583" i="19"/>
  <c r="AN582" i="19"/>
  <c r="AN581" i="19"/>
  <c r="AN580" i="19"/>
  <c r="AN579" i="19"/>
  <c r="AN578" i="19"/>
  <c r="AN577" i="19"/>
  <c r="AN576" i="19"/>
  <c r="AN575" i="19"/>
  <c r="AN574" i="19"/>
  <c r="G574" i="19"/>
  <c r="J574" i="19" s="1"/>
  <c r="F574" i="19"/>
  <c r="AN573" i="19"/>
  <c r="AN572" i="19"/>
  <c r="AN571" i="19"/>
  <c r="AN570" i="19"/>
  <c r="AN569" i="19"/>
  <c r="AN568" i="19"/>
  <c r="AN567" i="19"/>
  <c r="AN566" i="19"/>
  <c r="AN565" i="19"/>
  <c r="AN564" i="19"/>
  <c r="AN563" i="19"/>
  <c r="AN562" i="19"/>
  <c r="AN561" i="19"/>
  <c r="AN560" i="19"/>
  <c r="AN559" i="19"/>
  <c r="AN558" i="19"/>
  <c r="AN557" i="19"/>
  <c r="AN556" i="19"/>
  <c r="AN555" i="19"/>
  <c r="AN554" i="19"/>
  <c r="AN553" i="19"/>
  <c r="AN552" i="19"/>
  <c r="AN551" i="19"/>
  <c r="AN550" i="19"/>
  <c r="F550" i="19"/>
  <c r="AN549" i="19"/>
  <c r="AN548" i="19"/>
  <c r="AN547" i="19"/>
  <c r="AN546" i="19"/>
  <c r="AN545" i="19"/>
  <c r="AN544" i="19"/>
  <c r="AN543" i="19"/>
  <c r="AN542" i="19"/>
  <c r="AN541" i="19"/>
  <c r="AN540" i="19"/>
  <c r="AN539" i="19"/>
  <c r="AN538" i="19"/>
  <c r="AN537" i="19"/>
  <c r="AN536" i="19"/>
  <c r="AN535" i="19"/>
  <c r="AN534" i="19"/>
  <c r="AN533" i="19"/>
  <c r="AN532" i="19"/>
  <c r="AN531" i="19"/>
  <c r="AN530" i="19"/>
  <c r="AN529" i="19"/>
  <c r="AN528" i="19"/>
  <c r="AN527" i="19"/>
  <c r="AN526" i="19"/>
  <c r="AN525" i="19"/>
  <c r="AN524" i="19"/>
  <c r="AN523" i="19"/>
  <c r="AN522" i="19"/>
  <c r="AN521" i="19"/>
  <c r="AN520" i="19"/>
  <c r="AN519" i="19"/>
  <c r="AN518" i="19"/>
  <c r="F518" i="19"/>
  <c r="AN517" i="19"/>
  <c r="AN516" i="19"/>
  <c r="AN515" i="19"/>
  <c r="AN514" i="19"/>
  <c r="AN513" i="19"/>
  <c r="AN512" i="19"/>
  <c r="AN511" i="19"/>
  <c r="AN510" i="19"/>
  <c r="AN509" i="19"/>
  <c r="AN508" i="19"/>
  <c r="AN507" i="19"/>
  <c r="AN506" i="19"/>
  <c r="AN505" i="19"/>
  <c r="AN504" i="19"/>
  <c r="AN503" i="19"/>
  <c r="AN502" i="19"/>
  <c r="AN501" i="19"/>
  <c r="AN500" i="19"/>
  <c r="AN499" i="19"/>
  <c r="AN498" i="19"/>
  <c r="AN497" i="19"/>
  <c r="AN496" i="19"/>
  <c r="AN495" i="19"/>
  <c r="AN494" i="19"/>
  <c r="AN493" i="19"/>
  <c r="AN492" i="19"/>
  <c r="AN491" i="19"/>
  <c r="AN490" i="19"/>
  <c r="AN489" i="19"/>
  <c r="AN488" i="19"/>
  <c r="AN487" i="19"/>
  <c r="AN486" i="19"/>
  <c r="AN485" i="19"/>
  <c r="AN484" i="19"/>
  <c r="AN483" i="19"/>
  <c r="AN482" i="19"/>
  <c r="AN481" i="19"/>
  <c r="AN480" i="19"/>
  <c r="AN479" i="19"/>
  <c r="AN478" i="19"/>
  <c r="AN477" i="19"/>
  <c r="AN476" i="19"/>
  <c r="AN475" i="19"/>
  <c r="AN474" i="19"/>
  <c r="AN473" i="19"/>
  <c r="AN472" i="19"/>
  <c r="AN471" i="19"/>
  <c r="AN470" i="19"/>
  <c r="AN469" i="19"/>
  <c r="AN468" i="19"/>
  <c r="AN467" i="19"/>
  <c r="AN466" i="19"/>
  <c r="AN465" i="19"/>
  <c r="AN464" i="19"/>
  <c r="G464" i="19"/>
  <c r="J464" i="19" s="1"/>
  <c r="AN463" i="19"/>
  <c r="AN462" i="19"/>
  <c r="AN461" i="19"/>
  <c r="AN460" i="19"/>
  <c r="AN459" i="19"/>
  <c r="AN458" i="19"/>
  <c r="AN457" i="19"/>
  <c r="AN456" i="19"/>
  <c r="AN455" i="19"/>
  <c r="AN454" i="19"/>
  <c r="AN453" i="19"/>
  <c r="AN452" i="19"/>
  <c r="AN451" i="19"/>
  <c r="AN450" i="19"/>
  <c r="AN449" i="19"/>
  <c r="AN448" i="19"/>
  <c r="AN447" i="19"/>
  <c r="AN446" i="19"/>
  <c r="AN445" i="19"/>
  <c r="AN444" i="19"/>
  <c r="AN443" i="19"/>
  <c r="AN442" i="19"/>
  <c r="AN441" i="19"/>
  <c r="AN440" i="19"/>
  <c r="AN439" i="19"/>
  <c r="AN438" i="19"/>
  <c r="AN437" i="19"/>
  <c r="AN436" i="19"/>
  <c r="AN435" i="19"/>
  <c r="AN434" i="19"/>
  <c r="AN433" i="19"/>
  <c r="AN432" i="19"/>
  <c r="AN431" i="19"/>
  <c r="AN430" i="19"/>
  <c r="AN429" i="19"/>
  <c r="AN428" i="19"/>
  <c r="AN427" i="19"/>
  <c r="AN426" i="19"/>
  <c r="AN425" i="19"/>
  <c r="AN424" i="19"/>
  <c r="AN423" i="19"/>
  <c r="AN422" i="19"/>
  <c r="AN421" i="19"/>
  <c r="AN420" i="19"/>
  <c r="AN419" i="19"/>
  <c r="AN418" i="19"/>
  <c r="AN417" i="19"/>
  <c r="AN416" i="19"/>
  <c r="AN415" i="19"/>
  <c r="AN414" i="19"/>
  <c r="G414" i="19"/>
  <c r="J414" i="19" s="1"/>
  <c r="AN413" i="19"/>
  <c r="AN412" i="19"/>
  <c r="AN411" i="19"/>
  <c r="AN410" i="19"/>
  <c r="AN409" i="19"/>
  <c r="AN408" i="19"/>
  <c r="AN407" i="19"/>
  <c r="AN406" i="19"/>
  <c r="AN405" i="19"/>
  <c r="AN404" i="19"/>
  <c r="AN403" i="19"/>
  <c r="AN402" i="19"/>
  <c r="AN401" i="19"/>
  <c r="AN400" i="19"/>
  <c r="AN399" i="19"/>
  <c r="AN398" i="19"/>
  <c r="AN397" i="19"/>
  <c r="AN396" i="19"/>
  <c r="AN395" i="19"/>
  <c r="AN394" i="19"/>
  <c r="AN393" i="19"/>
  <c r="AN392" i="19"/>
  <c r="AN391" i="19"/>
  <c r="AN390" i="19"/>
  <c r="AN389" i="19"/>
  <c r="AN388" i="19"/>
  <c r="AN387" i="19"/>
  <c r="AN386" i="19"/>
  <c r="AN385" i="19"/>
  <c r="AN384" i="19"/>
  <c r="F384" i="19"/>
  <c r="M384" i="19" s="1"/>
  <c r="AN383" i="19"/>
  <c r="AN382" i="19"/>
  <c r="AN381" i="19"/>
  <c r="AN380" i="19"/>
  <c r="G380" i="19"/>
  <c r="J380" i="19" s="1"/>
  <c r="AN379" i="19"/>
  <c r="AN378" i="19"/>
  <c r="AN377" i="19"/>
  <c r="AN376" i="19"/>
  <c r="AN375" i="19"/>
  <c r="AN374" i="19"/>
  <c r="AN373" i="19"/>
  <c r="AN372" i="19"/>
  <c r="AN371" i="19"/>
  <c r="AN370" i="19"/>
  <c r="AN369" i="19"/>
  <c r="AN368" i="19"/>
  <c r="AN367" i="19"/>
  <c r="AN366" i="19"/>
  <c r="AN365" i="19"/>
  <c r="AN364" i="19"/>
  <c r="AN363" i="19"/>
  <c r="AN362" i="19"/>
  <c r="AN361" i="19"/>
  <c r="AN360" i="19"/>
  <c r="AN359" i="19"/>
  <c r="AN358" i="19"/>
  <c r="AN357" i="19"/>
  <c r="AN356" i="19"/>
  <c r="AN355" i="19"/>
  <c r="AN354" i="19"/>
  <c r="AN353" i="19"/>
  <c r="AN352" i="19"/>
  <c r="AN351" i="19"/>
  <c r="AN350" i="19"/>
  <c r="AN349" i="19"/>
  <c r="AN348" i="19"/>
  <c r="AN347" i="19"/>
  <c r="AN346" i="19"/>
  <c r="AN345" i="19"/>
  <c r="AN344" i="19"/>
  <c r="G344" i="19"/>
  <c r="J344" i="19" s="1"/>
  <c r="AN343" i="19"/>
  <c r="AN342" i="19"/>
  <c r="AN341" i="19"/>
  <c r="AN340" i="19"/>
  <c r="AN339" i="19"/>
  <c r="AN338" i="19"/>
  <c r="AN337" i="19"/>
  <c r="AN336" i="19"/>
  <c r="AN335" i="19"/>
  <c r="AN334" i="19"/>
  <c r="AN333" i="19"/>
  <c r="AN332" i="19"/>
  <c r="AN331" i="19"/>
  <c r="AN330" i="19"/>
  <c r="AN329" i="19"/>
  <c r="AN328" i="19"/>
  <c r="AN327" i="19"/>
  <c r="AN326" i="19"/>
  <c r="AN325" i="19"/>
  <c r="AN324" i="19"/>
  <c r="AN323" i="19"/>
  <c r="AN322" i="19"/>
  <c r="AN321" i="19"/>
  <c r="AN320" i="19"/>
  <c r="AN319" i="19"/>
  <c r="AN318" i="19"/>
  <c r="AN317" i="19"/>
  <c r="AN316" i="19"/>
  <c r="AN315" i="19"/>
  <c r="AN314" i="19"/>
  <c r="AN313" i="19"/>
  <c r="AN312" i="19"/>
  <c r="AN311" i="19"/>
  <c r="AN310" i="19"/>
  <c r="AN309" i="19"/>
  <c r="A309" i="19"/>
  <c r="AN308" i="19"/>
  <c r="AN307" i="19"/>
  <c r="AN306" i="19"/>
  <c r="AN305" i="19"/>
  <c r="AN304" i="19"/>
  <c r="AN303" i="19"/>
  <c r="AN302" i="19"/>
  <c r="AN301" i="19"/>
  <c r="AN300" i="19"/>
  <c r="AN299" i="19"/>
  <c r="AN298" i="19"/>
  <c r="AN297" i="19"/>
  <c r="AN296" i="19"/>
  <c r="AN295" i="19"/>
  <c r="AN294" i="19"/>
  <c r="AN293" i="19"/>
  <c r="AN292" i="19"/>
  <c r="AN291" i="19"/>
  <c r="AN290" i="19"/>
  <c r="AN289" i="19"/>
  <c r="AN288" i="19"/>
  <c r="AN287" i="19"/>
  <c r="AN286" i="19"/>
  <c r="AN285" i="19"/>
  <c r="AN284" i="19"/>
  <c r="AN283" i="19"/>
  <c r="AN282" i="19"/>
  <c r="AN281" i="19"/>
  <c r="AN280" i="19"/>
  <c r="AN279" i="19"/>
  <c r="AN278" i="19"/>
  <c r="AN277" i="19"/>
  <c r="AN276" i="19"/>
  <c r="AN275" i="19"/>
  <c r="AN274" i="19"/>
  <c r="G274" i="19"/>
  <c r="J274" i="19" s="1"/>
  <c r="AN273" i="19"/>
  <c r="AN272" i="19"/>
  <c r="AN271" i="19"/>
  <c r="AN270" i="19"/>
  <c r="G270" i="19"/>
  <c r="J270" i="19" s="1"/>
  <c r="AN269" i="19"/>
  <c r="AN268" i="19"/>
  <c r="AN267" i="19"/>
  <c r="AN266" i="19"/>
  <c r="AN265" i="19"/>
  <c r="AN264" i="19"/>
  <c r="AN263" i="19"/>
  <c r="AN262" i="19"/>
  <c r="AN261" i="19"/>
  <c r="AN260" i="19"/>
  <c r="AN259" i="19"/>
  <c r="AN258" i="19"/>
  <c r="AN257" i="19"/>
  <c r="AN256" i="19"/>
  <c r="AN255" i="19"/>
  <c r="AN254" i="19"/>
  <c r="AN253" i="19"/>
  <c r="AN252" i="19"/>
  <c r="AN251" i="19"/>
  <c r="AN250" i="19"/>
  <c r="AN249" i="19"/>
  <c r="AN248" i="19"/>
  <c r="AN247" i="19"/>
  <c r="AN246" i="19"/>
  <c r="AN245" i="19"/>
  <c r="AN244" i="19"/>
  <c r="AN243" i="19"/>
  <c r="AN242" i="19"/>
  <c r="AN241" i="19"/>
  <c r="AN240" i="19"/>
  <c r="AN239" i="19"/>
  <c r="AN238" i="19"/>
  <c r="AN237" i="19"/>
  <c r="AN236" i="19"/>
  <c r="AN235" i="19"/>
  <c r="AN234" i="19"/>
  <c r="AN233" i="19"/>
  <c r="AN232" i="19"/>
  <c r="AN231" i="19"/>
  <c r="AN230" i="19"/>
  <c r="AN229" i="19"/>
  <c r="AN228" i="19"/>
  <c r="AN227" i="19"/>
  <c r="AN226" i="19"/>
  <c r="AN225" i="19"/>
  <c r="AN224" i="19"/>
  <c r="AN223" i="19"/>
  <c r="AN222" i="19"/>
  <c r="AN221" i="19"/>
  <c r="AN220" i="19"/>
  <c r="AN219" i="19"/>
  <c r="AN218" i="19"/>
  <c r="AN217" i="19"/>
  <c r="AN216" i="19"/>
  <c r="AN215" i="19"/>
  <c r="AN214" i="19"/>
  <c r="AN213" i="19"/>
  <c r="AN212" i="19"/>
  <c r="AN211" i="19"/>
  <c r="G211" i="19"/>
  <c r="J211" i="19" s="1"/>
  <c r="AN210" i="19"/>
  <c r="AN209" i="19"/>
  <c r="AN208" i="19"/>
  <c r="AN207" i="19"/>
  <c r="AN206" i="19"/>
  <c r="AN205" i="19"/>
  <c r="AN204" i="19"/>
  <c r="AN203" i="19"/>
  <c r="AN202" i="19"/>
  <c r="AN201" i="19"/>
  <c r="AN200" i="19"/>
  <c r="AN199" i="19"/>
  <c r="AN198" i="19"/>
  <c r="AN197" i="19"/>
  <c r="AN196" i="19"/>
  <c r="AN195" i="19"/>
  <c r="AN194" i="19"/>
  <c r="AN193" i="19"/>
  <c r="AN192" i="19"/>
  <c r="AN191" i="19"/>
  <c r="AN190" i="19"/>
  <c r="AN189" i="19"/>
  <c r="AN188" i="19"/>
  <c r="AN187" i="19"/>
  <c r="AN186" i="19"/>
  <c r="AN185" i="19"/>
  <c r="AN184" i="19"/>
  <c r="AN183" i="19"/>
  <c r="AN182" i="19"/>
  <c r="AN181" i="19"/>
  <c r="AN180" i="19"/>
  <c r="AN179" i="19"/>
  <c r="AN178" i="19"/>
  <c r="AN177" i="19"/>
  <c r="AN176" i="19"/>
  <c r="G176" i="19"/>
  <c r="J176" i="19" s="1"/>
  <c r="AN175" i="19"/>
  <c r="AN174" i="19"/>
  <c r="AN173" i="19"/>
  <c r="AN172" i="19"/>
  <c r="AN171" i="19"/>
  <c r="AN170" i="19"/>
  <c r="AN169" i="19"/>
  <c r="AN168" i="19"/>
  <c r="G168" i="19"/>
  <c r="J168" i="19" s="1"/>
  <c r="F168" i="19"/>
  <c r="I168" i="19" s="1"/>
  <c r="AN167" i="19"/>
  <c r="AN166" i="19"/>
  <c r="AN165" i="19"/>
  <c r="AN164" i="19"/>
  <c r="AN163" i="19"/>
  <c r="AN162" i="19"/>
  <c r="AN161" i="19"/>
  <c r="B161" i="19"/>
  <c r="AN160" i="19"/>
  <c r="AN159" i="19"/>
  <c r="AN158" i="19"/>
  <c r="AN157" i="19"/>
  <c r="AN156" i="19"/>
  <c r="AN155" i="19"/>
  <c r="AN154" i="19"/>
  <c r="AN153" i="19"/>
  <c r="G153" i="19"/>
  <c r="J153" i="19" s="1"/>
  <c r="AN152" i="19"/>
  <c r="AN151" i="19"/>
  <c r="AN150" i="19"/>
  <c r="AN149" i="19"/>
  <c r="AN148" i="19"/>
  <c r="AN147" i="19"/>
  <c r="AN146" i="19"/>
  <c r="AN145" i="19"/>
  <c r="AN144" i="19"/>
  <c r="AN143" i="19"/>
  <c r="AN142" i="19"/>
  <c r="AN141" i="19"/>
  <c r="G141" i="19"/>
  <c r="J141" i="19" s="1"/>
  <c r="AN140" i="19"/>
  <c r="AN139" i="19"/>
  <c r="AN138" i="19"/>
  <c r="AN137" i="19"/>
  <c r="AN136" i="19"/>
  <c r="AN135" i="19"/>
  <c r="AN134" i="19"/>
  <c r="AN133" i="19"/>
  <c r="AN132" i="19"/>
  <c r="F132" i="19"/>
  <c r="I132" i="19" s="1"/>
  <c r="AN131" i="19"/>
  <c r="AN130" i="19"/>
  <c r="AN129" i="19"/>
  <c r="AN128" i="19"/>
  <c r="G128" i="19"/>
  <c r="J128" i="19" s="1"/>
  <c r="AN127" i="19"/>
  <c r="AN126" i="19"/>
  <c r="AN125" i="19"/>
  <c r="AN124" i="19"/>
  <c r="AN123" i="19"/>
  <c r="AN122" i="19"/>
  <c r="AN121" i="19"/>
  <c r="AN120" i="19"/>
  <c r="AN119" i="19"/>
  <c r="AN118" i="19"/>
  <c r="AN117" i="19"/>
  <c r="AN116" i="19"/>
  <c r="AN115" i="19"/>
  <c r="AN114" i="19"/>
  <c r="AN113" i="19"/>
  <c r="AN112" i="19"/>
  <c r="AN111" i="19"/>
  <c r="AN110" i="19"/>
  <c r="AN109" i="19"/>
  <c r="AN108" i="19"/>
  <c r="AN107" i="19"/>
  <c r="AN106" i="19"/>
  <c r="AN105" i="19"/>
  <c r="AN104" i="19"/>
  <c r="AN103" i="19"/>
  <c r="AN102" i="19"/>
  <c r="AN101" i="19"/>
  <c r="AN100" i="19"/>
  <c r="AN99" i="19"/>
  <c r="AN98" i="19"/>
  <c r="AN97" i="19"/>
  <c r="AN96" i="19"/>
  <c r="AN95" i="19"/>
  <c r="AN94" i="19"/>
  <c r="AN93" i="19"/>
  <c r="AN92" i="19"/>
  <c r="AN91" i="19"/>
  <c r="AN90" i="19"/>
  <c r="AN89" i="19"/>
  <c r="AN88" i="19"/>
  <c r="AN87" i="19"/>
  <c r="AN86" i="19"/>
  <c r="AN85" i="19"/>
  <c r="AN84" i="19"/>
  <c r="AN83" i="19"/>
  <c r="F83" i="19"/>
  <c r="I83" i="19" s="1"/>
  <c r="AN82" i="19"/>
  <c r="AN81" i="19"/>
  <c r="AN80" i="19"/>
  <c r="AN79" i="19"/>
  <c r="AN78" i="19"/>
  <c r="AN77" i="19"/>
  <c r="AN76" i="19"/>
  <c r="AN75" i="19"/>
  <c r="AN74" i="19"/>
  <c r="AN73" i="19"/>
  <c r="AN72" i="19"/>
  <c r="AN71" i="19"/>
  <c r="AN70" i="19"/>
  <c r="AN69" i="19"/>
  <c r="AN68" i="19"/>
  <c r="AN67" i="19"/>
  <c r="AN66" i="19"/>
  <c r="AN65" i="19"/>
  <c r="AN64" i="19"/>
  <c r="AN63" i="19"/>
  <c r="AN62" i="19"/>
  <c r="AN61" i="19"/>
  <c r="AN60" i="19"/>
  <c r="AN59" i="19"/>
  <c r="AN58" i="19"/>
  <c r="AN57" i="19"/>
  <c r="AN56" i="19"/>
  <c r="AN55" i="19"/>
  <c r="AN54" i="19"/>
  <c r="AN53" i="19"/>
  <c r="AN52" i="19"/>
  <c r="AN51" i="19"/>
  <c r="AN50" i="19"/>
  <c r="AN49" i="19"/>
  <c r="AN48" i="19"/>
  <c r="AN47" i="19"/>
  <c r="AN46" i="19"/>
  <c r="AN45" i="19"/>
  <c r="AN44" i="19"/>
  <c r="AN43" i="19"/>
  <c r="AN42" i="19"/>
  <c r="G42" i="19"/>
  <c r="J42" i="19" s="1"/>
  <c r="AN41" i="19"/>
  <c r="AN40" i="19"/>
  <c r="AN39" i="19"/>
  <c r="AN38" i="19"/>
  <c r="AN37" i="19"/>
  <c r="AN36" i="19"/>
  <c r="AN35" i="19"/>
  <c r="AN34" i="19"/>
  <c r="AN33" i="19"/>
  <c r="AN32" i="19"/>
  <c r="AN31" i="19"/>
  <c r="AN30" i="19"/>
  <c r="AN29" i="19"/>
  <c r="AN28" i="19"/>
  <c r="AN27" i="19"/>
  <c r="AN26" i="19"/>
  <c r="J26" i="19"/>
  <c r="AN25" i="19"/>
  <c r="AN24" i="19"/>
  <c r="AN23" i="19"/>
  <c r="AN22" i="19"/>
  <c r="AN21" i="19"/>
  <c r="AN20" i="19"/>
  <c r="AN19" i="19"/>
  <c r="AN18" i="19"/>
  <c r="AN17" i="19"/>
  <c r="AN16" i="19"/>
  <c r="G16" i="19"/>
  <c r="J16" i="19" s="1"/>
  <c r="AN15" i="19"/>
  <c r="J15" i="19"/>
  <c r="G15" i="19"/>
  <c r="AN14" i="19"/>
  <c r="F14" i="19"/>
  <c r="AN13" i="19"/>
  <c r="AN12" i="19"/>
  <c r="AN11" i="19"/>
  <c r="AN10" i="19"/>
  <c r="AN9" i="19"/>
  <c r="AN8" i="19"/>
  <c r="G8" i="19"/>
  <c r="J8" i="19" s="1"/>
  <c r="AN7" i="19"/>
  <c r="J7" i="19"/>
  <c r="G7" i="19"/>
  <c r="AN6" i="19"/>
  <c r="G6" i="19"/>
  <c r="J6" i="19" s="1"/>
  <c r="AN5" i="19"/>
  <c r="G5" i="19"/>
  <c r="J5" i="19" s="1"/>
  <c r="AN4" i="19"/>
  <c r="G4" i="19"/>
  <c r="J4" i="19" s="1"/>
  <c r="AN3" i="19"/>
  <c r="G3" i="19"/>
  <c r="J3" i="19" s="1"/>
  <c r="AN2" i="19"/>
  <c r="G2" i="19"/>
  <c r="J2" i="19" s="1"/>
  <c r="G823" i="11"/>
  <c r="K823" i="11" s="1"/>
  <c r="F823" i="11"/>
  <c r="J823" i="11" s="1"/>
  <c r="E823" i="11"/>
  <c r="I823" i="11" s="1"/>
  <c r="J822" i="11"/>
  <c r="G822" i="11"/>
  <c r="K822" i="11" s="1"/>
  <c r="F822" i="11"/>
  <c r="E822" i="11"/>
  <c r="J821" i="11"/>
  <c r="G821" i="11"/>
  <c r="K821" i="11" s="1"/>
  <c r="F821" i="11"/>
  <c r="E821" i="11"/>
  <c r="K820" i="11"/>
  <c r="G820" i="11"/>
  <c r="F820" i="11"/>
  <c r="J820" i="11" s="1"/>
  <c r="E820" i="11"/>
  <c r="G819" i="11"/>
  <c r="K819" i="11" s="1"/>
  <c r="F819" i="11"/>
  <c r="J819" i="11" s="1"/>
  <c r="E819" i="11"/>
  <c r="G818" i="11"/>
  <c r="K818" i="11" s="1"/>
  <c r="F818" i="11"/>
  <c r="J818" i="11" s="1"/>
  <c r="E818" i="11"/>
  <c r="G817" i="11"/>
  <c r="K817" i="11" s="1"/>
  <c r="F817" i="11"/>
  <c r="J817" i="11" s="1"/>
  <c r="E817" i="11"/>
  <c r="K816" i="11"/>
  <c r="G816" i="11"/>
  <c r="F816" i="11"/>
  <c r="J816" i="11" s="1"/>
  <c r="E816" i="11"/>
  <c r="G815" i="11"/>
  <c r="K815" i="11" s="1"/>
  <c r="F815" i="11"/>
  <c r="E815" i="11"/>
  <c r="G814" i="11"/>
  <c r="K814" i="11" s="1"/>
  <c r="F814" i="11"/>
  <c r="E814" i="11"/>
  <c r="G813" i="11"/>
  <c r="K813" i="11" s="1"/>
  <c r="F813" i="11"/>
  <c r="E813" i="11"/>
  <c r="G812" i="11"/>
  <c r="K812" i="11" s="1"/>
  <c r="F812" i="11"/>
  <c r="E812" i="11"/>
  <c r="G811" i="11"/>
  <c r="K811" i="11" s="1"/>
  <c r="F811" i="11"/>
  <c r="E811" i="11"/>
  <c r="G810" i="11"/>
  <c r="K810" i="11" s="1"/>
  <c r="F810" i="11"/>
  <c r="E810" i="11"/>
  <c r="G809" i="11"/>
  <c r="K809" i="11" s="1"/>
  <c r="F809" i="11"/>
  <c r="E809" i="11"/>
  <c r="K808" i="11"/>
  <c r="G808" i="11"/>
  <c r="F808" i="11"/>
  <c r="E808" i="11"/>
  <c r="G807" i="11"/>
  <c r="K807" i="11" s="1"/>
  <c r="F807" i="11"/>
  <c r="E807" i="11"/>
  <c r="K806" i="11"/>
  <c r="G806" i="11"/>
  <c r="F806" i="11"/>
  <c r="E806" i="11"/>
  <c r="G805" i="11"/>
  <c r="K805" i="11" s="1"/>
  <c r="F805" i="11"/>
  <c r="E805" i="11"/>
  <c r="G804" i="11"/>
  <c r="K804" i="11" s="1"/>
  <c r="F804" i="11"/>
  <c r="E804" i="11"/>
  <c r="K803" i="11"/>
  <c r="G803" i="11"/>
  <c r="F803" i="11"/>
  <c r="E803" i="11"/>
  <c r="G802" i="11"/>
  <c r="K802" i="11" s="1"/>
  <c r="F802" i="11"/>
  <c r="E802" i="11"/>
  <c r="G801" i="11"/>
  <c r="K801" i="11" s="1"/>
  <c r="F801" i="11"/>
  <c r="E801" i="11"/>
  <c r="G800" i="11"/>
  <c r="K800" i="11" s="1"/>
  <c r="F800" i="11"/>
  <c r="E800" i="11"/>
  <c r="G799" i="11"/>
  <c r="K799" i="11" s="1"/>
  <c r="F799" i="11"/>
  <c r="E799" i="11"/>
  <c r="G798" i="11"/>
  <c r="K798" i="11" s="1"/>
  <c r="F798" i="11"/>
  <c r="E798" i="11"/>
  <c r="G797" i="11"/>
  <c r="K797" i="11" s="1"/>
  <c r="F797" i="11"/>
  <c r="E797" i="11"/>
  <c r="G796" i="11"/>
  <c r="K796" i="11" s="1"/>
  <c r="F796" i="11"/>
  <c r="E796" i="11"/>
  <c r="G795" i="11"/>
  <c r="K795" i="11" s="1"/>
  <c r="F795" i="11"/>
  <c r="E795" i="11"/>
  <c r="G794" i="11"/>
  <c r="K794" i="11" s="1"/>
  <c r="F794" i="11"/>
  <c r="E794" i="11"/>
  <c r="G793" i="11"/>
  <c r="K793" i="11" s="1"/>
  <c r="F793" i="11"/>
  <c r="E793" i="11"/>
  <c r="G792" i="11"/>
  <c r="K792" i="11" s="1"/>
  <c r="F792" i="11"/>
  <c r="E792" i="11"/>
  <c r="G791" i="11"/>
  <c r="F791" i="11"/>
  <c r="E791" i="11"/>
  <c r="G790" i="11"/>
  <c r="F790" i="11"/>
  <c r="E790" i="11"/>
  <c r="G789" i="11"/>
  <c r="F789" i="11"/>
  <c r="E789" i="11"/>
  <c r="G788" i="11"/>
  <c r="F788" i="11"/>
  <c r="E788" i="11"/>
  <c r="G787" i="11"/>
  <c r="F787" i="11"/>
  <c r="E787" i="11"/>
  <c r="G786" i="11"/>
  <c r="F786" i="11"/>
  <c r="E786" i="11"/>
  <c r="G785" i="11"/>
  <c r="F785" i="11"/>
  <c r="E785" i="11"/>
  <c r="G784" i="11"/>
  <c r="F784" i="11"/>
  <c r="E784" i="11"/>
  <c r="G783" i="11"/>
  <c r="F783" i="11"/>
  <c r="E783" i="11"/>
  <c r="C783" i="11"/>
  <c r="G782" i="11"/>
  <c r="F782" i="11"/>
  <c r="E782" i="11"/>
  <c r="G781" i="11"/>
  <c r="F781" i="11"/>
  <c r="E781" i="11"/>
  <c r="G780" i="11"/>
  <c r="F780" i="11"/>
  <c r="E780" i="11"/>
  <c r="G779" i="11"/>
  <c r="F779" i="11"/>
  <c r="E779" i="11"/>
  <c r="G778" i="11"/>
  <c r="F778" i="11"/>
  <c r="E778" i="11"/>
  <c r="G777" i="11"/>
  <c r="F777" i="11"/>
  <c r="E777" i="11"/>
  <c r="G776" i="11"/>
  <c r="F776" i="11"/>
  <c r="E776" i="11"/>
  <c r="G775" i="11"/>
  <c r="F775" i="11"/>
  <c r="E775" i="11"/>
  <c r="G774" i="11"/>
  <c r="F774" i="11"/>
  <c r="E774" i="11"/>
  <c r="G773" i="11"/>
  <c r="F773" i="11"/>
  <c r="E773" i="11"/>
  <c r="G772" i="11"/>
  <c r="F772" i="11"/>
  <c r="E772" i="11"/>
  <c r="G771" i="11"/>
  <c r="F771" i="11"/>
  <c r="E771" i="11"/>
  <c r="G770" i="11"/>
  <c r="F770" i="11"/>
  <c r="E770" i="11"/>
  <c r="D770" i="11"/>
  <c r="G769" i="11"/>
  <c r="F769" i="11"/>
  <c r="E769" i="11"/>
  <c r="G768" i="11"/>
  <c r="F768" i="11"/>
  <c r="E768" i="11"/>
  <c r="G767" i="11"/>
  <c r="F767" i="11"/>
  <c r="E767" i="11"/>
  <c r="G766" i="11"/>
  <c r="F766" i="11"/>
  <c r="E766" i="11"/>
  <c r="G765" i="11"/>
  <c r="F765" i="11"/>
  <c r="E765" i="11"/>
  <c r="G764" i="11"/>
  <c r="F764" i="11"/>
  <c r="E764" i="11"/>
  <c r="G763" i="11"/>
  <c r="F763" i="11"/>
  <c r="E763" i="11"/>
  <c r="G762" i="11"/>
  <c r="F762" i="11"/>
  <c r="E762" i="11"/>
  <c r="G761" i="11"/>
  <c r="F761" i="11"/>
  <c r="E761" i="11"/>
  <c r="G760" i="11"/>
  <c r="F760" i="11"/>
  <c r="E760" i="11"/>
  <c r="G759" i="11"/>
  <c r="F759" i="11"/>
  <c r="E759" i="11"/>
  <c r="G758" i="11"/>
  <c r="F758" i="11"/>
  <c r="E758" i="11"/>
  <c r="G757" i="11"/>
  <c r="F757" i="11"/>
  <c r="E757" i="11"/>
  <c r="G756" i="11"/>
  <c r="F756" i="11"/>
  <c r="E756" i="11"/>
  <c r="G755" i="11"/>
  <c r="F755" i="11"/>
  <c r="E755" i="11"/>
  <c r="G754" i="11"/>
  <c r="F754" i="11"/>
  <c r="E754" i="11"/>
  <c r="G753" i="11"/>
  <c r="F753" i="11"/>
  <c r="E753" i="11"/>
  <c r="G752" i="11"/>
  <c r="F752" i="11"/>
  <c r="E752" i="11"/>
  <c r="G751" i="11"/>
  <c r="F751" i="11"/>
  <c r="E751" i="11"/>
  <c r="G750" i="11"/>
  <c r="F750" i="11"/>
  <c r="E750" i="11"/>
  <c r="G749" i="11"/>
  <c r="F749" i="11"/>
  <c r="E749" i="11"/>
  <c r="G748" i="11"/>
  <c r="F748" i="11"/>
  <c r="E748" i="11"/>
  <c r="G747" i="11"/>
  <c r="F747" i="11"/>
  <c r="E747" i="11"/>
  <c r="G746" i="11"/>
  <c r="F746" i="11"/>
  <c r="E746" i="11"/>
  <c r="G745" i="11"/>
  <c r="F745" i="11"/>
  <c r="E745" i="11"/>
  <c r="G744" i="11"/>
  <c r="F744" i="11"/>
  <c r="E744" i="11"/>
  <c r="G743" i="11"/>
  <c r="F743" i="11"/>
  <c r="E743" i="11"/>
  <c r="G742" i="11"/>
  <c r="F742" i="11"/>
  <c r="E742" i="11"/>
  <c r="G741" i="11"/>
  <c r="F741" i="11"/>
  <c r="E741" i="11"/>
  <c r="G740" i="11"/>
  <c r="F740" i="11"/>
  <c r="E740" i="11"/>
  <c r="G739" i="11"/>
  <c r="F739" i="11"/>
  <c r="E739" i="11"/>
  <c r="G738" i="11"/>
  <c r="F738" i="11"/>
  <c r="E738" i="11"/>
  <c r="G737" i="11"/>
  <c r="F737" i="11"/>
  <c r="E737" i="11"/>
  <c r="G736" i="11"/>
  <c r="F736" i="11"/>
  <c r="E736" i="11"/>
  <c r="G735" i="11"/>
  <c r="F735" i="11"/>
  <c r="E735" i="11"/>
  <c r="G734" i="11"/>
  <c r="F734" i="11"/>
  <c r="E734" i="11"/>
  <c r="G733" i="11"/>
  <c r="F733" i="11"/>
  <c r="E733" i="11"/>
  <c r="G732" i="11"/>
  <c r="F732" i="11"/>
  <c r="E732" i="11"/>
  <c r="G731" i="11"/>
  <c r="F731" i="11"/>
  <c r="E731" i="11"/>
  <c r="G730" i="11"/>
  <c r="F730" i="11"/>
  <c r="E730" i="11"/>
  <c r="G729" i="11"/>
  <c r="F729" i="11"/>
  <c r="E729" i="11"/>
  <c r="G728" i="11"/>
  <c r="F728" i="11"/>
  <c r="E728" i="11"/>
  <c r="G727" i="11"/>
  <c r="F727" i="11"/>
  <c r="E727" i="11"/>
  <c r="G726" i="11"/>
  <c r="F726" i="11"/>
  <c r="E726" i="11"/>
  <c r="G725" i="11"/>
  <c r="F725" i="11"/>
  <c r="E725" i="11"/>
  <c r="G724" i="11"/>
  <c r="F724" i="11"/>
  <c r="E724" i="11"/>
  <c r="G723" i="11"/>
  <c r="F723" i="11"/>
  <c r="E723" i="11"/>
  <c r="G722" i="11"/>
  <c r="F722" i="11"/>
  <c r="E722" i="11"/>
  <c r="G721" i="11"/>
  <c r="F721" i="11"/>
  <c r="E721" i="11"/>
  <c r="G720" i="11"/>
  <c r="F720" i="11"/>
  <c r="E720" i="11"/>
  <c r="G719" i="11"/>
  <c r="F719" i="11"/>
  <c r="E719" i="11"/>
  <c r="G718" i="11"/>
  <c r="F718" i="11"/>
  <c r="E718" i="11"/>
  <c r="G717" i="11"/>
  <c r="F717" i="11"/>
  <c r="E717" i="11"/>
  <c r="G716" i="11"/>
  <c r="F716" i="11"/>
  <c r="E716" i="11"/>
  <c r="G715" i="11"/>
  <c r="F715" i="11"/>
  <c r="E715" i="11"/>
  <c r="G714" i="11"/>
  <c r="F714" i="11"/>
  <c r="E714" i="11"/>
  <c r="G713" i="11"/>
  <c r="F713" i="11"/>
  <c r="E713" i="11"/>
  <c r="G712" i="11"/>
  <c r="F712" i="11"/>
  <c r="E712" i="11"/>
  <c r="G711" i="11"/>
  <c r="F711" i="11"/>
  <c r="E711" i="11"/>
  <c r="G710" i="11"/>
  <c r="F710" i="11"/>
  <c r="E710" i="11"/>
  <c r="G709" i="11"/>
  <c r="F709" i="11"/>
  <c r="E709" i="11"/>
  <c r="G708" i="11"/>
  <c r="F708" i="11"/>
  <c r="E708" i="11"/>
  <c r="G707" i="11"/>
  <c r="F707" i="11"/>
  <c r="E707" i="11"/>
  <c r="G706" i="11"/>
  <c r="F706" i="11"/>
  <c r="E706" i="11"/>
  <c r="G705" i="11"/>
  <c r="F705" i="11"/>
  <c r="E705" i="11"/>
  <c r="G704" i="11"/>
  <c r="F704" i="11"/>
  <c r="E704" i="11"/>
  <c r="G703" i="11"/>
  <c r="F703" i="11"/>
  <c r="E703" i="11"/>
  <c r="G702" i="11"/>
  <c r="F702" i="11"/>
  <c r="E702" i="11"/>
  <c r="G701" i="11"/>
  <c r="F701" i="11"/>
  <c r="E701" i="11"/>
  <c r="G700" i="11"/>
  <c r="F700" i="11"/>
  <c r="E700" i="11"/>
  <c r="G699" i="11"/>
  <c r="F699" i="11"/>
  <c r="E699" i="11"/>
  <c r="G698" i="11"/>
  <c r="F698" i="11"/>
  <c r="E698" i="11"/>
  <c r="G697" i="11"/>
  <c r="F697" i="11"/>
  <c r="E697" i="11"/>
  <c r="G696" i="11"/>
  <c r="F696" i="11"/>
  <c r="E696" i="11"/>
  <c r="G695" i="11"/>
  <c r="F695" i="11"/>
  <c r="E695" i="11"/>
  <c r="G694" i="11"/>
  <c r="F694" i="11"/>
  <c r="E694" i="11"/>
  <c r="G693" i="11"/>
  <c r="F693" i="11"/>
  <c r="E693" i="11"/>
  <c r="G692" i="11"/>
  <c r="F692" i="11"/>
  <c r="E692" i="11"/>
  <c r="G691" i="11"/>
  <c r="F691" i="11"/>
  <c r="E691" i="11"/>
  <c r="G690" i="11"/>
  <c r="F690" i="11"/>
  <c r="E690" i="11"/>
  <c r="G689" i="11"/>
  <c r="F689" i="11"/>
  <c r="E689" i="11"/>
  <c r="G688" i="11"/>
  <c r="F688" i="11"/>
  <c r="E688" i="11"/>
  <c r="G687" i="11"/>
  <c r="F687" i="11"/>
  <c r="E687" i="11"/>
  <c r="G686" i="11"/>
  <c r="F686" i="11"/>
  <c r="E686" i="11"/>
  <c r="G685" i="11"/>
  <c r="F685" i="11"/>
  <c r="E685" i="11"/>
  <c r="G684" i="11"/>
  <c r="F684" i="11"/>
  <c r="E684" i="11"/>
  <c r="G683" i="11"/>
  <c r="F683" i="11"/>
  <c r="E683" i="11"/>
  <c r="G682" i="11"/>
  <c r="F682" i="11"/>
  <c r="E682" i="11"/>
  <c r="G681" i="11"/>
  <c r="F681" i="11"/>
  <c r="E681" i="11"/>
  <c r="G680" i="11"/>
  <c r="F680" i="11"/>
  <c r="E680" i="11"/>
  <c r="G679" i="11"/>
  <c r="F679" i="11"/>
  <c r="E679" i="11"/>
  <c r="G678" i="11"/>
  <c r="F678" i="11"/>
  <c r="E678" i="11"/>
  <c r="G677" i="11"/>
  <c r="F677" i="11"/>
  <c r="E677" i="11"/>
  <c r="G676" i="11"/>
  <c r="F676" i="11"/>
  <c r="E676" i="11"/>
  <c r="G675" i="11"/>
  <c r="F675" i="11"/>
  <c r="E675" i="11"/>
  <c r="G674" i="11"/>
  <c r="F674" i="11"/>
  <c r="E674" i="11"/>
  <c r="G673" i="11"/>
  <c r="F673" i="11"/>
  <c r="E673" i="11"/>
  <c r="G672" i="11"/>
  <c r="F672" i="11"/>
  <c r="E672" i="11"/>
  <c r="G671" i="11"/>
  <c r="F671" i="11"/>
  <c r="E671" i="11"/>
  <c r="G670" i="11"/>
  <c r="F670" i="11"/>
  <c r="E670" i="11"/>
  <c r="G669" i="11"/>
  <c r="F669" i="11"/>
  <c r="E669" i="11"/>
  <c r="G668" i="11"/>
  <c r="F668" i="11"/>
  <c r="E668" i="11"/>
  <c r="G667" i="11"/>
  <c r="F667" i="11"/>
  <c r="E667" i="11"/>
  <c r="C667" i="11"/>
  <c r="G666" i="11"/>
  <c r="F666" i="11"/>
  <c r="E666" i="11"/>
  <c r="G665" i="11"/>
  <c r="F665" i="11"/>
  <c r="E665" i="11"/>
  <c r="G664" i="11"/>
  <c r="F664" i="11"/>
  <c r="E664" i="11"/>
  <c r="G663" i="11"/>
  <c r="F663" i="11"/>
  <c r="E663" i="11"/>
  <c r="G662" i="11"/>
  <c r="F662" i="11"/>
  <c r="E662" i="11"/>
  <c r="G661" i="11"/>
  <c r="F661" i="11"/>
  <c r="E661" i="11"/>
  <c r="G660" i="11"/>
  <c r="F660" i="11"/>
  <c r="E660" i="11"/>
  <c r="G659" i="11"/>
  <c r="F659" i="11"/>
  <c r="E659" i="11"/>
  <c r="G658" i="11"/>
  <c r="F658" i="11"/>
  <c r="E658" i="11"/>
  <c r="G657" i="11"/>
  <c r="F657" i="11"/>
  <c r="E657" i="11"/>
  <c r="G656" i="11"/>
  <c r="F656" i="11"/>
  <c r="E656" i="11"/>
  <c r="G655" i="11"/>
  <c r="F655" i="11"/>
  <c r="E655" i="11"/>
  <c r="G654" i="11"/>
  <c r="F654" i="11"/>
  <c r="E654" i="11"/>
  <c r="G653" i="11"/>
  <c r="F653" i="11"/>
  <c r="E653" i="11"/>
  <c r="G652" i="11"/>
  <c r="F652" i="11"/>
  <c r="E652" i="11"/>
  <c r="G651" i="11"/>
  <c r="F651" i="11"/>
  <c r="E651" i="11"/>
  <c r="G650" i="11"/>
  <c r="F650" i="11"/>
  <c r="E650" i="11"/>
  <c r="G649" i="11"/>
  <c r="F649" i="11"/>
  <c r="E649" i="11"/>
  <c r="G648" i="11"/>
  <c r="F648" i="11"/>
  <c r="E648" i="11"/>
  <c r="G647" i="11"/>
  <c r="F647" i="11"/>
  <c r="E647" i="11"/>
  <c r="G646" i="11"/>
  <c r="F646" i="11"/>
  <c r="E646" i="11"/>
  <c r="A646" i="11"/>
  <c r="G645" i="11"/>
  <c r="F645" i="11"/>
  <c r="E645" i="11"/>
  <c r="G644" i="11"/>
  <c r="F644" i="11"/>
  <c r="E644" i="11"/>
  <c r="G643" i="11"/>
  <c r="F643" i="11"/>
  <c r="E643" i="11"/>
  <c r="G642" i="11"/>
  <c r="F642" i="11"/>
  <c r="E642" i="11"/>
  <c r="G641" i="11"/>
  <c r="F641" i="11"/>
  <c r="E641" i="11"/>
  <c r="G640" i="11"/>
  <c r="F640" i="11"/>
  <c r="E640" i="11"/>
  <c r="G639" i="11"/>
  <c r="F639" i="11"/>
  <c r="E639" i="11"/>
  <c r="G638" i="11"/>
  <c r="F638" i="11"/>
  <c r="E638" i="11"/>
  <c r="G637" i="11"/>
  <c r="F637" i="11"/>
  <c r="E637" i="11"/>
  <c r="G636" i="11"/>
  <c r="F636" i="11"/>
  <c r="E636" i="11"/>
  <c r="G635" i="11"/>
  <c r="F635" i="11"/>
  <c r="E635" i="11"/>
  <c r="G634" i="11"/>
  <c r="F634" i="11"/>
  <c r="E634" i="11"/>
  <c r="G633" i="11"/>
  <c r="F633" i="11"/>
  <c r="E633" i="11"/>
  <c r="G632" i="11"/>
  <c r="F632" i="11"/>
  <c r="E632" i="11"/>
  <c r="G631" i="11"/>
  <c r="F631" i="11"/>
  <c r="E631" i="11"/>
  <c r="G630" i="11"/>
  <c r="F630" i="11"/>
  <c r="E630" i="11"/>
  <c r="G629" i="11"/>
  <c r="F629" i="11"/>
  <c r="E629" i="11"/>
  <c r="G628" i="11"/>
  <c r="F628" i="11"/>
  <c r="E628" i="11"/>
  <c r="G627" i="11"/>
  <c r="F627" i="11"/>
  <c r="E627" i="11"/>
  <c r="G626" i="11"/>
  <c r="F626" i="11"/>
  <c r="E626" i="11"/>
  <c r="G625" i="11"/>
  <c r="F625" i="11"/>
  <c r="E625" i="11"/>
  <c r="G624" i="11"/>
  <c r="F624" i="11"/>
  <c r="E624" i="11"/>
  <c r="G623" i="11"/>
  <c r="F623" i="11"/>
  <c r="E623" i="11"/>
  <c r="G622" i="11"/>
  <c r="F622" i="11"/>
  <c r="E622" i="11"/>
  <c r="G621" i="11"/>
  <c r="F621" i="11"/>
  <c r="E621" i="11"/>
  <c r="G620" i="11"/>
  <c r="F620" i="11"/>
  <c r="E620" i="11"/>
  <c r="G619" i="11"/>
  <c r="F619" i="11"/>
  <c r="E619" i="11"/>
  <c r="G618" i="11"/>
  <c r="F618" i="11"/>
  <c r="E618" i="11"/>
  <c r="G617" i="11"/>
  <c r="F617" i="11"/>
  <c r="E617" i="11"/>
  <c r="G616" i="11"/>
  <c r="F616" i="11"/>
  <c r="E616" i="11"/>
  <c r="G615" i="11"/>
  <c r="F615" i="11"/>
  <c r="E615" i="11"/>
  <c r="G614" i="11"/>
  <c r="F614" i="11"/>
  <c r="E614" i="11"/>
  <c r="G613" i="11"/>
  <c r="F613" i="11"/>
  <c r="E613" i="11"/>
  <c r="G612" i="11"/>
  <c r="F612" i="11"/>
  <c r="E612" i="11"/>
  <c r="G611" i="11"/>
  <c r="F611" i="11"/>
  <c r="E611" i="11"/>
  <c r="G610" i="11"/>
  <c r="F610" i="11"/>
  <c r="E610" i="11"/>
  <c r="G609" i="11"/>
  <c r="F609" i="11"/>
  <c r="E609" i="11"/>
  <c r="G608" i="11"/>
  <c r="F608" i="11"/>
  <c r="E608" i="11"/>
  <c r="G607" i="11"/>
  <c r="F607" i="11"/>
  <c r="E607" i="11"/>
  <c r="G606" i="11"/>
  <c r="F606" i="11"/>
  <c r="E606" i="11"/>
  <c r="G605" i="11"/>
  <c r="F605" i="11"/>
  <c r="E605" i="11"/>
  <c r="G604" i="11"/>
  <c r="F604" i="11"/>
  <c r="E604" i="11"/>
  <c r="G603" i="11"/>
  <c r="F603" i="11"/>
  <c r="E603" i="11"/>
  <c r="G602" i="11"/>
  <c r="F602" i="11"/>
  <c r="E602" i="11"/>
  <c r="G601" i="11"/>
  <c r="F601" i="11"/>
  <c r="E601" i="11"/>
  <c r="G600" i="11"/>
  <c r="F600" i="11"/>
  <c r="E600" i="11"/>
  <c r="G599" i="11"/>
  <c r="F599" i="11"/>
  <c r="E599" i="11"/>
  <c r="G598" i="11"/>
  <c r="F598" i="11"/>
  <c r="E598" i="11"/>
  <c r="G597" i="11"/>
  <c r="F597" i="11"/>
  <c r="E597" i="11"/>
  <c r="G596" i="11"/>
  <c r="F596" i="11"/>
  <c r="E596" i="11"/>
  <c r="G595" i="11"/>
  <c r="F595" i="11"/>
  <c r="E595" i="11"/>
  <c r="C595" i="11"/>
  <c r="G594" i="11"/>
  <c r="F594" i="11"/>
  <c r="E594" i="11"/>
  <c r="G593" i="11"/>
  <c r="F593" i="11"/>
  <c r="E593" i="11"/>
  <c r="G592" i="11"/>
  <c r="F592" i="11"/>
  <c r="E592" i="11"/>
  <c r="G591" i="11"/>
  <c r="F591" i="11"/>
  <c r="E591" i="11"/>
  <c r="G590" i="11"/>
  <c r="F590" i="11"/>
  <c r="E590" i="11"/>
  <c r="G589" i="11"/>
  <c r="F589" i="11"/>
  <c r="E589" i="11"/>
  <c r="G588" i="11"/>
  <c r="F588" i="11"/>
  <c r="E588" i="11"/>
  <c r="G587" i="11"/>
  <c r="F587" i="11"/>
  <c r="E587" i="11"/>
  <c r="G586" i="11"/>
  <c r="F586" i="11"/>
  <c r="E586" i="11"/>
  <c r="G585" i="11"/>
  <c r="F585" i="11"/>
  <c r="E585" i="11"/>
  <c r="G584" i="11"/>
  <c r="F584" i="11"/>
  <c r="E584" i="11"/>
  <c r="G583" i="11"/>
  <c r="F583" i="11"/>
  <c r="E583" i="11"/>
  <c r="G582" i="11"/>
  <c r="F582" i="11"/>
  <c r="E582" i="11"/>
  <c r="G581" i="11"/>
  <c r="F581" i="11"/>
  <c r="E581" i="11"/>
  <c r="G580" i="11"/>
  <c r="F580" i="11"/>
  <c r="E580" i="11"/>
  <c r="G579" i="11"/>
  <c r="F579" i="11"/>
  <c r="E579" i="11"/>
  <c r="G578" i="11"/>
  <c r="F578" i="11"/>
  <c r="E578" i="11"/>
  <c r="G577" i="11"/>
  <c r="F577" i="11"/>
  <c r="E577" i="11"/>
  <c r="G576" i="11"/>
  <c r="F576" i="11"/>
  <c r="E576" i="11"/>
  <c r="G575" i="11"/>
  <c r="F575" i="11"/>
  <c r="E575" i="11"/>
  <c r="G574" i="11"/>
  <c r="F574" i="11"/>
  <c r="E574" i="11"/>
  <c r="G573" i="11"/>
  <c r="F573" i="11"/>
  <c r="E573" i="11"/>
  <c r="G572" i="11"/>
  <c r="F572" i="11"/>
  <c r="E572" i="11"/>
  <c r="G571" i="11"/>
  <c r="F571" i="11"/>
  <c r="E571" i="11"/>
  <c r="G570" i="11"/>
  <c r="F570" i="11"/>
  <c r="E570" i="11"/>
  <c r="D570" i="11"/>
  <c r="G569" i="11"/>
  <c r="F569" i="11"/>
  <c r="E569" i="11"/>
  <c r="G568" i="11"/>
  <c r="F568" i="11"/>
  <c r="E568" i="11"/>
  <c r="G567" i="11"/>
  <c r="F567" i="11"/>
  <c r="E567" i="11"/>
  <c r="G566" i="11"/>
  <c r="F566" i="11"/>
  <c r="E566" i="11"/>
  <c r="G565" i="11"/>
  <c r="F565" i="11"/>
  <c r="E565" i="11"/>
  <c r="G564" i="11"/>
  <c r="F564" i="11"/>
  <c r="E564" i="11"/>
  <c r="G563" i="11"/>
  <c r="F563" i="11"/>
  <c r="E563" i="11"/>
  <c r="G562" i="11"/>
  <c r="F562" i="11"/>
  <c r="E562" i="11"/>
  <c r="G561" i="11"/>
  <c r="F561" i="11"/>
  <c r="E561" i="11"/>
  <c r="G560" i="11"/>
  <c r="F560" i="11"/>
  <c r="E560" i="11"/>
  <c r="G559" i="11"/>
  <c r="F559" i="11"/>
  <c r="E559" i="11"/>
  <c r="G558" i="11"/>
  <c r="F558" i="11"/>
  <c r="E558" i="11"/>
  <c r="G557" i="11"/>
  <c r="F557" i="11"/>
  <c r="E557" i="11"/>
  <c r="G556" i="11"/>
  <c r="F556" i="11"/>
  <c r="E556" i="11"/>
  <c r="G555" i="11"/>
  <c r="F555" i="11"/>
  <c r="E555" i="11"/>
  <c r="G554" i="11"/>
  <c r="F554" i="11"/>
  <c r="E554" i="11"/>
  <c r="G553" i="11"/>
  <c r="F553" i="11"/>
  <c r="E553" i="11"/>
  <c r="G552" i="11"/>
  <c r="F552" i="11"/>
  <c r="E552" i="11"/>
  <c r="G551" i="11"/>
  <c r="F551" i="11"/>
  <c r="E551" i="11"/>
  <c r="C551" i="11"/>
  <c r="G550" i="11"/>
  <c r="F550" i="11"/>
  <c r="E550" i="11"/>
  <c r="G549" i="11"/>
  <c r="F549" i="11"/>
  <c r="E549" i="11"/>
  <c r="G548" i="11"/>
  <c r="F548" i="11"/>
  <c r="E548" i="11"/>
  <c r="G547" i="11"/>
  <c r="F547" i="11"/>
  <c r="E547" i="11"/>
  <c r="G546" i="11"/>
  <c r="F546" i="11"/>
  <c r="E546" i="11"/>
  <c r="G545" i="11"/>
  <c r="F545" i="11"/>
  <c r="E545" i="11"/>
  <c r="G544" i="11"/>
  <c r="F544" i="11"/>
  <c r="E544" i="11"/>
  <c r="G543" i="11"/>
  <c r="F543" i="11"/>
  <c r="E543" i="11"/>
  <c r="G542" i="11"/>
  <c r="F542" i="11"/>
  <c r="E542" i="11"/>
  <c r="G541" i="11"/>
  <c r="F541" i="11"/>
  <c r="E541" i="11"/>
  <c r="G540" i="11"/>
  <c r="F540" i="11"/>
  <c r="E540" i="11"/>
  <c r="G539" i="11"/>
  <c r="F539" i="11"/>
  <c r="E539" i="11"/>
  <c r="G538" i="11"/>
  <c r="F538" i="11"/>
  <c r="E538" i="11"/>
  <c r="G537" i="11"/>
  <c r="F537" i="11"/>
  <c r="E537" i="11"/>
  <c r="G536" i="11"/>
  <c r="F536" i="11"/>
  <c r="E536" i="11"/>
  <c r="G535" i="11"/>
  <c r="F535" i="11"/>
  <c r="E535" i="11"/>
  <c r="G534" i="11"/>
  <c r="F534" i="11"/>
  <c r="E534" i="11"/>
  <c r="G533" i="11"/>
  <c r="F533" i="11"/>
  <c r="E533" i="11"/>
  <c r="G532" i="11"/>
  <c r="F532" i="11"/>
  <c r="E532" i="11"/>
  <c r="G531" i="11"/>
  <c r="F531" i="11"/>
  <c r="E531" i="11"/>
  <c r="G530" i="11"/>
  <c r="F530" i="11"/>
  <c r="E530" i="11"/>
  <c r="G529" i="11"/>
  <c r="F529" i="11"/>
  <c r="E529" i="11"/>
  <c r="G528" i="11"/>
  <c r="F528" i="11"/>
  <c r="E528" i="11"/>
  <c r="G527" i="11"/>
  <c r="F527" i="11"/>
  <c r="E527" i="11"/>
  <c r="G526" i="11"/>
  <c r="F526" i="11"/>
  <c r="E526" i="11"/>
  <c r="G525" i="11"/>
  <c r="F525" i="11"/>
  <c r="E525" i="11"/>
  <c r="G524" i="11"/>
  <c r="F524" i="11"/>
  <c r="E524" i="11"/>
  <c r="G523" i="11"/>
  <c r="F523" i="11"/>
  <c r="E523" i="11"/>
  <c r="G522" i="11"/>
  <c r="F522" i="11"/>
  <c r="E522" i="11"/>
  <c r="G521" i="11"/>
  <c r="F521" i="11"/>
  <c r="E521" i="11"/>
  <c r="G520" i="11"/>
  <c r="F520" i="11"/>
  <c r="E520" i="11"/>
  <c r="A520" i="11"/>
  <c r="G519" i="11"/>
  <c r="F519" i="11"/>
  <c r="E519" i="11"/>
  <c r="G518" i="11"/>
  <c r="F518" i="11"/>
  <c r="E518" i="11"/>
  <c r="G517" i="11"/>
  <c r="F517" i="11"/>
  <c r="E517" i="11"/>
  <c r="G516" i="11"/>
  <c r="F516" i="11"/>
  <c r="E516" i="11"/>
  <c r="G515" i="11"/>
  <c r="F515" i="11"/>
  <c r="E515" i="11"/>
  <c r="G514" i="11"/>
  <c r="F514" i="11"/>
  <c r="E514" i="11"/>
  <c r="G513" i="11"/>
  <c r="F513" i="11"/>
  <c r="E513" i="11"/>
  <c r="G512" i="11"/>
  <c r="F512" i="11"/>
  <c r="E512" i="11"/>
  <c r="G511" i="11"/>
  <c r="F511" i="11"/>
  <c r="E511" i="11"/>
  <c r="A511" i="11"/>
  <c r="G510" i="11"/>
  <c r="F510" i="11"/>
  <c r="E510" i="11"/>
  <c r="G509" i="11"/>
  <c r="F509" i="11"/>
  <c r="E509" i="11"/>
  <c r="G508" i="11"/>
  <c r="F508" i="11"/>
  <c r="E508" i="11"/>
  <c r="C508" i="11"/>
  <c r="G507" i="11"/>
  <c r="F507" i="11"/>
  <c r="E507" i="11"/>
  <c r="G506" i="11"/>
  <c r="F506" i="11"/>
  <c r="E506" i="11"/>
  <c r="G505" i="11"/>
  <c r="F505" i="11"/>
  <c r="E505" i="11"/>
  <c r="G504" i="11"/>
  <c r="F504" i="11"/>
  <c r="E504" i="11"/>
  <c r="G503" i="11"/>
  <c r="F503" i="11"/>
  <c r="E503" i="11"/>
  <c r="G502" i="11"/>
  <c r="F502" i="11"/>
  <c r="E502" i="11"/>
  <c r="G501" i="11"/>
  <c r="F501" i="11"/>
  <c r="E501" i="11"/>
  <c r="G500" i="11"/>
  <c r="F500" i="11"/>
  <c r="E500" i="11"/>
  <c r="G499" i="11"/>
  <c r="F499" i="11"/>
  <c r="E499" i="11"/>
  <c r="A499" i="11"/>
  <c r="G498" i="11"/>
  <c r="F498" i="11"/>
  <c r="E498" i="11"/>
  <c r="G497" i="11"/>
  <c r="F497" i="11"/>
  <c r="E497" i="11"/>
  <c r="G496" i="11"/>
  <c r="F496" i="11"/>
  <c r="E496" i="11"/>
  <c r="G495" i="11"/>
  <c r="F495" i="11"/>
  <c r="E495" i="11"/>
  <c r="G494" i="11"/>
  <c r="F494" i="11"/>
  <c r="E494" i="11"/>
  <c r="G493" i="11"/>
  <c r="F493" i="11"/>
  <c r="E493" i="11"/>
  <c r="G492" i="11"/>
  <c r="F492" i="11"/>
  <c r="E492" i="11"/>
  <c r="G491" i="11"/>
  <c r="F491" i="11"/>
  <c r="E491" i="11"/>
  <c r="G490" i="11"/>
  <c r="F490" i="11"/>
  <c r="E490" i="11"/>
  <c r="D490" i="11"/>
  <c r="G489" i="11"/>
  <c r="F489" i="11"/>
  <c r="E489" i="11"/>
  <c r="G488" i="11"/>
  <c r="F488" i="11"/>
  <c r="E488" i="11"/>
  <c r="G487" i="11"/>
  <c r="F487" i="11"/>
  <c r="E487" i="11"/>
  <c r="G486" i="11"/>
  <c r="F486" i="11"/>
  <c r="E486" i="11"/>
  <c r="G485" i="11"/>
  <c r="F485" i="11"/>
  <c r="E485" i="11"/>
  <c r="G484" i="11"/>
  <c r="F484" i="11"/>
  <c r="E484" i="11"/>
  <c r="G483" i="11"/>
  <c r="F483" i="11"/>
  <c r="E483" i="11"/>
  <c r="G482" i="11"/>
  <c r="F482" i="11"/>
  <c r="E482" i="11"/>
  <c r="G481" i="11"/>
  <c r="F481" i="11"/>
  <c r="E481" i="11"/>
  <c r="G480" i="11"/>
  <c r="F480" i="11"/>
  <c r="E480" i="11"/>
  <c r="G479" i="11"/>
  <c r="F479" i="11"/>
  <c r="E479" i="11"/>
  <c r="G478" i="11"/>
  <c r="F478" i="11"/>
  <c r="E478" i="11"/>
  <c r="G477" i="11"/>
  <c r="F477" i="11"/>
  <c r="E477" i="11"/>
  <c r="G476" i="11"/>
  <c r="F476" i="11"/>
  <c r="E476" i="11"/>
  <c r="A476" i="11"/>
  <c r="G475" i="11"/>
  <c r="F475" i="11"/>
  <c r="E475" i="11"/>
  <c r="G474" i="11"/>
  <c r="F474" i="11"/>
  <c r="E474" i="11"/>
  <c r="G473" i="11"/>
  <c r="F473" i="11"/>
  <c r="E473" i="11"/>
  <c r="G472" i="11"/>
  <c r="F472" i="11"/>
  <c r="E472" i="11"/>
  <c r="G471" i="11"/>
  <c r="F471" i="11"/>
  <c r="E471" i="11"/>
  <c r="G470" i="11"/>
  <c r="F470" i="11"/>
  <c r="E470" i="11"/>
  <c r="G469" i="11"/>
  <c r="F469" i="11"/>
  <c r="E469" i="11"/>
  <c r="G468" i="11"/>
  <c r="F468" i="11"/>
  <c r="E468" i="11"/>
  <c r="G467" i="11"/>
  <c r="F467" i="11"/>
  <c r="E467" i="11"/>
  <c r="G466" i="11"/>
  <c r="F466" i="11"/>
  <c r="E466" i="11"/>
  <c r="G465" i="11"/>
  <c r="F465" i="11"/>
  <c r="E465" i="11"/>
  <c r="G464" i="11"/>
  <c r="F464" i="11"/>
  <c r="E464" i="11"/>
  <c r="G463" i="11"/>
  <c r="F463" i="11"/>
  <c r="E463" i="11"/>
  <c r="G462" i="11"/>
  <c r="F462" i="11"/>
  <c r="E462" i="11"/>
  <c r="G461" i="11"/>
  <c r="F461" i="11"/>
  <c r="E461" i="11"/>
  <c r="G460" i="11"/>
  <c r="F460" i="11"/>
  <c r="E460" i="11"/>
  <c r="G459" i="11"/>
  <c r="F459" i="11"/>
  <c r="E459" i="11"/>
  <c r="G458" i="11"/>
  <c r="F458" i="11"/>
  <c r="E458" i="11"/>
  <c r="G457" i="11"/>
  <c r="F457" i="11"/>
  <c r="E457" i="11"/>
  <c r="G456" i="11"/>
  <c r="F456" i="11"/>
  <c r="E456" i="11"/>
  <c r="G455" i="11"/>
  <c r="F455" i="11"/>
  <c r="E455" i="11"/>
  <c r="G454" i="11"/>
  <c r="F454" i="11"/>
  <c r="E454" i="11"/>
  <c r="G453" i="11"/>
  <c r="F453" i="11"/>
  <c r="E453" i="11"/>
  <c r="G452" i="11"/>
  <c r="F452" i="11"/>
  <c r="E452" i="11"/>
  <c r="G451" i="11"/>
  <c r="F451" i="11"/>
  <c r="E451" i="11"/>
  <c r="G450" i="11"/>
  <c r="F450" i="11"/>
  <c r="E450" i="11"/>
  <c r="G449" i="11"/>
  <c r="F449" i="11"/>
  <c r="E449" i="11"/>
  <c r="G448" i="11"/>
  <c r="F448" i="11"/>
  <c r="E448" i="11"/>
  <c r="G447" i="11"/>
  <c r="F447" i="11"/>
  <c r="E447" i="11"/>
  <c r="G446" i="11"/>
  <c r="F446" i="11"/>
  <c r="E446" i="11"/>
  <c r="G445" i="11"/>
  <c r="F445" i="11"/>
  <c r="E445" i="11"/>
  <c r="G444" i="11"/>
  <c r="F444" i="11"/>
  <c r="E444" i="11"/>
  <c r="G443" i="11"/>
  <c r="F443" i="11"/>
  <c r="E443" i="11"/>
  <c r="G442" i="11"/>
  <c r="F442" i="11"/>
  <c r="E442" i="11"/>
  <c r="G441" i="11"/>
  <c r="F441" i="11"/>
  <c r="E441" i="11"/>
  <c r="G440" i="11"/>
  <c r="F440" i="11"/>
  <c r="E440" i="11"/>
  <c r="G439" i="11"/>
  <c r="F439" i="11"/>
  <c r="E439" i="11"/>
  <c r="G438" i="11"/>
  <c r="F438" i="11"/>
  <c r="E438" i="11"/>
  <c r="G437" i="11"/>
  <c r="F437" i="11"/>
  <c r="E437" i="11"/>
  <c r="G436" i="11"/>
  <c r="F436" i="11"/>
  <c r="E436" i="11"/>
  <c r="G435" i="11"/>
  <c r="F435" i="11"/>
  <c r="E435" i="11"/>
  <c r="G434" i="11"/>
  <c r="F434" i="11"/>
  <c r="E434" i="11"/>
  <c r="G433" i="11"/>
  <c r="F433" i="11"/>
  <c r="E433" i="11"/>
  <c r="G432" i="11"/>
  <c r="F432" i="11"/>
  <c r="E432" i="11"/>
  <c r="G431" i="11"/>
  <c r="F431" i="11"/>
  <c r="E431" i="11"/>
  <c r="G430" i="11"/>
  <c r="F430" i="11"/>
  <c r="E430" i="11"/>
  <c r="G429" i="11"/>
  <c r="F429" i="11"/>
  <c r="E429" i="11"/>
  <c r="G428" i="11"/>
  <c r="F428" i="11"/>
  <c r="E428" i="11"/>
  <c r="G427" i="11"/>
  <c r="F427" i="11"/>
  <c r="E427" i="11"/>
  <c r="G426" i="11"/>
  <c r="F426" i="11"/>
  <c r="E426" i="11"/>
  <c r="G425" i="11"/>
  <c r="F425" i="11"/>
  <c r="E425" i="11"/>
  <c r="G424" i="11"/>
  <c r="F424" i="11"/>
  <c r="E424" i="11"/>
  <c r="G423" i="11"/>
  <c r="F423" i="11"/>
  <c r="E423" i="11"/>
  <c r="G422" i="11"/>
  <c r="F422" i="11"/>
  <c r="E422" i="11"/>
  <c r="C422" i="11"/>
  <c r="G421" i="11"/>
  <c r="F421" i="11"/>
  <c r="E421" i="11"/>
  <c r="G420" i="11"/>
  <c r="F420" i="11"/>
  <c r="E420" i="11"/>
  <c r="G419" i="11"/>
  <c r="F419" i="11"/>
  <c r="E419" i="11"/>
  <c r="G418" i="11"/>
  <c r="F418" i="11"/>
  <c r="E418" i="11"/>
  <c r="G417" i="11"/>
  <c r="F417" i="11"/>
  <c r="E417" i="11"/>
  <c r="G416" i="11"/>
  <c r="F416" i="11"/>
  <c r="E416" i="11"/>
  <c r="G415" i="11"/>
  <c r="F415" i="11"/>
  <c r="E415" i="11"/>
  <c r="G414" i="11"/>
  <c r="F414" i="11"/>
  <c r="E414" i="11"/>
  <c r="G413" i="11"/>
  <c r="F413" i="11"/>
  <c r="E413" i="11"/>
  <c r="G412" i="11"/>
  <c r="F412" i="11"/>
  <c r="E412" i="11"/>
  <c r="G411" i="11"/>
  <c r="F411" i="11"/>
  <c r="E411" i="11"/>
  <c r="G410" i="11"/>
  <c r="F410" i="11"/>
  <c r="E410" i="11"/>
  <c r="G409" i="11"/>
  <c r="F409" i="11"/>
  <c r="E409" i="11"/>
  <c r="G408" i="11"/>
  <c r="F408" i="11"/>
  <c r="E408" i="11"/>
  <c r="G407" i="11"/>
  <c r="F407" i="11"/>
  <c r="E407" i="11"/>
  <c r="G406" i="11"/>
  <c r="F406" i="11"/>
  <c r="E406" i="11"/>
  <c r="G405" i="11"/>
  <c r="F405" i="11"/>
  <c r="E405" i="11"/>
  <c r="G404" i="11"/>
  <c r="F404" i="11"/>
  <c r="E404" i="11"/>
  <c r="G403" i="11"/>
  <c r="F403" i="11"/>
  <c r="E403" i="11"/>
  <c r="G402" i="11"/>
  <c r="F402" i="11"/>
  <c r="E402" i="11"/>
  <c r="G401" i="11"/>
  <c r="F401" i="11"/>
  <c r="E401" i="11"/>
  <c r="G400" i="11"/>
  <c r="F400" i="11"/>
  <c r="E400" i="11"/>
  <c r="G399" i="11"/>
  <c r="F399" i="11"/>
  <c r="E399" i="11"/>
  <c r="G398" i="11"/>
  <c r="F398" i="11"/>
  <c r="E398" i="11"/>
  <c r="G397" i="11"/>
  <c r="F397" i="11"/>
  <c r="E397" i="11"/>
  <c r="G396" i="11"/>
  <c r="F396" i="11"/>
  <c r="E396" i="11"/>
  <c r="G395" i="11"/>
  <c r="F395" i="11"/>
  <c r="E395" i="11"/>
  <c r="A395" i="11"/>
  <c r="G394" i="11"/>
  <c r="F394" i="11"/>
  <c r="E394" i="11"/>
  <c r="G393" i="11"/>
  <c r="F393" i="11"/>
  <c r="E393" i="11"/>
  <c r="G392" i="11"/>
  <c r="F392" i="11"/>
  <c r="E392" i="11"/>
  <c r="G391" i="11"/>
  <c r="F391" i="11"/>
  <c r="E391" i="11"/>
  <c r="G390" i="11"/>
  <c r="F390" i="11"/>
  <c r="E390" i="11"/>
  <c r="G389" i="11"/>
  <c r="F389" i="11"/>
  <c r="E389" i="11"/>
  <c r="G388" i="11"/>
  <c r="F388" i="11"/>
  <c r="E388" i="11"/>
  <c r="G387" i="11"/>
  <c r="F387" i="11"/>
  <c r="E387" i="11"/>
  <c r="G386" i="11"/>
  <c r="F386" i="11"/>
  <c r="E386" i="11"/>
  <c r="G385" i="11"/>
  <c r="F385" i="11"/>
  <c r="E385" i="11"/>
  <c r="G384" i="11"/>
  <c r="F384" i="11"/>
  <c r="E384" i="11"/>
  <c r="G383" i="11"/>
  <c r="F383" i="11"/>
  <c r="E383" i="11"/>
  <c r="G382" i="11"/>
  <c r="F382" i="11"/>
  <c r="E382" i="11"/>
  <c r="G381" i="11"/>
  <c r="F381" i="11"/>
  <c r="E381" i="11"/>
  <c r="G380" i="11"/>
  <c r="F380" i="11"/>
  <c r="E380" i="11"/>
  <c r="G379" i="11"/>
  <c r="F379" i="11"/>
  <c r="E379" i="11"/>
  <c r="G378" i="11"/>
  <c r="F378" i="11"/>
  <c r="E378" i="11"/>
  <c r="G377" i="11"/>
  <c r="F377" i="11"/>
  <c r="E377" i="11"/>
  <c r="G376" i="11"/>
  <c r="F376" i="11"/>
  <c r="E376" i="11"/>
  <c r="G375" i="11"/>
  <c r="F375" i="11"/>
  <c r="E375" i="11"/>
  <c r="G374" i="11"/>
  <c r="F374" i="11"/>
  <c r="E374" i="11"/>
  <c r="G373" i="11"/>
  <c r="F373" i="11"/>
  <c r="E373" i="11"/>
  <c r="G372" i="11"/>
  <c r="F372" i="11"/>
  <c r="E372" i="11"/>
  <c r="G371" i="11"/>
  <c r="F371" i="11"/>
  <c r="E371" i="11"/>
  <c r="G370" i="11"/>
  <c r="F370" i="11"/>
  <c r="E370" i="11"/>
  <c r="G369" i="11"/>
  <c r="F369" i="11"/>
  <c r="E369" i="11"/>
  <c r="G368" i="11"/>
  <c r="F368" i="11"/>
  <c r="E368" i="11"/>
  <c r="G367" i="11"/>
  <c r="F367" i="11"/>
  <c r="E367" i="11"/>
  <c r="G366" i="11"/>
  <c r="F366" i="11"/>
  <c r="E366" i="11"/>
  <c r="G365" i="11"/>
  <c r="F365" i="11"/>
  <c r="E365" i="11"/>
  <c r="G364" i="11"/>
  <c r="F364" i="11"/>
  <c r="E364" i="11"/>
  <c r="G363" i="11"/>
  <c r="F363" i="11"/>
  <c r="E363" i="11"/>
  <c r="G362" i="11"/>
  <c r="F362" i="11"/>
  <c r="E362" i="11"/>
  <c r="G361" i="11"/>
  <c r="F361" i="11"/>
  <c r="E361" i="11"/>
  <c r="G360" i="11"/>
  <c r="F360" i="11"/>
  <c r="E360" i="11"/>
  <c r="G359" i="11"/>
  <c r="F359" i="11"/>
  <c r="E359" i="11"/>
  <c r="G358" i="11"/>
  <c r="F358" i="11"/>
  <c r="E358" i="11"/>
  <c r="G357" i="11"/>
  <c r="F357" i="11"/>
  <c r="E357" i="11"/>
  <c r="G356" i="11"/>
  <c r="F356" i="11"/>
  <c r="E356" i="11"/>
  <c r="G355" i="11"/>
  <c r="F355" i="11"/>
  <c r="E355" i="11"/>
  <c r="G354" i="11"/>
  <c r="F354" i="11"/>
  <c r="E354" i="11"/>
  <c r="G353" i="11"/>
  <c r="F353" i="11"/>
  <c r="E353" i="11"/>
  <c r="D353" i="11"/>
  <c r="G352" i="11"/>
  <c r="F352" i="11"/>
  <c r="E352" i="11"/>
  <c r="G351" i="11"/>
  <c r="F351" i="11"/>
  <c r="E351" i="11"/>
  <c r="G350" i="11"/>
  <c r="F350" i="11"/>
  <c r="E350" i="11"/>
  <c r="G349" i="11"/>
  <c r="F349" i="11"/>
  <c r="E349" i="11"/>
  <c r="G348" i="11"/>
  <c r="F348" i="11"/>
  <c r="E348" i="11"/>
  <c r="G347" i="11"/>
  <c r="F347" i="11"/>
  <c r="E347" i="11"/>
  <c r="G346" i="11"/>
  <c r="F346" i="11"/>
  <c r="E346" i="11"/>
  <c r="B346" i="11"/>
  <c r="G345" i="11"/>
  <c r="F345" i="11"/>
  <c r="E345" i="11"/>
  <c r="G344" i="11"/>
  <c r="F344" i="11"/>
  <c r="E344" i="11"/>
  <c r="G343" i="11"/>
  <c r="F343" i="11"/>
  <c r="E343" i="11"/>
  <c r="G342" i="11"/>
  <c r="F342" i="11"/>
  <c r="E342" i="11"/>
  <c r="G341" i="11"/>
  <c r="F341" i="11"/>
  <c r="E341" i="11"/>
  <c r="G340" i="11"/>
  <c r="F340" i="11"/>
  <c r="E340" i="11"/>
  <c r="G339" i="11"/>
  <c r="F339" i="11"/>
  <c r="E339" i="11"/>
  <c r="G338" i="11"/>
  <c r="F338" i="11"/>
  <c r="E338" i="11"/>
  <c r="G337" i="11"/>
  <c r="F337" i="11"/>
  <c r="E337" i="11"/>
  <c r="G336" i="11"/>
  <c r="F336" i="11"/>
  <c r="E336" i="11"/>
  <c r="G335" i="11"/>
  <c r="F335" i="11"/>
  <c r="E335" i="11"/>
  <c r="G334" i="11"/>
  <c r="F334" i="11"/>
  <c r="E334" i="11"/>
  <c r="G333" i="11"/>
  <c r="F333" i="11"/>
  <c r="E333" i="11"/>
  <c r="D333" i="11"/>
  <c r="G332" i="11"/>
  <c r="F332" i="11"/>
  <c r="E332" i="11"/>
  <c r="G331" i="11"/>
  <c r="F331" i="11"/>
  <c r="E331" i="11"/>
  <c r="G330" i="11"/>
  <c r="F330" i="11"/>
  <c r="E330" i="11"/>
  <c r="G329" i="11"/>
  <c r="F329" i="11"/>
  <c r="E329" i="11"/>
  <c r="A329" i="11"/>
  <c r="G328" i="11"/>
  <c r="F328" i="11"/>
  <c r="E328" i="11"/>
  <c r="G327" i="11"/>
  <c r="F327" i="11"/>
  <c r="E327" i="11"/>
  <c r="G326" i="11"/>
  <c r="F326" i="11"/>
  <c r="E326" i="11"/>
  <c r="G325" i="11"/>
  <c r="F325" i="11"/>
  <c r="E325" i="11"/>
  <c r="G324" i="11"/>
  <c r="F324" i="11"/>
  <c r="E324" i="11"/>
  <c r="G323" i="11"/>
  <c r="F323" i="11"/>
  <c r="E323" i="11"/>
  <c r="G322" i="11"/>
  <c r="F322" i="11"/>
  <c r="E322" i="11"/>
  <c r="G321" i="11"/>
  <c r="F321" i="11"/>
  <c r="E321" i="11"/>
  <c r="G320" i="11"/>
  <c r="F320" i="11"/>
  <c r="E320" i="11"/>
  <c r="G319" i="11"/>
  <c r="F319" i="11"/>
  <c r="E319" i="11"/>
  <c r="G318" i="11"/>
  <c r="F318" i="11"/>
  <c r="E318" i="11"/>
  <c r="G317" i="11"/>
  <c r="F317" i="11"/>
  <c r="E317" i="11"/>
  <c r="G316" i="11"/>
  <c r="F316" i="11"/>
  <c r="E316" i="11"/>
  <c r="G315" i="11"/>
  <c r="F315" i="11"/>
  <c r="E315" i="11"/>
  <c r="G314" i="11"/>
  <c r="F314" i="11"/>
  <c r="E314" i="11"/>
  <c r="G313" i="11"/>
  <c r="F313" i="11"/>
  <c r="E313" i="11"/>
  <c r="G312" i="11"/>
  <c r="F312" i="11"/>
  <c r="E312" i="11"/>
  <c r="G311" i="11"/>
  <c r="F311" i="11"/>
  <c r="E311" i="11"/>
  <c r="G310" i="11"/>
  <c r="F310" i="11"/>
  <c r="E310" i="11"/>
  <c r="G309" i="11"/>
  <c r="F309" i="11"/>
  <c r="E309" i="11"/>
  <c r="A309" i="11"/>
  <c r="G308" i="11"/>
  <c r="F308" i="11"/>
  <c r="E308" i="11"/>
  <c r="G307" i="11"/>
  <c r="F307" i="11"/>
  <c r="E307" i="11"/>
  <c r="G306" i="11"/>
  <c r="F306" i="11"/>
  <c r="E306" i="11"/>
  <c r="G305" i="11"/>
  <c r="F305" i="11"/>
  <c r="E305" i="11"/>
  <c r="G304" i="11"/>
  <c r="F304" i="11"/>
  <c r="E304" i="11"/>
  <c r="A304" i="11"/>
  <c r="G303" i="11"/>
  <c r="F303" i="11"/>
  <c r="E303" i="11"/>
  <c r="G302" i="11"/>
  <c r="F302" i="11"/>
  <c r="E302" i="11"/>
  <c r="G301" i="11"/>
  <c r="F301" i="11"/>
  <c r="E301" i="11"/>
  <c r="G300" i="11"/>
  <c r="F300" i="11"/>
  <c r="E300" i="11"/>
  <c r="G299" i="11"/>
  <c r="F299" i="11"/>
  <c r="E299" i="11"/>
  <c r="G298" i="11"/>
  <c r="F298" i="11"/>
  <c r="E298" i="11"/>
  <c r="G297" i="11"/>
  <c r="F297" i="11"/>
  <c r="E297" i="11"/>
  <c r="G296" i="11"/>
  <c r="F296" i="11"/>
  <c r="E296" i="11"/>
  <c r="G295" i="11"/>
  <c r="F295" i="11"/>
  <c r="E295" i="11"/>
  <c r="G294" i="11"/>
  <c r="F294" i="11"/>
  <c r="E294" i="11"/>
  <c r="G293" i="11"/>
  <c r="F293" i="11"/>
  <c r="E293" i="11"/>
  <c r="G292" i="11"/>
  <c r="F292" i="11"/>
  <c r="E292" i="11"/>
  <c r="G291" i="11"/>
  <c r="F291" i="11"/>
  <c r="E291" i="11"/>
  <c r="G290" i="11"/>
  <c r="F290" i="11"/>
  <c r="E290" i="11"/>
  <c r="G289" i="11"/>
  <c r="F289" i="11"/>
  <c r="E289" i="11"/>
  <c r="G288" i="11"/>
  <c r="F288" i="11"/>
  <c r="E288" i="11"/>
  <c r="G287" i="11"/>
  <c r="F287" i="11"/>
  <c r="E287" i="11"/>
  <c r="G286" i="11"/>
  <c r="F286" i="11"/>
  <c r="E286" i="11"/>
  <c r="G285" i="11"/>
  <c r="F285" i="11"/>
  <c r="E285" i="11"/>
  <c r="G284" i="11"/>
  <c r="F284" i="11"/>
  <c r="E284" i="11"/>
  <c r="G283" i="11"/>
  <c r="F283" i="11"/>
  <c r="E283" i="11"/>
  <c r="G282" i="11"/>
  <c r="F282" i="11"/>
  <c r="E282" i="11"/>
  <c r="G281" i="11"/>
  <c r="F281" i="11"/>
  <c r="E281" i="11"/>
  <c r="G280" i="11"/>
  <c r="F280" i="11"/>
  <c r="E280" i="11"/>
  <c r="G279" i="11"/>
  <c r="F279" i="11"/>
  <c r="E279" i="11"/>
  <c r="A279" i="11"/>
  <c r="G278" i="11"/>
  <c r="F278" i="11"/>
  <c r="E278" i="11"/>
  <c r="G277" i="11"/>
  <c r="F277" i="11"/>
  <c r="E277" i="11"/>
  <c r="G276" i="11"/>
  <c r="F276" i="11"/>
  <c r="E276" i="11"/>
  <c r="G275" i="11"/>
  <c r="F275" i="11"/>
  <c r="E275" i="11"/>
  <c r="G274" i="11"/>
  <c r="F274" i="11"/>
  <c r="E274" i="11"/>
  <c r="G273" i="11"/>
  <c r="F273" i="11"/>
  <c r="E273" i="11"/>
  <c r="G272" i="11"/>
  <c r="F272" i="11"/>
  <c r="E272" i="11"/>
  <c r="G271" i="11"/>
  <c r="F271" i="11"/>
  <c r="E271" i="11"/>
  <c r="G270" i="11"/>
  <c r="F270" i="11"/>
  <c r="E270" i="11"/>
  <c r="G269" i="11"/>
  <c r="F269" i="11"/>
  <c r="E269" i="11"/>
  <c r="G268" i="11"/>
  <c r="F268" i="11"/>
  <c r="E268" i="11"/>
  <c r="G267" i="11"/>
  <c r="F267" i="11"/>
  <c r="E267" i="11"/>
  <c r="G266" i="11"/>
  <c r="F266" i="11"/>
  <c r="E266" i="11"/>
  <c r="G265" i="11"/>
  <c r="F265" i="11"/>
  <c r="E265" i="11"/>
  <c r="G264" i="11"/>
  <c r="F264" i="11"/>
  <c r="E264" i="11"/>
  <c r="G263" i="11"/>
  <c r="F263" i="11"/>
  <c r="E263" i="11"/>
  <c r="G262" i="11"/>
  <c r="F262" i="11"/>
  <c r="E262" i="11"/>
  <c r="G261" i="11"/>
  <c r="F261" i="11"/>
  <c r="E261" i="11"/>
  <c r="G260" i="11"/>
  <c r="F260" i="11"/>
  <c r="E260" i="11"/>
  <c r="G259" i="11"/>
  <c r="F259" i="11"/>
  <c r="E259" i="11"/>
  <c r="G258" i="11"/>
  <c r="F258" i="11"/>
  <c r="E258" i="11"/>
  <c r="G257" i="11"/>
  <c r="F257" i="11"/>
  <c r="E257" i="11"/>
  <c r="G256" i="11"/>
  <c r="F256" i="11"/>
  <c r="E256" i="11"/>
  <c r="G255" i="11"/>
  <c r="F255" i="11"/>
  <c r="E255" i="11"/>
  <c r="G254" i="11"/>
  <c r="F254" i="11"/>
  <c r="E254" i="11"/>
  <c r="G253" i="11"/>
  <c r="F253" i="11"/>
  <c r="E253" i="11"/>
  <c r="G252" i="11"/>
  <c r="F252" i="11"/>
  <c r="E252" i="11"/>
  <c r="G251" i="11"/>
  <c r="F251" i="11"/>
  <c r="E251" i="11"/>
  <c r="G250" i="11"/>
  <c r="F250" i="11"/>
  <c r="E250" i="11"/>
  <c r="G249" i="11"/>
  <c r="F249" i="11"/>
  <c r="E249" i="11"/>
  <c r="G248" i="11"/>
  <c r="F248" i="11"/>
  <c r="E248" i="11"/>
  <c r="G247" i="11"/>
  <c r="F247" i="11"/>
  <c r="E247" i="11"/>
  <c r="G246" i="11"/>
  <c r="F246" i="11"/>
  <c r="E246" i="11"/>
  <c r="G245" i="11"/>
  <c r="F245" i="11"/>
  <c r="E245" i="11"/>
  <c r="G244" i="11"/>
  <c r="F244" i="11"/>
  <c r="E244" i="11"/>
  <c r="D244" i="11"/>
  <c r="G243" i="11"/>
  <c r="F243" i="11"/>
  <c r="E243" i="11"/>
  <c r="G242" i="11"/>
  <c r="F242" i="11"/>
  <c r="E242" i="11"/>
  <c r="G241" i="11"/>
  <c r="F241" i="11"/>
  <c r="E241" i="11"/>
  <c r="G240" i="11"/>
  <c r="F240" i="11"/>
  <c r="E240" i="11"/>
  <c r="G239" i="11"/>
  <c r="F239" i="11"/>
  <c r="E239" i="11"/>
  <c r="G238" i="11"/>
  <c r="F238" i="11"/>
  <c r="E238" i="11"/>
  <c r="G237" i="11"/>
  <c r="F237" i="11"/>
  <c r="E237" i="11"/>
  <c r="G236" i="11"/>
  <c r="F236" i="11"/>
  <c r="E236" i="11"/>
  <c r="G235" i="11"/>
  <c r="F235" i="11"/>
  <c r="E235" i="11"/>
  <c r="G234" i="11"/>
  <c r="F234" i="11"/>
  <c r="E234" i="11"/>
  <c r="G233" i="11"/>
  <c r="F233" i="11"/>
  <c r="E233" i="11"/>
  <c r="G232" i="11"/>
  <c r="F232" i="11"/>
  <c r="E232" i="11"/>
  <c r="G231" i="11"/>
  <c r="F231" i="11"/>
  <c r="E231" i="11"/>
  <c r="G230" i="11"/>
  <c r="F230" i="11"/>
  <c r="E230" i="11"/>
  <c r="G229" i="11"/>
  <c r="F229" i="11"/>
  <c r="E229" i="11"/>
  <c r="G228" i="11"/>
  <c r="F228" i="11"/>
  <c r="E228" i="11"/>
  <c r="C228" i="11"/>
  <c r="G227" i="11"/>
  <c r="F227" i="11"/>
  <c r="E227" i="11"/>
  <c r="G226" i="11"/>
  <c r="F226" i="11"/>
  <c r="E226" i="11"/>
  <c r="G225" i="11"/>
  <c r="F225" i="11"/>
  <c r="E225" i="11"/>
  <c r="G224" i="11"/>
  <c r="F224" i="11"/>
  <c r="E224" i="11"/>
  <c r="G223" i="11"/>
  <c r="F223" i="11"/>
  <c r="E223" i="11"/>
  <c r="G222" i="11"/>
  <c r="F222" i="11"/>
  <c r="E222" i="11"/>
  <c r="A222" i="11"/>
  <c r="G221" i="11"/>
  <c r="F221" i="11"/>
  <c r="E221" i="11"/>
  <c r="D221" i="11"/>
  <c r="G220" i="11"/>
  <c r="F220" i="11"/>
  <c r="E220" i="11"/>
  <c r="G219" i="11"/>
  <c r="F219" i="11"/>
  <c r="E219" i="11"/>
  <c r="G218" i="11"/>
  <c r="F218" i="11"/>
  <c r="E218" i="11"/>
  <c r="G217" i="11"/>
  <c r="F217" i="11"/>
  <c r="E217" i="11"/>
  <c r="G216" i="11"/>
  <c r="F216" i="11"/>
  <c r="E216" i="11"/>
  <c r="G215" i="11"/>
  <c r="F215" i="11"/>
  <c r="E215" i="11"/>
  <c r="G214" i="11"/>
  <c r="F214" i="11"/>
  <c r="E214" i="11"/>
  <c r="G213" i="11"/>
  <c r="F213" i="11"/>
  <c r="E213" i="11"/>
  <c r="G212" i="11"/>
  <c r="F212" i="11"/>
  <c r="E212" i="11"/>
  <c r="G211" i="11"/>
  <c r="F211" i="11"/>
  <c r="E211" i="11"/>
  <c r="G210" i="11"/>
  <c r="F210" i="11"/>
  <c r="E210" i="11"/>
  <c r="G209" i="11"/>
  <c r="F209" i="11"/>
  <c r="E209" i="11"/>
  <c r="G208" i="11"/>
  <c r="F208" i="11"/>
  <c r="E208" i="11"/>
  <c r="G207" i="11"/>
  <c r="F207" i="11"/>
  <c r="E207" i="11"/>
  <c r="G206" i="11"/>
  <c r="F206" i="11"/>
  <c r="E206" i="11"/>
  <c r="G205" i="11"/>
  <c r="F205" i="11"/>
  <c r="E205" i="11"/>
  <c r="G204" i="11"/>
  <c r="F204" i="11"/>
  <c r="E204" i="11"/>
  <c r="G203" i="11"/>
  <c r="F203" i="11"/>
  <c r="E203" i="11"/>
  <c r="G202" i="11"/>
  <c r="F202" i="11"/>
  <c r="E202" i="11"/>
  <c r="G201" i="11"/>
  <c r="F201" i="11"/>
  <c r="E201" i="11"/>
  <c r="G200" i="11"/>
  <c r="F200" i="11"/>
  <c r="E200" i="11"/>
  <c r="G199" i="11"/>
  <c r="F199" i="11"/>
  <c r="E199" i="11"/>
  <c r="G198" i="11"/>
  <c r="F198" i="11"/>
  <c r="E198" i="11"/>
  <c r="G197" i="11"/>
  <c r="F197" i="11"/>
  <c r="E197" i="11"/>
  <c r="G196" i="11"/>
  <c r="F196" i="11"/>
  <c r="E196" i="11"/>
  <c r="G195" i="11"/>
  <c r="F195" i="11"/>
  <c r="E195" i="11"/>
  <c r="G194" i="11"/>
  <c r="F194" i="11"/>
  <c r="E194" i="11"/>
  <c r="G193" i="11"/>
  <c r="F193" i="11"/>
  <c r="E193" i="11"/>
  <c r="G192" i="11"/>
  <c r="F192" i="11"/>
  <c r="E192" i="11"/>
  <c r="A192" i="11"/>
  <c r="G191" i="11"/>
  <c r="F191" i="11"/>
  <c r="E191" i="11"/>
  <c r="G190" i="11"/>
  <c r="F190" i="11"/>
  <c r="E190" i="11"/>
  <c r="G189" i="11"/>
  <c r="F189" i="11"/>
  <c r="E189" i="11"/>
  <c r="G188" i="11"/>
  <c r="F188" i="11"/>
  <c r="E188" i="11"/>
  <c r="G187" i="11"/>
  <c r="F187" i="11"/>
  <c r="E187" i="11"/>
  <c r="G186" i="11"/>
  <c r="F186" i="11"/>
  <c r="E186" i="11"/>
  <c r="G185" i="11"/>
  <c r="F185" i="11"/>
  <c r="E185" i="11"/>
  <c r="G184" i="11"/>
  <c r="F184" i="11"/>
  <c r="E184" i="11"/>
  <c r="G183" i="11"/>
  <c r="F183" i="11"/>
  <c r="E183" i="11"/>
  <c r="G182" i="11"/>
  <c r="F182" i="11"/>
  <c r="E182" i="11"/>
  <c r="G181" i="11"/>
  <c r="F181" i="11"/>
  <c r="E181" i="11"/>
  <c r="G180" i="11"/>
  <c r="F180" i="11"/>
  <c r="E180" i="11"/>
  <c r="G179" i="11"/>
  <c r="F179" i="11"/>
  <c r="E179" i="11"/>
  <c r="G178" i="11"/>
  <c r="F178" i="11"/>
  <c r="E178" i="11"/>
  <c r="G177" i="11"/>
  <c r="F177" i="11"/>
  <c r="E177" i="11"/>
  <c r="G176" i="11"/>
  <c r="F176" i="11"/>
  <c r="E176" i="11"/>
  <c r="G175" i="11"/>
  <c r="F175" i="11"/>
  <c r="E175" i="11"/>
  <c r="G174" i="11"/>
  <c r="F174" i="11"/>
  <c r="E174" i="11"/>
  <c r="G173" i="11"/>
  <c r="F173" i="11"/>
  <c r="E173" i="11"/>
  <c r="G172" i="11"/>
  <c r="F172" i="11"/>
  <c r="E172" i="11"/>
  <c r="G171" i="11"/>
  <c r="F171" i="11"/>
  <c r="E171" i="11"/>
  <c r="G170" i="11"/>
  <c r="F170" i="11"/>
  <c r="E170" i="11"/>
  <c r="G169" i="11"/>
  <c r="F169" i="11"/>
  <c r="E169" i="11"/>
  <c r="G168" i="11"/>
  <c r="F168" i="11"/>
  <c r="E168" i="11"/>
  <c r="G167" i="11"/>
  <c r="F167" i="11"/>
  <c r="E167" i="11"/>
  <c r="G166" i="11"/>
  <c r="F166" i="11"/>
  <c r="E166" i="11"/>
  <c r="G165" i="11"/>
  <c r="F165" i="11"/>
  <c r="E165" i="11"/>
  <c r="G164" i="11"/>
  <c r="F164" i="11"/>
  <c r="E164" i="11"/>
  <c r="G163" i="11"/>
  <c r="F163" i="11"/>
  <c r="E163" i="11"/>
  <c r="G162" i="11"/>
  <c r="F162" i="11"/>
  <c r="E162" i="11"/>
  <c r="G161" i="11"/>
  <c r="F161" i="11"/>
  <c r="E161" i="11"/>
  <c r="G160" i="11"/>
  <c r="F160" i="11"/>
  <c r="E160" i="11"/>
  <c r="G159" i="11"/>
  <c r="F159" i="11"/>
  <c r="E159" i="11"/>
  <c r="G158" i="11"/>
  <c r="F158" i="11"/>
  <c r="E158" i="11"/>
  <c r="G157" i="11"/>
  <c r="F157" i="11"/>
  <c r="E157" i="11"/>
  <c r="G156" i="11"/>
  <c r="F156" i="11"/>
  <c r="E156" i="11"/>
  <c r="G155" i="11"/>
  <c r="F155" i="11"/>
  <c r="E155" i="11"/>
  <c r="G154" i="11"/>
  <c r="F154" i="11"/>
  <c r="E154" i="11"/>
  <c r="G153" i="11"/>
  <c r="F153" i="11"/>
  <c r="E153" i="11"/>
  <c r="G152" i="11"/>
  <c r="F152" i="11"/>
  <c r="E152" i="11"/>
  <c r="G151" i="11"/>
  <c r="F151" i="11"/>
  <c r="E151" i="11"/>
  <c r="G150" i="11"/>
  <c r="F150" i="11"/>
  <c r="E150" i="11"/>
  <c r="G149" i="11"/>
  <c r="F149" i="11"/>
  <c r="E149" i="11"/>
  <c r="G148" i="11"/>
  <c r="F148" i="11"/>
  <c r="E148" i="11"/>
  <c r="G147" i="11"/>
  <c r="F147" i="11"/>
  <c r="E147" i="11"/>
  <c r="G146" i="11"/>
  <c r="F146" i="11"/>
  <c r="E146" i="11"/>
  <c r="G145" i="11"/>
  <c r="F145" i="11"/>
  <c r="E145" i="11"/>
  <c r="G144" i="11"/>
  <c r="F144" i="11"/>
  <c r="E144" i="11"/>
  <c r="G143" i="11"/>
  <c r="F143" i="11"/>
  <c r="E143" i="11"/>
  <c r="G142" i="11"/>
  <c r="F142" i="11"/>
  <c r="E142" i="11"/>
  <c r="G141" i="11"/>
  <c r="F141" i="11"/>
  <c r="E141" i="11"/>
  <c r="G140" i="11"/>
  <c r="F140" i="11"/>
  <c r="E140" i="11"/>
  <c r="G139" i="11"/>
  <c r="F139" i="11"/>
  <c r="E139" i="11"/>
  <c r="G138" i="11"/>
  <c r="F138" i="11"/>
  <c r="E138" i="11"/>
  <c r="G137" i="11"/>
  <c r="F137" i="11"/>
  <c r="E137" i="11"/>
  <c r="G136" i="11"/>
  <c r="F136" i="11"/>
  <c r="E136" i="11"/>
  <c r="G135" i="11"/>
  <c r="F135" i="11"/>
  <c r="E135" i="11"/>
  <c r="G134" i="11"/>
  <c r="F134" i="11"/>
  <c r="E134" i="11"/>
  <c r="G133" i="11"/>
  <c r="F133" i="11"/>
  <c r="E133" i="11"/>
  <c r="G132" i="11"/>
  <c r="F132" i="11"/>
  <c r="E132" i="11"/>
  <c r="G131" i="11"/>
  <c r="F131" i="11"/>
  <c r="E131" i="11"/>
  <c r="G130" i="11"/>
  <c r="F130" i="11"/>
  <c r="E130" i="11"/>
  <c r="G129" i="11"/>
  <c r="F129" i="11"/>
  <c r="E129" i="11"/>
  <c r="G128" i="11"/>
  <c r="F128" i="11"/>
  <c r="E128" i="11"/>
  <c r="G127" i="11"/>
  <c r="F127" i="11"/>
  <c r="E127" i="11"/>
  <c r="A127" i="11"/>
  <c r="G126" i="11"/>
  <c r="F126" i="11"/>
  <c r="E126" i="11"/>
  <c r="G125" i="11"/>
  <c r="F125" i="11"/>
  <c r="E125" i="11"/>
  <c r="G124" i="11"/>
  <c r="F124" i="11"/>
  <c r="E124" i="11"/>
  <c r="G123" i="11"/>
  <c r="F123" i="11"/>
  <c r="E123" i="11"/>
  <c r="G122" i="11"/>
  <c r="F122" i="11"/>
  <c r="E122" i="11"/>
  <c r="G121" i="11"/>
  <c r="F121" i="11"/>
  <c r="E121" i="11"/>
  <c r="G120" i="11"/>
  <c r="F120" i="11"/>
  <c r="E120" i="11"/>
  <c r="G119" i="11"/>
  <c r="F119" i="11"/>
  <c r="E119" i="11"/>
  <c r="A119" i="11"/>
  <c r="G118" i="11"/>
  <c r="F118" i="11"/>
  <c r="E118" i="11"/>
  <c r="G117" i="11"/>
  <c r="F117" i="11"/>
  <c r="E117" i="11"/>
  <c r="G116" i="11"/>
  <c r="F116" i="11"/>
  <c r="E116" i="11"/>
  <c r="G115" i="11"/>
  <c r="F115" i="11"/>
  <c r="E115" i="11"/>
  <c r="G114" i="11"/>
  <c r="F114" i="11"/>
  <c r="E114" i="11"/>
  <c r="G113" i="11"/>
  <c r="F113" i="11"/>
  <c r="E113" i="11"/>
  <c r="G112" i="11"/>
  <c r="F112" i="11"/>
  <c r="E112" i="11"/>
  <c r="A112" i="11"/>
  <c r="G111" i="11"/>
  <c r="F111" i="11"/>
  <c r="E111" i="11"/>
  <c r="G110" i="11"/>
  <c r="F110" i="11"/>
  <c r="E110" i="11"/>
  <c r="G109" i="11"/>
  <c r="F109" i="11"/>
  <c r="E109" i="11"/>
  <c r="G108" i="11"/>
  <c r="F108" i="11"/>
  <c r="E108" i="11"/>
  <c r="G107" i="11"/>
  <c r="F107" i="11"/>
  <c r="E107" i="11"/>
  <c r="A107" i="11"/>
  <c r="G106" i="11"/>
  <c r="F106" i="11"/>
  <c r="E106" i="11"/>
  <c r="G105" i="11"/>
  <c r="F105" i="11"/>
  <c r="E105" i="11"/>
  <c r="G104" i="11"/>
  <c r="F104" i="11"/>
  <c r="E104" i="11"/>
  <c r="G103" i="11"/>
  <c r="F103" i="11"/>
  <c r="E103" i="11"/>
  <c r="G102" i="11"/>
  <c r="F102" i="11"/>
  <c r="E102" i="11"/>
  <c r="G101" i="11"/>
  <c r="F101" i="11"/>
  <c r="E101" i="11"/>
  <c r="G100" i="11"/>
  <c r="F100" i="11"/>
  <c r="E100" i="11"/>
  <c r="G99" i="11"/>
  <c r="F99" i="11"/>
  <c r="E99" i="11"/>
  <c r="G98" i="11"/>
  <c r="F98" i="11"/>
  <c r="E98" i="11"/>
  <c r="G97" i="11"/>
  <c r="F97" i="11"/>
  <c r="E97" i="11"/>
  <c r="G96" i="11"/>
  <c r="F96" i="11"/>
  <c r="E96" i="11"/>
  <c r="G95" i="11"/>
  <c r="F95" i="11"/>
  <c r="E95" i="11"/>
  <c r="G94" i="11"/>
  <c r="F94" i="11"/>
  <c r="E94" i="11"/>
  <c r="G93" i="11"/>
  <c r="F93" i="11"/>
  <c r="E93" i="11"/>
  <c r="G92" i="11"/>
  <c r="F92" i="11"/>
  <c r="E92" i="11"/>
  <c r="G91" i="11"/>
  <c r="F91" i="11"/>
  <c r="E91" i="11"/>
  <c r="G90" i="11"/>
  <c r="F90" i="11"/>
  <c r="E90" i="11"/>
  <c r="G89" i="11"/>
  <c r="F89" i="11"/>
  <c r="E89" i="11"/>
  <c r="G88" i="11"/>
  <c r="F88" i="11"/>
  <c r="E88" i="11"/>
  <c r="D88" i="11"/>
  <c r="C88" i="11"/>
  <c r="G87" i="11"/>
  <c r="F87" i="11"/>
  <c r="E87" i="11"/>
  <c r="G86" i="11"/>
  <c r="F86" i="11"/>
  <c r="E86" i="11"/>
  <c r="G85" i="11"/>
  <c r="F85" i="11"/>
  <c r="E85" i="11"/>
  <c r="G84" i="11"/>
  <c r="F84" i="11"/>
  <c r="E84" i="11"/>
  <c r="G83" i="11"/>
  <c r="F83" i="11"/>
  <c r="E83" i="11"/>
  <c r="G82" i="11"/>
  <c r="F82" i="11"/>
  <c r="E82" i="11"/>
  <c r="G81" i="11"/>
  <c r="F81" i="11"/>
  <c r="E81" i="11"/>
  <c r="G80" i="11"/>
  <c r="F80" i="11"/>
  <c r="E80" i="11"/>
  <c r="G79" i="11"/>
  <c r="F79" i="11"/>
  <c r="E79" i="11"/>
  <c r="G78" i="11"/>
  <c r="F78" i="11"/>
  <c r="E78" i="11"/>
  <c r="G77" i="11"/>
  <c r="F77" i="11"/>
  <c r="E77" i="11"/>
  <c r="G76" i="11"/>
  <c r="F76" i="11"/>
  <c r="E76" i="11"/>
  <c r="G75" i="11"/>
  <c r="F75" i="11"/>
  <c r="E75" i="11"/>
  <c r="G74" i="11"/>
  <c r="F74" i="11"/>
  <c r="E74" i="11"/>
  <c r="G73" i="11"/>
  <c r="F73" i="11"/>
  <c r="E73" i="11"/>
  <c r="G72" i="11"/>
  <c r="F72" i="11"/>
  <c r="E72" i="11"/>
  <c r="G71" i="11"/>
  <c r="F71" i="11"/>
  <c r="E71" i="11"/>
  <c r="G70" i="11"/>
  <c r="F70" i="11"/>
  <c r="E70" i="11"/>
  <c r="G69" i="11"/>
  <c r="F69" i="11"/>
  <c r="E69" i="11"/>
  <c r="G68" i="11"/>
  <c r="F68" i="11"/>
  <c r="E68" i="11"/>
  <c r="D68" i="11"/>
  <c r="C68" i="11"/>
  <c r="G67" i="11"/>
  <c r="F67" i="11"/>
  <c r="E67" i="11"/>
  <c r="G66" i="11"/>
  <c r="F66" i="11"/>
  <c r="E66" i="11"/>
  <c r="G65" i="11"/>
  <c r="F65" i="11"/>
  <c r="E65" i="11"/>
  <c r="G64" i="11"/>
  <c r="F64" i="11"/>
  <c r="E64" i="11"/>
  <c r="G63" i="11"/>
  <c r="F63" i="11"/>
  <c r="E63" i="11"/>
  <c r="G62" i="11"/>
  <c r="F62" i="11"/>
  <c r="E62" i="11"/>
  <c r="G61" i="11"/>
  <c r="F61" i="11"/>
  <c r="E61" i="11"/>
  <c r="G60" i="11"/>
  <c r="F60" i="11"/>
  <c r="E60" i="11"/>
  <c r="G59" i="11"/>
  <c r="F59" i="11"/>
  <c r="E59" i="11"/>
  <c r="G58" i="11"/>
  <c r="F58" i="11"/>
  <c r="E58" i="11"/>
  <c r="G57" i="11"/>
  <c r="F57" i="11"/>
  <c r="E57" i="11"/>
  <c r="G56" i="11"/>
  <c r="F56" i="11"/>
  <c r="E56" i="11"/>
  <c r="G55" i="11"/>
  <c r="F55" i="11"/>
  <c r="E55" i="11"/>
  <c r="G54" i="11"/>
  <c r="F54" i="11"/>
  <c r="E54" i="11"/>
  <c r="G53" i="11"/>
  <c r="F53" i="11"/>
  <c r="E53" i="11"/>
  <c r="G52" i="11"/>
  <c r="F52" i="11"/>
  <c r="E52" i="11"/>
  <c r="G51" i="11"/>
  <c r="F51" i="11"/>
  <c r="E51" i="11"/>
  <c r="G50" i="11"/>
  <c r="F50" i="11"/>
  <c r="E50" i="11"/>
  <c r="G49" i="11"/>
  <c r="F49" i="11"/>
  <c r="E49" i="11"/>
  <c r="G48" i="11"/>
  <c r="F48" i="11"/>
  <c r="E48" i="11"/>
  <c r="G47" i="11"/>
  <c r="F47" i="11"/>
  <c r="E47" i="11"/>
  <c r="G46" i="11"/>
  <c r="F46" i="11"/>
  <c r="E46" i="11"/>
  <c r="G45" i="11"/>
  <c r="F45" i="11"/>
  <c r="E45" i="11"/>
  <c r="G44" i="11"/>
  <c r="F44" i="11"/>
  <c r="E44" i="11"/>
  <c r="U43" i="11"/>
  <c r="T43" i="11"/>
  <c r="G43" i="11"/>
  <c r="F43" i="11"/>
  <c r="E43" i="11"/>
  <c r="G42" i="11"/>
  <c r="F42" i="11"/>
  <c r="E42" i="11"/>
  <c r="G41" i="11"/>
  <c r="F41" i="11"/>
  <c r="E41" i="11"/>
  <c r="G40" i="11"/>
  <c r="F40" i="11"/>
  <c r="E40" i="11"/>
  <c r="U39" i="11"/>
  <c r="G39" i="11"/>
  <c r="F39" i="11"/>
  <c r="E39" i="11"/>
  <c r="A39" i="11"/>
  <c r="G38" i="11"/>
  <c r="F38" i="11"/>
  <c r="E38" i="11"/>
  <c r="U37" i="11"/>
  <c r="G37" i="11"/>
  <c r="F37" i="11"/>
  <c r="E37" i="11"/>
  <c r="G36" i="11"/>
  <c r="F36" i="11"/>
  <c r="E36" i="11"/>
  <c r="G35" i="11"/>
  <c r="F35" i="11"/>
  <c r="E35" i="11"/>
  <c r="G34" i="11"/>
  <c r="F34" i="11"/>
  <c r="E34" i="11"/>
  <c r="U33" i="11"/>
  <c r="G33" i="11"/>
  <c r="F33" i="11"/>
  <c r="E33" i="11"/>
  <c r="G32" i="11"/>
  <c r="F32" i="11"/>
  <c r="E32" i="11"/>
  <c r="U31" i="11"/>
  <c r="G31" i="11"/>
  <c r="F31" i="11"/>
  <c r="E31" i="11"/>
  <c r="G30" i="11"/>
  <c r="F30" i="11"/>
  <c r="E30" i="11"/>
  <c r="G29" i="11"/>
  <c r="F29" i="11"/>
  <c r="E29" i="11"/>
  <c r="G28" i="11"/>
  <c r="F28" i="11"/>
  <c r="E28" i="11"/>
  <c r="U27" i="11"/>
  <c r="G27" i="11"/>
  <c r="F27" i="11"/>
  <c r="E27" i="11"/>
  <c r="G26" i="11"/>
  <c r="F26" i="11"/>
  <c r="E26" i="11"/>
  <c r="G25" i="11"/>
  <c r="F25" i="11"/>
  <c r="E25" i="11"/>
  <c r="U24" i="11"/>
  <c r="G24" i="11"/>
  <c r="F24" i="11"/>
  <c r="E24" i="11"/>
  <c r="G23" i="11"/>
  <c r="F23" i="11"/>
  <c r="E23" i="11"/>
  <c r="G22" i="11"/>
  <c r="F22" i="11"/>
  <c r="E22" i="11"/>
  <c r="G21" i="11"/>
  <c r="F21" i="11"/>
  <c r="E21" i="11"/>
  <c r="G20" i="11"/>
  <c r="F20" i="11"/>
  <c r="E20" i="11"/>
  <c r="U19" i="11"/>
  <c r="G19" i="11"/>
  <c r="F19" i="11"/>
  <c r="E19" i="11"/>
  <c r="C19" i="11"/>
  <c r="U18" i="11"/>
  <c r="G18" i="11"/>
  <c r="F18" i="11"/>
  <c r="E18" i="11"/>
  <c r="G17" i="11"/>
  <c r="F17" i="11"/>
  <c r="E17" i="11"/>
  <c r="G16" i="11"/>
  <c r="F16" i="11"/>
  <c r="E16" i="11"/>
  <c r="D16" i="11"/>
  <c r="G15" i="11"/>
  <c r="F15" i="11"/>
  <c r="E15" i="11"/>
  <c r="G14" i="11"/>
  <c r="F14" i="11"/>
  <c r="E14" i="11"/>
  <c r="U13" i="11"/>
  <c r="T13" i="11"/>
  <c r="G13" i="11"/>
  <c r="F13" i="11"/>
  <c r="E13" i="11"/>
  <c r="U12" i="11"/>
  <c r="G12" i="11"/>
  <c r="F12" i="11"/>
  <c r="E12" i="11"/>
  <c r="G11" i="11"/>
  <c r="F11" i="11"/>
  <c r="E11" i="11"/>
  <c r="G10" i="11"/>
  <c r="F10" i="11"/>
  <c r="E10" i="11"/>
  <c r="G9" i="11"/>
  <c r="F9" i="11"/>
  <c r="E9" i="11"/>
  <c r="G8" i="11"/>
  <c r="F8" i="11"/>
  <c r="E8" i="11"/>
  <c r="G7" i="11"/>
  <c r="F7" i="11"/>
  <c r="E7" i="11"/>
  <c r="Q6" i="11"/>
  <c r="G6" i="11"/>
  <c r="F6" i="11"/>
  <c r="E6" i="11"/>
  <c r="I6" i="11" s="1"/>
  <c r="Q5" i="11"/>
  <c r="U25" i="11" s="1"/>
  <c r="G5" i="11"/>
  <c r="F5" i="11"/>
  <c r="E5" i="11"/>
  <c r="I5" i="11" s="1"/>
  <c r="Q4" i="11"/>
  <c r="I4" i="11"/>
  <c r="G4" i="11"/>
  <c r="F4" i="11"/>
  <c r="E4" i="11"/>
  <c r="Q3" i="11"/>
  <c r="I3" i="11"/>
  <c r="G3" i="11"/>
  <c r="F3" i="11"/>
  <c r="E3" i="11"/>
  <c r="G2" i="11"/>
  <c r="K2" i="11" s="1"/>
  <c r="F2" i="11"/>
  <c r="J2" i="11" s="1"/>
  <c r="E2" i="11"/>
  <c r="I2" i="11" s="1"/>
  <c r="AV68" i="10"/>
  <c r="AR68" i="10"/>
  <c r="K68" i="10"/>
  <c r="AV67" i="10"/>
  <c r="AR67" i="10"/>
  <c r="AQ67" i="10"/>
  <c r="K67" i="10"/>
  <c r="AV66" i="10"/>
  <c r="AR66" i="10"/>
  <c r="K66" i="10"/>
  <c r="AV65" i="10"/>
  <c r="AR65" i="10"/>
  <c r="AQ65" i="10"/>
  <c r="K65" i="10"/>
  <c r="W65" i="20" s="1"/>
  <c r="AV64" i="10"/>
  <c r="AR64" i="10"/>
  <c r="AQ64" i="10"/>
  <c r="K64" i="10"/>
  <c r="W64" i="20" s="1"/>
  <c r="AV63" i="10"/>
  <c r="AR63" i="10"/>
  <c r="AQ63" i="10"/>
  <c r="K63" i="10"/>
  <c r="W63" i="20" s="1"/>
  <c r="AV62" i="10"/>
  <c r="AR62" i="10"/>
  <c r="K62" i="10"/>
  <c r="AV61" i="10"/>
  <c r="AR61" i="10"/>
  <c r="K61" i="10"/>
  <c r="AV60" i="10"/>
  <c r="AR60" i="10"/>
  <c r="K60" i="10"/>
  <c r="AV59" i="10"/>
  <c r="AR59" i="10"/>
  <c r="AQ59" i="10"/>
  <c r="K59" i="10"/>
  <c r="W59" i="20" s="1"/>
  <c r="AV58" i="10"/>
  <c r="AR58" i="10"/>
  <c r="K58" i="10"/>
  <c r="L58" i="10" s="1"/>
  <c r="O58" i="10" s="1"/>
  <c r="F19" i="18" s="1"/>
  <c r="H19" i="18" s="1"/>
  <c r="AV57" i="10"/>
  <c r="AR57" i="10"/>
  <c r="K57" i="10"/>
  <c r="L57" i="10" s="1"/>
  <c r="AV56" i="10"/>
  <c r="AR56" i="10"/>
  <c r="AQ56" i="10"/>
  <c r="K56" i="10"/>
  <c r="W56" i="20" s="1"/>
  <c r="AV55" i="10"/>
  <c r="AR55" i="10"/>
  <c r="K55" i="10"/>
  <c r="AV54" i="10"/>
  <c r="AR54" i="10"/>
  <c r="K54" i="10"/>
  <c r="AV53" i="10"/>
  <c r="AR53" i="10"/>
  <c r="AQ53" i="10"/>
  <c r="K53" i="10"/>
  <c r="W53" i="20" s="1"/>
  <c r="AV52" i="10"/>
  <c r="AR52" i="10"/>
  <c r="K52" i="10"/>
  <c r="AV51" i="10"/>
  <c r="AR51" i="10"/>
  <c r="L51" i="10"/>
  <c r="K51" i="10"/>
  <c r="AV50" i="10"/>
  <c r="AR50" i="10"/>
  <c r="K50" i="10"/>
  <c r="AQ50" i="10" s="1"/>
  <c r="AV49" i="10"/>
  <c r="AR49" i="10"/>
  <c r="K49" i="10"/>
  <c r="AV48" i="10"/>
  <c r="AR48" i="10"/>
  <c r="K48" i="10"/>
  <c r="AV47" i="10"/>
  <c r="AR47" i="10"/>
  <c r="K47" i="10"/>
  <c r="L47" i="10" s="1"/>
  <c r="AV46" i="10"/>
  <c r="AR46" i="10"/>
  <c r="K46" i="10"/>
  <c r="AV45" i="10"/>
  <c r="AR45" i="10"/>
  <c r="K45" i="10"/>
  <c r="W45" i="20" s="1"/>
  <c r="AV44" i="10"/>
  <c r="AR44" i="10"/>
  <c r="AQ44" i="10"/>
  <c r="K44" i="10"/>
  <c r="W44" i="20" s="1"/>
  <c r="AV43" i="10"/>
  <c r="AR43" i="10"/>
  <c r="K43" i="10"/>
  <c r="AV42" i="10"/>
  <c r="AR42" i="10"/>
  <c r="L42" i="10"/>
  <c r="K42" i="10"/>
  <c r="AV41" i="10"/>
  <c r="AR41" i="10"/>
  <c r="K41" i="10"/>
  <c r="AV40" i="10"/>
  <c r="AR40" i="10"/>
  <c r="K40" i="10"/>
  <c r="L40" i="10" s="1"/>
  <c r="AN40" i="10" s="1"/>
  <c r="Q40" i="20" s="1"/>
  <c r="AV39" i="10"/>
  <c r="AR39" i="10"/>
  <c r="AQ39" i="10"/>
  <c r="K39" i="10"/>
  <c r="AV38" i="10"/>
  <c r="AR38" i="10"/>
  <c r="K38" i="10"/>
  <c r="L38" i="10" s="1"/>
  <c r="AV37" i="10"/>
  <c r="AU37" i="10"/>
  <c r="AR37" i="10"/>
  <c r="L37" i="10"/>
  <c r="K37" i="10"/>
  <c r="AV36" i="10"/>
  <c r="AR36" i="10"/>
  <c r="AQ36" i="10"/>
  <c r="K36" i="10"/>
  <c r="AV35" i="10"/>
  <c r="AR35" i="10"/>
  <c r="K35" i="10"/>
  <c r="AV34" i="10"/>
  <c r="AR34" i="10"/>
  <c r="K34" i="10"/>
  <c r="AV33" i="10"/>
  <c r="AR33" i="10"/>
  <c r="AQ33" i="10"/>
  <c r="T33" i="10"/>
  <c r="L33" i="10"/>
  <c r="O33" i="10" s="1"/>
  <c r="K33" i="10"/>
  <c r="W33" i="20" s="1"/>
  <c r="AV32" i="10"/>
  <c r="AR32" i="10"/>
  <c r="K32" i="10"/>
  <c r="AV31" i="10"/>
  <c r="AR31" i="10"/>
  <c r="K31" i="10"/>
  <c r="L31" i="10" s="1"/>
  <c r="AV30" i="10"/>
  <c r="AR30" i="10"/>
  <c r="K30" i="10"/>
  <c r="AV29" i="10"/>
  <c r="AR29" i="10"/>
  <c r="AQ29" i="10"/>
  <c r="L29" i="10"/>
  <c r="K29" i="10"/>
  <c r="W29" i="20" s="1"/>
  <c r="AV28" i="10"/>
  <c r="AR28" i="10"/>
  <c r="K28" i="10"/>
  <c r="AV27" i="10"/>
  <c r="AR27" i="10"/>
  <c r="K27" i="10"/>
  <c r="W27" i="20" s="1"/>
  <c r="AV26" i="10"/>
  <c r="AR26" i="10"/>
  <c r="K26" i="10"/>
  <c r="AV25" i="10"/>
  <c r="AR25" i="10"/>
  <c r="K25" i="10"/>
  <c r="AV24" i="10"/>
  <c r="AR24" i="10"/>
  <c r="K24" i="10"/>
  <c r="AV23" i="10"/>
  <c r="AR23" i="10"/>
  <c r="L23" i="10"/>
  <c r="O23" i="10" s="1"/>
  <c r="K23" i="10"/>
  <c r="AV22" i="10"/>
  <c r="AR22" i="10"/>
  <c r="K22" i="10"/>
  <c r="AV21" i="10"/>
  <c r="AR21" i="10"/>
  <c r="K21" i="10"/>
  <c r="W21" i="20" s="1"/>
  <c r="AV20" i="10"/>
  <c r="AR20" i="10"/>
  <c r="K20" i="10"/>
  <c r="AV19" i="10"/>
  <c r="AR19" i="10"/>
  <c r="K19" i="10"/>
  <c r="AV18" i="10"/>
  <c r="AR18" i="10"/>
  <c r="K18" i="10"/>
  <c r="AV17" i="10"/>
  <c r="AR17" i="10"/>
  <c r="AQ17" i="10"/>
  <c r="K17" i="10"/>
  <c r="W17" i="20" s="1"/>
  <c r="AV16" i="10"/>
  <c r="AR16" i="10"/>
  <c r="AQ16" i="10"/>
  <c r="K16" i="10"/>
  <c r="AV15" i="10"/>
  <c r="AR15" i="10"/>
  <c r="K15" i="10"/>
  <c r="AV14" i="10"/>
  <c r="AR14" i="10"/>
  <c r="K14" i="10"/>
  <c r="AV13" i="10"/>
  <c r="AR13" i="10"/>
  <c r="K13" i="10"/>
  <c r="AV12" i="10"/>
  <c r="AR12" i="10"/>
  <c r="L12" i="10"/>
  <c r="K12" i="10"/>
  <c r="AV11" i="10"/>
  <c r="AR11" i="10"/>
  <c r="AQ11" i="10"/>
  <c r="L11" i="10"/>
  <c r="K11" i="10"/>
  <c r="W11" i="20" s="1"/>
  <c r="AV10" i="10"/>
  <c r="AR10" i="10"/>
  <c r="K10" i="10"/>
  <c r="AV9" i="10"/>
  <c r="AR9" i="10"/>
  <c r="L9" i="10"/>
  <c r="K9" i="10"/>
  <c r="AV8" i="10"/>
  <c r="AR8" i="10"/>
  <c r="L8" i="10"/>
  <c r="AU8" i="10" s="1"/>
  <c r="K8" i="10"/>
  <c r="AV7" i="10"/>
  <c r="AR7" i="10"/>
  <c r="L7" i="10"/>
  <c r="K7" i="10"/>
  <c r="AV6" i="10"/>
  <c r="AR6" i="10"/>
  <c r="K6" i="10"/>
  <c r="AV5" i="10"/>
  <c r="AR5" i="10"/>
  <c r="K5" i="10"/>
  <c r="AV4" i="10"/>
  <c r="AR4" i="10"/>
  <c r="K4" i="10"/>
  <c r="L4" i="10" s="1"/>
  <c r="O4" i="10" s="1"/>
  <c r="AV3" i="10"/>
  <c r="AU3" i="10"/>
  <c r="AR3" i="10"/>
  <c r="K3" i="10"/>
  <c r="L3" i="10" s="1"/>
  <c r="AV2" i="10"/>
  <c r="AR2" i="10"/>
  <c r="L2" i="10"/>
  <c r="AU2" i="10" s="1"/>
  <c r="K2" i="10"/>
  <c r="AQ2" i="10" s="1"/>
  <c r="E823" i="9"/>
  <c r="L822" i="9"/>
  <c r="E822" i="9"/>
  <c r="I822" i="16" s="1"/>
  <c r="M822" i="16" s="1"/>
  <c r="D822" i="9"/>
  <c r="E821" i="9"/>
  <c r="E820" i="9"/>
  <c r="E819" i="9"/>
  <c r="D819" i="9"/>
  <c r="E818" i="9"/>
  <c r="D818" i="9"/>
  <c r="E817" i="9"/>
  <c r="E816" i="9"/>
  <c r="D816" i="9"/>
  <c r="E815" i="9"/>
  <c r="G815" i="19" s="1"/>
  <c r="J815" i="19" s="1"/>
  <c r="E814" i="9"/>
  <c r="E813" i="9"/>
  <c r="E812" i="9"/>
  <c r="E811" i="9"/>
  <c r="E810" i="9"/>
  <c r="E809" i="9"/>
  <c r="E808" i="9"/>
  <c r="E807" i="9"/>
  <c r="E806" i="9"/>
  <c r="E805" i="9"/>
  <c r="D805" i="9"/>
  <c r="E804" i="9"/>
  <c r="E803" i="9"/>
  <c r="D803" i="9"/>
  <c r="E802" i="9"/>
  <c r="D802" i="9"/>
  <c r="E801" i="9"/>
  <c r="E800" i="9"/>
  <c r="E799" i="9"/>
  <c r="E798" i="9"/>
  <c r="E797" i="9"/>
  <c r="E796" i="9"/>
  <c r="D796" i="9"/>
  <c r="E795" i="9"/>
  <c r="A795" i="9"/>
  <c r="E794" i="9"/>
  <c r="D794" i="9"/>
  <c r="E793" i="9"/>
  <c r="E792" i="9"/>
  <c r="F791" i="9"/>
  <c r="E791" i="9"/>
  <c r="D791" i="9"/>
  <c r="F790" i="9"/>
  <c r="E790" i="9"/>
  <c r="F789" i="9"/>
  <c r="E789" i="9"/>
  <c r="F788" i="9"/>
  <c r="E788" i="9"/>
  <c r="F787" i="9"/>
  <c r="E787" i="9"/>
  <c r="D787" i="9"/>
  <c r="F786" i="9"/>
  <c r="E786" i="9"/>
  <c r="F785" i="9"/>
  <c r="E785" i="9"/>
  <c r="F784" i="9"/>
  <c r="E784" i="9"/>
  <c r="F783" i="9"/>
  <c r="E783" i="9"/>
  <c r="F782" i="9"/>
  <c r="E782" i="9"/>
  <c r="B782" i="9"/>
  <c r="F781" i="9"/>
  <c r="E781" i="9"/>
  <c r="F780" i="9"/>
  <c r="E780" i="9"/>
  <c r="F779" i="9"/>
  <c r="E779" i="9"/>
  <c r="D779" i="9"/>
  <c r="F778" i="9"/>
  <c r="E778" i="9"/>
  <c r="B778" i="9"/>
  <c r="A778" i="9"/>
  <c r="F777" i="9"/>
  <c r="E777" i="9"/>
  <c r="F776" i="9"/>
  <c r="E776" i="9"/>
  <c r="F775" i="9"/>
  <c r="E775" i="9"/>
  <c r="F774" i="9"/>
  <c r="E774" i="9"/>
  <c r="F773" i="9"/>
  <c r="E773" i="9"/>
  <c r="F772" i="9"/>
  <c r="E772" i="9"/>
  <c r="F771" i="9"/>
  <c r="E771" i="9"/>
  <c r="F770" i="9"/>
  <c r="E770" i="9"/>
  <c r="A770" i="9"/>
  <c r="F769" i="9"/>
  <c r="E769" i="9"/>
  <c r="F768" i="9"/>
  <c r="E768" i="9"/>
  <c r="F767" i="9"/>
  <c r="E767" i="9"/>
  <c r="F766" i="9"/>
  <c r="E766" i="9"/>
  <c r="F765" i="9"/>
  <c r="E765" i="9"/>
  <c r="F764" i="9"/>
  <c r="E764" i="9"/>
  <c r="F763" i="9"/>
  <c r="E763" i="9"/>
  <c r="D763" i="9"/>
  <c r="F762" i="9"/>
  <c r="E762" i="9"/>
  <c r="A762" i="9"/>
  <c r="F761" i="9"/>
  <c r="E761" i="9"/>
  <c r="F760" i="9"/>
  <c r="E760" i="9"/>
  <c r="F759" i="9"/>
  <c r="E759" i="9"/>
  <c r="F758" i="9"/>
  <c r="E758" i="9"/>
  <c r="F757" i="9"/>
  <c r="E757" i="9"/>
  <c r="D757" i="9"/>
  <c r="F756" i="9"/>
  <c r="E756" i="9"/>
  <c r="F755" i="9"/>
  <c r="E755" i="9"/>
  <c r="F754" i="9"/>
  <c r="E754" i="9"/>
  <c r="A754" i="9"/>
  <c r="F753" i="9"/>
  <c r="E753" i="9"/>
  <c r="F752" i="9"/>
  <c r="E752" i="9"/>
  <c r="F751" i="9"/>
  <c r="E751" i="9"/>
  <c r="F750" i="9"/>
  <c r="E750" i="9"/>
  <c r="F749" i="9"/>
  <c r="E749" i="9"/>
  <c r="F748" i="9"/>
  <c r="E748" i="9"/>
  <c r="F747" i="9"/>
  <c r="E747" i="9"/>
  <c r="D747" i="9"/>
  <c r="F746" i="9"/>
  <c r="E746" i="9"/>
  <c r="F745" i="9"/>
  <c r="E745" i="9"/>
  <c r="F744" i="9"/>
  <c r="E744" i="9"/>
  <c r="F743" i="9"/>
  <c r="E743" i="9"/>
  <c r="F742" i="9"/>
  <c r="E742" i="9"/>
  <c r="F741" i="9"/>
  <c r="E741" i="9"/>
  <c r="F740" i="9"/>
  <c r="E740" i="9"/>
  <c r="F739" i="9"/>
  <c r="E739" i="9"/>
  <c r="D739" i="9"/>
  <c r="F738" i="9"/>
  <c r="E738" i="9"/>
  <c r="F737" i="9"/>
  <c r="E737" i="9"/>
  <c r="F736" i="9"/>
  <c r="E736" i="9"/>
  <c r="F735" i="9"/>
  <c r="E735" i="9"/>
  <c r="F734" i="9"/>
  <c r="E734" i="9"/>
  <c r="F733" i="9"/>
  <c r="E733" i="9"/>
  <c r="F732" i="9"/>
  <c r="E732" i="9"/>
  <c r="A732" i="9"/>
  <c r="F731" i="9"/>
  <c r="E731" i="9"/>
  <c r="D731" i="9"/>
  <c r="F730" i="9"/>
  <c r="E730" i="9"/>
  <c r="F729" i="9"/>
  <c r="E729" i="9"/>
  <c r="F728" i="9"/>
  <c r="E728" i="9"/>
  <c r="F727" i="9"/>
  <c r="E727" i="9"/>
  <c r="F726" i="9"/>
  <c r="E726" i="9"/>
  <c r="F725" i="9"/>
  <c r="E725" i="9"/>
  <c r="F724" i="9"/>
  <c r="E724" i="9"/>
  <c r="F723" i="9"/>
  <c r="E723" i="9"/>
  <c r="F722" i="9"/>
  <c r="E722" i="9"/>
  <c r="F721" i="9"/>
  <c r="E721" i="9"/>
  <c r="F720" i="9"/>
  <c r="E720" i="9"/>
  <c r="F719" i="9"/>
  <c r="E719" i="9"/>
  <c r="F718" i="9"/>
  <c r="E718" i="9"/>
  <c r="F717" i="9"/>
  <c r="E717" i="9"/>
  <c r="F716" i="9"/>
  <c r="E716" i="9"/>
  <c r="F715" i="9"/>
  <c r="E715" i="9"/>
  <c r="F714" i="9"/>
  <c r="E714" i="9"/>
  <c r="F713" i="9"/>
  <c r="E713" i="9"/>
  <c r="F712" i="9"/>
  <c r="E712" i="9"/>
  <c r="G712" i="19" s="1"/>
  <c r="J712" i="19" s="1"/>
  <c r="A712" i="9"/>
  <c r="F711" i="9"/>
  <c r="E711" i="9"/>
  <c r="F710" i="9"/>
  <c r="E710" i="9"/>
  <c r="F709" i="9"/>
  <c r="E709" i="9"/>
  <c r="C709" i="9"/>
  <c r="F708" i="9"/>
  <c r="E708" i="9"/>
  <c r="F707" i="9"/>
  <c r="E707" i="9"/>
  <c r="F706" i="9"/>
  <c r="E706" i="9"/>
  <c r="F705" i="9"/>
  <c r="E705" i="9"/>
  <c r="F704" i="9"/>
  <c r="E704" i="9"/>
  <c r="F703" i="9"/>
  <c r="E703" i="9"/>
  <c r="F702" i="9"/>
  <c r="E702" i="9"/>
  <c r="F701" i="9"/>
  <c r="E701" i="9"/>
  <c r="D701" i="9"/>
  <c r="F700" i="9"/>
  <c r="E700" i="9"/>
  <c r="F699" i="9"/>
  <c r="E699" i="9"/>
  <c r="D699" i="9"/>
  <c r="F698" i="9"/>
  <c r="E698" i="9"/>
  <c r="F697" i="9"/>
  <c r="E697" i="9"/>
  <c r="F696" i="9"/>
  <c r="E696" i="9"/>
  <c r="F695" i="9"/>
  <c r="E695" i="9"/>
  <c r="F694" i="9"/>
  <c r="E694" i="9"/>
  <c r="F693" i="9"/>
  <c r="E693" i="9"/>
  <c r="G693" i="19" s="1"/>
  <c r="J693" i="19" s="1"/>
  <c r="F692" i="9"/>
  <c r="E692" i="9"/>
  <c r="F691" i="9"/>
  <c r="E691" i="9"/>
  <c r="F690" i="9"/>
  <c r="E690" i="9"/>
  <c r="F689" i="9"/>
  <c r="E689" i="9"/>
  <c r="F688" i="9"/>
  <c r="E688" i="9"/>
  <c r="F687" i="9"/>
  <c r="E687" i="9"/>
  <c r="F686" i="9"/>
  <c r="E686" i="9"/>
  <c r="F685" i="9"/>
  <c r="E685" i="9"/>
  <c r="F684" i="9"/>
  <c r="E684" i="9"/>
  <c r="F683" i="9"/>
  <c r="E683" i="9"/>
  <c r="D683" i="9"/>
  <c r="F682" i="9"/>
  <c r="E682" i="9"/>
  <c r="F681" i="9"/>
  <c r="E681" i="9"/>
  <c r="F680" i="9"/>
  <c r="E680" i="9"/>
  <c r="F679" i="9"/>
  <c r="E679" i="9"/>
  <c r="F678" i="9"/>
  <c r="E678" i="9"/>
  <c r="F677" i="9"/>
  <c r="E677" i="9"/>
  <c r="F676" i="9"/>
  <c r="E676" i="9"/>
  <c r="A676" i="9"/>
  <c r="F675" i="9"/>
  <c r="E675" i="9"/>
  <c r="G675" i="20" s="1"/>
  <c r="F674" i="9"/>
  <c r="E674" i="9"/>
  <c r="F673" i="9"/>
  <c r="E673" i="9"/>
  <c r="G673" i="19" s="1"/>
  <c r="J673" i="19" s="1"/>
  <c r="F672" i="9"/>
  <c r="E672" i="9"/>
  <c r="F671" i="9"/>
  <c r="E671" i="9"/>
  <c r="F670" i="9"/>
  <c r="E670" i="9"/>
  <c r="F669" i="9"/>
  <c r="E669" i="9"/>
  <c r="D669" i="9"/>
  <c r="F668" i="9"/>
  <c r="E668" i="9"/>
  <c r="F667" i="9"/>
  <c r="E667" i="9"/>
  <c r="D667" i="9"/>
  <c r="F666" i="9"/>
  <c r="E666" i="9"/>
  <c r="B666" i="9"/>
  <c r="A666" i="9"/>
  <c r="F665" i="9"/>
  <c r="E665" i="9"/>
  <c r="F664" i="9"/>
  <c r="E664" i="9"/>
  <c r="F663" i="9"/>
  <c r="E663" i="9"/>
  <c r="F662" i="9"/>
  <c r="E662" i="9"/>
  <c r="F661" i="9"/>
  <c r="E661" i="9"/>
  <c r="F660" i="9"/>
  <c r="E660" i="9"/>
  <c r="F659" i="9"/>
  <c r="E659" i="9"/>
  <c r="F658" i="9"/>
  <c r="E658" i="9"/>
  <c r="F657" i="9"/>
  <c r="E657" i="9"/>
  <c r="F656" i="9"/>
  <c r="E656" i="9"/>
  <c r="A656" i="9"/>
  <c r="F655" i="9"/>
  <c r="E655" i="9"/>
  <c r="F654" i="9"/>
  <c r="E654" i="9"/>
  <c r="F653" i="9"/>
  <c r="E653" i="9"/>
  <c r="F652" i="9"/>
  <c r="E652" i="9"/>
  <c r="A652" i="9"/>
  <c r="F651" i="9"/>
  <c r="E651" i="9"/>
  <c r="F650" i="9"/>
  <c r="E650" i="9"/>
  <c r="F649" i="9"/>
  <c r="E649" i="9"/>
  <c r="F648" i="9"/>
  <c r="E648" i="9"/>
  <c r="F647" i="9"/>
  <c r="E647" i="9"/>
  <c r="F646" i="9"/>
  <c r="E646" i="9"/>
  <c r="F645" i="9"/>
  <c r="E645" i="9"/>
  <c r="F644" i="9"/>
  <c r="E644" i="9"/>
  <c r="F643" i="9"/>
  <c r="E643" i="9"/>
  <c r="F642" i="9"/>
  <c r="E642" i="9"/>
  <c r="F641" i="9"/>
  <c r="E641" i="9"/>
  <c r="F640" i="9"/>
  <c r="E640" i="9"/>
  <c r="F639" i="9"/>
  <c r="E639" i="9"/>
  <c r="F638" i="9"/>
  <c r="E638" i="9"/>
  <c r="A638" i="9"/>
  <c r="F637" i="9"/>
  <c r="E637" i="9"/>
  <c r="F636" i="9"/>
  <c r="E636" i="9"/>
  <c r="F635" i="9"/>
  <c r="E635" i="9"/>
  <c r="F634" i="9"/>
  <c r="E634" i="9"/>
  <c r="C634" i="9"/>
  <c r="F633" i="9"/>
  <c r="E633" i="9"/>
  <c r="F632" i="9"/>
  <c r="E632" i="9"/>
  <c r="F631" i="9"/>
  <c r="E631" i="9"/>
  <c r="F630" i="9"/>
  <c r="E630" i="9"/>
  <c r="F629" i="9"/>
  <c r="E629" i="9"/>
  <c r="F628" i="9"/>
  <c r="E628" i="9"/>
  <c r="F627" i="9"/>
  <c r="E627" i="9"/>
  <c r="F626" i="9"/>
  <c r="E626" i="9"/>
  <c r="F625" i="9"/>
  <c r="E625" i="9"/>
  <c r="F624" i="9"/>
  <c r="E624" i="9"/>
  <c r="F623" i="9"/>
  <c r="E623" i="9"/>
  <c r="F622" i="9"/>
  <c r="E622" i="9"/>
  <c r="F621" i="9"/>
  <c r="E621" i="9"/>
  <c r="F620" i="9"/>
  <c r="E620" i="9"/>
  <c r="F619" i="9"/>
  <c r="E619" i="9"/>
  <c r="F618" i="9"/>
  <c r="E618" i="9"/>
  <c r="F617" i="9"/>
  <c r="E617" i="9"/>
  <c r="F616" i="9"/>
  <c r="E616" i="9"/>
  <c r="F615" i="9"/>
  <c r="E615" i="9"/>
  <c r="F614" i="9"/>
  <c r="E614" i="9"/>
  <c r="F613" i="9"/>
  <c r="E613" i="9"/>
  <c r="F612" i="9"/>
  <c r="E612" i="9"/>
  <c r="A612" i="9"/>
  <c r="F611" i="9"/>
  <c r="E611" i="9"/>
  <c r="F610" i="9"/>
  <c r="E610" i="9"/>
  <c r="F609" i="9"/>
  <c r="E609" i="9"/>
  <c r="F608" i="9"/>
  <c r="E608" i="9"/>
  <c r="F607" i="9"/>
  <c r="E607" i="9"/>
  <c r="C607" i="9"/>
  <c r="F606" i="9"/>
  <c r="E606" i="9"/>
  <c r="B606" i="9"/>
  <c r="F605" i="9"/>
  <c r="E605" i="9"/>
  <c r="F604" i="9"/>
  <c r="E604" i="9"/>
  <c r="F603" i="9"/>
  <c r="E603" i="9"/>
  <c r="D603" i="9"/>
  <c r="F602" i="9"/>
  <c r="E602" i="9"/>
  <c r="F601" i="9"/>
  <c r="E601" i="9"/>
  <c r="F600" i="9"/>
  <c r="E600" i="9"/>
  <c r="F599" i="9"/>
  <c r="E599" i="9"/>
  <c r="D599" i="9"/>
  <c r="F598" i="9"/>
  <c r="E598" i="9"/>
  <c r="F597" i="9"/>
  <c r="E597" i="9"/>
  <c r="F596" i="9"/>
  <c r="E596" i="9"/>
  <c r="F595" i="9"/>
  <c r="E595" i="9"/>
  <c r="F594" i="9"/>
  <c r="E594" i="9"/>
  <c r="F593" i="9"/>
  <c r="E593" i="9"/>
  <c r="F592" i="9"/>
  <c r="E592" i="9"/>
  <c r="F591" i="9"/>
  <c r="E591" i="9"/>
  <c r="F590" i="9"/>
  <c r="E590" i="9"/>
  <c r="F589" i="9"/>
  <c r="E589" i="9"/>
  <c r="F588" i="9"/>
  <c r="E588" i="9"/>
  <c r="F587" i="9"/>
  <c r="E587" i="9"/>
  <c r="F586" i="9"/>
  <c r="E586" i="9"/>
  <c r="F585" i="9"/>
  <c r="E585" i="9"/>
  <c r="F584" i="9"/>
  <c r="E584" i="9"/>
  <c r="F583" i="9"/>
  <c r="E583" i="9"/>
  <c r="F582" i="9"/>
  <c r="E582" i="9"/>
  <c r="F581" i="9"/>
  <c r="E581" i="9"/>
  <c r="C581" i="9"/>
  <c r="F580" i="9"/>
  <c r="E580" i="9"/>
  <c r="F579" i="9"/>
  <c r="E579" i="9"/>
  <c r="F578" i="9"/>
  <c r="E578" i="9"/>
  <c r="F577" i="9"/>
  <c r="E577" i="9"/>
  <c r="F576" i="9"/>
  <c r="E576" i="9"/>
  <c r="F575" i="9"/>
  <c r="E575" i="9"/>
  <c r="F574" i="9"/>
  <c r="E574" i="9"/>
  <c r="F573" i="9"/>
  <c r="E573" i="9"/>
  <c r="F572" i="9"/>
  <c r="E572" i="9"/>
  <c r="A572" i="9"/>
  <c r="F571" i="9"/>
  <c r="E571" i="9"/>
  <c r="F570" i="9"/>
  <c r="E570" i="9"/>
  <c r="C570" i="9"/>
  <c r="F569" i="9"/>
  <c r="E569" i="9"/>
  <c r="F568" i="9"/>
  <c r="E568" i="9"/>
  <c r="F567" i="9"/>
  <c r="E567" i="9"/>
  <c r="F566" i="9"/>
  <c r="E566" i="9"/>
  <c r="F565" i="9"/>
  <c r="E565" i="9"/>
  <c r="D565" i="9"/>
  <c r="F564" i="9"/>
  <c r="E564" i="9"/>
  <c r="F563" i="9"/>
  <c r="E563" i="9"/>
  <c r="F562" i="9"/>
  <c r="E562" i="9"/>
  <c r="A562" i="9"/>
  <c r="F561" i="9"/>
  <c r="E561" i="9"/>
  <c r="F560" i="9"/>
  <c r="E560" i="9"/>
  <c r="F559" i="9"/>
  <c r="E559" i="9"/>
  <c r="F558" i="9"/>
  <c r="E558" i="9"/>
  <c r="F557" i="9"/>
  <c r="E557" i="9"/>
  <c r="F556" i="9"/>
  <c r="E556" i="9"/>
  <c r="F555" i="9"/>
  <c r="E555" i="9"/>
  <c r="F554" i="9"/>
  <c r="E554" i="9"/>
  <c r="F553" i="9"/>
  <c r="E553" i="9"/>
  <c r="F552" i="9"/>
  <c r="E552" i="9"/>
  <c r="F551" i="9"/>
  <c r="E551" i="9"/>
  <c r="F550" i="9"/>
  <c r="E550" i="9"/>
  <c r="F549" i="9"/>
  <c r="E549" i="9"/>
  <c r="F548" i="9"/>
  <c r="E548" i="9"/>
  <c r="F547" i="9"/>
  <c r="E547" i="9"/>
  <c r="D547" i="9"/>
  <c r="F546" i="9"/>
  <c r="E546" i="9"/>
  <c r="F545" i="9"/>
  <c r="E545" i="9"/>
  <c r="F544" i="9"/>
  <c r="E544" i="9"/>
  <c r="F543" i="9"/>
  <c r="E543" i="9"/>
  <c r="C543" i="9"/>
  <c r="F542" i="9"/>
  <c r="E542" i="9"/>
  <c r="F541" i="9"/>
  <c r="E541" i="9"/>
  <c r="F540" i="9"/>
  <c r="E540" i="9"/>
  <c r="F539" i="9"/>
  <c r="E539" i="9"/>
  <c r="F538" i="9"/>
  <c r="E538" i="9"/>
  <c r="F537" i="9"/>
  <c r="E537" i="9"/>
  <c r="F536" i="9"/>
  <c r="E536" i="9"/>
  <c r="A536" i="9"/>
  <c r="F535" i="9"/>
  <c r="E535" i="9"/>
  <c r="D535" i="9"/>
  <c r="F534" i="9"/>
  <c r="E534" i="9"/>
  <c r="F533" i="9"/>
  <c r="E533" i="9"/>
  <c r="F532" i="9"/>
  <c r="E532" i="9"/>
  <c r="F531" i="9"/>
  <c r="E531" i="9"/>
  <c r="D531" i="9"/>
  <c r="F530" i="9"/>
  <c r="E530" i="9"/>
  <c r="D530" i="9"/>
  <c r="F529" i="9"/>
  <c r="E529" i="9"/>
  <c r="F528" i="9"/>
  <c r="E528" i="9"/>
  <c r="B528" i="9"/>
  <c r="F527" i="9"/>
  <c r="E527" i="9"/>
  <c r="F526" i="9"/>
  <c r="E526" i="9"/>
  <c r="F525" i="9"/>
  <c r="E525" i="9"/>
  <c r="F524" i="9"/>
  <c r="E524" i="9"/>
  <c r="C524" i="9"/>
  <c r="F523" i="9"/>
  <c r="E523" i="9"/>
  <c r="F522" i="9"/>
  <c r="E522" i="9"/>
  <c r="F521" i="9"/>
  <c r="E521" i="9"/>
  <c r="F520" i="9"/>
  <c r="E520" i="9"/>
  <c r="A520" i="9"/>
  <c r="F519" i="9"/>
  <c r="E519" i="9"/>
  <c r="F518" i="9"/>
  <c r="E518" i="9"/>
  <c r="F517" i="9"/>
  <c r="E517" i="9"/>
  <c r="F516" i="9"/>
  <c r="E516" i="9"/>
  <c r="F515" i="9"/>
  <c r="E515" i="9"/>
  <c r="F514" i="9"/>
  <c r="E514" i="9"/>
  <c r="F513" i="9"/>
  <c r="E513" i="9"/>
  <c r="G513" i="19" s="1"/>
  <c r="J513" i="19" s="1"/>
  <c r="F512" i="9"/>
  <c r="E512" i="9"/>
  <c r="F511" i="9"/>
  <c r="E511" i="9"/>
  <c r="F510" i="9"/>
  <c r="E510" i="9"/>
  <c r="D510" i="9"/>
  <c r="F509" i="9"/>
  <c r="E509" i="9"/>
  <c r="F508" i="9"/>
  <c r="E508" i="9"/>
  <c r="F507" i="9"/>
  <c r="E507" i="9"/>
  <c r="F506" i="9"/>
  <c r="E506" i="9"/>
  <c r="F505" i="9"/>
  <c r="E505" i="9"/>
  <c r="F504" i="9"/>
  <c r="E504" i="9"/>
  <c r="F503" i="9"/>
  <c r="E503" i="9"/>
  <c r="F502" i="9"/>
  <c r="E502" i="9"/>
  <c r="F501" i="9"/>
  <c r="E501" i="9"/>
  <c r="F500" i="9"/>
  <c r="E500" i="9"/>
  <c r="F499" i="9"/>
  <c r="E499" i="9"/>
  <c r="F498" i="9"/>
  <c r="E498" i="9"/>
  <c r="F497" i="9"/>
  <c r="E497" i="9"/>
  <c r="F496" i="9"/>
  <c r="E496" i="9"/>
  <c r="F495" i="9"/>
  <c r="E495" i="9"/>
  <c r="D495" i="9"/>
  <c r="F494" i="9"/>
  <c r="E494" i="9"/>
  <c r="G494" i="19" s="1"/>
  <c r="J494" i="19" s="1"/>
  <c r="F493" i="9"/>
  <c r="E493" i="9"/>
  <c r="F492" i="9"/>
  <c r="E492" i="9"/>
  <c r="F491" i="9"/>
  <c r="E491" i="9"/>
  <c r="F490" i="9"/>
  <c r="E490" i="9"/>
  <c r="F489" i="9"/>
  <c r="E489" i="9"/>
  <c r="F488" i="9"/>
  <c r="E488" i="9"/>
  <c r="F487" i="9"/>
  <c r="E487" i="9"/>
  <c r="F486" i="9"/>
  <c r="E486" i="9"/>
  <c r="F485" i="9"/>
  <c r="E485" i="9"/>
  <c r="F484" i="9"/>
  <c r="E484" i="9"/>
  <c r="F483" i="9"/>
  <c r="E483" i="9"/>
  <c r="F482" i="9"/>
  <c r="E482" i="9"/>
  <c r="G482" i="20" s="1"/>
  <c r="F481" i="9"/>
  <c r="E481" i="9"/>
  <c r="F480" i="9"/>
  <c r="E480" i="9"/>
  <c r="F479" i="9"/>
  <c r="E479" i="9"/>
  <c r="F478" i="9"/>
  <c r="E478" i="9"/>
  <c r="F477" i="9"/>
  <c r="E477" i="9"/>
  <c r="F476" i="9"/>
  <c r="E476" i="9"/>
  <c r="F475" i="9"/>
  <c r="E475" i="9"/>
  <c r="F474" i="9"/>
  <c r="E474" i="9"/>
  <c r="F473" i="9"/>
  <c r="E473" i="9"/>
  <c r="F472" i="9"/>
  <c r="E472" i="9"/>
  <c r="F471" i="9"/>
  <c r="E471" i="9"/>
  <c r="F470" i="9"/>
  <c r="E470" i="9"/>
  <c r="D470" i="9"/>
  <c r="F469" i="9"/>
  <c r="E469" i="9"/>
  <c r="F468" i="9"/>
  <c r="E468" i="9"/>
  <c r="F467" i="9"/>
  <c r="E467" i="9"/>
  <c r="F466" i="9"/>
  <c r="E466" i="9"/>
  <c r="B466" i="9"/>
  <c r="F465" i="9"/>
  <c r="E465" i="9"/>
  <c r="F464" i="9"/>
  <c r="E464" i="9"/>
  <c r="F463" i="9"/>
  <c r="E463" i="9"/>
  <c r="F462" i="9"/>
  <c r="E462" i="9"/>
  <c r="F461" i="9"/>
  <c r="E461" i="9"/>
  <c r="F460" i="9"/>
  <c r="E460" i="9"/>
  <c r="F459" i="9"/>
  <c r="E459" i="9"/>
  <c r="F458" i="9"/>
  <c r="E458" i="9"/>
  <c r="F457" i="9"/>
  <c r="E457" i="9"/>
  <c r="F456" i="9"/>
  <c r="E456" i="9"/>
  <c r="F455" i="9"/>
  <c r="E455" i="9"/>
  <c r="F454" i="9"/>
  <c r="E454" i="9"/>
  <c r="F453" i="9"/>
  <c r="E453" i="9"/>
  <c r="F452" i="9"/>
  <c r="E452" i="9"/>
  <c r="F451" i="9"/>
  <c r="E451" i="9"/>
  <c r="F450" i="9"/>
  <c r="E450" i="9"/>
  <c r="F449" i="9"/>
  <c r="E449" i="9"/>
  <c r="D449" i="9"/>
  <c r="F448" i="9"/>
  <c r="E448" i="9"/>
  <c r="D448" i="9"/>
  <c r="F447" i="9"/>
  <c r="E447" i="9"/>
  <c r="F446" i="9"/>
  <c r="E446" i="9"/>
  <c r="F445" i="9"/>
  <c r="E445" i="9"/>
  <c r="F444" i="9"/>
  <c r="E444" i="9"/>
  <c r="F443" i="9"/>
  <c r="E443" i="9"/>
  <c r="D443" i="9"/>
  <c r="C443" i="9"/>
  <c r="F442" i="9"/>
  <c r="E442" i="9"/>
  <c r="F441" i="9"/>
  <c r="E441" i="9"/>
  <c r="F440" i="9"/>
  <c r="E440" i="9"/>
  <c r="F439" i="9"/>
  <c r="E439" i="9"/>
  <c r="F438" i="9"/>
  <c r="E438" i="9"/>
  <c r="F437" i="9"/>
  <c r="E437" i="9"/>
  <c r="F436" i="9"/>
  <c r="E436" i="9"/>
  <c r="F435" i="9"/>
  <c r="E435" i="9"/>
  <c r="D435" i="9"/>
  <c r="C435" i="9"/>
  <c r="F434" i="9"/>
  <c r="E434" i="9"/>
  <c r="F433" i="9"/>
  <c r="E433" i="9"/>
  <c r="F432" i="9"/>
  <c r="E432" i="9"/>
  <c r="F431" i="9"/>
  <c r="E431" i="9"/>
  <c r="F430" i="9"/>
  <c r="E430" i="9"/>
  <c r="G430" i="19" s="1"/>
  <c r="J430" i="19" s="1"/>
  <c r="F429" i="9"/>
  <c r="E429" i="9"/>
  <c r="D429" i="9"/>
  <c r="F428" i="9"/>
  <c r="E428" i="9"/>
  <c r="F427" i="9"/>
  <c r="E427" i="9"/>
  <c r="F426" i="9"/>
  <c r="E426" i="9"/>
  <c r="F425" i="9"/>
  <c r="E425" i="9"/>
  <c r="F424" i="9"/>
  <c r="E424" i="9"/>
  <c r="F423" i="9"/>
  <c r="E423" i="9"/>
  <c r="F422" i="9"/>
  <c r="E422" i="9"/>
  <c r="F421" i="9"/>
  <c r="E421" i="9"/>
  <c r="F420" i="9"/>
  <c r="E420" i="9"/>
  <c r="F419" i="9"/>
  <c r="E419" i="9"/>
  <c r="D419" i="9"/>
  <c r="F418" i="9"/>
  <c r="E418" i="9"/>
  <c r="A418" i="9"/>
  <c r="F417" i="9"/>
  <c r="E417" i="9"/>
  <c r="F416" i="9"/>
  <c r="E416" i="9"/>
  <c r="F415" i="9"/>
  <c r="E415" i="9"/>
  <c r="F414" i="9"/>
  <c r="E414" i="9"/>
  <c r="B414" i="9"/>
  <c r="F413" i="9"/>
  <c r="E413" i="9"/>
  <c r="F412" i="9"/>
  <c r="E412" i="9"/>
  <c r="D412" i="9"/>
  <c r="F411" i="9"/>
  <c r="E411" i="9"/>
  <c r="F410" i="9"/>
  <c r="E410" i="9"/>
  <c r="F409" i="9"/>
  <c r="E409" i="9"/>
  <c r="D409" i="9"/>
  <c r="F408" i="9"/>
  <c r="E408" i="9"/>
  <c r="F407" i="9"/>
  <c r="E407" i="9"/>
  <c r="F406" i="9"/>
  <c r="E406" i="9"/>
  <c r="F405" i="9"/>
  <c r="E405" i="9"/>
  <c r="F404" i="9"/>
  <c r="E404" i="9"/>
  <c r="F403" i="9"/>
  <c r="E403" i="9"/>
  <c r="F402" i="9"/>
  <c r="E402" i="9"/>
  <c r="F401" i="9"/>
  <c r="E401" i="9"/>
  <c r="F400" i="9"/>
  <c r="E400" i="9"/>
  <c r="A400" i="9"/>
  <c r="F399" i="9"/>
  <c r="E399" i="9"/>
  <c r="F398" i="9"/>
  <c r="E398" i="9"/>
  <c r="F397" i="9"/>
  <c r="E397" i="9"/>
  <c r="F396" i="9"/>
  <c r="E396" i="9"/>
  <c r="F395" i="9"/>
  <c r="E395" i="9"/>
  <c r="F394" i="9"/>
  <c r="E394" i="9"/>
  <c r="F393" i="9"/>
  <c r="E393" i="9"/>
  <c r="G393" i="19" s="1"/>
  <c r="J393" i="19" s="1"/>
  <c r="F392" i="9"/>
  <c r="E392" i="9"/>
  <c r="F391" i="9"/>
  <c r="E391" i="9"/>
  <c r="D391" i="9"/>
  <c r="F390" i="9"/>
  <c r="E390" i="9"/>
  <c r="F389" i="9"/>
  <c r="E389" i="9"/>
  <c r="F388" i="9"/>
  <c r="E388" i="9"/>
  <c r="A388" i="9"/>
  <c r="F387" i="9"/>
  <c r="E387" i="9"/>
  <c r="F386" i="9"/>
  <c r="E386" i="9"/>
  <c r="F385" i="9"/>
  <c r="E385" i="9"/>
  <c r="D385" i="9"/>
  <c r="F384" i="9"/>
  <c r="E384" i="9"/>
  <c r="G384" i="19" s="1"/>
  <c r="J384" i="19" s="1"/>
  <c r="B384" i="9"/>
  <c r="F383" i="9"/>
  <c r="E383" i="9"/>
  <c r="F382" i="9"/>
  <c r="E382" i="9"/>
  <c r="F381" i="9"/>
  <c r="E381" i="9"/>
  <c r="G381" i="19" s="1"/>
  <c r="J381" i="19" s="1"/>
  <c r="F380" i="9"/>
  <c r="E380" i="9"/>
  <c r="F379" i="9"/>
  <c r="E379" i="9"/>
  <c r="F378" i="9"/>
  <c r="E378" i="9"/>
  <c r="F377" i="9"/>
  <c r="E377" i="9"/>
  <c r="F376" i="9"/>
  <c r="E376" i="9"/>
  <c r="F375" i="9"/>
  <c r="E375" i="9"/>
  <c r="F374" i="9"/>
  <c r="E374" i="9"/>
  <c r="F373" i="9"/>
  <c r="E373" i="9"/>
  <c r="F372" i="9"/>
  <c r="E372" i="9"/>
  <c r="D372" i="9"/>
  <c r="F371" i="9"/>
  <c r="E371" i="9"/>
  <c r="F370" i="9"/>
  <c r="E370" i="9"/>
  <c r="D370" i="9"/>
  <c r="F369" i="9"/>
  <c r="E369" i="9"/>
  <c r="F368" i="9"/>
  <c r="E368" i="9"/>
  <c r="F367" i="9"/>
  <c r="E367" i="9"/>
  <c r="F366" i="9"/>
  <c r="E366" i="9"/>
  <c r="F365" i="9"/>
  <c r="E365" i="9"/>
  <c r="F364" i="9"/>
  <c r="E364" i="9"/>
  <c r="F363" i="9"/>
  <c r="E363" i="9"/>
  <c r="D363" i="9"/>
  <c r="F362" i="9"/>
  <c r="E362" i="9"/>
  <c r="F361" i="9"/>
  <c r="E361" i="9"/>
  <c r="F360" i="9"/>
  <c r="E360" i="9"/>
  <c r="F359" i="9"/>
  <c r="E359" i="9"/>
  <c r="D359" i="9"/>
  <c r="F358" i="9"/>
  <c r="E358" i="9"/>
  <c r="C358" i="9"/>
  <c r="F357" i="9"/>
  <c r="E357" i="9"/>
  <c r="G357" i="19" s="1"/>
  <c r="J357" i="19" s="1"/>
  <c r="F356" i="9"/>
  <c r="E356" i="9"/>
  <c r="F355" i="9"/>
  <c r="E355" i="9"/>
  <c r="F354" i="9"/>
  <c r="E354" i="9"/>
  <c r="F353" i="9"/>
  <c r="E353" i="9"/>
  <c r="F352" i="9"/>
  <c r="E352" i="9"/>
  <c r="D352" i="9"/>
  <c r="F351" i="9"/>
  <c r="E351" i="9"/>
  <c r="G351" i="19" s="1"/>
  <c r="J351" i="19" s="1"/>
  <c r="F350" i="9"/>
  <c r="E350" i="9"/>
  <c r="D350" i="9"/>
  <c r="F349" i="9"/>
  <c r="E349" i="9"/>
  <c r="F348" i="9"/>
  <c r="E348" i="9"/>
  <c r="A348" i="9"/>
  <c r="F347" i="9"/>
  <c r="E347" i="9"/>
  <c r="F346" i="9"/>
  <c r="E346" i="9"/>
  <c r="F345" i="9"/>
  <c r="E345" i="9"/>
  <c r="F344" i="9"/>
  <c r="E344" i="9"/>
  <c r="F343" i="9"/>
  <c r="E343" i="9"/>
  <c r="F342" i="9"/>
  <c r="E342" i="9"/>
  <c r="F341" i="9"/>
  <c r="E341" i="9"/>
  <c r="G341" i="19" s="1"/>
  <c r="J341" i="19" s="1"/>
  <c r="F340" i="9"/>
  <c r="E340" i="9"/>
  <c r="F339" i="9"/>
  <c r="E339" i="9"/>
  <c r="F338" i="9"/>
  <c r="E338" i="9"/>
  <c r="B338" i="9"/>
  <c r="F337" i="9"/>
  <c r="E337" i="9"/>
  <c r="F336" i="9"/>
  <c r="E336" i="9"/>
  <c r="D336" i="9"/>
  <c r="F335" i="9"/>
  <c r="E335" i="9"/>
  <c r="F334" i="9"/>
  <c r="E334" i="9"/>
  <c r="F333" i="9"/>
  <c r="E333" i="9"/>
  <c r="D333" i="9"/>
  <c r="F332" i="9"/>
  <c r="E332" i="9"/>
  <c r="F331" i="9"/>
  <c r="E331" i="9"/>
  <c r="F330" i="9"/>
  <c r="E330" i="9"/>
  <c r="F329" i="9"/>
  <c r="E329" i="9"/>
  <c r="F328" i="9"/>
  <c r="E328" i="9"/>
  <c r="F327" i="9"/>
  <c r="E327" i="9"/>
  <c r="G327" i="19" s="1"/>
  <c r="J327" i="19" s="1"/>
  <c r="F326" i="9"/>
  <c r="E326" i="9"/>
  <c r="D326" i="9"/>
  <c r="F325" i="9"/>
  <c r="E325" i="9"/>
  <c r="F324" i="9"/>
  <c r="E324" i="9"/>
  <c r="I324" i="16" s="1"/>
  <c r="M324" i="16" s="1"/>
  <c r="F323" i="9"/>
  <c r="E323" i="9"/>
  <c r="F322" i="9"/>
  <c r="E322" i="9"/>
  <c r="F321" i="9"/>
  <c r="E321" i="9"/>
  <c r="F320" i="9"/>
  <c r="E320" i="9"/>
  <c r="G320" i="19" s="1"/>
  <c r="J320" i="19" s="1"/>
  <c r="F319" i="9"/>
  <c r="E319" i="9"/>
  <c r="F318" i="9"/>
  <c r="E318" i="9"/>
  <c r="F317" i="9"/>
  <c r="E317" i="9"/>
  <c r="F316" i="9"/>
  <c r="E316" i="9"/>
  <c r="F315" i="9"/>
  <c r="E315" i="9"/>
  <c r="F314" i="9"/>
  <c r="E314" i="9"/>
  <c r="F313" i="9"/>
  <c r="E313" i="9"/>
  <c r="F312" i="9"/>
  <c r="E312" i="9"/>
  <c r="D312" i="9"/>
  <c r="F311" i="9"/>
  <c r="E311" i="9"/>
  <c r="F310" i="9"/>
  <c r="E310" i="9"/>
  <c r="F309" i="9"/>
  <c r="E309" i="9"/>
  <c r="F308" i="9"/>
  <c r="E308" i="9"/>
  <c r="C308" i="9"/>
  <c r="F307" i="9"/>
  <c r="E307" i="9"/>
  <c r="F306" i="9"/>
  <c r="E306" i="9"/>
  <c r="F305" i="9"/>
  <c r="E305" i="9"/>
  <c r="F304" i="9"/>
  <c r="E304" i="9"/>
  <c r="F303" i="9"/>
  <c r="E303" i="9"/>
  <c r="F302" i="9"/>
  <c r="E302" i="9"/>
  <c r="F301" i="9"/>
  <c r="E301" i="9"/>
  <c r="F300" i="9"/>
  <c r="E300" i="9"/>
  <c r="D300" i="9"/>
  <c r="F299" i="9"/>
  <c r="E299" i="9"/>
  <c r="F298" i="9"/>
  <c r="E298" i="9"/>
  <c r="F297" i="9"/>
  <c r="E297" i="9"/>
  <c r="F296" i="9"/>
  <c r="E296" i="9"/>
  <c r="F295" i="9"/>
  <c r="E295" i="9"/>
  <c r="F294" i="9"/>
  <c r="E294" i="9"/>
  <c r="F293" i="9"/>
  <c r="E293" i="9"/>
  <c r="F292" i="9"/>
  <c r="E292" i="9"/>
  <c r="F291" i="9"/>
  <c r="E291" i="9"/>
  <c r="F290" i="9"/>
  <c r="E290" i="9"/>
  <c r="F289" i="9"/>
  <c r="E289" i="9"/>
  <c r="F288" i="9"/>
  <c r="E288" i="9"/>
  <c r="D288" i="9"/>
  <c r="F287" i="9"/>
  <c r="E287" i="9"/>
  <c r="F286" i="9"/>
  <c r="E286" i="9"/>
  <c r="F285" i="9"/>
  <c r="E285" i="9"/>
  <c r="F284" i="9"/>
  <c r="E284" i="9"/>
  <c r="F283" i="9"/>
  <c r="E283" i="9"/>
  <c r="D283" i="9"/>
  <c r="F282" i="9"/>
  <c r="E282" i="9"/>
  <c r="F281" i="9"/>
  <c r="E281" i="9"/>
  <c r="F280" i="9"/>
  <c r="E280" i="9"/>
  <c r="F279" i="9"/>
  <c r="E279" i="9"/>
  <c r="F278" i="9"/>
  <c r="E278" i="9"/>
  <c r="F277" i="9"/>
  <c r="E277" i="9"/>
  <c r="F276" i="9"/>
  <c r="E276" i="9"/>
  <c r="F275" i="9"/>
  <c r="E275" i="9"/>
  <c r="F274" i="9"/>
  <c r="E274" i="9"/>
  <c r="A274" i="9"/>
  <c r="F273" i="9"/>
  <c r="E273" i="9"/>
  <c r="D273" i="9"/>
  <c r="F272" i="9"/>
  <c r="E272" i="9"/>
  <c r="D272" i="9"/>
  <c r="F271" i="9"/>
  <c r="E271" i="9"/>
  <c r="F270" i="9"/>
  <c r="E270" i="9"/>
  <c r="F269" i="9"/>
  <c r="E269" i="9"/>
  <c r="F268" i="9"/>
  <c r="E268" i="9"/>
  <c r="F267" i="9"/>
  <c r="E267" i="9"/>
  <c r="F266" i="9"/>
  <c r="E266" i="9"/>
  <c r="F265" i="9"/>
  <c r="E265" i="9"/>
  <c r="F264" i="9"/>
  <c r="E264" i="9"/>
  <c r="F263" i="9"/>
  <c r="E263" i="9"/>
  <c r="F262" i="9"/>
  <c r="E262" i="9"/>
  <c r="F261" i="9"/>
  <c r="E261" i="9"/>
  <c r="F260" i="9"/>
  <c r="E260" i="9"/>
  <c r="F259" i="9"/>
  <c r="E259" i="9"/>
  <c r="D259" i="9"/>
  <c r="C259" i="9"/>
  <c r="F258" i="9"/>
  <c r="E258" i="9"/>
  <c r="D258" i="9"/>
  <c r="F257" i="9"/>
  <c r="E257" i="9"/>
  <c r="F256" i="9"/>
  <c r="E256" i="9"/>
  <c r="D256" i="9"/>
  <c r="F255" i="9"/>
  <c r="E255" i="9"/>
  <c r="F254" i="9"/>
  <c r="E254" i="9"/>
  <c r="G254" i="19" s="1"/>
  <c r="J254" i="19" s="1"/>
  <c r="F253" i="9"/>
  <c r="E253" i="9"/>
  <c r="F252" i="9"/>
  <c r="E252" i="9"/>
  <c r="F251" i="9"/>
  <c r="E251" i="9"/>
  <c r="F250" i="9"/>
  <c r="E250" i="9"/>
  <c r="G250" i="19" s="1"/>
  <c r="J250" i="19" s="1"/>
  <c r="F249" i="9"/>
  <c r="E249" i="9"/>
  <c r="F248" i="9"/>
  <c r="E248" i="9"/>
  <c r="D248" i="9"/>
  <c r="F247" i="9"/>
  <c r="E247" i="9"/>
  <c r="F246" i="9"/>
  <c r="E246" i="9"/>
  <c r="F245" i="9"/>
  <c r="E245" i="9"/>
  <c r="F244" i="9"/>
  <c r="E244" i="9"/>
  <c r="F243" i="9"/>
  <c r="E243" i="9"/>
  <c r="D243" i="9"/>
  <c r="F242" i="9"/>
  <c r="E242" i="9"/>
  <c r="F241" i="9"/>
  <c r="E241" i="9"/>
  <c r="C241" i="9"/>
  <c r="F240" i="9"/>
  <c r="E240" i="9"/>
  <c r="F239" i="9"/>
  <c r="E239" i="9"/>
  <c r="F238" i="9"/>
  <c r="E238" i="9"/>
  <c r="F237" i="9"/>
  <c r="E237" i="9"/>
  <c r="F236" i="9"/>
  <c r="E236" i="9"/>
  <c r="F235" i="9"/>
  <c r="E235" i="9"/>
  <c r="F234" i="9"/>
  <c r="E234" i="9"/>
  <c r="L233" i="9"/>
  <c r="F233" i="9"/>
  <c r="E233" i="9"/>
  <c r="F232" i="9"/>
  <c r="E232" i="9"/>
  <c r="F231" i="9"/>
  <c r="E231" i="9"/>
  <c r="F230" i="9"/>
  <c r="E230" i="9"/>
  <c r="G230" i="19" s="1"/>
  <c r="J230" i="19" s="1"/>
  <c r="F229" i="9"/>
  <c r="E229" i="9"/>
  <c r="F228" i="9"/>
  <c r="E228" i="9"/>
  <c r="G228" i="19" s="1"/>
  <c r="J228" i="19" s="1"/>
  <c r="F227" i="9"/>
  <c r="E227" i="9"/>
  <c r="F226" i="9"/>
  <c r="E226" i="9"/>
  <c r="D226" i="9"/>
  <c r="F225" i="9"/>
  <c r="E225" i="9"/>
  <c r="D225" i="9"/>
  <c r="F224" i="9"/>
  <c r="E224" i="9"/>
  <c r="F223" i="9"/>
  <c r="E223" i="9"/>
  <c r="G223" i="20" s="1"/>
  <c r="F222" i="9"/>
  <c r="E222" i="9"/>
  <c r="F221" i="9"/>
  <c r="E221" i="9"/>
  <c r="F220" i="9"/>
  <c r="E220" i="9"/>
  <c r="F219" i="9"/>
  <c r="E219" i="9"/>
  <c r="D219" i="9"/>
  <c r="F218" i="9"/>
  <c r="E218" i="9"/>
  <c r="A218" i="9"/>
  <c r="F217" i="9"/>
  <c r="E217" i="9"/>
  <c r="F216" i="9"/>
  <c r="E216" i="9"/>
  <c r="F215" i="9"/>
  <c r="E215" i="9"/>
  <c r="F214" i="9"/>
  <c r="E214" i="9"/>
  <c r="F213" i="9"/>
  <c r="E213" i="9"/>
  <c r="G213" i="19" s="1"/>
  <c r="J213" i="19" s="1"/>
  <c r="F212" i="9"/>
  <c r="E212" i="9"/>
  <c r="F211" i="9"/>
  <c r="E211" i="9"/>
  <c r="F210" i="9"/>
  <c r="E210" i="9"/>
  <c r="F209" i="9"/>
  <c r="E209" i="9"/>
  <c r="G209" i="19" s="1"/>
  <c r="J209" i="19" s="1"/>
  <c r="F208" i="9"/>
  <c r="E208" i="9"/>
  <c r="G208" i="19" s="1"/>
  <c r="J208" i="19" s="1"/>
  <c r="F207" i="9"/>
  <c r="E207" i="9"/>
  <c r="F206" i="9"/>
  <c r="E206" i="9"/>
  <c r="F205" i="9"/>
  <c r="E205" i="9"/>
  <c r="G205" i="19" s="1"/>
  <c r="J205" i="19" s="1"/>
  <c r="F204" i="9"/>
  <c r="E204" i="9"/>
  <c r="F203" i="9"/>
  <c r="E203" i="9"/>
  <c r="F202" i="9"/>
  <c r="E202" i="9"/>
  <c r="F201" i="9"/>
  <c r="E201" i="9"/>
  <c r="F200" i="9"/>
  <c r="E200" i="9"/>
  <c r="D200" i="9"/>
  <c r="F199" i="9"/>
  <c r="E199" i="9"/>
  <c r="F198" i="9"/>
  <c r="E198" i="9"/>
  <c r="C198" i="9"/>
  <c r="E198" i="19" s="1"/>
  <c r="F197" i="9"/>
  <c r="E197" i="9"/>
  <c r="F196" i="9"/>
  <c r="E196" i="9"/>
  <c r="F195" i="9"/>
  <c r="E195" i="9"/>
  <c r="F194" i="9"/>
  <c r="E194" i="9"/>
  <c r="F193" i="9"/>
  <c r="E193" i="9"/>
  <c r="F192" i="9"/>
  <c r="E192" i="9"/>
  <c r="D192" i="9"/>
  <c r="F192" i="19" s="1"/>
  <c r="F191" i="9"/>
  <c r="E191" i="9"/>
  <c r="F190" i="9"/>
  <c r="E190" i="9"/>
  <c r="G190" i="19" s="1"/>
  <c r="J190" i="19" s="1"/>
  <c r="F189" i="9"/>
  <c r="E189" i="9"/>
  <c r="C189" i="9"/>
  <c r="F188" i="9"/>
  <c r="E188" i="9"/>
  <c r="F187" i="9"/>
  <c r="E187" i="9"/>
  <c r="F186" i="9"/>
  <c r="E186" i="9"/>
  <c r="G186" i="19" s="1"/>
  <c r="J186" i="19" s="1"/>
  <c r="F185" i="9"/>
  <c r="E185" i="9"/>
  <c r="F184" i="9"/>
  <c r="E184" i="9"/>
  <c r="F183" i="9"/>
  <c r="E183" i="9"/>
  <c r="D183" i="9"/>
  <c r="F182" i="9"/>
  <c r="E182" i="9"/>
  <c r="F181" i="9"/>
  <c r="E181" i="9"/>
  <c r="F180" i="9"/>
  <c r="E180" i="9"/>
  <c r="F179" i="9"/>
  <c r="E179" i="9"/>
  <c r="F178" i="9"/>
  <c r="E178" i="9"/>
  <c r="D178" i="9"/>
  <c r="F177" i="9"/>
  <c r="E177" i="9"/>
  <c r="F176" i="9"/>
  <c r="E176" i="9"/>
  <c r="F175" i="9"/>
  <c r="E175" i="9"/>
  <c r="F174" i="9"/>
  <c r="E174" i="9"/>
  <c r="G174" i="20" s="1"/>
  <c r="F173" i="9"/>
  <c r="E173" i="9"/>
  <c r="F172" i="9"/>
  <c r="E172" i="9"/>
  <c r="F171" i="9"/>
  <c r="E171" i="9"/>
  <c r="D171" i="9"/>
  <c r="F170" i="9"/>
  <c r="E170" i="9"/>
  <c r="F169" i="9"/>
  <c r="E169" i="9"/>
  <c r="F168" i="9"/>
  <c r="E168" i="9"/>
  <c r="F167" i="9"/>
  <c r="E167" i="9"/>
  <c r="F166" i="9"/>
  <c r="E166" i="9"/>
  <c r="F165" i="9"/>
  <c r="E165" i="9"/>
  <c r="D165" i="9"/>
  <c r="F164" i="9"/>
  <c r="E164" i="9"/>
  <c r="F163" i="9"/>
  <c r="E163" i="9"/>
  <c r="D163" i="9"/>
  <c r="F162" i="9"/>
  <c r="E162" i="9"/>
  <c r="F161" i="9"/>
  <c r="E161" i="9"/>
  <c r="C161" i="9"/>
  <c r="F160" i="9"/>
  <c r="E160" i="9"/>
  <c r="F159" i="9"/>
  <c r="E159" i="9"/>
  <c r="F158" i="9"/>
  <c r="E158" i="9"/>
  <c r="F157" i="9"/>
  <c r="E157" i="9"/>
  <c r="F156" i="9"/>
  <c r="E156" i="9"/>
  <c r="F155" i="9"/>
  <c r="E155" i="9"/>
  <c r="D155" i="9"/>
  <c r="F154" i="9"/>
  <c r="E154" i="9"/>
  <c r="F153" i="9"/>
  <c r="E153" i="9"/>
  <c r="F152" i="9"/>
  <c r="E152" i="9"/>
  <c r="C152" i="9"/>
  <c r="F151" i="9"/>
  <c r="E151" i="9"/>
  <c r="C151" i="9"/>
  <c r="E151" i="19" s="1"/>
  <c r="F150" i="9"/>
  <c r="E150" i="9"/>
  <c r="F149" i="9"/>
  <c r="E149" i="9"/>
  <c r="F148" i="9"/>
  <c r="E148" i="9"/>
  <c r="G148" i="19" s="1"/>
  <c r="J148" i="19" s="1"/>
  <c r="D148" i="9"/>
  <c r="F148" i="19" s="1"/>
  <c r="F147" i="9"/>
  <c r="E147" i="9"/>
  <c r="F146" i="9"/>
  <c r="E146" i="9"/>
  <c r="G146" i="19" s="1"/>
  <c r="J146" i="19" s="1"/>
  <c r="A146" i="9"/>
  <c r="F145" i="9"/>
  <c r="E145" i="9"/>
  <c r="F144" i="9"/>
  <c r="E144" i="9"/>
  <c r="F143" i="9"/>
  <c r="E143" i="9"/>
  <c r="G143" i="19" s="1"/>
  <c r="J143" i="19" s="1"/>
  <c r="D143" i="9"/>
  <c r="F143" i="19" s="1"/>
  <c r="M143" i="19" s="1"/>
  <c r="F142" i="9"/>
  <c r="E142" i="9"/>
  <c r="G142" i="19" s="1"/>
  <c r="J142" i="19" s="1"/>
  <c r="C142" i="9"/>
  <c r="F141" i="9"/>
  <c r="E141" i="9"/>
  <c r="F140" i="9"/>
  <c r="E140" i="9"/>
  <c r="D140" i="9"/>
  <c r="F139" i="9"/>
  <c r="E139" i="9"/>
  <c r="F138" i="9"/>
  <c r="E138" i="9"/>
  <c r="G138" i="20" s="1"/>
  <c r="F137" i="9"/>
  <c r="E137" i="9"/>
  <c r="F136" i="9"/>
  <c r="E136" i="9"/>
  <c r="F135" i="9"/>
  <c r="E135" i="9"/>
  <c r="F134" i="9"/>
  <c r="E134" i="9"/>
  <c r="B134" i="9"/>
  <c r="F133" i="9"/>
  <c r="E133" i="9"/>
  <c r="F132" i="9"/>
  <c r="E132" i="9"/>
  <c r="G132" i="19" s="1"/>
  <c r="J132" i="19" s="1"/>
  <c r="F131" i="9"/>
  <c r="E131" i="9"/>
  <c r="F130" i="9"/>
  <c r="E130" i="9"/>
  <c r="D130" i="9"/>
  <c r="F129" i="9"/>
  <c r="E129" i="9"/>
  <c r="F128" i="9"/>
  <c r="E128" i="9"/>
  <c r="F127" i="9"/>
  <c r="E127" i="9"/>
  <c r="F126" i="9"/>
  <c r="E126" i="9"/>
  <c r="G126" i="19" s="1"/>
  <c r="J126" i="19" s="1"/>
  <c r="A126" i="9"/>
  <c r="F125" i="9"/>
  <c r="E125" i="9"/>
  <c r="F124" i="9"/>
  <c r="E124" i="9"/>
  <c r="F123" i="9"/>
  <c r="E123" i="9"/>
  <c r="D123" i="9"/>
  <c r="F122" i="9"/>
  <c r="E122" i="9"/>
  <c r="F121" i="9"/>
  <c r="E121" i="9"/>
  <c r="F120" i="9"/>
  <c r="E120" i="9"/>
  <c r="F119" i="9"/>
  <c r="E119" i="9"/>
  <c r="D119" i="9"/>
  <c r="F118" i="9"/>
  <c r="E118" i="9"/>
  <c r="D118" i="9"/>
  <c r="F117" i="9"/>
  <c r="E117" i="9"/>
  <c r="F116" i="9"/>
  <c r="E116" i="9"/>
  <c r="F115" i="9"/>
  <c r="E115" i="9"/>
  <c r="F114" i="9"/>
  <c r="E114" i="9"/>
  <c r="F113" i="9"/>
  <c r="E113" i="9"/>
  <c r="G113" i="19" s="1"/>
  <c r="J113" i="19" s="1"/>
  <c r="D113" i="9"/>
  <c r="F112" i="9"/>
  <c r="E112" i="9"/>
  <c r="F111" i="9"/>
  <c r="E111" i="9"/>
  <c r="C111" i="9"/>
  <c r="F110" i="9"/>
  <c r="E110" i="9"/>
  <c r="F109" i="9"/>
  <c r="E109" i="9"/>
  <c r="F108" i="9"/>
  <c r="E108" i="9"/>
  <c r="F107" i="9"/>
  <c r="E107" i="9"/>
  <c r="F106" i="9"/>
  <c r="E106" i="9"/>
  <c r="F105" i="9"/>
  <c r="E105" i="9"/>
  <c r="F104" i="9"/>
  <c r="E104" i="9"/>
  <c r="F103" i="9"/>
  <c r="E103" i="9"/>
  <c r="G103" i="19" s="1"/>
  <c r="J103" i="19" s="1"/>
  <c r="F102" i="9"/>
  <c r="E102" i="9"/>
  <c r="F101" i="9"/>
  <c r="E101" i="9"/>
  <c r="F100" i="9"/>
  <c r="E100" i="9"/>
  <c r="F99" i="9"/>
  <c r="E99" i="9"/>
  <c r="F98" i="9"/>
  <c r="E98" i="9"/>
  <c r="F97" i="9"/>
  <c r="E97" i="9"/>
  <c r="F96" i="9"/>
  <c r="E96" i="9"/>
  <c r="D96" i="9"/>
  <c r="B96" i="9"/>
  <c r="F95" i="9"/>
  <c r="E95" i="9"/>
  <c r="F94" i="9"/>
  <c r="E94" i="9"/>
  <c r="F93" i="9"/>
  <c r="E93" i="9"/>
  <c r="F92" i="9"/>
  <c r="E92" i="9"/>
  <c r="F91" i="9"/>
  <c r="E91" i="9"/>
  <c r="F90" i="9"/>
  <c r="E90" i="9"/>
  <c r="F89" i="9"/>
  <c r="E89" i="9"/>
  <c r="D89" i="9"/>
  <c r="F88" i="9"/>
  <c r="E88" i="9"/>
  <c r="F87" i="9"/>
  <c r="E87" i="9"/>
  <c r="F86" i="9"/>
  <c r="E86" i="9"/>
  <c r="G86" i="19" s="1"/>
  <c r="J86" i="19" s="1"/>
  <c r="F85" i="9"/>
  <c r="E85" i="9"/>
  <c r="F84" i="9"/>
  <c r="E84" i="9"/>
  <c r="F83" i="9"/>
  <c r="E83" i="9"/>
  <c r="G83" i="19" s="1"/>
  <c r="J83" i="19" s="1"/>
  <c r="D83" i="9"/>
  <c r="F82" i="9"/>
  <c r="E82" i="9"/>
  <c r="F81" i="9"/>
  <c r="E81" i="9"/>
  <c r="F80" i="9"/>
  <c r="E80" i="9"/>
  <c r="F79" i="9"/>
  <c r="E79" i="9"/>
  <c r="F78" i="9"/>
  <c r="E78" i="9"/>
  <c r="D78" i="9"/>
  <c r="F77" i="9"/>
  <c r="E77" i="9"/>
  <c r="F76" i="9"/>
  <c r="E76" i="9"/>
  <c r="F75" i="9"/>
  <c r="E75" i="9"/>
  <c r="F74" i="9"/>
  <c r="E74" i="9"/>
  <c r="F73" i="9"/>
  <c r="E73" i="9"/>
  <c r="F72" i="9"/>
  <c r="E72" i="9"/>
  <c r="D72" i="9"/>
  <c r="F71" i="9"/>
  <c r="E71" i="9"/>
  <c r="F70" i="9"/>
  <c r="E70" i="9"/>
  <c r="F69" i="9"/>
  <c r="E69" i="9"/>
  <c r="F68" i="9"/>
  <c r="E68" i="9"/>
  <c r="F67" i="9"/>
  <c r="E67" i="9"/>
  <c r="F66" i="9"/>
  <c r="E66" i="9"/>
  <c r="F65" i="9"/>
  <c r="E65" i="9"/>
  <c r="F64" i="9"/>
  <c r="E64" i="9"/>
  <c r="A64" i="9"/>
  <c r="F63" i="9"/>
  <c r="E63" i="9"/>
  <c r="G63" i="19" s="1"/>
  <c r="J63" i="19" s="1"/>
  <c r="F62" i="9"/>
  <c r="E62" i="9"/>
  <c r="F61" i="9"/>
  <c r="E61" i="9"/>
  <c r="F60" i="9"/>
  <c r="E60" i="9"/>
  <c r="F59" i="9"/>
  <c r="E59" i="9"/>
  <c r="F58" i="9"/>
  <c r="E58" i="9"/>
  <c r="F57" i="9"/>
  <c r="E57" i="9"/>
  <c r="F56" i="9"/>
  <c r="E56" i="9"/>
  <c r="G56" i="19" s="1"/>
  <c r="J56" i="19" s="1"/>
  <c r="F55" i="9"/>
  <c r="E55" i="9"/>
  <c r="F54" i="9"/>
  <c r="E54" i="9"/>
  <c r="G54" i="19" s="1"/>
  <c r="J54" i="19" s="1"/>
  <c r="F53" i="9"/>
  <c r="E53" i="9"/>
  <c r="F52" i="9"/>
  <c r="E52" i="9"/>
  <c r="F51" i="9"/>
  <c r="E51" i="9"/>
  <c r="D51" i="9"/>
  <c r="F50" i="9"/>
  <c r="E50" i="9"/>
  <c r="G50" i="19" s="1"/>
  <c r="J50" i="19" s="1"/>
  <c r="F49" i="9"/>
  <c r="E49" i="9"/>
  <c r="F48" i="9"/>
  <c r="E48" i="9"/>
  <c r="F47" i="9"/>
  <c r="E47" i="9"/>
  <c r="F46" i="9"/>
  <c r="E46" i="9"/>
  <c r="F45" i="9"/>
  <c r="E45" i="9"/>
  <c r="F44" i="9"/>
  <c r="E44" i="9"/>
  <c r="F43" i="9"/>
  <c r="E43" i="9"/>
  <c r="F42" i="9"/>
  <c r="E42" i="9"/>
  <c r="F41" i="9"/>
  <c r="E41" i="9"/>
  <c r="D41" i="9"/>
  <c r="F40" i="9"/>
  <c r="E40" i="9"/>
  <c r="F39" i="9"/>
  <c r="E39" i="9"/>
  <c r="G39" i="19" s="1"/>
  <c r="J39" i="19" s="1"/>
  <c r="F38" i="9"/>
  <c r="E38" i="9"/>
  <c r="D38" i="9"/>
  <c r="C38" i="9"/>
  <c r="A38" i="9"/>
  <c r="F37" i="9"/>
  <c r="E37" i="9"/>
  <c r="G37" i="19" s="1"/>
  <c r="J37" i="19" s="1"/>
  <c r="F36" i="9"/>
  <c r="E36" i="9"/>
  <c r="F35" i="9"/>
  <c r="E35" i="9"/>
  <c r="F34" i="9"/>
  <c r="E34" i="9"/>
  <c r="F33" i="9"/>
  <c r="E33" i="9"/>
  <c r="G33" i="19" s="1"/>
  <c r="J33" i="19" s="1"/>
  <c r="F32" i="9"/>
  <c r="E32" i="9"/>
  <c r="F31" i="9"/>
  <c r="E31" i="9"/>
  <c r="G31" i="19" s="1"/>
  <c r="J31" i="19" s="1"/>
  <c r="F30" i="9"/>
  <c r="E30" i="9"/>
  <c r="F29" i="9"/>
  <c r="E29" i="9"/>
  <c r="F28" i="9"/>
  <c r="E28" i="9"/>
  <c r="F27" i="9"/>
  <c r="E27" i="9"/>
  <c r="F26" i="9"/>
  <c r="E26" i="9"/>
  <c r="G26" i="19" s="1"/>
  <c r="F25" i="9"/>
  <c r="E25" i="9"/>
  <c r="F24" i="9"/>
  <c r="E24" i="9"/>
  <c r="F23" i="9"/>
  <c r="E23" i="9"/>
  <c r="F22" i="9"/>
  <c r="E22" i="9"/>
  <c r="G22" i="19" s="1"/>
  <c r="J22" i="19" s="1"/>
  <c r="F21" i="9"/>
  <c r="E21" i="9"/>
  <c r="F20" i="9"/>
  <c r="E20" i="9"/>
  <c r="F19" i="9"/>
  <c r="E19" i="9"/>
  <c r="F18" i="9"/>
  <c r="E18" i="9"/>
  <c r="F17" i="9"/>
  <c r="E17" i="9"/>
  <c r="F16" i="9"/>
  <c r="E16" i="9"/>
  <c r="D16" i="9"/>
  <c r="F15" i="9"/>
  <c r="E15" i="9"/>
  <c r="A15" i="9"/>
  <c r="F14" i="9"/>
  <c r="E14" i="9"/>
  <c r="G14" i="19" s="1"/>
  <c r="J14" i="19" s="1"/>
  <c r="F13" i="9"/>
  <c r="E13" i="9"/>
  <c r="F12" i="9"/>
  <c r="E12" i="9"/>
  <c r="F11" i="9"/>
  <c r="E11" i="9"/>
  <c r="F10" i="9"/>
  <c r="E10" i="9"/>
  <c r="D10" i="9"/>
  <c r="F9" i="9"/>
  <c r="E9" i="9"/>
  <c r="D9" i="9"/>
  <c r="F8" i="9"/>
  <c r="F7" i="9"/>
  <c r="K6" i="9"/>
  <c r="F6" i="9"/>
  <c r="D6" i="9"/>
  <c r="I6" i="9" s="1"/>
  <c r="J6" i="9" s="1"/>
  <c r="C6" i="19" s="1"/>
  <c r="F5" i="9"/>
  <c r="B5" i="9"/>
  <c r="F4" i="9"/>
  <c r="D4" i="9"/>
  <c r="F3" i="9"/>
  <c r="D3" i="9"/>
  <c r="F3" i="19" s="1"/>
  <c r="F2" i="9"/>
  <c r="D2" i="9"/>
  <c r="D823" i="8"/>
  <c r="D822" i="8"/>
  <c r="D821" i="8"/>
  <c r="D821" i="9" s="1"/>
  <c r="B821" i="8"/>
  <c r="A821" i="8"/>
  <c r="D820" i="8"/>
  <c r="D820" i="9" s="1"/>
  <c r="B820" i="8"/>
  <c r="A820" i="8"/>
  <c r="D819" i="8"/>
  <c r="D818" i="8"/>
  <c r="D817" i="8"/>
  <c r="D816" i="8"/>
  <c r="D815" i="8"/>
  <c r="D815" i="9" s="1"/>
  <c r="A815" i="8"/>
  <c r="D814" i="8"/>
  <c r="D814" i="9" s="1"/>
  <c r="D813" i="8"/>
  <c r="D812" i="8"/>
  <c r="D811" i="8"/>
  <c r="D811" i="9" s="1"/>
  <c r="D810" i="8"/>
  <c r="D810" i="9" s="1"/>
  <c r="D809" i="8"/>
  <c r="D809" i="9" s="1"/>
  <c r="A809" i="8"/>
  <c r="D808" i="8"/>
  <c r="D807" i="8"/>
  <c r="D806" i="8"/>
  <c r="D806" i="9" s="1"/>
  <c r="D805" i="8"/>
  <c r="D804" i="8"/>
  <c r="D803" i="8"/>
  <c r="D802" i="8"/>
  <c r="A802" i="8"/>
  <c r="D801" i="8"/>
  <c r="D801" i="9" s="1"/>
  <c r="C801" i="8"/>
  <c r="D800" i="8"/>
  <c r="D800" i="9" s="1"/>
  <c r="D799" i="8"/>
  <c r="D798" i="8"/>
  <c r="D798" i="9" s="1"/>
  <c r="D797" i="8"/>
  <c r="D797" i="9" s="1"/>
  <c r="D796" i="8"/>
  <c r="C796" i="8"/>
  <c r="B796" i="8"/>
  <c r="D795" i="8"/>
  <c r="D795" i="9" s="1"/>
  <c r="D794" i="8"/>
  <c r="D793" i="8"/>
  <c r="D792" i="8"/>
  <c r="E791" i="8"/>
  <c r="D791" i="8"/>
  <c r="E790" i="8"/>
  <c r="D790" i="8"/>
  <c r="D790" i="9" s="1"/>
  <c r="E789" i="8"/>
  <c r="D789" i="8"/>
  <c r="A789" i="8"/>
  <c r="E788" i="8"/>
  <c r="D788" i="8"/>
  <c r="D788" i="9" s="1"/>
  <c r="E787" i="8"/>
  <c r="D787" i="8"/>
  <c r="E786" i="8"/>
  <c r="D786" i="8"/>
  <c r="D786" i="9" s="1"/>
  <c r="E785" i="8"/>
  <c r="D785" i="8"/>
  <c r="D785" i="9" s="1"/>
  <c r="E784" i="8"/>
  <c r="D784" i="8"/>
  <c r="E783" i="8"/>
  <c r="D783" i="8"/>
  <c r="D783" i="9" s="1"/>
  <c r="E782" i="8"/>
  <c r="D782" i="8"/>
  <c r="E781" i="8"/>
  <c r="D781" i="8"/>
  <c r="D781" i="9" s="1"/>
  <c r="B781" i="8"/>
  <c r="E780" i="8"/>
  <c r="D780" i="8"/>
  <c r="D780" i="9" s="1"/>
  <c r="E779" i="8"/>
  <c r="D779" i="8"/>
  <c r="E778" i="8"/>
  <c r="D778" i="8"/>
  <c r="D778" i="9" s="1"/>
  <c r="E777" i="8"/>
  <c r="D777" i="8"/>
  <c r="D777" i="9" s="1"/>
  <c r="E776" i="8"/>
  <c r="D776" i="8"/>
  <c r="D776" i="9" s="1"/>
  <c r="E775" i="8"/>
  <c r="D775" i="8"/>
  <c r="E774" i="8"/>
  <c r="D774" i="8"/>
  <c r="E773" i="8"/>
  <c r="D773" i="8"/>
  <c r="E772" i="8"/>
  <c r="D772" i="8"/>
  <c r="D772" i="9" s="1"/>
  <c r="E771" i="8"/>
  <c r="D771" i="8"/>
  <c r="D771" i="9" s="1"/>
  <c r="E770" i="8"/>
  <c r="D770" i="8"/>
  <c r="E769" i="8"/>
  <c r="D769" i="8"/>
  <c r="E768" i="8"/>
  <c r="D768" i="8"/>
  <c r="E767" i="8"/>
  <c r="D767" i="8"/>
  <c r="D767" i="9" s="1"/>
  <c r="E766" i="8"/>
  <c r="D766" i="8"/>
  <c r="E765" i="8"/>
  <c r="D765" i="8"/>
  <c r="A765" i="8"/>
  <c r="E764" i="8"/>
  <c r="D764" i="8"/>
  <c r="E763" i="8"/>
  <c r="D763" i="8"/>
  <c r="E762" i="8"/>
  <c r="D762" i="8"/>
  <c r="D762" i="9" s="1"/>
  <c r="E761" i="8"/>
  <c r="D761" i="8"/>
  <c r="E760" i="8"/>
  <c r="D760" i="8"/>
  <c r="D760" i="9" s="1"/>
  <c r="E759" i="8"/>
  <c r="D759" i="8"/>
  <c r="D759" i="9" s="1"/>
  <c r="E758" i="8"/>
  <c r="D758" i="8"/>
  <c r="D758" i="9" s="1"/>
  <c r="E757" i="8"/>
  <c r="D757" i="8"/>
  <c r="E756" i="8"/>
  <c r="D756" i="8"/>
  <c r="D756" i="9" s="1"/>
  <c r="F756" i="19" s="1"/>
  <c r="E755" i="8"/>
  <c r="D755" i="8"/>
  <c r="E754" i="8"/>
  <c r="D754" i="8"/>
  <c r="E753" i="8"/>
  <c r="D753" i="8"/>
  <c r="E752" i="8"/>
  <c r="D752" i="8"/>
  <c r="E751" i="8"/>
  <c r="D751" i="8"/>
  <c r="D751" i="9" s="1"/>
  <c r="E750" i="8"/>
  <c r="D750" i="8"/>
  <c r="E749" i="8"/>
  <c r="D749" i="8"/>
  <c r="E748" i="8"/>
  <c r="D748" i="8"/>
  <c r="D748" i="9" s="1"/>
  <c r="E747" i="8"/>
  <c r="D747" i="8"/>
  <c r="E746" i="8"/>
  <c r="D746" i="8"/>
  <c r="D746" i="9" s="1"/>
  <c r="E745" i="8"/>
  <c r="D745" i="8"/>
  <c r="E744" i="8"/>
  <c r="D744" i="8"/>
  <c r="E743" i="8"/>
  <c r="D743" i="8"/>
  <c r="D743" i="9" s="1"/>
  <c r="E742" i="8"/>
  <c r="D742" i="8"/>
  <c r="D742" i="9" s="1"/>
  <c r="E741" i="8"/>
  <c r="D741" i="8"/>
  <c r="D741" i="9" s="1"/>
  <c r="E740" i="8"/>
  <c r="D740" i="8"/>
  <c r="D740" i="9" s="1"/>
  <c r="B740" i="8"/>
  <c r="E739" i="8"/>
  <c r="D739" i="8"/>
  <c r="E738" i="8"/>
  <c r="D738" i="8"/>
  <c r="E737" i="8"/>
  <c r="D737" i="8"/>
  <c r="D737" i="9" s="1"/>
  <c r="E736" i="8"/>
  <c r="D736" i="8"/>
  <c r="E735" i="8"/>
  <c r="D735" i="8"/>
  <c r="D735" i="9" s="1"/>
  <c r="E734" i="8"/>
  <c r="D734" i="8"/>
  <c r="D734" i="9" s="1"/>
  <c r="E733" i="8"/>
  <c r="D733" i="8"/>
  <c r="E732" i="8"/>
  <c r="D732" i="8"/>
  <c r="D732" i="9" s="1"/>
  <c r="E731" i="8"/>
  <c r="D731" i="8"/>
  <c r="E730" i="8"/>
  <c r="D730" i="8"/>
  <c r="E729" i="8"/>
  <c r="D729" i="8"/>
  <c r="E728" i="8"/>
  <c r="D728" i="8"/>
  <c r="D728" i="9" s="1"/>
  <c r="E727" i="8"/>
  <c r="D727" i="8"/>
  <c r="D727" i="9" s="1"/>
  <c r="E726" i="8"/>
  <c r="D726" i="8"/>
  <c r="E725" i="8"/>
  <c r="D725" i="8"/>
  <c r="E724" i="8"/>
  <c r="D724" i="8"/>
  <c r="E723" i="8"/>
  <c r="D723" i="8"/>
  <c r="D723" i="9" s="1"/>
  <c r="E722" i="8"/>
  <c r="D722" i="8"/>
  <c r="A722" i="8"/>
  <c r="E721" i="8"/>
  <c r="D721" i="8"/>
  <c r="D721" i="9" s="1"/>
  <c r="E720" i="8"/>
  <c r="D720" i="8"/>
  <c r="D720" i="9" s="1"/>
  <c r="E719" i="8"/>
  <c r="D719" i="8"/>
  <c r="E718" i="8"/>
  <c r="D718" i="8"/>
  <c r="D718" i="9" s="1"/>
  <c r="F718" i="19" s="1"/>
  <c r="E717" i="8"/>
  <c r="D717" i="8"/>
  <c r="E716" i="8"/>
  <c r="D716" i="8"/>
  <c r="E715" i="8"/>
  <c r="D715" i="8"/>
  <c r="E714" i="8"/>
  <c r="D714" i="8"/>
  <c r="A714" i="8"/>
  <c r="E713" i="8"/>
  <c r="D713" i="8"/>
  <c r="E712" i="8"/>
  <c r="D712" i="8"/>
  <c r="D712" i="9" s="1"/>
  <c r="E711" i="8"/>
  <c r="D711" i="8"/>
  <c r="D711" i="9" s="1"/>
  <c r="E710" i="8"/>
  <c r="D710" i="8"/>
  <c r="D710" i="9" s="1"/>
  <c r="E709" i="8"/>
  <c r="D709" i="8"/>
  <c r="D709" i="9" s="1"/>
  <c r="E708" i="8"/>
  <c r="D708" i="8"/>
  <c r="E707" i="8"/>
  <c r="D707" i="8"/>
  <c r="D707" i="9" s="1"/>
  <c r="E706" i="8"/>
  <c r="D706" i="8"/>
  <c r="E705" i="8"/>
  <c r="D705" i="8"/>
  <c r="C705" i="8"/>
  <c r="E704" i="8"/>
  <c r="D704" i="8"/>
  <c r="E703" i="8"/>
  <c r="D703" i="8"/>
  <c r="E702" i="8"/>
  <c r="D702" i="8"/>
  <c r="E701" i="8"/>
  <c r="D701" i="8"/>
  <c r="E700" i="8"/>
  <c r="D700" i="8"/>
  <c r="D700" i="9" s="1"/>
  <c r="E699" i="8"/>
  <c r="D699" i="8"/>
  <c r="E698" i="8"/>
  <c r="D698" i="8"/>
  <c r="D698" i="9" s="1"/>
  <c r="E697" i="8"/>
  <c r="D697" i="8"/>
  <c r="D697" i="9" s="1"/>
  <c r="E696" i="8"/>
  <c r="D696" i="8"/>
  <c r="D696" i="9" s="1"/>
  <c r="E695" i="8"/>
  <c r="D695" i="8"/>
  <c r="D695" i="9" s="1"/>
  <c r="E694" i="8"/>
  <c r="D694" i="8"/>
  <c r="E693" i="8"/>
  <c r="D693" i="8"/>
  <c r="D693" i="9" s="1"/>
  <c r="E692" i="8"/>
  <c r="D692" i="8"/>
  <c r="E691" i="8"/>
  <c r="D691" i="8"/>
  <c r="B691" i="8"/>
  <c r="A691" i="8"/>
  <c r="E690" i="8"/>
  <c r="D690" i="8"/>
  <c r="D690" i="9" s="1"/>
  <c r="E689" i="8"/>
  <c r="D689" i="8"/>
  <c r="A689" i="8"/>
  <c r="E688" i="8"/>
  <c r="D688" i="8"/>
  <c r="E687" i="8"/>
  <c r="D687" i="8"/>
  <c r="D687" i="9" s="1"/>
  <c r="E686" i="8"/>
  <c r="D686" i="8"/>
  <c r="D686" i="9" s="1"/>
  <c r="E685" i="8"/>
  <c r="D685" i="8"/>
  <c r="D685" i="9" s="1"/>
  <c r="E684" i="8"/>
  <c r="D684" i="8"/>
  <c r="E683" i="8"/>
  <c r="D683" i="8"/>
  <c r="A683" i="8"/>
  <c r="E682" i="8"/>
  <c r="D682" i="8"/>
  <c r="D682" i="9" s="1"/>
  <c r="E681" i="8"/>
  <c r="D681" i="8"/>
  <c r="E680" i="8"/>
  <c r="D680" i="8"/>
  <c r="D680" i="9" s="1"/>
  <c r="C680" i="8"/>
  <c r="A680" i="8"/>
  <c r="E679" i="8"/>
  <c r="D679" i="8"/>
  <c r="D679" i="9" s="1"/>
  <c r="E678" i="8"/>
  <c r="D678" i="8"/>
  <c r="E677" i="8"/>
  <c r="D677" i="8"/>
  <c r="D677" i="9" s="1"/>
  <c r="E676" i="8"/>
  <c r="D676" i="8"/>
  <c r="E675" i="8"/>
  <c r="D675" i="8"/>
  <c r="E674" i="8"/>
  <c r="D674" i="8"/>
  <c r="D674" i="9" s="1"/>
  <c r="E673" i="8"/>
  <c r="D673" i="8"/>
  <c r="E672" i="8"/>
  <c r="D672" i="8"/>
  <c r="D672" i="9" s="1"/>
  <c r="E671" i="8"/>
  <c r="D671" i="8"/>
  <c r="D671" i="9" s="1"/>
  <c r="E670" i="8"/>
  <c r="D670" i="8"/>
  <c r="E669" i="8"/>
  <c r="D669" i="8"/>
  <c r="E668" i="8"/>
  <c r="D668" i="8"/>
  <c r="D668" i="9" s="1"/>
  <c r="E667" i="8"/>
  <c r="D667" i="8"/>
  <c r="E666" i="8"/>
  <c r="D666" i="8"/>
  <c r="D666" i="9" s="1"/>
  <c r="A666" i="8"/>
  <c r="E665" i="8"/>
  <c r="D665" i="8"/>
  <c r="D665" i="9" s="1"/>
  <c r="C665" i="8"/>
  <c r="E664" i="8"/>
  <c r="D664" i="8"/>
  <c r="C664" i="8"/>
  <c r="A664" i="8"/>
  <c r="E663" i="8"/>
  <c r="D663" i="8"/>
  <c r="E662" i="8"/>
  <c r="D662" i="8"/>
  <c r="E661" i="8"/>
  <c r="D661" i="8"/>
  <c r="D661" i="9" s="1"/>
  <c r="E660" i="8"/>
  <c r="D660" i="8"/>
  <c r="D660" i="9" s="1"/>
  <c r="E659" i="8"/>
  <c r="D659" i="8"/>
  <c r="E658" i="8"/>
  <c r="D658" i="8"/>
  <c r="D658" i="9" s="1"/>
  <c r="E657" i="8"/>
  <c r="D657" i="8"/>
  <c r="A657" i="8"/>
  <c r="E656" i="8"/>
  <c r="D656" i="8"/>
  <c r="C656" i="8"/>
  <c r="E655" i="8"/>
  <c r="D655" i="8"/>
  <c r="A655" i="8"/>
  <c r="E654" i="8"/>
  <c r="D654" i="8"/>
  <c r="D654" i="9" s="1"/>
  <c r="E653" i="8"/>
  <c r="D653" i="8"/>
  <c r="D653" i="9" s="1"/>
  <c r="E652" i="8"/>
  <c r="D652" i="8"/>
  <c r="D652" i="9" s="1"/>
  <c r="E651" i="8"/>
  <c r="D651" i="8"/>
  <c r="E650" i="8"/>
  <c r="D650" i="8"/>
  <c r="D650" i="9" s="1"/>
  <c r="A650" i="8"/>
  <c r="E649" i="8"/>
  <c r="D649" i="8"/>
  <c r="D649" i="9" s="1"/>
  <c r="E648" i="8"/>
  <c r="D648" i="8"/>
  <c r="E647" i="8"/>
  <c r="D647" i="8"/>
  <c r="D647" i="9" s="1"/>
  <c r="E646" i="8"/>
  <c r="D646" i="8"/>
  <c r="D646" i="9" s="1"/>
  <c r="E645" i="8"/>
  <c r="D645" i="8"/>
  <c r="D645" i="9" s="1"/>
  <c r="C645" i="8"/>
  <c r="E644" i="8"/>
  <c r="D644" i="8"/>
  <c r="E643" i="8"/>
  <c r="D643" i="8"/>
  <c r="E642" i="8"/>
  <c r="D642" i="8"/>
  <c r="A642" i="8"/>
  <c r="E641" i="8"/>
  <c r="D641" i="8"/>
  <c r="E640" i="8"/>
  <c r="D640" i="8"/>
  <c r="D640" i="9" s="1"/>
  <c r="E639" i="8"/>
  <c r="D639" i="8"/>
  <c r="E638" i="8"/>
  <c r="D638" i="8"/>
  <c r="D638" i="9" s="1"/>
  <c r="E637" i="8"/>
  <c r="D637" i="8"/>
  <c r="D637" i="9" s="1"/>
  <c r="E636" i="8"/>
  <c r="D636" i="8"/>
  <c r="D636" i="9" s="1"/>
  <c r="E635" i="8"/>
  <c r="D635" i="8"/>
  <c r="E634" i="8"/>
  <c r="D634" i="8"/>
  <c r="E633" i="8"/>
  <c r="D633" i="8"/>
  <c r="E632" i="8"/>
  <c r="D632" i="8"/>
  <c r="A632" i="8"/>
  <c r="E631" i="8"/>
  <c r="D631" i="8"/>
  <c r="D631" i="9" s="1"/>
  <c r="E630" i="8"/>
  <c r="D630" i="8"/>
  <c r="D630" i="9" s="1"/>
  <c r="E629" i="8"/>
  <c r="D629" i="8"/>
  <c r="E628" i="8"/>
  <c r="D628" i="8"/>
  <c r="D628" i="9" s="1"/>
  <c r="E627" i="8"/>
  <c r="D627" i="8"/>
  <c r="D627" i="9" s="1"/>
  <c r="E626" i="8"/>
  <c r="D626" i="8"/>
  <c r="D626" i="9" s="1"/>
  <c r="E625" i="8"/>
  <c r="D625" i="8"/>
  <c r="E624" i="8"/>
  <c r="D624" i="8"/>
  <c r="E623" i="8"/>
  <c r="D623" i="8"/>
  <c r="D623" i="9" s="1"/>
  <c r="E622" i="8"/>
  <c r="D622" i="8"/>
  <c r="D622" i="9" s="1"/>
  <c r="E621" i="8"/>
  <c r="D621" i="8"/>
  <c r="E620" i="8"/>
  <c r="D620" i="8"/>
  <c r="D620" i="9" s="1"/>
  <c r="E619" i="8"/>
  <c r="D619" i="8"/>
  <c r="D619" i="9" s="1"/>
  <c r="E618" i="8"/>
  <c r="D618" i="8"/>
  <c r="E617" i="8"/>
  <c r="D617" i="8"/>
  <c r="D617" i="9" s="1"/>
  <c r="E616" i="8"/>
  <c r="D616" i="8"/>
  <c r="E615" i="8"/>
  <c r="D615" i="8"/>
  <c r="D615" i="9" s="1"/>
  <c r="E614" i="8"/>
  <c r="D614" i="8"/>
  <c r="D614" i="9" s="1"/>
  <c r="E613" i="8"/>
  <c r="D613" i="8"/>
  <c r="E612" i="8"/>
  <c r="D612" i="8"/>
  <c r="D612" i="9" s="1"/>
  <c r="A612" i="8"/>
  <c r="E611" i="8"/>
  <c r="D611" i="8"/>
  <c r="D611" i="9" s="1"/>
  <c r="E610" i="8"/>
  <c r="D610" i="8"/>
  <c r="D610" i="9" s="1"/>
  <c r="E609" i="8"/>
  <c r="D609" i="8"/>
  <c r="E608" i="8"/>
  <c r="D608" i="8"/>
  <c r="E607" i="8"/>
  <c r="D607" i="8"/>
  <c r="E606" i="8"/>
  <c r="D606" i="8"/>
  <c r="D606" i="9" s="1"/>
  <c r="E605" i="8"/>
  <c r="D605" i="8"/>
  <c r="E604" i="8"/>
  <c r="D604" i="8"/>
  <c r="D604" i="9" s="1"/>
  <c r="E603" i="8"/>
  <c r="D603" i="8"/>
  <c r="E602" i="8"/>
  <c r="D602" i="8"/>
  <c r="D602" i="9" s="1"/>
  <c r="E601" i="8"/>
  <c r="D601" i="8"/>
  <c r="D601" i="9" s="1"/>
  <c r="E600" i="8"/>
  <c r="D600" i="8"/>
  <c r="E599" i="8"/>
  <c r="D599" i="8"/>
  <c r="E598" i="8"/>
  <c r="D598" i="8"/>
  <c r="E597" i="8"/>
  <c r="D597" i="8"/>
  <c r="E596" i="8"/>
  <c r="D596" i="8"/>
  <c r="E595" i="8"/>
  <c r="D595" i="8"/>
  <c r="D595" i="9" s="1"/>
  <c r="E594" i="8"/>
  <c r="D594" i="8"/>
  <c r="D594" i="9" s="1"/>
  <c r="E593" i="8"/>
  <c r="D593" i="8"/>
  <c r="D593" i="9" s="1"/>
  <c r="E592" i="8"/>
  <c r="D592" i="8"/>
  <c r="D592" i="9" s="1"/>
  <c r="E591" i="8"/>
  <c r="D591" i="8"/>
  <c r="E590" i="8"/>
  <c r="D590" i="8"/>
  <c r="D590" i="9" s="1"/>
  <c r="E589" i="8"/>
  <c r="D589" i="8"/>
  <c r="A589" i="8"/>
  <c r="E588" i="8"/>
  <c r="D588" i="8"/>
  <c r="E587" i="8"/>
  <c r="D587" i="8"/>
  <c r="D587" i="9" s="1"/>
  <c r="E586" i="8"/>
  <c r="D586" i="8"/>
  <c r="D586" i="9" s="1"/>
  <c r="E585" i="8"/>
  <c r="D585" i="8"/>
  <c r="E584" i="8"/>
  <c r="D584" i="8"/>
  <c r="E583" i="8"/>
  <c r="D583" i="8"/>
  <c r="D583" i="9" s="1"/>
  <c r="E582" i="8"/>
  <c r="D582" i="8"/>
  <c r="D582" i="9" s="1"/>
  <c r="E581" i="8"/>
  <c r="D581" i="8"/>
  <c r="E580" i="8"/>
  <c r="D580" i="8"/>
  <c r="D580" i="9" s="1"/>
  <c r="E579" i="8"/>
  <c r="D579" i="8"/>
  <c r="E578" i="8"/>
  <c r="D578" i="8"/>
  <c r="E577" i="8"/>
  <c r="D577" i="8"/>
  <c r="D577" i="9" s="1"/>
  <c r="E576" i="8"/>
  <c r="D576" i="8"/>
  <c r="E575" i="8"/>
  <c r="D575" i="8"/>
  <c r="D575" i="9" s="1"/>
  <c r="E574" i="8"/>
  <c r="D574" i="8"/>
  <c r="D574" i="9" s="1"/>
  <c r="E573" i="8"/>
  <c r="D573" i="8"/>
  <c r="E572" i="8"/>
  <c r="D572" i="8"/>
  <c r="D572" i="9" s="1"/>
  <c r="E571" i="8"/>
  <c r="D571" i="8"/>
  <c r="D571" i="9" s="1"/>
  <c r="C571" i="8"/>
  <c r="E570" i="8"/>
  <c r="D570" i="8"/>
  <c r="D570" i="9" s="1"/>
  <c r="E569" i="8"/>
  <c r="D569" i="8"/>
  <c r="E568" i="8"/>
  <c r="D568" i="8"/>
  <c r="D568" i="9" s="1"/>
  <c r="E567" i="8"/>
  <c r="D567" i="8"/>
  <c r="A567" i="8"/>
  <c r="E566" i="8"/>
  <c r="D566" i="8"/>
  <c r="D566" i="9" s="1"/>
  <c r="F566" i="19" s="1"/>
  <c r="E565" i="8"/>
  <c r="D565" i="8"/>
  <c r="E564" i="8"/>
  <c r="D564" i="8"/>
  <c r="D564" i="9" s="1"/>
  <c r="E563" i="8"/>
  <c r="D563" i="8"/>
  <c r="D563" i="9" s="1"/>
  <c r="E562" i="8"/>
  <c r="D562" i="8"/>
  <c r="D562" i="9" s="1"/>
  <c r="E561" i="8"/>
  <c r="D561" i="8"/>
  <c r="D561" i="9" s="1"/>
  <c r="E560" i="8"/>
  <c r="D560" i="8"/>
  <c r="D560" i="9" s="1"/>
  <c r="F560" i="19" s="1"/>
  <c r="E559" i="8"/>
  <c r="D559" i="8"/>
  <c r="D559" i="9" s="1"/>
  <c r="E558" i="8"/>
  <c r="D558" i="8"/>
  <c r="E557" i="8"/>
  <c r="D557" i="8"/>
  <c r="D557" i="9" s="1"/>
  <c r="E556" i="8"/>
  <c r="D556" i="8"/>
  <c r="E555" i="8"/>
  <c r="D555" i="8"/>
  <c r="D555" i="9" s="1"/>
  <c r="E554" i="8"/>
  <c r="D554" i="8"/>
  <c r="D554" i="9" s="1"/>
  <c r="A554" i="8"/>
  <c r="E553" i="8"/>
  <c r="D553" i="8"/>
  <c r="D553" i="9" s="1"/>
  <c r="E552" i="8"/>
  <c r="D552" i="8"/>
  <c r="D552" i="9" s="1"/>
  <c r="E551" i="8"/>
  <c r="D551" i="8"/>
  <c r="E550" i="8"/>
  <c r="D550" i="8"/>
  <c r="D550" i="9" s="1"/>
  <c r="C550" i="8"/>
  <c r="E549" i="8"/>
  <c r="D549" i="8"/>
  <c r="E548" i="8"/>
  <c r="D548" i="8"/>
  <c r="D548" i="9" s="1"/>
  <c r="E547" i="8"/>
  <c r="D547" i="8"/>
  <c r="E546" i="8"/>
  <c r="D546" i="8"/>
  <c r="D546" i="9" s="1"/>
  <c r="E545" i="8"/>
  <c r="D545" i="8"/>
  <c r="E544" i="8"/>
  <c r="D544" i="8"/>
  <c r="D544" i="9" s="1"/>
  <c r="E543" i="8"/>
  <c r="D543" i="8"/>
  <c r="D543" i="9" s="1"/>
  <c r="E542" i="8"/>
  <c r="D542" i="8"/>
  <c r="A542" i="8"/>
  <c r="E541" i="8"/>
  <c r="D541" i="8"/>
  <c r="E540" i="8"/>
  <c r="D540" i="8"/>
  <c r="D540" i="9" s="1"/>
  <c r="E539" i="8"/>
  <c r="D539" i="8"/>
  <c r="D539" i="9" s="1"/>
  <c r="E538" i="8"/>
  <c r="D538" i="8"/>
  <c r="E537" i="8"/>
  <c r="D537" i="8"/>
  <c r="E536" i="8"/>
  <c r="D536" i="8"/>
  <c r="A536" i="8"/>
  <c r="E535" i="8"/>
  <c r="D535" i="8"/>
  <c r="E534" i="8"/>
  <c r="D534" i="8"/>
  <c r="D534" i="9" s="1"/>
  <c r="E533" i="8"/>
  <c r="D533" i="8"/>
  <c r="D533" i="9" s="1"/>
  <c r="E532" i="8"/>
  <c r="D532" i="8"/>
  <c r="D532" i="9" s="1"/>
  <c r="A532" i="8"/>
  <c r="E531" i="8"/>
  <c r="D531" i="8"/>
  <c r="E530" i="8"/>
  <c r="D530" i="8"/>
  <c r="E529" i="8"/>
  <c r="D529" i="8"/>
  <c r="E528" i="8"/>
  <c r="D528" i="8"/>
  <c r="D528" i="9" s="1"/>
  <c r="E527" i="8"/>
  <c r="D527" i="8"/>
  <c r="E526" i="8"/>
  <c r="D526" i="8"/>
  <c r="E525" i="8"/>
  <c r="D525" i="8"/>
  <c r="D525" i="9" s="1"/>
  <c r="E524" i="8"/>
  <c r="D524" i="8"/>
  <c r="E523" i="8"/>
  <c r="D523" i="8"/>
  <c r="D523" i="9" s="1"/>
  <c r="E522" i="8"/>
  <c r="D522" i="8"/>
  <c r="D522" i="9" s="1"/>
  <c r="E521" i="8"/>
  <c r="D521" i="8"/>
  <c r="D521" i="9" s="1"/>
  <c r="E520" i="8"/>
  <c r="D520" i="8"/>
  <c r="E519" i="8"/>
  <c r="D519" i="8"/>
  <c r="E518" i="8"/>
  <c r="D518" i="8"/>
  <c r="D518" i="9" s="1"/>
  <c r="E517" i="8"/>
  <c r="D517" i="8"/>
  <c r="D517" i="9" s="1"/>
  <c r="E516" i="8"/>
  <c r="D516" i="8"/>
  <c r="D516" i="9" s="1"/>
  <c r="E515" i="8"/>
  <c r="D515" i="8"/>
  <c r="D515" i="9" s="1"/>
  <c r="E514" i="8"/>
  <c r="D514" i="8"/>
  <c r="D514" i="9" s="1"/>
  <c r="A514" i="8"/>
  <c r="E513" i="8"/>
  <c r="D513" i="8"/>
  <c r="D513" i="9" s="1"/>
  <c r="E512" i="8"/>
  <c r="D512" i="8"/>
  <c r="D512" i="9" s="1"/>
  <c r="E511" i="8"/>
  <c r="D511" i="8"/>
  <c r="E510" i="8"/>
  <c r="D510" i="8"/>
  <c r="E509" i="8"/>
  <c r="D509" i="8"/>
  <c r="E508" i="8"/>
  <c r="D508" i="8"/>
  <c r="D508" i="9" s="1"/>
  <c r="E507" i="8"/>
  <c r="D507" i="8"/>
  <c r="E506" i="8"/>
  <c r="D506" i="8"/>
  <c r="E505" i="8"/>
  <c r="D505" i="8"/>
  <c r="D505" i="9" s="1"/>
  <c r="E504" i="8"/>
  <c r="D504" i="8"/>
  <c r="E503" i="8"/>
  <c r="D503" i="8"/>
  <c r="D503" i="9" s="1"/>
  <c r="E502" i="8"/>
  <c r="D502" i="8"/>
  <c r="D502" i="9" s="1"/>
  <c r="E501" i="8"/>
  <c r="D501" i="8"/>
  <c r="E500" i="8"/>
  <c r="D500" i="8"/>
  <c r="D500" i="9" s="1"/>
  <c r="E499" i="8"/>
  <c r="D499" i="8"/>
  <c r="D499" i="9" s="1"/>
  <c r="E498" i="8"/>
  <c r="D498" i="8"/>
  <c r="D498" i="9" s="1"/>
  <c r="B498" i="8"/>
  <c r="E497" i="8"/>
  <c r="D497" i="8"/>
  <c r="D497" i="9" s="1"/>
  <c r="F497" i="19" s="1"/>
  <c r="E496" i="8"/>
  <c r="D496" i="8"/>
  <c r="E495" i="8"/>
  <c r="D495" i="8"/>
  <c r="E494" i="8"/>
  <c r="D494" i="8"/>
  <c r="D494" i="9" s="1"/>
  <c r="E493" i="8"/>
  <c r="D493" i="8"/>
  <c r="E492" i="8"/>
  <c r="D492" i="8"/>
  <c r="D492" i="9" s="1"/>
  <c r="E491" i="8"/>
  <c r="D491" i="8"/>
  <c r="E490" i="8"/>
  <c r="D490" i="8"/>
  <c r="D490" i="9" s="1"/>
  <c r="E489" i="8"/>
  <c r="D489" i="8"/>
  <c r="D489" i="9" s="1"/>
  <c r="A489" i="8"/>
  <c r="E488" i="8"/>
  <c r="D488" i="8"/>
  <c r="E487" i="8"/>
  <c r="D487" i="8"/>
  <c r="E486" i="8"/>
  <c r="D486" i="8"/>
  <c r="D486" i="9" s="1"/>
  <c r="E485" i="8"/>
  <c r="D485" i="8"/>
  <c r="E484" i="8"/>
  <c r="D484" i="8"/>
  <c r="D484" i="9" s="1"/>
  <c r="A484" i="8"/>
  <c r="E483" i="8"/>
  <c r="D483" i="8"/>
  <c r="D483" i="9" s="1"/>
  <c r="E482" i="8"/>
  <c r="D482" i="8"/>
  <c r="D482" i="9" s="1"/>
  <c r="E481" i="8"/>
  <c r="D481" i="8"/>
  <c r="D481" i="9" s="1"/>
  <c r="E480" i="8"/>
  <c r="D480" i="8"/>
  <c r="D480" i="9" s="1"/>
  <c r="F480" i="19" s="1"/>
  <c r="E479" i="8"/>
  <c r="D479" i="8"/>
  <c r="D479" i="9" s="1"/>
  <c r="E478" i="8"/>
  <c r="D478" i="8"/>
  <c r="E477" i="8"/>
  <c r="D477" i="8"/>
  <c r="D477" i="9" s="1"/>
  <c r="E476" i="8"/>
  <c r="D476" i="8"/>
  <c r="E475" i="8"/>
  <c r="D475" i="8"/>
  <c r="C475" i="8"/>
  <c r="B475" i="8"/>
  <c r="A475" i="8"/>
  <c r="E474" i="8"/>
  <c r="D474" i="8"/>
  <c r="D474" i="9" s="1"/>
  <c r="B474" i="8"/>
  <c r="E473" i="8"/>
  <c r="D473" i="8"/>
  <c r="D473" i="9" s="1"/>
  <c r="E472" i="8"/>
  <c r="D472" i="8"/>
  <c r="D472" i="9" s="1"/>
  <c r="E471" i="8"/>
  <c r="D471" i="8"/>
  <c r="E470" i="8"/>
  <c r="D470" i="8"/>
  <c r="E469" i="8"/>
  <c r="D469" i="8"/>
  <c r="D469" i="9" s="1"/>
  <c r="A469" i="8"/>
  <c r="E468" i="8"/>
  <c r="D468" i="8"/>
  <c r="E467" i="8"/>
  <c r="D467" i="8"/>
  <c r="E466" i="8"/>
  <c r="D466" i="8"/>
  <c r="D466" i="9" s="1"/>
  <c r="E465" i="8"/>
  <c r="D465" i="8"/>
  <c r="E464" i="8"/>
  <c r="D464" i="8"/>
  <c r="D464" i="9" s="1"/>
  <c r="E463" i="8"/>
  <c r="D463" i="8"/>
  <c r="D463" i="9" s="1"/>
  <c r="E462" i="8"/>
  <c r="D462" i="8"/>
  <c r="D462" i="9" s="1"/>
  <c r="E461" i="8"/>
  <c r="D461" i="8"/>
  <c r="E460" i="8"/>
  <c r="D460" i="8"/>
  <c r="A460" i="8"/>
  <c r="E459" i="8"/>
  <c r="D459" i="8"/>
  <c r="E458" i="8"/>
  <c r="D458" i="8"/>
  <c r="E457" i="8"/>
  <c r="D457" i="8"/>
  <c r="D457" i="9" s="1"/>
  <c r="E456" i="8"/>
  <c r="D456" i="8"/>
  <c r="E455" i="8"/>
  <c r="D455" i="8"/>
  <c r="A455" i="8"/>
  <c r="E454" i="8"/>
  <c r="D454" i="8"/>
  <c r="D454" i="9" s="1"/>
  <c r="E453" i="8"/>
  <c r="D453" i="8"/>
  <c r="A453" i="8"/>
  <c r="E452" i="8"/>
  <c r="D452" i="8"/>
  <c r="D452" i="9" s="1"/>
  <c r="E451" i="8"/>
  <c r="D451" i="8"/>
  <c r="D451" i="9" s="1"/>
  <c r="E450" i="8"/>
  <c r="D450" i="8"/>
  <c r="E449" i="8"/>
  <c r="D449" i="8"/>
  <c r="E448" i="8"/>
  <c r="D448" i="8"/>
  <c r="E447" i="8"/>
  <c r="D447" i="8"/>
  <c r="E446" i="8"/>
  <c r="D446" i="8"/>
  <c r="E445" i="8"/>
  <c r="D445" i="8"/>
  <c r="A445" i="8"/>
  <c r="E444" i="8"/>
  <c r="D444" i="8"/>
  <c r="D444" i="9" s="1"/>
  <c r="E443" i="8"/>
  <c r="D443" i="8"/>
  <c r="E442" i="8"/>
  <c r="D442" i="8"/>
  <c r="D442" i="9" s="1"/>
  <c r="E441" i="8"/>
  <c r="D441" i="8"/>
  <c r="D441" i="9" s="1"/>
  <c r="E440" i="8"/>
  <c r="D440" i="8"/>
  <c r="E439" i="8"/>
  <c r="D439" i="8"/>
  <c r="D439" i="9" s="1"/>
  <c r="E438" i="8"/>
  <c r="D438" i="8"/>
  <c r="E437" i="8"/>
  <c r="D437" i="8"/>
  <c r="E436" i="8"/>
  <c r="D436" i="8"/>
  <c r="D436" i="9" s="1"/>
  <c r="E435" i="8"/>
  <c r="D435" i="8"/>
  <c r="E434" i="8"/>
  <c r="D434" i="8"/>
  <c r="D434" i="9" s="1"/>
  <c r="F434" i="19" s="1"/>
  <c r="E433" i="8"/>
  <c r="D433" i="8"/>
  <c r="B433" i="8"/>
  <c r="E432" i="8"/>
  <c r="D432" i="8"/>
  <c r="D432" i="9" s="1"/>
  <c r="E431" i="8"/>
  <c r="D431" i="8"/>
  <c r="E430" i="8"/>
  <c r="D430" i="8"/>
  <c r="E429" i="8"/>
  <c r="D429" i="8"/>
  <c r="E428" i="8"/>
  <c r="D428" i="8"/>
  <c r="D428" i="9" s="1"/>
  <c r="E427" i="8"/>
  <c r="D427" i="8"/>
  <c r="B427" i="8"/>
  <c r="E426" i="8"/>
  <c r="D426" i="8"/>
  <c r="E425" i="8"/>
  <c r="D425" i="8"/>
  <c r="D425" i="9" s="1"/>
  <c r="E424" i="8"/>
  <c r="D424" i="8"/>
  <c r="D424" i="9" s="1"/>
  <c r="E423" i="8"/>
  <c r="D423" i="8"/>
  <c r="D423" i="9" s="1"/>
  <c r="E422" i="8"/>
  <c r="D422" i="8"/>
  <c r="D422" i="9" s="1"/>
  <c r="E421" i="8"/>
  <c r="D421" i="8"/>
  <c r="E420" i="8"/>
  <c r="D420" i="8"/>
  <c r="D420" i="9" s="1"/>
  <c r="E419" i="8"/>
  <c r="D419" i="8"/>
  <c r="E418" i="8"/>
  <c r="D418" i="8"/>
  <c r="E417" i="8"/>
  <c r="D417" i="8"/>
  <c r="E416" i="8"/>
  <c r="D416" i="8"/>
  <c r="D416" i="9" s="1"/>
  <c r="E415" i="8"/>
  <c r="D415" i="8"/>
  <c r="D415" i="9" s="1"/>
  <c r="E414" i="8"/>
  <c r="D414" i="8"/>
  <c r="D414" i="9" s="1"/>
  <c r="F414" i="19" s="1"/>
  <c r="E413" i="8"/>
  <c r="D413" i="8"/>
  <c r="E412" i="8"/>
  <c r="D412" i="8"/>
  <c r="E411" i="8"/>
  <c r="D411" i="8"/>
  <c r="D411" i="9" s="1"/>
  <c r="E410" i="8"/>
  <c r="D410" i="8"/>
  <c r="D410" i="9" s="1"/>
  <c r="E409" i="8"/>
  <c r="D409" i="8"/>
  <c r="E408" i="8"/>
  <c r="D408" i="8"/>
  <c r="D408" i="9" s="1"/>
  <c r="E407" i="8"/>
  <c r="D407" i="8"/>
  <c r="E406" i="8"/>
  <c r="D406" i="8"/>
  <c r="E405" i="8"/>
  <c r="D405" i="8"/>
  <c r="D405" i="9" s="1"/>
  <c r="E404" i="8"/>
  <c r="D404" i="8"/>
  <c r="D404" i="9" s="1"/>
  <c r="E403" i="8"/>
  <c r="D403" i="8"/>
  <c r="D403" i="9" s="1"/>
  <c r="E402" i="8"/>
  <c r="D402" i="8"/>
  <c r="D402" i="9" s="1"/>
  <c r="E401" i="8"/>
  <c r="D401" i="8"/>
  <c r="E400" i="8"/>
  <c r="D400" i="8"/>
  <c r="A400" i="8"/>
  <c r="E399" i="8"/>
  <c r="D399" i="8"/>
  <c r="D399" i="9" s="1"/>
  <c r="E398" i="8"/>
  <c r="D398" i="8"/>
  <c r="B398" i="8"/>
  <c r="A398" i="8"/>
  <c r="E397" i="8"/>
  <c r="D397" i="8"/>
  <c r="D397" i="9" s="1"/>
  <c r="E396" i="8"/>
  <c r="D396" i="8"/>
  <c r="D396" i="9" s="1"/>
  <c r="E395" i="8"/>
  <c r="D395" i="8"/>
  <c r="D395" i="9" s="1"/>
  <c r="E394" i="8"/>
  <c r="D394" i="8"/>
  <c r="D394" i="9" s="1"/>
  <c r="E393" i="8"/>
  <c r="D393" i="8"/>
  <c r="E392" i="8"/>
  <c r="D392" i="8"/>
  <c r="D392" i="9" s="1"/>
  <c r="A392" i="8"/>
  <c r="E391" i="8"/>
  <c r="D391" i="8"/>
  <c r="B391" i="8"/>
  <c r="E390" i="8"/>
  <c r="D390" i="8"/>
  <c r="E389" i="8"/>
  <c r="D389" i="8"/>
  <c r="D389" i="9" s="1"/>
  <c r="E388" i="8"/>
  <c r="D388" i="8"/>
  <c r="D388" i="9" s="1"/>
  <c r="E387" i="8"/>
  <c r="D387" i="8"/>
  <c r="C387" i="8"/>
  <c r="B387" i="8"/>
  <c r="A387" i="8"/>
  <c r="E386" i="8"/>
  <c r="D386" i="8"/>
  <c r="E385" i="8"/>
  <c r="D385" i="8"/>
  <c r="E384" i="8"/>
  <c r="D384" i="8"/>
  <c r="D384" i="9" s="1"/>
  <c r="E383" i="8"/>
  <c r="D383" i="8"/>
  <c r="D383" i="9" s="1"/>
  <c r="E382" i="8"/>
  <c r="D382" i="8"/>
  <c r="E381" i="8"/>
  <c r="D381" i="8"/>
  <c r="E380" i="8"/>
  <c r="D380" i="8"/>
  <c r="E379" i="8"/>
  <c r="D379" i="8"/>
  <c r="D379" i="9" s="1"/>
  <c r="E378" i="8"/>
  <c r="D378" i="8"/>
  <c r="D378" i="9" s="1"/>
  <c r="E377" i="8"/>
  <c r="D377" i="8"/>
  <c r="D377" i="9" s="1"/>
  <c r="E376" i="8"/>
  <c r="D376" i="8"/>
  <c r="D376" i="9" s="1"/>
  <c r="E375" i="8"/>
  <c r="D375" i="8"/>
  <c r="E374" i="8"/>
  <c r="D374" i="8"/>
  <c r="D374" i="9" s="1"/>
  <c r="E373" i="8"/>
  <c r="D373" i="8"/>
  <c r="D373" i="9" s="1"/>
  <c r="E372" i="8"/>
  <c r="D372" i="8"/>
  <c r="E371" i="8"/>
  <c r="D371" i="8"/>
  <c r="D371" i="9" s="1"/>
  <c r="E370" i="8"/>
  <c r="D370" i="8"/>
  <c r="E369" i="8"/>
  <c r="D369" i="8"/>
  <c r="E368" i="8"/>
  <c r="D368" i="8"/>
  <c r="E367" i="8"/>
  <c r="D367" i="8"/>
  <c r="E366" i="8"/>
  <c r="D366" i="8"/>
  <c r="D366" i="9" s="1"/>
  <c r="E365" i="8"/>
  <c r="D365" i="8"/>
  <c r="E364" i="8"/>
  <c r="D364" i="8"/>
  <c r="D364" i="9" s="1"/>
  <c r="F364" i="19" s="1"/>
  <c r="E363" i="8"/>
  <c r="D363" i="8"/>
  <c r="E362" i="8"/>
  <c r="D362" i="8"/>
  <c r="E361" i="8"/>
  <c r="D361" i="8"/>
  <c r="D361" i="9" s="1"/>
  <c r="E360" i="8"/>
  <c r="D360" i="8"/>
  <c r="D360" i="9" s="1"/>
  <c r="E359" i="8"/>
  <c r="D359" i="8"/>
  <c r="E358" i="8"/>
  <c r="D358" i="8"/>
  <c r="D358" i="9" s="1"/>
  <c r="C358" i="8"/>
  <c r="B358" i="8"/>
  <c r="E357" i="8"/>
  <c r="D357" i="8"/>
  <c r="E356" i="8"/>
  <c r="D356" i="8"/>
  <c r="D356" i="9" s="1"/>
  <c r="E355" i="8"/>
  <c r="D355" i="8"/>
  <c r="D355" i="9" s="1"/>
  <c r="E354" i="8"/>
  <c r="D354" i="8"/>
  <c r="D354" i="9" s="1"/>
  <c r="E353" i="8"/>
  <c r="D353" i="8"/>
  <c r="D353" i="9" s="1"/>
  <c r="E352" i="8"/>
  <c r="D352" i="8"/>
  <c r="E351" i="8"/>
  <c r="D351" i="8"/>
  <c r="E350" i="8"/>
  <c r="D350" i="8"/>
  <c r="E349" i="8"/>
  <c r="D349" i="8"/>
  <c r="E348" i="8"/>
  <c r="D348" i="8"/>
  <c r="C348" i="8"/>
  <c r="E347" i="8"/>
  <c r="D347" i="8"/>
  <c r="E346" i="8"/>
  <c r="D346" i="8"/>
  <c r="D346" i="9" s="1"/>
  <c r="E345" i="8"/>
  <c r="D345" i="8"/>
  <c r="E344" i="8"/>
  <c r="D344" i="8"/>
  <c r="D344" i="9" s="1"/>
  <c r="E343" i="8"/>
  <c r="D343" i="8"/>
  <c r="D343" i="9" s="1"/>
  <c r="E342" i="8"/>
  <c r="D342" i="8"/>
  <c r="E341" i="8"/>
  <c r="D341" i="8"/>
  <c r="D341" i="9" s="1"/>
  <c r="E340" i="8"/>
  <c r="D340" i="8"/>
  <c r="D340" i="9" s="1"/>
  <c r="E339" i="8"/>
  <c r="D339" i="8"/>
  <c r="E338" i="8"/>
  <c r="D338" i="8"/>
  <c r="D338" i="9" s="1"/>
  <c r="C338" i="8"/>
  <c r="E337" i="8"/>
  <c r="D337" i="8"/>
  <c r="D337" i="9" s="1"/>
  <c r="E336" i="8"/>
  <c r="D336" i="8"/>
  <c r="E335" i="8"/>
  <c r="D335" i="8"/>
  <c r="E334" i="8"/>
  <c r="D334" i="8"/>
  <c r="D334" i="9" s="1"/>
  <c r="C334" i="8"/>
  <c r="E333" i="8"/>
  <c r="D333" i="8"/>
  <c r="E332" i="8"/>
  <c r="D332" i="8"/>
  <c r="D332" i="9" s="1"/>
  <c r="E331" i="8"/>
  <c r="D331" i="8"/>
  <c r="D331" i="9" s="1"/>
  <c r="E330" i="8"/>
  <c r="D330" i="8"/>
  <c r="D330" i="9" s="1"/>
  <c r="E329" i="8"/>
  <c r="D329" i="8"/>
  <c r="E328" i="8"/>
  <c r="D328" i="8"/>
  <c r="A328" i="8"/>
  <c r="E327" i="8"/>
  <c r="D327" i="8"/>
  <c r="E326" i="8"/>
  <c r="D326" i="8"/>
  <c r="E325" i="8"/>
  <c r="D325" i="8"/>
  <c r="E324" i="8"/>
  <c r="D324" i="8"/>
  <c r="D324" i="9" s="1"/>
  <c r="E323" i="8"/>
  <c r="D323" i="8"/>
  <c r="D323" i="9" s="1"/>
  <c r="E322" i="8"/>
  <c r="D322" i="8"/>
  <c r="E321" i="8"/>
  <c r="D321" i="8"/>
  <c r="D321" i="9" s="1"/>
  <c r="E320" i="8"/>
  <c r="D320" i="8"/>
  <c r="E319" i="8"/>
  <c r="D319" i="8"/>
  <c r="E318" i="8"/>
  <c r="D318" i="8"/>
  <c r="D318" i="9" s="1"/>
  <c r="E317" i="8"/>
  <c r="D317" i="8"/>
  <c r="D317" i="9" s="1"/>
  <c r="E316" i="8"/>
  <c r="D316" i="8"/>
  <c r="E315" i="8"/>
  <c r="D315" i="8"/>
  <c r="E314" i="8"/>
  <c r="D314" i="8"/>
  <c r="D314" i="9" s="1"/>
  <c r="E313" i="8"/>
  <c r="D313" i="8"/>
  <c r="E312" i="8"/>
  <c r="D312" i="8"/>
  <c r="E311" i="8"/>
  <c r="D311" i="8"/>
  <c r="D311" i="9" s="1"/>
  <c r="E310" i="8"/>
  <c r="D310" i="8"/>
  <c r="E309" i="8"/>
  <c r="D309" i="8"/>
  <c r="A309" i="8"/>
  <c r="E308" i="8"/>
  <c r="D308" i="8"/>
  <c r="D308" i="9" s="1"/>
  <c r="C308" i="8"/>
  <c r="E307" i="8"/>
  <c r="D307" i="8"/>
  <c r="E306" i="8"/>
  <c r="D306" i="8"/>
  <c r="D306" i="9" s="1"/>
  <c r="E305" i="8"/>
  <c r="D305" i="8"/>
  <c r="E304" i="8"/>
  <c r="D304" i="8"/>
  <c r="D304" i="9" s="1"/>
  <c r="E303" i="8"/>
  <c r="D303" i="8"/>
  <c r="D303" i="9" s="1"/>
  <c r="E302" i="8"/>
  <c r="D302" i="8"/>
  <c r="E301" i="8"/>
  <c r="D301" i="8"/>
  <c r="D301" i="9" s="1"/>
  <c r="E300" i="8"/>
  <c r="D300" i="8"/>
  <c r="E299" i="8"/>
  <c r="D299" i="8"/>
  <c r="D299" i="9" s="1"/>
  <c r="E298" i="8"/>
  <c r="D298" i="8"/>
  <c r="D298" i="9" s="1"/>
  <c r="E297" i="8"/>
  <c r="D297" i="8"/>
  <c r="D297" i="9" s="1"/>
  <c r="E296" i="8"/>
  <c r="D296" i="8"/>
  <c r="E295" i="8"/>
  <c r="D295" i="8"/>
  <c r="E294" i="8"/>
  <c r="D294" i="8"/>
  <c r="D294" i="9" s="1"/>
  <c r="A294" i="8"/>
  <c r="E293" i="8"/>
  <c r="D293" i="8"/>
  <c r="E292" i="8"/>
  <c r="D292" i="8"/>
  <c r="D292" i="9" s="1"/>
  <c r="E291" i="8"/>
  <c r="D291" i="8"/>
  <c r="D291" i="9" s="1"/>
  <c r="E290" i="8"/>
  <c r="D290" i="8"/>
  <c r="E289" i="8"/>
  <c r="D289" i="8"/>
  <c r="E288" i="8"/>
  <c r="D288" i="8"/>
  <c r="E287" i="8"/>
  <c r="D287" i="8"/>
  <c r="A287" i="8"/>
  <c r="E286" i="8"/>
  <c r="D286" i="8"/>
  <c r="D286" i="9" s="1"/>
  <c r="E285" i="8"/>
  <c r="D285" i="8"/>
  <c r="D285" i="9" s="1"/>
  <c r="A285" i="8"/>
  <c r="E284" i="8"/>
  <c r="D284" i="8"/>
  <c r="D284" i="9" s="1"/>
  <c r="E283" i="8"/>
  <c r="D283" i="8"/>
  <c r="A283" i="8"/>
  <c r="E282" i="8"/>
  <c r="D282" i="8"/>
  <c r="E281" i="8"/>
  <c r="D281" i="8"/>
  <c r="D281" i="9" s="1"/>
  <c r="E280" i="8"/>
  <c r="D280" i="8"/>
  <c r="D280" i="9" s="1"/>
  <c r="E279" i="8"/>
  <c r="D279" i="8"/>
  <c r="E278" i="8"/>
  <c r="D278" i="8"/>
  <c r="E277" i="8"/>
  <c r="D277" i="8"/>
  <c r="E276" i="8"/>
  <c r="D276" i="8"/>
  <c r="E275" i="8"/>
  <c r="D275" i="8"/>
  <c r="E274" i="8"/>
  <c r="D274" i="8"/>
  <c r="D274" i="9" s="1"/>
  <c r="E273" i="8"/>
  <c r="D273" i="8"/>
  <c r="E272" i="8"/>
  <c r="D272" i="8"/>
  <c r="E271" i="8"/>
  <c r="D271" i="8"/>
  <c r="E270" i="8"/>
  <c r="D270" i="8"/>
  <c r="E269" i="8"/>
  <c r="D269" i="8"/>
  <c r="C269" i="8"/>
  <c r="A269" i="8"/>
  <c r="E268" i="8"/>
  <c r="D268" i="8"/>
  <c r="D268" i="9" s="1"/>
  <c r="F268" i="19" s="1"/>
  <c r="A268" i="8"/>
  <c r="E267" i="8"/>
  <c r="D267" i="8"/>
  <c r="C267" i="8"/>
  <c r="E266" i="8"/>
  <c r="D266" i="8"/>
  <c r="E265" i="8"/>
  <c r="D265" i="8"/>
  <c r="D265" i="9" s="1"/>
  <c r="E264" i="8"/>
  <c r="D264" i="8"/>
  <c r="E263" i="8"/>
  <c r="D263" i="8"/>
  <c r="D263" i="9" s="1"/>
  <c r="E262" i="8"/>
  <c r="D262" i="8"/>
  <c r="D262" i="9" s="1"/>
  <c r="E261" i="8"/>
  <c r="D261" i="8"/>
  <c r="D261" i="9" s="1"/>
  <c r="E260" i="8"/>
  <c r="D260" i="8"/>
  <c r="C260" i="8"/>
  <c r="A260" i="8"/>
  <c r="E259" i="8"/>
  <c r="D259" i="8"/>
  <c r="E258" i="8"/>
  <c r="D258" i="8"/>
  <c r="E257" i="8"/>
  <c r="D257" i="8"/>
  <c r="E256" i="8"/>
  <c r="D256" i="8"/>
  <c r="E255" i="8"/>
  <c r="D255" i="8"/>
  <c r="E254" i="8"/>
  <c r="D254" i="8"/>
  <c r="D254" i="9" s="1"/>
  <c r="E253" i="8"/>
  <c r="D253" i="8"/>
  <c r="D253" i="9" s="1"/>
  <c r="E252" i="8"/>
  <c r="D252" i="8"/>
  <c r="D252" i="9" s="1"/>
  <c r="A252" i="8"/>
  <c r="E251" i="8"/>
  <c r="D251" i="8"/>
  <c r="D251" i="9" s="1"/>
  <c r="E250" i="8"/>
  <c r="D250" i="8"/>
  <c r="E249" i="8"/>
  <c r="D249" i="8"/>
  <c r="E248" i="8"/>
  <c r="D248" i="8"/>
  <c r="E247" i="8"/>
  <c r="D247" i="8"/>
  <c r="C247" i="8"/>
  <c r="E246" i="8"/>
  <c r="D246" i="8"/>
  <c r="D246" i="9" s="1"/>
  <c r="E245" i="8"/>
  <c r="D245" i="8"/>
  <c r="D245" i="9" s="1"/>
  <c r="B245" i="8"/>
  <c r="A245" i="8"/>
  <c r="E244" i="8"/>
  <c r="D244" i="8"/>
  <c r="E243" i="8"/>
  <c r="D243" i="8"/>
  <c r="E242" i="8"/>
  <c r="D242" i="8"/>
  <c r="E241" i="8"/>
  <c r="D241" i="8"/>
  <c r="E240" i="8"/>
  <c r="D240" i="8"/>
  <c r="E239" i="8"/>
  <c r="D239" i="8"/>
  <c r="E238" i="8"/>
  <c r="D238" i="8"/>
  <c r="D238" i="9" s="1"/>
  <c r="E237" i="8"/>
  <c r="D237" i="8"/>
  <c r="E236" i="8"/>
  <c r="D236" i="8"/>
  <c r="D236" i="9" s="1"/>
  <c r="B236" i="8"/>
  <c r="E235" i="8"/>
  <c r="D235" i="8"/>
  <c r="D235" i="9" s="1"/>
  <c r="E234" i="8"/>
  <c r="D234" i="8"/>
  <c r="D234" i="9" s="1"/>
  <c r="E233" i="8"/>
  <c r="D233" i="8"/>
  <c r="D233" i="9" s="1"/>
  <c r="E232" i="8"/>
  <c r="D232" i="8"/>
  <c r="D232" i="9" s="1"/>
  <c r="E231" i="8"/>
  <c r="D231" i="8"/>
  <c r="D231" i="9" s="1"/>
  <c r="E230" i="8"/>
  <c r="D230" i="8"/>
  <c r="D230" i="9" s="1"/>
  <c r="E229" i="8"/>
  <c r="D229" i="8"/>
  <c r="A229" i="8"/>
  <c r="E228" i="8"/>
  <c r="D228" i="8"/>
  <c r="D228" i="9" s="1"/>
  <c r="E227" i="8"/>
  <c r="D227" i="8"/>
  <c r="E226" i="8"/>
  <c r="D226" i="8"/>
  <c r="E225" i="8"/>
  <c r="D225" i="8"/>
  <c r="E224" i="8"/>
  <c r="D224" i="8"/>
  <c r="D224" i="9" s="1"/>
  <c r="E223" i="8"/>
  <c r="D223" i="8"/>
  <c r="D223" i="9" s="1"/>
  <c r="E222" i="8"/>
  <c r="D222" i="8"/>
  <c r="C222" i="8"/>
  <c r="A222" i="8"/>
  <c r="E221" i="8"/>
  <c r="D221" i="8"/>
  <c r="D221" i="9" s="1"/>
  <c r="E220" i="8"/>
  <c r="D220" i="8"/>
  <c r="D220" i="9" s="1"/>
  <c r="F220" i="19" s="1"/>
  <c r="E219" i="8"/>
  <c r="D219" i="8"/>
  <c r="E218" i="8"/>
  <c r="D218" i="8"/>
  <c r="E217" i="8"/>
  <c r="D217" i="8"/>
  <c r="E216" i="8"/>
  <c r="D216" i="8"/>
  <c r="E215" i="8"/>
  <c r="D215" i="8"/>
  <c r="D215" i="9" s="1"/>
  <c r="A215" i="8"/>
  <c r="E214" i="8"/>
  <c r="D214" i="8"/>
  <c r="D214" i="9" s="1"/>
  <c r="E213" i="8"/>
  <c r="D213" i="8"/>
  <c r="D213" i="9" s="1"/>
  <c r="E212" i="8"/>
  <c r="D212" i="8"/>
  <c r="D212" i="9" s="1"/>
  <c r="A212" i="8"/>
  <c r="E211" i="8"/>
  <c r="D211" i="8"/>
  <c r="D211" i="9" s="1"/>
  <c r="E210" i="8"/>
  <c r="D210" i="8"/>
  <c r="D210" i="9" s="1"/>
  <c r="E209" i="8"/>
  <c r="D209" i="8"/>
  <c r="E208" i="8"/>
  <c r="D208" i="8"/>
  <c r="D208" i="9" s="1"/>
  <c r="E207" i="8"/>
  <c r="D207" i="8"/>
  <c r="E206" i="8"/>
  <c r="D206" i="8"/>
  <c r="B206" i="8"/>
  <c r="E205" i="8"/>
  <c r="D205" i="8"/>
  <c r="D205" i="9" s="1"/>
  <c r="E204" i="8"/>
  <c r="D204" i="8"/>
  <c r="D204" i="9" s="1"/>
  <c r="E203" i="8"/>
  <c r="D203" i="8"/>
  <c r="D203" i="9" s="1"/>
  <c r="E202" i="8"/>
  <c r="D202" i="8"/>
  <c r="E201" i="8"/>
  <c r="D201" i="8"/>
  <c r="D201" i="9" s="1"/>
  <c r="E200" i="8"/>
  <c r="D200" i="8"/>
  <c r="E199" i="8"/>
  <c r="D199" i="8"/>
  <c r="E198" i="8"/>
  <c r="D198" i="8"/>
  <c r="D198" i="9" s="1"/>
  <c r="E197" i="8"/>
  <c r="D197" i="8"/>
  <c r="A197" i="8"/>
  <c r="E196" i="8"/>
  <c r="D196" i="8"/>
  <c r="E195" i="8"/>
  <c r="D195" i="8"/>
  <c r="D195" i="9" s="1"/>
  <c r="E194" i="8"/>
  <c r="D194" i="8"/>
  <c r="D194" i="9" s="1"/>
  <c r="E193" i="8"/>
  <c r="D193" i="8"/>
  <c r="D193" i="9" s="1"/>
  <c r="E192" i="8"/>
  <c r="D192" i="8"/>
  <c r="E191" i="8"/>
  <c r="D191" i="8"/>
  <c r="D191" i="9" s="1"/>
  <c r="E190" i="8"/>
  <c r="D190" i="8"/>
  <c r="D190" i="9" s="1"/>
  <c r="E189" i="8"/>
  <c r="D189" i="8"/>
  <c r="B189" i="8"/>
  <c r="A189" i="8"/>
  <c r="E188" i="8"/>
  <c r="D188" i="8"/>
  <c r="E187" i="8"/>
  <c r="D187" i="8"/>
  <c r="E186" i="8"/>
  <c r="D186" i="8"/>
  <c r="E185" i="8"/>
  <c r="D185" i="8"/>
  <c r="D185" i="9" s="1"/>
  <c r="E184" i="8"/>
  <c r="D184" i="8"/>
  <c r="E183" i="8"/>
  <c r="D183" i="8"/>
  <c r="E182" i="8"/>
  <c r="D182" i="8"/>
  <c r="B182" i="8"/>
  <c r="A182" i="8"/>
  <c r="E181" i="8"/>
  <c r="D181" i="8"/>
  <c r="D181" i="9" s="1"/>
  <c r="E180" i="8"/>
  <c r="D180" i="8"/>
  <c r="D180" i="9" s="1"/>
  <c r="E179" i="8"/>
  <c r="D179" i="8"/>
  <c r="E178" i="8"/>
  <c r="D178" i="8"/>
  <c r="E177" i="8"/>
  <c r="D177" i="8"/>
  <c r="E176" i="8"/>
  <c r="D176" i="8"/>
  <c r="E175" i="8"/>
  <c r="D175" i="8"/>
  <c r="D175" i="9" s="1"/>
  <c r="E174" i="8"/>
  <c r="D174" i="8"/>
  <c r="D174" i="9" s="1"/>
  <c r="A174" i="8"/>
  <c r="E173" i="8"/>
  <c r="D173" i="8"/>
  <c r="E172" i="8"/>
  <c r="D172" i="8"/>
  <c r="D172" i="9" s="1"/>
  <c r="E171" i="8"/>
  <c r="D171" i="8"/>
  <c r="B171" i="8"/>
  <c r="E170" i="8"/>
  <c r="D170" i="8"/>
  <c r="E169" i="8"/>
  <c r="D169" i="8"/>
  <c r="E168" i="8"/>
  <c r="D168" i="8"/>
  <c r="D168" i="9" s="1"/>
  <c r="E167" i="8"/>
  <c r="D167" i="8"/>
  <c r="A167" i="8"/>
  <c r="E166" i="8"/>
  <c r="D166" i="8"/>
  <c r="D166" i="9" s="1"/>
  <c r="E165" i="8"/>
  <c r="D165" i="8"/>
  <c r="E164" i="8"/>
  <c r="D164" i="8"/>
  <c r="C164" i="8"/>
  <c r="E163" i="8"/>
  <c r="D163" i="8"/>
  <c r="E162" i="8"/>
  <c r="D162" i="8"/>
  <c r="A162" i="8"/>
  <c r="E161" i="8"/>
  <c r="D161" i="8"/>
  <c r="E160" i="8"/>
  <c r="D160" i="8"/>
  <c r="D160" i="9" s="1"/>
  <c r="E159" i="8"/>
  <c r="D159" i="8"/>
  <c r="E158" i="8"/>
  <c r="D158" i="8"/>
  <c r="E157" i="8"/>
  <c r="D157" i="8"/>
  <c r="D157" i="9" s="1"/>
  <c r="A157" i="8"/>
  <c r="E156" i="8"/>
  <c r="D156" i="8"/>
  <c r="D156" i="9" s="1"/>
  <c r="C156" i="8"/>
  <c r="E155" i="8"/>
  <c r="D155" i="8"/>
  <c r="E154" i="8"/>
  <c r="D154" i="8"/>
  <c r="D154" i="9" s="1"/>
  <c r="E153" i="8"/>
  <c r="D153" i="8"/>
  <c r="D153" i="9" s="1"/>
  <c r="E152" i="8"/>
  <c r="D152" i="8"/>
  <c r="D152" i="9" s="1"/>
  <c r="A152" i="8"/>
  <c r="E151" i="8"/>
  <c r="D151" i="8"/>
  <c r="E150" i="8"/>
  <c r="D150" i="8"/>
  <c r="D150" i="9" s="1"/>
  <c r="E149" i="8"/>
  <c r="D149" i="8"/>
  <c r="E148" i="8"/>
  <c r="D148" i="8"/>
  <c r="E147" i="8"/>
  <c r="D147" i="8"/>
  <c r="E146" i="8"/>
  <c r="D146" i="8"/>
  <c r="E145" i="8"/>
  <c r="D145" i="8"/>
  <c r="D145" i="9" s="1"/>
  <c r="E144" i="8"/>
  <c r="D144" i="8"/>
  <c r="E143" i="8"/>
  <c r="D143" i="8"/>
  <c r="E142" i="8"/>
  <c r="D142" i="8"/>
  <c r="D142" i="9" s="1"/>
  <c r="F142" i="19" s="1"/>
  <c r="A142" i="8"/>
  <c r="E141" i="8"/>
  <c r="D141" i="8"/>
  <c r="E140" i="8"/>
  <c r="D140" i="8"/>
  <c r="E139" i="8"/>
  <c r="D139" i="8"/>
  <c r="D139" i="9" s="1"/>
  <c r="E138" i="8"/>
  <c r="D138" i="8"/>
  <c r="E137" i="8"/>
  <c r="D137" i="8"/>
  <c r="D137" i="9" s="1"/>
  <c r="F137" i="19" s="1"/>
  <c r="I137" i="19" s="1"/>
  <c r="E136" i="8"/>
  <c r="D136" i="8"/>
  <c r="D136" i="9" s="1"/>
  <c r="E135" i="8"/>
  <c r="D135" i="8"/>
  <c r="D135" i="9" s="1"/>
  <c r="E134" i="8"/>
  <c r="D134" i="8"/>
  <c r="D134" i="9" s="1"/>
  <c r="B134" i="8"/>
  <c r="E133" i="8"/>
  <c r="D133" i="8"/>
  <c r="D133" i="9" s="1"/>
  <c r="E132" i="8"/>
  <c r="D132" i="8"/>
  <c r="D132" i="9" s="1"/>
  <c r="A132" i="8"/>
  <c r="E131" i="8"/>
  <c r="D131" i="8"/>
  <c r="E130" i="8"/>
  <c r="D130" i="8"/>
  <c r="E129" i="8"/>
  <c r="D129" i="8"/>
  <c r="E128" i="8"/>
  <c r="D128" i="8"/>
  <c r="E127" i="8"/>
  <c r="D127" i="8"/>
  <c r="E126" i="8"/>
  <c r="D126" i="8"/>
  <c r="D126" i="9" s="1"/>
  <c r="E125" i="8"/>
  <c r="D125" i="8"/>
  <c r="E124" i="8"/>
  <c r="D124" i="8"/>
  <c r="B124" i="8"/>
  <c r="E123" i="8"/>
  <c r="D123" i="8"/>
  <c r="E122" i="8"/>
  <c r="D122" i="8"/>
  <c r="D122" i="9" s="1"/>
  <c r="E121" i="8"/>
  <c r="D121" i="8"/>
  <c r="D121" i="9" s="1"/>
  <c r="E120" i="8"/>
  <c r="D120" i="8"/>
  <c r="E119" i="8"/>
  <c r="D119" i="8"/>
  <c r="E118" i="8"/>
  <c r="D118" i="8"/>
  <c r="E117" i="8"/>
  <c r="D117" i="8"/>
  <c r="D117" i="9" s="1"/>
  <c r="E116" i="8"/>
  <c r="D116" i="8"/>
  <c r="E115" i="8"/>
  <c r="D115" i="8"/>
  <c r="E114" i="8"/>
  <c r="D114" i="8"/>
  <c r="D114" i="9" s="1"/>
  <c r="E113" i="8"/>
  <c r="D113" i="8"/>
  <c r="E112" i="8"/>
  <c r="D112" i="8"/>
  <c r="D112" i="9" s="1"/>
  <c r="F112" i="19" s="1"/>
  <c r="E111" i="8"/>
  <c r="D111" i="8"/>
  <c r="B111" i="8"/>
  <c r="E110" i="8"/>
  <c r="D110" i="8"/>
  <c r="D110" i="9" s="1"/>
  <c r="E109" i="8"/>
  <c r="D109" i="8"/>
  <c r="E108" i="8"/>
  <c r="D108" i="8"/>
  <c r="D108" i="9" s="1"/>
  <c r="E107" i="8"/>
  <c r="D107" i="8"/>
  <c r="E106" i="8"/>
  <c r="D106" i="8"/>
  <c r="E105" i="8"/>
  <c r="D105" i="8"/>
  <c r="E104" i="8"/>
  <c r="D104" i="8"/>
  <c r="E103" i="8"/>
  <c r="D103" i="8"/>
  <c r="D103" i="9" s="1"/>
  <c r="F103" i="19" s="1"/>
  <c r="I103" i="19" s="1"/>
  <c r="E102" i="8"/>
  <c r="D102" i="8"/>
  <c r="D102" i="9" s="1"/>
  <c r="A102" i="8"/>
  <c r="E101" i="8"/>
  <c r="D101" i="8"/>
  <c r="D101" i="9" s="1"/>
  <c r="E100" i="8"/>
  <c r="D100" i="8"/>
  <c r="D100" i="9" s="1"/>
  <c r="E99" i="8"/>
  <c r="D99" i="8"/>
  <c r="E98" i="8"/>
  <c r="D98" i="8"/>
  <c r="E97" i="8"/>
  <c r="D97" i="8"/>
  <c r="D97" i="9" s="1"/>
  <c r="E96" i="8"/>
  <c r="D96" i="8"/>
  <c r="E95" i="8"/>
  <c r="D95" i="8"/>
  <c r="C95" i="8"/>
  <c r="E94" i="8"/>
  <c r="D94" i="8"/>
  <c r="D94" i="9" s="1"/>
  <c r="C94" i="8"/>
  <c r="B94" i="8"/>
  <c r="E93" i="8"/>
  <c r="D93" i="8"/>
  <c r="D93" i="9" s="1"/>
  <c r="E92" i="8"/>
  <c r="D92" i="8"/>
  <c r="D92" i="9" s="1"/>
  <c r="F92" i="19" s="1"/>
  <c r="E91" i="8"/>
  <c r="D91" i="8"/>
  <c r="E90" i="8"/>
  <c r="D90" i="8"/>
  <c r="D90" i="9" s="1"/>
  <c r="E89" i="8"/>
  <c r="D89" i="8"/>
  <c r="E88" i="8"/>
  <c r="D88" i="8"/>
  <c r="D88" i="9" s="1"/>
  <c r="C88" i="8"/>
  <c r="E87" i="8"/>
  <c r="D87" i="8"/>
  <c r="E86" i="8"/>
  <c r="D86" i="8"/>
  <c r="D86" i="9" s="1"/>
  <c r="E85" i="8"/>
  <c r="D85" i="8"/>
  <c r="E84" i="8"/>
  <c r="D84" i="8"/>
  <c r="D84" i="9" s="1"/>
  <c r="F84" i="19" s="1"/>
  <c r="I84" i="19" s="1"/>
  <c r="E83" i="8"/>
  <c r="D83" i="8"/>
  <c r="E82" i="8"/>
  <c r="D82" i="8"/>
  <c r="D82" i="9" s="1"/>
  <c r="F82" i="19" s="1"/>
  <c r="E81" i="8"/>
  <c r="D81" i="8"/>
  <c r="D81" i="9" s="1"/>
  <c r="E80" i="8"/>
  <c r="D80" i="8"/>
  <c r="E79" i="8"/>
  <c r="D79" i="8"/>
  <c r="E78" i="8"/>
  <c r="D78" i="8"/>
  <c r="E77" i="8"/>
  <c r="D77" i="8"/>
  <c r="D77" i="9" s="1"/>
  <c r="E76" i="8"/>
  <c r="D76" i="8"/>
  <c r="A76" i="8"/>
  <c r="E75" i="8"/>
  <c r="D75" i="8"/>
  <c r="D75" i="9" s="1"/>
  <c r="E74" i="8"/>
  <c r="D74" i="8"/>
  <c r="E73" i="8"/>
  <c r="D73" i="8"/>
  <c r="E72" i="8"/>
  <c r="D72" i="8"/>
  <c r="E71" i="8"/>
  <c r="D71" i="8"/>
  <c r="D71" i="9" s="1"/>
  <c r="E70" i="8"/>
  <c r="D70" i="8"/>
  <c r="D70" i="9" s="1"/>
  <c r="E69" i="8"/>
  <c r="D69" i="8"/>
  <c r="E68" i="8"/>
  <c r="D68" i="8"/>
  <c r="D68" i="9" s="1"/>
  <c r="E67" i="8"/>
  <c r="D67" i="8"/>
  <c r="E66" i="8"/>
  <c r="D66" i="8"/>
  <c r="E65" i="8"/>
  <c r="D65" i="8"/>
  <c r="D65" i="9" s="1"/>
  <c r="E64" i="8"/>
  <c r="D64" i="8"/>
  <c r="D64" i="9" s="1"/>
  <c r="C64" i="8"/>
  <c r="A64" i="8"/>
  <c r="E63" i="8"/>
  <c r="D63" i="8"/>
  <c r="D63" i="9" s="1"/>
  <c r="F63" i="19" s="1"/>
  <c r="E62" i="8"/>
  <c r="D62" i="8"/>
  <c r="E61" i="8"/>
  <c r="D61" i="8"/>
  <c r="E60" i="8"/>
  <c r="D60" i="8"/>
  <c r="D60" i="9" s="1"/>
  <c r="E59" i="8"/>
  <c r="D59" i="8"/>
  <c r="D59" i="9" s="1"/>
  <c r="E58" i="8"/>
  <c r="D58" i="8"/>
  <c r="D58" i="9" s="1"/>
  <c r="E57" i="8"/>
  <c r="D57" i="8"/>
  <c r="E56" i="8"/>
  <c r="D56" i="8"/>
  <c r="E55" i="8"/>
  <c r="D55" i="8"/>
  <c r="E54" i="8"/>
  <c r="D54" i="8"/>
  <c r="D54" i="9" s="1"/>
  <c r="E53" i="8"/>
  <c r="D53" i="8"/>
  <c r="D53" i="9" s="1"/>
  <c r="E52" i="8"/>
  <c r="D52" i="8"/>
  <c r="D52" i="9" s="1"/>
  <c r="B52" i="8"/>
  <c r="E51" i="8"/>
  <c r="D51" i="8"/>
  <c r="E50" i="8"/>
  <c r="D50" i="8"/>
  <c r="E49" i="8"/>
  <c r="D49" i="8"/>
  <c r="D49" i="9" s="1"/>
  <c r="E48" i="8"/>
  <c r="D48" i="8"/>
  <c r="D48" i="9" s="1"/>
  <c r="F48" i="19" s="1"/>
  <c r="E47" i="8"/>
  <c r="D47" i="8"/>
  <c r="E46" i="8"/>
  <c r="D46" i="8"/>
  <c r="D46" i="9" s="1"/>
  <c r="E45" i="8"/>
  <c r="D45" i="8"/>
  <c r="B45" i="8"/>
  <c r="E44" i="8"/>
  <c r="D44" i="8"/>
  <c r="E43" i="8"/>
  <c r="D43" i="8"/>
  <c r="D43" i="9" s="1"/>
  <c r="E42" i="8"/>
  <c r="D42" i="8"/>
  <c r="E41" i="8"/>
  <c r="D41" i="8"/>
  <c r="E40" i="8"/>
  <c r="D40" i="8"/>
  <c r="E39" i="8"/>
  <c r="D39" i="8"/>
  <c r="D39" i="9" s="1"/>
  <c r="E38" i="8"/>
  <c r="D38" i="8"/>
  <c r="C38" i="8"/>
  <c r="B38" i="8"/>
  <c r="A38" i="8"/>
  <c r="E37" i="8"/>
  <c r="D37" i="8"/>
  <c r="D37" i="9" s="1"/>
  <c r="E36" i="8"/>
  <c r="D36" i="8"/>
  <c r="D36" i="9" s="1"/>
  <c r="E35" i="8"/>
  <c r="D35" i="8"/>
  <c r="D35" i="9" s="1"/>
  <c r="E34" i="8"/>
  <c r="D34" i="8"/>
  <c r="D34" i="9" s="1"/>
  <c r="E33" i="8"/>
  <c r="D33" i="8"/>
  <c r="E32" i="8"/>
  <c r="D32" i="8"/>
  <c r="D32" i="9" s="1"/>
  <c r="E31" i="8"/>
  <c r="D31" i="8"/>
  <c r="E30" i="8"/>
  <c r="D30" i="8"/>
  <c r="D30" i="9" s="1"/>
  <c r="E29" i="8"/>
  <c r="D29" i="8"/>
  <c r="E28" i="8"/>
  <c r="D28" i="8"/>
  <c r="D28" i="9" s="1"/>
  <c r="E27" i="8"/>
  <c r="D27" i="8"/>
  <c r="D27" i="9" s="1"/>
  <c r="E26" i="8"/>
  <c r="D26" i="8"/>
  <c r="E25" i="8"/>
  <c r="D25" i="8"/>
  <c r="D25" i="9" s="1"/>
  <c r="E24" i="8"/>
  <c r="D24" i="8"/>
  <c r="E23" i="8"/>
  <c r="D23" i="8"/>
  <c r="E22" i="8"/>
  <c r="D22" i="8"/>
  <c r="E21" i="8"/>
  <c r="D21" i="8"/>
  <c r="E20" i="8"/>
  <c r="D20" i="8"/>
  <c r="E19" i="8"/>
  <c r="D19" i="8"/>
  <c r="D19" i="9" s="1"/>
  <c r="E18" i="8"/>
  <c r="D18" i="8"/>
  <c r="E17" i="8"/>
  <c r="D17" i="8"/>
  <c r="A17" i="8"/>
  <c r="E16" i="8"/>
  <c r="D16" i="8"/>
  <c r="E15" i="8"/>
  <c r="D15" i="8"/>
  <c r="D15" i="9" s="1"/>
  <c r="E14" i="8"/>
  <c r="D14" i="8"/>
  <c r="D14" i="9" s="1"/>
  <c r="E13" i="8"/>
  <c r="D13" i="8"/>
  <c r="E12" i="8"/>
  <c r="D12" i="8"/>
  <c r="D12" i="9" s="1"/>
  <c r="E11" i="8"/>
  <c r="D11" i="8"/>
  <c r="D11" i="9" s="1"/>
  <c r="E10" i="8"/>
  <c r="D10" i="8"/>
  <c r="E9" i="8"/>
  <c r="D9" i="8"/>
  <c r="E8" i="8"/>
  <c r="D8" i="8"/>
  <c r="H8" i="8" s="1"/>
  <c r="E7" i="8"/>
  <c r="D7" i="8"/>
  <c r="C7" i="8"/>
  <c r="J6" i="8"/>
  <c r="I6" i="8"/>
  <c r="H6" i="8"/>
  <c r="E6" i="8"/>
  <c r="D6" i="8"/>
  <c r="E5" i="8"/>
  <c r="D5" i="8"/>
  <c r="C5" i="8"/>
  <c r="B5" i="8"/>
  <c r="J4" i="8"/>
  <c r="I4" i="8"/>
  <c r="K4" i="9" s="1"/>
  <c r="H4" i="8"/>
  <c r="E4" i="8"/>
  <c r="J3" i="8"/>
  <c r="I3" i="8"/>
  <c r="K3" i="9" s="1"/>
  <c r="H3" i="8"/>
  <c r="E3" i="8"/>
  <c r="J2" i="8"/>
  <c r="I2" i="8"/>
  <c r="K2" i="9" s="1"/>
  <c r="H2" i="8"/>
  <c r="E2" i="8"/>
  <c r="A772" i="7"/>
  <c r="C770" i="7"/>
  <c r="A765" i="7"/>
  <c r="C762" i="7"/>
  <c r="C761" i="7"/>
  <c r="A759" i="7"/>
  <c r="B758" i="7"/>
  <c r="A742" i="7"/>
  <c r="C741" i="7"/>
  <c r="A741" i="7"/>
  <c r="A727" i="7"/>
  <c r="C726" i="7"/>
  <c r="C710" i="7"/>
  <c r="A710" i="7"/>
  <c r="C709" i="7"/>
  <c r="A706" i="7"/>
  <c r="C705" i="7"/>
  <c r="A705" i="7"/>
  <c r="A702" i="7"/>
  <c r="A699" i="7"/>
  <c r="C698" i="7"/>
  <c r="A697" i="7"/>
  <c r="A696" i="7"/>
  <c r="C683" i="7"/>
  <c r="B683" i="7"/>
  <c r="A682" i="7"/>
  <c r="B661" i="7"/>
  <c r="A661" i="7"/>
  <c r="B658" i="7"/>
  <c r="A653" i="7"/>
  <c r="A652" i="7"/>
  <c r="A646" i="7"/>
  <c r="A645" i="7"/>
  <c r="A644" i="7"/>
  <c r="A640" i="7"/>
  <c r="A622" i="7"/>
  <c r="A603" i="7"/>
  <c r="A592" i="7"/>
  <c r="C591" i="7"/>
  <c r="C585" i="7"/>
  <c r="A585" i="7"/>
  <c r="A581" i="7"/>
  <c r="B577" i="7"/>
  <c r="A566" i="7"/>
  <c r="B561" i="7"/>
  <c r="A559" i="7"/>
  <c r="A557" i="7"/>
  <c r="C556" i="7"/>
  <c r="A555" i="7"/>
  <c r="A547" i="7"/>
  <c r="A541" i="7"/>
  <c r="A540" i="7"/>
  <c r="C539" i="7"/>
  <c r="A536" i="7"/>
  <c r="B535" i="7"/>
  <c r="A535" i="7"/>
  <c r="B526" i="7"/>
  <c r="A526" i="7"/>
  <c r="A520" i="7"/>
  <c r="A514" i="7"/>
  <c r="C509" i="7"/>
  <c r="B509" i="7"/>
  <c r="B505" i="7"/>
  <c r="A505" i="7"/>
  <c r="A502" i="7"/>
  <c r="A499" i="7"/>
  <c r="B498" i="7"/>
  <c r="A484" i="7"/>
  <c r="A483" i="7"/>
  <c r="C475" i="7"/>
  <c r="B475" i="7"/>
  <c r="A475" i="7"/>
  <c r="C474" i="7"/>
  <c r="B474" i="7"/>
  <c r="A469" i="7"/>
  <c r="A467" i="7"/>
  <c r="C466" i="7"/>
  <c r="A452" i="7"/>
  <c r="B445" i="7"/>
  <c r="A445" i="7"/>
  <c r="A444" i="7"/>
  <c r="C443" i="7"/>
  <c r="C439" i="7"/>
  <c r="A439" i="7"/>
  <c r="A430" i="7"/>
  <c r="B418" i="7"/>
  <c r="A414" i="7"/>
  <c r="C413" i="7"/>
  <c r="A409" i="7"/>
  <c r="A403" i="7"/>
  <c r="C401" i="7"/>
  <c r="B388" i="7"/>
  <c r="A388" i="7"/>
  <c r="C387" i="7"/>
  <c r="A379" i="7"/>
  <c r="C378" i="7"/>
  <c r="B378" i="7"/>
  <c r="A359" i="7"/>
  <c r="C358" i="7"/>
  <c r="B358" i="7"/>
  <c r="B357" i="7"/>
  <c r="A355" i="7"/>
  <c r="C334" i="7"/>
  <c r="A329" i="7"/>
  <c r="A328" i="7"/>
  <c r="A327" i="7"/>
  <c r="A326" i="7"/>
  <c r="A324" i="7"/>
  <c r="A319" i="7"/>
  <c r="C303" i="7"/>
  <c r="A303" i="7"/>
  <c r="A302" i="7"/>
  <c r="A299" i="7"/>
  <c r="C296" i="7"/>
  <c r="A289" i="7"/>
  <c r="A283" i="7"/>
  <c r="A274" i="7"/>
  <c r="C273" i="7"/>
  <c r="A269" i="7"/>
  <c r="A266" i="7"/>
  <c r="B265" i="7"/>
  <c r="C261" i="7"/>
  <c r="A259" i="7"/>
  <c r="A254" i="7"/>
  <c r="A253" i="7"/>
  <c r="C252" i="7"/>
  <c r="B232" i="7"/>
  <c r="A232" i="7"/>
  <c r="C228" i="7"/>
  <c r="A223" i="7"/>
  <c r="A222" i="7"/>
  <c r="C221" i="7"/>
  <c r="B221" i="7"/>
  <c r="B218" i="7"/>
  <c r="B213" i="7"/>
  <c r="A202" i="7"/>
  <c r="A199" i="7"/>
  <c r="C198" i="7"/>
  <c r="C195" i="7"/>
  <c r="A195" i="7"/>
  <c r="B192" i="7"/>
  <c r="A192" i="7"/>
  <c r="A187" i="7"/>
  <c r="A162" i="7"/>
  <c r="C161" i="7"/>
  <c r="A157" i="7"/>
  <c r="C156" i="7"/>
  <c r="B156" i="7"/>
  <c r="A147" i="7"/>
  <c r="A142" i="7"/>
  <c r="C141" i="7"/>
  <c r="B139" i="7"/>
  <c r="A135" i="7"/>
  <c r="A134" i="7"/>
  <c r="A132" i="7"/>
  <c r="A127" i="7"/>
  <c r="A126" i="7"/>
  <c r="B121" i="7"/>
  <c r="A112" i="7"/>
  <c r="A106" i="7"/>
  <c r="A105" i="7"/>
  <c r="A102" i="7"/>
  <c r="A99" i="7"/>
  <c r="A96" i="7"/>
  <c r="C90" i="7"/>
  <c r="A89" i="7"/>
  <c r="A85" i="7"/>
  <c r="A84" i="7"/>
  <c r="A83" i="7"/>
  <c r="A75" i="7"/>
  <c r="C69" i="7"/>
  <c r="B69" i="7"/>
  <c r="C68" i="7"/>
  <c r="A59" i="7"/>
  <c r="B53" i="7"/>
  <c r="A53" i="7"/>
  <c r="C48" i="7"/>
  <c r="B45" i="7"/>
  <c r="A45" i="7"/>
  <c r="C42" i="7"/>
  <c r="B42" i="7"/>
  <c r="A39" i="7"/>
  <c r="C34" i="7"/>
  <c r="A23" i="7"/>
  <c r="B15" i="7"/>
  <c r="A12" i="7"/>
  <c r="C11" i="7"/>
  <c r="B11" i="7"/>
  <c r="D823" i="5"/>
  <c r="F823" i="5" s="1"/>
  <c r="C823" i="5"/>
  <c r="E823" i="5" s="1"/>
  <c r="B823" i="5"/>
  <c r="A823" i="5"/>
  <c r="E822" i="5"/>
  <c r="D822" i="5"/>
  <c r="F822" i="5" s="1"/>
  <c r="C822" i="5"/>
  <c r="B822" i="5"/>
  <c r="B822" i="11" s="1"/>
  <c r="A822" i="5"/>
  <c r="A822" i="8" s="1"/>
  <c r="D821" i="5"/>
  <c r="F821" i="5" s="1"/>
  <c r="C821" i="5"/>
  <c r="E821" i="5" s="1"/>
  <c r="A821" i="5"/>
  <c r="A821" i="11" s="1"/>
  <c r="D820" i="5"/>
  <c r="F820" i="5" s="1"/>
  <c r="C820" i="5"/>
  <c r="E820" i="5" s="1"/>
  <c r="B820" i="5"/>
  <c r="B820" i="11" s="1"/>
  <c r="A820" i="5"/>
  <c r="D819" i="5"/>
  <c r="F819" i="5" s="1"/>
  <c r="A819" i="5"/>
  <c r="A819" i="8" s="1"/>
  <c r="D818" i="5"/>
  <c r="F818" i="5" s="1"/>
  <c r="C818" i="9" s="1"/>
  <c r="C818" i="5"/>
  <c r="E818" i="5" s="1"/>
  <c r="B818" i="9" s="1"/>
  <c r="A818" i="5"/>
  <c r="A818" i="9" s="1"/>
  <c r="F817" i="5"/>
  <c r="C817" i="5"/>
  <c r="E817" i="5" s="1"/>
  <c r="A817" i="5"/>
  <c r="D816" i="5"/>
  <c r="F816" i="5" s="1"/>
  <c r="C816" i="5"/>
  <c r="E816" i="5" s="1"/>
  <c r="A816" i="5"/>
  <c r="F815" i="5"/>
  <c r="D815" i="5"/>
  <c r="C815" i="5"/>
  <c r="E815" i="5" s="1"/>
  <c r="A815" i="5"/>
  <c r="D814" i="5"/>
  <c r="F814" i="5" s="1"/>
  <c r="C814" i="9" s="1"/>
  <c r="C814" i="5"/>
  <c r="E814" i="5" s="1"/>
  <c r="A814" i="5"/>
  <c r="B814" i="5" s="1"/>
  <c r="L814" i="9" s="1"/>
  <c r="F813" i="5"/>
  <c r="D813" i="5"/>
  <c r="C813" i="5"/>
  <c r="E813" i="5" s="1"/>
  <c r="A813" i="5"/>
  <c r="B813" i="5" s="1"/>
  <c r="L813" i="9" s="1"/>
  <c r="D812" i="5"/>
  <c r="F812" i="5" s="1"/>
  <c r="D812" i="11" s="1"/>
  <c r="A812" i="5"/>
  <c r="C811" i="5"/>
  <c r="E811" i="5" s="1"/>
  <c r="A811" i="5"/>
  <c r="B811" i="5" s="1"/>
  <c r="B811" i="11" s="1"/>
  <c r="C810" i="5"/>
  <c r="E810" i="5" s="1"/>
  <c r="B810" i="5"/>
  <c r="A810" i="5"/>
  <c r="D809" i="5"/>
  <c r="F809" i="5" s="1"/>
  <c r="C809" i="8" s="1"/>
  <c r="C809" i="5"/>
  <c r="E809" i="5" s="1"/>
  <c r="A809" i="5"/>
  <c r="A808" i="5"/>
  <c r="D807" i="5"/>
  <c r="F807" i="5" s="1"/>
  <c r="C807" i="5"/>
  <c r="E807" i="5" s="1"/>
  <c r="A807" i="5"/>
  <c r="B807" i="5" s="1"/>
  <c r="D806" i="5"/>
  <c r="F806" i="5" s="1"/>
  <c r="C806" i="5"/>
  <c r="E806" i="5" s="1"/>
  <c r="A806" i="5"/>
  <c r="B806" i="5" s="1"/>
  <c r="D805" i="5"/>
  <c r="F805" i="5" s="1"/>
  <c r="C805" i="9" s="1"/>
  <c r="C805" i="5"/>
  <c r="E805" i="5" s="1"/>
  <c r="C805" i="11" s="1"/>
  <c r="A805" i="5"/>
  <c r="A805" i="9" s="1"/>
  <c r="D804" i="5"/>
  <c r="F804" i="5" s="1"/>
  <c r="C804" i="8" s="1"/>
  <c r="C804" i="5"/>
  <c r="E804" i="5" s="1"/>
  <c r="A804" i="5"/>
  <c r="A804" i="11" s="1"/>
  <c r="D803" i="5"/>
  <c r="F803" i="5" s="1"/>
  <c r="A803" i="5"/>
  <c r="A803" i="8" s="1"/>
  <c r="D802" i="5"/>
  <c r="F802" i="5" s="1"/>
  <c r="C802" i="5"/>
  <c r="E802" i="5" s="1"/>
  <c r="B802" i="5"/>
  <c r="B802" i="11" s="1"/>
  <c r="A802" i="5"/>
  <c r="D801" i="5"/>
  <c r="F801" i="5" s="1"/>
  <c r="C801" i="5"/>
  <c r="E801" i="5" s="1"/>
  <c r="B801" i="9" s="1"/>
  <c r="A801" i="5"/>
  <c r="D800" i="5"/>
  <c r="F800" i="5" s="1"/>
  <c r="C800" i="9" s="1"/>
  <c r="C800" i="5"/>
  <c r="E800" i="5" s="1"/>
  <c r="A800" i="5"/>
  <c r="D799" i="5"/>
  <c r="F799" i="5" s="1"/>
  <c r="C799" i="5"/>
  <c r="E799" i="5" s="1"/>
  <c r="B799" i="5"/>
  <c r="A799" i="5"/>
  <c r="A799" i="8" s="1"/>
  <c r="D798" i="5"/>
  <c r="F798" i="5" s="1"/>
  <c r="C798" i="9" s="1"/>
  <c r="C798" i="5"/>
  <c r="E798" i="5" s="1"/>
  <c r="B798" i="9" s="1"/>
  <c r="A798" i="5"/>
  <c r="C797" i="5"/>
  <c r="E797" i="5" s="1"/>
  <c r="A797" i="5"/>
  <c r="D796" i="5"/>
  <c r="F796" i="5" s="1"/>
  <c r="C796" i="5"/>
  <c r="E796" i="5" s="1"/>
  <c r="A796" i="5"/>
  <c r="C795" i="5"/>
  <c r="E795" i="5" s="1"/>
  <c r="A795" i="5"/>
  <c r="A795" i="11" s="1"/>
  <c r="C794" i="5"/>
  <c r="E794" i="5" s="1"/>
  <c r="A794" i="5"/>
  <c r="D793" i="5"/>
  <c r="F793" i="5" s="1"/>
  <c r="C793" i="8" s="1"/>
  <c r="C793" i="5"/>
  <c r="E793" i="5" s="1"/>
  <c r="B793" i="5"/>
  <c r="B793" i="11" s="1"/>
  <c r="A793" i="5"/>
  <c r="A793" i="8" s="1"/>
  <c r="C792" i="5"/>
  <c r="E792" i="5" s="1"/>
  <c r="C792" i="11" s="1"/>
  <c r="A792" i="5"/>
  <c r="A792" i="9" s="1"/>
  <c r="D791" i="5"/>
  <c r="F791" i="5" s="1"/>
  <c r="C791" i="5"/>
  <c r="E791" i="5" s="1"/>
  <c r="A791" i="5"/>
  <c r="C790" i="5"/>
  <c r="E790" i="5" s="1"/>
  <c r="A790" i="5"/>
  <c r="A790" i="9" s="1"/>
  <c r="D789" i="5"/>
  <c r="F789" i="5" s="1"/>
  <c r="C789" i="5"/>
  <c r="E789" i="5" s="1"/>
  <c r="A789" i="5"/>
  <c r="A789" i="7" s="1"/>
  <c r="D788" i="5"/>
  <c r="F788" i="5" s="1"/>
  <c r="A788" i="5"/>
  <c r="C787" i="5"/>
  <c r="E787" i="5" s="1"/>
  <c r="B787" i="8" s="1"/>
  <c r="A787" i="5"/>
  <c r="E786" i="5"/>
  <c r="D786" i="5"/>
  <c r="F786" i="5" s="1"/>
  <c r="C786" i="5"/>
  <c r="A786" i="5"/>
  <c r="A786" i="7" s="1"/>
  <c r="D785" i="5"/>
  <c r="F785" i="5" s="1"/>
  <c r="C785" i="7" s="1"/>
  <c r="C785" i="5"/>
  <c r="E785" i="5" s="1"/>
  <c r="B785" i="7" s="1"/>
  <c r="A785" i="5"/>
  <c r="D784" i="5"/>
  <c r="F784" i="5" s="1"/>
  <c r="C784" i="5"/>
  <c r="E784" i="5" s="1"/>
  <c r="A784" i="5"/>
  <c r="A784" i="8" s="1"/>
  <c r="F783" i="5"/>
  <c r="D783" i="5"/>
  <c r="C783" i="5"/>
  <c r="E783" i="5" s="1"/>
  <c r="B783" i="7" s="1"/>
  <c r="A783" i="5"/>
  <c r="A783" i="11" s="1"/>
  <c r="F782" i="5"/>
  <c r="E782" i="5"/>
  <c r="B782" i="8" s="1"/>
  <c r="D782" i="5"/>
  <c r="C782" i="5"/>
  <c r="A782" i="5"/>
  <c r="F781" i="5"/>
  <c r="D781" i="5"/>
  <c r="C781" i="5"/>
  <c r="E781" i="5" s="1"/>
  <c r="A781" i="5"/>
  <c r="A781" i="7" s="1"/>
  <c r="D780" i="5"/>
  <c r="F780" i="5" s="1"/>
  <c r="C780" i="5"/>
  <c r="E780" i="5" s="1"/>
  <c r="A780" i="5"/>
  <c r="A780" i="7" s="1"/>
  <c r="F779" i="5"/>
  <c r="C779" i="9" s="1"/>
  <c r="D779" i="5"/>
  <c r="C779" i="5"/>
  <c r="E779" i="5" s="1"/>
  <c r="B779" i="7" s="1"/>
  <c r="B779" i="5"/>
  <c r="A779" i="5"/>
  <c r="A779" i="8" s="1"/>
  <c r="D778" i="5"/>
  <c r="F778" i="5" s="1"/>
  <c r="C778" i="9" s="1"/>
  <c r="C778" i="5"/>
  <c r="E778" i="5" s="1"/>
  <c r="A778" i="5"/>
  <c r="D777" i="5"/>
  <c r="F777" i="5" s="1"/>
  <c r="C777" i="5"/>
  <c r="E777" i="5" s="1"/>
  <c r="B777" i="8" s="1"/>
  <c r="A777" i="5"/>
  <c r="D776" i="5"/>
  <c r="F776" i="5" s="1"/>
  <c r="B776" i="5"/>
  <c r="A776" i="5"/>
  <c r="D775" i="5"/>
  <c r="F775" i="5" s="1"/>
  <c r="C775" i="8" s="1"/>
  <c r="C775" i="5"/>
  <c r="E775" i="5" s="1"/>
  <c r="A775" i="5"/>
  <c r="A775" i="9" s="1"/>
  <c r="D774" i="5"/>
  <c r="F774" i="5" s="1"/>
  <c r="C774" i="8" s="1"/>
  <c r="C774" i="5"/>
  <c r="E774" i="5" s="1"/>
  <c r="B774" i="8" s="1"/>
  <c r="B774" i="5"/>
  <c r="A774" i="5"/>
  <c r="C773" i="5"/>
  <c r="E773" i="5" s="1"/>
  <c r="A773" i="5"/>
  <c r="E772" i="5"/>
  <c r="C772" i="5"/>
  <c r="A772" i="5"/>
  <c r="C771" i="5"/>
  <c r="E771" i="5" s="1"/>
  <c r="C771" i="11" s="1"/>
  <c r="A771" i="5"/>
  <c r="D770" i="5"/>
  <c r="F770" i="5" s="1"/>
  <c r="C770" i="5"/>
  <c r="E770" i="5" s="1"/>
  <c r="B770" i="8" s="1"/>
  <c r="A770" i="5"/>
  <c r="D769" i="5"/>
  <c r="F769" i="5" s="1"/>
  <c r="C769" i="5"/>
  <c r="E769" i="5" s="1"/>
  <c r="B769" i="7" s="1"/>
  <c r="A769" i="5"/>
  <c r="A769" i="7" s="1"/>
  <c r="D768" i="5"/>
  <c r="F768" i="5" s="1"/>
  <c r="C768" i="7" s="1"/>
  <c r="C768" i="5"/>
  <c r="E768" i="5" s="1"/>
  <c r="A768" i="5"/>
  <c r="F767" i="5"/>
  <c r="E767" i="5"/>
  <c r="D767" i="5"/>
  <c r="C767" i="5"/>
  <c r="A767" i="5"/>
  <c r="A767" i="11" s="1"/>
  <c r="D766" i="5"/>
  <c r="F766" i="5" s="1"/>
  <c r="C766" i="5"/>
  <c r="E766" i="5" s="1"/>
  <c r="B766" i="8" s="1"/>
  <c r="A766" i="5"/>
  <c r="A766" i="8" s="1"/>
  <c r="D765" i="5"/>
  <c r="F765" i="5" s="1"/>
  <c r="C765" i="5"/>
  <c r="E765" i="5" s="1"/>
  <c r="C765" i="11" s="1"/>
  <c r="A765" i="5"/>
  <c r="D764" i="5"/>
  <c r="F764" i="5" s="1"/>
  <c r="C764" i="5"/>
  <c r="E764" i="5" s="1"/>
  <c r="A764" i="5"/>
  <c r="D763" i="5"/>
  <c r="F763" i="5" s="1"/>
  <c r="C763" i="9" s="1"/>
  <c r="C763" i="5"/>
  <c r="E763" i="5" s="1"/>
  <c r="A763" i="5"/>
  <c r="A763" i="9" s="1"/>
  <c r="E762" i="5"/>
  <c r="B762" i="7" s="1"/>
  <c r="D762" i="5"/>
  <c r="F762" i="5" s="1"/>
  <c r="C762" i="9" s="1"/>
  <c r="C762" i="5"/>
  <c r="A762" i="5"/>
  <c r="A762" i="7" s="1"/>
  <c r="F761" i="5"/>
  <c r="D761" i="5"/>
  <c r="C761" i="5"/>
  <c r="E761" i="5" s="1"/>
  <c r="A761" i="5"/>
  <c r="D760" i="5"/>
  <c r="F760" i="5" s="1"/>
  <c r="C760" i="5"/>
  <c r="E760" i="5" s="1"/>
  <c r="B760" i="5"/>
  <c r="L760" i="9" s="1"/>
  <c r="A760" i="5"/>
  <c r="D759" i="5"/>
  <c r="F759" i="5" s="1"/>
  <c r="C759" i="9" s="1"/>
  <c r="C759" i="5"/>
  <c r="E759" i="5" s="1"/>
  <c r="A759" i="5"/>
  <c r="A759" i="8" s="1"/>
  <c r="D758" i="5"/>
  <c r="F758" i="5" s="1"/>
  <c r="C758" i="5"/>
  <c r="E758" i="5" s="1"/>
  <c r="A758" i="5"/>
  <c r="C757" i="5"/>
  <c r="E757" i="5" s="1"/>
  <c r="B757" i="5"/>
  <c r="A757" i="5"/>
  <c r="A757" i="7" s="1"/>
  <c r="D756" i="5"/>
  <c r="F756" i="5" s="1"/>
  <c r="B756" i="5"/>
  <c r="A756" i="5"/>
  <c r="D755" i="5"/>
  <c r="F755" i="5" s="1"/>
  <c r="D755" i="11" s="1"/>
  <c r="C755" i="5"/>
  <c r="E755" i="5" s="1"/>
  <c r="A755" i="5"/>
  <c r="A755" i="7" s="1"/>
  <c r="D754" i="5"/>
  <c r="F754" i="5" s="1"/>
  <c r="C754" i="9" s="1"/>
  <c r="C754" i="5"/>
  <c r="E754" i="5" s="1"/>
  <c r="B754" i="9" s="1"/>
  <c r="A754" i="5"/>
  <c r="E753" i="5"/>
  <c r="D753" i="5"/>
  <c r="F753" i="5" s="1"/>
  <c r="C753" i="5"/>
  <c r="A753" i="5"/>
  <c r="B753" i="5" s="1"/>
  <c r="E752" i="5"/>
  <c r="C752" i="5"/>
  <c r="A752" i="5"/>
  <c r="A752" i="11" s="1"/>
  <c r="F751" i="5"/>
  <c r="D751" i="11" s="1"/>
  <c r="D751" i="5"/>
  <c r="C751" i="5"/>
  <c r="E751" i="5" s="1"/>
  <c r="B751" i="8" s="1"/>
  <c r="A751" i="5"/>
  <c r="A751" i="8" s="1"/>
  <c r="C750" i="5"/>
  <c r="E750" i="5" s="1"/>
  <c r="A750" i="5"/>
  <c r="A750" i="7" s="1"/>
  <c r="D749" i="5"/>
  <c r="F749" i="5" s="1"/>
  <c r="C749" i="7" s="1"/>
  <c r="C749" i="5"/>
  <c r="E749" i="5" s="1"/>
  <c r="A749" i="5"/>
  <c r="D748" i="5"/>
  <c r="F748" i="5" s="1"/>
  <c r="C748" i="5"/>
  <c r="E748" i="5" s="1"/>
  <c r="B748" i="7" s="1"/>
  <c r="A748" i="5"/>
  <c r="D747" i="5"/>
  <c r="F747" i="5" s="1"/>
  <c r="C747" i="5"/>
  <c r="E747" i="5" s="1"/>
  <c r="B747" i="8" s="1"/>
  <c r="A747" i="5"/>
  <c r="D746" i="5"/>
  <c r="F746" i="5" s="1"/>
  <c r="C746" i="5"/>
  <c r="E746" i="5" s="1"/>
  <c r="A746" i="5"/>
  <c r="D745" i="5"/>
  <c r="F745" i="5" s="1"/>
  <c r="C745" i="5"/>
  <c r="E745" i="5" s="1"/>
  <c r="A745" i="5"/>
  <c r="E744" i="5"/>
  <c r="D744" i="5"/>
  <c r="F744" i="5" s="1"/>
  <c r="C744" i="5"/>
  <c r="A744" i="5"/>
  <c r="D743" i="5"/>
  <c r="F743" i="5" s="1"/>
  <c r="C743" i="5"/>
  <c r="E743" i="5" s="1"/>
  <c r="B743" i="8" s="1"/>
  <c r="A743" i="5"/>
  <c r="A743" i="8" s="1"/>
  <c r="D742" i="5"/>
  <c r="F742" i="5" s="1"/>
  <c r="C742" i="5"/>
  <c r="E742" i="5" s="1"/>
  <c r="C742" i="11" s="1"/>
  <c r="B742" i="5"/>
  <c r="A742" i="5"/>
  <c r="A742" i="11" s="1"/>
  <c r="F741" i="5"/>
  <c r="C741" i="9" s="1"/>
  <c r="D741" i="5"/>
  <c r="C741" i="5"/>
  <c r="E741" i="5" s="1"/>
  <c r="B741" i="7" s="1"/>
  <c r="B741" i="5"/>
  <c r="A741" i="5"/>
  <c r="E740" i="5"/>
  <c r="D740" i="5"/>
  <c r="F740" i="5" s="1"/>
  <c r="C740" i="7" s="1"/>
  <c r="C740" i="5"/>
  <c r="A740" i="5"/>
  <c r="F739" i="5"/>
  <c r="D739" i="5"/>
  <c r="C739" i="5"/>
  <c r="E739" i="5" s="1"/>
  <c r="A739" i="5"/>
  <c r="B739" i="5" s="1"/>
  <c r="D738" i="5"/>
  <c r="F738" i="5" s="1"/>
  <c r="C738" i="5"/>
  <c r="E738" i="5" s="1"/>
  <c r="A738" i="5"/>
  <c r="F737" i="5"/>
  <c r="E737" i="5"/>
  <c r="C737" i="5"/>
  <c r="A737" i="5"/>
  <c r="A737" i="11" s="1"/>
  <c r="F736" i="5"/>
  <c r="D736" i="5"/>
  <c r="C736" i="5"/>
  <c r="E736" i="5" s="1"/>
  <c r="A736" i="5"/>
  <c r="D735" i="5"/>
  <c r="F735" i="5" s="1"/>
  <c r="C735" i="9" s="1"/>
  <c r="C735" i="5"/>
  <c r="E735" i="5" s="1"/>
  <c r="B735" i="7" s="1"/>
  <c r="A735" i="5"/>
  <c r="A735" i="7" s="1"/>
  <c r="D734" i="5"/>
  <c r="F734" i="5" s="1"/>
  <c r="C734" i="5"/>
  <c r="E734" i="5" s="1"/>
  <c r="A734" i="5"/>
  <c r="D733" i="5"/>
  <c r="F733" i="5" s="1"/>
  <c r="C733" i="5"/>
  <c r="E733" i="5" s="1"/>
  <c r="A733" i="5"/>
  <c r="A733" i="8" s="1"/>
  <c r="E732" i="5"/>
  <c r="B732" i="7" s="1"/>
  <c r="C732" i="5"/>
  <c r="A732" i="5"/>
  <c r="A732" i="7" s="1"/>
  <c r="C731" i="5"/>
  <c r="E731" i="5" s="1"/>
  <c r="A731" i="5"/>
  <c r="D730" i="5"/>
  <c r="F730" i="5" s="1"/>
  <c r="C730" i="5"/>
  <c r="E730" i="5" s="1"/>
  <c r="B730" i="5"/>
  <c r="A730" i="5"/>
  <c r="D729" i="5"/>
  <c r="F729" i="5" s="1"/>
  <c r="C729" i="5"/>
  <c r="E729" i="5" s="1"/>
  <c r="B729" i="5"/>
  <c r="A729" i="5"/>
  <c r="A729" i="7" s="1"/>
  <c r="C728" i="5"/>
  <c r="E728" i="5" s="1"/>
  <c r="B728" i="9" s="1"/>
  <c r="A728" i="5"/>
  <c r="D727" i="5"/>
  <c r="F727" i="5" s="1"/>
  <c r="C727" i="5"/>
  <c r="E727" i="5" s="1"/>
  <c r="B727" i="5"/>
  <c r="A727" i="5"/>
  <c r="D726" i="5"/>
  <c r="F726" i="5" s="1"/>
  <c r="C726" i="5"/>
  <c r="E726" i="5" s="1"/>
  <c r="B726" i="7" s="1"/>
  <c r="A726" i="5"/>
  <c r="A726" i="9" s="1"/>
  <c r="D725" i="5"/>
  <c r="F725" i="5" s="1"/>
  <c r="C725" i="5"/>
  <c r="E725" i="5" s="1"/>
  <c r="A725" i="5"/>
  <c r="D724" i="5"/>
  <c r="F724" i="5" s="1"/>
  <c r="C724" i="5"/>
  <c r="E724" i="5" s="1"/>
  <c r="A724" i="5"/>
  <c r="D723" i="5"/>
  <c r="F723" i="5" s="1"/>
  <c r="C723" i="5"/>
  <c r="E723" i="5" s="1"/>
  <c r="A723" i="5"/>
  <c r="E722" i="5"/>
  <c r="B722" i="8" s="1"/>
  <c r="D722" i="5"/>
  <c r="F722" i="5" s="1"/>
  <c r="C722" i="5"/>
  <c r="B722" i="5"/>
  <c r="A722" i="5"/>
  <c r="D721" i="5"/>
  <c r="F721" i="5" s="1"/>
  <c r="C721" i="8" s="1"/>
  <c r="C721" i="5"/>
  <c r="E721" i="5" s="1"/>
  <c r="B721" i="8" s="1"/>
  <c r="A721" i="5"/>
  <c r="D720" i="5"/>
  <c r="F720" i="5" s="1"/>
  <c r="C720" i="5"/>
  <c r="E720" i="5" s="1"/>
  <c r="A720" i="5"/>
  <c r="B720" i="5" s="1"/>
  <c r="D719" i="5"/>
  <c r="F719" i="5" s="1"/>
  <c r="C719" i="5"/>
  <c r="E719" i="5" s="1"/>
  <c r="A719" i="5"/>
  <c r="D718" i="5"/>
  <c r="F718" i="5" s="1"/>
  <c r="C718" i="7" s="1"/>
  <c r="C718" i="5"/>
  <c r="E718" i="5" s="1"/>
  <c r="B718" i="7" s="1"/>
  <c r="A718" i="5"/>
  <c r="F717" i="5"/>
  <c r="D717" i="5"/>
  <c r="C717" i="5"/>
  <c r="E717" i="5" s="1"/>
  <c r="A717" i="5"/>
  <c r="D716" i="5"/>
  <c r="F716" i="5" s="1"/>
  <c r="A716" i="5"/>
  <c r="F715" i="5"/>
  <c r="D715" i="11" s="1"/>
  <c r="D715" i="5"/>
  <c r="A715" i="5"/>
  <c r="D714" i="5"/>
  <c r="F714" i="5" s="1"/>
  <c r="C714" i="5"/>
  <c r="E714" i="5" s="1"/>
  <c r="B714" i="5"/>
  <c r="A714" i="5"/>
  <c r="F713" i="5"/>
  <c r="D713" i="5"/>
  <c r="C713" i="5"/>
  <c r="E713" i="5" s="1"/>
  <c r="A713" i="5"/>
  <c r="D712" i="5"/>
  <c r="F712" i="5" s="1"/>
  <c r="C712" i="9" s="1"/>
  <c r="C712" i="5"/>
  <c r="E712" i="5" s="1"/>
  <c r="B712" i="9" s="1"/>
  <c r="B712" i="5"/>
  <c r="A712" i="5"/>
  <c r="D711" i="5"/>
  <c r="F711" i="5" s="1"/>
  <c r="C711" i="5"/>
  <c r="E711" i="5" s="1"/>
  <c r="C711" i="11" s="1"/>
  <c r="A711" i="5"/>
  <c r="D710" i="5"/>
  <c r="F710" i="5" s="1"/>
  <c r="C710" i="8" s="1"/>
  <c r="C710" i="5"/>
  <c r="E710" i="5" s="1"/>
  <c r="B710" i="7" s="1"/>
  <c r="A710" i="5"/>
  <c r="A710" i="11" s="1"/>
  <c r="D709" i="5"/>
  <c r="F709" i="5" s="1"/>
  <c r="C709" i="5"/>
  <c r="E709" i="5" s="1"/>
  <c r="B709" i="8" s="1"/>
  <c r="A709" i="5"/>
  <c r="B709" i="5" s="1"/>
  <c r="D708" i="5"/>
  <c r="F708" i="5" s="1"/>
  <c r="C708" i="8" s="1"/>
  <c r="C708" i="5"/>
  <c r="E708" i="5" s="1"/>
  <c r="B708" i="8" s="1"/>
  <c r="A708" i="5"/>
  <c r="A708" i="8" s="1"/>
  <c r="F707" i="5"/>
  <c r="C707" i="9" s="1"/>
  <c r="E707" i="5"/>
  <c r="D707" i="5"/>
  <c r="C707" i="5"/>
  <c r="A707" i="5"/>
  <c r="A707" i="7" s="1"/>
  <c r="D706" i="5"/>
  <c r="F706" i="5" s="1"/>
  <c r="C706" i="5"/>
  <c r="E706" i="5" s="1"/>
  <c r="A706" i="5"/>
  <c r="A706" i="11" s="1"/>
  <c r="D705" i="5"/>
  <c r="F705" i="5" s="1"/>
  <c r="C705" i="5"/>
  <c r="E705" i="5" s="1"/>
  <c r="A705" i="5"/>
  <c r="A705" i="8" s="1"/>
  <c r="D704" i="5"/>
  <c r="F704" i="5" s="1"/>
  <c r="C704" i="5"/>
  <c r="E704" i="5" s="1"/>
  <c r="A704" i="5"/>
  <c r="D703" i="5"/>
  <c r="F703" i="5" s="1"/>
  <c r="C703" i="5"/>
  <c r="E703" i="5" s="1"/>
  <c r="B703" i="5"/>
  <c r="A703" i="5"/>
  <c r="A703" i="9" s="1"/>
  <c r="E702" i="5"/>
  <c r="D702" i="5"/>
  <c r="F702" i="5" s="1"/>
  <c r="C702" i="5"/>
  <c r="B702" i="5"/>
  <c r="A702" i="5"/>
  <c r="A702" i="9" s="1"/>
  <c r="F701" i="5"/>
  <c r="D701" i="11" s="1"/>
  <c r="D701" i="5"/>
  <c r="C701" i="5"/>
  <c r="E701" i="5" s="1"/>
  <c r="C701" i="11" s="1"/>
  <c r="A701" i="5"/>
  <c r="B701" i="5" s="1"/>
  <c r="D700" i="5"/>
  <c r="F700" i="5" s="1"/>
  <c r="C700" i="8" s="1"/>
  <c r="C700" i="5"/>
  <c r="E700" i="5" s="1"/>
  <c r="A700" i="5"/>
  <c r="B700" i="5" s="1"/>
  <c r="D699" i="5"/>
  <c r="F699" i="5" s="1"/>
  <c r="C699" i="5"/>
  <c r="E699" i="5" s="1"/>
  <c r="B699" i="5"/>
  <c r="A699" i="5"/>
  <c r="A699" i="8" s="1"/>
  <c r="D698" i="5"/>
  <c r="F698" i="5" s="1"/>
  <c r="C698" i="5"/>
  <c r="E698" i="5" s="1"/>
  <c r="B698" i="7" s="1"/>
  <c r="A698" i="5"/>
  <c r="D697" i="5"/>
  <c r="F697" i="5" s="1"/>
  <c r="C697" i="5"/>
  <c r="E697" i="5" s="1"/>
  <c r="A697" i="5"/>
  <c r="B697" i="5" s="1"/>
  <c r="D696" i="5"/>
  <c r="F696" i="5" s="1"/>
  <c r="C696" i="7" s="1"/>
  <c r="C696" i="5"/>
  <c r="E696" i="5" s="1"/>
  <c r="B696" i="9" s="1"/>
  <c r="A696" i="5"/>
  <c r="A696" i="9" s="1"/>
  <c r="D695" i="5"/>
  <c r="F695" i="5" s="1"/>
  <c r="C695" i="7" s="1"/>
  <c r="C695" i="5"/>
  <c r="E695" i="5" s="1"/>
  <c r="B695" i="7" s="1"/>
  <c r="A695" i="5"/>
  <c r="A695" i="7" s="1"/>
  <c r="D694" i="5"/>
  <c r="F694" i="5" s="1"/>
  <c r="C694" i="5"/>
  <c r="E694" i="5" s="1"/>
  <c r="C694" i="11" s="1"/>
  <c r="A694" i="5"/>
  <c r="D693" i="5"/>
  <c r="F693" i="5" s="1"/>
  <c r="A693" i="5"/>
  <c r="F692" i="5"/>
  <c r="E692" i="5"/>
  <c r="D692" i="5"/>
  <c r="C692" i="5"/>
  <c r="B692" i="5"/>
  <c r="A692" i="5"/>
  <c r="A692" i="11" s="1"/>
  <c r="D691" i="5"/>
  <c r="F691" i="5" s="1"/>
  <c r="C691" i="5"/>
  <c r="E691" i="5" s="1"/>
  <c r="A691" i="5"/>
  <c r="A691" i="11" s="1"/>
  <c r="D690" i="5"/>
  <c r="F690" i="5" s="1"/>
  <c r="C690" i="5"/>
  <c r="E690" i="5" s="1"/>
  <c r="B690" i="5"/>
  <c r="A690" i="5"/>
  <c r="A690" i="9" s="1"/>
  <c r="D689" i="5"/>
  <c r="F689" i="5" s="1"/>
  <c r="C689" i="5"/>
  <c r="E689" i="5" s="1"/>
  <c r="B689" i="5"/>
  <c r="A689" i="5"/>
  <c r="A689" i="7" s="1"/>
  <c r="D688" i="5"/>
  <c r="F688" i="5" s="1"/>
  <c r="C688" i="7" s="1"/>
  <c r="C688" i="5"/>
  <c r="E688" i="5" s="1"/>
  <c r="A688" i="5"/>
  <c r="D687" i="5"/>
  <c r="F687" i="5" s="1"/>
  <c r="C687" i="5"/>
  <c r="E687" i="5" s="1"/>
  <c r="B687" i="8" s="1"/>
  <c r="A687" i="5"/>
  <c r="B687" i="5" s="1"/>
  <c r="D686" i="5"/>
  <c r="F686" i="5" s="1"/>
  <c r="C686" i="5"/>
  <c r="E686" i="5" s="1"/>
  <c r="B686" i="5"/>
  <c r="A686" i="5"/>
  <c r="D685" i="5"/>
  <c r="F685" i="5" s="1"/>
  <c r="C685" i="9" s="1"/>
  <c r="C685" i="5"/>
  <c r="E685" i="5" s="1"/>
  <c r="A685" i="5"/>
  <c r="D684" i="5"/>
  <c r="F684" i="5" s="1"/>
  <c r="C684" i="9" s="1"/>
  <c r="C684" i="5"/>
  <c r="E684" i="5" s="1"/>
  <c r="B684" i="5"/>
  <c r="A684" i="5"/>
  <c r="E683" i="5"/>
  <c r="D683" i="5"/>
  <c r="F683" i="5" s="1"/>
  <c r="C683" i="5"/>
  <c r="A683" i="5"/>
  <c r="A683" i="9" s="1"/>
  <c r="E682" i="5"/>
  <c r="D682" i="5"/>
  <c r="F682" i="5" s="1"/>
  <c r="C682" i="7" s="1"/>
  <c r="C682" i="5"/>
  <c r="B682" i="5"/>
  <c r="A682" i="5"/>
  <c r="C681" i="5"/>
  <c r="E681" i="5" s="1"/>
  <c r="A681" i="5"/>
  <c r="D680" i="5"/>
  <c r="F680" i="5" s="1"/>
  <c r="C680" i="5"/>
  <c r="E680" i="5" s="1"/>
  <c r="A680" i="5"/>
  <c r="A680" i="7" s="1"/>
  <c r="D679" i="5"/>
  <c r="F679" i="5" s="1"/>
  <c r="C679" i="5"/>
  <c r="E679" i="5" s="1"/>
  <c r="B679" i="5"/>
  <c r="A679" i="5"/>
  <c r="A679" i="7" s="1"/>
  <c r="D678" i="5"/>
  <c r="F678" i="5" s="1"/>
  <c r="C678" i="5"/>
  <c r="E678" i="5" s="1"/>
  <c r="A678" i="5"/>
  <c r="D677" i="5"/>
  <c r="F677" i="5" s="1"/>
  <c r="C677" i="5"/>
  <c r="E677" i="5" s="1"/>
  <c r="A677" i="5"/>
  <c r="A677" i="7" s="1"/>
  <c r="E676" i="5"/>
  <c r="B676" i="7" s="1"/>
  <c r="D676" i="5"/>
  <c r="F676" i="5" s="1"/>
  <c r="C676" i="5"/>
  <c r="A676" i="5"/>
  <c r="D675" i="5"/>
  <c r="F675" i="5" s="1"/>
  <c r="D675" i="11" s="1"/>
  <c r="C675" i="5"/>
  <c r="E675" i="5" s="1"/>
  <c r="B675" i="8" s="1"/>
  <c r="A675" i="5"/>
  <c r="D674" i="5"/>
  <c r="F674" i="5" s="1"/>
  <c r="C674" i="9" s="1"/>
  <c r="C674" i="5"/>
  <c r="E674" i="5" s="1"/>
  <c r="B674" i="7" s="1"/>
  <c r="A674" i="5"/>
  <c r="A674" i="7" s="1"/>
  <c r="D673" i="5"/>
  <c r="F673" i="5" s="1"/>
  <c r="C673" i="8" s="1"/>
  <c r="C673" i="5"/>
  <c r="E673" i="5" s="1"/>
  <c r="A673" i="5"/>
  <c r="B673" i="5" s="1"/>
  <c r="F672" i="5"/>
  <c r="D672" i="11" s="1"/>
  <c r="E672" i="5"/>
  <c r="D672" i="5"/>
  <c r="C672" i="5"/>
  <c r="A672" i="5"/>
  <c r="A672" i="9" s="1"/>
  <c r="F671" i="5"/>
  <c r="D671" i="5"/>
  <c r="C671" i="5"/>
  <c r="E671" i="5" s="1"/>
  <c r="A671" i="5"/>
  <c r="B671" i="5" s="1"/>
  <c r="E670" i="5"/>
  <c r="B670" i="8" s="1"/>
  <c r="D670" i="5"/>
  <c r="F670" i="5" s="1"/>
  <c r="D670" i="11" s="1"/>
  <c r="C670" i="5"/>
  <c r="A670" i="5"/>
  <c r="A670" i="11" s="1"/>
  <c r="D669" i="5"/>
  <c r="F669" i="5" s="1"/>
  <c r="C669" i="5"/>
  <c r="E669" i="5" s="1"/>
  <c r="A669" i="5"/>
  <c r="A669" i="8" s="1"/>
  <c r="D668" i="5"/>
  <c r="F668" i="5" s="1"/>
  <c r="C668" i="7" s="1"/>
  <c r="C668" i="5"/>
  <c r="E668" i="5" s="1"/>
  <c r="B668" i="7" s="1"/>
  <c r="A668" i="5"/>
  <c r="A668" i="7" s="1"/>
  <c r="D667" i="5"/>
  <c r="F667" i="5" s="1"/>
  <c r="C667" i="5"/>
  <c r="E667" i="5" s="1"/>
  <c r="B667" i="7" s="1"/>
  <c r="A667" i="5"/>
  <c r="B667" i="5" s="1"/>
  <c r="D666" i="5"/>
  <c r="F666" i="5" s="1"/>
  <c r="C666" i="5"/>
  <c r="E666" i="5" s="1"/>
  <c r="B666" i="7" s="1"/>
  <c r="A666" i="5"/>
  <c r="A666" i="11" s="1"/>
  <c r="D665" i="5"/>
  <c r="F665" i="5" s="1"/>
  <c r="C665" i="5"/>
  <c r="E665" i="5" s="1"/>
  <c r="B665" i="7" s="1"/>
  <c r="A665" i="5"/>
  <c r="A665" i="11" s="1"/>
  <c r="D664" i="5"/>
  <c r="F664" i="5" s="1"/>
  <c r="C664" i="5"/>
  <c r="E664" i="5" s="1"/>
  <c r="A664" i="5"/>
  <c r="D663" i="5"/>
  <c r="F663" i="5" s="1"/>
  <c r="C663" i="5"/>
  <c r="E663" i="5" s="1"/>
  <c r="A663" i="5"/>
  <c r="B663" i="5" s="1"/>
  <c r="D662" i="5"/>
  <c r="F662" i="5" s="1"/>
  <c r="C662" i="5"/>
  <c r="E662" i="5" s="1"/>
  <c r="B662" i="8" s="1"/>
  <c r="A662" i="5"/>
  <c r="A662" i="7" s="1"/>
  <c r="D661" i="5"/>
  <c r="F661" i="5" s="1"/>
  <c r="C661" i="5"/>
  <c r="E661" i="5" s="1"/>
  <c r="A661" i="5"/>
  <c r="A661" i="8" s="1"/>
  <c r="D660" i="5"/>
  <c r="F660" i="5" s="1"/>
  <c r="C660" i="9" s="1"/>
  <c r="C660" i="5"/>
  <c r="E660" i="5" s="1"/>
  <c r="A660" i="5"/>
  <c r="A660" i="9" s="1"/>
  <c r="D659" i="5"/>
  <c r="F659" i="5" s="1"/>
  <c r="C659" i="5"/>
  <c r="E659" i="5" s="1"/>
  <c r="A659" i="5"/>
  <c r="A659" i="8" s="1"/>
  <c r="D658" i="5"/>
  <c r="F658" i="5" s="1"/>
  <c r="C658" i="5"/>
  <c r="E658" i="5" s="1"/>
  <c r="A658" i="5"/>
  <c r="F657" i="5"/>
  <c r="E657" i="5"/>
  <c r="D657" i="5"/>
  <c r="C657" i="5"/>
  <c r="A657" i="5"/>
  <c r="D656" i="5"/>
  <c r="F656" i="5" s="1"/>
  <c r="C656" i="9" s="1"/>
  <c r="C656" i="5"/>
  <c r="E656" i="5" s="1"/>
  <c r="B656" i="9" s="1"/>
  <c r="A656" i="5"/>
  <c r="D655" i="5"/>
  <c r="F655" i="5" s="1"/>
  <c r="C655" i="8" s="1"/>
  <c r="C655" i="5"/>
  <c r="E655" i="5" s="1"/>
  <c r="A655" i="5"/>
  <c r="A655" i="7" s="1"/>
  <c r="D654" i="5"/>
  <c r="F654" i="5" s="1"/>
  <c r="C654" i="5"/>
  <c r="E654" i="5" s="1"/>
  <c r="A654" i="5"/>
  <c r="E653" i="5"/>
  <c r="C653" i="5"/>
  <c r="A653" i="5"/>
  <c r="E652" i="5"/>
  <c r="B652" i="7" s="1"/>
  <c r="D652" i="5"/>
  <c r="F652" i="5" s="1"/>
  <c r="C652" i="7" s="1"/>
  <c r="C652" i="5"/>
  <c r="B652" i="5"/>
  <c r="A652" i="5"/>
  <c r="A652" i="11" s="1"/>
  <c r="D651" i="5"/>
  <c r="F651" i="5" s="1"/>
  <c r="C651" i="5"/>
  <c r="E651" i="5" s="1"/>
  <c r="A651" i="5"/>
  <c r="B651" i="5" s="1"/>
  <c r="D650" i="5"/>
  <c r="F650" i="5" s="1"/>
  <c r="B650" i="5"/>
  <c r="A650" i="5"/>
  <c r="A650" i="11" s="1"/>
  <c r="D649" i="5"/>
  <c r="F649" i="5" s="1"/>
  <c r="C649" i="5"/>
  <c r="E649" i="5" s="1"/>
  <c r="A649" i="5"/>
  <c r="A649" i="7" s="1"/>
  <c r="D648" i="5"/>
  <c r="F648" i="5" s="1"/>
  <c r="C648" i="5"/>
  <c r="E648" i="5" s="1"/>
  <c r="A648" i="5"/>
  <c r="A648" i="8" s="1"/>
  <c r="D647" i="5"/>
  <c r="F647" i="5" s="1"/>
  <c r="C647" i="5"/>
  <c r="E647" i="5" s="1"/>
  <c r="A647" i="5"/>
  <c r="D646" i="5"/>
  <c r="F646" i="5" s="1"/>
  <c r="C646" i="5"/>
  <c r="E646" i="5" s="1"/>
  <c r="B646" i="9" s="1"/>
  <c r="A646" i="5"/>
  <c r="A646" i="8" s="1"/>
  <c r="D645" i="5"/>
  <c r="F645" i="5" s="1"/>
  <c r="C645" i="7" s="1"/>
  <c r="C645" i="5"/>
  <c r="E645" i="5" s="1"/>
  <c r="A645" i="5"/>
  <c r="A645" i="8" s="1"/>
  <c r="D644" i="5"/>
  <c r="F644" i="5" s="1"/>
  <c r="C644" i="9" s="1"/>
  <c r="C644" i="5"/>
  <c r="E644" i="5" s="1"/>
  <c r="C644" i="11" s="1"/>
  <c r="B644" i="5"/>
  <c r="A644" i="5"/>
  <c r="A644" i="11" s="1"/>
  <c r="D643" i="5"/>
  <c r="F643" i="5" s="1"/>
  <c r="C643" i="5"/>
  <c r="E643" i="5" s="1"/>
  <c r="A643" i="5"/>
  <c r="F642" i="5"/>
  <c r="E642" i="5"/>
  <c r="D642" i="5"/>
  <c r="C642" i="5"/>
  <c r="A642" i="5"/>
  <c r="A642" i="11" s="1"/>
  <c r="F641" i="5"/>
  <c r="D641" i="5"/>
  <c r="C641" i="5"/>
  <c r="E641" i="5" s="1"/>
  <c r="A641" i="5"/>
  <c r="A641" i="11" s="1"/>
  <c r="D640" i="5"/>
  <c r="F640" i="5" s="1"/>
  <c r="C640" i="5"/>
  <c r="E640" i="5" s="1"/>
  <c r="B640" i="7" s="1"/>
  <c r="A640" i="5"/>
  <c r="D639" i="5"/>
  <c r="F639" i="5" s="1"/>
  <c r="C639" i="5"/>
  <c r="E639" i="5" s="1"/>
  <c r="B639" i="5"/>
  <c r="A639" i="5"/>
  <c r="A639" i="8" s="1"/>
  <c r="D638" i="5"/>
  <c r="F638" i="5" s="1"/>
  <c r="C638" i="7" s="1"/>
  <c r="C638" i="5"/>
  <c r="E638" i="5" s="1"/>
  <c r="A638" i="5"/>
  <c r="D637" i="5"/>
  <c r="F637" i="5" s="1"/>
  <c r="C637" i="5"/>
  <c r="E637" i="5" s="1"/>
  <c r="A637" i="5"/>
  <c r="D636" i="5"/>
  <c r="F636" i="5" s="1"/>
  <c r="C636" i="8" s="1"/>
  <c r="C636" i="5"/>
  <c r="E636" i="5" s="1"/>
  <c r="B636" i="5"/>
  <c r="A636" i="5"/>
  <c r="A636" i="7" s="1"/>
  <c r="D635" i="5"/>
  <c r="F635" i="5" s="1"/>
  <c r="C635" i="7" s="1"/>
  <c r="C635" i="5"/>
  <c r="E635" i="5" s="1"/>
  <c r="B635" i="7" s="1"/>
  <c r="A635" i="5"/>
  <c r="E634" i="5"/>
  <c r="D634" i="5"/>
  <c r="F634" i="5" s="1"/>
  <c r="C634" i="5"/>
  <c r="A634" i="5"/>
  <c r="D633" i="5"/>
  <c r="F633" i="5" s="1"/>
  <c r="C633" i="5"/>
  <c r="E633" i="5" s="1"/>
  <c r="C633" i="11" s="1"/>
  <c r="B633" i="5"/>
  <c r="A633" i="5"/>
  <c r="A633" i="7" s="1"/>
  <c r="F632" i="5"/>
  <c r="E632" i="5"/>
  <c r="D632" i="5"/>
  <c r="C632" i="5"/>
  <c r="A632" i="5"/>
  <c r="A632" i="11" s="1"/>
  <c r="F631" i="5"/>
  <c r="C631" i="7" s="1"/>
  <c r="D631" i="5"/>
  <c r="C631" i="5"/>
  <c r="E631" i="5" s="1"/>
  <c r="A631" i="5"/>
  <c r="E630" i="5"/>
  <c r="B630" i="7" s="1"/>
  <c r="D630" i="5"/>
  <c r="F630" i="5" s="1"/>
  <c r="C630" i="5"/>
  <c r="A630" i="5"/>
  <c r="A630" i="7" s="1"/>
  <c r="D629" i="5"/>
  <c r="F629" i="5" s="1"/>
  <c r="C629" i="5"/>
  <c r="E629" i="5" s="1"/>
  <c r="B629" i="5"/>
  <c r="A629" i="5"/>
  <c r="D628" i="5"/>
  <c r="F628" i="5" s="1"/>
  <c r="C628" i="5"/>
  <c r="E628" i="5" s="1"/>
  <c r="A628" i="5"/>
  <c r="A628" i="11" s="1"/>
  <c r="E627" i="5"/>
  <c r="D627" i="5"/>
  <c r="F627" i="5" s="1"/>
  <c r="A627" i="5"/>
  <c r="B627" i="5" s="1"/>
  <c r="A626" i="5"/>
  <c r="D625" i="5"/>
  <c r="F625" i="5" s="1"/>
  <c r="C625" i="5"/>
  <c r="E625" i="5" s="1"/>
  <c r="A625" i="5"/>
  <c r="D624" i="5"/>
  <c r="F624" i="5" s="1"/>
  <c r="C624" i="5"/>
  <c r="E624" i="5" s="1"/>
  <c r="A624" i="5"/>
  <c r="B624" i="5" s="1"/>
  <c r="D623" i="5"/>
  <c r="F623" i="5" s="1"/>
  <c r="C623" i="7" s="1"/>
  <c r="C623" i="5"/>
  <c r="E623" i="5" s="1"/>
  <c r="B623" i="7" s="1"/>
  <c r="A623" i="5"/>
  <c r="E622" i="5"/>
  <c r="D622" i="5"/>
  <c r="F622" i="5" s="1"/>
  <c r="C622" i="5"/>
  <c r="A622" i="5"/>
  <c r="D621" i="5"/>
  <c r="F621" i="5" s="1"/>
  <c r="C621" i="7" s="1"/>
  <c r="C621" i="5"/>
  <c r="E621" i="5" s="1"/>
  <c r="A621" i="5"/>
  <c r="D620" i="5"/>
  <c r="F620" i="5" s="1"/>
  <c r="C620" i="5"/>
  <c r="E620" i="5" s="1"/>
  <c r="B620" i="5"/>
  <c r="A620" i="5"/>
  <c r="A620" i="8" s="1"/>
  <c r="D619" i="5"/>
  <c r="F619" i="5" s="1"/>
  <c r="C619" i="5"/>
  <c r="E619" i="5" s="1"/>
  <c r="A619" i="5"/>
  <c r="A619" i="7" s="1"/>
  <c r="D618" i="5"/>
  <c r="F618" i="5" s="1"/>
  <c r="C618" i="5"/>
  <c r="E618" i="5" s="1"/>
  <c r="A618" i="5"/>
  <c r="D617" i="5"/>
  <c r="F617" i="5" s="1"/>
  <c r="C617" i="5"/>
  <c r="E617" i="5" s="1"/>
  <c r="A617" i="5"/>
  <c r="B617" i="5" s="1"/>
  <c r="F616" i="5"/>
  <c r="D616" i="5"/>
  <c r="C616" i="5"/>
  <c r="E616" i="5" s="1"/>
  <c r="B616" i="5"/>
  <c r="A616" i="5"/>
  <c r="A616" i="11" s="1"/>
  <c r="D615" i="5"/>
  <c r="F615" i="5" s="1"/>
  <c r="C615" i="5"/>
  <c r="E615" i="5" s="1"/>
  <c r="A615" i="5"/>
  <c r="D614" i="5"/>
  <c r="F614" i="5" s="1"/>
  <c r="C614" i="7" s="1"/>
  <c r="C614" i="5"/>
  <c r="E614" i="5" s="1"/>
  <c r="B614" i="7" s="1"/>
  <c r="A614" i="5"/>
  <c r="B614" i="5" s="1"/>
  <c r="D613" i="5"/>
  <c r="F613" i="5" s="1"/>
  <c r="C613" i="5"/>
  <c r="E613" i="5" s="1"/>
  <c r="A613" i="5"/>
  <c r="B613" i="5" s="1"/>
  <c r="D612" i="5"/>
  <c r="F612" i="5" s="1"/>
  <c r="C612" i="5"/>
  <c r="E612" i="5" s="1"/>
  <c r="A612" i="5"/>
  <c r="A612" i="11" s="1"/>
  <c r="D611" i="5"/>
  <c r="F611" i="5" s="1"/>
  <c r="C611" i="5"/>
  <c r="E611" i="5" s="1"/>
  <c r="C611" i="11" s="1"/>
  <c r="A611" i="5"/>
  <c r="A611" i="8" s="1"/>
  <c r="D610" i="5"/>
  <c r="F610" i="5" s="1"/>
  <c r="A610" i="5"/>
  <c r="D609" i="5"/>
  <c r="F609" i="5" s="1"/>
  <c r="C609" i="7" s="1"/>
  <c r="C609" i="5"/>
  <c r="E609" i="5" s="1"/>
  <c r="B609" i="7" s="1"/>
  <c r="A609" i="5"/>
  <c r="D608" i="5"/>
  <c r="F608" i="5" s="1"/>
  <c r="C608" i="5"/>
  <c r="E608" i="5" s="1"/>
  <c r="A608" i="5"/>
  <c r="F607" i="5"/>
  <c r="D607" i="5"/>
  <c r="C607" i="5"/>
  <c r="E607" i="5" s="1"/>
  <c r="B607" i="8" s="1"/>
  <c r="A607" i="5"/>
  <c r="A607" i="8" s="1"/>
  <c r="D606" i="5"/>
  <c r="F606" i="5" s="1"/>
  <c r="C606" i="5"/>
  <c r="E606" i="5" s="1"/>
  <c r="A606" i="5"/>
  <c r="D605" i="5"/>
  <c r="F605" i="5" s="1"/>
  <c r="C605" i="5"/>
  <c r="E605" i="5" s="1"/>
  <c r="C605" i="11" s="1"/>
  <c r="A605" i="5"/>
  <c r="A605" i="8" s="1"/>
  <c r="D604" i="5"/>
  <c r="F604" i="5" s="1"/>
  <c r="C604" i="8" s="1"/>
  <c r="C604" i="5"/>
  <c r="E604" i="5" s="1"/>
  <c r="B604" i="8" s="1"/>
  <c r="A604" i="5"/>
  <c r="A604" i="11" s="1"/>
  <c r="D603" i="5"/>
  <c r="F603" i="5" s="1"/>
  <c r="C603" i="9" s="1"/>
  <c r="C603" i="5"/>
  <c r="E603" i="5" s="1"/>
  <c r="A603" i="5"/>
  <c r="B603" i="5" s="1"/>
  <c r="F602" i="5"/>
  <c r="C602" i="7" s="1"/>
  <c r="E602" i="5"/>
  <c r="B602" i="7" s="1"/>
  <c r="D602" i="5"/>
  <c r="C602" i="5"/>
  <c r="B602" i="5"/>
  <c r="A602" i="5"/>
  <c r="A602" i="7" s="1"/>
  <c r="F601" i="5"/>
  <c r="D601" i="11" s="1"/>
  <c r="D601" i="5"/>
  <c r="A601" i="5"/>
  <c r="A601" i="7" s="1"/>
  <c r="D600" i="5"/>
  <c r="F600" i="5" s="1"/>
  <c r="C600" i="5"/>
  <c r="E600" i="5" s="1"/>
  <c r="B600" i="8" s="1"/>
  <c r="A600" i="5"/>
  <c r="A600" i="11" s="1"/>
  <c r="D599" i="5"/>
  <c r="F599" i="5" s="1"/>
  <c r="C599" i="9" s="1"/>
  <c r="C599" i="5"/>
  <c r="E599" i="5" s="1"/>
  <c r="B599" i="5"/>
  <c r="A599" i="5"/>
  <c r="A599" i="7" s="1"/>
  <c r="D598" i="5"/>
  <c r="F598" i="5" s="1"/>
  <c r="C598" i="5"/>
  <c r="E598" i="5" s="1"/>
  <c r="C598" i="11" s="1"/>
  <c r="A598" i="5"/>
  <c r="A598" i="11" s="1"/>
  <c r="D597" i="5"/>
  <c r="F597" i="5" s="1"/>
  <c r="B597" i="5"/>
  <c r="L597" i="9" s="1"/>
  <c r="A597" i="5"/>
  <c r="A597" i="11" s="1"/>
  <c r="E596" i="5"/>
  <c r="D596" i="5"/>
  <c r="F596" i="5" s="1"/>
  <c r="C596" i="5"/>
  <c r="A596" i="5"/>
  <c r="B596" i="5" s="1"/>
  <c r="D595" i="5"/>
  <c r="F595" i="5" s="1"/>
  <c r="D595" i="11" s="1"/>
  <c r="C595" i="5"/>
  <c r="E595" i="5" s="1"/>
  <c r="A595" i="5"/>
  <c r="D594" i="5"/>
  <c r="F594" i="5" s="1"/>
  <c r="C594" i="8" s="1"/>
  <c r="C594" i="5"/>
  <c r="E594" i="5" s="1"/>
  <c r="A594" i="5"/>
  <c r="D593" i="5"/>
  <c r="F593" i="5" s="1"/>
  <c r="C593" i="7" s="1"/>
  <c r="C593" i="5"/>
  <c r="E593" i="5" s="1"/>
  <c r="B593" i="7" s="1"/>
  <c r="A593" i="5"/>
  <c r="A593" i="7" s="1"/>
  <c r="D592" i="5"/>
  <c r="F592" i="5" s="1"/>
  <c r="C592" i="5"/>
  <c r="E592" i="5" s="1"/>
  <c r="A592" i="5"/>
  <c r="D591" i="5"/>
  <c r="F591" i="5" s="1"/>
  <c r="C591" i="5"/>
  <c r="E591" i="5" s="1"/>
  <c r="B591" i="8" s="1"/>
  <c r="A591" i="5"/>
  <c r="D590" i="5"/>
  <c r="F590" i="5" s="1"/>
  <c r="A590" i="5"/>
  <c r="D589" i="5"/>
  <c r="F589" i="5" s="1"/>
  <c r="C589" i="8" s="1"/>
  <c r="C589" i="5"/>
  <c r="E589" i="5" s="1"/>
  <c r="A589" i="5"/>
  <c r="D588" i="5"/>
  <c r="F588" i="5" s="1"/>
  <c r="C588" i="9" s="1"/>
  <c r="C588" i="5"/>
  <c r="E588" i="5" s="1"/>
  <c r="B588" i="7" s="1"/>
  <c r="A588" i="5"/>
  <c r="A588" i="7" s="1"/>
  <c r="D587" i="5"/>
  <c r="F587" i="5" s="1"/>
  <c r="C587" i="5"/>
  <c r="E587" i="5" s="1"/>
  <c r="B587" i="7" s="1"/>
  <c r="B587" i="5"/>
  <c r="A587" i="5"/>
  <c r="A587" i="8" s="1"/>
  <c r="D586" i="5"/>
  <c r="F586" i="5" s="1"/>
  <c r="C586" i="5"/>
  <c r="E586" i="5" s="1"/>
  <c r="A586" i="5"/>
  <c r="D585" i="5"/>
  <c r="F585" i="5" s="1"/>
  <c r="D585" i="11" s="1"/>
  <c r="C585" i="5"/>
  <c r="E585" i="5" s="1"/>
  <c r="A585" i="5"/>
  <c r="D584" i="5"/>
  <c r="F584" i="5" s="1"/>
  <c r="C584" i="8" s="1"/>
  <c r="C584" i="5"/>
  <c r="E584" i="5" s="1"/>
  <c r="A584" i="5"/>
  <c r="B584" i="5" s="1"/>
  <c r="F583" i="5"/>
  <c r="C583" i="9" s="1"/>
  <c r="E583" i="5"/>
  <c r="B583" i="8" s="1"/>
  <c r="D583" i="5"/>
  <c r="C583" i="5"/>
  <c r="A583" i="5"/>
  <c r="E582" i="5"/>
  <c r="C582" i="11" s="1"/>
  <c r="D582" i="5"/>
  <c r="F582" i="5" s="1"/>
  <c r="C582" i="5"/>
  <c r="B582" i="5"/>
  <c r="A582" i="5"/>
  <c r="D581" i="5"/>
  <c r="F581" i="5" s="1"/>
  <c r="C581" i="7" s="1"/>
  <c r="C581" i="5"/>
  <c r="E581" i="5" s="1"/>
  <c r="A581" i="5"/>
  <c r="D580" i="5"/>
  <c r="F580" i="5" s="1"/>
  <c r="C580" i="5"/>
  <c r="E580" i="5" s="1"/>
  <c r="A580" i="5"/>
  <c r="D579" i="5"/>
  <c r="F579" i="5" s="1"/>
  <c r="C579" i="5"/>
  <c r="E579" i="5" s="1"/>
  <c r="A579" i="5"/>
  <c r="B579" i="5" s="1"/>
  <c r="D578" i="5"/>
  <c r="F578" i="5" s="1"/>
  <c r="C578" i="9" s="1"/>
  <c r="C578" i="5"/>
  <c r="E578" i="5" s="1"/>
  <c r="A578" i="5"/>
  <c r="A578" i="11" s="1"/>
  <c r="E577" i="5"/>
  <c r="D577" i="5"/>
  <c r="F577" i="5" s="1"/>
  <c r="C577" i="5"/>
  <c r="A577" i="5"/>
  <c r="D576" i="5"/>
  <c r="F576" i="5" s="1"/>
  <c r="C576" i="5"/>
  <c r="E576" i="5" s="1"/>
  <c r="A576" i="5"/>
  <c r="D575" i="5"/>
  <c r="F575" i="5" s="1"/>
  <c r="C575" i="5"/>
  <c r="E575" i="5" s="1"/>
  <c r="A575" i="5"/>
  <c r="A575" i="8" s="1"/>
  <c r="D574" i="5"/>
  <c r="F574" i="5" s="1"/>
  <c r="B574" i="5"/>
  <c r="A574" i="5"/>
  <c r="A574" i="8" s="1"/>
  <c r="D573" i="5"/>
  <c r="F573" i="5" s="1"/>
  <c r="C573" i="5"/>
  <c r="E573" i="5" s="1"/>
  <c r="A573" i="5"/>
  <c r="E572" i="5"/>
  <c r="B572" i="7" s="1"/>
  <c r="D572" i="5"/>
  <c r="F572" i="5" s="1"/>
  <c r="C572" i="5"/>
  <c r="B572" i="5"/>
  <c r="A572" i="5"/>
  <c r="A572" i="11" s="1"/>
  <c r="F571" i="5"/>
  <c r="D571" i="5"/>
  <c r="C571" i="5"/>
  <c r="E571" i="5" s="1"/>
  <c r="B571" i="5"/>
  <c r="A571" i="5"/>
  <c r="D570" i="5"/>
  <c r="F570" i="5" s="1"/>
  <c r="C570" i="5"/>
  <c r="E570" i="5" s="1"/>
  <c r="B570" i="7" s="1"/>
  <c r="A570" i="5"/>
  <c r="A570" i="7" s="1"/>
  <c r="D569" i="5"/>
  <c r="F569" i="5" s="1"/>
  <c r="C569" i="7" s="1"/>
  <c r="C569" i="5"/>
  <c r="E569" i="5" s="1"/>
  <c r="B569" i="7" s="1"/>
  <c r="A569" i="5"/>
  <c r="D568" i="5"/>
  <c r="F568" i="5" s="1"/>
  <c r="C568" i="5"/>
  <c r="E568" i="5" s="1"/>
  <c r="A568" i="5"/>
  <c r="A568" i="8" s="1"/>
  <c r="D567" i="5"/>
  <c r="F567" i="5" s="1"/>
  <c r="C567" i="5"/>
  <c r="E567" i="5" s="1"/>
  <c r="A567" i="5"/>
  <c r="B567" i="5" s="1"/>
  <c r="D566" i="5"/>
  <c r="F566" i="5" s="1"/>
  <c r="C566" i="5"/>
  <c r="E566" i="5" s="1"/>
  <c r="B566" i="7" s="1"/>
  <c r="A566" i="5"/>
  <c r="A566" i="9" s="1"/>
  <c r="D565" i="5"/>
  <c r="F565" i="5" s="1"/>
  <c r="C565" i="7" s="1"/>
  <c r="C565" i="5"/>
  <c r="E565" i="5" s="1"/>
  <c r="A565" i="5"/>
  <c r="A565" i="8" s="1"/>
  <c r="E564" i="5"/>
  <c r="D564" i="5"/>
  <c r="F564" i="5" s="1"/>
  <c r="C564" i="5"/>
  <c r="A564" i="5"/>
  <c r="B564" i="5" s="1"/>
  <c r="D563" i="5"/>
  <c r="F563" i="5" s="1"/>
  <c r="C563" i="5"/>
  <c r="E563" i="5" s="1"/>
  <c r="A563" i="5"/>
  <c r="D562" i="5"/>
  <c r="F562" i="5" s="1"/>
  <c r="C562" i="5"/>
  <c r="E562" i="5" s="1"/>
  <c r="A562" i="5"/>
  <c r="D561" i="5"/>
  <c r="F561" i="5" s="1"/>
  <c r="C561" i="5"/>
  <c r="E561" i="5" s="1"/>
  <c r="A561" i="5"/>
  <c r="D560" i="5"/>
  <c r="F560" i="5" s="1"/>
  <c r="C560" i="8" s="1"/>
  <c r="C560" i="5"/>
  <c r="E560" i="5" s="1"/>
  <c r="B560" i="8" s="1"/>
  <c r="A560" i="5"/>
  <c r="A560" i="8" s="1"/>
  <c r="F559" i="5"/>
  <c r="D559" i="5"/>
  <c r="C559" i="5"/>
  <c r="E559" i="5" s="1"/>
  <c r="A559" i="5"/>
  <c r="B559" i="5" s="1"/>
  <c r="C558" i="5"/>
  <c r="E558" i="5" s="1"/>
  <c r="A558" i="5"/>
  <c r="F557" i="5"/>
  <c r="E557" i="5"/>
  <c r="B557" i="7" s="1"/>
  <c r="D557" i="5"/>
  <c r="C557" i="5"/>
  <c r="A557" i="5"/>
  <c r="D556" i="5"/>
  <c r="F556" i="5" s="1"/>
  <c r="C556" i="5"/>
  <c r="E556" i="5" s="1"/>
  <c r="B556" i="7" s="1"/>
  <c r="A556" i="5"/>
  <c r="A556" i="7" s="1"/>
  <c r="C555" i="5"/>
  <c r="E555" i="5" s="1"/>
  <c r="B555" i="8" s="1"/>
  <c r="A555" i="5"/>
  <c r="A555" i="9" s="1"/>
  <c r="D554" i="5"/>
  <c r="F554" i="5" s="1"/>
  <c r="C554" i="5"/>
  <c r="E554" i="5" s="1"/>
  <c r="A554" i="5"/>
  <c r="D553" i="5"/>
  <c r="F553" i="5" s="1"/>
  <c r="C553" i="5"/>
  <c r="E553" i="5" s="1"/>
  <c r="B553" i="5"/>
  <c r="A553" i="5"/>
  <c r="A553" i="8" s="1"/>
  <c r="D552" i="5"/>
  <c r="F552" i="5" s="1"/>
  <c r="C552" i="5"/>
  <c r="E552" i="5" s="1"/>
  <c r="A552" i="5"/>
  <c r="D551" i="5"/>
  <c r="F551" i="5" s="1"/>
  <c r="D551" i="11" s="1"/>
  <c r="C551" i="5"/>
  <c r="E551" i="5" s="1"/>
  <c r="A551" i="5"/>
  <c r="A551" i="11" s="1"/>
  <c r="D550" i="5"/>
  <c r="F550" i="5" s="1"/>
  <c r="C550" i="5"/>
  <c r="E550" i="5" s="1"/>
  <c r="A550" i="5"/>
  <c r="D549" i="5"/>
  <c r="F549" i="5" s="1"/>
  <c r="C549" i="5"/>
  <c r="E549" i="5" s="1"/>
  <c r="A549" i="5"/>
  <c r="D548" i="5"/>
  <c r="F548" i="5" s="1"/>
  <c r="C548" i="5"/>
  <c r="E548" i="5" s="1"/>
  <c r="A548" i="5"/>
  <c r="A548" i="7" s="1"/>
  <c r="D547" i="5"/>
  <c r="F547" i="5" s="1"/>
  <c r="C547" i="5"/>
  <c r="E547" i="5" s="1"/>
  <c r="B547" i="5"/>
  <c r="L547" i="9" s="1"/>
  <c r="A547" i="5"/>
  <c r="D546" i="5"/>
  <c r="F546" i="5" s="1"/>
  <c r="C546" i="5"/>
  <c r="E546" i="5" s="1"/>
  <c r="A546" i="5"/>
  <c r="A546" i="11" s="1"/>
  <c r="F545" i="5"/>
  <c r="D545" i="5"/>
  <c r="C545" i="5"/>
  <c r="E545" i="5" s="1"/>
  <c r="A545" i="5"/>
  <c r="D544" i="5"/>
  <c r="F544" i="5" s="1"/>
  <c r="C544" i="5"/>
  <c r="E544" i="5" s="1"/>
  <c r="B544" i="5"/>
  <c r="A544" i="5"/>
  <c r="D543" i="5"/>
  <c r="F543" i="5" s="1"/>
  <c r="C543" i="5"/>
  <c r="E543" i="5" s="1"/>
  <c r="A543" i="5"/>
  <c r="E542" i="5"/>
  <c r="B542" i="9" s="1"/>
  <c r="D542" i="5"/>
  <c r="F542" i="5" s="1"/>
  <c r="C542" i="5"/>
  <c r="A542" i="5"/>
  <c r="B542" i="5" s="1"/>
  <c r="D541" i="5"/>
  <c r="F541" i="5" s="1"/>
  <c r="C541" i="5"/>
  <c r="E541" i="5" s="1"/>
  <c r="A541" i="5"/>
  <c r="B541" i="5" s="1"/>
  <c r="F540" i="5"/>
  <c r="C540" i="9" s="1"/>
  <c r="D540" i="5"/>
  <c r="C540" i="5"/>
  <c r="E540" i="5" s="1"/>
  <c r="B540" i="7" s="1"/>
  <c r="A540" i="5"/>
  <c r="D539" i="5"/>
  <c r="F539" i="5" s="1"/>
  <c r="C539" i="9" s="1"/>
  <c r="C539" i="5"/>
  <c r="E539" i="5" s="1"/>
  <c r="B539" i="7" s="1"/>
  <c r="A539" i="5"/>
  <c r="B539" i="5" s="1"/>
  <c r="A538" i="5"/>
  <c r="D537" i="5"/>
  <c r="F537" i="5" s="1"/>
  <c r="C537" i="5"/>
  <c r="E537" i="5" s="1"/>
  <c r="A537" i="5"/>
  <c r="E536" i="5"/>
  <c r="B536" i="7" s="1"/>
  <c r="D536" i="5"/>
  <c r="F536" i="5" s="1"/>
  <c r="C536" i="5"/>
  <c r="A536" i="5"/>
  <c r="A536" i="11" s="1"/>
  <c r="D535" i="5"/>
  <c r="F535" i="5" s="1"/>
  <c r="C535" i="5"/>
  <c r="E535" i="5" s="1"/>
  <c r="A535" i="5"/>
  <c r="D534" i="5"/>
  <c r="F534" i="5" s="1"/>
  <c r="C534" i="5"/>
  <c r="E534" i="5" s="1"/>
  <c r="A534" i="5"/>
  <c r="D533" i="5"/>
  <c r="F533" i="5" s="1"/>
  <c r="C533" i="9" s="1"/>
  <c r="C533" i="5"/>
  <c r="E533" i="5" s="1"/>
  <c r="A533" i="5"/>
  <c r="E532" i="5"/>
  <c r="D532" i="5"/>
  <c r="F532" i="5" s="1"/>
  <c r="C532" i="5"/>
  <c r="B532" i="5"/>
  <c r="A532" i="5"/>
  <c r="A532" i="7" s="1"/>
  <c r="D531" i="5"/>
  <c r="F531" i="5" s="1"/>
  <c r="C531" i="5"/>
  <c r="E531" i="5" s="1"/>
  <c r="A531" i="5"/>
  <c r="D530" i="5"/>
  <c r="F530" i="5" s="1"/>
  <c r="C530" i="5"/>
  <c r="E530" i="5" s="1"/>
  <c r="A530" i="5"/>
  <c r="B530" i="5" s="1"/>
  <c r="D529" i="5"/>
  <c r="F529" i="5" s="1"/>
  <c r="C529" i="5"/>
  <c r="E529" i="5" s="1"/>
  <c r="A529" i="5"/>
  <c r="A529" i="8" s="1"/>
  <c r="D528" i="5"/>
  <c r="F528" i="5" s="1"/>
  <c r="C528" i="5"/>
  <c r="E528" i="5" s="1"/>
  <c r="A528" i="5"/>
  <c r="D527" i="5"/>
  <c r="F527" i="5" s="1"/>
  <c r="C527" i="5"/>
  <c r="E527" i="5" s="1"/>
  <c r="A527" i="5"/>
  <c r="E526" i="5"/>
  <c r="B526" i="8" s="1"/>
  <c r="D526" i="5"/>
  <c r="F526" i="5" s="1"/>
  <c r="C526" i="8" s="1"/>
  <c r="C526" i="5"/>
  <c r="A526" i="5"/>
  <c r="F525" i="5"/>
  <c r="C525" i="7" s="1"/>
  <c r="D525" i="5"/>
  <c r="C525" i="5"/>
  <c r="E525" i="5" s="1"/>
  <c r="B525" i="7" s="1"/>
  <c r="A525" i="5"/>
  <c r="A525" i="7" s="1"/>
  <c r="C524" i="5"/>
  <c r="E524" i="5" s="1"/>
  <c r="A524" i="5"/>
  <c r="D523" i="5"/>
  <c r="F523" i="5" s="1"/>
  <c r="C523" i="5"/>
  <c r="E523" i="5" s="1"/>
  <c r="A523" i="5"/>
  <c r="D522" i="5"/>
  <c r="F522" i="5" s="1"/>
  <c r="B522" i="5"/>
  <c r="A522" i="5"/>
  <c r="F521" i="5"/>
  <c r="D521" i="5"/>
  <c r="C521" i="5"/>
  <c r="E521" i="5" s="1"/>
  <c r="B521" i="5"/>
  <c r="A521" i="5"/>
  <c r="A521" i="7" s="1"/>
  <c r="D520" i="5"/>
  <c r="F520" i="5" s="1"/>
  <c r="C520" i="9" s="1"/>
  <c r="C520" i="5"/>
  <c r="E520" i="5" s="1"/>
  <c r="A520" i="5"/>
  <c r="A520" i="8" s="1"/>
  <c r="D519" i="5"/>
  <c r="F519" i="5" s="1"/>
  <c r="C519" i="8" s="1"/>
  <c r="C519" i="5"/>
  <c r="E519" i="5" s="1"/>
  <c r="B519" i="8" s="1"/>
  <c r="A519" i="5"/>
  <c r="A519" i="11" s="1"/>
  <c r="D518" i="5"/>
  <c r="F518" i="5" s="1"/>
  <c r="C518" i="5"/>
  <c r="E518" i="5" s="1"/>
  <c r="A518" i="5"/>
  <c r="F517" i="5"/>
  <c r="D517" i="5"/>
  <c r="C517" i="5"/>
  <c r="E517" i="5" s="1"/>
  <c r="A517" i="5"/>
  <c r="E516" i="5"/>
  <c r="D516" i="5"/>
  <c r="F516" i="5" s="1"/>
  <c r="C516" i="5"/>
  <c r="A516" i="5"/>
  <c r="F515" i="5"/>
  <c r="D515" i="5"/>
  <c r="C515" i="5"/>
  <c r="E515" i="5" s="1"/>
  <c r="A515" i="5"/>
  <c r="D514" i="5"/>
  <c r="F514" i="5" s="1"/>
  <c r="C514" i="5"/>
  <c r="E514" i="5" s="1"/>
  <c r="A514" i="5"/>
  <c r="D513" i="5"/>
  <c r="F513" i="5" s="1"/>
  <c r="C513" i="5"/>
  <c r="E513" i="5" s="1"/>
  <c r="A513" i="5"/>
  <c r="A513" i="7" s="1"/>
  <c r="D512" i="5"/>
  <c r="F512" i="5" s="1"/>
  <c r="C512" i="5"/>
  <c r="E512" i="5" s="1"/>
  <c r="A512" i="5"/>
  <c r="F511" i="5"/>
  <c r="D511" i="5"/>
  <c r="C511" i="5"/>
  <c r="E511" i="5" s="1"/>
  <c r="B511" i="8" s="1"/>
  <c r="A511" i="5"/>
  <c r="A511" i="8" s="1"/>
  <c r="D510" i="5"/>
  <c r="F510" i="5" s="1"/>
  <c r="C510" i="5"/>
  <c r="E510" i="5" s="1"/>
  <c r="A510" i="5"/>
  <c r="A510" i="9" s="1"/>
  <c r="F509" i="5"/>
  <c r="C509" i="8" s="1"/>
  <c r="D509" i="5"/>
  <c r="C509" i="5"/>
  <c r="E509" i="5" s="1"/>
  <c r="B509" i="8" s="1"/>
  <c r="B509" i="5"/>
  <c r="A509" i="5"/>
  <c r="D508" i="5"/>
  <c r="F508" i="5" s="1"/>
  <c r="C508" i="8" s="1"/>
  <c r="C508" i="5"/>
  <c r="E508" i="5" s="1"/>
  <c r="B508" i="7" s="1"/>
  <c r="A508" i="5"/>
  <c r="D507" i="5"/>
  <c r="F507" i="5" s="1"/>
  <c r="C507" i="5"/>
  <c r="E507" i="5" s="1"/>
  <c r="A507" i="5"/>
  <c r="A507" i="7" s="1"/>
  <c r="D506" i="5"/>
  <c r="F506" i="5" s="1"/>
  <c r="C506" i="5"/>
  <c r="E506" i="5" s="1"/>
  <c r="B506" i="5"/>
  <c r="A506" i="5"/>
  <c r="D505" i="5"/>
  <c r="F505" i="5" s="1"/>
  <c r="C505" i="5"/>
  <c r="E505" i="5" s="1"/>
  <c r="B505" i="8" s="1"/>
  <c r="A505" i="5"/>
  <c r="D504" i="5"/>
  <c r="F504" i="5" s="1"/>
  <c r="C504" i="9" s="1"/>
  <c r="C504" i="5"/>
  <c r="E504" i="5" s="1"/>
  <c r="A504" i="5"/>
  <c r="B504" i="5" s="1"/>
  <c r="F503" i="5"/>
  <c r="E503" i="5"/>
  <c r="D503" i="5"/>
  <c r="C503" i="5"/>
  <c r="A503" i="5"/>
  <c r="B503" i="5" s="1"/>
  <c r="D502" i="5"/>
  <c r="F502" i="5" s="1"/>
  <c r="C502" i="5"/>
  <c r="E502" i="5" s="1"/>
  <c r="A502" i="5"/>
  <c r="A502" i="8" s="1"/>
  <c r="F501" i="5"/>
  <c r="C501" i="9" s="1"/>
  <c r="D501" i="5"/>
  <c r="C501" i="5"/>
  <c r="E501" i="5" s="1"/>
  <c r="C501" i="11" s="1"/>
  <c r="A501" i="5"/>
  <c r="D500" i="5"/>
  <c r="F500" i="5" s="1"/>
  <c r="A500" i="5"/>
  <c r="D499" i="5"/>
  <c r="F499" i="5" s="1"/>
  <c r="C499" i="5"/>
  <c r="E499" i="5" s="1"/>
  <c r="A499" i="5"/>
  <c r="B499" i="5" s="1"/>
  <c r="D498" i="5"/>
  <c r="F498" i="5" s="1"/>
  <c r="C498" i="9" s="1"/>
  <c r="C498" i="5"/>
  <c r="E498" i="5" s="1"/>
  <c r="A498" i="5"/>
  <c r="D497" i="5"/>
  <c r="F497" i="5" s="1"/>
  <c r="C497" i="5"/>
  <c r="E497" i="5" s="1"/>
  <c r="B497" i="7" s="1"/>
  <c r="A497" i="5"/>
  <c r="A497" i="7" s="1"/>
  <c r="D496" i="5"/>
  <c r="F496" i="5" s="1"/>
  <c r="C496" i="5"/>
  <c r="E496" i="5" s="1"/>
  <c r="A496" i="5"/>
  <c r="D495" i="5"/>
  <c r="F495" i="5" s="1"/>
  <c r="C495" i="5"/>
  <c r="E495" i="5" s="1"/>
  <c r="A495" i="5"/>
  <c r="A495" i="7" s="1"/>
  <c r="D494" i="5"/>
  <c r="F494" i="5" s="1"/>
  <c r="C494" i="8" s="1"/>
  <c r="C494" i="5"/>
  <c r="E494" i="5" s="1"/>
  <c r="A494" i="5"/>
  <c r="F493" i="5"/>
  <c r="D493" i="5"/>
  <c r="C493" i="5"/>
  <c r="E493" i="5" s="1"/>
  <c r="A493" i="5"/>
  <c r="D492" i="5"/>
  <c r="F492" i="5" s="1"/>
  <c r="C492" i="5"/>
  <c r="E492" i="5" s="1"/>
  <c r="A492" i="5"/>
  <c r="D491" i="5"/>
  <c r="F491" i="5" s="1"/>
  <c r="C491" i="5"/>
  <c r="E491" i="5" s="1"/>
  <c r="A491" i="5"/>
  <c r="F490" i="5"/>
  <c r="C490" i="8" s="1"/>
  <c r="D490" i="5"/>
  <c r="C490" i="5"/>
  <c r="E490" i="5" s="1"/>
  <c r="B490" i="5"/>
  <c r="A490" i="5"/>
  <c r="D489" i="5"/>
  <c r="F489" i="5" s="1"/>
  <c r="C489" i="5"/>
  <c r="E489" i="5" s="1"/>
  <c r="B489" i="5"/>
  <c r="A489" i="5"/>
  <c r="A489" i="7" s="1"/>
  <c r="D488" i="5"/>
  <c r="F488" i="5" s="1"/>
  <c r="C488" i="5"/>
  <c r="E488" i="5" s="1"/>
  <c r="A488" i="5"/>
  <c r="D487" i="5"/>
  <c r="F487" i="5" s="1"/>
  <c r="B487" i="5"/>
  <c r="B487" i="11" s="1"/>
  <c r="A487" i="5"/>
  <c r="D486" i="5"/>
  <c r="F486" i="5" s="1"/>
  <c r="C486" i="5"/>
  <c r="E486" i="5" s="1"/>
  <c r="A486" i="5"/>
  <c r="F485" i="5"/>
  <c r="C485" i="9" s="1"/>
  <c r="D485" i="5"/>
  <c r="C485" i="5"/>
  <c r="E485" i="5" s="1"/>
  <c r="A485" i="5"/>
  <c r="A485" i="8" s="1"/>
  <c r="E484" i="5"/>
  <c r="B484" i="8" s="1"/>
  <c r="D484" i="5"/>
  <c r="F484" i="5" s="1"/>
  <c r="C484" i="5"/>
  <c r="A484" i="5"/>
  <c r="F483" i="5"/>
  <c r="D483" i="5"/>
  <c r="C483" i="5"/>
  <c r="E483" i="5" s="1"/>
  <c r="C483" i="11" s="1"/>
  <c r="B483" i="5"/>
  <c r="A483" i="5"/>
  <c r="A483" i="8" s="1"/>
  <c r="D482" i="5"/>
  <c r="F482" i="5" s="1"/>
  <c r="C482" i="7" s="1"/>
  <c r="C482" i="5"/>
  <c r="E482" i="5" s="1"/>
  <c r="B482" i="7" s="1"/>
  <c r="A482" i="5"/>
  <c r="A482" i="8" s="1"/>
  <c r="D481" i="5"/>
  <c r="F481" i="5" s="1"/>
  <c r="C481" i="5"/>
  <c r="E481" i="5" s="1"/>
  <c r="A481" i="5"/>
  <c r="D480" i="5"/>
  <c r="F480" i="5" s="1"/>
  <c r="C480" i="5"/>
  <c r="E480" i="5" s="1"/>
  <c r="A480" i="5"/>
  <c r="B480" i="5" s="1"/>
  <c r="F479" i="5"/>
  <c r="D479" i="5"/>
  <c r="A479" i="5"/>
  <c r="A479" i="7" s="1"/>
  <c r="D478" i="5"/>
  <c r="F478" i="5" s="1"/>
  <c r="C478" i="5"/>
  <c r="E478" i="5" s="1"/>
  <c r="A478" i="5"/>
  <c r="D477" i="5"/>
  <c r="F477" i="5" s="1"/>
  <c r="C477" i="5"/>
  <c r="E477" i="5" s="1"/>
  <c r="A477" i="5"/>
  <c r="E476" i="5"/>
  <c r="D476" i="5"/>
  <c r="F476" i="5" s="1"/>
  <c r="C476" i="5"/>
  <c r="A476" i="5"/>
  <c r="F475" i="5"/>
  <c r="D475" i="5"/>
  <c r="C475" i="5"/>
  <c r="E475" i="5" s="1"/>
  <c r="A475" i="5"/>
  <c r="D474" i="5"/>
  <c r="F474" i="5" s="1"/>
  <c r="C474" i="5"/>
  <c r="E474" i="5" s="1"/>
  <c r="A474" i="5"/>
  <c r="A474" i="8" s="1"/>
  <c r="D473" i="5"/>
  <c r="F473" i="5" s="1"/>
  <c r="C473" i="9" s="1"/>
  <c r="A473" i="5"/>
  <c r="E472" i="5"/>
  <c r="D472" i="5"/>
  <c r="F472" i="5" s="1"/>
  <c r="C472" i="5"/>
  <c r="B472" i="5"/>
  <c r="A472" i="5"/>
  <c r="A472" i="8" s="1"/>
  <c r="D471" i="5"/>
  <c r="F471" i="5" s="1"/>
  <c r="C471" i="5"/>
  <c r="E471" i="5" s="1"/>
  <c r="B471" i="8" s="1"/>
  <c r="A471" i="5"/>
  <c r="A471" i="8" s="1"/>
  <c r="D470" i="5"/>
  <c r="F470" i="5" s="1"/>
  <c r="C470" i="5"/>
  <c r="E470" i="5" s="1"/>
  <c r="A470" i="5"/>
  <c r="A470" i="9" s="1"/>
  <c r="D469" i="5"/>
  <c r="F469" i="5" s="1"/>
  <c r="C469" i="5"/>
  <c r="E469" i="5" s="1"/>
  <c r="A469" i="5"/>
  <c r="D468" i="5"/>
  <c r="F468" i="5" s="1"/>
  <c r="C468" i="5"/>
  <c r="E468" i="5" s="1"/>
  <c r="A468" i="5"/>
  <c r="A468" i="7" s="1"/>
  <c r="D467" i="5"/>
  <c r="F467" i="5" s="1"/>
  <c r="D467" i="11" s="1"/>
  <c r="C467" i="5"/>
  <c r="E467" i="5" s="1"/>
  <c r="C467" i="11" s="1"/>
  <c r="A467" i="5"/>
  <c r="D466" i="5"/>
  <c r="F466" i="5" s="1"/>
  <c r="C466" i="9" s="1"/>
  <c r="C466" i="5"/>
  <c r="E466" i="5" s="1"/>
  <c r="B466" i="7" s="1"/>
  <c r="A466" i="5"/>
  <c r="D465" i="5"/>
  <c r="F465" i="5" s="1"/>
  <c r="C465" i="5"/>
  <c r="E465" i="5" s="1"/>
  <c r="A465" i="5"/>
  <c r="A465" i="8" s="1"/>
  <c r="D464" i="5"/>
  <c r="F464" i="5" s="1"/>
  <c r="C464" i="5"/>
  <c r="E464" i="5" s="1"/>
  <c r="A464" i="5"/>
  <c r="E463" i="5"/>
  <c r="B463" i="8" s="1"/>
  <c r="D463" i="5"/>
  <c r="F463" i="5" s="1"/>
  <c r="C463" i="9" s="1"/>
  <c r="C463" i="5"/>
  <c r="A463" i="5"/>
  <c r="F462" i="5"/>
  <c r="E462" i="5"/>
  <c r="D462" i="5"/>
  <c r="C462" i="5"/>
  <c r="B462" i="5"/>
  <c r="A462" i="5"/>
  <c r="D461" i="5"/>
  <c r="F461" i="5" s="1"/>
  <c r="C461" i="5"/>
  <c r="E461" i="5" s="1"/>
  <c r="B461" i="7" s="1"/>
  <c r="A461" i="5"/>
  <c r="C460" i="5"/>
  <c r="E460" i="5" s="1"/>
  <c r="A460" i="5"/>
  <c r="D459" i="5"/>
  <c r="F459" i="5" s="1"/>
  <c r="C459" i="8" s="1"/>
  <c r="C459" i="5"/>
  <c r="E459" i="5" s="1"/>
  <c r="A459" i="5"/>
  <c r="D458" i="5"/>
  <c r="F458" i="5" s="1"/>
  <c r="C458" i="9" s="1"/>
  <c r="C458" i="5"/>
  <c r="E458" i="5" s="1"/>
  <c r="A458" i="5"/>
  <c r="E457" i="5"/>
  <c r="D457" i="5"/>
  <c r="F457" i="5" s="1"/>
  <c r="C457" i="5"/>
  <c r="A457" i="5"/>
  <c r="B457" i="5" s="1"/>
  <c r="D456" i="5"/>
  <c r="F456" i="5" s="1"/>
  <c r="C456" i="8" s="1"/>
  <c r="C456" i="5"/>
  <c r="E456" i="5" s="1"/>
  <c r="B456" i="8" s="1"/>
  <c r="A456" i="5"/>
  <c r="A456" i="8" s="1"/>
  <c r="D455" i="5"/>
  <c r="F455" i="5" s="1"/>
  <c r="C455" i="5"/>
  <c r="E455" i="5" s="1"/>
  <c r="B455" i="8" s="1"/>
  <c r="A455" i="5"/>
  <c r="A455" i="7" s="1"/>
  <c r="D454" i="5"/>
  <c r="F454" i="5" s="1"/>
  <c r="D454" i="11" s="1"/>
  <c r="C454" i="5"/>
  <c r="E454" i="5" s="1"/>
  <c r="A454" i="5"/>
  <c r="D453" i="5"/>
  <c r="F453" i="5" s="1"/>
  <c r="C453" i="5"/>
  <c r="E453" i="5" s="1"/>
  <c r="B453" i="8" s="1"/>
  <c r="A453" i="5"/>
  <c r="A453" i="7" s="1"/>
  <c r="D452" i="5"/>
  <c r="F452" i="5" s="1"/>
  <c r="C452" i="5"/>
  <c r="E452" i="5" s="1"/>
  <c r="C452" i="11" s="1"/>
  <c r="B452" i="5"/>
  <c r="A452" i="5"/>
  <c r="D451" i="5"/>
  <c r="F451" i="5" s="1"/>
  <c r="C451" i="5"/>
  <c r="E451" i="5" s="1"/>
  <c r="A451" i="5"/>
  <c r="B451" i="5" s="1"/>
  <c r="D450" i="5"/>
  <c r="F450" i="5" s="1"/>
  <c r="C450" i="5"/>
  <c r="E450" i="5" s="1"/>
  <c r="A450" i="5"/>
  <c r="F449" i="5"/>
  <c r="E449" i="5"/>
  <c r="D449" i="5"/>
  <c r="C449" i="5"/>
  <c r="A449" i="5"/>
  <c r="B449" i="5" s="1"/>
  <c r="D448" i="5"/>
  <c r="F448" i="5" s="1"/>
  <c r="C448" i="9" s="1"/>
  <c r="C448" i="5"/>
  <c r="E448" i="5" s="1"/>
  <c r="A448" i="5"/>
  <c r="A448" i="8" s="1"/>
  <c r="D447" i="5"/>
  <c r="F447" i="5" s="1"/>
  <c r="C447" i="5"/>
  <c r="E447" i="5" s="1"/>
  <c r="A447" i="5"/>
  <c r="B447" i="5" s="1"/>
  <c r="D446" i="5"/>
  <c r="F446" i="5" s="1"/>
  <c r="C446" i="5"/>
  <c r="E446" i="5" s="1"/>
  <c r="B446" i="8" s="1"/>
  <c r="A446" i="5"/>
  <c r="A446" i="8" s="1"/>
  <c r="F445" i="5"/>
  <c r="C445" i="8" s="1"/>
  <c r="D445" i="5"/>
  <c r="C445" i="5"/>
  <c r="E445" i="5" s="1"/>
  <c r="B445" i="8" s="1"/>
  <c r="A445" i="5"/>
  <c r="D444" i="5"/>
  <c r="F444" i="5" s="1"/>
  <c r="D444" i="11" s="1"/>
  <c r="C444" i="5"/>
  <c r="E444" i="5" s="1"/>
  <c r="A444" i="5"/>
  <c r="D443" i="5"/>
  <c r="F443" i="5" s="1"/>
  <c r="C443" i="5"/>
  <c r="E443" i="5" s="1"/>
  <c r="A443" i="5"/>
  <c r="B443" i="5" s="1"/>
  <c r="E442" i="5"/>
  <c r="D442" i="5"/>
  <c r="F442" i="5" s="1"/>
  <c r="C442" i="5"/>
  <c r="A442" i="5"/>
  <c r="A442" i="8" s="1"/>
  <c r="F441" i="5"/>
  <c r="C441" i="9" s="1"/>
  <c r="D441" i="5"/>
  <c r="C441" i="5"/>
  <c r="E441" i="5" s="1"/>
  <c r="A441" i="5"/>
  <c r="D440" i="5"/>
  <c r="F440" i="5" s="1"/>
  <c r="C440" i="8" s="1"/>
  <c r="C440" i="5"/>
  <c r="E440" i="5" s="1"/>
  <c r="B440" i="7" s="1"/>
  <c r="A440" i="5"/>
  <c r="A440" i="8" s="1"/>
  <c r="D439" i="5"/>
  <c r="F439" i="5" s="1"/>
  <c r="C439" i="5"/>
  <c r="E439" i="5" s="1"/>
  <c r="A439" i="5"/>
  <c r="A439" i="11" s="1"/>
  <c r="D438" i="5"/>
  <c r="F438" i="5" s="1"/>
  <c r="C438" i="5"/>
  <c r="E438" i="5" s="1"/>
  <c r="A438" i="5"/>
  <c r="F437" i="5"/>
  <c r="D437" i="5"/>
  <c r="C437" i="5"/>
  <c r="E437" i="5" s="1"/>
  <c r="A437" i="5"/>
  <c r="B437" i="5" s="1"/>
  <c r="B437" i="11" s="1"/>
  <c r="D436" i="5"/>
  <c r="F436" i="5" s="1"/>
  <c r="C436" i="5"/>
  <c r="E436" i="5" s="1"/>
  <c r="B436" i="8" s="1"/>
  <c r="A436" i="5"/>
  <c r="F435" i="5"/>
  <c r="D435" i="5"/>
  <c r="C435" i="5"/>
  <c r="E435" i="5" s="1"/>
  <c r="A435" i="5"/>
  <c r="A435" i="8" s="1"/>
  <c r="D434" i="5"/>
  <c r="F434" i="5" s="1"/>
  <c r="C434" i="5"/>
  <c r="E434" i="5" s="1"/>
  <c r="A434" i="5"/>
  <c r="D433" i="5"/>
  <c r="F433" i="5" s="1"/>
  <c r="C433" i="5"/>
  <c r="E433" i="5" s="1"/>
  <c r="C433" i="11" s="1"/>
  <c r="A433" i="5"/>
  <c r="E432" i="5"/>
  <c r="D432" i="5"/>
  <c r="F432" i="5" s="1"/>
  <c r="C432" i="5"/>
  <c r="A432" i="5"/>
  <c r="D431" i="5"/>
  <c r="F431" i="5" s="1"/>
  <c r="C431" i="5"/>
  <c r="E431" i="5" s="1"/>
  <c r="C431" i="11" s="1"/>
  <c r="A431" i="5"/>
  <c r="F430" i="5"/>
  <c r="C430" i="7" s="1"/>
  <c r="E430" i="5"/>
  <c r="B430" i="7" s="1"/>
  <c r="D430" i="5"/>
  <c r="C430" i="5"/>
  <c r="A430" i="5"/>
  <c r="D429" i="5"/>
  <c r="F429" i="5" s="1"/>
  <c r="C429" i="5"/>
  <c r="E429" i="5" s="1"/>
  <c r="B429" i="7" s="1"/>
  <c r="B429" i="5"/>
  <c r="A429" i="5"/>
  <c r="D428" i="5"/>
  <c r="F428" i="5" s="1"/>
  <c r="C428" i="9" s="1"/>
  <c r="C428" i="5"/>
  <c r="E428" i="5" s="1"/>
  <c r="A428" i="5"/>
  <c r="E427" i="5"/>
  <c r="D427" i="5"/>
  <c r="F427" i="5" s="1"/>
  <c r="C427" i="5"/>
  <c r="A427" i="5"/>
  <c r="B427" i="5" s="1"/>
  <c r="B427" i="11" s="1"/>
  <c r="D426" i="5"/>
  <c r="F426" i="5" s="1"/>
  <c r="C426" i="5"/>
  <c r="E426" i="5" s="1"/>
  <c r="A426" i="5"/>
  <c r="F425" i="5"/>
  <c r="D425" i="11" s="1"/>
  <c r="D425" i="5"/>
  <c r="C425" i="5"/>
  <c r="E425" i="5" s="1"/>
  <c r="B425" i="8" s="1"/>
  <c r="A425" i="5"/>
  <c r="D424" i="5"/>
  <c r="F424" i="5" s="1"/>
  <c r="D424" i="11" s="1"/>
  <c r="C424" i="5"/>
  <c r="E424" i="5" s="1"/>
  <c r="C424" i="11" s="1"/>
  <c r="A424" i="5"/>
  <c r="D423" i="5"/>
  <c r="F423" i="5" s="1"/>
  <c r="C423" i="5"/>
  <c r="E423" i="5" s="1"/>
  <c r="A423" i="5"/>
  <c r="A423" i="8" s="1"/>
  <c r="E422" i="5"/>
  <c r="B422" i="7" s="1"/>
  <c r="C422" i="5"/>
  <c r="A422" i="5"/>
  <c r="D421" i="5"/>
  <c r="F421" i="5" s="1"/>
  <c r="C421" i="5"/>
  <c r="E421" i="5" s="1"/>
  <c r="A421" i="5"/>
  <c r="B421" i="5" s="1"/>
  <c r="D420" i="5"/>
  <c r="F420" i="5" s="1"/>
  <c r="C420" i="8" s="1"/>
  <c r="C420" i="5"/>
  <c r="E420" i="5" s="1"/>
  <c r="A420" i="5"/>
  <c r="E419" i="5"/>
  <c r="D419" i="5"/>
  <c r="F419" i="5" s="1"/>
  <c r="C419" i="5"/>
  <c r="A419" i="5"/>
  <c r="A419" i="7" s="1"/>
  <c r="D418" i="5"/>
  <c r="F418" i="5" s="1"/>
  <c r="C418" i="5"/>
  <c r="E418" i="5" s="1"/>
  <c r="A418" i="5"/>
  <c r="D417" i="5"/>
  <c r="F417" i="5" s="1"/>
  <c r="C417" i="8" s="1"/>
  <c r="C417" i="5"/>
  <c r="E417" i="5" s="1"/>
  <c r="B417" i="5"/>
  <c r="B417" i="11" s="1"/>
  <c r="A417" i="5"/>
  <c r="D416" i="5"/>
  <c r="F416" i="5" s="1"/>
  <c r="C416" i="5"/>
  <c r="E416" i="5" s="1"/>
  <c r="A416" i="5"/>
  <c r="A416" i="8" s="1"/>
  <c r="D415" i="5"/>
  <c r="F415" i="5" s="1"/>
  <c r="C415" i="5"/>
  <c r="E415" i="5" s="1"/>
  <c r="B415" i="9" s="1"/>
  <c r="A415" i="5"/>
  <c r="A415" i="8" s="1"/>
  <c r="D414" i="5"/>
  <c r="F414" i="5" s="1"/>
  <c r="C414" i="5"/>
  <c r="E414" i="5" s="1"/>
  <c r="A414" i="5"/>
  <c r="D413" i="5"/>
  <c r="F413" i="5" s="1"/>
  <c r="C413" i="5"/>
  <c r="E413" i="5" s="1"/>
  <c r="A413" i="5"/>
  <c r="B413" i="5" s="1"/>
  <c r="B413" i="11" s="1"/>
  <c r="D412" i="5"/>
  <c r="F412" i="5" s="1"/>
  <c r="C412" i="5"/>
  <c r="E412" i="5" s="1"/>
  <c r="B412" i="5"/>
  <c r="A412" i="5"/>
  <c r="A412" i="7" s="1"/>
  <c r="D411" i="5"/>
  <c r="F411" i="5" s="1"/>
  <c r="C411" i="5"/>
  <c r="E411" i="5" s="1"/>
  <c r="B411" i="8" s="1"/>
  <c r="A411" i="5"/>
  <c r="A411" i="8" s="1"/>
  <c r="D410" i="5"/>
  <c r="F410" i="5" s="1"/>
  <c r="C410" i="5"/>
  <c r="E410" i="5" s="1"/>
  <c r="B410" i="7" s="1"/>
  <c r="A410" i="5"/>
  <c r="A410" i="7" s="1"/>
  <c r="D409" i="5"/>
  <c r="F409" i="5" s="1"/>
  <c r="C409" i="9" s="1"/>
  <c r="C409" i="5"/>
  <c r="E409" i="5" s="1"/>
  <c r="B409" i="7" s="1"/>
  <c r="A409" i="5"/>
  <c r="A409" i="8" s="1"/>
  <c r="D408" i="5"/>
  <c r="F408" i="5" s="1"/>
  <c r="C408" i="7" s="1"/>
  <c r="C408" i="5"/>
  <c r="E408" i="5" s="1"/>
  <c r="B408" i="7" s="1"/>
  <c r="A408" i="5"/>
  <c r="D407" i="5"/>
  <c r="F407" i="5" s="1"/>
  <c r="C407" i="8" s="1"/>
  <c r="C407" i="5"/>
  <c r="E407" i="5" s="1"/>
  <c r="A407" i="5"/>
  <c r="B407" i="5" s="1"/>
  <c r="B407" i="11" s="1"/>
  <c r="D406" i="5"/>
  <c r="F406" i="5" s="1"/>
  <c r="C406" i="5"/>
  <c r="E406" i="5" s="1"/>
  <c r="A406" i="5"/>
  <c r="F405" i="5"/>
  <c r="D405" i="5"/>
  <c r="C405" i="5"/>
  <c r="E405" i="5" s="1"/>
  <c r="A405" i="5"/>
  <c r="D404" i="5"/>
  <c r="F404" i="5" s="1"/>
  <c r="C404" i="5"/>
  <c r="E404" i="5" s="1"/>
  <c r="A404" i="5"/>
  <c r="D403" i="5"/>
  <c r="F403" i="5" s="1"/>
  <c r="C403" i="9" s="1"/>
  <c r="C403" i="5"/>
  <c r="E403" i="5" s="1"/>
  <c r="A403" i="5"/>
  <c r="B403" i="5" s="1"/>
  <c r="D402" i="5"/>
  <c r="F402" i="5" s="1"/>
  <c r="C402" i="9" s="1"/>
  <c r="C402" i="5"/>
  <c r="E402" i="5" s="1"/>
  <c r="B402" i="7" s="1"/>
  <c r="A402" i="5"/>
  <c r="B402" i="5" s="1"/>
  <c r="F401" i="5"/>
  <c r="D401" i="5"/>
  <c r="C401" i="5"/>
  <c r="E401" i="5" s="1"/>
  <c r="A401" i="5"/>
  <c r="A401" i="7" s="1"/>
  <c r="D400" i="5"/>
  <c r="F400" i="5" s="1"/>
  <c r="C400" i="5"/>
  <c r="E400" i="5" s="1"/>
  <c r="A400" i="5"/>
  <c r="B400" i="5" s="1"/>
  <c r="F399" i="5"/>
  <c r="D399" i="5"/>
  <c r="C399" i="5"/>
  <c r="E399" i="5" s="1"/>
  <c r="B399" i="7" s="1"/>
  <c r="A399" i="5"/>
  <c r="B399" i="5" s="1"/>
  <c r="D398" i="5"/>
  <c r="F398" i="5" s="1"/>
  <c r="C398" i="7" s="1"/>
  <c r="C398" i="5"/>
  <c r="E398" i="5" s="1"/>
  <c r="A398" i="5"/>
  <c r="D397" i="5"/>
  <c r="F397" i="5" s="1"/>
  <c r="C397" i="5"/>
  <c r="E397" i="5" s="1"/>
  <c r="A397" i="5"/>
  <c r="F396" i="5"/>
  <c r="D396" i="5"/>
  <c r="C396" i="5"/>
  <c r="E396" i="5" s="1"/>
  <c r="A396" i="5"/>
  <c r="A396" i="9" s="1"/>
  <c r="F395" i="5"/>
  <c r="C395" i="8" s="1"/>
  <c r="D395" i="5"/>
  <c r="A395" i="5"/>
  <c r="D394" i="5"/>
  <c r="F394" i="5" s="1"/>
  <c r="D394" i="11" s="1"/>
  <c r="C394" i="5"/>
  <c r="E394" i="5" s="1"/>
  <c r="B394" i="9" s="1"/>
  <c r="A394" i="5"/>
  <c r="B394" i="5" s="1"/>
  <c r="D393" i="5"/>
  <c r="F393" i="5" s="1"/>
  <c r="C393" i="5"/>
  <c r="E393" i="5" s="1"/>
  <c r="A393" i="5"/>
  <c r="A393" i="7" s="1"/>
  <c r="D392" i="5"/>
  <c r="F392" i="5" s="1"/>
  <c r="C392" i="5"/>
  <c r="E392" i="5" s="1"/>
  <c r="A392" i="5"/>
  <c r="A392" i="7" s="1"/>
  <c r="D391" i="5"/>
  <c r="F391" i="5" s="1"/>
  <c r="C391" i="5"/>
  <c r="E391" i="5" s="1"/>
  <c r="A391" i="5"/>
  <c r="A391" i="8" s="1"/>
  <c r="D390" i="5"/>
  <c r="F390" i="5" s="1"/>
  <c r="C390" i="5"/>
  <c r="E390" i="5" s="1"/>
  <c r="A390" i="5"/>
  <c r="D389" i="5"/>
  <c r="F389" i="5" s="1"/>
  <c r="C389" i="5"/>
  <c r="E389" i="5" s="1"/>
  <c r="B389" i="5"/>
  <c r="A389" i="5"/>
  <c r="A389" i="8" s="1"/>
  <c r="D388" i="5"/>
  <c r="F388" i="5" s="1"/>
  <c r="C388" i="9" s="1"/>
  <c r="C388" i="5"/>
  <c r="E388" i="5" s="1"/>
  <c r="A388" i="5"/>
  <c r="A388" i="8" s="1"/>
  <c r="D387" i="5"/>
  <c r="F387" i="5" s="1"/>
  <c r="C387" i="5"/>
  <c r="E387" i="5" s="1"/>
  <c r="A387" i="5"/>
  <c r="B387" i="5" s="1"/>
  <c r="D386" i="5"/>
  <c r="F386" i="5" s="1"/>
  <c r="C386" i="5"/>
  <c r="E386" i="5" s="1"/>
  <c r="A386" i="5"/>
  <c r="D385" i="5"/>
  <c r="F385" i="5" s="1"/>
  <c r="C385" i="5"/>
  <c r="E385" i="5" s="1"/>
  <c r="A385" i="5"/>
  <c r="A385" i="8" s="1"/>
  <c r="E384" i="5"/>
  <c r="D384" i="5"/>
  <c r="F384" i="5" s="1"/>
  <c r="C384" i="9" s="1"/>
  <c r="C384" i="5"/>
  <c r="A384" i="5"/>
  <c r="D383" i="5"/>
  <c r="F383" i="5" s="1"/>
  <c r="C383" i="5"/>
  <c r="E383" i="5" s="1"/>
  <c r="A383" i="5"/>
  <c r="B383" i="5" s="1"/>
  <c r="F382" i="5"/>
  <c r="C382" i="8" s="1"/>
  <c r="E382" i="5"/>
  <c r="D382" i="5"/>
  <c r="C382" i="5"/>
  <c r="A382" i="5"/>
  <c r="A382" i="7" s="1"/>
  <c r="D381" i="5"/>
  <c r="F381" i="5" s="1"/>
  <c r="C381" i="5"/>
  <c r="E381" i="5" s="1"/>
  <c r="A381" i="5"/>
  <c r="B381" i="5" s="1"/>
  <c r="E380" i="5"/>
  <c r="D380" i="5"/>
  <c r="F380" i="5" s="1"/>
  <c r="D380" i="11" s="1"/>
  <c r="C380" i="5"/>
  <c r="A380" i="5"/>
  <c r="A380" i="11" s="1"/>
  <c r="D379" i="5"/>
  <c r="F379" i="5" s="1"/>
  <c r="C379" i="7" s="1"/>
  <c r="C379" i="5"/>
  <c r="E379" i="5" s="1"/>
  <c r="B379" i="7" s="1"/>
  <c r="A379" i="5"/>
  <c r="A379" i="11" s="1"/>
  <c r="D378" i="5"/>
  <c r="F378" i="5" s="1"/>
  <c r="D378" i="11" s="1"/>
  <c r="C378" i="5"/>
  <c r="E378" i="5" s="1"/>
  <c r="B378" i="9" s="1"/>
  <c r="A378" i="5"/>
  <c r="C377" i="5"/>
  <c r="E377" i="5" s="1"/>
  <c r="A377" i="5"/>
  <c r="A377" i="7" s="1"/>
  <c r="F376" i="5"/>
  <c r="D376" i="5"/>
  <c r="C376" i="5"/>
  <c r="E376" i="5" s="1"/>
  <c r="A376" i="5"/>
  <c r="D375" i="5"/>
  <c r="F375" i="5" s="1"/>
  <c r="C375" i="8" s="1"/>
  <c r="C375" i="5"/>
  <c r="E375" i="5" s="1"/>
  <c r="A375" i="5"/>
  <c r="A375" i="8" s="1"/>
  <c r="D374" i="5"/>
  <c r="F374" i="5" s="1"/>
  <c r="C374" i="5"/>
  <c r="E374" i="5" s="1"/>
  <c r="B374" i="9" s="1"/>
  <c r="A374" i="5"/>
  <c r="B374" i="5" s="1"/>
  <c r="E373" i="5"/>
  <c r="D373" i="5"/>
  <c r="F373" i="5" s="1"/>
  <c r="C373" i="5"/>
  <c r="A373" i="5"/>
  <c r="A373" i="7" s="1"/>
  <c r="D372" i="5"/>
  <c r="F372" i="5" s="1"/>
  <c r="C372" i="5"/>
  <c r="E372" i="5" s="1"/>
  <c r="B372" i="5"/>
  <c r="A372" i="5"/>
  <c r="A372" i="8" s="1"/>
  <c r="D371" i="5"/>
  <c r="F371" i="5" s="1"/>
  <c r="C371" i="5"/>
  <c r="E371" i="5" s="1"/>
  <c r="C371" i="11" s="1"/>
  <c r="A371" i="5"/>
  <c r="A371" i="8" s="1"/>
  <c r="D370" i="5"/>
  <c r="F370" i="5" s="1"/>
  <c r="C370" i="9" s="1"/>
  <c r="C370" i="5"/>
  <c r="E370" i="5" s="1"/>
  <c r="B370" i="7" s="1"/>
  <c r="A370" i="5"/>
  <c r="D369" i="5"/>
  <c r="F369" i="5" s="1"/>
  <c r="C369" i="5"/>
  <c r="E369" i="5" s="1"/>
  <c r="A369" i="5"/>
  <c r="A369" i="11" s="1"/>
  <c r="D368" i="5"/>
  <c r="F368" i="5" s="1"/>
  <c r="C368" i="7" s="1"/>
  <c r="C368" i="5"/>
  <c r="E368" i="5" s="1"/>
  <c r="B368" i="8" s="1"/>
  <c r="A368" i="5"/>
  <c r="A368" i="8" s="1"/>
  <c r="E367" i="5"/>
  <c r="D367" i="5"/>
  <c r="F367" i="5" s="1"/>
  <c r="C367" i="5"/>
  <c r="B367" i="5"/>
  <c r="A367" i="5"/>
  <c r="A367" i="8" s="1"/>
  <c r="D366" i="5"/>
  <c r="F366" i="5" s="1"/>
  <c r="C366" i="5"/>
  <c r="E366" i="5" s="1"/>
  <c r="B366" i="5"/>
  <c r="A366" i="5"/>
  <c r="D365" i="5"/>
  <c r="F365" i="5" s="1"/>
  <c r="C365" i="5"/>
  <c r="E365" i="5" s="1"/>
  <c r="A365" i="5"/>
  <c r="A365" i="8" s="1"/>
  <c r="D364" i="5"/>
  <c r="F364" i="5" s="1"/>
  <c r="C364" i="5"/>
  <c r="E364" i="5" s="1"/>
  <c r="A364" i="5"/>
  <c r="E363" i="5"/>
  <c r="D363" i="5"/>
  <c r="F363" i="5" s="1"/>
  <c r="C363" i="5"/>
  <c r="A363" i="5"/>
  <c r="B363" i="5" s="1"/>
  <c r="E362" i="5"/>
  <c r="B362" i="8" s="1"/>
  <c r="D362" i="5"/>
  <c r="F362" i="5" s="1"/>
  <c r="C362" i="9" s="1"/>
  <c r="C362" i="5"/>
  <c r="A362" i="5"/>
  <c r="A362" i="7" s="1"/>
  <c r="D361" i="5"/>
  <c r="F361" i="5" s="1"/>
  <c r="C361" i="5"/>
  <c r="E361" i="5" s="1"/>
  <c r="B361" i="7" s="1"/>
  <c r="A361" i="5"/>
  <c r="D360" i="5"/>
  <c r="F360" i="5" s="1"/>
  <c r="C360" i="5"/>
  <c r="E360" i="5" s="1"/>
  <c r="A360" i="5"/>
  <c r="B360" i="5" s="1"/>
  <c r="D359" i="5"/>
  <c r="F359" i="5" s="1"/>
  <c r="C359" i="9" s="1"/>
  <c r="C359" i="5"/>
  <c r="E359" i="5" s="1"/>
  <c r="A359" i="5"/>
  <c r="A359" i="11" s="1"/>
  <c r="D358" i="5"/>
  <c r="F358" i="5" s="1"/>
  <c r="D358" i="11" s="1"/>
  <c r="C358" i="5"/>
  <c r="E358" i="5" s="1"/>
  <c r="A358" i="5"/>
  <c r="D357" i="5"/>
  <c r="F357" i="5" s="1"/>
  <c r="C357" i="5"/>
  <c r="E357" i="5" s="1"/>
  <c r="A357" i="5"/>
  <c r="D356" i="5"/>
  <c r="F356" i="5" s="1"/>
  <c r="C356" i="5"/>
  <c r="E356" i="5" s="1"/>
  <c r="A356" i="5"/>
  <c r="B356" i="5" s="1"/>
  <c r="D355" i="5"/>
  <c r="F355" i="5" s="1"/>
  <c r="C355" i="9" s="1"/>
  <c r="C355" i="5"/>
  <c r="E355" i="5" s="1"/>
  <c r="B355" i="8" s="1"/>
  <c r="A355" i="5"/>
  <c r="E354" i="5"/>
  <c r="C354" i="11" s="1"/>
  <c r="D354" i="5"/>
  <c r="F354" i="5" s="1"/>
  <c r="C354" i="7" s="1"/>
  <c r="C354" i="5"/>
  <c r="A354" i="5"/>
  <c r="D353" i="5"/>
  <c r="F353" i="5" s="1"/>
  <c r="C353" i="5"/>
  <c r="E353" i="5" s="1"/>
  <c r="A353" i="5"/>
  <c r="D352" i="5"/>
  <c r="F352" i="5" s="1"/>
  <c r="C352" i="5"/>
  <c r="E352" i="5" s="1"/>
  <c r="A352" i="5"/>
  <c r="C351" i="5"/>
  <c r="E351" i="5" s="1"/>
  <c r="A351" i="5"/>
  <c r="D350" i="5"/>
  <c r="F350" i="5" s="1"/>
  <c r="C350" i="5"/>
  <c r="E350" i="5" s="1"/>
  <c r="A350" i="5"/>
  <c r="A350" i="8" s="1"/>
  <c r="D349" i="5"/>
  <c r="F349" i="5" s="1"/>
  <c r="C349" i="7" s="1"/>
  <c r="C349" i="5"/>
  <c r="E349" i="5" s="1"/>
  <c r="B349" i="7" s="1"/>
  <c r="A349" i="5"/>
  <c r="A349" i="8" s="1"/>
  <c r="D348" i="5"/>
  <c r="F348" i="5" s="1"/>
  <c r="C348" i="7" s="1"/>
  <c r="C348" i="5"/>
  <c r="E348" i="5" s="1"/>
  <c r="A348" i="5"/>
  <c r="D347" i="5"/>
  <c r="F347" i="5" s="1"/>
  <c r="C347" i="5"/>
  <c r="E347" i="5" s="1"/>
  <c r="A347" i="5"/>
  <c r="B347" i="5" s="1"/>
  <c r="F346" i="5"/>
  <c r="D346" i="5"/>
  <c r="C346" i="5"/>
  <c r="E346" i="5" s="1"/>
  <c r="A346" i="5"/>
  <c r="B346" i="5" s="1"/>
  <c r="L346" i="9" s="1"/>
  <c r="E345" i="5"/>
  <c r="D345" i="5"/>
  <c r="F345" i="5" s="1"/>
  <c r="C345" i="5"/>
  <c r="A345" i="5"/>
  <c r="A345" i="8" s="1"/>
  <c r="D344" i="5"/>
  <c r="F344" i="5" s="1"/>
  <c r="A344" i="5"/>
  <c r="A344" i="9" s="1"/>
  <c r="D343" i="5"/>
  <c r="F343" i="5" s="1"/>
  <c r="C343" i="5"/>
  <c r="E343" i="5" s="1"/>
  <c r="B343" i="5"/>
  <c r="B343" i="11" s="1"/>
  <c r="A343" i="5"/>
  <c r="A343" i="11" s="1"/>
  <c r="D342" i="5"/>
  <c r="F342" i="5" s="1"/>
  <c r="C342" i="5"/>
  <c r="E342" i="5" s="1"/>
  <c r="B342" i="8" s="1"/>
  <c r="A342" i="5"/>
  <c r="A342" i="8" s="1"/>
  <c r="D341" i="5"/>
  <c r="F341" i="5" s="1"/>
  <c r="C341" i="5"/>
  <c r="E341" i="5" s="1"/>
  <c r="A341" i="5"/>
  <c r="E340" i="5"/>
  <c r="B340" i="7" s="1"/>
  <c r="D340" i="5"/>
  <c r="F340" i="5" s="1"/>
  <c r="C340" i="9" s="1"/>
  <c r="C340" i="5"/>
  <c r="A340" i="5"/>
  <c r="B340" i="5" s="1"/>
  <c r="F339" i="5"/>
  <c r="E339" i="5"/>
  <c r="C339" i="11" s="1"/>
  <c r="D339" i="5"/>
  <c r="C339" i="5"/>
  <c r="A339" i="5"/>
  <c r="A339" i="11" s="1"/>
  <c r="D338" i="5"/>
  <c r="F338" i="5" s="1"/>
  <c r="C338" i="9" s="1"/>
  <c r="C338" i="5"/>
  <c r="E338" i="5" s="1"/>
  <c r="B338" i="8" s="1"/>
  <c r="A338" i="5"/>
  <c r="D337" i="5"/>
  <c r="F337" i="5" s="1"/>
  <c r="C337" i="5"/>
  <c r="E337" i="5" s="1"/>
  <c r="B337" i="5"/>
  <c r="A337" i="5"/>
  <c r="F336" i="5"/>
  <c r="D336" i="5"/>
  <c r="C336" i="5"/>
  <c r="E336" i="5" s="1"/>
  <c r="A336" i="5"/>
  <c r="A336" i="7" s="1"/>
  <c r="F335" i="5"/>
  <c r="C335" i="7" s="1"/>
  <c r="D335" i="5"/>
  <c r="C335" i="5"/>
  <c r="E335" i="5" s="1"/>
  <c r="B335" i="8" s="1"/>
  <c r="A335" i="5"/>
  <c r="A335" i="8" s="1"/>
  <c r="D334" i="5"/>
  <c r="F334" i="5" s="1"/>
  <c r="C334" i="5"/>
  <c r="E334" i="5" s="1"/>
  <c r="A334" i="5"/>
  <c r="C333" i="5"/>
  <c r="E333" i="5" s="1"/>
  <c r="A333" i="5"/>
  <c r="B333" i="5" s="1"/>
  <c r="D332" i="5"/>
  <c r="F332" i="5" s="1"/>
  <c r="C332" i="5"/>
  <c r="E332" i="5" s="1"/>
  <c r="A332" i="5"/>
  <c r="F331" i="5"/>
  <c r="D331" i="11" s="1"/>
  <c r="D331" i="5"/>
  <c r="C331" i="5"/>
  <c r="E331" i="5" s="1"/>
  <c r="B331" i="5"/>
  <c r="A331" i="5"/>
  <c r="D330" i="5"/>
  <c r="F330" i="5" s="1"/>
  <c r="C330" i="5"/>
  <c r="E330" i="5" s="1"/>
  <c r="A330" i="5"/>
  <c r="D329" i="5"/>
  <c r="F329" i="5" s="1"/>
  <c r="C329" i="9" s="1"/>
  <c r="C329" i="5"/>
  <c r="E329" i="5" s="1"/>
  <c r="A329" i="5"/>
  <c r="A329" i="9" s="1"/>
  <c r="D328" i="5"/>
  <c r="F328" i="5" s="1"/>
  <c r="C328" i="5"/>
  <c r="E328" i="5" s="1"/>
  <c r="A328" i="5"/>
  <c r="D327" i="5"/>
  <c r="F327" i="5" s="1"/>
  <c r="C327" i="5"/>
  <c r="E327" i="5" s="1"/>
  <c r="B327" i="7" s="1"/>
  <c r="A327" i="5"/>
  <c r="A327" i="9" s="1"/>
  <c r="D326" i="5"/>
  <c r="F326" i="5" s="1"/>
  <c r="C326" i="5"/>
  <c r="E326" i="5" s="1"/>
  <c r="B326" i="7" s="1"/>
  <c r="A326" i="5"/>
  <c r="D325" i="5"/>
  <c r="F325" i="5" s="1"/>
  <c r="C325" i="8" s="1"/>
  <c r="C325" i="5"/>
  <c r="E325" i="5" s="1"/>
  <c r="B325" i="8" s="1"/>
  <c r="A325" i="5"/>
  <c r="A325" i="7" s="1"/>
  <c r="D324" i="5"/>
  <c r="F324" i="5" s="1"/>
  <c r="C324" i="5"/>
  <c r="E324" i="5" s="1"/>
  <c r="B324" i="5"/>
  <c r="A324" i="5"/>
  <c r="E323" i="5"/>
  <c r="B323" i="8" s="1"/>
  <c r="D323" i="5"/>
  <c r="F323" i="5" s="1"/>
  <c r="C323" i="5"/>
  <c r="A323" i="5"/>
  <c r="E322" i="5"/>
  <c r="D322" i="5"/>
  <c r="F322" i="5" s="1"/>
  <c r="C322" i="5"/>
  <c r="B322" i="5"/>
  <c r="A322" i="5"/>
  <c r="D321" i="5"/>
  <c r="F321" i="5" s="1"/>
  <c r="C321" i="5"/>
  <c r="E321" i="5" s="1"/>
  <c r="C321" i="11" s="1"/>
  <c r="A321" i="5"/>
  <c r="B321" i="5" s="1"/>
  <c r="F320" i="5"/>
  <c r="E320" i="5"/>
  <c r="D320" i="5"/>
  <c r="C320" i="5"/>
  <c r="A320" i="5"/>
  <c r="D319" i="5"/>
  <c r="F319" i="5" s="1"/>
  <c r="C319" i="8" s="1"/>
  <c r="C319" i="5"/>
  <c r="E319" i="5" s="1"/>
  <c r="B319" i="5"/>
  <c r="A319" i="5"/>
  <c r="A319" i="11" s="1"/>
  <c r="D318" i="5"/>
  <c r="F318" i="5" s="1"/>
  <c r="C318" i="9" s="1"/>
  <c r="C318" i="5"/>
  <c r="E318" i="5" s="1"/>
  <c r="C318" i="11" s="1"/>
  <c r="A318" i="5"/>
  <c r="D317" i="5"/>
  <c r="F317" i="5" s="1"/>
  <c r="D317" i="11" s="1"/>
  <c r="C317" i="5"/>
  <c r="E317" i="5" s="1"/>
  <c r="B317" i="5"/>
  <c r="A317" i="5"/>
  <c r="D316" i="5"/>
  <c r="F316" i="5" s="1"/>
  <c r="A316" i="5"/>
  <c r="B316" i="5" s="1"/>
  <c r="F315" i="5"/>
  <c r="C315" i="7" s="1"/>
  <c r="D315" i="5"/>
  <c r="C315" i="5"/>
  <c r="E315" i="5" s="1"/>
  <c r="B315" i="8" s="1"/>
  <c r="A315" i="5"/>
  <c r="A315" i="8" s="1"/>
  <c r="D314" i="5"/>
  <c r="F314" i="5" s="1"/>
  <c r="C314" i="9" s="1"/>
  <c r="C314" i="5"/>
  <c r="E314" i="5" s="1"/>
  <c r="A314" i="5"/>
  <c r="A314" i="8" s="1"/>
  <c r="E313" i="5"/>
  <c r="D313" i="5"/>
  <c r="F313" i="5" s="1"/>
  <c r="C313" i="5"/>
  <c r="A313" i="5"/>
  <c r="D312" i="5"/>
  <c r="F312" i="5" s="1"/>
  <c r="C312" i="5"/>
  <c r="E312" i="5" s="1"/>
  <c r="B312" i="7" s="1"/>
  <c r="A312" i="5"/>
  <c r="D311" i="5"/>
  <c r="F311" i="5" s="1"/>
  <c r="C311" i="5"/>
  <c r="E311" i="5" s="1"/>
  <c r="A311" i="5"/>
  <c r="A311" i="11" s="1"/>
  <c r="D310" i="5"/>
  <c r="F310" i="5" s="1"/>
  <c r="C310" i="5"/>
  <c r="E310" i="5" s="1"/>
  <c r="A310" i="5"/>
  <c r="F309" i="5"/>
  <c r="C309" i="8" s="1"/>
  <c r="D309" i="5"/>
  <c r="C309" i="5"/>
  <c r="E309" i="5" s="1"/>
  <c r="B309" i="8" s="1"/>
  <c r="B309" i="5"/>
  <c r="A309" i="5"/>
  <c r="A309" i="9" s="1"/>
  <c r="D308" i="5"/>
  <c r="F308" i="5" s="1"/>
  <c r="C308" i="5"/>
  <c r="E308" i="5" s="1"/>
  <c r="B308" i="8" s="1"/>
  <c r="A308" i="5"/>
  <c r="E307" i="5"/>
  <c r="D307" i="5"/>
  <c r="F307" i="5" s="1"/>
  <c r="C307" i="5"/>
  <c r="A307" i="5"/>
  <c r="A307" i="7" s="1"/>
  <c r="D306" i="5"/>
  <c r="F306" i="5" s="1"/>
  <c r="C306" i="5"/>
  <c r="E306" i="5" s="1"/>
  <c r="A306" i="5"/>
  <c r="B306" i="5" s="1"/>
  <c r="E305" i="5"/>
  <c r="D305" i="5"/>
  <c r="F305" i="5" s="1"/>
  <c r="C305" i="5"/>
  <c r="A305" i="5"/>
  <c r="B305" i="5" s="1"/>
  <c r="B305" i="11" s="1"/>
  <c r="D304" i="5"/>
  <c r="F304" i="5" s="1"/>
  <c r="D304" i="11" s="1"/>
  <c r="C304" i="5"/>
  <c r="E304" i="5" s="1"/>
  <c r="B304" i="9" s="1"/>
  <c r="A304" i="5"/>
  <c r="A304" i="9" s="1"/>
  <c r="E303" i="5"/>
  <c r="D303" i="5"/>
  <c r="F303" i="5" s="1"/>
  <c r="A303" i="5"/>
  <c r="D302" i="5"/>
  <c r="F302" i="5" s="1"/>
  <c r="C302" i="5"/>
  <c r="E302" i="5" s="1"/>
  <c r="B302" i="5"/>
  <c r="A302" i="5"/>
  <c r="D301" i="5"/>
  <c r="F301" i="5" s="1"/>
  <c r="C301" i="5"/>
  <c r="E301" i="5" s="1"/>
  <c r="A301" i="5"/>
  <c r="B301" i="5" s="1"/>
  <c r="D300" i="5"/>
  <c r="F300" i="5" s="1"/>
  <c r="C300" i="8" s="1"/>
  <c r="C300" i="5"/>
  <c r="E300" i="5" s="1"/>
  <c r="B300" i="8" s="1"/>
  <c r="A300" i="5"/>
  <c r="A300" i="8" s="1"/>
  <c r="D299" i="5"/>
  <c r="F299" i="5" s="1"/>
  <c r="C299" i="5"/>
  <c r="E299" i="5" s="1"/>
  <c r="A299" i="5"/>
  <c r="A299" i="11" s="1"/>
  <c r="D298" i="5"/>
  <c r="F298" i="5" s="1"/>
  <c r="C298" i="5"/>
  <c r="E298" i="5" s="1"/>
  <c r="A298" i="5"/>
  <c r="A298" i="8" s="1"/>
  <c r="D297" i="5"/>
  <c r="F297" i="5" s="1"/>
  <c r="C297" i="5"/>
  <c r="E297" i="5" s="1"/>
  <c r="A297" i="5"/>
  <c r="D296" i="5"/>
  <c r="F296" i="5" s="1"/>
  <c r="C296" i="5"/>
  <c r="E296" i="5" s="1"/>
  <c r="A296" i="5"/>
  <c r="D295" i="5"/>
  <c r="F295" i="5" s="1"/>
  <c r="C295" i="5"/>
  <c r="E295" i="5" s="1"/>
  <c r="A295" i="5"/>
  <c r="A295" i="8" s="1"/>
  <c r="E294" i="5"/>
  <c r="D294" i="5"/>
  <c r="F294" i="5" s="1"/>
  <c r="C294" i="5"/>
  <c r="A294" i="5"/>
  <c r="A294" i="9" s="1"/>
  <c r="F293" i="5"/>
  <c r="D293" i="11" s="1"/>
  <c r="D293" i="5"/>
  <c r="C293" i="5"/>
  <c r="E293" i="5" s="1"/>
  <c r="A293" i="5"/>
  <c r="A293" i="11" s="1"/>
  <c r="D292" i="5"/>
  <c r="F292" i="5" s="1"/>
  <c r="C292" i="5"/>
  <c r="E292" i="5" s="1"/>
  <c r="A292" i="5"/>
  <c r="F291" i="5"/>
  <c r="D291" i="5"/>
  <c r="C291" i="5"/>
  <c r="E291" i="5" s="1"/>
  <c r="C291" i="11" s="1"/>
  <c r="A291" i="5"/>
  <c r="D290" i="5"/>
  <c r="F290" i="5" s="1"/>
  <c r="C290" i="5"/>
  <c r="E290" i="5" s="1"/>
  <c r="C290" i="11" s="1"/>
  <c r="A290" i="5"/>
  <c r="A290" i="11" s="1"/>
  <c r="D289" i="5"/>
  <c r="F289" i="5" s="1"/>
  <c r="C289" i="5"/>
  <c r="E289" i="5" s="1"/>
  <c r="B289" i="5"/>
  <c r="A289" i="5"/>
  <c r="A289" i="8" s="1"/>
  <c r="D288" i="5"/>
  <c r="F288" i="5" s="1"/>
  <c r="D288" i="11" s="1"/>
  <c r="C288" i="5"/>
  <c r="E288" i="5" s="1"/>
  <c r="C288" i="11" s="1"/>
  <c r="A288" i="5"/>
  <c r="D287" i="5"/>
  <c r="F287" i="5" s="1"/>
  <c r="C287" i="5"/>
  <c r="E287" i="5" s="1"/>
  <c r="A287" i="5"/>
  <c r="B287" i="5" s="1"/>
  <c r="D286" i="5"/>
  <c r="F286" i="5" s="1"/>
  <c r="A286" i="5"/>
  <c r="B286" i="5" s="1"/>
  <c r="F285" i="5"/>
  <c r="D285" i="5"/>
  <c r="C285" i="5"/>
  <c r="E285" i="5" s="1"/>
  <c r="B285" i="8" s="1"/>
  <c r="A285" i="5"/>
  <c r="A285" i="7" s="1"/>
  <c r="D284" i="5"/>
  <c r="F284" i="5" s="1"/>
  <c r="C284" i="5"/>
  <c r="E284" i="5" s="1"/>
  <c r="A284" i="5"/>
  <c r="D283" i="5"/>
  <c r="F283" i="5" s="1"/>
  <c r="C283" i="5"/>
  <c r="E283" i="5" s="1"/>
  <c r="A283" i="5"/>
  <c r="D282" i="5"/>
  <c r="F282" i="5" s="1"/>
  <c r="C282" i="7" s="1"/>
  <c r="C282" i="5"/>
  <c r="E282" i="5" s="1"/>
  <c r="B282" i="7" s="1"/>
  <c r="A282" i="5"/>
  <c r="B282" i="5" s="1"/>
  <c r="D281" i="5"/>
  <c r="F281" i="5" s="1"/>
  <c r="C281" i="5"/>
  <c r="E281" i="5" s="1"/>
  <c r="A281" i="5"/>
  <c r="D280" i="5"/>
  <c r="F280" i="5" s="1"/>
  <c r="C280" i="5"/>
  <c r="E280" i="5" s="1"/>
  <c r="A280" i="5"/>
  <c r="F279" i="5"/>
  <c r="E279" i="5"/>
  <c r="B279" i="8" s="1"/>
  <c r="D279" i="5"/>
  <c r="C279" i="5"/>
  <c r="A279" i="5"/>
  <c r="A279" i="7" s="1"/>
  <c r="D278" i="5"/>
  <c r="F278" i="5" s="1"/>
  <c r="C278" i="5"/>
  <c r="E278" i="5" s="1"/>
  <c r="A278" i="5"/>
  <c r="D277" i="5"/>
  <c r="F277" i="5" s="1"/>
  <c r="C277" i="5"/>
  <c r="E277" i="5" s="1"/>
  <c r="A277" i="5"/>
  <c r="A277" i="8" s="1"/>
  <c r="D276" i="5"/>
  <c r="F276" i="5" s="1"/>
  <c r="C276" i="5"/>
  <c r="E276" i="5" s="1"/>
  <c r="A276" i="5"/>
  <c r="D275" i="5"/>
  <c r="F275" i="5" s="1"/>
  <c r="C275" i="5"/>
  <c r="E275" i="5" s="1"/>
  <c r="B275" i="7" s="1"/>
  <c r="A275" i="5"/>
  <c r="D274" i="5"/>
  <c r="F274" i="5" s="1"/>
  <c r="C274" i="5"/>
  <c r="E274" i="5" s="1"/>
  <c r="B274" i="8" s="1"/>
  <c r="A274" i="5"/>
  <c r="A274" i="8" s="1"/>
  <c r="D273" i="5"/>
  <c r="F273" i="5" s="1"/>
  <c r="C273" i="5"/>
  <c r="E273" i="5" s="1"/>
  <c r="A273" i="5"/>
  <c r="A273" i="7" s="1"/>
  <c r="E272" i="5"/>
  <c r="D272" i="5"/>
  <c r="F272" i="5" s="1"/>
  <c r="C272" i="5"/>
  <c r="B272" i="5"/>
  <c r="A272" i="5"/>
  <c r="F271" i="5"/>
  <c r="D271" i="5"/>
  <c r="C271" i="5"/>
  <c r="E271" i="5" s="1"/>
  <c r="C271" i="11" s="1"/>
  <c r="B271" i="5"/>
  <c r="A271" i="5"/>
  <c r="D270" i="5"/>
  <c r="F270" i="5" s="1"/>
  <c r="C270" i="9" s="1"/>
  <c r="C270" i="5"/>
  <c r="E270" i="5" s="1"/>
  <c r="B270" i="5"/>
  <c r="A270" i="5"/>
  <c r="D269" i="5"/>
  <c r="F269" i="5" s="1"/>
  <c r="C269" i="9" s="1"/>
  <c r="C269" i="5"/>
  <c r="E269" i="5" s="1"/>
  <c r="B269" i="7" s="1"/>
  <c r="A269" i="5"/>
  <c r="D268" i="5"/>
  <c r="F268" i="5" s="1"/>
  <c r="C268" i="5"/>
  <c r="E268" i="5" s="1"/>
  <c r="A268" i="5"/>
  <c r="A268" i="7" s="1"/>
  <c r="D267" i="5"/>
  <c r="F267" i="5" s="1"/>
  <c r="C267" i="5"/>
  <c r="E267" i="5" s="1"/>
  <c r="C267" i="11" s="1"/>
  <c r="A267" i="5"/>
  <c r="D266" i="5"/>
  <c r="F266" i="5" s="1"/>
  <c r="B266" i="5"/>
  <c r="A266" i="5"/>
  <c r="A266" i="9" s="1"/>
  <c r="D265" i="5"/>
  <c r="F265" i="5" s="1"/>
  <c r="C265" i="5"/>
  <c r="E265" i="5" s="1"/>
  <c r="A265" i="5"/>
  <c r="D264" i="5"/>
  <c r="F264" i="5" s="1"/>
  <c r="C264" i="9" s="1"/>
  <c r="C264" i="5"/>
  <c r="E264" i="5" s="1"/>
  <c r="A264" i="5"/>
  <c r="A264" i="8" s="1"/>
  <c r="E263" i="5"/>
  <c r="D263" i="5"/>
  <c r="F263" i="5" s="1"/>
  <c r="C263" i="9" s="1"/>
  <c r="C263" i="5"/>
  <c r="A263" i="5"/>
  <c r="E262" i="5"/>
  <c r="D262" i="5"/>
  <c r="F262" i="5" s="1"/>
  <c r="C262" i="5"/>
  <c r="B262" i="5"/>
  <c r="A262" i="5"/>
  <c r="A262" i="7" s="1"/>
  <c r="C261" i="5"/>
  <c r="E261" i="5" s="1"/>
  <c r="B261" i="5"/>
  <c r="A261" i="5"/>
  <c r="E260" i="5"/>
  <c r="D260" i="5"/>
  <c r="F260" i="5" s="1"/>
  <c r="C260" i="5"/>
  <c r="A260" i="5"/>
  <c r="A260" i="7" s="1"/>
  <c r="F259" i="5"/>
  <c r="D259" i="11" s="1"/>
  <c r="D259" i="5"/>
  <c r="C259" i="5"/>
  <c r="E259" i="5" s="1"/>
  <c r="C259" i="11" s="1"/>
  <c r="A259" i="5"/>
  <c r="A259" i="11" s="1"/>
  <c r="D258" i="5"/>
  <c r="F258" i="5" s="1"/>
  <c r="C258" i="5"/>
  <c r="E258" i="5" s="1"/>
  <c r="A258" i="5"/>
  <c r="D257" i="5"/>
  <c r="F257" i="5" s="1"/>
  <c r="C257" i="5"/>
  <c r="E257" i="5" s="1"/>
  <c r="A257" i="5"/>
  <c r="A257" i="8" s="1"/>
  <c r="F256" i="5"/>
  <c r="D256" i="11" s="1"/>
  <c r="E256" i="5"/>
  <c r="D256" i="5"/>
  <c r="C256" i="5"/>
  <c r="A256" i="5"/>
  <c r="D255" i="5"/>
  <c r="F255" i="5" s="1"/>
  <c r="C255" i="8" s="1"/>
  <c r="C255" i="5"/>
  <c r="E255" i="5" s="1"/>
  <c r="B255" i="8" s="1"/>
  <c r="A255" i="5"/>
  <c r="A255" i="8" s="1"/>
  <c r="D254" i="5"/>
  <c r="F254" i="5" s="1"/>
  <c r="C254" i="9" s="1"/>
  <c r="C254" i="5"/>
  <c r="E254" i="5" s="1"/>
  <c r="A254" i="5"/>
  <c r="D253" i="5"/>
  <c r="F253" i="5" s="1"/>
  <c r="C253" i="5"/>
  <c r="E253" i="5" s="1"/>
  <c r="A253" i="5"/>
  <c r="F252" i="5"/>
  <c r="E252" i="5"/>
  <c r="B252" i="7" s="1"/>
  <c r="D252" i="5"/>
  <c r="C252" i="5"/>
  <c r="B252" i="5"/>
  <c r="A252" i="5"/>
  <c r="F251" i="5"/>
  <c r="D251" i="5"/>
  <c r="C251" i="5"/>
  <c r="E251" i="5" s="1"/>
  <c r="C251" i="11" s="1"/>
  <c r="A251" i="5"/>
  <c r="A251" i="11" s="1"/>
  <c r="D250" i="5"/>
  <c r="F250" i="5" s="1"/>
  <c r="C250" i="5"/>
  <c r="E250" i="5" s="1"/>
  <c r="A250" i="5"/>
  <c r="A250" i="7" s="1"/>
  <c r="E249" i="5"/>
  <c r="D249" i="5"/>
  <c r="F249" i="5" s="1"/>
  <c r="C249" i="5"/>
  <c r="A249" i="5"/>
  <c r="D248" i="5"/>
  <c r="F248" i="5" s="1"/>
  <c r="C248" i="9" s="1"/>
  <c r="C248" i="5"/>
  <c r="E248" i="5" s="1"/>
  <c r="B248" i="9" s="1"/>
  <c r="A248" i="5"/>
  <c r="A248" i="9" s="1"/>
  <c r="D247" i="5"/>
  <c r="F247" i="5" s="1"/>
  <c r="C247" i="5"/>
  <c r="E247" i="5" s="1"/>
  <c r="B247" i="8" s="1"/>
  <c r="A247" i="5"/>
  <c r="A247" i="8" s="1"/>
  <c r="D246" i="5"/>
  <c r="F246" i="5" s="1"/>
  <c r="C246" i="5"/>
  <c r="E246" i="5" s="1"/>
  <c r="A246" i="5"/>
  <c r="D245" i="5"/>
  <c r="F245" i="5" s="1"/>
  <c r="C245" i="9" s="1"/>
  <c r="C245" i="5"/>
  <c r="E245" i="5" s="1"/>
  <c r="A245" i="5"/>
  <c r="D244" i="5"/>
  <c r="F244" i="5" s="1"/>
  <c r="C244" i="5"/>
  <c r="E244" i="5" s="1"/>
  <c r="A244" i="5"/>
  <c r="D243" i="5"/>
  <c r="F243" i="5" s="1"/>
  <c r="C243" i="5"/>
  <c r="E243" i="5" s="1"/>
  <c r="A243" i="5"/>
  <c r="D242" i="5"/>
  <c r="F242" i="5" s="1"/>
  <c r="C242" i="5"/>
  <c r="E242" i="5" s="1"/>
  <c r="B242" i="8" s="1"/>
  <c r="A242" i="5"/>
  <c r="C241" i="5"/>
  <c r="E241" i="5" s="1"/>
  <c r="A241" i="5"/>
  <c r="B241" i="5" s="1"/>
  <c r="D240" i="5"/>
  <c r="F240" i="5" s="1"/>
  <c r="C240" i="5"/>
  <c r="E240" i="5" s="1"/>
  <c r="A240" i="5"/>
  <c r="D239" i="5"/>
  <c r="F239" i="5" s="1"/>
  <c r="C239" i="7" s="1"/>
  <c r="C239" i="5"/>
  <c r="E239" i="5" s="1"/>
  <c r="B239" i="7" s="1"/>
  <c r="B239" i="5"/>
  <c r="A239" i="5"/>
  <c r="D238" i="5"/>
  <c r="F238" i="5" s="1"/>
  <c r="C238" i="9" s="1"/>
  <c r="C238" i="5"/>
  <c r="E238" i="5" s="1"/>
  <c r="B238" i="9" s="1"/>
  <c r="A238" i="5"/>
  <c r="A238" i="9" s="1"/>
  <c r="D237" i="5"/>
  <c r="F237" i="5" s="1"/>
  <c r="C237" i="5"/>
  <c r="E237" i="5" s="1"/>
  <c r="A237" i="5"/>
  <c r="B237" i="5" s="1"/>
  <c r="D236" i="5"/>
  <c r="F236" i="5" s="1"/>
  <c r="C236" i="5"/>
  <c r="E236" i="5" s="1"/>
  <c r="A236" i="5"/>
  <c r="A236" i="11" s="1"/>
  <c r="D235" i="5"/>
  <c r="F235" i="5" s="1"/>
  <c r="C235" i="5"/>
  <c r="E235" i="5" s="1"/>
  <c r="B235" i="8" s="1"/>
  <c r="A235" i="5"/>
  <c r="D234" i="5"/>
  <c r="F234" i="5" s="1"/>
  <c r="C234" i="8" s="1"/>
  <c r="C234" i="5"/>
  <c r="E234" i="5" s="1"/>
  <c r="A234" i="5"/>
  <c r="D233" i="5"/>
  <c r="F233" i="5" s="1"/>
  <c r="C233" i="5"/>
  <c r="E233" i="5" s="1"/>
  <c r="B233" i="5"/>
  <c r="B233" i="11" s="1"/>
  <c r="A233" i="5"/>
  <c r="A233" i="7" s="1"/>
  <c r="D232" i="5"/>
  <c r="F232" i="5" s="1"/>
  <c r="C232" i="7" s="1"/>
  <c r="C232" i="5"/>
  <c r="E232" i="5" s="1"/>
  <c r="A232" i="5"/>
  <c r="A232" i="8" s="1"/>
  <c r="F231" i="5"/>
  <c r="C231" i="7" s="1"/>
  <c r="D231" i="5"/>
  <c r="C231" i="5"/>
  <c r="E231" i="5" s="1"/>
  <c r="A231" i="5"/>
  <c r="B231" i="5" s="1"/>
  <c r="D230" i="5"/>
  <c r="F230" i="5" s="1"/>
  <c r="C230" i="5"/>
  <c r="E230" i="5" s="1"/>
  <c r="A230" i="5"/>
  <c r="D229" i="5"/>
  <c r="F229" i="5" s="1"/>
  <c r="C229" i="5"/>
  <c r="E229" i="5" s="1"/>
  <c r="B229" i="5"/>
  <c r="A229" i="5"/>
  <c r="A229" i="9" s="1"/>
  <c r="A229" i="20" s="1"/>
  <c r="D228" i="5"/>
  <c r="F228" i="5" s="1"/>
  <c r="C228" i="5"/>
  <c r="E228" i="5" s="1"/>
  <c r="B228" i="8" s="1"/>
  <c r="A228" i="5"/>
  <c r="D227" i="5"/>
  <c r="F227" i="5" s="1"/>
  <c r="C227" i="5"/>
  <c r="E227" i="5" s="1"/>
  <c r="A227" i="5"/>
  <c r="D226" i="5"/>
  <c r="F226" i="5" s="1"/>
  <c r="C226" i="8" s="1"/>
  <c r="C226" i="5"/>
  <c r="E226" i="5" s="1"/>
  <c r="A226" i="5"/>
  <c r="A226" i="8" s="1"/>
  <c r="D225" i="5"/>
  <c r="F225" i="5" s="1"/>
  <c r="C225" i="5"/>
  <c r="E225" i="5" s="1"/>
  <c r="B225" i="7" s="1"/>
  <c r="A225" i="5"/>
  <c r="D224" i="5"/>
  <c r="F224" i="5" s="1"/>
  <c r="C224" i="7" s="1"/>
  <c r="C224" i="5"/>
  <c r="E224" i="5" s="1"/>
  <c r="A224" i="5"/>
  <c r="F223" i="5"/>
  <c r="D223" i="5"/>
  <c r="C223" i="5"/>
  <c r="E223" i="5" s="1"/>
  <c r="A223" i="5"/>
  <c r="D222" i="5"/>
  <c r="F222" i="5" s="1"/>
  <c r="C222" i="5"/>
  <c r="E222" i="5" s="1"/>
  <c r="A222" i="5"/>
  <c r="A222" i="9" s="1"/>
  <c r="A222" i="19" s="1"/>
  <c r="C221" i="5"/>
  <c r="E221" i="5" s="1"/>
  <c r="C221" i="11" s="1"/>
  <c r="A221" i="5"/>
  <c r="A221" i="7" s="1"/>
  <c r="D220" i="5"/>
  <c r="F220" i="5" s="1"/>
  <c r="C220" i="5"/>
  <c r="E220" i="5" s="1"/>
  <c r="A220" i="5"/>
  <c r="B220" i="5" s="1"/>
  <c r="D219" i="5"/>
  <c r="F219" i="5" s="1"/>
  <c r="C219" i="5"/>
  <c r="E219" i="5" s="1"/>
  <c r="A219" i="5"/>
  <c r="B219" i="5" s="1"/>
  <c r="D218" i="5"/>
  <c r="F218" i="5" s="1"/>
  <c r="C218" i="9" s="1"/>
  <c r="C218" i="5"/>
  <c r="E218" i="5" s="1"/>
  <c r="A218" i="5"/>
  <c r="D217" i="5"/>
  <c r="F217" i="5" s="1"/>
  <c r="C217" i="8" s="1"/>
  <c r="C217" i="5"/>
  <c r="E217" i="5" s="1"/>
  <c r="B217" i="7" s="1"/>
  <c r="A217" i="5"/>
  <c r="D216" i="5"/>
  <c r="F216" i="5" s="1"/>
  <c r="C216" i="5"/>
  <c r="E216" i="5" s="1"/>
  <c r="B216" i="9" s="1"/>
  <c r="A216" i="5"/>
  <c r="A216" i="9" s="1"/>
  <c r="D215" i="5"/>
  <c r="F215" i="5" s="1"/>
  <c r="C215" i="9" s="1"/>
  <c r="C215" i="5"/>
  <c r="E215" i="5" s="1"/>
  <c r="A215" i="5"/>
  <c r="A215" i="7" s="1"/>
  <c r="D214" i="5"/>
  <c r="F214" i="5" s="1"/>
  <c r="C214" i="5"/>
  <c r="E214" i="5" s="1"/>
  <c r="A214" i="5"/>
  <c r="B214" i="5" s="1"/>
  <c r="L214" i="9" s="1"/>
  <c r="D213" i="5"/>
  <c r="F213" i="5" s="1"/>
  <c r="C213" i="5"/>
  <c r="E213" i="5" s="1"/>
  <c r="A213" i="5"/>
  <c r="B213" i="5" s="1"/>
  <c r="E212" i="5"/>
  <c r="D212" i="5"/>
  <c r="F212" i="5" s="1"/>
  <c r="C212" i="9" s="1"/>
  <c r="B212" i="5"/>
  <c r="A212" i="5"/>
  <c r="A212" i="9" s="1"/>
  <c r="D211" i="5"/>
  <c r="F211" i="5" s="1"/>
  <c r="C211" i="5"/>
  <c r="E211" i="5" s="1"/>
  <c r="C211" i="11" s="1"/>
  <c r="A211" i="5"/>
  <c r="D210" i="5"/>
  <c r="F210" i="5" s="1"/>
  <c r="C210" i="5"/>
  <c r="E210" i="5" s="1"/>
  <c r="B210" i="7" s="1"/>
  <c r="B210" i="5"/>
  <c r="A210" i="5"/>
  <c r="F209" i="5"/>
  <c r="D209" i="5"/>
  <c r="A209" i="5"/>
  <c r="A209" i="8" s="1"/>
  <c r="D208" i="5"/>
  <c r="F208" i="5" s="1"/>
  <c r="C208" i="5"/>
  <c r="E208" i="5" s="1"/>
  <c r="A208" i="5"/>
  <c r="D207" i="5"/>
  <c r="F207" i="5" s="1"/>
  <c r="C207" i="5"/>
  <c r="E207" i="5" s="1"/>
  <c r="A207" i="5"/>
  <c r="E206" i="5"/>
  <c r="D206" i="5"/>
  <c r="F206" i="5" s="1"/>
  <c r="C206" i="8" s="1"/>
  <c r="C206" i="5"/>
  <c r="A206" i="5"/>
  <c r="A206" i="11" s="1"/>
  <c r="D205" i="5"/>
  <c r="F205" i="5" s="1"/>
  <c r="C205" i="9" s="1"/>
  <c r="C205" i="5"/>
  <c r="E205" i="5" s="1"/>
  <c r="A205" i="5"/>
  <c r="A205" i="8" s="1"/>
  <c r="D204" i="5"/>
  <c r="F204" i="5" s="1"/>
  <c r="C204" i="5"/>
  <c r="E204" i="5" s="1"/>
  <c r="A204" i="5"/>
  <c r="D203" i="5"/>
  <c r="F203" i="5" s="1"/>
  <c r="C203" i="5"/>
  <c r="E203" i="5" s="1"/>
  <c r="A203" i="5"/>
  <c r="B203" i="5" s="1"/>
  <c r="D202" i="5"/>
  <c r="F202" i="5" s="1"/>
  <c r="C202" i="5"/>
  <c r="E202" i="5" s="1"/>
  <c r="A202" i="5"/>
  <c r="A202" i="9" s="1"/>
  <c r="F201" i="5"/>
  <c r="D201" i="5"/>
  <c r="C201" i="5"/>
  <c r="E201" i="5" s="1"/>
  <c r="A201" i="5"/>
  <c r="D200" i="5"/>
  <c r="F200" i="5" s="1"/>
  <c r="C200" i="5"/>
  <c r="E200" i="5" s="1"/>
  <c r="A200" i="5"/>
  <c r="D199" i="5"/>
  <c r="F199" i="5" s="1"/>
  <c r="C199" i="5"/>
  <c r="E199" i="5" s="1"/>
  <c r="A199" i="5"/>
  <c r="A199" i="11" s="1"/>
  <c r="D198" i="5"/>
  <c r="F198" i="5" s="1"/>
  <c r="C198" i="5"/>
  <c r="E198" i="5" s="1"/>
  <c r="A198" i="5"/>
  <c r="A198" i="9" s="1"/>
  <c r="D197" i="5"/>
  <c r="F197" i="5" s="1"/>
  <c r="C197" i="5"/>
  <c r="E197" i="5" s="1"/>
  <c r="A197" i="5"/>
  <c r="B197" i="5" s="1"/>
  <c r="D196" i="5"/>
  <c r="F196" i="5" s="1"/>
  <c r="C196" i="5"/>
  <c r="E196" i="5" s="1"/>
  <c r="A196" i="5"/>
  <c r="F195" i="5"/>
  <c r="D195" i="5"/>
  <c r="C195" i="5"/>
  <c r="E195" i="5" s="1"/>
  <c r="A195" i="5"/>
  <c r="B195" i="5" s="1"/>
  <c r="D194" i="5"/>
  <c r="F194" i="5" s="1"/>
  <c r="C194" i="5"/>
  <c r="E194" i="5" s="1"/>
  <c r="B194" i="5"/>
  <c r="L194" i="9" s="1"/>
  <c r="A194" i="5"/>
  <c r="D193" i="5"/>
  <c r="F193" i="5" s="1"/>
  <c r="C193" i="9" s="1"/>
  <c r="C193" i="5"/>
  <c r="E193" i="5" s="1"/>
  <c r="A193" i="5"/>
  <c r="B193" i="5" s="1"/>
  <c r="E192" i="5"/>
  <c r="D192" i="5"/>
  <c r="F192" i="5" s="1"/>
  <c r="C192" i="5"/>
  <c r="B192" i="5"/>
  <c r="A192" i="5"/>
  <c r="A192" i="9" s="1"/>
  <c r="D191" i="5"/>
  <c r="F191" i="5" s="1"/>
  <c r="C191" i="5"/>
  <c r="E191" i="5" s="1"/>
  <c r="B191" i="8" s="1"/>
  <c r="A191" i="5"/>
  <c r="F190" i="5"/>
  <c r="D190" i="11" s="1"/>
  <c r="D190" i="5"/>
  <c r="C190" i="5"/>
  <c r="E190" i="5" s="1"/>
  <c r="A190" i="5"/>
  <c r="F189" i="5"/>
  <c r="D189" i="5"/>
  <c r="C189" i="5"/>
  <c r="E189" i="5" s="1"/>
  <c r="B189" i="5"/>
  <c r="A189" i="5"/>
  <c r="A189" i="9" s="1"/>
  <c r="A189" i="19" s="1"/>
  <c r="D188" i="5"/>
  <c r="F188" i="5" s="1"/>
  <c r="C188" i="5"/>
  <c r="E188" i="5" s="1"/>
  <c r="A188" i="5"/>
  <c r="F187" i="5"/>
  <c r="D187" i="5"/>
  <c r="C187" i="5"/>
  <c r="E187" i="5" s="1"/>
  <c r="A187" i="5"/>
  <c r="A187" i="8" s="1"/>
  <c r="D186" i="5"/>
  <c r="F186" i="5" s="1"/>
  <c r="C186" i="5"/>
  <c r="E186" i="5" s="1"/>
  <c r="A186" i="5"/>
  <c r="D185" i="5"/>
  <c r="F185" i="5" s="1"/>
  <c r="C185" i="5"/>
  <c r="E185" i="5" s="1"/>
  <c r="A185" i="5"/>
  <c r="D184" i="5"/>
  <c r="F184" i="5" s="1"/>
  <c r="C184" i="5"/>
  <c r="E184" i="5" s="1"/>
  <c r="B184" i="8" s="1"/>
  <c r="A184" i="5"/>
  <c r="A184" i="8" s="1"/>
  <c r="F183" i="5"/>
  <c r="C183" i="9" s="1"/>
  <c r="D183" i="5"/>
  <c r="C183" i="5"/>
  <c r="E183" i="5" s="1"/>
  <c r="B183" i="7" s="1"/>
  <c r="A183" i="5"/>
  <c r="E182" i="5"/>
  <c r="D182" i="5"/>
  <c r="F182" i="5" s="1"/>
  <c r="C182" i="5"/>
  <c r="A182" i="5"/>
  <c r="D181" i="5"/>
  <c r="F181" i="5" s="1"/>
  <c r="C181" i="5"/>
  <c r="E181" i="5" s="1"/>
  <c r="A181" i="5"/>
  <c r="B181" i="5" s="1"/>
  <c r="D180" i="5"/>
  <c r="F180" i="5" s="1"/>
  <c r="C180" i="5"/>
  <c r="E180" i="5" s="1"/>
  <c r="B180" i="7" s="1"/>
  <c r="B180" i="5"/>
  <c r="A180" i="5"/>
  <c r="E179" i="5"/>
  <c r="B179" i="7" s="1"/>
  <c r="D179" i="5"/>
  <c r="F179" i="5" s="1"/>
  <c r="C179" i="5"/>
  <c r="B179" i="5"/>
  <c r="A179" i="5"/>
  <c r="A179" i="7" s="1"/>
  <c r="D178" i="5"/>
  <c r="F178" i="5" s="1"/>
  <c r="C178" i="5"/>
  <c r="E178" i="5" s="1"/>
  <c r="A178" i="5"/>
  <c r="D177" i="5"/>
  <c r="F177" i="5" s="1"/>
  <c r="C177" i="5"/>
  <c r="E177" i="5" s="1"/>
  <c r="A177" i="5"/>
  <c r="A177" i="7" s="1"/>
  <c r="E176" i="5"/>
  <c r="D176" i="5"/>
  <c r="F176" i="5" s="1"/>
  <c r="C176" i="8" s="1"/>
  <c r="C176" i="5"/>
  <c r="A176" i="5"/>
  <c r="D175" i="5"/>
  <c r="F175" i="5" s="1"/>
  <c r="C175" i="5"/>
  <c r="E175" i="5" s="1"/>
  <c r="A175" i="5"/>
  <c r="A175" i="7" s="1"/>
  <c r="D174" i="5"/>
  <c r="F174" i="5" s="1"/>
  <c r="C174" i="5"/>
  <c r="E174" i="5" s="1"/>
  <c r="A174" i="5"/>
  <c r="D173" i="5"/>
  <c r="F173" i="5" s="1"/>
  <c r="C173" i="5"/>
  <c r="E173" i="5" s="1"/>
  <c r="A173" i="5"/>
  <c r="F172" i="5"/>
  <c r="E172" i="5"/>
  <c r="D172" i="5"/>
  <c r="C172" i="5"/>
  <c r="A172" i="5"/>
  <c r="B172" i="5" s="1"/>
  <c r="D171" i="5"/>
  <c r="F171" i="5" s="1"/>
  <c r="C171" i="8" s="1"/>
  <c r="C171" i="5"/>
  <c r="E171" i="5" s="1"/>
  <c r="C171" i="11" s="1"/>
  <c r="A171" i="5"/>
  <c r="D170" i="5"/>
  <c r="F170" i="5" s="1"/>
  <c r="C170" i="5"/>
  <c r="E170" i="5" s="1"/>
  <c r="A170" i="5"/>
  <c r="A170" i="7" s="1"/>
  <c r="D169" i="5"/>
  <c r="F169" i="5" s="1"/>
  <c r="C169" i="5"/>
  <c r="E169" i="5" s="1"/>
  <c r="B169" i="5"/>
  <c r="A169" i="5"/>
  <c r="D168" i="5"/>
  <c r="F168" i="5" s="1"/>
  <c r="C168" i="7" s="1"/>
  <c r="C168" i="5"/>
  <c r="E168" i="5" s="1"/>
  <c r="B168" i="9" s="1"/>
  <c r="A168" i="5"/>
  <c r="A168" i="9" s="1"/>
  <c r="D167" i="5"/>
  <c r="F167" i="5" s="1"/>
  <c r="A167" i="5"/>
  <c r="A167" i="11" s="1"/>
  <c r="D166" i="5"/>
  <c r="F166" i="5" s="1"/>
  <c r="C166" i="9" s="1"/>
  <c r="C166" i="5"/>
  <c r="E166" i="5" s="1"/>
  <c r="A166" i="5"/>
  <c r="B166" i="5" s="1"/>
  <c r="D165" i="5"/>
  <c r="F165" i="5" s="1"/>
  <c r="C165" i="7" s="1"/>
  <c r="C165" i="5"/>
  <c r="E165" i="5" s="1"/>
  <c r="A165" i="5"/>
  <c r="A165" i="7" s="1"/>
  <c r="D164" i="5"/>
  <c r="F164" i="5" s="1"/>
  <c r="C164" i="5"/>
  <c r="E164" i="5" s="1"/>
  <c r="B164" i="8" s="1"/>
  <c r="A164" i="5"/>
  <c r="D163" i="5"/>
  <c r="F163" i="5" s="1"/>
  <c r="C163" i="9" s="1"/>
  <c r="E163" i="19" s="1"/>
  <c r="A163" i="5"/>
  <c r="E162" i="5"/>
  <c r="D162" i="5"/>
  <c r="F162" i="5" s="1"/>
  <c r="C162" i="5"/>
  <c r="B162" i="5"/>
  <c r="A162" i="5"/>
  <c r="F161" i="5"/>
  <c r="D161" i="5"/>
  <c r="C161" i="5"/>
  <c r="E161" i="5" s="1"/>
  <c r="B161" i="5"/>
  <c r="L161" i="9" s="1"/>
  <c r="B161" i="20" s="1"/>
  <c r="AL161" i="20" s="1"/>
  <c r="A161" i="5"/>
  <c r="A161" i="11" s="1"/>
  <c r="D160" i="5"/>
  <c r="F160" i="5" s="1"/>
  <c r="C160" i="5"/>
  <c r="E160" i="5" s="1"/>
  <c r="A160" i="5"/>
  <c r="A160" i="9" s="1"/>
  <c r="D159" i="5"/>
  <c r="F159" i="5" s="1"/>
  <c r="C159" i="5"/>
  <c r="E159" i="5" s="1"/>
  <c r="C159" i="11" s="1"/>
  <c r="A159" i="5"/>
  <c r="A159" i="11" s="1"/>
  <c r="D158" i="5"/>
  <c r="F158" i="5" s="1"/>
  <c r="C158" i="5"/>
  <c r="E158" i="5" s="1"/>
  <c r="A158" i="5"/>
  <c r="A158" i="8" s="1"/>
  <c r="F157" i="5"/>
  <c r="E157" i="5"/>
  <c r="D157" i="5"/>
  <c r="C157" i="5"/>
  <c r="B157" i="5"/>
  <c r="A157" i="5"/>
  <c r="D156" i="5"/>
  <c r="F156" i="5" s="1"/>
  <c r="C156" i="9" s="1"/>
  <c r="C156" i="5"/>
  <c r="E156" i="5" s="1"/>
  <c r="A156" i="5"/>
  <c r="A156" i="8" s="1"/>
  <c r="D155" i="5"/>
  <c r="F155" i="5" s="1"/>
  <c r="C155" i="7" s="1"/>
  <c r="C155" i="5"/>
  <c r="E155" i="5" s="1"/>
  <c r="B155" i="7" s="1"/>
  <c r="A155" i="5"/>
  <c r="A155" i="7" s="1"/>
  <c r="D154" i="5"/>
  <c r="F154" i="5" s="1"/>
  <c r="C154" i="8" s="1"/>
  <c r="C154" i="5"/>
  <c r="E154" i="5" s="1"/>
  <c r="B154" i="8" s="1"/>
  <c r="A154" i="5"/>
  <c r="B154" i="5" s="1"/>
  <c r="D153" i="5"/>
  <c r="F153" i="5" s="1"/>
  <c r="C153" i="5"/>
  <c r="E153" i="5" s="1"/>
  <c r="A153" i="5"/>
  <c r="A153" i="11" s="1"/>
  <c r="E152" i="5"/>
  <c r="D152" i="5"/>
  <c r="F152" i="5" s="1"/>
  <c r="C152" i="5"/>
  <c r="A152" i="5"/>
  <c r="B152" i="5" s="1"/>
  <c r="F151" i="5"/>
  <c r="C151" i="7" s="1"/>
  <c r="D151" i="5"/>
  <c r="C151" i="5"/>
  <c r="E151" i="5" s="1"/>
  <c r="B151" i="8" s="1"/>
  <c r="A151" i="5"/>
  <c r="A151" i="8" s="1"/>
  <c r="D150" i="5"/>
  <c r="F150" i="5" s="1"/>
  <c r="C150" i="5"/>
  <c r="E150" i="5" s="1"/>
  <c r="A150" i="5"/>
  <c r="D149" i="5"/>
  <c r="F149" i="5" s="1"/>
  <c r="C149" i="5"/>
  <c r="E149" i="5" s="1"/>
  <c r="A149" i="5"/>
  <c r="A149" i="7" s="1"/>
  <c r="D148" i="5"/>
  <c r="F148" i="5" s="1"/>
  <c r="C148" i="5"/>
  <c r="E148" i="5" s="1"/>
  <c r="B148" i="9" s="1"/>
  <c r="A148" i="5"/>
  <c r="D147" i="5"/>
  <c r="F147" i="5" s="1"/>
  <c r="C147" i="7" s="1"/>
  <c r="C147" i="5"/>
  <c r="E147" i="5" s="1"/>
  <c r="A147" i="5"/>
  <c r="A147" i="8" s="1"/>
  <c r="D146" i="5"/>
  <c r="F146" i="5" s="1"/>
  <c r="C146" i="5"/>
  <c r="E146" i="5" s="1"/>
  <c r="A146" i="5"/>
  <c r="F145" i="5"/>
  <c r="C145" i="9" s="1"/>
  <c r="D145" i="5"/>
  <c r="C145" i="5"/>
  <c r="E145" i="5" s="1"/>
  <c r="A145" i="5"/>
  <c r="A145" i="8" s="1"/>
  <c r="D144" i="5"/>
  <c r="F144" i="5" s="1"/>
  <c r="C144" i="8" s="1"/>
  <c r="C144" i="5"/>
  <c r="E144" i="5" s="1"/>
  <c r="A144" i="5"/>
  <c r="D143" i="5"/>
  <c r="F143" i="5" s="1"/>
  <c r="C143" i="5"/>
  <c r="E143" i="5" s="1"/>
  <c r="A143" i="5"/>
  <c r="A143" i="7" s="1"/>
  <c r="E142" i="5"/>
  <c r="D142" i="5"/>
  <c r="F142" i="5" s="1"/>
  <c r="C142" i="5"/>
  <c r="A142" i="5"/>
  <c r="A142" i="9" s="1"/>
  <c r="F141" i="5"/>
  <c r="C141" i="8" s="1"/>
  <c r="D141" i="5"/>
  <c r="C141" i="5"/>
  <c r="E141" i="5" s="1"/>
  <c r="A141" i="5"/>
  <c r="D140" i="5"/>
  <c r="F140" i="5" s="1"/>
  <c r="C140" i="5"/>
  <c r="E140" i="5" s="1"/>
  <c r="A140" i="5"/>
  <c r="E139" i="5"/>
  <c r="D139" i="5"/>
  <c r="F139" i="5" s="1"/>
  <c r="C139" i="7" s="1"/>
  <c r="C139" i="5"/>
  <c r="B139" i="5"/>
  <c r="A139" i="5"/>
  <c r="A139" i="11" s="1"/>
  <c r="D138" i="5"/>
  <c r="F138" i="5" s="1"/>
  <c r="C138" i="5"/>
  <c r="E138" i="5" s="1"/>
  <c r="A138" i="5"/>
  <c r="A138" i="8" s="1"/>
  <c r="D137" i="5"/>
  <c r="F137" i="5" s="1"/>
  <c r="C137" i="5"/>
  <c r="E137" i="5" s="1"/>
  <c r="A137" i="5"/>
  <c r="D136" i="5"/>
  <c r="F136" i="5" s="1"/>
  <c r="A136" i="5"/>
  <c r="F135" i="5"/>
  <c r="A135" i="5"/>
  <c r="A135" i="8" s="1"/>
  <c r="E134" i="5"/>
  <c r="B134" i="7" s="1"/>
  <c r="D134" i="5"/>
  <c r="F134" i="5" s="1"/>
  <c r="D134" i="11" s="1"/>
  <c r="C134" i="5"/>
  <c r="A134" i="5"/>
  <c r="A134" i="11" s="1"/>
  <c r="F133" i="5"/>
  <c r="D133" i="5"/>
  <c r="C133" i="5"/>
  <c r="E133" i="5" s="1"/>
  <c r="A133" i="5"/>
  <c r="E132" i="5"/>
  <c r="D132" i="5"/>
  <c r="F132" i="5" s="1"/>
  <c r="C132" i="5"/>
  <c r="A132" i="5"/>
  <c r="F131" i="5"/>
  <c r="D131" i="11" s="1"/>
  <c r="D131" i="5"/>
  <c r="C131" i="5"/>
  <c r="E131" i="5" s="1"/>
  <c r="B131" i="8" s="1"/>
  <c r="A131" i="5"/>
  <c r="D130" i="5"/>
  <c r="F130" i="5" s="1"/>
  <c r="C130" i="9" s="1"/>
  <c r="C130" i="5"/>
  <c r="E130" i="5" s="1"/>
  <c r="A130" i="5"/>
  <c r="B130" i="5" s="1"/>
  <c r="L130" i="9" s="1"/>
  <c r="D129" i="5"/>
  <c r="F129" i="5" s="1"/>
  <c r="C129" i="5"/>
  <c r="E129" i="5" s="1"/>
  <c r="A129" i="5"/>
  <c r="B129" i="5" s="1"/>
  <c r="D128" i="5"/>
  <c r="F128" i="5" s="1"/>
  <c r="C128" i="5"/>
  <c r="E128" i="5" s="1"/>
  <c r="A128" i="5"/>
  <c r="D127" i="5"/>
  <c r="F127" i="5" s="1"/>
  <c r="C127" i="5"/>
  <c r="E127" i="5" s="1"/>
  <c r="A127" i="5"/>
  <c r="B127" i="5" s="1"/>
  <c r="L127" i="9" s="1"/>
  <c r="D126" i="5"/>
  <c r="F126" i="5" s="1"/>
  <c r="C126" i="5"/>
  <c r="E126" i="5" s="1"/>
  <c r="B126" i="7" s="1"/>
  <c r="A126" i="5"/>
  <c r="A126" i="11" s="1"/>
  <c r="F125" i="5"/>
  <c r="D125" i="5"/>
  <c r="C125" i="5"/>
  <c r="E125" i="5" s="1"/>
  <c r="B125" i="7" s="1"/>
  <c r="A125" i="5"/>
  <c r="A125" i="7" s="1"/>
  <c r="D124" i="5"/>
  <c r="F124" i="5" s="1"/>
  <c r="C124" i="8" s="1"/>
  <c r="C124" i="5"/>
  <c r="E124" i="5" s="1"/>
  <c r="B124" i="9" s="1"/>
  <c r="A124" i="5"/>
  <c r="D123" i="5"/>
  <c r="F123" i="5" s="1"/>
  <c r="C123" i="5"/>
  <c r="E123" i="5" s="1"/>
  <c r="A123" i="5"/>
  <c r="E122" i="5"/>
  <c r="B122" i="8" s="1"/>
  <c r="D122" i="5"/>
  <c r="F122" i="5" s="1"/>
  <c r="C122" i="5"/>
  <c r="B122" i="5"/>
  <c r="A122" i="5"/>
  <c r="A122" i="9" s="1"/>
  <c r="A122" i="19" s="1"/>
  <c r="D121" i="5"/>
  <c r="F121" i="5" s="1"/>
  <c r="C121" i="5"/>
  <c r="E121" i="5" s="1"/>
  <c r="A121" i="5"/>
  <c r="A121" i="11" s="1"/>
  <c r="D120" i="5"/>
  <c r="F120" i="5" s="1"/>
  <c r="C120" i="5"/>
  <c r="E120" i="5" s="1"/>
  <c r="A120" i="5"/>
  <c r="A120" i="9" s="1"/>
  <c r="E119" i="5"/>
  <c r="D119" i="5"/>
  <c r="F119" i="5" s="1"/>
  <c r="C119" i="9" s="1"/>
  <c r="C119" i="5"/>
  <c r="B119" i="5"/>
  <c r="A119" i="5"/>
  <c r="A119" i="7" s="1"/>
  <c r="D118" i="5"/>
  <c r="F118" i="5" s="1"/>
  <c r="C118" i="5"/>
  <c r="E118" i="5" s="1"/>
  <c r="A118" i="5"/>
  <c r="A118" i="8" s="1"/>
  <c r="F117" i="5"/>
  <c r="C117" i="5"/>
  <c r="E117" i="5" s="1"/>
  <c r="A117" i="5"/>
  <c r="D116" i="5"/>
  <c r="F116" i="5" s="1"/>
  <c r="C116" i="5"/>
  <c r="E116" i="5" s="1"/>
  <c r="A116" i="5"/>
  <c r="D115" i="5"/>
  <c r="F115" i="5" s="1"/>
  <c r="C115" i="5"/>
  <c r="E115" i="5" s="1"/>
  <c r="A115" i="5"/>
  <c r="A115" i="7" s="1"/>
  <c r="D114" i="5"/>
  <c r="F114" i="5" s="1"/>
  <c r="C114" i="5"/>
  <c r="E114" i="5" s="1"/>
  <c r="A114" i="5"/>
  <c r="F113" i="5"/>
  <c r="D113" i="5"/>
  <c r="C113" i="5"/>
  <c r="E113" i="5" s="1"/>
  <c r="A113" i="5"/>
  <c r="D112" i="5"/>
  <c r="F112" i="5" s="1"/>
  <c r="C112" i="5"/>
  <c r="E112" i="5" s="1"/>
  <c r="A112" i="5"/>
  <c r="A112" i="9" s="1"/>
  <c r="A112" i="19" s="1"/>
  <c r="D111" i="5"/>
  <c r="F111" i="5" s="1"/>
  <c r="C111" i="8" s="1"/>
  <c r="C111" i="5"/>
  <c r="E111" i="5" s="1"/>
  <c r="C111" i="11" s="1"/>
  <c r="A111" i="5"/>
  <c r="A111" i="8" s="1"/>
  <c r="D110" i="5"/>
  <c r="F110" i="5" s="1"/>
  <c r="C110" i="5"/>
  <c r="E110" i="5" s="1"/>
  <c r="A110" i="5"/>
  <c r="B110" i="5" s="1"/>
  <c r="D109" i="5"/>
  <c r="F109" i="5" s="1"/>
  <c r="C109" i="5"/>
  <c r="E109" i="5" s="1"/>
  <c r="B109" i="5"/>
  <c r="A109" i="5"/>
  <c r="A109" i="8" s="1"/>
  <c r="D108" i="5"/>
  <c r="F108" i="5" s="1"/>
  <c r="C108" i="9" s="1"/>
  <c r="C108" i="5"/>
  <c r="E108" i="5" s="1"/>
  <c r="B108" i="9" s="1"/>
  <c r="A108" i="5"/>
  <c r="A108" i="9" s="1"/>
  <c r="D107" i="5"/>
  <c r="F107" i="5" s="1"/>
  <c r="C107" i="5"/>
  <c r="E107" i="5" s="1"/>
  <c r="C107" i="11" s="1"/>
  <c r="A107" i="5"/>
  <c r="A107" i="7" s="1"/>
  <c r="D106" i="5"/>
  <c r="F106" i="5" s="1"/>
  <c r="A106" i="5"/>
  <c r="D105" i="5"/>
  <c r="F105" i="5" s="1"/>
  <c r="A105" i="5"/>
  <c r="B105" i="5" s="1"/>
  <c r="C104" i="5"/>
  <c r="E104" i="5" s="1"/>
  <c r="B104" i="9" s="1"/>
  <c r="A104" i="5"/>
  <c r="D103" i="5"/>
  <c r="F103" i="5" s="1"/>
  <c r="C103" i="5"/>
  <c r="E103" i="5" s="1"/>
  <c r="B103" i="7" s="1"/>
  <c r="A103" i="5"/>
  <c r="A103" i="8" s="1"/>
  <c r="F102" i="5"/>
  <c r="E102" i="5"/>
  <c r="D102" i="5"/>
  <c r="B102" i="5"/>
  <c r="A102" i="5"/>
  <c r="C101" i="5"/>
  <c r="E101" i="5" s="1"/>
  <c r="A101" i="5"/>
  <c r="B101" i="5" s="1"/>
  <c r="D100" i="5"/>
  <c r="F100" i="5" s="1"/>
  <c r="C100" i="5"/>
  <c r="E100" i="5" s="1"/>
  <c r="A100" i="5"/>
  <c r="A100" i="11" s="1"/>
  <c r="D99" i="5"/>
  <c r="F99" i="5" s="1"/>
  <c r="C99" i="5"/>
  <c r="E99" i="5" s="1"/>
  <c r="B99" i="5"/>
  <c r="A99" i="5"/>
  <c r="A99" i="11" s="1"/>
  <c r="D98" i="5"/>
  <c r="F98" i="5" s="1"/>
  <c r="C98" i="8" s="1"/>
  <c r="C98" i="5"/>
  <c r="E98" i="5" s="1"/>
  <c r="B98" i="8" s="1"/>
  <c r="A98" i="5"/>
  <c r="E97" i="5"/>
  <c r="D97" i="5"/>
  <c r="F97" i="5" s="1"/>
  <c r="C97" i="5"/>
  <c r="B97" i="5"/>
  <c r="A97" i="5"/>
  <c r="D96" i="5"/>
  <c r="F96" i="5" s="1"/>
  <c r="B96" i="5"/>
  <c r="A96" i="5"/>
  <c r="A96" i="8" s="1"/>
  <c r="F95" i="5"/>
  <c r="D95" i="5"/>
  <c r="A95" i="5"/>
  <c r="D94" i="5"/>
  <c r="F94" i="5" s="1"/>
  <c r="C94" i="9" s="1"/>
  <c r="C94" i="5"/>
  <c r="E94" i="5" s="1"/>
  <c r="A94" i="5"/>
  <c r="D93" i="5"/>
  <c r="F93" i="5" s="1"/>
  <c r="C93" i="9" s="1"/>
  <c r="C93" i="5"/>
  <c r="E93" i="5" s="1"/>
  <c r="A93" i="5"/>
  <c r="B93" i="5" s="1"/>
  <c r="D92" i="5"/>
  <c r="F92" i="5" s="1"/>
  <c r="C92" i="5"/>
  <c r="E92" i="5" s="1"/>
  <c r="B92" i="5"/>
  <c r="A92" i="5"/>
  <c r="F91" i="5"/>
  <c r="D91" i="5"/>
  <c r="C91" i="5"/>
  <c r="E91" i="5" s="1"/>
  <c r="A91" i="5"/>
  <c r="D90" i="5"/>
  <c r="F90" i="5" s="1"/>
  <c r="C90" i="5"/>
  <c r="E90" i="5" s="1"/>
  <c r="B90" i="7" s="1"/>
  <c r="A90" i="5"/>
  <c r="A90" i="11" s="1"/>
  <c r="D89" i="5"/>
  <c r="F89" i="5" s="1"/>
  <c r="C89" i="5"/>
  <c r="E89" i="5" s="1"/>
  <c r="A89" i="5"/>
  <c r="A89" i="8" s="1"/>
  <c r="C88" i="5"/>
  <c r="E88" i="5" s="1"/>
  <c r="B88" i="9" s="1"/>
  <c r="A88" i="5"/>
  <c r="D87" i="5"/>
  <c r="F87" i="5" s="1"/>
  <c r="C87" i="5"/>
  <c r="E87" i="5" s="1"/>
  <c r="A87" i="5"/>
  <c r="D86" i="5"/>
  <c r="F86" i="5" s="1"/>
  <c r="C86" i="5"/>
  <c r="E86" i="5" s="1"/>
  <c r="C86" i="11" s="1"/>
  <c r="A86" i="5"/>
  <c r="F85" i="5"/>
  <c r="D85" i="5"/>
  <c r="A85" i="5"/>
  <c r="A85" i="8" s="1"/>
  <c r="D84" i="5"/>
  <c r="F84" i="5" s="1"/>
  <c r="C84" i="8" s="1"/>
  <c r="C84" i="5"/>
  <c r="E84" i="5" s="1"/>
  <c r="A84" i="5"/>
  <c r="B84" i="5" s="1"/>
  <c r="D83" i="5"/>
  <c r="F83" i="5" s="1"/>
  <c r="C83" i="8" s="1"/>
  <c r="C83" i="5"/>
  <c r="E83" i="5" s="1"/>
  <c r="A83" i="5"/>
  <c r="A83" i="8" s="1"/>
  <c r="E82" i="5"/>
  <c r="C82" i="5"/>
  <c r="B82" i="5"/>
  <c r="A82" i="5"/>
  <c r="D81" i="5"/>
  <c r="F81" i="5" s="1"/>
  <c r="C81" i="5"/>
  <c r="E81" i="5" s="1"/>
  <c r="A81" i="5"/>
  <c r="F80" i="5"/>
  <c r="E80" i="5"/>
  <c r="C80" i="11" s="1"/>
  <c r="D80" i="5"/>
  <c r="C80" i="5"/>
  <c r="A80" i="5"/>
  <c r="D79" i="5"/>
  <c r="F79" i="5" s="1"/>
  <c r="C79" i="9" s="1"/>
  <c r="C79" i="5"/>
  <c r="E79" i="5" s="1"/>
  <c r="B79" i="8" s="1"/>
  <c r="A79" i="5"/>
  <c r="A79" i="7" s="1"/>
  <c r="D78" i="5"/>
  <c r="F78" i="5" s="1"/>
  <c r="C78" i="5"/>
  <c r="E78" i="5" s="1"/>
  <c r="B78" i="9" s="1"/>
  <c r="A78" i="5"/>
  <c r="A78" i="9" s="1"/>
  <c r="F77" i="5"/>
  <c r="E77" i="5"/>
  <c r="D77" i="5"/>
  <c r="C77" i="5"/>
  <c r="A77" i="5"/>
  <c r="B77" i="5" s="1"/>
  <c r="B77" i="11" s="1"/>
  <c r="D76" i="5"/>
  <c r="F76" i="5" s="1"/>
  <c r="C76" i="5"/>
  <c r="E76" i="5" s="1"/>
  <c r="A76" i="5"/>
  <c r="B76" i="5" s="1"/>
  <c r="F75" i="5"/>
  <c r="D75" i="5"/>
  <c r="C75" i="5"/>
  <c r="E75" i="5" s="1"/>
  <c r="A75" i="5"/>
  <c r="A75" i="8" s="1"/>
  <c r="D74" i="5"/>
  <c r="F74" i="5" s="1"/>
  <c r="C74" i="7" s="1"/>
  <c r="C74" i="5"/>
  <c r="E74" i="5" s="1"/>
  <c r="A74" i="5"/>
  <c r="A74" i="11" s="1"/>
  <c r="F73" i="5"/>
  <c r="C73" i="7" s="1"/>
  <c r="D73" i="5"/>
  <c r="C73" i="5"/>
  <c r="E73" i="5" s="1"/>
  <c r="B73" i="7" s="1"/>
  <c r="A73" i="5"/>
  <c r="A73" i="7" s="1"/>
  <c r="D72" i="5"/>
  <c r="F72" i="5" s="1"/>
  <c r="C72" i="9" s="1"/>
  <c r="C72" i="5"/>
  <c r="E72" i="5" s="1"/>
  <c r="B72" i="8" s="1"/>
  <c r="A72" i="5"/>
  <c r="D71" i="5"/>
  <c r="F71" i="5" s="1"/>
  <c r="C71" i="5"/>
  <c r="E71" i="5" s="1"/>
  <c r="A71" i="5"/>
  <c r="D70" i="5"/>
  <c r="F70" i="5" s="1"/>
  <c r="C70" i="5"/>
  <c r="E70" i="5" s="1"/>
  <c r="B70" i="5"/>
  <c r="L70" i="9" s="1"/>
  <c r="A70" i="5"/>
  <c r="F69" i="5"/>
  <c r="E69" i="5"/>
  <c r="D69" i="5"/>
  <c r="C69" i="5"/>
  <c r="A69" i="5"/>
  <c r="C68" i="5"/>
  <c r="E68" i="5" s="1"/>
  <c r="A68" i="5"/>
  <c r="D67" i="5"/>
  <c r="F67" i="5" s="1"/>
  <c r="C67" i="5"/>
  <c r="E67" i="5" s="1"/>
  <c r="A67" i="5"/>
  <c r="B67" i="5" s="1"/>
  <c r="D66" i="5"/>
  <c r="F66" i="5" s="1"/>
  <c r="C66" i="8" s="1"/>
  <c r="C66" i="5"/>
  <c r="E66" i="5" s="1"/>
  <c r="A66" i="5"/>
  <c r="A66" i="8" s="1"/>
  <c r="F65" i="5"/>
  <c r="D65" i="5"/>
  <c r="C65" i="5"/>
  <c r="E65" i="5" s="1"/>
  <c r="B65" i="7" s="1"/>
  <c r="A65" i="5"/>
  <c r="A65" i="8" s="1"/>
  <c r="D64" i="5"/>
  <c r="F64" i="5" s="1"/>
  <c r="C64" i="5"/>
  <c r="E64" i="5" s="1"/>
  <c r="B64" i="9" s="1"/>
  <c r="A64" i="5"/>
  <c r="A64" i="11" s="1"/>
  <c r="D63" i="5"/>
  <c r="F63" i="5" s="1"/>
  <c r="D63" i="11" s="1"/>
  <c r="C63" i="5"/>
  <c r="E63" i="5" s="1"/>
  <c r="A63" i="5"/>
  <c r="B63" i="5" s="1"/>
  <c r="E62" i="5"/>
  <c r="D62" i="5"/>
  <c r="F62" i="5" s="1"/>
  <c r="C62" i="5"/>
  <c r="B62" i="5"/>
  <c r="A62" i="5"/>
  <c r="A62" i="7" s="1"/>
  <c r="C61" i="5"/>
  <c r="E61" i="5" s="1"/>
  <c r="A61" i="5"/>
  <c r="A61" i="8" s="1"/>
  <c r="D60" i="5"/>
  <c r="F60" i="5" s="1"/>
  <c r="C60" i="5"/>
  <c r="E60" i="5" s="1"/>
  <c r="A60" i="5"/>
  <c r="A60" i="9" s="1"/>
  <c r="D59" i="5"/>
  <c r="F59" i="5" s="1"/>
  <c r="C59" i="5"/>
  <c r="E59" i="5" s="1"/>
  <c r="B59" i="5"/>
  <c r="A59" i="5"/>
  <c r="D58" i="5"/>
  <c r="F58" i="5" s="1"/>
  <c r="C58" i="7" s="1"/>
  <c r="C58" i="5"/>
  <c r="E58" i="5" s="1"/>
  <c r="A58" i="5"/>
  <c r="D57" i="5"/>
  <c r="F57" i="5" s="1"/>
  <c r="C57" i="5"/>
  <c r="E57" i="5" s="1"/>
  <c r="B57" i="8" s="1"/>
  <c r="A57" i="5"/>
  <c r="B57" i="5" s="1"/>
  <c r="D56" i="5"/>
  <c r="F56" i="5" s="1"/>
  <c r="C56" i="5"/>
  <c r="E56" i="5" s="1"/>
  <c r="A56" i="5"/>
  <c r="D55" i="5"/>
  <c r="F55" i="5" s="1"/>
  <c r="C55" i="5"/>
  <c r="E55" i="5" s="1"/>
  <c r="A55" i="5"/>
  <c r="A55" i="8" s="1"/>
  <c r="D54" i="5"/>
  <c r="F54" i="5" s="1"/>
  <c r="C54" i="8" s="1"/>
  <c r="C54" i="5"/>
  <c r="E54" i="5" s="1"/>
  <c r="A54" i="5"/>
  <c r="D53" i="5"/>
  <c r="F53" i="5" s="1"/>
  <c r="C53" i="7" s="1"/>
  <c r="C53" i="5"/>
  <c r="E53" i="5" s="1"/>
  <c r="A53" i="5"/>
  <c r="D52" i="5"/>
  <c r="F52" i="5" s="1"/>
  <c r="C52" i="5"/>
  <c r="E52" i="5" s="1"/>
  <c r="C52" i="11" s="1"/>
  <c r="B52" i="5"/>
  <c r="A52" i="5"/>
  <c r="A52" i="8" s="1"/>
  <c r="D51" i="5"/>
  <c r="F51" i="5" s="1"/>
  <c r="C51" i="5"/>
  <c r="E51" i="5" s="1"/>
  <c r="A51" i="5"/>
  <c r="B51" i="5" s="1"/>
  <c r="D50" i="5"/>
  <c r="F50" i="5" s="1"/>
  <c r="C50" i="5"/>
  <c r="E50" i="5" s="1"/>
  <c r="A50" i="5"/>
  <c r="B50" i="5" s="1"/>
  <c r="D49" i="5"/>
  <c r="F49" i="5" s="1"/>
  <c r="D49" i="11" s="1"/>
  <c r="C49" i="5"/>
  <c r="E49" i="5" s="1"/>
  <c r="A49" i="5"/>
  <c r="A49" i="9" s="1"/>
  <c r="A49" i="19" s="1"/>
  <c r="D48" i="5"/>
  <c r="F48" i="5" s="1"/>
  <c r="C48" i="5"/>
  <c r="E48" i="5" s="1"/>
  <c r="B48" i="8" s="1"/>
  <c r="A48" i="5"/>
  <c r="D47" i="5"/>
  <c r="F47" i="5" s="1"/>
  <c r="C47" i="5"/>
  <c r="E47" i="5" s="1"/>
  <c r="A47" i="5"/>
  <c r="D46" i="5"/>
  <c r="F46" i="5" s="1"/>
  <c r="C46" i="9" s="1"/>
  <c r="A46" i="5"/>
  <c r="F45" i="5"/>
  <c r="D45" i="5"/>
  <c r="C45" i="5"/>
  <c r="E45" i="5" s="1"/>
  <c r="A45" i="5"/>
  <c r="B45" i="5" s="1"/>
  <c r="B45" i="11" s="1"/>
  <c r="D44" i="5"/>
  <c r="F44" i="5" s="1"/>
  <c r="C44" i="8" s="1"/>
  <c r="C44" i="5"/>
  <c r="E44" i="5" s="1"/>
  <c r="C44" i="11" s="1"/>
  <c r="A44" i="5"/>
  <c r="D43" i="5"/>
  <c r="F43" i="5" s="1"/>
  <c r="C43" i="5"/>
  <c r="E43" i="5" s="1"/>
  <c r="A43" i="5"/>
  <c r="E42" i="5"/>
  <c r="B42" i="8" s="1"/>
  <c r="D42" i="5"/>
  <c r="F42" i="5" s="1"/>
  <c r="C42" i="5"/>
  <c r="B42" i="5"/>
  <c r="A42" i="5"/>
  <c r="D41" i="5"/>
  <c r="F41" i="5" s="1"/>
  <c r="C41" i="5"/>
  <c r="E41" i="5" s="1"/>
  <c r="A41" i="5"/>
  <c r="D40" i="5"/>
  <c r="F40" i="5" s="1"/>
  <c r="C40" i="5"/>
  <c r="E40" i="5" s="1"/>
  <c r="A40" i="5"/>
  <c r="A40" i="7" s="1"/>
  <c r="D39" i="5"/>
  <c r="F39" i="5" s="1"/>
  <c r="C39" i="5"/>
  <c r="E39" i="5" s="1"/>
  <c r="B39" i="5"/>
  <c r="A39" i="5"/>
  <c r="A39" i="8" s="1"/>
  <c r="D38" i="5"/>
  <c r="F38" i="5" s="1"/>
  <c r="C38" i="7" s="1"/>
  <c r="C38" i="5"/>
  <c r="E38" i="5" s="1"/>
  <c r="A38" i="5"/>
  <c r="A38" i="11" s="1"/>
  <c r="D37" i="5"/>
  <c r="F37" i="5" s="1"/>
  <c r="C37" i="5"/>
  <c r="E37" i="5" s="1"/>
  <c r="C37" i="11" s="1"/>
  <c r="A37" i="5"/>
  <c r="E36" i="5"/>
  <c r="D36" i="5"/>
  <c r="F36" i="5" s="1"/>
  <c r="C36" i="5"/>
  <c r="A36" i="5"/>
  <c r="D35" i="5"/>
  <c r="F35" i="5" s="1"/>
  <c r="C35" i="8" s="1"/>
  <c r="C35" i="5"/>
  <c r="E35" i="5" s="1"/>
  <c r="B35" i="9" s="1"/>
  <c r="A35" i="5"/>
  <c r="D34" i="5"/>
  <c r="F34" i="5" s="1"/>
  <c r="C34" i="5"/>
  <c r="E34" i="5" s="1"/>
  <c r="B34" i="7" s="1"/>
  <c r="A34" i="5"/>
  <c r="A34" i="7" s="1"/>
  <c r="D33" i="5"/>
  <c r="F33" i="5" s="1"/>
  <c r="C33" i="5"/>
  <c r="E33" i="5" s="1"/>
  <c r="B33" i="8" s="1"/>
  <c r="A33" i="5"/>
  <c r="A33" i="8" s="1"/>
  <c r="D32" i="5"/>
  <c r="F32" i="5" s="1"/>
  <c r="C32" i="5"/>
  <c r="E32" i="5" s="1"/>
  <c r="A32" i="5"/>
  <c r="A32" i="9" s="1"/>
  <c r="F31" i="5"/>
  <c r="D31" i="5"/>
  <c r="C31" i="5"/>
  <c r="E31" i="5" s="1"/>
  <c r="B31" i="5"/>
  <c r="A31" i="5"/>
  <c r="D30" i="5"/>
  <c r="F30" i="5" s="1"/>
  <c r="C30" i="5"/>
  <c r="E30" i="5" s="1"/>
  <c r="B30" i="7" s="1"/>
  <c r="A30" i="5"/>
  <c r="D29" i="5"/>
  <c r="F29" i="5" s="1"/>
  <c r="C29" i="5"/>
  <c r="E29" i="5" s="1"/>
  <c r="B29" i="8" s="1"/>
  <c r="A29" i="5"/>
  <c r="D28" i="5"/>
  <c r="F28" i="5" s="1"/>
  <c r="C28" i="5"/>
  <c r="E28" i="5" s="1"/>
  <c r="A28" i="5"/>
  <c r="E27" i="5"/>
  <c r="D27" i="5"/>
  <c r="F27" i="5" s="1"/>
  <c r="C27" i="5"/>
  <c r="A27" i="5"/>
  <c r="D26" i="5"/>
  <c r="F26" i="5" s="1"/>
  <c r="A26" i="5"/>
  <c r="D25" i="5"/>
  <c r="F25" i="5" s="1"/>
  <c r="C25" i="5"/>
  <c r="E25" i="5" s="1"/>
  <c r="B25" i="9" s="1"/>
  <c r="A25" i="5"/>
  <c r="C24" i="5"/>
  <c r="E24" i="5" s="1"/>
  <c r="A24" i="5"/>
  <c r="B24" i="5" s="1"/>
  <c r="B24" i="11" s="1"/>
  <c r="F23" i="5"/>
  <c r="E23" i="5"/>
  <c r="C23" i="11" s="1"/>
  <c r="D23" i="5"/>
  <c r="C23" i="5"/>
  <c r="A23" i="5"/>
  <c r="A23" i="9" s="1"/>
  <c r="D22" i="5"/>
  <c r="F22" i="5" s="1"/>
  <c r="C22" i="5"/>
  <c r="E22" i="5" s="1"/>
  <c r="A22" i="5"/>
  <c r="A22" i="7" s="1"/>
  <c r="D21" i="5"/>
  <c r="F21" i="5" s="1"/>
  <c r="C21" i="5"/>
  <c r="E21" i="5" s="1"/>
  <c r="A21" i="5"/>
  <c r="A21" i="7" s="1"/>
  <c r="D20" i="5"/>
  <c r="F20" i="5" s="1"/>
  <c r="C20" i="8" s="1"/>
  <c r="C20" i="5"/>
  <c r="E20" i="5" s="1"/>
  <c r="A20" i="5"/>
  <c r="A20" i="7" s="1"/>
  <c r="D19" i="5"/>
  <c r="F19" i="5" s="1"/>
  <c r="C19" i="8" s="1"/>
  <c r="C19" i="5"/>
  <c r="E19" i="5" s="1"/>
  <c r="A19" i="5"/>
  <c r="D18" i="5"/>
  <c r="F18" i="5" s="1"/>
  <c r="C18" i="5"/>
  <c r="E18" i="5" s="1"/>
  <c r="A18" i="5"/>
  <c r="B18" i="5" s="1"/>
  <c r="F17" i="5"/>
  <c r="D17" i="5"/>
  <c r="C17" i="5"/>
  <c r="E17" i="5" s="1"/>
  <c r="A17" i="5"/>
  <c r="F16" i="5"/>
  <c r="C16" i="9" s="1"/>
  <c r="E16" i="5"/>
  <c r="C16" i="11" s="1"/>
  <c r="D16" i="5"/>
  <c r="C16" i="5"/>
  <c r="A16" i="5"/>
  <c r="D15" i="5"/>
  <c r="F15" i="5" s="1"/>
  <c r="C15" i="7" s="1"/>
  <c r="A15" i="5"/>
  <c r="A15" i="11" s="1"/>
  <c r="D14" i="5"/>
  <c r="F14" i="5" s="1"/>
  <c r="C14" i="5"/>
  <c r="E14" i="5" s="1"/>
  <c r="A14" i="5"/>
  <c r="D13" i="5"/>
  <c r="F13" i="5" s="1"/>
  <c r="C13" i="5"/>
  <c r="E13" i="5" s="1"/>
  <c r="A13" i="5"/>
  <c r="A13" i="9" s="1"/>
  <c r="A13" i="19" s="1"/>
  <c r="D12" i="5"/>
  <c r="F12" i="5" s="1"/>
  <c r="C12" i="5"/>
  <c r="E12" i="5" s="1"/>
  <c r="B12" i="8" s="1"/>
  <c r="A12" i="5"/>
  <c r="A12" i="8" s="1"/>
  <c r="D11" i="5"/>
  <c r="F11" i="5" s="1"/>
  <c r="C11" i="5"/>
  <c r="E11" i="5" s="1"/>
  <c r="A11" i="5"/>
  <c r="A11" i="7" s="1"/>
  <c r="F10" i="5"/>
  <c r="D10" i="5"/>
  <c r="C10" i="5"/>
  <c r="E10" i="5" s="1"/>
  <c r="B10" i="8" s="1"/>
  <c r="A10" i="5"/>
  <c r="D9" i="5"/>
  <c r="F9" i="5" s="1"/>
  <c r="D9" i="11" s="1"/>
  <c r="C9" i="5"/>
  <c r="E9" i="5" s="1"/>
  <c r="B9" i="5"/>
  <c r="A9" i="5"/>
  <c r="D8" i="5"/>
  <c r="F8" i="5" s="1"/>
  <c r="C8" i="7" s="1"/>
  <c r="C8" i="5"/>
  <c r="E8" i="5" s="1"/>
  <c r="B8" i="7" s="1"/>
  <c r="A8" i="5"/>
  <c r="F7" i="5"/>
  <c r="D7" i="5"/>
  <c r="C7" i="5"/>
  <c r="E7" i="5" s="1"/>
  <c r="B7" i="8" s="1"/>
  <c r="A7" i="5"/>
  <c r="C6" i="5"/>
  <c r="E6" i="5" s="1"/>
  <c r="A6" i="5"/>
  <c r="F5" i="5"/>
  <c r="C5" i="9" s="1"/>
  <c r="E5" i="5"/>
  <c r="C5" i="11" s="1"/>
  <c r="D5" i="5"/>
  <c r="C5" i="5"/>
  <c r="A5" i="5"/>
  <c r="D4" i="5"/>
  <c r="F4" i="5" s="1"/>
  <c r="C4" i="5"/>
  <c r="E4" i="5" s="1"/>
  <c r="B4" i="5"/>
  <c r="A4" i="5"/>
  <c r="A4" i="8" s="1"/>
  <c r="D3" i="5"/>
  <c r="F3" i="5" s="1"/>
  <c r="C3" i="7" s="1"/>
  <c r="C3" i="5"/>
  <c r="E3" i="5" s="1"/>
  <c r="B3" i="7" s="1"/>
  <c r="A3" i="5"/>
  <c r="D2" i="5"/>
  <c r="F2" i="5" s="1"/>
  <c r="B2" i="5"/>
  <c r="A2" i="5"/>
  <c r="E40" i="1"/>
  <c r="D40" i="1"/>
  <c r="E39" i="1"/>
  <c r="D39" i="1"/>
  <c r="D38" i="1"/>
  <c r="C295" i="9" l="1"/>
  <c r="C295" i="8"/>
  <c r="C421" i="8"/>
  <c r="C421" i="7"/>
  <c r="C25" i="9"/>
  <c r="C25" i="7"/>
  <c r="C361" i="8"/>
  <c r="D361" i="11"/>
  <c r="C361" i="9"/>
  <c r="C361" i="7"/>
  <c r="C481" i="8"/>
  <c r="C481" i="9"/>
  <c r="D481" i="11"/>
  <c r="C481" i="7"/>
  <c r="L76" i="9"/>
  <c r="B76" i="11"/>
  <c r="B554" i="7"/>
  <c r="B554" i="8"/>
  <c r="C81" i="8"/>
  <c r="C81" i="7"/>
  <c r="C81" i="9"/>
  <c r="B350" i="8"/>
  <c r="B350" i="7"/>
  <c r="B763" i="7"/>
  <c r="B763" i="8"/>
  <c r="C76" i="7"/>
  <c r="D76" i="11"/>
  <c r="C76" i="8"/>
  <c r="C76" i="9"/>
  <c r="L316" i="9"/>
  <c r="B316" i="11"/>
  <c r="C321" i="8"/>
  <c r="C321" i="9"/>
  <c r="D321" i="11"/>
  <c r="C321" i="7"/>
  <c r="C471" i="7"/>
  <c r="D471" i="11"/>
  <c r="C471" i="8"/>
  <c r="C104" i="8"/>
  <c r="C104" i="9"/>
  <c r="C592" i="9"/>
  <c r="C592" i="7"/>
  <c r="C381" i="8"/>
  <c r="D381" i="11"/>
  <c r="C381" i="9"/>
  <c r="B287" i="11"/>
  <c r="L287" i="9"/>
  <c r="C345" i="7"/>
  <c r="C345" i="8"/>
  <c r="C345" i="9"/>
  <c r="B460" i="7"/>
  <c r="B460" i="8"/>
  <c r="B592" i="9"/>
  <c r="B592" i="7"/>
  <c r="C311" i="8"/>
  <c r="C311" i="9"/>
  <c r="C311" i="7"/>
  <c r="C275" i="8"/>
  <c r="C275" i="9"/>
  <c r="D275" i="11"/>
  <c r="C275" i="7"/>
  <c r="C281" i="8"/>
  <c r="D281" i="11"/>
  <c r="C281" i="7"/>
  <c r="C461" i="9"/>
  <c r="C461" i="7"/>
  <c r="D71" i="11"/>
  <c r="C71" i="8"/>
  <c r="C400" i="11"/>
  <c r="B400" i="7"/>
  <c r="D531" i="11"/>
  <c r="C531" i="8"/>
  <c r="C531" i="9"/>
  <c r="D365" i="11"/>
  <c r="C365" i="8"/>
  <c r="C365" i="9"/>
  <c r="C365" i="7"/>
  <c r="B426" i="7"/>
  <c r="C426" i="11"/>
  <c r="B426" i="9"/>
  <c r="B426" i="8"/>
  <c r="C431" i="9"/>
  <c r="D431" i="11"/>
  <c r="C431" i="8"/>
  <c r="C431" i="7"/>
  <c r="C821" i="9"/>
  <c r="C821" i="8"/>
  <c r="C225" i="7"/>
  <c r="C225" i="9"/>
  <c r="D547" i="11"/>
  <c r="C547" i="8"/>
  <c r="C547" i="7"/>
  <c r="C547" i="9"/>
  <c r="C316" i="7"/>
  <c r="D316" i="11"/>
  <c r="C465" i="8"/>
  <c r="C465" i="7"/>
  <c r="C573" i="9"/>
  <c r="C573" i="8"/>
  <c r="D573" i="11"/>
  <c r="B817" i="9"/>
  <c r="B817" i="8"/>
  <c r="C817" i="11"/>
  <c r="C562" i="11"/>
  <c r="B562" i="7"/>
  <c r="B562" i="9"/>
  <c r="B699" i="8"/>
  <c r="B699" i="7"/>
  <c r="D175" i="11"/>
  <c r="C175" i="9"/>
  <c r="C371" i="8"/>
  <c r="C371" i="9"/>
  <c r="C371" i="7"/>
  <c r="D371" i="11"/>
  <c r="C455" i="9"/>
  <c r="E455" i="19" s="1"/>
  <c r="C455" i="8"/>
  <c r="D451" i="11"/>
  <c r="C451" i="8"/>
  <c r="C451" i="7"/>
  <c r="L219" i="9"/>
  <c r="B219" i="11"/>
  <c r="C51" i="9"/>
  <c r="D51" i="11"/>
  <c r="C51" i="7"/>
  <c r="C229" i="7"/>
  <c r="C229" i="8"/>
  <c r="B57" i="11"/>
  <c r="L57" i="9"/>
  <c r="C290" i="8"/>
  <c r="C290" i="7"/>
  <c r="C301" i="8"/>
  <c r="C301" i="9"/>
  <c r="C491" i="9"/>
  <c r="C491" i="8"/>
  <c r="C491" i="7"/>
  <c r="D491" i="11"/>
  <c r="D265" i="11"/>
  <c r="C265" i="7"/>
  <c r="B295" i="8"/>
  <c r="B295" i="7"/>
  <c r="C372" i="11"/>
  <c r="B372" i="7"/>
  <c r="L9" i="9"/>
  <c r="B9" i="11"/>
  <c r="A26" i="9"/>
  <c r="A26" i="19" s="1"/>
  <c r="A26" i="8"/>
  <c r="A26" i="7"/>
  <c r="C31" i="8"/>
  <c r="C31" i="7"/>
  <c r="C85" i="7"/>
  <c r="D85" i="11"/>
  <c r="C91" i="8"/>
  <c r="C91" i="9"/>
  <c r="C91" i="7"/>
  <c r="D91" i="11"/>
  <c r="B97" i="11"/>
  <c r="L97" i="9"/>
  <c r="L109" i="9"/>
  <c r="B109" i="11"/>
  <c r="C114" i="11"/>
  <c r="B114" i="8"/>
  <c r="B114" i="9"/>
  <c r="B114" i="7"/>
  <c r="A169" i="9"/>
  <c r="A169" i="19" s="1"/>
  <c r="A169" i="11"/>
  <c r="A169" i="8"/>
  <c r="B185" i="5"/>
  <c r="A185" i="7"/>
  <c r="A240" i="8"/>
  <c r="A240" i="7"/>
  <c r="D251" i="11"/>
  <c r="C251" i="9"/>
  <c r="C251" i="8"/>
  <c r="C251" i="7"/>
  <c r="A358" i="9"/>
  <c r="A358" i="8"/>
  <c r="B407" i="9"/>
  <c r="C407" i="11"/>
  <c r="B407" i="8"/>
  <c r="B457" i="11"/>
  <c r="L457" i="9"/>
  <c r="C516" i="9"/>
  <c r="C516" i="7"/>
  <c r="C521" i="8"/>
  <c r="C521" i="7"/>
  <c r="D521" i="11"/>
  <c r="B528" i="5"/>
  <c r="A528" i="11"/>
  <c r="A528" i="9"/>
  <c r="A528" i="8"/>
  <c r="A540" i="11"/>
  <c r="A540" i="9"/>
  <c r="A540" i="8"/>
  <c r="D561" i="11"/>
  <c r="C561" i="7"/>
  <c r="C611" i="8"/>
  <c r="D611" i="11"/>
  <c r="C611" i="9"/>
  <c r="B617" i="11"/>
  <c r="L617" i="9"/>
  <c r="B622" i="8"/>
  <c r="B622" i="9"/>
  <c r="B629" i="11"/>
  <c r="L629" i="9"/>
  <c r="A634" i="9"/>
  <c r="A634" i="8"/>
  <c r="C661" i="9"/>
  <c r="D661" i="11"/>
  <c r="C661" i="8"/>
  <c r="C661" i="7"/>
  <c r="B740" i="5"/>
  <c r="A740" i="9"/>
  <c r="A740" i="19" s="1"/>
  <c r="A740" i="7"/>
  <c r="A740" i="11"/>
  <c r="B744" i="7"/>
  <c r="B744" i="9"/>
  <c r="A295" i="7"/>
  <c r="A350" i="7"/>
  <c r="A579" i="7"/>
  <c r="A15" i="8"/>
  <c r="A513" i="8"/>
  <c r="A578" i="8"/>
  <c r="C732" i="8"/>
  <c r="A240" i="9"/>
  <c r="A578" i="9"/>
  <c r="O29" i="10"/>
  <c r="AN29" i="10"/>
  <c r="Q29" i="20" s="1"/>
  <c r="AU29" i="10"/>
  <c r="C622" i="11"/>
  <c r="D213" i="11"/>
  <c r="C213" i="7"/>
  <c r="B4" i="11"/>
  <c r="L4" i="9"/>
  <c r="A92" i="8"/>
  <c r="A92" i="7"/>
  <c r="C114" i="9"/>
  <c r="C114" i="8"/>
  <c r="D125" i="11"/>
  <c r="C125" i="8"/>
  <c r="C125" i="7"/>
  <c r="B157" i="9"/>
  <c r="C157" i="11"/>
  <c r="B157" i="8"/>
  <c r="B157" i="7"/>
  <c r="L169" i="9"/>
  <c r="B169" i="11"/>
  <c r="A180" i="8"/>
  <c r="A180" i="11"/>
  <c r="A180" i="9"/>
  <c r="A180" i="7"/>
  <c r="C201" i="8"/>
  <c r="D201" i="11"/>
  <c r="C201" i="9"/>
  <c r="A252" i="9"/>
  <c r="A252" i="19" s="1"/>
  <c r="A252" i="7"/>
  <c r="A267" i="9"/>
  <c r="A267" i="8"/>
  <c r="B320" i="7"/>
  <c r="C320" i="11"/>
  <c r="C341" i="8"/>
  <c r="D341" i="11"/>
  <c r="C341" i="7"/>
  <c r="C346" i="8"/>
  <c r="C346" i="7"/>
  <c r="D511" i="11"/>
  <c r="C511" i="9"/>
  <c r="C511" i="8"/>
  <c r="B516" i="8"/>
  <c r="B516" i="9"/>
  <c r="A522" i="7"/>
  <c r="A522" i="8"/>
  <c r="C528" i="11"/>
  <c r="B528" i="7"/>
  <c r="B528" i="8"/>
  <c r="C578" i="11"/>
  <c r="B578" i="9"/>
  <c r="B578" i="8"/>
  <c r="A589" i="7"/>
  <c r="B589" i="5"/>
  <c r="A623" i="8"/>
  <c r="A623" i="7"/>
  <c r="A735" i="9"/>
  <c r="A735" i="11"/>
  <c r="A735" i="8"/>
  <c r="A785" i="8"/>
  <c r="A785" i="7"/>
  <c r="C190" i="7"/>
  <c r="C15" i="8"/>
  <c r="A24" i="8"/>
  <c r="C85" i="8"/>
  <c r="C670" i="8"/>
  <c r="A134" i="9"/>
  <c r="W12" i="20"/>
  <c r="AQ12" i="10"/>
  <c r="W34" i="20"/>
  <c r="AQ34" i="10"/>
  <c r="A517" i="8"/>
  <c r="A517" i="7"/>
  <c r="T410" i="16"/>
  <c r="L410" i="16"/>
  <c r="T472" i="16"/>
  <c r="L472" i="16"/>
  <c r="T569" i="16"/>
  <c r="L569" i="16"/>
  <c r="L724" i="16"/>
  <c r="T724" i="16"/>
  <c r="Q737" i="16"/>
  <c r="C812" i="11"/>
  <c r="B812" i="9"/>
  <c r="C28" i="7"/>
  <c r="D28" i="11"/>
  <c r="C50" i="7"/>
  <c r="C50" i="9"/>
  <c r="E50" i="19" s="1"/>
  <c r="H50" i="19" s="1"/>
  <c r="A82" i="9"/>
  <c r="A82" i="11"/>
  <c r="A82" i="8"/>
  <c r="A82" i="7"/>
  <c r="C236" i="11"/>
  <c r="B236" i="9"/>
  <c r="A322" i="9"/>
  <c r="A322" i="11"/>
  <c r="A322" i="8"/>
  <c r="A366" i="8"/>
  <c r="A366" i="7"/>
  <c r="A432" i="7"/>
  <c r="B432" i="5"/>
  <c r="B513" i="5"/>
  <c r="B524" i="9"/>
  <c r="B524" i="8"/>
  <c r="D535" i="11"/>
  <c r="C535" i="7"/>
  <c r="B585" i="7"/>
  <c r="C585" i="11"/>
  <c r="B769" i="5"/>
  <c r="C781" i="7"/>
  <c r="D781" i="11"/>
  <c r="C781" i="9"/>
  <c r="A103" i="7"/>
  <c r="C201" i="7"/>
  <c r="C511" i="7"/>
  <c r="A659" i="7"/>
  <c r="B88" i="8"/>
  <c r="A262" i="8"/>
  <c r="B508" i="8"/>
  <c r="C781" i="8"/>
  <c r="A26" i="11"/>
  <c r="D403" i="11"/>
  <c r="D520" i="11"/>
  <c r="T121" i="16"/>
  <c r="L121" i="16"/>
  <c r="T126" i="16"/>
  <c r="L126" i="16"/>
  <c r="U132" i="16"/>
  <c r="Q132" i="16"/>
  <c r="Q354" i="16"/>
  <c r="U354" i="16"/>
  <c r="L403" i="16"/>
  <c r="T403" i="16"/>
  <c r="U431" i="16"/>
  <c r="Q431" i="16"/>
  <c r="U444" i="16"/>
  <c r="Q444" i="16"/>
  <c r="L459" i="16"/>
  <c r="Q487" i="16"/>
  <c r="U487" i="16"/>
  <c r="Q683" i="16"/>
  <c r="U683" i="16"/>
  <c r="U100" i="16"/>
  <c r="Q100" i="16"/>
  <c r="Q383" i="16"/>
  <c r="U383" i="16"/>
  <c r="L444" i="16"/>
  <c r="L515" i="16"/>
  <c r="T515" i="16"/>
  <c r="T669" i="16"/>
  <c r="L669" i="16"/>
  <c r="Q712" i="16"/>
  <c r="U712" i="16"/>
  <c r="L180" i="9"/>
  <c r="B180" i="11"/>
  <c r="B224" i="5"/>
  <c r="A224" i="11"/>
  <c r="A512" i="8"/>
  <c r="A512" i="7"/>
  <c r="B645" i="7"/>
  <c r="B645" i="8"/>
  <c r="B16" i="5"/>
  <c r="A16" i="7"/>
  <c r="B235" i="5"/>
  <c r="A235" i="8"/>
  <c r="A370" i="9"/>
  <c r="A370" i="7"/>
  <c r="B512" i="5"/>
  <c r="D103" i="11"/>
  <c r="C103" i="7"/>
  <c r="D115" i="11"/>
  <c r="C115" i="8"/>
  <c r="D148" i="11"/>
  <c r="C148" i="9"/>
  <c r="C148" i="7"/>
  <c r="A230" i="7"/>
  <c r="A230" i="9"/>
  <c r="B442" i="5"/>
  <c r="B502" i="5"/>
  <c r="A402" i="7"/>
  <c r="A60" i="8"/>
  <c r="W46" i="20"/>
  <c r="L46" i="10"/>
  <c r="AQ46" i="10"/>
  <c r="U660" i="16"/>
  <c r="Q660" i="16"/>
  <c r="B5" i="5"/>
  <c r="A5" i="8"/>
  <c r="A5" i="9"/>
  <c r="A5" i="7"/>
  <c r="A104" i="11"/>
  <c r="A104" i="8"/>
  <c r="B225" i="5"/>
  <c r="A225" i="8"/>
  <c r="A563" i="9"/>
  <c r="A563" i="11"/>
  <c r="A812" i="11"/>
  <c r="A812" i="8"/>
  <c r="C415" i="11"/>
  <c r="B61" i="5"/>
  <c r="L61" i="9" s="1"/>
  <c r="B149" i="5"/>
  <c r="L149" i="9" s="1"/>
  <c r="A332" i="9"/>
  <c r="A332" i="19" s="1"/>
  <c r="A332" i="8"/>
  <c r="B496" i="7"/>
  <c r="B496" i="8"/>
  <c r="C541" i="9"/>
  <c r="C541" i="7"/>
  <c r="B563" i="5"/>
  <c r="D691" i="11"/>
  <c r="C691" i="9"/>
  <c r="C691" i="8"/>
  <c r="C691" i="7"/>
  <c r="A719" i="7"/>
  <c r="A719" i="8"/>
  <c r="B812" i="5"/>
  <c r="A255" i="7"/>
  <c r="J8" i="8"/>
  <c r="B392" i="5"/>
  <c r="C496" i="7"/>
  <c r="C496" i="8"/>
  <c r="C558" i="11"/>
  <c r="B558" i="9"/>
  <c r="A675" i="9"/>
  <c r="A675" i="8"/>
  <c r="A675" i="7"/>
  <c r="C702" i="11"/>
  <c r="B702" i="8"/>
  <c r="A725" i="7"/>
  <c r="A725" i="11"/>
  <c r="C787" i="9"/>
  <c r="A29" i="8"/>
  <c r="A29" i="7"/>
  <c r="A88" i="9"/>
  <c r="A88" i="8"/>
  <c r="L99" i="9"/>
  <c r="B99" i="11"/>
  <c r="A150" i="7"/>
  <c r="A150" i="11"/>
  <c r="D171" i="11"/>
  <c r="C171" i="7"/>
  <c r="C171" i="9"/>
  <c r="C198" i="11"/>
  <c r="B198" i="9"/>
  <c r="D209" i="11"/>
  <c r="C209" i="9"/>
  <c r="E209" i="19" s="1"/>
  <c r="C209" i="8"/>
  <c r="C209" i="7"/>
  <c r="D274" i="11"/>
  <c r="C274" i="9"/>
  <c r="C274" i="8"/>
  <c r="C274" i="7"/>
  <c r="C285" i="7"/>
  <c r="C285" i="9"/>
  <c r="C285" i="8"/>
  <c r="A355" i="9"/>
  <c r="A355" i="8"/>
  <c r="C392" i="7"/>
  <c r="D392" i="11"/>
  <c r="A422" i="7"/>
  <c r="B422" i="5"/>
  <c r="A492" i="8"/>
  <c r="A492" i="7"/>
  <c r="D591" i="11"/>
  <c r="C591" i="8"/>
  <c r="C591" i="9"/>
  <c r="D607" i="11"/>
  <c r="C607" i="8"/>
  <c r="A625" i="8"/>
  <c r="A625" i="7"/>
  <c r="A653" i="9"/>
  <c r="A653" i="11"/>
  <c r="A653" i="8"/>
  <c r="A664" i="11"/>
  <c r="B664" i="5"/>
  <c r="B703" i="11"/>
  <c r="L703" i="9"/>
  <c r="C725" i="7"/>
  <c r="C725" i="9"/>
  <c r="D747" i="11"/>
  <c r="C747" i="7"/>
  <c r="A782" i="11"/>
  <c r="A782" i="9"/>
  <c r="A782" i="8"/>
  <c r="B782" i="5"/>
  <c r="A365" i="7"/>
  <c r="B558" i="7"/>
  <c r="A763" i="7"/>
  <c r="W20" i="20"/>
  <c r="AQ20" i="10"/>
  <c r="A327" i="11"/>
  <c r="A358" i="11"/>
  <c r="B29" i="5"/>
  <c r="D105" i="11"/>
  <c r="C105" i="8"/>
  <c r="C105" i="7"/>
  <c r="B150" i="5"/>
  <c r="L150" i="9" s="1"/>
  <c r="C198" i="8"/>
  <c r="D198" i="11"/>
  <c r="A210" i="9"/>
  <c r="A210" i="7"/>
  <c r="B226" i="5"/>
  <c r="B264" i="5"/>
  <c r="A275" i="8"/>
  <c r="A275" i="7"/>
  <c r="C376" i="9"/>
  <c r="C376" i="7"/>
  <c r="B382" i="5"/>
  <c r="B471" i="5"/>
  <c r="B482" i="5"/>
  <c r="B492" i="5"/>
  <c r="A509" i="9"/>
  <c r="A509" i="8"/>
  <c r="B570" i="5"/>
  <c r="B608" i="5"/>
  <c r="A608" i="11"/>
  <c r="A608" i="8"/>
  <c r="B748" i="5"/>
  <c r="L748" i="9" s="1"/>
  <c r="A748" i="9"/>
  <c r="A748" i="7"/>
  <c r="B759" i="5"/>
  <c r="B819" i="5"/>
  <c r="A104" i="7"/>
  <c r="A209" i="7"/>
  <c r="A415" i="7"/>
  <c r="A608" i="7"/>
  <c r="A45" i="8"/>
  <c r="A62" i="8"/>
  <c r="L77" i="9"/>
  <c r="A104" i="9"/>
  <c r="L20" i="10"/>
  <c r="W60" i="20"/>
  <c r="AQ60" i="10"/>
  <c r="T8" i="16"/>
  <c r="L8" i="16"/>
  <c r="U34" i="16"/>
  <c r="Q34" i="16"/>
  <c r="U269" i="16"/>
  <c r="Q269" i="16"/>
  <c r="T391" i="16"/>
  <c r="L391" i="16"/>
  <c r="L404" i="16"/>
  <c r="T404" i="16"/>
  <c r="C190" i="8"/>
  <c r="C190" i="9"/>
  <c r="C501" i="8"/>
  <c r="D501" i="11"/>
  <c r="A817" i="9"/>
  <c r="A817" i="11"/>
  <c r="A817" i="8"/>
  <c r="A10" i="9"/>
  <c r="A10" i="19" s="1"/>
  <c r="A10" i="7"/>
  <c r="A10" i="8"/>
  <c r="A76" i="11"/>
  <c r="A76" i="9"/>
  <c r="B305" i="8"/>
  <c r="B305" i="7"/>
  <c r="A496" i="9"/>
  <c r="A496" i="8"/>
  <c r="A496" i="11"/>
  <c r="A569" i="8"/>
  <c r="A569" i="7"/>
  <c r="B669" i="5"/>
  <c r="U818" i="16"/>
  <c r="Q818" i="16"/>
  <c r="B569" i="5"/>
  <c r="C771" i="8"/>
  <c r="D771" i="11"/>
  <c r="D138" i="11"/>
  <c r="C138" i="8"/>
  <c r="C181" i="8"/>
  <c r="D181" i="11"/>
  <c r="C181" i="9"/>
  <c r="A312" i="9"/>
  <c r="A312" i="19" s="1"/>
  <c r="A312" i="11"/>
  <c r="A312" i="8"/>
  <c r="A312" i="7"/>
  <c r="B312" i="5"/>
  <c r="B332" i="5"/>
  <c r="A449" i="9"/>
  <c r="A449" i="11"/>
  <c r="A449" i="8"/>
  <c r="A486" i="8"/>
  <c r="A486" i="11"/>
  <c r="B524" i="5"/>
  <c r="A524" i="8"/>
  <c r="A542" i="11"/>
  <c r="A542" i="9"/>
  <c r="A542" i="7"/>
  <c r="A585" i="9"/>
  <c r="A585" i="11"/>
  <c r="A631" i="11"/>
  <c r="A631" i="8"/>
  <c r="B631" i="5"/>
  <c r="B719" i="5"/>
  <c r="B702" i="7"/>
  <c r="A149" i="8"/>
  <c r="A563" i="8"/>
  <c r="A35" i="11"/>
  <c r="A35" i="8"/>
  <c r="C45" i="9"/>
  <c r="C45" i="7"/>
  <c r="A123" i="8"/>
  <c r="A123" i="11"/>
  <c r="C291" i="8"/>
  <c r="C291" i="9"/>
  <c r="A313" i="9"/>
  <c r="A313" i="7"/>
  <c r="A313" i="8"/>
  <c r="B313" i="5"/>
  <c r="B313" i="11" s="1"/>
  <c r="A377" i="9"/>
  <c r="A377" i="19" s="1"/>
  <c r="A377" i="11"/>
  <c r="B465" i="8"/>
  <c r="B465" i="7"/>
  <c r="A498" i="11"/>
  <c r="A498" i="9"/>
  <c r="A498" i="8"/>
  <c r="B608" i="8"/>
  <c r="C608" i="11"/>
  <c r="L714" i="9"/>
  <c r="B714" i="11"/>
  <c r="C341" i="9"/>
  <c r="A7" i="11"/>
  <c r="A7" i="9"/>
  <c r="C12" i="8"/>
  <c r="D12" i="11"/>
  <c r="D29" i="11"/>
  <c r="C29" i="7"/>
  <c r="A46" i="11"/>
  <c r="A46" i="9"/>
  <c r="A69" i="9"/>
  <c r="A69" i="8"/>
  <c r="A69" i="7"/>
  <c r="B73" i="5"/>
  <c r="B118" i="9"/>
  <c r="B118" i="8"/>
  <c r="B118" i="7"/>
  <c r="B123" i="5"/>
  <c r="B199" i="5"/>
  <c r="A244" i="9"/>
  <c r="A244" i="8"/>
  <c r="A244" i="11"/>
  <c r="A244" i="7"/>
  <c r="A260" i="11"/>
  <c r="A260" i="9"/>
  <c r="A292" i="8"/>
  <c r="A292" i="7"/>
  <c r="B292" i="5"/>
  <c r="A297" i="8"/>
  <c r="A297" i="7"/>
  <c r="B377" i="5"/>
  <c r="C399" i="9"/>
  <c r="C399" i="7"/>
  <c r="A405" i="9"/>
  <c r="A405" i="11"/>
  <c r="A405" i="8"/>
  <c r="A433" i="9"/>
  <c r="A433" i="11"/>
  <c r="C444" i="11"/>
  <c r="B444" i="9"/>
  <c r="B498" i="9"/>
  <c r="C498" i="11"/>
  <c r="C570" i="7"/>
  <c r="C570" i="8"/>
  <c r="C608" i="9"/>
  <c r="C608" i="16" s="1"/>
  <c r="D608" i="11"/>
  <c r="C608" i="8"/>
  <c r="A615" i="9"/>
  <c r="A615" i="7"/>
  <c r="A615" i="8"/>
  <c r="B653" i="9"/>
  <c r="C653" i="11"/>
  <c r="B653" i="7"/>
  <c r="B653" i="8"/>
  <c r="B659" i="5"/>
  <c r="C748" i="9"/>
  <c r="C748" i="7"/>
  <c r="B12" i="7"/>
  <c r="A159" i="7"/>
  <c r="C608" i="7"/>
  <c r="C29" i="8"/>
  <c r="C45" i="8"/>
  <c r="A134" i="8"/>
  <c r="C315" i="8"/>
  <c r="A35" i="9"/>
  <c r="C747" i="9"/>
  <c r="A763" i="11"/>
  <c r="T84" i="16"/>
  <c r="L84" i="16"/>
  <c r="U154" i="16"/>
  <c r="Q154" i="16"/>
  <c r="U215" i="16"/>
  <c r="Q215" i="16"/>
  <c r="A27" i="9"/>
  <c r="A27" i="8"/>
  <c r="B27" i="5"/>
  <c r="C75" i="8"/>
  <c r="C75" i="9"/>
  <c r="B202" i="7"/>
  <c r="B202" i="8"/>
  <c r="A573" i="11"/>
  <c r="A573" i="8"/>
  <c r="B634" i="7"/>
  <c r="C634" i="11"/>
  <c r="B634" i="8"/>
  <c r="B634" i="9"/>
  <c r="D791" i="11"/>
  <c r="C791" i="9"/>
  <c r="C791" i="7"/>
  <c r="W24" i="20"/>
  <c r="L24" i="10"/>
  <c r="W52" i="20"/>
  <c r="AQ52" i="10"/>
  <c r="A13" i="11"/>
  <c r="A13" i="7"/>
  <c r="B46" i="5"/>
  <c r="B69" i="5"/>
  <c r="D118" i="11"/>
  <c r="C118" i="7"/>
  <c r="D411" i="11"/>
  <c r="C411" i="9"/>
  <c r="C411" i="8"/>
  <c r="A609" i="8"/>
  <c r="B609" i="5"/>
  <c r="B615" i="9"/>
  <c r="C615" i="11"/>
  <c r="B615" i="7"/>
  <c r="B615" i="8"/>
  <c r="C642" i="7"/>
  <c r="C642" i="8"/>
  <c r="A749" i="8"/>
  <c r="A749" i="7"/>
  <c r="A765" i="9"/>
  <c r="A765" i="11"/>
  <c r="C801" i="9"/>
  <c r="D801" i="11"/>
  <c r="A609" i="7"/>
  <c r="A669" i="7"/>
  <c r="C264" i="8"/>
  <c r="A325" i="8"/>
  <c r="A584" i="8"/>
  <c r="A603" i="8"/>
  <c r="A729" i="8"/>
  <c r="C747" i="8"/>
  <c r="C315" i="9"/>
  <c r="A630" i="9"/>
  <c r="A674" i="9"/>
  <c r="W43" i="20"/>
  <c r="AQ43" i="10"/>
  <c r="L348" i="16"/>
  <c r="T348" i="16"/>
  <c r="T598" i="16"/>
  <c r="L598" i="16"/>
  <c r="A60" i="7"/>
  <c r="A60" i="11"/>
  <c r="A426" i="7"/>
  <c r="A426" i="8"/>
  <c r="A426" i="9"/>
  <c r="A436" i="11"/>
  <c r="A436" i="8"/>
  <c r="B191" i="5"/>
  <c r="A191" i="8"/>
  <c r="B342" i="5"/>
  <c r="B380" i="8"/>
  <c r="C380" i="11"/>
  <c r="B380" i="9"/>
  <c r="D452" i="11"/>
  <c r="C452" i="9"/>
  <c r="A164" i="11"/>
  <c r="A164" i="8"/>
  <c r="A164" i="9"/>
  <c r="A176" i="8"/>
  <c r="A176" i="7"/>
  <c r="D191" i="11"/>
  <c r="C191" i="8"/>
  <c r="C191" i="7"/>
  <c r="A214" i="9"/>
  <c r="A214" i="7"/>
  <c r="B230" i="5"/>
  <c r="B365" i="9"/>
  <c r="C365" i="11"/>
  <c r="B365" i="7"/>
  <c r="D391" i="11"/>
  <c r="C391" i="8"/>
  <c r="C391" i="9"/>
  <c r="C391" i="7"/>
  <c r="B453" i="5"/>
  <c r="B680" i="5"/>
  <c r="B452" i="7"/>
  <c r="W19" i="20"/>
  <c r="L19" i="10"/>
  <c r="AQ19" i="10"/>
  <c r="C33" i="9"/>
  <c r="C33" i="8"/>
  <c r="A72" i="9"/>
  <c r="A72" i="11"/>
  <c r="A72" i="8"/>
  <c r="B104" i="5"/>
  <c r="L403" i="9"/>
  <c r="B403" i="11"/>
  <c r="B365" i="8"/>
  <c r="A763" i="8"/>
  <c r="A812" i="9"/>
  <c r="W25" i="20"/>
  <c r="L25" i="10"/>
  <c r="AQ25" i="10"/>
  <c r="Q443" i="16"/>
  <c r="U443" i="16"/>
  <c r="D44" i="11"/>
  <c r="C44" i="9"/>
  <c r="B159" i="5"/>
  <c r="A2" i="11"/>
  <c r="A2" i="8"/>
  <c r="A2" i="9"/>
  <c r="B13" i="5"/>
  <c r="C18" i="8"/>
  <c r="C18" i="7"/>
  <c r="B151" i="5"/>
  <c r="A194" i="9"/>
  <c r="A194" i="8"/>
  <c r="B244" i="7"/>
  <c r="C244" i="11"/>
  <c r="B244" i="9"/>
  <c r="A466" i="9"/>
  <c r="A466" i="7"/>
  <c r="A549" i="8"/>
  <c r="A549" i="7"/>
  <c r="B549" i="5"/>
  <c r="B549" i="11" s="1"/>
  <c r="C554" i="9"/>
  <c r="D554" i="11"/>
  <c r="C554" i="8"/>
  <c r="C615" i="9"/>
  <c r="D615" i="11"/>
  <c r="C615" i="8"/>
  <c r="B649" i="5"/>
  <c r="B710" i="5"/>
  <c r="C738" i="9"/>
  <c r="C738" i="8"/>
  <c r="B749" i="5"/>
  <c r="A754" i="8"/>
  <c r="B754" i="5"/>
  <c r="A771" i="8"/>
  <c r="B771" i="5"/>
  <c r="L771" i="9" s="1"/>
  <c r="B789" i="5"/>
  <c r="A15" i="7"/>
  <c r="C111" i="7"/>
  <c r="A332" i="7"/>
  <c r="A433" i="7"/>
  <c r="A482" i="7"/>
  <c r="C526" i="7"/>
  <c r="A563" i="7"/>
  <c r="C674" i="7"/>
  <c r="A108" i="8"/>
  <c r="C621" i="9"/>
  <c r="B630" i="9"/>
  <c r="L43" i="10"/>
  <c r="T12" i="11"/>
  <c r="T30" i="11"/>
  <c r="T25" i="11"/>
  <c r="T32" i="11"/>
  <c r="T31" i="11"/>
  <c r="T18" i="11"/>
  <c r="T36" i="11"/>
  <c r="T22" i="11"/>
  <c r="A633" i="11"/>
  <c r="C744" i="11"/>
  <c r="U90" i="16"/>
  <c r="Q90" i="16"/>
  <c r="L314" i="16"/>
  <c r="T314" i="16"/>
  <c r="U584" i="16"/>
  <c r="Q584" i="16"/>
  <c r="A164" i="7"/>
  <c r="A528" i="7"/>
  <c r="A565" i="7"/>
  <c r="C615" i="7"/>
  <c r="B675" i="7"/>
  <c r="C771" i="7"/>
  <c r="A13" i="8"/>
  <c r="B30" i="8"/>
  <c r="A214" i="11"/>
  <c r="A252" i="11"/>
  <c r="D291" i="11"/>
  <c r="L141" i="16"/>
  <c r="T141" i="16"/>
  <c r="U307" i="16"/>
  <c r="Q307" i="16"/>
  <c r="B244" i="5"/>
  <c r="B260" i="5"/>
  <c r="B308" i="7"/>
  <c r="B308" i="9"/>
  <c r="B308" i="16" s="1"/>
  <c r="A362" i="8"/>
  <c r="B362" i="5"/>
  <c r="A400" i="11"/>
  <c r="A400" i="7"/>
  <c r="A488" i="8"/>
  <c r="A488" i="7"/>
  <c r="L84" i="9"/>
  <c r="B84" i="11"/>
  <c r="C244" i="7"/>
  <c r="C244" i="8"/>
  <c r="C244" i="9"/>
  <c r="L483" i="9"/>
  <c r="B483" i="11"/>
  <c r="C721" i="9"/>
  <c r="D721" i="11"/>
  <c r="C721" i="7"/>
  <c r="B749" i="7"/>
  <c r="B749" i="8"/>
  <c r="C72" i="7"/>
  <c r="B19" i="7"/>
  <c r="B19" i="9"/>
  <c r="A25" i="11"/>
  <c r="A25" i="9"/>
  <c r="A25" i="19" s="1"/>
  <c r="A25" i="7"/>
  <c r="A31" i="8"/>
  <c r="A31" i="11"/>
  <c r="A146" i="8"/>
  <c r="B146" i="5"/>
  <c r="A239" i="11"/>
  <c r="A239" i="7"/>
  <c r="B245" i="5"/>
  <c r="A245" i="7"/>
  <c r="C260" i="11"/>
  <c r="B260" i="8"/>
  <c r="B345" i="7"/>
  <c r="B345" i="8"/>
  <c r="A395" i="9"/>
  <c r="A395" i="7"/>
  <c r="A395" i="8"/>
  <c r="B456" i="5"/>
  <c r="B478" i="7"/>
  <c r="B478" i="8"/>
  <c r="B593" i="5"/>
  <c r="B610" i="5"/>
  <c r="A610" i="9"/>
  <c r="A335" i="7"/>
  <c r="A380" i="7"/>
  <c r="B483" i="7"/>
  <c r="A529" i="7"/>
  <c r="C675" i="7"/>
  <c r="A604" i="8"/>
  <c r="C282" i="9"/>
  <c r="C335" i="9"/>
  <c r="AN33" i="10"/>
  <c r="Q33" i="20" s="1"/>
  <c r="D285" i="11"/>
  <c r="C732" i="11"/>
  <c r="L5" i="16"/>
  <c r="T5" i="16"/>
  <c r="T176" i="16"/>
  <c r="A688" i="11"/>
  <c r="A688" i="7"/>
  <c r="A688" i="9"/>
  <c r="D807" i="11"/>
  <c r="C807" i="8"/>
  <c r="A19" i="7"/>
  <c r="A19" i="11"/>
  <c r="A19" i="8"/>
  <c r="A19" i="9"/>
  <c r="B36" i="5"/>
  <c r="A36" i="8"/>
  <c r="C178" i="7"/>
  <c r="C178" i="9"/>
  <c r="A478" i="11"/>
  <c r="A478" i="8"/>
  <c r="B3" i="5"/>
  <c r="A3" i="7"/>
  <c r="A42" i="7"/>
  <c r="A42" i="8"/>
  <c r="A91" i="11"/>
  <c r="A91" i="8"/>
  <c r="A102" i="9"/>
  <c r="A102" i="11"/>
  <c r="C194" i="7"/>
  <c r="C194" i="8"/>
  <c r="C194" i="9"/>
  <c r="C211" i="9"/>
  <c r="C211" i="8"/>
  <c r="D211" i="11"/>
  <c r="A256" i="8"/>
  <c r="A256" i="9"/>
  <c r="A324" i="8"/>
  <c r="A324" i="11"/>
  <c r="L363" i="9"/>
  <c r="B363" i="11"/>
  <c r="A462" i="8"/>
  <c r="A462" i="7"/>
  <c r="B467" i="5"/>
  <c r="A467" i="11"/>
  <c r="C493" i="9"/>
  <c r="C493" i="8"/>
  <c r="B633" i="11"/>
  <c r="L633" i="9"/>
  <c r="A728" i="9"/>
  <c r="A728" i="7"/>
  <c r="A728" i="8"/>
  <c r="A744" i="7"/>
  <c r="A744" i="9"/>
  <c r="A744" i="8"/>
  <c r="A744" i="11"/>
  <c r="C821" i="11"/>
  <c r="B821" i="9"/>
  <c r="A225" i="7"/>
  <c r="B335" i="7"/>
  <c r="B380" i="7"/>
  <c r="B622" i="7"/>
  <c r="C118" i="8"/>
  <c r="A468" i="8"/>
  <c r="A740" i="8"/>
  <c r="C19" i="9"/>
  <c r="A221" i="11"/>
  <c r="L142" i="16"/>
  <c r="T142" i="16"/>
  <c r="C731" i="7"/>
  <c r="C731" i="9"/>
  <c r="B790" i="5"/>
  <c r="A797" i="8"/>
  <c r="A797" i="11"/>
  <c r="A169" i="7"/>
  <c r="A385" i="7"/>
  <c r="A443" i="7"/>
  <c r="B578" i="7"/>
  <c r="A7" i="8"/>
  <c r="A433" i="8"/>
  <c r="C695" i="8"/>
  <c r="C12" i="9"/>
  <c r="A380" i="9"/>
  <c r="L487" i="9"/>
  <c r="A650" i="9"/>
  <c r="D156" i="11"/>
  <c r="A148" i="9"/>
  <c r="A148" i="20" s="1"/>
  <c r="A148" i="7"/>
  <c r="A342" i="9"/>
  <c r="A342" i="19" s="1"/>
  <c r="A342" i="11"/>
  <c r="A342" i="7"/>
  <c r="C551" i="8"/>
  <c r="C551" i="7"/>
  <c r="AU12" i="10"/>
  <c r="AN12" i="10"/>
  <c r="Q12" i="20" s="1"/>
  <c r="O12" i="10"/>
  <c r="A219" i="7"/>
  <c r="A219" i="11"/>
  <c r="C414" i="8"/>
  <c r="D414" i="11"/>
  <c r="C414" i="9"/>
  <c r="C414" i="7"/>
  <c r="B436" i="5"/>
  <c r="B517" i="5"/>
  <c r="C651" i="9"/>
  <c r="C651" i="7"/>
  <c r="A685" i="9"/>
  <c r="A685" i="7"/>
  <c r="D8" i="9"/>
  <c r="I8" i="9" s="1"/>
  <c r="J8" i="9" s="1"/>
  <c r="C8" i="19" s="1"/>
  <c r="I8" i="8"/>
  <c r="K8" i="9" s="1"/>
  <c r="B337" i="11"/>
  <c r="L337" i="9"/>
  <c r="A365" i="9"/>
  <c r="A365" i="11"/>
  <c r="B370" i="5"/>
  <c r="A381" i="11"/>
  <c r="A381" i="7"/>
  <c r="A415" i="9"/>
  <c r="A415" i="11"/>
  <c r="B529" i="5"/>
  <c r="C573" i="11"/>
  <c r="B573" i="8"/>
  <c r="A680" i="11"/>
  <c r="A680" i="9"/>
  <c r="A680" i="16" s="1"/>
  <c r="C148" i="8"/>
  <c r="AB823" i="11"/>
  <c r="L823" i="11"/>
  <c r="M823" i="11" s="1"/>
  <c r="AJ823" i="19" s="1"/>
  <c r="AK823" i="19" s="1"/>
  <c r="L607" i="16"/>
  <c r="T607" i="16"/>
  <c r="A50" i="9"/>
  <c r="A50" i="7"/>
  <c r="C121" i="8"/>
  <c r="C121" i="7"/>
  <c r="D121" i="11"/>
  <c r="C618" i="7"/>
  <c r="C618" i="9"/>
  <c r="C618" i="8"/>
  <c r="D618" i="11"/>
  <c r="C138" i="11"/>
  <c r="B138" i="8"/>
  <c r="B176" i="5"/>
  <c r="B209" i="5"/>
  <c r="A558" i="8"/>
  <c r="A558" i="9"/>
  <c r="L138" i="16"/>
  <c r="T138" i="16"/>
  <c r="T390" i="16"/>
  <c r="L390" i="16"/>
  <c r="U465" i="16"/>
  <c r="Q465" i="16"/>
  <c r="Q486" i="16"/>
  <c r="T608" i="16"/>
  <c r="L608" i="16"/>
  <c r="B72" i="5"/>
  <c r="A338" i="8"/>
  <c r="A338" i="9"/>
  <c r="B619" i="5"/>
  <c r="B762" i="9"/>
  <c r="A57" i="8"/>
  <c r="A57" i="7"/>
  <c r="A129" i="9"/>
  <c r="A129" i="19" s="1"/>
  <c r="A129" i="11"/>
  <c r="A129" i="8"/>
  <c r="C133" i="9"/>
  <c r="E133" i="19" s="1"/>
  <c r="K133" i="19" s="1"/>
  <c r="C133" i="8"/>
  <c r="C133" i="7"/>
  <c r="B160" i="9"/>
  <c r="C160" i="11"/>
  <c r="D231" i="11"/>
  <c r="C231" i="9"/>
  <c r="C231" i="8"/>
  <c r="C344" i="8"/>
  <c r="C344" i="9"/>
  <c r="B608" i="7"/>
  <c r="L15" i="10"/>
  <c r="W15" i="20"/>
  <c r="AQ15" i="10"/>
  <c r="D346" i="11"/>
  <c r="B134" i="5"/>
  <c r="B265" i="5"/>
  <c r="A265" i="8"/>
  <c r="B461" i="5"/>
  <c r="A461" i="7"/>
  <c r="C12" i="7"/>
  <c r="A282" i="9"/>
  <c r="A282" i="11"/>
  <c r="A282" i="7"/>
  <c r="A282" i="8"/>
  <c r="B638" i="8"/>
  <c r="C638" i="11"/>
  <c r="B638" i="9"/>
  <c r="B638" i="7"/>
  <c r="B91" i="8"/>
  <c r="C91" i="11"/>
  <c r="B119" i="9"/>
  <c r="C119" i="11"/>
  <c r="B195" i="11"/>
  <c r="L195" i="9"/>
  <c r="D271" i="11"/>
  <c r="C271" i="9"/>
  <c r="B320" i="5"/>
  <c r="A320" i="11"/>
  <c r="A320" i="8"/>
  <c r="A320" i="9"/>
  <c r="D335" i="11"/>
  <c r="C335" i="8"/>
  <c r="A352" i="7"/>
  <c r="A352" i="8"/>
  <c r="A384" i="7"/>
  <c r="A384" i="9"/>
  <c r="D483" i="11"/>
  <c r="C483" i="7"/>
  <c r="D505" i="11"/>
  <c r="C505" i="9"/>
  <c r="C505" i="7"/>
  <c r="A516" i="7"/>
  <c r="A516" i="9"/>
  <c r="A516" i="8"/>
  <c r="B683" i="9"/>
  <c r="B683" i="16" s="1"/>
  <c r="B683" i="8"/>
  <c r="A9" i="7"/>
  <c r="A9" i="11"/>
  <c r="A9" i="9"/>
  <c r="B20" i="5"/>
  <c r="A109" i="9"/>
  <c r="A109" i="19" s="1"/>
  <c r="A109" i="11"/>
  <c r="D168" i="11"/>
  <c r="C168" i="9"/>
  <c r="E168" i="19" s="1"/>
  <c r="C168" i="8"/>
  <c r="C179" i="8"/>
  <c r="C179" i="7"/>
  <c r="C201" i="11"/>
  <c r="B201" i="7"/>
  <c r="A272" i="9"/>
  <c r="A272" i="8"/>
  <c r="B352" i="5"/>
  <c r="B479" i="5"/>
  <c r="A506" i="9"/>
  <c r="A506" i="7"/>
  <c r="A545" i="9"/>
  <c r="A545" i="8"/>
  <c r="A629" i="8"/>
  <c r="A629" i="7"/>
  <c r="B672" i="7"/>
  <c r="B672" i="9"/>
  <c r="A684" i="11"/>
  <c r="A684" i="9"/>
  <c r="A684" i="16" s="1"/>
  <c r="A684" i="8"/>
  <c r="A684" i="7"/>
  <c r="C711" i="8"/>
  <c r="D711" i="11"/>
  <c r="C711" i="7"/>
  <c r="C744" i="7"/>
  <c r="C744" i="9"/>
  <c r="B773" i="5"/>
  <c r="A773" i="11"/>
  <c r="B797" i="5"/>
  <c r="O24" i="7"/>
  <c r="A129" i="7"/>
  <c r="A229" i="7"/>
  <c r="C291" i="7"/>
  <c r="C578" i="7"/>
  <c r="A639" i="7"/>
  <c r="A683" i="7"/>
  <c r="A733" i="7"/>
  <c r="B179" i="8"/>
  <c r="A206" i="8"/>
  <c r="A407" i="8"/>
  <c r="C485" i="8"/>
  <c r="A4" i="9"/>
  <c r="L45" i="9"/>
  <c r="C425" i="9"/>
  <c r="A488" i="9"/>
  <c r="AU33" i="10"/>
  <c r="AQ68" i="10"/>
  <c r="L68" i="10"/>
  <c r="D111" i="11"/>
  <c r="C296" i="9"/>
  <c r="D296" i="11"/>
  <c r="A302" i="9"/>
  <c r="A302" i="8"/>
  <c r="A302" i="11"/>
  <c r="C478" i="7"/>
  <c r="C478" i="8"/>
  <c r="D528" i="11"/>
  <c r="C528" i="9"/>
  <c r="C528" i="7"/>
  <c r="B533" i="5"/>
  <c r="A533" i="8"/>
  <c r="A544" i="9"/>
  <c r="A544" i="8"/>
  <c r="C634" i="7"/>
  <c r="D634" i="11"/>
  <c r="C634" i="8"/>
  <c r="C694" i="9"/>
  <c r="C694" i="7"/>
  <c r="C694" i="8"/>
  <c r="A714" i="9"/>
  <c r="A714" i="11"/>
  <c r="A714" i="7"/>
  <c r="C724" i="7"/>
  <c r="D724" i="11"/>
  <c r="C724" i="9"/>
  <c r="A730" i="11"/>
  <c r="A730" i="8"/>
  <c r="A760" i="7"/>
  <c r="A760" i="11"/>
  <c r="A760" i="8"/>
  <c r="C724" i="8"/>
  <c r="O3" i="10"/>
  <c r="AN3" i="10"/>
  <c r="T29" i="16"/>
  <c r="L29" i="16"/>
  <c r="T235" i="16"/>
  <c r="L235" i="16"/>
  <c r="L321" i="16"/>
  <c r="T321" i="16"/>
  <c r="L376" i="16"/>
  <c r="T376" i="16"/>
  <c r="U691" i="16"/>
  <c r="Q691" i="16"/>
  <c r="B94" i="5"/>
  <c r="A94" i="8"/>
  <c r="A217" i="9"/>
  <c r="A217" i="19" s="1"/>
  <c r="A217" i="11"/>
  <c r="A242" i="9"/>
  <c r="A242" i="11"/>
  <c r="A283" i="9"/>
  <c r="A283" i="19" s="1"/>
  <c r="A283" i="11"/>
  <c r="C358" i="11"/>
  <c r="B358" i="9"/>
  <c r="A469" i="9"/>
  <c r="A469" i="11"/>
  <c r="A494" i="11"/>
  <c r="A494" i="8"/>
  <c r="A595" i="7"/>
  <c r="A595" i="8"/>
  <c r="B676" i="5"/>
  <c r="A676" i="8"/>
  <c r="A676" i="7"/>
  <c r="A676" i="11"/>
  <c r="B740" i="9"/>
  <c r="B740" i="7"/>
  <c r="C740" i="11"/>
  <c r="B777" i="5"/>
  <c r="A777" i="8"/>
  <c r="A809" i="11"/>
  <c r="A809" i="9"/>
  <c r="A90" i="7"/>
  <c r="A304" i="7"/>
  <c r="B339" i="7"/>
  <c r="A485" i="7"/>
  <c r="C778" i="7"/>
  <c r="A242" i="8"/>
  <c r="C354" i="8"/>
  <c r="A624" i="8"/>
  <c r="A692" i="8"/>
  <c r="A268" i="9"/>
  <c r="A574" i="9"/>
  <c r="T149" i="16"/>
  <c r="L149" i="16"/>
  <c r="Q190" i="16"/>
  <c r="U190" i="16"/>
  <c r="Q349" i="16"/>
  <c r="U349" i="16"/>
  <c r="Q755" i="16"/>
  <c r="U755" i="16"/>
  <c r="L767" i="16"/>
  <c r="T767" i="16"/>
  <c r="T794" i="16"/>
  <c r="L794" i="16"/>
  <c r="B808" i="5"/>
  <c r="A808" i="11"/>
  <c r="A808" i="9"/>
  <c r="A808" i="8"/>
  <c r="D694" i="11"/>
  <c r="T271" i="16"/>
  <c r="L271" i="16"/>
  <c r="U287" i="16"/>
  <c r="Q287" i="16"/>
  <c r="T823" i="16"/>
  <c r="Y823" i="16" s="1"/>
  <c r="L823" i="16"/>
  <c r="B32" i="5"/>
  <c r="B89" i="5"/>
  <c r="L89" i="9" s="1"/>
  <c r="B111" i="5"/>
  <c r="L111" i="9" s="1"/>
  <c r="B202" i="5"/>
  <c r="B217" i="5"/>
  <c r="B222" i="5"/>
  <c r="B232" i="5"/>
  <c r="B242" i="5"/>
  <c r="B283" i="5"/>
  <c r="A343" i="9"/>
  <c r="A343" i="7"/>
  <c r="B424" i="5"/>
  <c r="A424" i="11"/>
  <c r="A429" i="9"/>
  <c r="A429" i="11"/>
  <c r="D433" i="11"/>
  <c r="C433" i="8"/>
  <c r="A444" i="11"/>
  <c r="A444" i="9"/>
  <c r="B469" i="5"/>
  <c r="B494" i="5"/>
  <c r="L494" i="9" s="1"/>
  <c r="B519" i="5"/>
  <c r="B519" i="11" s="1"/>
  <c r="C600" i="7"/>
  <c r="C600" i="8"/>
  <c r="B646" i="5"/>
  <c r="B661" i="5"/>
  <c r="B691" i="5"/>
  <c r="B726" i="5"/>
  <c r="B792" i="5"/>
  <c r="B809" i="5"/>
  <c r="A305" i="7"/>
  <c r="A429" i="7"/>
  <c r="A779" i="7"/>
  <c r="A49" i="8"/>
  <c r="A305" i="8"/>
  <c r="A555" i="8"/>
  <c r="C751" i="8"/>
  <c r="C131" i="9"/>
  <c r="L343" i="9"/>
  <c r="C444" i="9"/>
  <c r="L64" i="10"/>
  <c r="L11" i="16"/>
  <c r="T11" i="16"/>
  <c r="Q39" i="16"/>
  <c r="U39" i="16"/>
  <c r="U54" i="16"/>
  <c r="Q54" i="16"/>
  <c r="T164" i="16"/>
  <c r="L164" i="16"/>
  <c r="T198" i="16"/>
  <c r="L198" i="16"/>
  <c r="A756" i="7"/>
  <c r="A756" i="9"/>
  <c r="A519" i="7"/>
  <c r="A600" i="7"/>
  <c r="A122" i="8"/>
  <c r="A192" i="8"/>
  <c r="A600" i="8"/>
  <c r="Q136" i="16"/>
  <c r="B661" i="9"/>
  <c r="C661" i="11"/>
  <c r="A132" i="9"/>
  <c r="A132" i="11"/>
  <c r="C751" i="9"/>
  <c r="L25" i="16"/>
  <c r="T25" i="16"/>
  <c r="T98" i="16"/>
  <c r="L98" i="16"/>
  <c r="Q113" i="16"/>
  <c r="U113" i="16"/>
  <c r="A814" i="8"/>
  <c r="A814" i="9"/>
  <c r="A459" i="7"/>
  <c r="A459" i="11"/>
  <c r="A475" i="9"/>
  <c r="A475" i="11"/>
  <c r="B566" i="5"/>
  <c r="A566" i="8"/>
  <c r="A566" i="11"/>
  <c r="A586" i="11"/>
  <c r="A586" i="9"/>
  <c r="B197" i="11"/>
  <c r="L197" i="9"/>
  <c r="B263" i="5"/>
  <c r="L263" i="9" s="1"/>
  <c r="A263" i="11"/>
  <c r="B279" i="5"/>
  <c r="L279" i="9" s="1"/>
  <c r="B299" i="5"/>
  <c r="B339" i="5"/>
  <c r="B359" i="5"/>
  <c r="C378" i="11"/>
  <c r="B378" i="8"/>
  <c r="A464" i="7"/>
  <c r="A464" i="11"/>
  <c r="A464" i="8"/>
  <c r="A772" i="11"/>
  <c r="A772" i="9"/>
  <c r="A666" i="7"/>
  <c r="C388" i="8"/>
  <c r="C504" i="8"/>
  <c r="B38" i="7"/>
  <c r="B38" i="9"/>
  <c r="B49" i="5"/>
  <c r="D64" i="11"/>
  <c r="C64" i="9"/>
  <c r="B79" i="5"/>
  <c r="L79" i="9" s="1"/>
  <c r="B132" i="5"/>
  <c r="A157" i="9"/>
  <c r="A157" i="11"/>
  <c r="C289" i="9"/>
  <c r="C289" i="8"/>
  <c r="B294" i="5"/>
  <c r="B369" i="5"/>
  <c r="C403" i="11"/>
  <c r="B403" i="8"/>
  <c r="A425" i="8"/>
  <c r="A425" i="7"/>
  <c r="C429" i="9"/>
  <c r="F429" i="20" s="1"/>
  <c r="C429" i="7"/>
  <c r="B464" i="5"/>
  <c r="A582" i="11"/>
  <c r="A582" i="8"/>
  <c r="B632" i="5"/>
  <c r="B642" i="5"/>
  <c r="B672" i="5"/>
  <c r="A682" i="11"/>
  <c r="A682" i="9"/>
  <c r="B707" i="5"/>
  <c r="B732" i="5"/>
  <c r="B737" i="5"/>
  <c r="B752" i="5"/>
  <c r="B762" i="5"/>
  <c r="B772" i="5"/>
  <c r="A788" i="8"/>
  <c r="A788" i="7"/>
  <c r="C64" i="7"/>
  <c r="C601" i="7"/>
  <c r="A632" i="7"/>
  <c r="A692" i="7"/>
  <c r="C131" i="8"/>
  <c r="A177" i="8"/>
  <c r="A202" i="8"/>
  <c r="A752" i="8"/>
  <c r="A646" i="9"/>
  <c r="A760" i="9"/>
  <c r="L820" i="9"/>
  <c r="B820" i="20" s="1"/>
  <c r="AL820" i="20" s="1"/>
  <c r="C48" i="9"/>
  <c r="D48" i="11"/>
  <c r="C48" i="8"/>
  <c r="A182" i="9"/>
  <c r="A182" i="11"/>
  <c r="D368" i="11"/>
  <c r="C368" i="8"/>
  <c r="A434" i="9"/>
  <c r="A434" i="11"/>
  <c r="B95" i="5"/>
  <c r="A95" i="7"/>
  <c r="A152" i="9"/>
  <c r="A152" i="11"/>
  <c r="B182" i="5"/>
  <c r="B439" i="5"/>
  <c r="B439" i="11" s="1"/>
  <c r="B459" i="5"/>
  <c r="B601" i="5"/>
  <c r="L601" i="9" s="1"/>
  <c r="C666" i="11"/>
  <c r="B666" i="8"/>
  <c r="C701" i="7"/>
  <c r="C701" i="9"/>
  <c r="A778" i="11"/>
  <c r="A778" i="8"/>
  <c r="B815" i="5"/>
  <c r="A815" i="9"/>
  <c r="A815" i="11"/>
  <c r="B5" i="7"/>
  <c r="C95" i="9"/>
  <c r="D95" i="11"/>
  <c r="L157" i="9"/>
  <c r="B157" i="11"/>
  <c r="A249" i="9"/>
  <c r="A249" i="11"/>
  <c r="A249" i="8"/>
  <c r="B414" i="5"/>
  <c r="A414" i="9"/>
  <c r="D475" i="11"/>
  <c r="C475" i="9"/>
  <c r="B501" i="5"/>
  <c r="A501" i="11"/>
  <c r="A552" i="11"/>
  <c r="A552" i="9"/>
  <c r="A552" i="8"/>
  <c r="A562" i="11"/>
  <c r="A562" i="8"/>
  <c r="A562" i="7"/>
  <c r="D571" i="11"/>
  <c r="C571" i="9"/>
  <c r="A592" i="11"/>
  <c r="A592" i="8"/>
  <c r="A622" i="11"/>
  <c r="A622" i="9"/>
  <c r="A662" i="11"/>
  <c r="A662" i="9"/>
  <c r="A662" i="8"/>
  <c r="A712" i="11"/>
  <c r="A712" i="7"/>
  <c r="A722" i="11"/>
  <c r="A722" i="9"/>
  <c r="A32" i="7"/>
  <c r="A65" i="7"/>
  <c r="C94" i="7"/>
  <c r="A372" i="7"/>
  <c r="C571" i="7"/>
  <c r="A667" i="7"/>
  <c r="L793" i="9"/>
  <c r="A821" i="9"/>
  <c r="W22" i="20"/>
  <c r="L22" i="10"/>
  <c r="AQ22" i="10"/>
  <c r="D151" i="11"/>
  <c r="C151" i="8"/>
  <c r="A172" i="8"/>
  <c r="A172" i="7"/>
  <c r="A237" i="9"/>
  <c r="A237" i="11"/>
  <c r="C388" i="11"/>
  <c r="B388" i="8"/>
  <c r="B388" i="9"/>
  <c r="D631" i="11"/>
  <c r="C631" i="9"/>
  <c r="C631" i="8"/>
  <c r="D671" i="11"/>
  <c r="C671" i="9"/>
  <c r="A84" i="8"/>
  <c r="A84" i="11"/>
  <c r="B100" i="5"/>
  <c r="L100" i="9" s="1"/>
  <c r="B142" i="5"/>
  <c r="A369" i="9"/>
  <c r="A369" i="7"/>
  <c r="A399" i="11"/>
  <c r="A399" i="7"/>
  <c r="B419" i="5"/>
  <c r="B434" i="5"/>
  <c r="B586" i="5"/>
  <c r="B90" i="8"/>
  <c r="C90" i="11"/>
  <c r="A117" i="7"/>
  <c r="A117" i="8"/>
  <c r="A269" i="9"/>
  <c r="A269" i="11"/>
  <c r="B28" i="7"/>
  <c r="C28" i="11"/>
  <c r="A96" i="11"/>
  <c r="A96" i="9"/>
  <c r="B112" i="5"/>
  <c r="A162" i="9"/>
  <c r="A162" i="11"/>
  <c r="C228" i="8"/>
  <c r="D228" i="11"/>
  <c r="B249" i="5"/>
  <c r="B259" i="5"/>
  <c r="L259" i="9" s="1"/>
  <c r="B269" i="5"/>
  <c r="B290" i="5"/>
  <c r="B329" i="5"/>
  <c r="D334" i="11"/>
  <c r="C334" i="9"/>
  <c r="F334" i="20" s="1"/>
  <c r="B349" i="5"/>
  <c r="B379" i="5"/>
  <c r="B409" i="5"/>
  <c r="A460" i="7"/>
  <c r="A460" i="9"/>
  <c r="B536" i="5"/>
  <c r="A547" i="9"/>
  <c r="A547" i="8"/>
  <c r="B552" i="5"/>
  <c r="B562" i="5"/>
  <c r="B592" i="5"/>
  <c r="A602" i="11"/>
  <c r="A602" i="9"/>
  <c r="A602" i="8"/>
  <c r="B612" i="5"/>
  <c r="B622" i="5"/>
  <c r="B662" i="5"/>
  <c r="C95" i="7"/>
  <c r="A156" i="7"/>
  <c r="A217" i="7"/>
  <c r="A349" i="7"/>
  <c r="A572" i="7"/>
  <c r="A726" i="7"/>
  <c r="C751" i="7"/>
  <c r="B267" i="8"/>
  <c r="B771" i="8"/>
  <c r="C594" i="9"/>
  <c r="AN37" i="10"/>
  <c r="Q37" i="20" s="1"/>
  <c r="O37" i="10"/>
  <c r="A142" i="11"/>
  <c r="A555" i="11"/>
  <c r="A786" i="11"/>
  <c r="U289" i="16"/>
  <c r="Q289" i="16"/>
  <c r="T90" i="16"/>
  <c r="L90" i="16"/>
  <c r="U430" i="16"/>
  <c r="Q430" i="16"/>
  <c r="Q513" i="16"/>
  <c r="U513" i="16"/>
  <c r="U526" i="16"/>
  <c r="Q526" i="16"/>
  <c r="T743" i="16"/>
  <c r="L743" i="16"/>
  <c r="U277" i="16"/>
  <c r="Q277" i="16"/>
  <c r="T341" i="16"/>
  <c r="L341" i="16"/>
  <c r="L643" i="16"/>
  <c r="T643" i="16"/>
  <c r="Q315" i="16"/>
  <c r="U315" i="16"/>
  <c r="L378" i="16"/>
  <c r="T378" i="16"/>
  <c r="T114" i="16"/>
  <c r="L114" i="16"/>
  <c r="T658" i="16"/>
  <c r="L658" i="16"/>
  <c r="T762" i="16"/>
  <c r="L762" i="16"/>
  <c r="Q49" i="16"/>
  <c r="U49" i="16"/>
  <c r="U114" i="16"/>
  <c r="Q114" i="16"/>
  <c r="T120" i="16"/>
  <c r="L120" i="16"/>
  <c r="U708" i="16"/>
  <c r="Q708" i="16"/>
  <c r="U748" i="16"/>
  <c r="Q748" i="16"/>
  <c r="Q762" i="16"/>
  <c r="U762" i="16"/>
  <c r="C770" i="9"/>
  <c r="C770" i="8"/>
  <c r="Q109" i="16"/>
  <c r="U109" i="16"/>
  <c r="T200" i="16"/>
  <c r="L200" i="16"/>
  <c r="T207" i="16"/>
  <c r="L207" i="16"/>
  <c r="T309" i="16"/>
  <c r="L580" i="16"/>
  <c r="T580" i="16"/>
  <c r="Q620" i="16"/>
  <c r="U620" i="16"/>
  <c r="T626" i="16"/>
  <c r="L626" i="16"/>
  <c r="Q645" i="16"/>
  <c r="U645" i="16"/>
  <c r="T20" i="16"/>
  <c r="L20" i="16"/>
  <c r="T208" i="16"/>
  <c r="L208" i="16"/>
  <c r="U722" i="16"/>
  <c r="Q722" i="16"/>
  <c r="Q757" i="16"/>
  <c r="U757" i="16"/>
  <c r="U781" i="16"/>
  <c r="Q781" i="16"/>
  <c r="W9" i="20"/>
  <c r="AQ9" i="10"/>
  <c r="U14" i="16"/>
  <c r="Q14" i="16"/>
  <c r="Q20" i="16"/>
  <c r="U20" i="16"/>
  <c r="Q110" i="16"/>
  <c r="U110" i="16"/>
  <c r="L152" i="16"/>
  <c r="T152" i="16"/>
  <c r="Q512" i="16"/>
  <c r="U512" i="16"/>
  <c r="Q519" i="16"/>
  <c r="U519" i="16"/>
  <c r="T710" i="16"/>
  <c r="L710" i="16"/>
  <c r="U22" i="16"/>
  <c r="Q22" i="16"/>
  <c r="T179" i="16"/>
  <c r="L179" i="16"/>
  <c r="T185" i="16"/>
  <c r="L185" i="16"/>
  <c r="T250" i="16"/>
  <c r="L250" i="16"/>
  <c r="T293" i="16"/>
  <c r="L293" i="16"/>
  <c r="T398" i="16"/>
  <c r="L398" i="16"/>
  <c r="U404" i="16"/>
  <c r="Q404" i="16"/>
  <c r="Q411" i="16"/>
  <c r="U411" i="16"/>
  <c r="Q536" i="16"/>
  <c r="U536" i="16"/>
  <c r="T654" i="16"/>
  <c r="L654" i="16"/>
  <c r="W49" i="20"/>
  <c r="AQ49" i="10"/>
  <c r="M574" i="19"/>
  <c r="T78" i="16"/>
  <c r="L78" i="16"/>
  <c r="Q84" i="16"/>
  <c r="U131" i="16"/>
  <c r="Q131" i="16"/>
  <c r="U460" i="16"/>
  <c r="Q460" i="16"/>
  <c r="T467" i="16"/>
  <c r="L467" i="16"/>
  <c r="U654" i="16"/>
  <c r="Q654" i="16"/>
  <c r="Q696" i="16"/>
  <c r="T718" i="16"/>
  <c r="L718" i="16"/>
  <c r="U789" i="16"/>
  <c r="Q789" i="16"/>
  <c r="T31" i="16"/>
  <c r="L31" i="16"/>
  <c r="T91" i="16"/>
  <c r="L91" i="16"/>
  <c r="U245" i="16"/>
  <c r="Q245" i="16"/>
  <c r="T371" i="16"/>
  <c r="T737" i="16"/>
  <c r="L246" i="16"/>
  <c r="T246" i="16"/>
  <c r="T344" i="16"/>
  <c r="L344" i="16"/>
  <c r="T351" i="16"/>
  <c r="L351" i="16"/>
  <c r="U372" i="16"/>
  <c r="Q372" i="16"/>
  <c r="Q426" i="16"/>
  <c r="U426" i="16"/>
  <c r="Q630" i="16"/>
  <c r="U630" i="16"/>
  <c r="L663" i="16"/>
  <c r="T663" i="16"/>
  <c r="Q62" i="16"/>
  <c r="U62" i="16"/>
  <c r="Q187" i="16"/>
  <c r="U187" i="16"/>
  <c r="Q193" i="16"/>
  <c r="U193" i="16"/>
  <c r="L227" i="16"/>
  <c r="T227" i="16"/>
  <c r="U252" i="16"/>
  <c r="Q252" i="16"/>
  <c r="T524" i="16"/>
  <c r="L524" i="16"/>
  <c r="T539" i="16"/>
  <c r="L539" i="16"/>
  <c r="L671" i="16"/>
  <c r="T671" i="16"/>
  <c r="L705" i="16"/>
  <c r="T705" i="16"/>
  <c r="U55" i="16"/>
  <c r="Q55" i="16"/>
  <c r="L62" i="16"/>
  <c r="T86" i="16"/>
  <c r="T92" i="16"/>
  <c r="L92" i="16"/>
  <c r="Q102" i="16"/>
  <c r="T193" i="16"/>
  <c r="L220" i="16"/>
  <c r="U227" i="16"/>
  <c r="Q227" i="16"/>
  <c r="U267" i="16"/>
  <c r="Q267" i="16"/>
  <c r="U358" i="16"/>
  <c r="Q358" i="16"/>
  <c r="T379" i="16"/>
  <c r="L379" i="16"/>
  <c r="L579" i="16"/>
  <c r="L585" i="16"/>
  <c r="T592" i="16"/>
  <c r="L592" i="16"/>
  <c r="Q618" i="16"/>
  <c r="T657" i="16"/>
  <c r="L657" i="16"/>
  <c r="AN2" i="10"/>
  <c r="W67" i="20"/>
  <c r="L67" i="10"/>
  <c r="L55" i="16"/>
  <c r="T63" i="16"/>
  <c r="L63" i="16"/>
  <c r="U127" i="16"/>
  <c r="L253" i="16"/>
  <c r="T253" i="16"/>
  <c r="L499" i="16"/>
  <c r="T499" i="16"/>
  <c r="T525" i="16"/>
  <c r="L525" i="16"/>
  <c r="L664" i="16"/>
  <c r="T664" i="16"/>
  <c r="Q671" i="16"/>
  <c r="W18" i="20"/>
  <c r="L18" i="10"/>
  <c r="AQ18" i="10"/>
  <c r="U33" i="16"/>
  <c r="Q33" i="16"/>
  <c r="Q214" i="16"/>
  <c r="U214" i="16"/>
  <c r="Q330" i="16"/>
  <c r="Q555" i="16"/>
  <c r="U555" i="16"/>
  <c r="T34" i="16"/>
  <c r="L34" i="16"/>
  <c r="L81" i="16"/>
  <c r="T81" i="16"/>
  <c r="U86" i="16"/>
  <c r="Q86" i="16"/>
  <c r="Q162" i="16"/>
  <c r="U162" i="16"/>
  <c r="U309" i="16"/>
  <c r="Q309" i="16"/>
  <c r="T316" i="16"/>
  <c r="L316" i="16"/>
  <c r="L343" i="16"/>
  <c r="T343" i="16"/>
  <c r="L548" i="16"/>
  <c r="T548" i="16"/>
  <c r="T670" i="16"/>
  <c r="L670" i="16"/>
  <c r="T769" i="16"/>
  <c r="L769" i="16"/>
  <c r="W8" i="20"/>
  <c r="AQ8" i="10"/>
  <c r="L58" i="16"/>
  <c r="T58" i="16"/>
  <c r="T93" i="16"/>
  <c r="L93" i="16"/>
  <c r="T358" i="16"/>
  <c r="L358" i="16"/>
  <c r="T407" i="16"/>
  <c r="L407" i="16"/>
  <c r="U613" i="16"/>
  <c r="Q613" i="16"/>
  <c r="U626" i="16"/>
  <c r="Q626" i="16"/>
  <c r="L672" i="16"/>
  <c r="T672" i="16"/>
  <c r="U803" i="16"/>
  <c r="Q803" i="16"/>
  <c r="T726" i="16"/>
  <c r="L726" i="16"/>
  <c r="T22" i="16"/>
  <c r="L165" i="16"/>
  <c r="U179" i="16"/>
  <c r="Q179" i="16"/>
  <c r="U198" i="16"/>
  <c r="Q198" i="16"/>
  <c r="U248" i="16"/>
  <c r="Q248" i="16"/>
  <c r="L269" i="16"/>
  <c r="T297" i="16"/>
  <c r="L297" i="16"/>
  <c r="L326" i="16"/>
  <c r="T326" i="16"/>
  <c r="T426" i="16"/>
  <c r="L491" i="16"/>
  <c r="T491" i="16"/>
  <c r="Q497" i="16"/>
  <c r="L614" i="16"/>
  <c r="T614" i="16"/>
  <c r="Q652" i="16"/>
  <c r="U652" i="16"/>
  <c r="T732" i="16"/>
  <c r="L811" i="16"/>
  <c r="T811" i="16"/>
  <c r="W36" i="20"/>
  <c r="L36" i="10"/>
  <c r="Q44" i="16"/>
  <c r="U44" i="16"/>
  <c r="T134" i="16"/>
  <c r="L134" i="16"/>
  <c r="Q157" i="16"/>
  <c r="T166" i="16"/>
  <c r="L166" i="16"/>
  <c r="T180" i="16"/>
  <c r="L180" i="16"/>
  <c r="T249" i="16"/>
  <c r="L249" i="16"/>
  <c r="U255" i="16"/>
  <c r="L353" i="16"/>
  <c r="T353" i="16"/>
  <c r="U476" i="16"/>
  <c r="Q476" i="16"/>
  <c r="U633" i="16"/>
  <c r="Q633" i="16"/>
  <c r="Q646" i="16"/>
  <c r="L652" i="16"/>
  <c r="T665" i="16"/>
  <c r="L665" i="16"/>
  <c r="L706" i="16"/>
  <c r="T706" i="16"/>
  <c r="U714" i="16"/>
  <c r="Q714" i="16"/>
  <c r="U726" i="16"/>
  <c r="Q811" i="16"/>
  <c r="U811" i="16"/>
  <c r="U11" i="16"/>
  <c r="T37" i="16"/>
  <c r="L44" i="16"/>
  <c r="T83" i="16"/>
  <c r="L83" i="16"/>
  <c r="L88" i="16"/>
  <c r="U98" i="16"/>
  <c r="T276" i="16"/>
  <c r="L276" i="16"/>
  <c r="T331" i="16"/>
  <c r="Q529" i="16"/>
  <c r="U529" i="16"/>
  <c r="T537" i="16"/>
  <c r="L537" i="16"/>
  <c r="Q608" i="16"/>
  <c r="U679" i="16"/>
  <c r="Q679" i="16"/>
  <c r="T805" i="16"/>
  <c r="L805" i="16"/>
  <c r="O15" i="18"/>
  <c r="T7" i="16"/>
  <c r="L7" i="16"/>
  <c r="T23" i="16"/>
  <c r="Q52" i="16"/>
  <c r="U52" i="16"/>
  <c r="U108" i="16"/>
  <c r="Q108" i="16"/>
  <c r="T128" i="16"/>
  <c r="U153" i="16"/>
  <c r="Q153" i="16"/>
  <c r="U224" i="16"/>
  <c r="Q224" i="16"/>
  <c r="U353" i="16"/>
  <c r="U421" i="16"/>
  <c r="L530" i="16"/>
  <c r="T530" i="16"/>
  <c r="U603" i="16"/>
  <c r="U634" i="16"/>
  <c r="Q634" i="16"/>
  <c r="Q673" i="16"/>
  <c r="AB57" i="20"/>
  <c r="AD57" i="20" s="1"/>
  <c r="W23" i="20"/>
  <c r="AQ23" i="10"/>
  <c r="M8" i="20"/>
  <c r="L65" i="16"/>
  <c r="U99" i="16"/>
  <c r="Q99" i="16"/>
  <c r="Q167" i="16"/>
  <c r="U167" i="16"/>
  <c r="T186" i="16"/>
  <c r="Q199" i="16"/>
  <c r="U332" i="16"/>
  <c r="Q332" i="16"/>
  <c r="L498" i="16"/>
  <c r="U530" i="16"/>
  <c r="Q530" i="16"/>
  <c r="T584" i="16"/>
  <c r="L584" i="16"/>
  <c r="Q597" i="16"/>
  <c r="U597" i="16"/>
  <c r="T721" i="16"/>
  <c r="L721" i="16"/>
  <c r="T773" i="16"/>
  <c r="L773" i="16"/>
  <c r="L35" i="16"/>
  <c r="T35" i="16"/>
  <c r="U166" i="16"/>
  <c r="Q166" i="16"/>
  <c r="Q173" i="16"/>
  <c r="U173" i="16"/>
  <c r="Q331" i="16"/>
  <c r="U331" i="16"/>
  <c r="U470" i="16"/>
  <c r="Q470" i="16"/>
  <c r="Q614" i="16"/>
  <c r="U614" i="16"/>
  <c r="T703" i="16"/>
  <c r="L703" i="16"/>
  <c r="T821" i="16"/>
  <c r="L821" i="16"/>
  <c r="T71" i="16"/>
  <c r="L71" i="16"/>
  <c r="U116" i="16"/>
  <c r="Q116" i="16"/>
  <c r="L122" i="16"/>
  <c r="T122" i="16"/>
  <c r="T268" i="16"/>
  <c r="L268" i="16"/>
  <c r="U314" i="16"/>
  <c r="Q314" i="16"/>
  <c r="L333" i="16"/>
  <c r="T333" i="16"/>
  <c r="U528" i="16"/>
  <c r="Q528" i="16"/>
  <c r="U548" i="16"/>
  <c r="Q548" i="16"/>
  <c r="U580" i="16"/>
  <c r="Q580" i="16"/>
  <c r="L600" i="16"/>
  <c r="T600" i="16"/>
  <c r="U635" i="16"/>
  <c r="Q635" i="16"/>
  <c r="T685" i="16"/>
  <c r="L685" i="16"/>
  <c r="Q43" i="16"/>
  <c r="U107" i="16"/>
  <c r="Q107" i="16"/>
  <c r="T187" i="16"/>
  <c r="L187" i="16"/>
  <c r="U268" i="16"/>
  <c r="Q268" i="16"/>
  <c r="Q300" i="16"/>
  <c r="U300" i="16"/>
  <c r="U387" i="16"/>
  <c r="Q387" i="16"/>
  <c r="Q439" i="16"/>
  <c r="Q452" i="16"/>
  <c r="U494" i="16"/>
  <c r="Q494" i="16"/>
  <c r="U593" i="16"/>
  <c r="Q593" i="16"/>
  <c r="U699" i="16"/>
  <c r="Q699" i="16"/>
  <c r="L151" i="16"/>
  <c r="T151" i="16"/>
  <c r="Q176" i="16"/>
  <c r="U176" i="16"/>
  <c r="L256" i="16"/>
  <c r="T256" i="16"/>
  <c r="U595" i="16"/>
  <c r="Q595" i="16"/>
  <c r="T118" i="16"/>
  <c r="L118" i="16"/>
  <c r="Q133" i="16"/>
  <c r="U133" i="16"/>
  <c r="T244" i="16"/>
  <c r="L244" i="16"/>
  <c r="Q256" i="16"/>
  <c r="U256" i="16"/>
  <c r="U369" i="16"/>
  <c r="Q369" i="16"/>
  <c r="L519" i="16"/>
  <c r="T519" i="16"/>
  <c r="Q667" i="16"/>
  <c r="U667" i="16"/>
  <c r="L759" i="16"/>
  <c r="T759" i="16"/>
  <c r="U10" i="11"/>
  <c r="T6" i="16"/>
  <c r="L6" i="16"/>
  <c r="U26" i="16"/>
  <c r="U152" i="16"/>
  <c r="Q152" i="16"/>
  <c r="U189" i="16"/>
  <c r="Q189" i="16"/>
  <c r="U335" i="16"/>
  <c r="L422" i="16"/>
  <c r="T422" i="16"/>
  <c r="U551" i="16"/>
  <c r="T619" i="16"/>
  <c r="T688" i="16"/>
  <c r="U695" i="16"/>
  <c r="Q695" i="16"/>
  <c r="U738" i="16"/>
  <c r="L803" i="16"/>
  <c r="AQ27" i="10"/>
  <c r="L65" i="10"/>
  <c r="AU65" i="10" s="1"/>
  <c r="Q46" i="16"/>
  <c r="U46" i="16"/>
  <c r="Q53" i="16"/>
  <c r="U53" i="16"/>
  <c r="T74" i="16"/>
  <c r="U96" i="16"/>
  <c r="Q96" i="16"/>
  <c r="U304" i="16"/>
  <c r="Q304" i="16"/>
  <c r="U463" i="16"/>
  <c r="Q463" i="16"/>
  <c r="T476" i="16"/>
  <c r="L476" i="16"/>
  <c r="U612" i="16"/>
  <c r="T760" i="16"/>
  <c r="L760" i="16"/>
  <c r="L798" i="16"/>
  <c r="T798" i="16"/>
  <c r="L22" i="18"/>
  <c r="Q285" i="16"/>
  <c r="U285" i="16"/>
  <c r="T393" i="16"/>
  <c r="L393" i="16"/>
  <c r="U569" i="16"/>
  <c r="Q569" i="16"/>
  <c r="T801" i="16"/>
  <c r="L801" i="16"/>
  <c r="Q821" i="16"/>
  <c r="U821" i="16"/>
  <c r="U801" i="16"/>
  <c r="Q801" i="16"/>
  <c r="J19" i="18"/>
  <c r="K19" i="18" s="1"/>
  <c r="L19" i="18" s="1"/>
  <c r="L80" i="16"/>
  <c r="L144" i="16"/>
  <c r="T212" i="16"/>
  <c r="L212" i="16"/>
  <c r="L225" i="16"/>
  <c r="T225" i="16"/>
  <c r="L260" i="16"/>
  <c r="U266" i="16"/>
  <c r="L277" i="16"/>
  <c r="U368" i="16"/>
  <c r="Q368" i="16"/>
  <c r="T406" i="16"/>
  <c r="L418" i="16"/>
  <c r="L463" i="16"/>
  <c r="L480" i="16"/>
  <c r="T487" i="16"/>
  <c r="T510" i="16"/>
  <c r="L510" i="16"/>
  <c r="T552" i="16"/>
  <c r="L564" i="16"/>
  <c r="T564" i="16"/>
  <c r="T575" i="16"/>
  <c r="L575" i="16"/>
  <c r="T587" i="16"/>
  <c r="U615" i="16"/>
  <c r="Q615" i="16"/>
  <c r="Q621" i="16"/>
  <c r="U788" i="16"/>
  <c r="U795" i="16"/>
  <c r="Q795" i="16"/>
  <c r="L23" i="18"/>
  <c r="L27" i="18"/>
  <c r="T100" i="16"/>
  <c r="L100" i="16"/>
  <c r="T129" i="16"/>
  <c r="U139" i="16"/>
  <c r="Q139" i="16"/>
  <c r="U174" i="16"/>
  <c r="U207" i="16"/>
  <c r="L505" i="16"/>
  <c r="T505" i="16"/>
  <c r="T534" i="16"/>
  <c r="L534" i="16"/>
  <c r="U552" i="16"/>
  <c r="Q575" i="16"/>
  <c r="U575" i="16"/>
  <c r="Q610" i="16"/>
  <c r="U610" i="16"/>
  <c r="T645" i="16"/>
  <c r="L645" i="16"/>
  <c r="Q674" i="16"/>
  <c r="U680" i="16"/>
  <c r="Q680" i="16"/>
  <c r="L711" i="16"/>
  <c r="L722" i="16"/>
  <c r="T722" i="16"/>
  <c r="T770" i="16"/>
  <c r="L795" i="16"/>
  <c r="Q807" i="16"/>
  <c r="L14" i="16"/>
  <c r="T19" i="16"/>
  <c r="T41" i="16"/>
  <c r="L47" i="16"/>
  <c r="U59" i="16"/>
  <c r="T125" i="16"/>
  <c r="T162" i="16"/>
  <c r="T203" i="16"/>
  <c r="L203" i="16"/>
  <c r="L310" i="16"/>
  <c r="Q355" i="16"/>
  <c r="T443" i="16"/>
  <c r="L450" i="16"/>
  <c r="T450" i="16"/>
  <c r="Q457" i="16"/>
  <c r="L475" i="16"/>
  <c r="Q523" i="16"/>
  <c r="U523" i="16"/>
  <c r="Q546" i="16"/>
  <c r="L559" i="16"/>
  <c r="Q570" i="16"/>
  <c r="L588" i="16"/>
  <c r="Q718" i="16"/>
  <c r="U718" i="16"/>
  <c r="Q746" i="16"/>
  <c r="T777" i="16"/>
  <c r="L789" i="16"/>
  <c r="T815" i="16"/>
  <c r="L815" i="16"/>
  <c r="Q30" i="16"/>
  <c r="U30" i="16"/>
  <c r="T267" i="16"/>
  <c r="U350" i="16"/>
  <c r="U482" i="16"/>
  <c r="Q482" i="16"/>
  <c r="T571" i="16"/>
  <c r="L571" i="16"/>
  <c r="T577" i="16"/>
  <c r="L577" i="16"/>
  <c r="L735" i="16"/>
  <c r="T735" i="16"/>
  <c r="L790" i="16"/>
  <c r="T790" i="16"/>
  <c r="Q815" i="16"/>
  <c r="U815" i="16"/>
  <c r="T642" i="16"/>
  <c r="L642" i="16"/>
  <c r="Q659" i="16"/>
  <c r="U659" i="16"/>
  <c r="L676" i="16"/>
  <c r="T676" i="16"/>
  <c r="T694" i="16"/>
  <c r="L694" i="16"/>
  <c r="U783" i="16"/>
  <c r="Q783" i="16"/>
  <c r="Q351" i="16"/>
  <c r="U351" i="16"/>
  <c r="T495" i="16"/>
  <c r="L495" i="16"/>
  <c r="U665" i="16"/>
  <c r="Q665" i="16"/>
  <c r="T744" i="16"/>
  <c r="L744" i="16"/>
  <c r="T197" i="16"/>
  <c r="L197" i="16"/>
  <c r="T561" i="16"/>
  <c r="L561" i="16"/>
  <c r="T701" i="16"/>
  <c r="L701" i="16"/>
  <c r="U744" i="16"/>
  <c r="Q744" i="16"/>
  <c r="Q774" i="16"/>
  <c r="U774" i="16"/>
  <c r="Q816" i="16"/>
  <c r="U816" i="16"/>
  <c r="Q380" i="16"/>
  <c r="U388" i="16"/>
  <c r="Q388" i="16"/>
  <c r="L483" i="16"/>
  <c r="T483" i="16"/>
  <c r="Q538" i="16"/>
  <c r="Q543" i="16"/>
  <c r="U713" i="16"/>
  <c r="Q713" i="16"/>
  <c r="Q739" i="16"/>
  <c r="T752" i="16"/>
  <c r="L752" i="16"/>
  <c r="U36" i="16"/>
  <c r="Q79" i="16"/>
  <c r="L145" i="16"/>
  <c r="L160" i="16"/>
  <c r="T178" i="16"/>
  <c r="L178" i="16"/>
  <c r="Q197" i="16"/>
  <c r="L230" i="16"/>
  <c r="U235" i="16"/>
  <c r="L241" i="16"/>
  <c r="Q278" i="16"/>
  <c r="Q286" i="16"/>
  <c r="T301" i="16"/>
  <c r="T347" i="16"/>
  <c r="L347" i="16"/>
  <c r="L375" i="16"/>
  <c r="Q399" i="16"/>
  <c r="T461" i="16"/>
  <c r="T522" i="16"/>
  <c r="T538" i="16"/>
  <c r="U550" i="16"/>
  <c r="Q550" i="16"/>
  <c r="U566" i="16"/>
  <c r="L578" i="16"/>
  <c r="U638" i="16"/>
  <c r="U661" i="16"/>
  <c r="Q661" i="16"/>
  <c r="T707" i="16"/>
  <c r="L713" i="16"/>
  <c r="Q728" i="16"/>
  <c r="Q745" i="16"/>
  <c r="U745" i="16"/>
  <c r="T758" i="16"/>
  <c r="Q809" i="16"/>
  <c r="T740" i="16"/>
  <c r="L740" i="16"/>
  <c r="L818" i="16"/>
  <c r="T818" i="16"/>
  <c r="J24" i="18"/>
  <c r="K24" i="18" s="1"/>
  <c r="L24" i="18" s="1"/>
  <c r="T730" i="16"/>
  <c r="L730" i="16"/>
  <c r="U405" i="16"/>
  <c r="U427" i="16"/>
  <c r="U489" i="16"/>
  <c r="Q505" i="16"/>
  <c r="U509" i="16"/>
  <c r="Q677" i="16"/>
  <c r="U704" i="16"/>
  <c r="J6" i="18"/>
  <c r="K6" i="18" s="1"/>
  <c r="L6" i="18" s="1"/>
  <c r="J14" i="18"/>
  <c r="K14" i="18" s="1"/>
  <c r="L14" i="18" s="1"/>
  <c r="Q790" i="16"/>
  <c r="L666" i="16"/>
  <c r="L697" i="16"/>
  <c r="L717" i="16"/>
  <c r="L750" i="16"/>
  <c r="D89" i="11"/>
  <c r="C89" i="7"/>
  <c r="C89" i="9"/>
  <c r="C89" i="8"/>
  <c r="B116" i="7"/>
  <c r="C116" i="11"/>
  <c r="B116" i="8"/>
  <c r="B116" i="9"/>
  <c r="C207" i="9"/>
  <c r="D207" i="11"/>
  <c r="C207" i="8"/>
  <c r="C207" i="7"/>
  <c r="D242" i="11"/>
  <c r="C242" i="9"/>
  <c r="C242" i="7"/>
  <c r="C242" i="8"/>
  <c r="D283" i="11"/>
  <c r="C283" i="8"/>
  <c r="C283" i="9"/>
  <c r="C283" i="7"/>
  <c r="F318" i="20"/>
  <c r="C318" i="16"/>
  <c r="E318" i="19"/>
  <c r="B343" i="9"/>
  <c r="C343" i="11"/>
  <c r="B343" i="8"/>
  <c r="B343" i="7"/>
  <c r="D469" i="11"/>
  <c r="C469" i="8"/>
  <c r="C469" i="7"/>
  <c r="C469" i="9"/>
  <c r="L541" i="9"/>
  <c r="B541" i="11"/>
  <c r="C576" i="11"/>
  <c r="B576" i="9"/>
  <c r="B576" i="7"/>
  <c r="B576" i="8"/>
  <c r="D646" i="11"/>
  <c r="C646" i="9"/>
  <c r="C646" i="8"/>
  <c r="C646" i="7"/>
  <c r="B777" i="11"/>
  <c r="L777" i="9"/>
  <c r="H388" i="16"/>
  <c r="P388" i="16" s="1"/>
  <c r="H388" i="20"/>
  <c r="F388" i="19"/>
  <c r="L18" i="9"/>
  <c r="B18" i="11"/>
  <c r="C32" i="8"/>
  <c r="D32" i="11"/>
  <c r="C32" i="7"/>
  <c r="C32" i="9"/>
  <c r="B43" i="9"/>
  <c r="C43" i="11"/>
  <c r="B43" i="7"/>
  <c r="B43" i="8"/>
  <c r="B74" i="9"/>
  <c r="B74" i="8"/>
  <c r="B74" i="7"/>
  <c r="C74" i="11"/>
  <c r="B100" i="8"/>
  <c r="B100" i="9"/>
  <c r="B100" i="7"/>
  <c r="C100" i="11"/>
  <c r="B127" i="20"/>
  <c r="AL127" i="20" s="1"/>
  <c r="B127" i="19"/>
  <c r="B147" i="9"/>
  <c r="C147" i="11"/>
  <c r="B147" i="8"/>
  <c r="B147" i="7"/>
  <c r="C166" i="16"/>
  <c r="F166" i="20"/>
  <c r="E166" i="19"/>
  <c r="B177" i="9"/>
  <c r="C177" i="11"/>
  <c r="B177" i="7"/>
  <c r="B177" i="8"/>
  <c r="B237" i="9"/>
  <c r="C237" i="11"/>
  <c r="B237" i="8"/>
  <c r="B237" i="7"/>
  <c r="C289" i="16"/>
  <c r="F289" i="20"/>
  <c r="E289" i="19"/>
  <c r="C343" i="8"/>
  <c r="C343" i="9"/>
  <c r="D343" i="11"/>
  <c r="C343" i="7"/>
  <c r="D393" i="11"/>
  <c r="C393" i="7"/>
  <c r="C393" i="9"/>
  <c r="C393" i="8"/>
  <c r="C429" i="16"/>
  <c r="E429" i="19"/>
  <c r="B434" i="7"/>
  <c r="B434" i="8"/>
  <c r="B434" i="9"/>
  <c r="C434" i="11"/>
  <c r="C439" i="11"/>
  <c r="B439" i="9"/>
  <c r="B439" i="7"/>
  <c r="B439" i="8"/>
  <c r="B510" i="8"/>
  <c r="C510" i="11"/>
  <c r="B510" i="7"/>
  <c r="B510" i="9"/>
  <c r="D576" i="11"/>
  <c r="C576" i="9"/>
  <c r="C576" i="7"/>
  <c r="C576" i="8"/>
  <c r="D666" i="11"/>
  <c r="C666" i="7"/>
  <c r="C666" i="8"/>
  <c r="C666" i="9"/>
  <c r="C746" i="11"/>
  <c r="B746" i="7"/>
  <c r="B746" i="9"/>
  <c r="B746" i="8"/>
  <c r="B808" i="16"/>
  <c r="E808" i="20"/>
  <c r="AM808" i="20" s="1"/>
  <c r="C2" i="11"/>
  <c r="I12" i="5"/>
  <c r="E12" i="1" s="1"/>
  <c r="I9" i="5"/>
  <c r="I21" i="5"/>
  <c r="I8" i="5"/>
  <c r="I19" i="5"/>
  <c r="I22" i="5"/>
  <c r="B2" i="7"/>
  <c r="I11" i="5"/>
  <c r="I7" i="5"/>
  <c r="C12" i="1" s="1"/>
  <c r="B2" i="8"/>
  <c r="I20" i="5"/>
  <c r="B2" i="9"/>
  <c r="I10" i="5"/>
  <c r="I23" i="5"/>
  <c r="I13" i="5"/>
  <c r="B610" i="8"/>
  <c r="B610" i="9"/>
  <c r="C610" i="11"/>
  <c r="B610" i="7"/>
  <c r="B66" i="7"/>
  <c r="B66" i="9"/>
  <c r="B66" i="8"/>
  <c r="C66" i="11"/>
  <c r="C173" i="9"/>
  <c r="C173" i="7"/>
  <c r="C173" i="8"/>
  <c r="D173" i="11"/>
  <c r="D280" i="11"/>
  <c r="C280" i="7"/>
  <c r="C280" i="8"/>
  <c r="C280" i="9"/>
  <c r="B390" i="8"/>
  <c r="B390" i="7"/>
  <c r="C390" i="11"/>
  <c r="B390" i="9"/>
  <c r="B421" i="11"/>
  <c r="L421" i="9"/>
  <c r="D506" i="11"/>
  <c r="C506" i="9"/>
  <c r="C506" i="7"/>
  <c r="C506" i="8"/>
  <c r="L773" i="9"/>
  <c r="B773" i="11"/>
  <c r="C799" i="11"/>
  <c r="B799" i="9"/>
  <c r="B799" i="8"/>
  <c r="B106" i="9"/>
  <c r="C106" i="11"/>
  <c r="B106" i="8"/>
  <c r="B106" i="7"/>
  <c r="D82" i="11"/>
  <c r="C82" i="8"/>
  <c r="C82" i="7"/>
  <c r="C82" i="9"/>
  <c r="D757" i="11"/>
  <c r="C757" i="7"/>
  <c r="C757" i="9"/>
  <c r="C757" i="8"/>
  <c r="B123" i="9"/>
  <c r="C123" i="11"/>
  <c r="B123" i="7"/>
  <c r="B123" i="8"/>
  <c r="B199" i="9"/>
  <c r="C199" i="11"/>
  <c r="B199" i="8"/>
  <c r="B199" i="7"/>
  <c r="L306" i="9"/>
  <c r="B306" i="11"/>
  <c r="C390" i="8"/>
  <c r="D390" i="11"/>
  <c r="C390" i="9"/>
  <c r="C390" i="7"/>
  <c r="D446" i="11"/>
  <c r="C446" i="7"/>
  <c r="C446" i="8"/>
  <c r="C446" i="9"/>
  <c r="B477" i="9"/>
  <c r="B477" i="8"/>
  <c r="B477" i="7"/>
  <c r="C477" i="11"/>
  <c r="B537" i="9"/>
  <c r="B537" i="7"/>
  <c r="C537" i="11"/>
  <c r="B537" i="8"/>
  <c r="L663" i="9"/>
  <c r="B663" i="11"/>
  <c r="B723" i="9"/>
  <c r="C723" i="11"/>
  <c r="B723" i="8"/>
  <c r="B723" i="7"/>
  <c r="B753" i="11"/>
  <c r="L753" i="9"/>
  <c r="D799" i="11"/>
  <c r="C799" i="9"/>
  <c r="C799" i="8"/>
  <c r="L154" i="9"/>
  <c r="B154" i="11"/>
  <c r="B169" i="9"/>
  <c r="C169" i="11"/>
  <c r="B169" i="7"/>
  <c r="B169" i="8"/>
  <c r="C250" i="9"/>
  <c r="D250" i="11"/>
  <c r="C250" i="8"/>
  <c r="C250" i="7"/>
  <c r="C306" i="8"/>
  <c r="C306" i="7"/>
  <c r="D306" i="11"/>
  <c r="C306" i="9"/>
  <c r="C356" i="11"/>
  <c r="B356" i="8"/>
  <c r="B356" i="9"/>
  <c r="B356" i="7"/>
  <c r="B447" i="9"/>
  <c r="B447" i="8"/>
  <c r="B447" i="7"/>
  <c r="C447" i="11"/>
  <c r="B553" i="9"/>
  <c r="C553" i="11"/>
  <c r="B553" i="7"/>
  <c r="B553" i="8"/>
  <c r="D563" i="11"/>
  <c r="C563" i="8"/>
  <c r="C563" i="9"/>
  <c r="C563" i="7"/>
  <c r="D629" i="11"/>
  <c r="C629" i="8"/>
  <c r="C629" i="7"/>
  <c r="C629" i="9"/>
  <c r="C779" i="16"/>
  <c r="F779" i="20"/>
  <c r="E779" i="19"/>
  <c r="B693" i="9"/>
  <c r="C693" i="11"/>
  <c r="B693" i="8"/>
  <c r="B693" i="7"/>
  <c r="B35" i="16"/>
  <c r="E35" i="20"/>
  <c r="AM35" i="20" s="1"/>
  <c r="D40" i="11"/>
  <c r="C40" i="9"/>
  <c r="C40" i="8"/>
  <c r="C40" i="7"/>
  <c r="B67" i="11"/>
  <c r="L67" i="9"/>
  <c r="B124" i="16"/>
  <c r="E124" i="20"/>
  <c r="AM124" i="20" s="1"/>
  <c r="D169" i="11"/>
  <c r="C169" i="9"/>
  <c r="C169" i="8"/>
  <c r="C169" i="7"/>
  <c r="C200" i="11"/>
  <c r="B200" i="8"/>
  <c r="B200" i="9"/>
  <c r="B200" i="7"/>
  <c r="B230" i="8"/>
  <c r="C230" i="11"/>
  <c r="B230" i="9"/>
  <c r="B230" i="7"/>
  <c r="B276" i="9"/>
  <c r="C276" i="11"/>
  <c r="B276" i="7"/>
  <c r="B276" i="8"/>
  <c r="C296" i="11"/>
  <c r="B296" i="9"/>
  <c r="B296" i="8"/>
  <c r="B296" i="7"/>
  <c r="D356" i="11"/>
  <c r="C356" i="8"/>
  <c r="C356" i="9"/>
  <c r="C356" i="7"/>
  <c r="D416" i="11"/>
  <c r="C416" i="8"/>
  <c r="C416" i="9"/>
  <c r="C416" i="7"/>
  <c r="B517" i="9"/>
  <c r="B517" i="8"/>
  <c r="C517" i="11"/>
  <c r="B517" i="7"/>
  <c r="C553" i="9"/>
  <c r="C553" i="7"/>
  <c r="C553" i="8"/>
  <c r="D553" i="11"/>
  <c r="L564" i="9"/>
  <c r="B564" i="11"/>
  <c r="L614" i="9"/>
  <c r="B614" i="11"/>
  <c r="C659" i="11"/>
  <c r="B659" i="9"/>
  <c r="B659" i="7"/>
  <c r="B659" i="8"/>
  <c r="C689" i="11"/>
  <c r="B689" i="9"/>
  <c r="B689" i="7"/>
  <c r="B689" i="8"/>
  <c r="C719" i="11"/>
  <c r="B719" i="9"/>
  <c r="B719" i="7"/>
  <c r="B719" i="8"/>
  <c r="B794" i="8"/>
  <c r="C794" i="11"/>
  <c r="B794" i="9"/>
  <c r="C800" i="16"/>
  <c r="F800" i="20"/>
  <c r="E800" i="19"/>
  <c r="C43" i="7"/>
  <c r="C43" i="8"/>
  <c r="C43" i="9"/>
  <c r="D43" i="11"/>
  <c r="B84" i="7"/>
  <c r="B84" i="8"/>
  <c r="B84" i="9"/>
  <c r="C84" i="11"/>
  <c r="B284" i="7"/>
  <c r="B284" i="9"/>
  <c r="C284" i="11"/>
  <c r="B284" i="8"/>
  <c r="B314" i="8"/>
  <c r="C314" i="11"/>
  <c r="B314" i="7"/>
  <c r="B314" i="9"/>
  <c r="B464" i="7"/>
  <c r="B464" i="9"/>
  <c r="C464" i="11"/>
  <c r="B464" i="8"/>
  <c r="L667" i="9"/>
  <c r="B667" i="11"/>
  <c r="B70" i="8"/>
  <c r="B70" i="7"/>
  <c r="B70" i="9"/>
  <c r="C70" i="11"/>
  <c r="D132" i="11"/>
  <c r="C132" i="8"/>
  <c r="C132" i="9"/>
  <c r="C132" i="7"/>
  <c r="B203" i="11"/>
  <c r="L203" i="9"/>
  <c r="D253" i="11"/>
  <c r="C253" i="8"/>
  <c r="C253" i="9"/>
  <c r="C253" i="7"/>
  <c r="C389" i="11"/>
  <c r="B389" i="9"/>
  <c r="B389" i="8"/>
  <c r="B389" i="7"/>
  <c r="D450" i="11"/>
  <c r="C450" i="9"/>
  <c r="C450" i="7"/>
  <c r="C450" i="8"/>
  <c r="B727" i="9"/>
  <c r="B727" i="8"/>
  <c r="C727" i="11"/>
  <c r="B727" i="7"/>
  <c r="L360" i="9"/>
  <c r="B360" i="11"/>
  <c r="L451" i="9"/>
  <c r="B451" i="11"/>
  <c r="C798" i="16"/>
  <c r="F798" i="20"/>
  <c r="E798" i="19"/>
  <c r="B522" i="9"/>
  <c r="B522" i="7"/>
  <c r="B522" i="8"/>
  <c r="C522" i="11"/>
  <c r="B601" i="9"/>
  <c r="C601" i="11"/>
  <c r="B601" i="8"/>
  <c r="B601" i="7"/>
  <c r="L340" i="9"/>
  <c r="B340" i="11"/>
  <c r="B360" i="7"/>
  <c r="B360" i="9"/>
  <c r="B360" i="8"/>
  <c r="C360" i="11"/>
  <c r="B420" i="7"/>
  <c r="B420" i="9"/>
  <c r="B420" i="8"/>
  <c r="C420" i="11"/>
  <c r="D536" i="11"/>
  <c r="C536" i="7"/>
  <c r="C536" i="8"/>
  <c r="C536" i="9"/>
  <c r="D772" i="11"/>
  <c r="C772" i="8"/>
  <c r="C772" i="9"/>
  <c r="C772" i="7"/>
  <c r="H420" i="16"/>
  <c r="P420" i="16" s="1"/>
  <c r="H420" i="20"/>
  <c r="F420" i="19"/>
  <c r="B473" i="9"/>
  <c r="C473" i="11"/>
  <c r="B473" i="8"/>
  <c r="B473" i="7"/>
  <c r="B590" i="8"/>
  <c r="B590" i="7"/>
  <c r="C590" i="11"/>
  <c r="B590" i="9"/>
  <c r="C39" i="9"/>
  <c r="C39" i="8"/>
  <c r="D39" i="11"/>
  <c r="C39" i="7"/>
  <c r="C238" i="16"/>
  <c r="F238" i="20"/>
  <c r="E238" i="19"/>
  <c r="C254" i="16"/>
  <c r="F254" i="20"/>
  <c r="E254" i="19"/>
  <c r="C310" i="9"/>
  <c r="C310" i="7"/>
  <c r="C310" i="8"/>
  <c r="D310" i="11"/>
  <c r="C506" i="11"/>
  <c r="B506" i="9"/>
  <c r="B506" i="7"/>
  <c r="B506" i="8"/>
  <c r="C572" i="8"/>
  <c r="C572" i="9"/>
  <c r="C572" i="7"/>
  <c r="D572" i="11"/>
  <c r="AB2" i="11"/>
  <c r="L2" i="11"/>
  <c r="M2" i="11" s="1"/>
  <c r="AJ2" i="19" s="1"/>
  <c r="AK2" i="19" s="1"/>
  <c r="C123" i="8"/>
  <c r="C123" i="7"/>
  <c r="C123" i="9"/>
  <c r="D123" i="11"/>
  <c r="B250" i="8"/>
  <c r="B250" i="9"/>
  <c r="C250" i="11"/>
  <c r="B250" i="7"/>
  <c r="B336" i="8"/>
  <c r="C336" i="11"/>
  <c r="B336" i="9"/>
  <c r="B336" i="7"/>
  <c r="B9" i="7"/>
  <c r="B9" i="8"/>
  <c r="B9" i="9"/>
  <c r="C9" i="11"/>
  <c r="B36" i="11"/>
  <c r="L36" i="9"/>
  <c r="C46" i="16"/>
  <c r="F46" i="20"/>
  <c r="E46" i="19"/>
  <c r="C119" i="16"/>
  <c r="F119" i="20"/>
  <c r="E119" i="19"/>
  <c r="C140" i="11"/>
  <c r="B140" i="8"/>
  <c r="B140" i="9"/>
  <c r="B140" i="7"/>
  <c r="B170" i="8"/>
  <c r="C170" i="11"/>
  <c r="B170" i="9"/>
  <c r="B170" i="7"/>
  <c r="C215" i="16"/>
  <c r="F215" i="20"/>
  <c r="E215" i="19"/>
  <c r="C386" i="11"/>
  <c r="B386" i="9"/>
  <c r="B386" i="7"/>
  <c r="B386" i="8"/>
  <c r="C427" i="9"/>
  <c r="C427" i="7"/>
  <c r="D427" i="11"/>
  <c r="C427" i="8"/>
  <c r="C442" i="9"/>
  <c r="C442" i="8"/>
  <c r="D442" i="11"/>
  <c r="C442" i="7"/>
  <c r="B624" i="7"/>
  <c r="B624" i="9"/>
  <c r="C624" i="11"/>
  <c r="B624" i="8"/>
  <c r="L720" i="9"/>
  <c r="B720" i="11"/>
  <c r="C780" i="8"/>
  <c r="C780" i="9"/>
  <c r="D780" i="11"/>
  <c r="C780" i="7"/>
  <c r="L110" i="9"/>
  <c r="B110" i="11"/>
  <c r="C140" i="8"/>
  <c r="C140" i="7"/>
  <c r="D140" i="11"/>
  <c r="C140" i="9"/>
  <c r="D170" i="11"/>
  <c r="C170" i="9"/>
  <c r="C170" i="8"/>
  <c r="C170" i="7"/>
  <c r="A216" i="20"/>
  <c r="A216" i="16"/>
  <c r="A216" i="19"/>
  <c r="B246" i="9"/>
  <c r="B246" i="7"/>
  <c r="B246" i="8"/>
  <c r="C246" i="11"/>
  <c r="B266" i="8"/>
  <c r="C266" i="11"/>
  <c r="B266" i="9"/>
  <c r="B266" i="7"/>
  <c r="B277" i="9"/>
  <c r="B277" i="7"/>
  <c r="C277" i="11"/>
  <c r="B277" i="8"/>
  <c r="D287" i="11"/>
  <c r="C287" i="9"/>
  <c r="C287" i="8"/>
  <c r="C287" i="7"/>
  <c r="D292" i="11"/>
  <c r="C292" i="8"/>
  <c r="C292" i="7"/>
  <c r="C292" i="9"/>
  <c r="C362" i="16"/>
  <c r="E362" i="19"/>
  <c r="F362" i="20"/>
  <c r="C457" i="9"/>
  <c r="C457" i="7"/>
  <c r="C457" i="8"/>
  <c r="D457" i="11"/>
  <c r="B544" i="7"/>
  <c r="B544" i="9"/>
  <c r="C544" i="11"/>
  <c r="B544" i="8"/>
  <c r="D549" i="11"/>
  <c r="C549" i="9"/>
  <c r="C549" i="7"/>
  <c r="C549" i="8"/>
  <c r="D806" i="11"/>
  <c r="C806" i="9"/>
  <c r="C806" i="8"/>
  <c r="H193" i="16"/>
  <c r="P193" i="16" s="1"/>
  <c r="H193" i="20"/>
  <c r="F193" i="19"/>
  <c r="D6" i="19"/>
  <c r="B6" i="9"/>
  <c r="B6" i="8"/>
  <c r="C6" i="11"/>
  <c r="B6" i="7"/>
  <c r="B17" i="9"/>
  <c r="C17" i="11"/>
  <c r="B17" i="7"/>
  <c r="B17" i="8"/>
  <c r="B127" i="9"/>
  <c r="B127" i="8"/>
  <c r="C127" i="11"/>
  <c r="B127" i="7"/>
  <c r="D177" i="11"/>
  <c r="C177" i="9"/>
  <c r="C177" i="7"/>
  <c r="C177" i="8"/>
  <c r="B253" i="9"/>
  <c r="C253" i="11"/>
  <c r="B253" i="8"/>
  <c r="B253" i="7"/>
  <c r="D419" i="11"/>
  <c r="C419" i="7"/>
  <c r="C419" i="8"/>
  <c r="C419" i="9"/>
  <c r="C510" i="8"/>
  <c r="C510" i="7"/>
  <c r="C510" i="9"/>
  <c r="D510" i="11"/>
  <c r="B697" i="9"/>
  <c r="C697" i="11"/>
  <c r="B697" i="7"/>
  <c r="B697" i="8"/>
  <c r="D746" i="11"/>
  <c r="C746" i="8"/>
  <c r="C746" i="7"/>
  <c r="C746" i="9"/>
  <c r="B803" i="9"/>
  <c r="C803" i="11"/>
  <c r="B803" i="8"/>
  <c r="D460" i="11"/>
  <c r="C460" i="9"/>
  <c r="C460" i="8"/>
  <c r="C460" i="7"/>
  <c r="C79" i="16"/>
  <c r="E79" i="19"/>
  <c r="F79" i="20"/>
  <c r="B101" i="11"/>
  <c r="L101" i="9"/>
  <c r="C127" i="9"/>
  <c r="C127" i="8"/>
  <c r="D127" i="11"/>
  <c r="C127" i="7"/>
  <c r="L394" i="9"/>
  <c r="B394" i="11"/>
  <c r="C697" i="7"/>
  <c r="C697" i="9"/>
  <c r="C697" i="8"/>
  <c r="D697" i="11"/>
  <c r="D803" i="11"/>
  <c r="C803" i="9"/>
  <c r="C803" i="8"/>
  <c r="B203" i="9"/>
  <c r="C203" i="11"/>
  <c r="B203" i="8"/>
  <c r="B203" i="7"/>
  <c r="B394" i="16"/>
  <c r="E394" i="20"/>
  <c r="AM394" i="20" s="1"/>
  <c r="C567" i="11"/>
  <c r="B567" i="9"/>
  <c r="B567" i="7"/>
  <c r="B567" i="8"/>
  <c r="D96" i="11"/>
  <c r="C96" i="8"/>
  <c r="C96" i="7"/>
  <c r="C96" i="9"/>
  <c r="C203" i="8"/>
  <c r="C203" i="9"/>
  <c r="C203" i="7"/>
  <c r="D203" i="11"/>
  <c r="B254" i="8"/>
  <c r="C254" i="11"/>
  <c r="B254" i="7"/>
  <c r="B254" i="9"/>
  <c r="B310" i="8"/>
  <c r="B310" i="7"/>
  <c r="C310" i="11"/>
  <c r="B310" i="9"/>
  <c r="D476" i="11"/>
  <c r="C476" i="7"/>
  <c r="C476" i="8"/>
  <c r="C476" i="9"/>
  <c r="B173" i="9"/>
  <c r="C173" i="11"/>
  <c r="B173" i="8"/>
  <c r="B173" i="7"/>
  <c r="C233" i="8"/>
  <c r="C233" i="7"/>
  <c r="D233" i="11"/>
  <c r="C233" i="9"/>
  <c r="B280" i="7"/>
  <c r="B280" i="9"/>
  <c r="C280" i="11"/>
  <c r="B280" i="8"/>
  <c r="D360" i="11"/>
  <c r="C360" i="7"/>
  <c r="C360" i="9"/>
  <c r="C360" i="8"/>
  <c r="C587" i="8"/>
  <c r="D587" i="11"/>
  <c r="C587" i="9"/>
  <c r="C587" i="7"/>
  <c r="B673" i="11"/>
  <c r="L673" i="9"/>
  <c r="C794" i="8"/>
  <c r="D794" i="11"/>
  <c r="C794" i="9"/>
  <c r="D13" i="11"/>
  <c r="C13" i="9"/>
  <c r="C13" i="7"/>
  <c r="C13" i="8"/>
  <c r="D199" i="11"/>
  <c r="C199" i="9"/>
  <c r="C199" i="8"/>
  <c r="C199" i="7"/>
  <c r="L447" i="9"/>
  <c r="B447" i="11"/>
  <c r="B507" i="9"/>
  <c r="C507" i="11"/>
  <c r="B507" i="8"/>
  <c r="B507" i="7"/>
  <c r="D693" i="11"/>
  <c r="C693" i="8"/>
  <c r="C693" i="7"/>
  <c r="C693" i="9"/>
  <c r="C549" i="11"/>
  <c r="B549" i="9"/>
  <c r="B549" i="7"/>
  <c r="B549" i="8"/>
  <c r="A660" i="16"/>
  <c r="A660" i="20"/>
  <c r="A660" i="19"/>
  <c r="H481" i="16"/>
  <c r="P481" i="16" s="1"/>
  <c r="H481" i="20"/>
  <c r="F481" i="19"/>
  <c r="D62" i="11"/>
  <c r="C62" i="9"/>
  <c r="C62" i="8"/>
  <c r="C62" i="7"/>
  <c r="B93" i="11"/>
  <c r="L93" i="9"/>
  <c r="C790" i="8"/>
  <c r="C790" i="9"/>
  <c r="D790" i="11"/>
  <c r="C790" i="7"/>
  <c r="D36" i="11"/>
  <c r="C36" i="8"/>
  <c r="C36" i="9"/>
  <c r="C36" i="7"/>
  <c r="B47" i="9"/>
  <c r="C47" i="11"/>
  <c r="B47" i="7"/>
  <c r="B47" i="8"/>
  <c r="B93" i="9"/>
  <c r="C93" i="11"/>
  <c r="B93" i="7"/>
  <c r="B93" i="8"/>
  <c r="L181" i="9"/>
  <c r="B181" i="11"/>
  <c r="E216" i="20"/>
  <c r="AM216" i="20" s="1"/>
  <c r="B216" i="16"/>
  <c r="B226" i="9"/>
  <c r="B226" i="7"/>
  <c r="C226" i="11"/>
  <c r="B226" i="8"/>
  <c r="D246" i="11"/>
  <c r="C246" i="9"/>
  <c r="C246" i="7"/>
  <c r="C246" i="8"/>
  <c r="D302" i="11"/>
  <c r="C302" i="9"/>
  <c r="C302" i="8"/>
  <c r="C302" i="7"/>
  <c r="C367" i="9"/>
  <c r="C367" i="7"/>
  <c r="D367" i="11"/>
  <c r="C367" i="8"/>
  <c r="B387" i="11"/>
  <c r="L387" i="9"/>
  <c r="B397" i="9"/>
  <c r="C397" i="11"/>
  <c r="B397" i="7"/>
  <c r="B397" i="8"/>
  <c r="L443" i="9"/>
  <c r="B443" i="11"/>
  <c r="C580" i="11"/>
  <c r="B580" i="9"/>
  <c r="B580" i="8"/>
  <c r="B580" i="7"/>
  <c r="C650" i="11"/>
  <c r="B650" i="7"/>
  <c r="B650" i="9"/>
  <c r="B650" i="8"/>
  <c r="D567" i="11"/>
  <c r="C567" i="9"/>
  <c r="C567" i="7"/>
  <c r="C567" i="8"/>
  <c r="B563" i="9"/>
  <c r="B563" i="7"/>
  <c r="C563" i="11"/>
  <c r="B563" i="8"/>
  <c r="B21" i="9"/>
  <c r="C21" i="11"/>
  <c r="B21" i="7"/>
  <c r="B21" i="8"/>
  <c r="D47" i="11"/>
  <c r="C47" i="9"/>
  <c r="C47" i="7"/>
  <c r="C47" i="8"/>
  <c r="C57" i="9"/>
  <c r="C57" i="7"/>
  <c r="D57" i="11"/>
  <c r="C57" i="8"/>
  <c r="L63" i="9"/>
  <c r="B63" i="11"/>
  <c r="B347" i="11"/>
  <c r="L347" i="9"/>
  <c r="C352" i="8"/>
  <c r="C352" i="7"/>
  <c r="D352" i="11"/>
  <c r="C352" i="9"/>
  <c r="C397" i="9"/>
  <c r="C397" i="7"/>
  <c r="D397" i="11"/>
  <c r="C397" i="8"/>
  <c r="B423" i="9"/>
  <c r="C423" i="11"/>
  <c r="B423" i="8"/>
  <c r="B423" i="7"/>
  <c r="B443" i="9"/>
  <c r="B443" i="8"/>
  <c r="C443" i="11"/>
  <c r="B443" i="7"/>
  <c r="D453" i="11"/>
  <c r="C453" i="9"/>
  <c r="C453" i="7"/>
  <c r="C453" i="8"/>
  <c r="D513" i="11"/>
  <c r="C513" i="9"/>
  <c r="C513" i="8"/>
  <c r="C513" i="7"/>
  <c r="D529" i="11"/>
  <c r="C529" i="7"/>
  <c r="C529" i="9"/>
  <c r="C529" i="8"/>
  <c r="B620" i="9"/>
  <c r="B620" i="7"/>
  <c r="C620" i="11"/>
  <c r="B620" i="8"/>
  <c r="D650" i="11"/>
  <c r="C650" i="7"/>
  <c r="C650" i="9"/>
  <c r="C650" i="8"/>
  <c r="B671" i="11"/>
  <c r="L671" i="9"/>
  <c r="C754" i="16"/>
  <c r="E754" i="19"/>
  <c r="F754" i="20"/>
  <c r="B807" i="11"/>
  <c r="L807" i="9"/>
  <c r="D627" i="11"/>
  <c r="C627" i="7"/>
  <c r="C627" i="8"/>
  <c r="C627" i="9"/>
  <c r="B798" i="16"/>
  <c r="E798" i="20"/>
  <c r="AM798" i="20" s="1"/>
  <c r="L50" i="19"/>
  <c r="C776" i="11"/>
  <c r="B776" i="8"/>
  <c r="B776" i="7"/>
  <c r="B776" i="9"/>
  <c r="B306" i="8"/>
  <c r="C306" i="11"/>
  <c r="B306" i="7"/>
  <c r="B306" i="9"/>
  <c r="L356" i="9"/>
  <c r="B356" i="11"/>
  <c r="D502" i="11"/>
  <c r="C502" i="8"/>
  <c r="C502" i="7"/>
  <c r="C502" i="9"/>
  <c r="C629" i="11"/>
  <c r="B629" i="9"/>
  <c r="B629" i="7"/>
  <c r="B629" i="8"/>
  <c r="D723" i="11"/>
  <c r="C723" i="7"/>
  <c r="C723" i="8"/>
  <c r="C723" i="9"/>
  <c r="B784" i="7"/>
  <c r="C784" i="11"/>
  <c r="B784" i="9"/>
  <c r="B784" i="8"/>
  <c r="C200" i="8"/>
  <c r="C200" i="9"/>
  <c r="C200" i="7"/>
  <c r="D200" i="11"/>
  <c r="D210" i="11"/>
  <c r="C210" i="7"/>
  <c r="C210" i="9"/>
  <c r="C210" i="8"/>
  <c r="C276" i="9"/>
  <c r="C276" i="7"/>
  <c r="D276" i="11"/>
  <c r="C276" i="8"/>
  <c r="D472" i="11"/>
  <c r="C472" i="8"/>
  <c r="C472" i="9"/>
  <c r="C472" i="7"/>
  <c r="C522" i="7"/>
  <c r="C522" i="8"/>
  <c r="D522" i="11"/>
  <c r="C522" i="9"/>
  <c r="B533" i="11"/>
  <c r="L533" i="9"/>
  <c r="D579" i="11"/>
  <c r="C579" i="8"/>
  <c r="C579" i="9"/>
  <c r="C579" i="7"/>
  <c r="L624" i="9"/>
  <c r="B624" i="11"/>
  <c r="B654" i="9"/>
  <c r="B654" i="8"/>
  <c r="B654" i="7"/>
  <c r="C654" i="11"/>
  <c r="D659" i="11"/>
  <c r="C659" i="9"/>
  <c r="C659" i="7"/>
  <c r="C659" i="8"/>
  <c r="B684" i="9"/>
  <c r="B684" i="7"/>
  <c r="C684" i="11"/>
  <c r="B684" i="8"/>
  <c r="D689" i="11"/>
  <c r="C689" i="8"/>
  <c r="C689" i="9"/>
  <c r="C689" i="7"/>
  <c r="D719" i="11"/>
  <c r="C719" i="7"/>
  <c r="C719" i="9"/>
  <c r="C719" i="8"/>
  <c r="B780" i="9"/>
  <c r="C780" i="11"/>
  <c r="B780" i="8"/>
  <c r="B780" i="7"/>
  <c r="AU47" i="10"/>
  <c r="AN47" i="10"/>
  <c r="Q47" i="20" s="1"/>
  <c r="O47" i="10"/>
  <c r="F8" i="18" s="1"/>
  <c r="H8" i="18" s="1"/>
  <c r="B287" i="9"/>
  <c r="C287" i="11"/>
  <c r="B287" i="8"/>
  <c r="B287" i="7"/>
  <c r="C21" i="9"/>
  <c r="D21" i="11"/>
  <c r="C21" i="7"/>
  <c r="C21" i="8"/>
  <c r="B257" i="9"/>
  <c r="C257" i="11"/>
  <c r="B257" i="7"/>
  <c r="B257" i="8"/>
  <c r="B347" i="9"/>
  <c r="C347" i="11"/>
  <c r="B347" i="7"/>
  <c r="B347" i="8"/>
  <c r="C377" i="9"/>
  <c r="C377" i="7"/>
  <c r="D377" i="11"/>
  <c r="C377" i="8"/>
  <c r="C423" i="8"/>
  <c r="D423" i="11"/>
  <c r="C423" i="9"/>
  <c r="C423" i="7"/>
  <c r="C428" i="16"/>
  <c r="F428" i="20"/>
  <c r="E428" i="19"/>
  <c r="D620" i="11"/>
  <c r="C620" i="9"/>
  <c r="C620" i="8"/>
  <c r="C620" i="7"/>
  <c r="L651" i="9"/>
  <c r="B651" i="11"/>
  <c r="L701" i="9"/>
  <c r="B701" i="11"/>
  <c r="C807" i="11"/>
  <c r="B807" i="9"/>
  <c r="B807" i="8"/>
  <c r="H136" i="16"/>
  <c r="P136" i="16" s="1"/>
  <c r="H136" i="20"/>
  <c r="F136" i="19"/>
  <c r="H533" i="16"/>
  <c r="P533" i="16" s="1"/>
  <c r="H533" i="20"/>
  <c r="F533" i="19"/>
  <c r="C727" i="9"/>
  <c r="C727" i="8"/>
  <c r="C727" i="7"/>
  <c r="D727" i="11"/>
  <c r="L224" i="9"/>
  <c r="B224" i="11"/>
  <c r="C295" i="16"/>
  <c r="F295" i="20"/>
  <c r="E295" i="19"/>
  <c r="D477" i="11"/>
  <c r="C477" i="9"/>
  <c r="C477" i="7"/>
  <c r="C477" i="8"/>
  <c r="B14" i="9"/>
  <c r="B14" i="7"/>
  <c r="B14" i="8"/>
  <c r="C14" i="11"/>
  <c r="C716" i="11"/>
  <c r="B716" i="9"/>
  <c r="B716" i="7"/>
  <c r="B716" i="8"/>
  <c r="B78" i="16"/>
  <c r="E78" i="20"/>
  <c r="AM78" i="20" s="1"/>
  <c r="C136" i="11"/>
  <c r="B136" i="8"/>
  <c r="B136" i="9"/>
  <c r="B136" i="7"/>
  <c r="L166" i="9"/>
  <c r="B166" i="11"/>
  <c r="B196" i="7"/>
  <c r="B196" i="9"/>
  <c r="C196" i="11"/>
  <c r="B196" i="8"/>
  <c r="C257" i="9"/>
  <c r="C257" i="7"/>
  <c r="D257" i="11"/>
  <c r="C257" i="8"/>
  <c r="D262" i="11"/>
  <c r="C262" i="7"/>
  <c r="C262" i="8"/>
  <c r="C262" i="9"/>
  <c r="D272" i="11"/>
  <c r="C272" i="8"/>
  <c r="C272" i="9"/>
  <c r="C272" i="7"/>
  <c r="D322" i="11"/>
  <c r="C322" i="9"/>
  <c r="C322" i="7"/>
  <c r="C322" i="8"/>
  <c r="D347" i="11"/>
  <c r="C347" i="9"/>
  <c r="C347" i="7"/>
  <c r="C347" i="8"/>
  <c r="L424" i="9"/>
  <c r="B424" i="11"/>
  <c r="C463" i="16"/>
  <c r="F463" i="20"/>
  <c r="E463" i="19"/>
  <c r="C499" i="11"/>
  <c r="B499" i="9"/>
  <c r="B499" i="8"/>
  <c r="B499" i="7"/>
  <c r="B696" i="16"/>
  <c r="E696" i="20"/>
  <c r="AM696" i="20" s="1"/>
  <c r="B89" i="9"/>
  <c r="B89" i="7"/>
  <c r="C89" i="11"/>
  <c r="B89" i="8"/>
  <c r="C136" i="7"/>
  <c r="C136" i="9"/>
  <c r="D136" i="11"/>
  <c r="C136" i="8"/>
  <c r="C166" i="11"/>
  <c r="B166" i="7"/>
  <c r="B166" i="8"/>
  <c r="B166" i="9"/>
  <c r="C196" i="7"/>
  <c r="C196" i="9"/>
  <c r="D196" i="11"/>
  <c r="C196" i="8"/>
  <c r="B207" i="9"/>
  <c r="C207" i="11"/>
  <c r="B207" i="8"/>
  <c r="B207" i="7"/>
  <c r="B283" i="9"/>
  <c r="C283" i="11"/>
  <c r="B283" i="8"/>
  <c r="B283" i="7"/>
  <c r="D313" i="11"/>
  <c r="C313" i="8"/>
  <c r="C313" i="9"/>
  <c r="C313" i="7"/>
  <c r="C363" i="8"/>
  <c r="C363" i="9"/>
  <c r="C363" i="7"/>
  <c r="D363" i="11"/>
  <c r="C469" i="11"/>
  <c r="B469" i="9"/>
  <c r="B469" i="7"/>
  <c r="B469" i="8"/>
  <c r="D499" i="11"/>
  <c r="C499" i="8"/>
  <c r="C499" i="7"/>
  <c r="C499" i="9"/>
  <c r="C514" i="11"/>
  <c r="B514" i="8"/>
  <c r="B514" i="9"/>
  <c r="B514" i="7"/>
  <c r="C540" i="16"/>
  <c r="F540" i="20"/>
  <c r="E540" i="19"/>
  <c r="D776" i="11"/>
  <c r="C776" i="9"/>
  <c r="C776" i="7"/>
  <c r="C776" i="8"/>
  <c r="D802" i="11"/>
  <c r="C802" i="9"/>
  <c r="C802" i="8"/>
  <c r="O31" i="10"/>
  <c r="AU31" i="10"/>
  <c r="AN31" i="10"/>
  <c r="Q31" i="20" s="1"/>
  <c r="D345" i="9"/>
  <c r="A46" i="20"/>
  <c r="A46" i="16"/>
  <c r="A46" i="19"/>
  <c r="G57" i="20"/>
  <c r="I57" i="16"/>
  <c r="M57" i="16" s="1"/>
  <c r="G57" i="19"/>
  <c r="J57" i="19" s="1"/>
  <c r="I63" i="16"/>
  <c r="M63" i="16" s="1"/>
  <c r="G63" i="20"/>
  <c r="C75" i="16"/>
  <c r="F75" i="20"/>
  <c r="C171" i="16"/>
  <c r="F171" i="20"/>
  <c r="E171" i="19"/>
  <c r="C193" i="16"/>
  <c r="F193" i="20"/>
  <c r="E193" i="19"/>
  <c r="B238" i="16"/>
  <c r="E238" i="20"/>
  <c r="AM238" i="20" s="1"/>
  <c r="A244" i="16"/>
  <c r="A244" i="20"/>
  <c r="A244" i="19"/>
  <c r="H248" i="16"/>
  <c r="P248" i="16" s="1"/>
  <c r="H248" i="20"/>
  <c r="F248" i="19"/>
  <c r="B318" i="9"/>
  <c r="I352" i="16"/>
  <c r="M352" i="16" s="1"/>
  <c r="G352" i="20"/>
  <c r="G352" i="19"/>
  <c r="J352" i="19" s="1"/>
  <c r="A358" i="16"/>
  <c r="A358" i="19"/>
  <c r="A358" i="20"/>
  <c r="H373" i="16"/>
  <c r="P373" i="16" s="1"/>
  <c r="H373" i="20"/>
  <c r="F373" i="19"/>
  <c r="H378" i="16"/>
  <c r="P378" i="16" s="1"/>
  <c r="H378" i="20"/>
  <c r="F378" i="19"/>
  <c r="C388" i="16"/>
  <c r="F388" i="20"/>
  <c r="E388" i="19"/>
  <c r="H528" i="16"/>
  <c r="P528" i="16" s="1"/>
  <c r="H528" i="20"/>
  <c r="F528" i="19"/>
  <c r="A578" i="16"/>
  <c r="A578" i="19"/>
  <c r="A578" i="20"/>
  <c r="I685" i="16"/>
  <c r="M685" i="16" s="1"/>
  <c r="G685" i="20"/>
  <c r="G685" i="19"/>
  <c r="J685" i="19" s="1"/>
  <c r="I779" i="16"/>
  <c r="M779" i="16" s="1"/>
  <c r="G779" i="20"/>
  <c r="G779" i="19"/>
  <c r="J779" i="19" s="1"/>
  <c r="I821" i="16"/>
  <c r="M821" i="16" s="1"/>
  <c r="G821" i="20"/>
  <c r="G821" i="19"/>
  <c r="J821" i="19" s="1"/>
  <c r="A624" i="11"/>
  <c r="M168" i="19"/>
  <c r="D17" i="11"/>
  <c r="C17" i="7"/>
  <c r="C17" i="9"/>
  <c r="C17" i="8"/>
  <c r="B70" i="20"/>
  <c r="AL70" i="20" s="1"/>
  <c r="B70" i="19"/>
  <c r="B97" i="9"/>
  <c r="B97" i="8"/>
  <c r="C97" i="11"/>
  <c r="B97" i="7"/>
  <c r="A140" i="11"/>
  <c r="A140" i="8"/>
  <c r="A140" i="9"/>
  <c r="A140" i="7"/>
  <c r="D162" i="11"/>
  <c r="C162" i="8"/>
  <c r="C162" i="9"/>
  <c r="C162" i="7"/>
  <c r="A211" i="9"/>
  <c r="A211" i="7"/>
  <c r="A211" i="8"/>
  <c r="A211" i="11"/>
  <c r="A234" i="11"/>
  <c r="A234" i="7"/>
  <c r="A234" i="8"/>
  <c r="C305" i="9"/>
  <c r="C305" i="8"/>
  <c r="D305" i="11"/>
  <c r="B317" i="9"/>
  <c r="C317" i="11"/>
  <c r="B317" i="8"/>
  <c r="C336" i="8"/>
  <c r="D336" i="11"/>
  <c r="C336" i="9"/>
  <c r="C336" i="7"/>
  <c r="B408" i="5"/>
  <c r="A408" i="11"/>
  <c r="A408" i="9"/>
  <c r="C484" i="7"/>
  <c r="D484" i="11"/>
  <c r="C484" i="9"/>
  <c r="C484" i="8"/>
  <c r="C507" i="9"/>
  <c r="D507" i="11"/>
  <c r="C507" i="8"/>
  <c r="C507" i="7"/>
  <c r="B520" i="8"/>
  <c r="B520" i="7"/>
  <c r="B520" i="9"/>
  <c r="B571" i="11"/>
  <c r="L571" i="9"/>
  <c r="B617" i="9"/>
  <c r="C617" i="11"/>
  <c r="B617" i="8"/>
  <c r="B617" i="7"/>
  <c r="A654" i="9"/>
  <c r="A654" i="8"/>
  <c r="A654" i="7"/>
  <c r="D667" i="11"/>
  <c r="C667" i="8"/>
  <c r="C667" i="9"/>
  <c r="C667" i="7"/>
  <c r="H101" i="20"/>
  <c r="H101" i="16"/>
  <c r="P101" i="16" s="1"/>
  <c r="F101" i="19"/>
  <c r="H604" i="16"/>
  <c r="P604" i="16" s="1"/>
  <c r="H604" i="20"/>
  <c r="F604" i="19"/>
  <c r="D663" i="9"/>
  <c r="A25" i="16"/>
  <c r="A25" i="20"/>
  <c r="E108" i="20"/>
  <c r="AM108" i="20" s="1"/>
  <c r="B108" i="16"/>
  <c r="H183" i="16"/>
  <c r="P183" i="16" s="1"/>
  <c r="H183" i="20"/>
  <c r="F183" i="19"/>
  <c r="C308" i="16"/>
  <c r="F308" i="20"/>
  <c r="E308" i="19"/>
  <c r="B374" i="16"/>
  <c r="E374" i="20"/>
  <c r="AM374" i="20" s="1"/>
  <c r="I429" i="16"/>
  <c r="M429" i="16" s="1"/>
  <c r="G429" i="20"/>
  <c r="G429" i="19"/>
  <c r="J429" i="19" s="1"/>
  <c r="B542" i="16"/>
  <c r="E542" i="20"/>
  <c r="AM542" i="20" s="1"/>
  <c r="C656" i="16"/>
  <c r="F656" i="20"/>
  <c r="E656" i="19"/>
  <c r="A23" i="20"/>
  <c r="A23" i="16"/>
  <c r="A23" i="19"/>
  <c r="C32" i="11"/>
  <c r="B32" i="8"/>
  <c r="B32" i="7"/>
  <c r="B46" i="7"/>
  <c r="B46" i="8"/>
  <c r="C46" i="11"/>
  <c r="C55" i="9"/>
  <c r="C55" i="7"/>
  <c r="C55" i="8"/>
  <c r="B74" i="5"/>
  <c r="D102" i="11"/>
  <c r="C102" i="8"/>
  <c r="C102" i="9"/>
  <c r="B117" i="9"/>
  <c r="C117" i="11"/>
  <c r="B117" i="8"/>
  <c r="B117" i="7"/>
  <c r="B153" i="9"/>
  <c r="C153" i="11"/>
  <c r="B153" i="7"/>
  <c r="B153" i="8"/>
  <c r="D189" i="11"/>
  <c r="C189" i="7"/>
  <c r="C189" i="8"/>
  <c r="B211" i="5"/>
  <c r="D4" i="11"/>
  <c r="C4" i="8"/>
  <c r="C4" i="7"/>
  <c r="C4" i="9"/>
  <c r="A28" i="9"/>
  <c r="B28" i="5"/>
  <c r="A28" i="7"/>
  <c r="A28" i="8"/>
  <c r="C70" i="7"/>
  <c r="C70" i="8"/>
  <c r="C70" i="9"/>
  <c r="A136" i="11"/>
  <c r="A136" i="8"/>
  <c r="A136" i="9"/>
  <c r="B149" i="9"/>
  <c r="C149" i="11"/>
  <c r="B149" i="8"/>
  <c r="B149" i="7"/>
  <c r="C185" i="11"/>
  <c r="B185" i="9"/>
  <c r="B185" i="8"/>
  <c r="B185" i="7"/>
  <c r="C220" i="9"/>
  <c r="D220" i="11"/>
  <c r="C220" i="8"/>
  <c r="C220" i="7"/>
  <c r="D230" i="11"/>
  <c r="C230" i="8"/>
  <c r="C234" i="11"/>
  <c r="B234" i="7"/>
  <c r="B234" i="9"/>
  <c r="B234" i="8"/>
  <c r="A318" i="11"/>
  <c r="A318" i="7"/>
  <c r="B318" i="5"/>
  <c r="A318" i="9"/>
  <c r="A318" i="8"/>
  <c r="C359" i="11"/>
  <c r="B359" i="9"/>
  <c r="B359" i="8"/>
  <c r="B359" i="7"/>
  <c r="B367" i="9"/>
  <c r="B367" i="7"/>
  <c r="C367" i="11"/>
  <c r="B367" i="8"/>
  <c r="B413" i="9"/>
  <c r="C413" i="11"/>
  <c r="A450" i="8"/>
  <c r="A450" i="7"/>
  <c r="A450" i="11"/>
  <c r="B462" i="9"/>
  <c r="B462" i="8"/>
  <c r="B476" i="8"/>
  <c r="B476" i="9"/>
  <c r="C544" i="7"/>
  <c r="C544" i="9"/>
  <c r="D544" i="11"/>
  <c r="E608" i="19"/>
  <c r="C636" i="11"/>
  <c r="B636" i="9"/>
  <c r="B636" i="8"/>
  <c r="B636" i="7"/>
  <c r="C230" i="7"/>
  <c r="H154" i="16"/>
  <c r="P154" i="16" s="1"/>
  <c r="H154" i="20"/>
  <c r="F154" i="19"/>
  <c r="D526" i="9"/>
  <c r="B32" i="9"/>
  <c r="H108" i="16"/>
  <c r="P108" i="16" s="1"/>
  <c r="H108" i="20"/>
  <c r="F108" i="19"/>
  <c r="A218" i="16"/>
  <c r="A218" i="20"/>
  <c r="A218" i="19"/>
  <c r="H285" i="16"/>
  <c r="P285" i="16" s="1"/>
  <c r="H285" i="20"/>
  <c r="F285" i="19"/>
  <c r="C359" i="16"/>
  <c r="F359" i="20"/>
  <c r="E359" i="19"/>
  <c r="C409" i="16"/>
  <c r="F409" i="20"/>
  <c r="E409" i="19"/>
  <c r="D465" i="9"/>
  <c r="A104" i="16"/>
  <c r="A104" i="20"/>
  <c r="A104" i="19"/>
  <c r="C114" i="16"/>
  <c r="E114" i="19"/>
  <c r="F114" i="20"/>
  <c r="I285" i="16"/>
  <c r="M285" i="16" s="1"/>
  <c r="G285" i="20"/>
  <c r="G285" i="19"/>
  <c r="J285" i="19" s="1"/>
  <c r="F355" i="20"/>
  <c r="C355" i="16"/>
  <c r="E355" i="19"/>
  <c r="H409" i="16"/>
  <c r="P409" i="16" s="1"/>
  <c r="H409" i="20"/>
  <c r="F409" i="19"/>
  <c r="C520" i="16"/>
  <c r="F520" i="20"/>
  <c r="E520" i="19"/>
  <c r="C752" i="16"/>
  <c r="F752" i="20"/>
  <c r="E752" i="19"/>
  <c r="C56" i="9"/>
  <c r="C56" i="8"/>
  <c r="C56" i="7"/>
  <c r="D56" i="11"/>
  <c r="C195" i="11"/>
  <c r="B195" i="9"/>
  <c r="B195" i="8"/>
  <c r="B195" i="7"/>
  <c r="D216" i="11"/>
  <c r="C216" i="9"/>
  <c r="A276" i="11"/>
  <c r="A276" i="8"/>
  <c r="A276" i="9"/>
  <c r="A276" i="7"/>
  <c r="C292" i="11"/>
  <c r="B292" i="9"/>
  <c r="B292" i="8"/>
  <c r="B292" i="7"/>
  <c r="D332" i="11"/>
  <c r="C332" i="8"/>
  <c r="C332" i="9"/>
  <c r="C332" i="7"/>
  <c r="D359" i="11"/>
  <c r="C359" i="8"/>
  <c r="C359" i="7"/>
  <c r="B450" i="8"/>
  <c r="B450" i="7"/>
  <c r="C450" i="11"/>
  <c r="C468" i="11"/>
  <c r="B468" i="9"/>
  <c r="B468" i="7"/>
  <c r="B468" i="8"/>
  <c r="A491" i="9"/>
  <c r="A491" i="11"/>
  <c r="A491" i="7"/>
  <c r="B705" i="9"/>
  <c r="C705" i="11"/>
  <c r="B705" i="8"/>
  <c r="C318" i="7"/>
  <c r="D24" i="9"/>
  <c r="H134" i="16"/>
  <c r="P134" i="16" s="1"/>
  <c r="H134" i="20"/>
  <c r="F134" i="19"/>
  <c r="D375" i="9"/>
  <c r="B97" i="20"/>
  <c r="AL97" i="20" s="1"/>
  <c r="B97" i="19"/>
  <c r="B344" i="16"/>
  <c r="E344" i="20"/>
  <c r="AM344" i="20" s="1"/>
  <c r="C626" i="11"/>
  <c r="B626" i="9"/>
  <c r="B626" i="7"/>
  <c r="B626" i="8"/>
  <c r="A186" i="11"/>
  <c r="A186" i="7"/>
  <c r="A186" i="8"/>
  <c r="B288" i="8"/>
  <c r="B288" i="7"/>
  <c r="B288" i="9"/>
  <c r="A146" i="16"/>
  <c r="A146" i="20"/>
  <c r="A146" i="19"/>
  <c r="C756" i="11"/>
  <c r="B756" i="9"/>
  <c r="B756" i="8"/>
  <c r="B756" i="7"/>
  <c r="C75" i="11"/>
  <c r="B75" i="9"/>
  <c r="B75" i="8"/>
  <c r="B75" i="7"/>
  <c r="B109" i="9"/>
  <c r="B109" i="8"/>
  <c r="B109" i="7"/>
  <c r="C109" i="11"/>
  <c r="A173" i="9"/>
  <c r="A173" i="8"/>
  <c r="A173" i="7"/>
  <c r="A173" i="11"/>
  <c r="D266" i="11"/>
  <c r="C266" i="9"/>
  <c r="C266" i="7"/>
  <c r="C266" i="8"/>
  <c r="A284" i="9"/>
  <c r="A284" i="11"/>
  <c r="A284" i="8"/>
  <c r="B297" i="9"/>
  <c r="C297" i="11"/>
  <c r="B297" i="7"/>
  <c r="B297" i="8"/>
  <c r="C314" i="7"/>
  <c r="C314" i="8"/>
  <c r="D314" i="11"/>
  <c r="C328" i="11"/>
  <c r="B328" i="9"/>
  <c r="B328" i="8"/>
  <c r="B328" i="7"/>
  <c r="D342" i="11"/>
  <c r="C342" i="7"/>
  <c r="C342" i="9"/>
  <c r="C342" i="8"/>
  <c r="D355" i="11"/>
  <c r="C355" i="7"/>
  <c r="D409" i="11"/>
  <c r="C409" i="8"/>
  <c r="B437" i="9"/>
  <c r="C437" i="11"/>
  <c r="B437" i="8"/>
  <c r="B437" i="7"/>
  <c r="A550" i="8"/>
  <c r="A550" i="11"/>
  <c r="A550" i="7"/>
  <c r="C628" i="9"/>
  <c r="C628" i="7"/>
  <c r="C628" i="8"/>
  <c r="C737" i="7"/>
  <c r="C737" i="9"/>
  <c r="C737" i="8"/>
  <c r="D737" i="11"/>
  <c r="B803" i="5"/>
  <c r="B705" i="7"/>
  <c r="D73" i="9"/>
  <c r="D206" i="9"/>
  <c r="A15" i="16"/>
  <c r="A15" i="20"/>
  <c r="A15" i="19"/>
  <c r="I122" i="16"/>
  <c r="M122" i="16" s="1"/>
  <c r="G122" i="20"/>
  <c r="G122" i="19"/>
  <c r="J122" i="19" s="1"/>
  <c r="I263" i="16"/>
  <c r="M263" i="16" s="1"/>
  <c r="G263" i="20"/>
  <c r="G263" i="19"/>
  <c r="J263" i="19" s="1"/>
  <c r="C466" i="16"/>
  <c r="F466" i="20"/>
  <c r="E466" i="19"/>
  <c r="A510" i="16"/>
  <c r="A510" i="19"/>
  <c r="A510" i="20"/>
  <c r="A550" i="9"/>
  <c r="I771" i="16"/>
  <c r="M771" i="16" s="1"/>
  <c r="G771" i="20"/>
  <c r="G771" i="19"/>
  <c r="J771" i="19" s="1"/>
  <c r="C805" i="16"/>
  <c r="F805" i="20"/>
  <c r="E805" i="19"/>
  <c r="W6" i="20"/>
  <c r="AQ6" i="10"/>
  <c r="I7" i="11"/>
  <c r="D55" i="11"/>
  <c r="C681" i="8"/>
  <c r="C681" i="9"/>
  <c r="C681" i="7"/>
  <c r="D681" i="11"/>
  <c r="C29" i="11"/>
  <c r="B29" i="9"/>
  <c r="A196" i="11"/>
  <c r="A196" i="7"/>
  <c r="A196" i="9"/>
  <c r="C235" i="9"/>
  <c r="D235" i="11"/>
  <c r="C235" i="8"/>
  <c r="C235" i="7"/>
  <c r="C297" i="9"/>
  <c r="C297" i="7"/>
  <c r="D297" i="11"/>
  <c r="C297" i="8"/>
  <c r="C323" i="8"/>
  <c r="C323" i="7"/>
  <c r="D323" i="11"/>
  <c r="C323" i="9"/>
  <c r="A378" i="7"/>
  <c r="A378" i="9"/>
  <c r="B378" i="5"/>
  <c r="A378" i="11"/>
  <c r="C419" i="11"/>
  <c r="B419" i="9"/>
  <c r="B419" i="7"/>
  <c r="B419" i="8"/>
  <c r="B459" i="11"/>
  <c r="L459" i="9"/>
  <c r="A527" i="9"/>
  <c r="A527" i="11"/>
  <c r="A527" i="8"/>
  <c r="A527" i="7"/>
  <c r="C590" i="9"/>
  <c r="C590" i="8"/>
  <c r="D590" i="11"/>
  <c r="D669" i="11"/>
  <c r="C669" i="8"/>
  <c r="C669" i="7"/>
  <c r="A738" i="7"/>
  <c r="B738" i="5"/>
  <c r="A738" i="11"/>
  <c r="A738" i="8"/>
  <c r="A738" i="9"/>
  <c r="B813" i="9"/>
  <c r="C813" i="11"/>
  <c r="B813" i="8"/>
  <c r="C818" i="11"/>
  <c r="B818" i="8"/>
  <c r="I12" i="16"/>
  <c r="M12" i="16" s="1"/>
  <c r="G12" i="20"/>
  <c r="G12" i="19"/>
  <c r="J12" i="19" s="1"/>
  <c r="H340" i="16"/>
  <c r="P340" i="16" s="1"/>
  <c r="H340" i="20"/>
  <c r="F340" i="19"/>
  <c r="H466" i="16"/>
  <c r="P466" i="16" s="1"/>
  <c r="H466" i="20"/>
  <c r="F466" i="19"/>
  <c r="I677" i="16"/>
  <c r="M677" i="16" s="1"/>
  <c r="G677" i="20"/>
  <c r="G677" i="19"/>
  <c r="J677" i="19" s="1"/>
  <c r="C696" i="9"/>
  <c r="C735" i="16"/>
  <c r="F735" i="20"/>
  <c r="E735" i="19"/>
  <c r="L6" i="10"/>
  <c r="B26" i="9"/>
  <c r="B26" i="8"/>
  <c r="B26" i="7"/>
  <c r="C26" i="11"/>
  <c r="C538" i="11"/>
  <c r="B538" i="7"/>
  <c r="B538" i="9"/>
  <c r="B538" i="8"/>
  <c r="A137" i="9"/>
  <c r="A137" i="7"/>
  <c r="A137" i="11"/>
  <c r="B137" i="5"/>
  <c r="D186" i="11"/>
  <c r="C186" i="9"/>
  <c r="C186" i="7"/>
  <c r="C208" i="8"/>
  <c r="D208" i="11"/>
  <c r="C208" i="9"/>
  <c r="C245" i="8"/>
  <c r="C245" i="7"/>
  <c r="D245" i="11"/>
  <c r="L289" i="9"/>
  <c r="B289" i="11"/>
  <c r="C302" i="11"/>
  <c r="B302" i="9"/>
  <c r="B302" i="7"/>
  <c r="B302" i="8"/>
  <c r="D319" i="11"/>
  <c r="C319" i="9"/>
  <c r="C319" i="7"/>
  <c r="D373" i="11"/>
  <c r="C373" i="8"/>
  <c r="C373" i="7"/>
  <c r="D400" i="11"/>
  <c r="C400" i="8"/>
  <c r="C400" i="9"/>
  <c r="C400" i="7"/>
  <c r="C428" i="11"/>
  <c r="B428" i="7"/>
  <c r="B428" i="8"/>
  <c r="D486" i="11"/>
  <c r="C486" i="7"/>
  <c r="C486" i="8"/>
  <c r="C486" i="9"/>
  <c r="C550" i="11"/>
  <c r="B550" i="8"/>
  <c r="B550" i="9"/>
  <c r="B568" i="8"/>
  <c r="B568" i="7"/>
  <c r="C568" i="11"/>
  <c r="B568" i="9"/>
  <c r="D619" i="11"/>
  <c r="C619" i="8"/>
  <c r="C619" i="7"/>
  <c r="C619" i="9"/>
  <c r="C706" i="11"/>
  <c r="B706" i="9"/>
  <c r="B706" i="8"/>
  <c r="B706" i="7"/>
  <c r="B738" i="8"/>
  <c r="B738" i="7"/>
  <c r="C738" i="11"/>
  <c r="B738" i="9"/>
  <c r="A794" i="8"/>
  <c r="A794" i="11"/>
  <c r="D146" i="9"/>
  <c r="D173" i="9"/>
  <c r="D478" i="9"/>
  <c r="H175" i="16"/>
  <c r="P175" i="16" s="1"/>
  <c r="H175" i="20"/>
  <c r="F175" i="19"/>
  <c r="C311" i="16"/>
  <c r="E311" i="19"/>
  <c r="F311" i="20"/>
  <c r="I340" i="16"/>
  <c r="M340" i="16" s="1"/>
  <c r="G340" i="20"/>
  <c r="G340" i="19"/>
  <c r="J340" i="19" s="1"/>
  <c r="I455" i="16"/>
  <c r="M455" i="16" s="1"/>
  <c r="G455" i="20"/>
  <c r="G455" i="19"/>
  <c r="J455" i="19" s="1"/>
  <c r="I466" i="16"/>
  <c r="M466" i="16" s="1"/>
  <c r="G466" i="20"/>
  <c r="G466" i="19"/>
  <c r="J466" i="19" s="1"/>
  <c r="G510" i="20"/>
  <c r="I510" i="16"/>
  <c r="M510" i="16" s="1"/>
  <c r="G510" i="19"/>
  <c r="J510" i="19" s="1"/>
  <c r="I599" i="16"/>
  <c r="M599" i="16" s="1"/>
  <c r="G599" i="19"/>
  <c r="J599" i="19" s="1"/>
  <c r="G599" i="20"/>
  <c r="I747" i="16"/>
  <c r="M747" i="16" s="1"/>
  <c r="G747" i="20"/>
  <c r="G747" i="19"/>
  <c r="J747" i="19" s="1"/>
  <c r="B150" i="11"/>
  <c r="C462" i="11"/>
  <c r="A6" i="11"/>
  <c r="A6" i="9"/>
  <c r="A6" i="8"/>
  <c r="A6" i="7"/>
  <c r="C34" i="11"/>
  <c r="B34" i="8"/>
  <c r="B34" i="9"/>
  <c r="B128" i="7"/>
  <c r="C128" i="11"/>
  <c r="B128" i="9"/>
  <c r="B128" i="8"/>
  <c r="C165" i="11"/>
  <c r="B165" i="9"/>
  <c r="B165" i="8"/>
  <c r="B204" i="7"/>
  <c r="C204" i="11"/>
  <c r="B204" i="8"/>
  <c r="B204" i="9"/>
  <c r="L241" i="9"/>
  <c r="B241" i="11"/>
  <c r="B267" i="9"/>
  <c r="B267" i="7"/>
  <c r="C284" i="7"/>
  <c r="C284" i="9"/>
  <c r="D284" i="11"/>
  <c r="C284" i="8"/>
  <c r="B351" i="9"/>
  <c r="B351" i="7"/>
  <c r="B351" i="8"/>
  <c r="C351" i="11"/>
  <c r="B383" i="11"/>
  <c r="L383" i="9"/>
  <c r="B451" i="9"/>
  <c r="B451" i="7"/>
  <c r="C451" i="11"/>
  <c r="B451" i="8"/>
  <c r="A510" i="11"/>
  <c r="A510" i="8"/>
  <c r="A510" i="7"/>
  <c r="D559" i="11"/>
  <c r="C559" i="8"/>
  <c r="C559" i="7"/>
  <c r="C559" i="9"/>
  <c r="A643" i="11"/>
  <c r="A643" i="9"/>
  <c r="A643" i="7"/>
  <c r="A643" i="8"/>
  <c r="B724" i="9"/>
  <c r="B724" i="7"/>
  <c r="C724" i="11"/>
  <c r="D120" i="9"/>
  <c r="D179" i="9"/>
  <c r="H286" i="16"/>
  <c r="P286" i="16" s="1"/>
  <c r="H286" i="20"/>
  <c r="F286" i="19"/>
  <c r="B90" i="9"/>
  <c r="I175" i="16"/>
  <c r="M175" i="16" s="1"/>
  <c r="G175" i="20"/>
  <c r="G175" i="19"/>
  <c r="J175" i="19" s="1"/>
  <c r="C270" i="16"/>
  <c r="F270" i="20"/>
  <c r="E270" i="19"/>
  <c r="H311" i="16"/>
  <c r="P311" i="16" s="1"/>
  <c r="F311" i="19"/>
  <c r="H311" i="20"/>
  <c r="C411" i="16"/>
  <c r="F411" i="20"/>
  <c r="E411" i="19"/>
  <c r="A654" i="11"/>
  <c r="I268" i="19"/>
  <c r="C10" i="9"/>
  <c r="C10" i="7"/>
  <c r="C10" i="8"/>
  <c r="B39" i="9"/>
  <c r="B39" i="8"/>
  <c r="B39" i="7"/>
  <c r="C39" i="11"/>
  <c r="C67" i="9"/>
  <c r="D67" i="11"/>
  <c r="C67" i="8"/>
  <c r="C67" i="7"/>
  <c r="D128" i="11"/>
  <c r="C128" i="9"/>
  <c r="C128" i="7"/>
  <c r="C128" i="8"/>
  <c r="C227" i="9"/>
  <c r="C227" i="7"/>
  <c r="C227" i="8"/>
  <c r="D227" i="11"/>
  <c r="D236" i="11"/>
  <c r="C236" i="7"/>
  <c r="C236" i="8"/>
  <c r="C236" i="9"/>
  <c r="A294" i="16"/>
  <c r="A294" i="20"/>
  <c r="A294" i="19"/>
  <c r="B329" i="9"/>
  <c r="B329" i="7"/>
  <c r="B329" i="8"/>
  <c r="C329" i="11"/>
  <c r="B424" i="7"/>
  <c r="B424" i="9"/>
  <c r="B424" i="8"/>
  <c r="B510" i="5"/>
  <c r="D527" i="11"/>
  <c r="C527" i="9"/>
  <c r="C527" i="8"/>
  <c r="C527" i="7"/>
  <c r="B601" i="11"/>
  <c r="B757" i="9"/>
  <c r="C757" i="11"/>
  <c r="B757" i="8"/>
  <c r="B757" i="7"/>
  <c r="D20" i="9"/>
  <c r="D573" i="9"/>
  <c r="H671" i="16"/>
  <c r="P671" i="16" s="1"/>
  <c r="H671" i="20"/>
  <c r="F671" i="19"/>
  <c r="C152" i="16"/>
  <c r="F152" i="20"/>
  <c r="E152" i="19"/>
  <c r="I192" i="16"/>
  <c r="M192" i="16" s="1"/>
  <c r="G192" i="20"/>
  <c r="G192" i="19"/>
  <c r="J192" i="19" s="1"/>
  <c r="F259" i="20"/>
  <c r="C259" i="16"/>
  <c r="E259" i="19"/>
  <c r="I361" i="16"/>
  <c r="M361" i="16" s="1"/>
  <c r="G361" i="20"/>
  <c r="G361" i="19"/>
  <c r="J361" i="19" s="1"/>
  <c r="H411" i="16"/>
  <c r="P411" i="16" s="1"/>
  <c r="H411" i="20"/>
  <c r="F411" i="19"/>
  <c r="B498" i="16"/>
  <c r="E498" i="20"/>
  <c r="AM498" i="20" s="1"/>
  <c r="C516" i="16"/>
  <c r="E516" i="19"/>
  <c r="F516" i="20"/>
  <c r="U37" i="20"/>
  <c r="S37" i="20"/>
  <c r="C10" i="11"/>
  <c r="D628" i="11"/>
  <c r="B487" i="9"/>
  <c r="C487" i="11"/>
  <c r="B487" i="8"/>
  <c r="B487" i="7"/>
  <c r="B25" i="8"/>
  <c r="C25" i="11"/>
  <c r="B25" i="7"/>
  <c r="C165" i="9"/>
  <c r="C165" i="8"/>
  <c r="D165" i="11"/>
  <c r="A201" i="9"/>
  <c r="A201" i="8"/>
  <c r="A201" i="11"/>
  <c r="A201" i="7"/>
  <c r="B201" i="5"/>
  <c r="A228" i="11"/>
  <c r="A228" i="8"/>
  <c r="B228" i="5"/>
  <c r="A228" i="7"/>
  <c r="A228" i="9"/>
  <c r="C258" i="9"/>
  <c r="C258" i="8"/>
  <c r="C258" i="7"/>
  <c r="D258" i="11"/>
  <c r="C303" i="8"/>
  <c r="D303" i="11"/>
  <c r="C324" i="11"/>
  <c r="B324" i="7"/>
  <c r="B324" i="9"/>
  <c r="B324" i="8"/>
  <c r="B401" i="9"/>
  <c r="C401" i="11"/>
  <c r="B401" i="8"/>
  <c r="B401" i="7"/>
  <c r="C424" i="7"/>
  <c r="C424" i="9"/>
  <c r="C424" i="8"/>
  <c r="C438" i="8"/>
  <c r="C438" i="9"/>
  <c r="C438" i="7"/>
  <c r="D438" i="11"/>
  <c r="C605" i="7"/>
  <c r="C605" i="9"/>
  <c r="C605" i="8"/>
  <c r="D605" i="11"/>
  <c r="B643" i="9"/>
  <c r="C643" i="11"/>
  <c r="B643" i="8"/>
  <c r="D729" i="11"/>
  <c r="C729" i="8"/>
  <c r="C729" i="9"/>
  <c r="C729" i="7"/>
  <c r="B814" i="20"/>
  <c r="AL814" i="20" s="1"/>
  <c r="B814" i="19"/>
  <c r="H360" i="16"/>
  <c r="P360" i="16" s="1"/>
  <c r="H360" i="20"/>
  <c r="F360" i="19"/>
  <c r="D613" i="9"/>
  <c r="D70" i="11"/>
  <c r="A11" i="11"/>
  <c r="A11" i="9"/>
  <c r="B11" i="5"/>
  <c r="B53" i="9"/>
  <c r="C53" i="11"/>
  <c r="B53" i="8"/>
  <c r="C100" i="9"/>
  <c r="C100" i="7"/>
  <c r="C100" i="8"/>
  <c r="D100" i="11"/>
  <c r="A120" i="8"/>
  <c r="A120" i="7"/>
  <c r="A120" i="11"/>
  <c r="C156" i="11"/>
  <c r="B156" i="9"/>
  <c r="B156" i="8"/>
  <c r="B187" i="9"/>
  <c r="C187" i="11"/>
  <c r="B187" i="8"/>
  <c r="B187" i="7"/>
  <c r="C268" i="11"/>
  <c r="B268" i="8"/>
  <c r="B268" i="9"/>
  <c r="B268" i="7"/>
  <c r="C285" i="11"/>
  <c r="B285" i="9"/>
  <c r="B285" i="7"/>
  <c r="L434" i="9"/>
  <c r="B434" i="11"/>
  <c r="A470" i="16"/>
  <c r="A470" i="20"/>
  <c r="A470" i="19"/>
  <c r="A523" i="9"/>
  <c r="A523" i="11"/>
  <c r="A523" i="7"/>
  <c r="A523" i="8"/>
  <c r="A606" i="8"/>
  <c r="A606" i="11"/>
  <c r="A606" i="7"/>
  <c r="A606" i="9"/>
  <c r="B639" i="11"/>
  <c r="L639" i="9"/>
  <c r="B749" i="11"/>
  <c r="L749" i="9"/>
  <c r="A758" i="7"/>
  <c r="A758" i="9"/>
  <c r="B758" i="5"/>
  <c r="A758" i="11"/>
  <c r="A758" i="8"/>
  <c r="B772" i="9"/>
  <c r="C772" i="11"/>
  <c r="B772" i="8"/>
  <c r="B772" i="7"/>
  <c r="B790" i="7"/>
  <c r="C790" i="11"/>
  <c r="B790" i="8"/>
  <c r="B790" i="9"/>
  <c r="A284" i="7"/>
  <c r="A137" i="8"/>
  <c r="D349" i="9"/>
  <c r="D430" i="9"/>
  <c r="D618" i="9"/>
  <c r="H700" i="16"/>
  <c r="P700" i="16" s="1"/>
  <c r="H700" i="20"/>
  <c r="F700" i="19"/>
  <c r="I259" i="16"/>
  <c r="M259" i="16" s="1"/>
  <c r="G259" i="20"/>
  <c r="G259" i="19"/>
  <c r="J259" i="19" s="1"/>
  <c r="B378" i="16"/>
  <c r="E378" i="20"/>
  <c r="AM378" i="20" s="1"/>
  <c r="I516" i="16"/>
  <c r="M516" i="16" s="1"/>
  <c r="G516" i="19"/>
  <c r="J516" i="19" s="1"/>
  <c r="G516" i="20"/>
  <c r="H583" i="16"/>
  <c r="P583" i="16" s="1"/>
  <c r="H583" i="20"/>
  <c r="F583" i="19"/>
  <c r="C685" i="16"/>
  <c r="F685" i="20"/>
  <c r="E685" i="19"/>
  <c r="C748" i="16"/>
  <c r="F748" i="20"/>
  <c r="E748" i="19"/>
  <c r="C35" i="9"/>
  <c r="C35" i="7"/>
  <c r="D35" i="11"/>
  <c r="C53" i="8"/>
  <c r="D53" i="11"/>
  <c r="C53" i="9"/>
  <c r="A106" i="11"/>
  <c r="A106" i="9"/>
  <c r="A106" i="8"/>
  <c r="C124" i="11"/>
  <c r="B124" i="7"/>
  <c r="C187" i="9"/>
  <c r="D187" i="11"/>
  <c r="C187" i="8"/>
  <c r="C187" i="7"/>
  <c r="C254" i="7"/>
  <c r="C254" i="8"/>
  <c r="D268" i="11"/>
  <c r="C268" i="8"/>
  <c r="C268" i="7"/>
  <c r="C268" i="9"/>
  <c r="B290" i="8"/>
  <c r="B290" i="9"/>
  <c r="B290" i="7"/>
  <c r="D339" i="11"/>
  <c r="C339" i="8"/>
  <c r="C339" i="9"/>
  <c r="C339" i="7"/>
  <c r="A357" i="9"/>
  <c r="A357" i="11"/>
  <c r="A357" i="8"/>
  <c r="B357" i="5"/>
  <c r="C497" i="9"/>
  <c r="C497" i="7"/>
  <c r="D497" i="11"/>
  <c r="C497" i="8"/>
  <c r="D518" i="11"/>
  <c r="C518" i="8"/>
  <c r="C518" i="7"/>
  <c r="D596" i="11"/>
  <c r="C596" i="7"/>
  <c r="C596" i="8"/>
  <c r="C596" i="9"/>
  <c r="B606" i="5"/>
  <c r="C749" i="11"/>
  <c r="B749" i="9"/>
  <c r="A306" i="7"/>
  <c r="D131" i="9"/>
  <c r="C186" i="8"/>
  <c r="D269" i="9"/>
  <c r="A378" i="8"/>
  <c r="D491" i="9"/>
  <c r="D625" i="9"/>
  <c r="D46" i="11"/>
  <c r="B31" i="7"/>
  <c r="B31" i="9"/>
  <c r="C31" i="11"/>
  <c r="B31" i="8"/>
  <c r="C49" i="7"/>
  <c r="C49" i="8"/>
  <c r="C49" i="9"/>
  <c r="A251" i="9"/>
  <c r="A251" i="7"/>
  <c r="A251" i="8"/>
  <c r="A344" i="8"/>
  <c r="A344" i="7"/>
  <c r="A344" i="11"/>
  <c r="C357" i="11"/>
  <c r="B357" i="9"/>
  <c r="B357" i="8"/>
  <c r="D406" i="11"/>
  <c r="C406" i="7"/>
  <c r="C406" i="8"/>
  <c r="C406" i="9"/>
  <c r="C434" i="7"/>
  <c r="D434" i="11"/>
  <c r="C434" i="8"/>
  <c r="C434" i="9"/>
  <c r="D542" i="11"/>
  <c r="C542" i="9"/>
  <c r="C542" i="7"/>
  <c r="C542" i="8"/>
  <c r="C606" i="11"/>
  <c r="B606" i="8"/>
  <c r="B606" i="7"/>
  <c r="D401" i="9"/>
  <c r="D607" i="9"/>
  <c r="B64" i="16"/>
  <c r="E64" i="20"/>
  <c r="AM64" i="20" s="1"/>
  <c r="B86" i="7"/>
  <c r="B86" i="8"/>
  <c r="B86" i="9"/>
  <c r="C120" i="8"/>
  <c r="D120" i="11"/>
  <c r="C120" i="7"/>
  <c r="C120" i="9"/>
  <c r="C174" i="7"/>
  <c r="C174" i="8"/>
  <c r="C174" i="9"/>
  <c r="C242" i="11"/>
  <c r="B242" i="9"/>
  <c r="B242" i="7"/>
  <c r="L269" i="9"/>
  <c r="B269" i="11"/>
  <c r="D312" i="11"/>
  <c r="C312" i="8"/>
  <c r="C312" i="9"/>
  <c r="C312" i="7"/>
  <c r="L321" i="9"/>
  <c r="B321" i="11"/>
  <c r="C330" i="7"/>
  <c r="C330" i="8"/>
  <c r="D330" i="11"/>
  <c r="C330" i="9"/>
  <c r="A336" i="11"/>
  <c r="A336" i="8"/>
  <c r="A336" i="9"/>
  <c r="A348" i="11"/>
  <c r="B348" i="5"/>
  <c r="A348" i="8"/>
  <c r="A348" i="7"/>
  <c r="B393" i="5"/>
  <c r="D439" i="11"/>
  <c r="C439" i="9"/>
  <c r="C439" i="8"/>
  <c r="A507" i="9"/>
  <c r="A507" i="11"/>
  <c r="A507" i="8"/>
  <c r="A511" i="9"/>
  <c r="A511" i="7"/>
  <c r="D514" i="11"/>
  <c r="C514" i="7"/>
  <c r="C514" i="8"/>
  <c r="C514" i="9"/>
  <c r="D523" i="11"/>
  <c r="C523" i="8"/>
  <c r="C523" i="7"/>
  <c r="C523" i="9"/>
  <c r="B529" i="11"/>
  <c r="L529" i="9"/>
  <c r="B587" i="9"/>
  <c r="C587" i="11"/>
  <c r="D606" i="11"/>
  <c r="C606" i="9"/>
  <c r="C606" i="8"/>
  <c r="C606" i="7"/>
  <c r="A621" i="9"/>
  <c r="A621" i="11"/>
  <c r="A621" i="8"/>
  <c r="A621" i="7"/>
  <c r="B621" i="5"/>
  <c r="B657" i="9"/>
  <c r="C657" i="11"/>
  <c r="B657" i="8"/>
  <c r="B657" i="7"/>
  <c r="B676" i="11"/>
  <c r="L676" i="9"/>
  <c r="D707" i="11"/>
  <c r="C707" i="8"/>
  <c r="C707" i="7"/>
  <c r="B717" i="9"/>
  <c r="C717" i="11"/>
  <c r="B717" i="8"/>
  <c r="B717" i="7"/>
  <c r="D730" i="11"/>
  <c r="C730" i="7"/>
  <c r="C730" i="9"/>
  <c r="C730" i="8"/>
  <c r="L740" i="9"/>
  <c r="B740" i="11"/>
  <c r="A750" i="11"/>
  <c r="A750" i="8"/>
  <c r="A750" i="9"/>
  <c r="B753" i="9"/>
  <c r="B753" i="8"/>
  <c r="B753" i="7"/>
  <c r="C753" i="11"/>
  <c r="D768" i="11"/>
  <c r="C768" i="8"/>
  <c r="C768" i="9"/>
  <c r="C786" i="11"/>
  <c r="B786" i="8"/>
  <c r="B786" i="9"/>
  <c r="B786" i="7"/>
  <c r="A796" i="9"/>
  <c r="A796" i="11"/>
  <c r="B796" i="5"/>
  <c r="B696" i="7"/>
  <c r="A11" i="8"/>
  <c r="D80" i="9"/>
  <c r="D85" i="9"/>
  <c r="D237" i="9"/>
  <c r="C355" i="8"/>
  <c r="C378" i="8"/>
  <c r="D407" i="9"/>
  <c r="B413" i="8"/>
  <c r="D729" i="9"/>
  <c r="H760" i="16"/>
  <c r="P760" i="16" s="1"/>
  <c r="H760" i="20"/>
  <c r="F760" i="19"/>
  <c r="A9" i="16"/>
  <c r="A9" i="20"/>
  <c r="A9" i="19"/>
  <c r="B46" i="9"/>
  <c r="H75" i="16"/>
  <c r="P75" i="16" s="1"/>
  <c r="H75" i="20"/>
  <c r="F75" i="19"/>
  <c r="H171" i="16"/>
  <c r="P171" i="16" s="1"/>
  <c r="H171" i="20"/>
  <c r="F171" i="19"/>
  <c r="I233" i="16"/>
  <c r="M233" i="16" s="1"/>
  <c r="G233" i="20"/>
  <c r="G233" i="19"/>
  <c r="J233" i="19" s="1"/>
  <c r="B244" i="16"/>
  <c r="E244" i="20"/>
  <c r="AM244" i="20" s="1"/>
  <c r="I248" i="16"/>
  <c r="M248" i="16" s="1"/>
  <c r="G248" i="20"/>
  <c r="G248" i="19"/>
  <c r="J248" i="19" s="1"/>
  <c r="A260" i="16"/>
  <c r="A260" i="20"/>
  <c r="A260" i="19"/>
  <c r="B358" i="16"/>
  <c r="E358" i="20"/>
  <c r="AM358" i="20" s="1"/>
  <c r="I369" i="16"/>
  <c r="M369" i="16" s="1"/>
  <c r="G369" i="20"/>
  <c r="G369" i="19"/>
  <c r="J369" i="19" s="1"/>
  <c r="I373" i="16"/>
  <c r="M373" i="16" s="1"/>
  <c r="G373" i="20"/>
  <c r="G373" i="19"/>
  <c r="J373" i="19" s="1"/>
  <c r="C394" i="9"/>
  <c r="H428" i="16"/>
  <c r="P428" i="16" s="1"/>
  <c r="H428" i="20"/>
  <c r="F428" i="19"/>
  <c r="F435" i="20"/>
  <c r="C435" i="16"/>
  <c r="E435" i="19"/>
  <c r="D446" i="9"/>
  <c r="H499" i="16"/>
  <c r="P499" i="16" s="1"/>
  <c r="H499" i="20"/>
  <c r="F499" i="19"/>
  <c r="G528" i="20"/>
  <c r="I528" i="16"/>
  <c r="M528" i="16" s="1"/>
  <c r="G528" i="19"/>
  <c r="J528" i="19" s="1"/>
  <c r="B578" i="16"/>
  <c r="E578" i="20"/>
  <c r="AM578" i="20" s="1"/>
  <c r="I637" i="16"/>
  <c r="M637" i="16" s="1"/>
  <c r="G637" i="19"/>
  <c r="J637" i="19" s="1"/>
  <c r="G637" i="20"/>
  <c r="C644" i="16"/>
  <c r="F644" i="20"/>
  <c r="E644" i="19"/>
  <c r="A680" i="19"/>
  <c r="I731" i="16"/>
  <c r="M731" i="16" s="1"/>
  <c r="G731" i="20"/>
  <c r="G731" i="19"/>
  <c r="J731" i="19" s="1"/>
  <c r="H800" i="16"/>
  <c r="P800" i="16" s="1"/>
  <c r="F800" i="19"/>
  <c r="H800" i="20"/>
  <c r="D254" i="11"/>
  <c r="M138" i="20"/>
  <c r="J138" i="20"/>
  <c r="B681" i="9"/>
  <c r="B681" i="8"/>
  <c r="B681" i="7"/>
  <c r="D714" i="9"/>
  <c r="I96" i="16"/>
  <c r="M96" i="16" s="1"/>
  <c r="G96" i="20"/>
  <c r="G96" i="19"/>
  <c r="J96" i="19" s="1"/>
  <c r="C178" i="16"/>
  <c r="F178" i="20"/>
  <c r="E178" i="19"/>
  <c r="I262" i="16"/>
  <c r="M262" i="16" s="1"/>
  <c r="G262" i="20"/>
  <c r="G262" i="19"/>
  <c r="J262" i="19" s="1"/>
  <c r="H303" i="16"/>
  <c r="P303" i="16" s="1"/>
  <c r="F303" i="19"/>
  <c r="H303" i="20"/>
  <c r="I507" i="16"/>
  <c r="M507" i="16" s="1"/>
  <c r="G507" i="20"/>
  <c r="G507" i="19"/>
  <c r="J507" i="19" s="1"/>
  <c r="H555" i="16"/>
  <c r="P555" i="16" s="1"/>
  <c r="F555" i="19"/>
  <c r="H555" i="20"/>
  <c r="I628" i="16"/>
  <c r="M628" i="16" s="1"/>
  <c r="G628" i="20"/>
  <c r="G628" i="19"/>
  <c r="J628" i="19" s="1"/>
  <c r="H794" i="16"/>
  <c r="P794" i="16" s="1"/>
  <c r="F794" i="19"/>
  <c r="H794" i="20"/>
  <c r="D78" i="11"/>
  <c r="C78" i="7"/>
  <c r="A622" i="16"/>
  <c r="A622" i="20"/>
  <c r="A622" i="19"/>
  <c r="C218" i="16"/>
  <c r="F218" i="20"/>
  <c r="E218" i="19"/>
  <c r="C230" i="9"/>
  <c r="B633" i="20"/>
  <c r="AL633" i="20" s="1"/>
  <c r="B633" i="19"/>
  <c r="I712" i="16"/>
  <c r="M712" i="16" s="1"/>
  <c r="G712" i="20"/>
  <c r="D773" i="11"/>
  <c r="C773" i="7"/>
  <c r="C773" i="9"/>
  <c r="C773" i="8"/>
  <c r="L5" i="9"/>
  <c r="B5" i="11"/>
  <c r="D42" i="11"/>
  <c r="C42" i="9"/>
  <c r="C93" i="7"/>
  <c r="D93" i="11"/>
  <c r="C93" i="8"/>
  <c r="D185" i="11"/>
  <c r="C185" i="8"/>
  <c r="C185" i="9"/>
  <c r="C185" i="7"/>
  <c r="C211" i="16"/>
  <c r="F211" i="20"/>
  <c r="E211" i="19"/>
  <c r="A288" i="11"/>
  <c r="B288" i="5"/>
  <c r="A288" i="8"/>
  <c r="A288" i="7"/>
  <c r="A288" i="9"/>
  <c r="C327" i="9"/>
  <c r="C327" i="8"/>
  <c r="D327" i="11"/>
  <c r="C327" i="7"/>
  <c r="C458" i="11"/>
  <c r="B458" i="7"/>
  <c r="B458" i="9"/>
  <c r="B458" i="8"/>
  <c r="A500" i="8"/>
  <c r="A500" i="9"/>
  <c r="A500" i="7"/>
  <c r="A500" i="11"/>
  <c r="B500" i="5"/>
  <c r="D663" i="11"/>
  <c r="C663" i="8"/>
  <c r="C663" i="7"/>
  <c r="C663" i="9"/>
  <c r="D775" i="11"/>
  <c r="C775" i="7"/>
  <c r="B784" i="5"/>
  <c r="H88" i="16"/>
  <c r="P88" i="16" s="1"/>
  <c r="H88" i="20"/>
  <c r="F88" i="19"/>
  <c r="C216" i="8"/>
  <c r="H251" i="16"/>
  <c r="P251" i="16" s="1"/>
  <c r="F251" i="19"/>
  <c r="H251" i="20"/>
  <c r="D387" i="9"/>
  <c r="H32" i="16"/>
  <c r="P32" i="16" s="1"/>
  <c r="H32" i="20"/>
  <c r="F32" i="19"/>
  <c r="B77" i="20"/>
  <c r="AL77" i="20" s="1"/>
  <c r="B77" i="19"/>
  <c r="I93" i="16"/>
  <c r="M93" i="16" s="1"/>
  <c r="G93" i="20"/>
  <c r="G93" i="19"/>
  <c r="J93" i="19" s="1"/>
  <c r="H230" i="16"/>
  <c r="P230" i="16" s="1"/>
  <c r="H230" i="20"/>
  <c r="F230" i="19"/>
  <c r="F263" i="20"/>
  <c r="C263" i="16"/>
  <c r="E263" i="19"/>
  <c r="H355" i="16"/>
  <c r="P355" i="16" s="1"/>
  <c r="H355" i="20"/>
  <c r="F355" i="19"/>
  <c r="C403" i="16"/>
  <c r="F403" i="20"/>
  <c r="E403" i="19"/>
  <c r="A466" i="16"/>
  <c r="A466" i="19"/>
  <c r="A466" i="20"/>
  <c r="I472" i="16"/>
  <c r="M472" i="16" s="1"/>
  <c r="G472" i="20"/>
  <c r="G472" i="19"/>
  <c r="J472" i="19" s="1"/>
  <c r="C543" i="16"/>
  <c r="F543" i="20"/>
  <c r="E543" i="19"/>
  <c r="B562" i="16"/>
  <c r="E562" i="20"/>
  <c r="AM562" i="20" s="1"/>
  <c r="A634" i="16"/>
  <c r="A634" i="20"/>
  <c r="A634" i="19"/>
  <c r="H701" i="16"/>
  <c r="P701" i="16" s="1"/>
  <c r="H701" i="20"/>
  <c r="F701" i="19"/>
  <c r="H759" i="16"/>
  <c r="P759" i="16" s="1"/>
  <c r="H759" i="20"/>
  <c r="F759" i="19"/>
  <c r="L811" i="9"/>
  <c r="F133" i="19"/>
  <c r="I480" i="19"/>
  <c r="C594" i="11"/>
  <c r="B594" i="7"/>
  <c r="D29" i="9"/>
  <c r="F72" i="20"/>
  <c r="C72" i="16"/>
  <c r="E72" i="19"/>
  <c r="I133" i="16"/>
  <c r="M133" i="16" s="1"/>
  <c r="G133" i="20"/>
  <c r="G133" i="19"/>
  <c r="J133" i="19" s="1"/>
  <c r="C163" i="16"/>
  <c r="F163" i="20"/>
  <c r="A304" i="20"/>
  <c r="A304" i="16"/>
  <c r="A304" i="19"/>
  <c r="B484" i="9"/>
  <c r="H543" i="16"/>
  <c r="P543" i="16" s="1"/>
  <c r="H543" i="20"/>
  <c r="F543" i="19"/>
  <c r="B127" i="11"/>
  <c r="C66" i="7"/>
  <c r="C66" i="9"/>
  <c r="D66" i="11"/>
  <c r="D195" i="11"/>
  <c r="C195" i="8"/>
  <c r="C195" i="9"/>
  <c r="B333" i="11"/>
  <c r="L333" i="9"/>
  <c r="D350" i="11"/>
  <c r="C350" i="9"/>
  <c r="C350" i="8"/>
  <c r="C350" i="7"/>
  <c r="A473" i="9"/>
  <c r="A473" i="11"/>
  <c r="A473" i="8"/>
  <c r="A473" i="7"/>
  <c r="B491" i="9"/>
  <c r="C491" i="11"/>
  <c r="B491" i="7"/>
  <c r="C526" i="11"/>
  <c r="B526" i="9"/>
  <c r="B655" i="9"/>
  <c r="C655" i="11"/>
  <c r="B655" i="7"/>
  <c r="B655" i="8"/>
  <c r="C784" i="7"/>
  <c r="D784" i="11"/>
  <c r="C784" i="9"/>
  <c r="C784" i="8"/>
  <c r="D279" i="9"/>
  <c r="D296" i="9"/>
  <c r="H2" i="20"/>
  <c r="H2" i="16"/>
  <c r="P2" i="16" s="1"/>
  <c r="F2" i="19"/>
  <c r="H163" i="16"/>
  <c r="P163" i="16" s="1"/>
  <c r="H163" i="20"/>
  <c r="F163" i="19"/>
  <c r="K163" i="19" s="1"/>
  <c r="C201" i="16"/>
  <c r="F201" i="20"/>
  <c r="E201" i="19"/>
  <c r="I258" i="16"/>
  <c r="M258" i="16" s="1"/>
  <c r="G258" i="20"/>
  <c r="G258" i="19"/>
  <c r="J258" i="19" s="1"/>
  <c r="C269" i="16"/>
  <c r="F269" i="20"/>
  <c r="E269" i="19"/>
  <c r="I280" i="16"/>
  <c r="M280" i="16" s="1"/>
  <c r="G280" i="20"/>
  <c r="G280" i="19"/>
  <c r="J280" i="19" s="1"/>
  <c r="H299" i="16"/>
  <c r="P299" i="16" s="1"/>
  <c r="H299" i="20"/>
  <c r="F299" i="19"/>
  <c r="F340" i="20"/>
  <c r="C340" i="16"/>
  <c r="E340" i="19"/>
  <c r="I403" i="16"/>
  <c r="M403" i="16" s="1"/>
  <c r="G403" i="20"/>
  <c r="G403" i="19"/>
  <c r="J403" i="19" s="1"/>
  <c r="H677" i="16"/>
  <c r="P677" i="16" s="1"/>
  <c r="H677" i="20"/>
  <c r="F677" i="19"/>
  <c r="B728" i="16"/>
  <c r="E728" i="20"/>
  <c r="AM728" i="20" s="1"/>
  <c r="C747" i="16"/>
  <c r="E747" i="19"/>
  <c r="F747" i="20"/>
  <c r="B812" i="16"/>
  <c r="E812" i="20"/>
  <c r="AM812" i="20" s="1"/>
  <c r="I192" i="19"/>
  <c r="C95" i="11"/>
  <c r="B95" i="9"/>
  <c r="B95" i="7"/>
  <c r="B95" i="8"/>
  <c r="B163" i="9"/>
  <c r="C163" i="11"/>
  <c r="B163" i="7"/>
  <c r="B395" i="9"/>
  <c r="C395" i="11"/>
  <c r="B395" i="7"/>
  <c r="B395" i="8"/>
  <c r="D52" i="11"/>
  <c r="C52" i="8"/>
  <c r="C52" i="7"/>
  <c r="C52" i="9"/>
  <c r="C113" i="8"/>
  <c r="D113" i="11"/>
  <c r="C113" i="7"/>
  <c r="B293" i="9"/>
  <c r="C293" i="11"/>
  <c r="B293" i="7"/>
  <c r="B293" i="8"/>
  <c r="A311" i="9"/>
  <c r="A311" i="7"/>
  <c r="A311" i="8"/>
  <c r="A356" i="8"/>
  <c r="A356" i="11"/>
  <c r="A356" i="9"/>
  <c r="B373" i="9"/>
  <c r="C373" i="11"/>
  <c r="B373" i="8"/>
  <c r="B373" i="7"/>
  <c r="B382" i="9"/>
  <c r="C382" i="11"/>
  <c r="B382" i="7"/>
  <c r="B382" i="8"/>
  <c r="C432" i="11"/>
  <c r="B432" i="9"/>
  <c r="B432" i="8"/>
  <c r="B432" i="7"/>
  <c r="B473" i="5"/>
  <c r="B550" i="5"/>
  <c r="C632" i="9"/>
  <c r="D632" i="11"/>
  <c r="C632" i="8"/>
  <c r="B642" i="8"/>
  <c r="B642" i="7"/>
  <c r="C642" i="11"/>
  <c r="B642" i="9"/>
  <c r="C742" i="9"/>
  <c r="C742" i="8"/>
  <c r="C742" i="7"/>
  <c r="D742" i="11"/>
  <c r="D789" i="11"/>
  <c r="C789" i="8"/>
  <c r="C789" i="7"/>
  <c r="C789" i="9"/>
  <c r="C78" i="9"/>
  <c r="I157" i="16"/>
  <c r="M157" i="16" s="1"/>
  <c r="G157" i="20"/>
  <c r="G157" i="19"/>
  <c r="J157" i="19" s="1"/>
  <c r="H201" i="16"/>
  <c r="P201" i="16" s="1"/>
  <c r="H201" i="20"/>
  <c r="F201" i="19"/>
  <c r="I299" i="16"/>
  <c r="M299" i="16" s="1"/>
  <c r="G299" i="20"/>
  <c r="G299" i="19"/>
  <c r="J299" i="19" s="1"/>
  <c r="D455" i="9"/>
  <c r="I521" i="16"/>
  <c r="M521" i="16" s="1"/>
  <c r="G521" i="19"/>
  <c r="J521" i="19" s="1"/>
  <c r="G521" i="20"/>
  <c r="C812" i="9"/>
  <c r="C795" i="9"/>
  <c r="D795" i="11"/>
  <c r="C795" i="8"/>
  <c r="A90" i="8"/>
  <c r="B90" i="5"/>
  <c r="D109" i="11"/>
  <c r="C109" i="9"/>
  <c r="C109" i="8"/>
  <c r="C109" i="7"/>
  <c r="A128" i="11"/>
  <c r="B128" i="5"/>
  <c r="A128" i="9"/>
  <c r="A128" i="7"/>
  <c r="A128" i="8"/>
  <c r="C212" i="11"/>
  <c r="B212" i="9"/>
  <c r="B212" i="8"/>
  <c r="B212" i="7"/>
  <c r="B410" i="5"/>
  <c r="C459" i="11"/>
  <c r="B459" i="9"/>
  <c r="B459" i="7"/>
  <c r="B697" i="11"/>
  <c r="L697" i="9"/>
  <c r="A711" i="11"/>
  <c r="A711" i="9"/>
  <c r="A711" i="7"/>
  <c r="A711" i="8"/>
  <c r="A781" i="9"/>
  <c r="A781" i="11"/>
  <c r="A781" i="8"/>
  <c r="D567" i="9"/>
  <c r="A90" i="9"/>
  <c r="C329" i="16"/>
  <c r="E329" i="19"/>
  <c r="F329" i="20"/>
  <c r="C461" i="16"/>
  <c r="F461" i="20"/>
  <c r="E461" i="19"/>
  <c r="I611" i="16"/>
  <c r="M611" i="16" s="1"/>
  <c r="G611" i="20"/>
  <c r="G611" i="19"/>
  <c r="J611" i="19" s="1"/>
  <c r="A666" i="16"/>
  <c r="A666" i="20"/>
  <c r="A666" i="19"/>
  <c r="C709" i="16"/>
  <c r="F709" i="20"/>
  <c r="E709" i="19"/>
  <c r="A754" i="16"/>
  <c r="A754" i="20"/>
  <c r="A754" i="19"/>
  <c r="I812" i="16"/>
  <c r="M812" i="16" s="1"/>
  <c r="G812" i="20"/>
  <c r="G812" i="19"/>
  <c r="J812" i="19" s="1"/>
  <c r="C476" i="11"/>
  <c r="B57" i="9"/>
  <c r="C57" i="11"/>
  <c r="B57" i="7"/>
  <c r="B105" i="11"/>
  <c r="L105" i="9"/>
  <c r="A246" i="11"/>
  <c r="A246" i="8"/>
  <c r="A246" i="9"/>
  <c r="A246" i="7"/>
  <c r="B250" i="5"/>
  <c r="C262" i="11"/>
  <c r="B262" i="9"/>
  <c r="B262" i="8"/>
  <c r="B298" i="8"/>
  <c r="B298" i="9"/>
  <c r="C298" i="11"/>
  <c r="B298" i="7"/>
  <c r="B334" i="9"/>
  <c r="C334" i="11"/>
  <c r="B334" i="8"/>
  <c r="B334" i="7"/>
  <c r="C369" i="11"/>
  <c r="B369" i="9"/>
  <c r="B369" i="8"/>
  <c r="B369" i="7"/>
  <c r="A420" i="11"/>
  <c r="A420" i="7"/>
  <c r="A420" i="9"/>
  <c r="A420" i="8"/>
  <c r="B433" i="9"/>
  <c r="B433" i="7"/>
  <c r="B455" i="9"/>
  <c r="B455" i="7"/>
  <c r="C455" i="11"/>
  <c r="B527" i="9"/>
  <c r="B527" i="8"/>
  <c r="C527" i="11"/>
  <c r="B527" i="7"/>
  <c r="C536" i="11"/>
  <c r="B536" i="9"/>
  <c r="C568" i="8"/>
  <c r="D568" i="11"/>
  <c r="C568" i="9"/>
  <c r="C568" i="7"/>
  <c r="B711" i="5"/>
  <c r="D733" i="11"/>
  <c r="C733" i="9"/>
  <c r="C733" i="8"/>
  <c r="C733" i="7"/>
  <c r="C823" i="11"/>
  <c r="B823" i="9"/>
  <c r="B823" i="8"/>
  <c r="D57" i="9"/>
  <c r="B666" i="16"/>
  <c r="E666" i="20"/>
  <c r="AM666" i="20" s="1"/>
  <c r="B6" i="5"/>
  <c r="D90" i="11"/>
  <c r="C90" i="8"/>
  <c r="C155" i="8"/>
  <c r="C155" i="9"/>
  <c r="B241" i="9"/>
  <c r="C241" i="11"/>
  <c r="B241" i="8"/>
  <c r="B241" i="7"/>
  <c r="C258" i="11"/>
  <c r="B258" i="9"/>
  <c r="B258" i="8"/>
  <c r="B258" i="7"/>
  <c r="C267" i="9"/>
  <c r="C267" i="7"/>
  <c r="D267" i="11"/>
  <c r="A277" i="9"/>
  <c r="A277" i="11"/>
  <c r="A277" i="7"/>
  <c r="A303" i="9"/>
  <c r="A303" i="11"/>
  <c r="A303" i="8"/>
  <c r="B303" i="5"/>
  <c r="D369" i="11"/>
  <c r="C369" i="8"/>
  <c r="C369" i="9"/>
  <c r="C369" i="7"/>
  <c r="C405" i="7"/>
  <c r="D405" i="11"/>
  <c r="C405" i="8"/>
  <c r="C405" i="9"/>
  <c r="B420" i="5"/>
  <c r="A560" i="11"/>
  <c r="A560" i="7"/>
  <c r="A560" i="9"/>
  <c r="D586" i="11"/>
  <c r="C586" i="7"/>
  <c r="C586" i="8"/>
  <c r="C586" i="9"/>
  <c r="D610" i="11"/>
  <c r="C610" i="9"/>
  <c r="C610" i="7"/>
  <c r="C610" i="8"/>
  <c r="B633" i="9"/>
  <c r="B633" i="8"/>
  <c r="B633" i="7"/>
  <c r="D647" i="11"/>
  <c r="C647" i="8"/>
  <c r="C647" i="7"/>
  <c r="C647" i="9"/>
  <c r="B674" i="8"/>
  <c r="C674" i="11"/>
  <c r="C692" i="9"/>
  <c r="D692" i="11"/>
  <c r="C692" i="7"/>
  <c r="C692" i="8"/>
  <c r="C729" i="11"/>
  <c r="B729" i="9"/>
  <c r="B729" i="7"/>
  <c r="C632" i="7"/>
  <c r="D365" i="9"/>
  <c r="A491" i="8"/>
  <c r="D496" i="9"/>
  <c r="D551" i="9"/>
  <c r="C8" i="9"/>
  <c r="C90" i="9"/>
  <c r="I329" i="16"/>
  <c r="M329" i="16" s="1"/>
  <c r="G329" i="20"/>
  <c r="G329" i="19"/>
  <c r="J329" i="19" s="1"/>
  <c r="A307" i="11"/>
  <c r="K168" i="19"/>
  <c r="H168" i="19"/>
  <c r="C85" i="11"/>
  <c r="B85" i="9"/>
  <c r="B85" i="7"/>
  <c r="B35" i="7"/>
  <c r="B35" i="8"/>
  <c r="B76" i="7"/>
  <c r="B76" i="9"/>
  <c r="C76" i="11"/>
  <c r="B76" i="8"/>
  <c r="A124" i="9"/>
  <c r="A124" i="11"/>
  <c r="A124" i="8"/>
  <c r="D182" i="11"/>
  <c r="C182" i="7"/>
  <c r="C182" i="9"/>
  <c r="C182" i="8"/>
  <c r="B223" i="9"/>
  <c r="C223" i="11"/>
  <c r="B223" i="8"/>
  <c r="B223" i="7"/>
  <c r="B263" i="19"/>
  <c r="B263" i="20"/>
  <c r="AL263" i="20" s="1"/>
  <c r="B277" i="5"/>
  <c r="C374" i="11"/>
  <c r="B374" i="8"/>
  <c r="B374" i="7"/>
  <c r="A406" i="11"/>
  <c r="A406" i="8"/>
  <c r="A406" i="7"/>
  <c r="C447" i="9"/>
  <c r="C447" i="8"/>
  <c r="C447" i="7"/>
  <c r="D447" i="11"/>
  <c r="A537" i="9"/>
  <c r="A537" i="8"/>
  <c r="A537" i="7"/>
  <c r="A537" i="11"/>
  <c r="B596" i="11"/>
  <c r="L596" i="9"/>
  <c r="D633" i="11"/>
  <c r="C633" i="9"/>
  <c r="C633" i="7"/>
  <c r="C633" i="8"/>
  <c r="B670" i="9"/>
  <c r="B670" i="7"/>
  <c r="C670" i="11"/>
  <c r="A693" i="11"/>
  <c r="A693" i="9"/>
  <c r="A693" i="8"/>
  <c r="A693" i="7"/>
  <c r="C734" i="11"/>
  <c r="B734" i="8"/>
  <c r="B734" i="7"/>
  <c r="B734" i="9"/>
  <c r="D69" i="9"/>
  <c r="D202" i="9"/>
  <c r="L209" i="19"/>
  <c r="H209" i="19"/>
  <c r="A248" i="16"/>
  <c r="A248" i="20"/>
  <c r="A248" i="19"/>
  <c r="I411" i="16"/>
  <c r="M411" i="16" s="1"/>
  <c r="G411" i="20"/>
  <c r="G411" i="19"/>
  <c r="J411" i="19" s="1"/>
  <c r="C505" i="16"/>
  <c r="F505" i="20"/>
  <c r="E505" i="19"/>
  <c r="H516" i="16"/>
  <c r="P516" i="16" s="1"/>
  <c r="H516" i="20"/>
  <c r="F516" i="19"/>
  <c r="I660" i="16"/>
  <c r="M660" i="16" s="1"/>
  <c r="G660" i="20"/>
  <c r="G660" i="19"/>
  <c r="J660" i="19" s="1"/>
  <c r="C672" i="9"/>
  <c r="H798" i="16"/>
  <c r="P798" i="16" s="1"/>
  <c r="F798" i="19"/>
  <c r="H798" i="20"/>
  <c r="D10" i="11"/>
  <c r="B2" i="11"/>
  <c r="L2" i="9"/>
  <c r="A174" i="11"/>
  <c r="A174" i="7"/>
  <c r="A174" i="9"/>
  <c r="A330" i="8"/>
  <c r="A330" i="11"/>
  <c r="A330" i="7"/>
  <c r="D420" i="11"/>
  <c r="C420" i="9"/>
  <c r="C420" i="7"/>
  <c r="C518" i="11"/>
  <c r="B518" i="9"/>
  <c r="B518" i="8"/>
  <c r="B518" i="7"/>
  <c r="B537" i="5"/>
  <c r="C560" i="11"/>
  <c r="B560" i="7"/>
  <c r="B560" i="9"/>
  <c r="D643" i="11"/>
  <c r="C643" i="8"/>
  <c r="C643" i="9"/>
  <c r="B693" i="5"/>
  <c r="C720" i="9"/>
  <c r="C720" i="8"/>
  <c r="C720" i="7"/>
  <c r="D720" i="11"/>
  <c r="H36" i="16"/>
  <c r="P36" i="16" s="1"/>
  <c r="H36" i="20"/>
  <c r="F36" i="19"/>
  <c r="D79" i="9"/>
  <c r="H118" i="20"/>
  <c r="H118" i="16"/>
  <c r="P118" i="16" s="1"/>
  <c r="F118" i="19"/>
  <c r="B197" i="20"/>
  <c r="AL197" i="20" s="1"/>
  <c r="B197" i="19"/>
  <c r="B248" i="16"/>
  <c r="E248" i="20"/>
  <c r="AM248" i="20" s="1"/>
  <c r="A540" i="16"/>
  <c r="A540" i="19"/>
  <c r="A540" i="20"/>
  <c r="C724" i="16"/>
  <c r="F724" i="20"/>
  <c r="E724" i="19"/>
  <c r="I798" i="16"/>
  <c r="M798" i="16" s="1"/>
  <c r="G798" i="19"/>
  <c r="J798" i="19" s="1"/>
  <c r="G798" i="20"/>
  <c r="W10" i="20"/>
  <c r="L10" i="10"/>
  <c r="AQ10" i="10"/>
  <c r="B40" i="5"/>
  <c r="D58" i="11"/>
  <c r="C58" i="8"/>
  <c r="C58" i="9"/>
  <c r="B120" i="5"/>
  <c r="B174" i="5"/>
  <c r="D178" i="11"/>
  <c r="C178" i="8"/>
  <c r="C263" i="8"/>
  <c r="C263" i="7"/>
  <c r="D263" i="11"/>
  <c r="C277" i="9"/>
  <c r="C277" i="7"/>
  <c r="D277" i="11"/>
  <c r="C277" i="8"/>
  <c r="B330" i="5"/>
  <c r="D379" i="11"/>
  <c r="C379" i="8"/>
  <c r="C379" i="9"/>
  <c r="B406" i="7"/>
  <c r="C406" i="11"/>
  <c r="B406" i="8"/>
  <c r="B406" i="9"/>
  <c r="L439" i="9"/>
  <c r="C492" i="11"/>
  <c r="B492" i="9"/>
  <c r="B492" i="8"/>
  <c r="B492" i="7"/>
  <c r="C532" i="8"/>
  <c r="C532" i="9"/>
  <c r="D532" i="11"/>
  <c r="C532" i="7"/>
  <c r="D560" i="11"/>
  <c r="C560" i="7"/>
  <c r="C560" i="9"/>
  <c r="C639" i="11"/>
  <c r="B639" i="9"/>
  <c r="B639" i="7"/>
  <c r="D684" i="11"/>
  <c r="C684" i="7"/>
  <c r="C684" i="8"/>
  <c r="L730" i="9"/>
  <c r="B730" i="11"/>
  <c r="B777" i="9"/>
  <c r="C777" i="11"/>
  <c r="B777" i="7"/>
  <c r="C800" i="11"/>
  <c r="B800" i="9"/>
  <c r="B800" i="8"/>
  <c r="C409" i="7"/>
  <c r="B85" i="8"/>
  <c r="H153" i="16"/>
  <c r="P153" i="16" s="1"/>
  <c r="H153" i="20"/>
  <c r="F153" i="19"/>
  <c r="D242" i="9"/>
  <c r="H281" i="16"/>
  <c r="P281" i="16" s="1"/>
  <c r="H281" i="20"/>
  <c r="F281" i="19"/>
  <c r="B45" i="20"/>
  <c r="AL45" i="20" s="1"/>
  <c r="B45" i="19"/>
  <c r="A198" i="16"/>
  <c r="A198" i="20"/>
  <c r="A198" i="19"/>
  <c r="C248" i="16"/>
  <c r="F248" i="20"/>
  <c r="E248" i="19"/>
  <c r="A406" i="9"/>
  <c r="B446" i="9"/>
  <c r="I559" i="16"/>
  <c r="M559" i="16" s="1"/>
  <c r="G559" i="20"/>
  <c r="G559" i="19"/>
  <c r="J559" i="19" s="1"/>
  <c r="I724" i="16"/>
  <c r="M724" i="16" s="1"/>
  <c r="G724" i="20"/>
  <c r="G724" i="19"/>
  <c r="J724" i="19" s="1"/>
  <c r="I743" i="16"/>
  <c r="M743" i="16" s="1"/>
  <c r="G743" i="19"/>
  <c r="J743" i="19" s="1"/>
  <c r="G743" i="20"/>
  <c r="H821" i="20"/>
  <c r="H821" i="16"/>
  <c r="P821" i="16" s="1"/>
  <c r="F821" i="19"/>
  <c r="W55" i="20"/>
  <c r="L55" i="10"/>
  <c r="D2" i="11"/>
  <c r="H2" i="11" s="1"/>
  <c r="C2" i="7"/>
  <c r="C2" i="8"/>
  <c r="C2" i="9"/>
  <c r="A54" i="11"/>
  <c r="A54" i="8"/>
  <c r="A54" i="7"/>
  <c r="A54" i="9"/>
  <c r="B106" i="5"/>
  <c r="D192" i="11"/>
  <c r="C192" i="8"/>
  <c r="C192" i="9"/>
  <c r="C192" i="7"/>
  <c r="B461" i="11"/>
  <c r="L461" i="9"/>
  <c r="C488" i="9"/>
  <c r="D488" i="11"/>
  <c r="C488" i="7"/>
  <c r="C488" i="8"/>
  <c r="C502" i="11"/>
  <c r="B502" i="9"/>
  <c r="B502" i="8"/>
  <c r="B502" i="7"/>
  <c r="A533" i="9"/>
  <c r="A533" i="7"/>
  <c r="A533" i="11"/>
  <c r="B547" i="9"/>
  <c r="C547" i="11"/>
  <c r="B547" i="8"/>
  <c r="B547" i="7"/>
  <c r="C556" i="11"/>
  <c r="B556" i="9"/>
  <c r="B556" i="8"/>
  <c r="D639" i="11"/>
  <c r="C639" i="9"/>
  <c r="C639" i="7"/>
  <c r="D702" i="11"/>
  <c r="C702" i="8"/>
  <c r="C702" i="9"/>
  <c r="C702" i="7"/>
  <c r="B707" i="9"/>
  <c r="C707" i="11"/>
  <c r="B707" i="8"/>
  <c r="B707" i="7"/>
  <c r="A717" i="9"/>
  <c r="A717" i="11"/>
  <c r="A717" i="8"/>
  <c r="B717" i="5"/>
  <c r="B730" i="8"/>
  <c r="C730" i="11"/>
  <c r="B730" i="9"/>
  <c r="B730" i="7"/>
  <c r="D739" i="11"/>
  <c r="C739" i="9"/>
  <c r="C739" i="8"/>
  <c r="C739" i="7"/>
  <c r="D749" i="11"/>
  <c r="C749" i="8"/>
  <c r="C749" i="9"/>
  <c r="C758" i="9"/>
  <c r="C758" i="8"/>
  <c r="D758" i="11"/>
  <c r="C768" i="11"/>
  <c r="B768" i="7"/>
  <c r="B768" i="9"/>
  <c r="B768" i="8"/>
  <c r="A773" i="9"/>
  <c r="A773" i="7"/>
  <c r="A773" i="8"/>
  <c r="C777" i="7"/>
  <c r="C777" i="9"/>
  <c r="D777" i="11"/>
  <c r="C777" i="8"/>
  <c r="A791" i="9"/>
  <c r="A791" i="11"/>
  <c r="A791" i="7"/>
  <c r="A791" i="8"/>
  <c r="B791" i="5"/>
  <c r="D800" i="11"/>
  <c r="C800" i="8"/>
  <c r="B29" i="7"/>
  <c r="D196" i="9"/>
  <c r="H513" i="16"/>
  <c r="P513" i="16" s="1"/>
  <c r="H513" i="20"/>
  <c r="F513" i="19"/>
  <c r="B729" i="8"/>
  <c r="C26" i="9"/>
  <c r="D26" i="11"/>
  <c r="C26" i="8"/>
  <c r="C26" i="7"/>
  <c r="B54" i="5"/>
  <c r="A116" i="11"/>
  <c r="A116" i="7"/>
  <c r="A116" i="8"/>
  <c r="A116" i="9"/>
  <c r="B188" i="9"/>
  <c r="B188" i="8"/>
  <c r="C188" i="11"/>
  <c r="A247" i="9"/>
  <c r="A247" i="7"/>
  <c r="A247" i="11"/>
  <c r="B251" i="5"/>
  <c r="B273" i="9"/>
  <c r="C273" i="11"/>
  <c r="B273" i="8"/>
  <c r="B344" i="5"/>
  <c r="B3" i="11"/>
  <c r="L3" i="9"/>
  <c r="A27" i="16"/>
  <c r="A27" i="20"/>
  <c r="A27" i="19"/>
  <c r="B50" i="11"/>
  <c r="L50" i="9"/>
  <c r="C54" i="11"/>
  <c r="B54" i="7"/>
  <c r="B54" i="9"/>
  <c r="B54" i="8"/>
  <c r="B59" i="9"/>
  <c r="C59" i="11"/>
  <c r="B59" i="8"/>
  <c r="B59" i="7"/>
  <c r="C86" i="7"/>
  <c r="D86" i="11"/>
  <c r="C86" i="8"/>
  <c r="C86" i="9"/>
  <c r="A97" i="9"/>
  <c r="A97" i="8"/>
  <c r="A97" i="11"/>
  <c r="A97" i="7"/>
  <c r="B101" i="9"/>
  <c r="C101" i="11"/>
  <c r="B101" i="8"/>
  <c r="B101" i="7"/>
  <c r="C106" i="9"/>
  <c r="D106" i="11"/>
  <c r="C106" i="8"/>
  <c r="C106" i="7"/>
  <c r="B116" i="5"/>
  <c r="D147" i="11"/>
  <c r="C147" i="9"/>
  <c r="C147" i="8"/>
  <c r="D152" i="11"/>
  <c r="C152" i="8"/>
  <c r="C152" i="7"/>
  <c r="B157" i="20"/>
  <c r="AL157" i="20" s="1"/>
  <c r="B157" i="19"/>
  <c r="A171" i="9"/>
  <c r="A171" i="7"/>
  <c r="B171" i="5"/>
  <c r="A171" i="8"/>
  <c r="A171" i="11"/>
  <c r="B193" i="11"/>
  <c r="L193" i="9"/>
  <c r="B214" i="9"/>
  <c r="B214" i="8"/>
  <c r="B214" i="7"/>
  <c r="C214" i="11"/>
  <c r="B224" i="7"/>
  <c r="B224" i="8"/>
  <c r="B224" i="9"/>
  <c r="C224" i="11"/>
  <c r="B229" i="9"/>
  <c r="C229" i="11"/>
  <c r="B229" i="8"/>
  <c r="B247" i="5"/>
  <c r="B269" i="9"/>
  <c r="C269" i="11"/>
  <c r="B269" i="8"/>
  <c r="A317" i="9"/>
  <c r="A317" i="11"/>
  <c r="A317" i="8"/>
  <c r="A317" i="7"/>
  <c r="B321" i="9"/>
  <c r="B321" i="8"/>
  <c r="B321" i="7"/>
  <c r="C325" i="9"/>
  <c r="D325" i="11"/>
  <c r="C325" i="7"/>
  <c r="B336" i="5"/>
  <c r="B348" i="9"/>
  <c r="B348" i="8"/>
  <c r="C348" i="11"/>
  <c r="B348" i="7"/>
  <c r="A353" i="9"/>
  <c r="A353" i="11"/>
  <c r="A353" i="7"/>
  <c r="A353" i="8"/>
  <c r="B353" i="5"/>
  <c r="C366" i="11"/>
  <c r="B366" i="9"/>
  <c r="B366" i="8"/>
  <c r="B366" i="7"/>
  <c r="C380" i="9"/>
  <c r="C380" i="8"/>
  <c r="C380" i="7"/>
  <c r="A417" i="9"/>
  <c r="A417" i="8"/>
  <c r="A417" i="7"/>
  <c r="A417" i="11"/>
  <c r="B421" i="9"/>
  <c r="B421" i="8"/>
  <c r="C421" i="11"/>
  <c r="B421" i="7"/>
  <c r="D479" i="11"/>
  <c r="C479" i="7"/>
  <c r="C479" i="8"/>
  <c r="C479" i="9"/>
  <c r="B489" i="11"/>
  <c r="L489" i="9"/>
  <c r="B493" i="9"/>
  <c r="B493" i="7"/>
  <c r="B493" i="8"/>
  <c r="C493" i="11"/>
  <c r="A503" i="9"/>
  <c r="A503" i="11"/>
  <c r="A503" i="7"/>
  <c r="A503" i="8"/>
  <c r="B507" i="5"/>
  <c r="B511" i="5"/>
  <c r="L524" i="9"/>
  <c r="B524" i="11"/>
  <c r="B533" i="9"/>
  <c r="C533" i="11"/>
  <c r="B533" i="7"/>
  <c r="B533" i="8"/>
  <c r="A607" i="9"/>
  <c r="A607" i="11"/>
  <c r="B607" i="5"/>
  <c r="A607" i="7"/>
  <c r="D657" i="11"/>
  <c r="C657" i="7"/>
  <c r="C657" i="9"/>
  <c r="C657" i="8"/>
  <c r="C680" i="11"/>
  <c r="B680" i="7"/>
  <c r="B680" i="8"/>
  <c r="B685" i="9"/>
  <c r="C685" i="11"/>
  <c r="B685" i="7"/>
  <c r="B685" i="8"/>
  <c r="A690" i="11"/>
  <c r="A690" i="8"/>
  <c r="A690" i="7"/>
  <c r="D735" i="11"/>
  <c r="C735" i="8"/>
  <c r="C735" i="7"/>
  <c r="B750" i="5"/>
  <c r="D753" i="11"/>
  <c r="C753" i="9"/>
  <c r="C753" i="7"/>
  <c r="C753" i="8"/>
  <c r="D763" i="11"/>
  <c r="C763" i="7"/>
  <c r="C763" i="8"/>
  <c r="B773" i="9"/>
  <c r="C773" i="11"/>
  <c r="B773" i="7"/>
  <c r="B773" i="8"/>
  <c r="B413" i="7"/>
  <c r="B476" i="7"/>
  <c r="C519" i="7"/>
  <c r="C779" i="7"/>
  <c r="D105" i="9"/>
  <c r="D282" i="9"/>
  <c r="D504" i="9"/>
  <c r="B724" i="8"/>
  <c r="I75" i="16"/>
  <c r="M75" i="16" s="1"/>
  <c r="G75" i="20"/>
  <c r="G75" i="19"/>
  <c r="J75" i="19" s="1"/>
  <c r="I136" i="16"/>
  <c r="M136" i="16" s="1"/>
  <c r="G136" i="20"/>
  <c r="G136" i="19"/>
  <c r="J136" i="19" s="1"/>
  <c r="I171" i="16"/>
  <c r="M171" i="16" s="1"/>
  <c r="G171" i="20"/>
  <c r="G171" i="19"/>
  <c r="J171" i="19" s="1"/>
  <c r="I193" i="16"/>
  <c r="M193" i="16" s="1"/>
  <c r="G193" i="20"/>
  <c r="G193" i="19"/>
  <c r="J193" i="19" s="1"/>
  <c r="H238" i="16"/>
  <c r="P238" i="16" s="1"/>
  <c r="H238" i="20"/>
  <c r="F238" i="19"/>
  <c r="C244" i="16"/>
  <c r="F244" i="20"/>
  <c r="E244" i="19"/>
  <c r="H318" i="16"/>
  <c r="P318" i="16" s="1"/>
  <c r="H318" i="20"/>
  <c r="F318" i="19"/>
  <c r="C358" i="16"/>
  <c r="F358" i="20"/>
  <c r="E358" i="19"/>
  <c r="I362" i="16"/>
  <c r="M362" i="16" s="1"/>
  <c r="G362" i="20"/>
  <c r="G362" i="19"/>
  <c r="J362" i="19" s="1"/>
  <c r="I388" i="16"/>
  <c r="M388" i="16" s="1"/>
  <c r="G388" i="20"/>
  <c r="G388" i="19"/>
  <c r="J388" i="19" s="1"/>
  <c r="I428" i="16"/>
  <c r="M428" i="16" s="1"/>
  <c r="G428" i="20"/>
  <c r="G428" i="19"/>
  <c r="J428" i="19" s="1"/>
  <c r="H435" i="16"/>
  <c r="P435" i="16" s="1"/>
  <c r="H435" i="20"/>
  <c r="F435" i="19"/>
  <c r="I446" i="16"/>
  <c r="M446" i="16" s="1"/>
  <c r="G446" i="20"/>
  <c r="G446" i="19"/>
  <c r="J446" i="19" s="1"/>
  <c r="I481" i="16"/>
  <c r="M481" i="16" s="1"/>
  <c r="G481" i="20"/>
  <c r="G481" i="19"/>
  <c r="J481" i="19" s="1"/>
  <c r="C518" i="9"/>
  <c r="B524" i="16"/>
  <c r="E524" i="20"/>
  <c r="AM524" i="20" s="1"/>
  <c r="C547" i="16"/>
  <c r="F547" i="20"/>
  <c r="E547" i="19"/>
  <c r="C578" i="16"/>
  <c r="F578" i="20"/>
  <c r="E578" i="19"/>
  <c r="I644" i="16"/>
  <c r="M644" i="16" s="1"/>
  <c r="G644" i="20"/>
  <c r="G644" i="19"/>
  <c r="J644" i="19" s="1"/>
  <c r="A674" i="16"/>
  <c r="A674" i="20"/>
  <c r="A674" i="19"/>
  <c r="B680" i="9"/>
  <c r="C738" i="16"/>
  <c r="F738" i="20"/>
  <c r="E738" i="19"/>
  <c r="C775" i="9"/>
  <c r="W42" i="20"/>
  <c r="AQ42" i="10"/>
  <c r="W62" i="20"/>
  <c r="AQ62" i="10"/>
  <c r="L62" i="10"/>
  <c r="C35" i="11"/>
  <c r="C134" i="11"/>
  <c r="B263" i="11"/>
  <c r="B814" i="11"/>
  <c r="I364" i="19"/>
  <c r="B27" i="7"/>
  <c r="C27" i="11"/>
  <c r="B27" i="9"/>
  <c r="B27" i="8"/>
  <c r="D60" i="11"/>
  <c r="C60" i="7"/>
  <c r="C60" i="8"/>
  <c r="C60" i="9"/>
  <c r="D92" i="11"/>
  <c r="C92" i="8"/>
  <c r="C92" i="7"/>
  <c r="C92" i="9"/>
  <c r="B126" i="9"/>
  <c r="B126" i="8"/>
  <c r="C126" i="11"/>
  <c r="L230" i="9"/>
  <c r="B230" i="11"/>
  <c r="A296" i="11"/>
  <c r="A296" i="9"/>
  <c r="A296" i="8"/>
  <c r="A296" i="7"/>
  <c r="B381" i="9"/>
  <c r="B381" i="8"/>
  <c r="B381" i="7"/>
  <c r="C381" i="11"/>
  <c r="C515" i="9"/>
  <c r="C515" i="7"/>
  <c r="C515" i="8"/>
  <c r="B584" i="11"/>
  <c r="L584" i="9"/>
  <c r="B612" i="9"/>
  <c r="C612" i="11"/>
  <c r="B612" i="8"/>
  <c r="B612" i="7"/>
  <c r="A677" i="9"/>
  <c r="A677" i="8"/>
  <c r="A677" i="11"/>
  <c r="H150" i="16"/>
  <c r="P150" i="16" s="1"/>
  <c r="H150" i="20"/>
  <c r="F150" i="19"/>
  <c r="D316" i="9"/>
  <c r="C245" i="16"/>
  <c r="F245" i="20"/>
  <c r="E245" i="19"/>
  <c r="C15" i="11"/>
  <c r="B15" i="8"/>
  <c r="A67" i="9"/>
  <c r="A67" i="11"/>
  <c r="A67" i="7"/>
  <c r="A67" i="8"/>
  <c r="D159" i="11"/>
  <c r="C159" i="7"/>
  <c r="C159" i="8"/>
  <c r="C159" i="9"/>
  <c r="A204" i="11"/>
  <c r="A204" i="7"/>
  <c r="A204" i="8"/>
  <c r="A204" i="9"/>
  <c r="D249" i="11"/>
  <c r="C249" i="7"/>
  <c r="C249" i="9"/>
  <c r="C249" i="8"/>
  <c r="B319" i="9"/>
  <c r="B319" i="8"/>
  <c r="B319" i="7"/>
  <c r="C319" i="11"/>
  <c r="A351" i="9"/>
  <c r="A351" i="7"/>
  <c r="A351" i="11"/>
  <c r="A351" i="8"/>
  <c r="B387" i="9"/>
  <c r="C387" i="11"/>
  <c r="B387" i="7"/>
  <c r="C454" i="11"/>
  <c r="B454" i="8"/>
  <c r="B454" i="9"/>
  <c r="B454" i="7"/>
  <c r="B486" i="7"/>
  <c r="B486" i="8"/>
  <c r="B486" i="9"/>
  <c r="C486" i="11"/>
  <c r="C619" i="11"/>
  <c r="B619" i="9"/>
  <c r="B619" i="7"/>
  <c r="B619" i="8"/>
  <c r="C637" i="8"/>
  <c r="C637" i="7"/>
  <c r="D637" i="11"/>
  <c r="C714" i="11"/>
  <c r="B714" i="9"/>
  <c r="D756" i="11"/>
  <c r="C756" i="8"/>
  <c r="C756" i="9"/>
  <c r="C756" i="7"/>
  <c r="B799" i="11"/>
  <c r="L799" i="9"/>
  <c r="C590" i="7"/>
  <c r="H331" i="16"/>
  <c r="P331" i="16" s="1"/>
  <c r="H331" i="20"/>
  <c r="F331" i="19"/>
  <c r="D382" i="9"/>
  <c r="D501" i="9"/>
  <c r="D681" i="9"/>
  <c r="C44" i="16"/>
  <c r="F44" i="20"/>
  <c r="E44" i="19"/>
  <c r="H587" i="16"/>
  <c r="P587" i="16" s="1"/>
  <c r="H587" i="20"/>
  <c r="F587" i="19"/>
  <c r="A690" i="16"/>
  <c r="A690" i="19"/>
  <c r="A690" i="20"/>
  <c r="C101" i="8"/>
  <c r="C101" i="7"/>
  <c r="D101" i="11"/>
  <c r="C101" i="9"/>
  <c r="C574" i="11"/>
  <c r="B574" i="7"/>
  <c r="B574" i="8"/>
  <c r="B574" i="9"/>
  <c r="B823" i="11"/>
  <c r="L823" i="9"/>
  <c r="A40" i="11"/>
  <c r="A40" i="8"/>
  <c r="A40" i="9"/>
  <c r="C58" i="11"/>
  <c r="B58" i="8"/>
  <c r="B58" i="9"/>
  <c r="B58" i="7"/>
  <c r="C110" i="8"/>
  <c r="D110" i="11"/>
  <c r="C110" i="7"/>
  <c r="C110" i="9"/>
  <c r="C178" i="11"/>
  <c r="B178" i="8"/>
  <c r="B178" i="7"/>
  <c r="B281" i="9"/>
  <c r="B281" i="8"/>
  <c r="C281" i="11"/>
  <c r="B281" i="7"/>
  <c r="B406" i="5"/>
  <c r="C429" i="11"/>
  <c r="B429" i="9"/>
  <c r="B429" i="8"/>
  <c r="A514" i="11"/>
  <c r="A514" i="9"/>
  <c r="C624" i="7"/>
  <c r="C624" i="8"/>
  <c r="D624" i="11"/>
  <c r="C624" i="9"/>
  <c r="C739" i="11"/>
  <c r="B739" i="9"/>
  <c r="B739" i="8"/>
  <c r="B739" i="7"/>
  <c r="C42" i="8"/>
  <c r="H666" i="16"/>
  <c r="P666" i="16" s="1"/>
  <c r="H666" i="20"/>
  <c r="F666" i="19"/>
  <c r="A148" i="16"/>
  <c r="A148" i="19"/>
  <c r="H181" i="16"/>
  <c r="P181" i="16" s="1"/>
  <c r="H181" i="20"/>
  <c r="F181" i="19"/>
  <c r="I323" i="16"/>
  <c r="M323" i="16" s="1"/>
  <c r="G323" i="20"/>
  <c r="G323" i="19"/>
  <c r="J323" i="19" s="1"/>
  <c r="A446" i="9"/>
  <c r="I492" i="16"/>
  <c r="M492" i="16" s="1"/>
  <c r="G492" i="20"/>
  <c r="G492" i="19"/>
  <c r="J492" i="19" s="1"/>
  <c r="I571" i="16"/>
  <c r="M571" i="16" s="1"/>
  <c r="G571" i="20"/>
  <c r="G571" i="19"/>
  <c r="J571" i="19" s="1"/>
  <c r="H791" i="16"/>
  <c r="P791" i="16" s="1"/>
  <c r="F791" i="19"/>
  <c r="H791" i="20"/>
  <c r="C25" i="8"/>
  <c r="D25" i="11"/>
  <c r="B148" i="16"/>
  <c r="E148" i="20"/>
  <c r="AM148" i="20" s="1"/>
  <c r="A330" i="9"/>
  <c r="C378" i="9"/>
  <c r="B428" i="9"/>
  <c r="I451" i="16"/>
  <c r="M451" i="16" s="1"/>
  <c r="G451" i="20"/>
  <c r="G451" i="19"/>
  <c r="J451" i="19" s="1"/>
  <c r="I565" i="16"/>
  <c r="M565" i="16" s="1"/>
  <c r="G565" i="20"/>
  <c r="G565" i="19"/>
  <c r="J565" i="19" s="1"/>
  <c r="C594" i="16"/>
  <c r="E594" i="19"/>
  <c r="F594" i="20"/>
  <c r="H685" i="16"/>
  <c r="P685" i="16" s="1"/>
  <c r="H685" i="20"/>
  <c r="F685" i="19"/>
  <c r="B40" i="9"/>
  <c r="C40" i="11"/>
  <c r="B40" i="8"/>
  <c r="B40" i="7"/>
  <c r="B120" i="8"/>
  <c r="C120" i="11"/>
  <c r="B120" i="7"/>
  <c r="B120" i="9"/>
  <c r="B174" i="7"/>
  <c r="B174" i="8"/>
  <c r="B174" i="9"/>
  <c r="B273" i="5"/>
  <c r="A340" i="11"/>
  <c r="A340" i="9"/>
  <c r="A340" i="8"/>
  <c r="A340" i="7"/>
  <c r="D492" i="11"/>
  <c r="C492" i="8"/>
  <c r="C492" i="7"/>
  <c r="C492" i="9"/>
  <c r="A148" i="11"/>
  <c r="A148" i="8"/>
  <c r="B148" i="5"/>
  <c r="B219" i="9"/>
  <c r="B219" i="7"/>
  <c r="C219" i="11"/>
  <c r="B219" i="8"/>
  <c r="C237" i="9"/>
  <c r="C237" i="7"/>
  <c r="D237" i="11"/>
  <c r="C237" i="8"/>
  <c r="B247" i="9"/>
  <c r="B247" i="7"/>
  <c r="C247" i="11"/>
  <c r="D269" i="11"/>
  <c r="C269" i="7"/>
  <c r="B300" i="7"/>
  <c r="C300" i="11"/>
  <c r="B300" i="9"/>
  <c r="D340" i="11"/>
  <c r="C340" i="8"/>
  <c r="C340" i="7"/>
  <c r="C430" i="11"/>
  <c r="B430" i="8"/>
  <c r="B430" i="9"/>
  <c r="C483" i="8"/>
  <c r="C483" i="9"/>
  <c r="C489" i="11"/>
  <c r="B489" i="9"/>
  <c r="B489" i="8"/>
  <c r="B489" i="7"/>
  <c r="C498" i="8"/>
  <c r="C498" i="7"/>
  <c r="D498" i="11"/>
  <c r="D533" i="11"/>
  <c r="C533" i="7"/>
  <c r="C533" i="8"/>
  <c r="B583" i="9"/>
  <c r="C583" i="11"/>
  <c r="B583" i="7"/>
  <c r="L690" i="9"/>
  <c r="B690" i="11"/>
  <c r="D740" i="11"/>
  <c r="C740" i="8"/>
  <c r="C740" i="9"/>
  <c r="A764" i="8"/>
  <c r="A764" i="11"/>
  <c r="A764" i="9"/>
  <c r="A764" i="7"/>
  <c r="A124" i="7"/>
  <c r="C208" i="7"/>
  <c r="A356" i="7"/>
  <c r="B643" i="7"/>
  <c r="B714" i="7"/>
  <c r="D7" i="9"/>
  <c r="J7" i="8"/>
  <c r="H7" i="8"/>
  <c r="H81" i="16"/>
  <c r="P81" i="16" s="1"/>
  <c r="H81" i="20"/>
  <c r="F81" i="19"/>
  <c r="D315" i="9"/>
  <c r="D339" i="9"/>
  <c r="D509" i="9"/>
  <c r="D519" i="9"/>
  <c r="B536" i="8"/>
  <c r="B639" i="8"/>
  <c r="D702" i="9"/>
  <c r="A796" i="8"/>
  <c r="B812" i="8"/>
  <c r="I52" i="16"/>
  <c r="M52" i="16" s="1"/>
  <c r="G52" i="20"/>
  <c r="G52" i="19"/>
  <c r="J52" i="19" s="1"/>
  <c r="B96" i="16"/>
  <c r="E96" i="20"/>
  <c r="AM96" i="20" s="1"/>
  <c r="H166" i="16"/>
  <c r="P166" i="16" s="1"/>
  <c r="H166" i="20"/>
  <c r="F166" i="19"/>
  <c r="I222" i="16"/>
  <c r="M222" i="16" s="1"/>
  <c r="G222" i="20"/>
  <c r="G222" i="19"/>
  <c r="J222" i="19" s="1"/>
  <c r="D295" i="9"/>
  <c r="I318" i="16"/>
  <c r="M318" i="16" s="1"/>
  <c r="G318" i="20"/>
  <c r="G318" i="19"/>
  <c r="J318" i="19" s="1"/>
  <c r="B337" i="20"/>
  <c r="AL337" i="20" s="1"/>
  <c r="B337" i="19"/>
  <c r="H358" i="16"/>
  <c r="P358" i="16" s="1"/>
  <c r="H358" i="20"/>
  <c r="F358" i="19"/>
  <c r="B384" i="16"/>
  <c r="E384" i="20"/>
  <c r="AM384" i="20" s="1"/>
  <c r="L417" i="9"/>
  <c r="I435" i="16"/>
  <c r="M435" i="16" s="1"/>
  <c r="G435" i="19"/>
  <c r="J435" i="19" s="1"/>
  <c r="G435" i="20"/>
  <c r="I506" i="16"/>
  <c r="M506" i="16" s="1"/>
  <c r="G506" i="19"/>
  <c r="J506" i="19" s="1"/>
  <c r="G506" i="20"/>
  <c r="H547" i="16"/>
  <c r="P547" i="16" s="1"/>
  <c r="H547" i="20"/>
  <c r="F547" i="19"/>
  <c r="B674" i="9"/>
  <c r="I738" i="16"/>
  <c r="M738" i="16" s="1"/>
  <c r="G738" i="20"/>
  <c r="G738" i="19"/>
  <c r="J738" i="19" s="1"/>
  <c r="D775" i="9"/>
  <c r="B793" i="20"/>
  <c r="AL793" i="20" s="1"/>
  <c r="B793" i="19"/>
  <c r="O38" i="10"/>
  <c r="AU38" i="10"/>
  <c r="AN38" i="10"/>
  <c r="Q38" i="20" s="1"/>
  <c r="AU42" i="10"/>
  <c r="AN42" i="10"/>
  <c r="Q42" i="20" s="1"/>
  <c r="AQ55" i="10"/>
  <c r="C520" i="11"/>
  <c r="E75" i="19"/>
  <c r="A37" i="9"/>
  <c r="A37" i="8"/>
  <c r="B37" i="5"/>
  <c r="A37" i="11"/>
  <c r="D65" i="11"/>
  <c r="C65" i="8"/>
  <c r="C65" i="9"/>
  <c r="C78" i="11"/>
  <c r="B78" i="7"/>
  <c r="B78" i="8"/>
  <c r="C102" i="11"/>
  <c r="B102" i="9"/>
  <c r="B102" i="8"/>
  <c r="A144" i="9"/>
  <c r="A144" i="7"/>
  <c r="A144" i="11"/>
  <c r="C157" i="9"/>
  <c r="C157" i="7"/>
  <c r="D157" i="11"/>
  <c r="A207" i="9"/>
  <c r="A207" i="7"/>
  <c r="A207" i="11"/>
  <c r="A207" i="8"/>
  <c r="C215" i="8"/>
  <c r="C215" i="7"/>
  <c r="D215" i="11"/>
  <c r="C243" i="8"/>
  <c r="D243" i="11"/>
  <c r="C243" i="9"/>
  <c r="D326" i="11"/>
  <c r="C326" i="8"/>
  <c r="C326" i="7"/>
  <c r="C326" i="9"/>
  <c r="A386" i="11"/>
  <c r="A386" i="9"/>
  <c r="A386" i="7"/>
  <c r="A386" i="8"/>
  <c r="C412" i="8"/>
  <c r="C412" i="7"/>
  <c r="C412" i="9"/>
  <c r="D412" i="11"/>
  <c r="C449" i="11"/>
  <c r="B449" i="9"/>
  <c r="B449" i="7"/>
  <c r="B449" i="8"/>
  <c r="B503" i="9"/>
  <c r="C503" i="11"/>
  <c r="B503" i="8"/>
  <c r="B503" i="7"/>
  <c r="L530" i="9"/>
  <c r="B530" i="11"/>
  <c r="A580" i="8"/>
  <c r="A580" i="7"/>
  <c r="A580" i="9"/>
  <c r="A580" i="11"/>
  <c r="B598" i="7"/>
  <c r="B598" i="9"/>
  <c r="B598" i="8"/>
  <c r="C722" i="7"/>
  <c r="C722" i="9"/>
  <c r="B727" i="11"/>
  <c r="L727" i="9"/>
  <c r="A746" i="8"/>
  <c r="A746" i="7"/>
  <c r="A746" i="11"/>
  <c r="A746" i="9"/>
  <c r="B746" i="5"/>
  <c r="D750" i="11"/>
  <c r="C750" i="9"/>
  <c r="C750" i="8"/>
  <c r="C750" i="7"/>
  <c r="D754" i="11"/>
  <c r="C754" i="7"/>
  <c r="C754" i="8"/>
  <c r="C816" i="11"/>
  <c r="B816" i="9"/>
  <c r="B816" i="8"/>
  <c r="D368" i="9"/>
  <c r="D520" i="9"/>
  <c r="D708" i="9"/>
  <c r="B233" i="20"/>
  <c r="AL233" i="20" s="1"/>
  <c r="B233" i="19"/>
  <c r="I273" i="16"/>
  <c r="M273" i="16" s="1"/>
  <c r="G273" i="20"/>
  <c r="G273" i="19"/>
  <c r="J273" i="19" s="1"/>
  <c r="C370" i="16"/>
  <c r="F370" i="20"/>
  <c r="E370" i="19"/>
  <c r="C402" i="16"/>
  <c r="E402" i="19"/>
  <c r="F402" i="20"/>
  <c r="I436" i="16"/>
  <c r="M436" i="16" s="1"/>
  <c r="G436" i="20"/>
  <c r="G436" i="19"/>
  <c r="J436" i="19" s="1"/>
  <c r="I615" i="16"/>
  <c r="M615" i="16" s="1"/>
  <c r="G615" i="20"/>
  <c r="G615" i="19"/>
  <c r="J615" i="19" s="1"/>
  <c r="A712" i="16"/>
  <c r="A712" i="19"/>
  <c r="A712" i="20"/>
  <c r="H751" i="16"/>
  <c r="P751" i="16" s="1"/>
  <c r="H751" i="20"/>
  <c r="F751" i="19"/>
  <c r="A18" i="11"/>
  <c r="A18" i="8"/>
  <c r="A18" i="9"/>
  <c r="A18" i="7"/>
  <c r="C27" i="7"/>
  <c r="D27" i="11"/>
  <c r="C27" i="8"/>
  <c r="C27" i="9"/>
  <c r="B88" i="16"/>
  <c r="E88" i="20"/>
  <c r="AM88" i="20" s="1"/>
  <c r="C97" i="9"/>
  <c r="C97" i="7"/>
  <c r="C97" i="8"/>
  <c r="D97" i="11"/>
  <c r="D135" i="11"/>
  <c r="C135" i="8"/>
  <c r="C135" i="9"/>
  <c r="A158" i="11"/>
  <c r="A158" i="7"/>
  <c r="B158" i="5"/>
  <c r="A158" i="9"/>
  <c r="B180" i="8"/>
  <c r="B180" i="9"/>
  <c r="C180" i="11"/>
  <c r="B194" i="7"/>
  <c r="C194" i="11"/>
  <c r="B194" i="8"/>
  <c r="B194" i="9"/>
  <c r="B207" i="5"/>
  <c r="A216" i="11"/>
  <c r="A216" i="7"/>
  <c r="B234" i="5"/>
  <c r="B296" i="5"/>
  <c r="A310" i="8"/>
  <c r="A310" i="11"/>
  <c r="A310" i="7"/>
  <c r="A310" i="9"/>
  <c r="B313" i="9"/>
  <c r="C313" i="11"/>
  <c r="B313" i="8"/>
  <c r="B313" i="7"/>
  <c r="B326" i="8"/>
  <c r="C326" i="11"/>
  <c r="B326" i="9"/>
  <c r="B386" i="5"/>
  <c r="B408" i="9"/>
  <c r="B408" i="8"/>
  <c r="C408" i="11"/>
  <c r="B453" i="9"/>
  <c r="C453" i="11"/>
  <c r="B453" i="7"/>
  <c r="B571" i="9"/>
  <c r="B571" i="7"/>
  <c r="C571" i="11"/>
  <c r="B571" i="8"/>
  <c r="B580" i="5"/>
  <c r="B603" i="11"/>
  <c r="L603" i="9"/>
  <c r="D612" i="11"/>
  <c r="C612" i="8"/>
  <c r="C612" i="7"/>
  <c r="C612" i="9"/>
  <c r="D617" i="11"/>
  <c r="C617" i="7"/>
  <c r="C617" i="9"/>
  <c r="C617" i="8"/>
  <c r="B659" i="11"/>
  <c r="L659" i="9"/>
  <c r="D699" i="11"/>
  <c r="C699" i="9"/>
  <c r="C699" i="8"/>
  <c r="C699" i="7"/>
  <c r="A751" i="9"/>
  <c r="A751" i="7"/>
  <c r="A751" i="11"/>
  <c r="B751" i="5"/>
  <c r="C811" i="11"/>
  <c r="B811" i="9"/>
  <c r="B811" i="8"/>
  <c r="D111" i="9"/>
  <c r="H139" i="16"/>
  <c r="P139" i="16" s="1"/>
  <c r="H139" i="20"/>
  <c r="F139" i="19"/>
  <c r="D250" i="9"/>
  <c r="D437" i="9"/>
  <c r="H697" i="16"/>
  <c r="P697" i="16" s="1"/>
  <c r="F697" i="19"/>
  <c r="H697" i="20"/>
  <c r="B25" i="16"/>
  <c r="E25" i="20"/>
  <c r="AM25" i="20" s="1"/>
  <c r="C108" i="16"/>
  <c r="F108" i="20"/>
  <c r="E108" i="19"/>
  <c r="H145" i="16"/>
  <c r="P145" i="16" s="1"/>
  <c r="H145" i="20"/>
  <c r="F145" i="19"/>
  <c r="H178" i="16"/>
  <c r="P178" i="16" s="1"/>
  <c r="H178" i="20"/>
  <c r="F178" i="19"/>
  <c r="C212" i="16"/>
  <c r="F212" i="20"/>
  <c r="E212" i="19"/>
  <c r="A230" i="20"/>
  <c r="A230" i="16"/>
  <c r="A230" i="19"/>
  <c r="C285" i="16"/>
  <c r="F285" i="20"/>
  <c r="E285" i="19"/>
  <c r="I303" i="16"/>
  <c r="M303" i="16" s="1"/>
  <c r="G303" i="20"/>
  <c r="G303" i="19"/>
  <c r="J303" i="19" s="1"/>
  <c r="C314" i="16"/>
  <c r="F314" i="20"/>
  <c r="E314" i="19"/>
  <c r="A348" i="16"/>
  <c r="A348" i="20"/>
  <c r="A348" i="19"/>
  <c r="A380" i="16"/>
  <c r="A380" i="20"/>
  <c r="A380" i="19"/>
  <c r="I402" i="16"/>
  <c r="M402" i="16" s="1"/>
  <c r="G402" i="20"/>
  <c r="G402" i="19"/>
  <c r="J402" i="19" s="1"/>
  <c r="L413" i="9"/>
  <c r="C443" i="16"/>
  <c r="F443" i="20"/>
  <c r="E443" i="19"/>
  <c r="I501" i="16"/>
  <c r="M501" i="16" s="1"/>
  <c r="G501" i="20"/>
  <c r="G501" i="19"/>
  <c r="J501" i="19" s="1"/>
  <c r="A688" i="16"/>
  <c r="A688" i="19"/>
  <c r="A688" i="20"/>
  <c r="C707" i="16"/>
  <c r="F707" i="20"/>
  <c r="E707" i="19"/>
  <c r="B712" i="16"/>
  <c r="E712" i="20"/>
  <c r="AM712" i="20" s="1"/>
  <c r="C763" i="16"/>
  <c r="F763" i="20"/>
  <c r="E763" i="19"/>
  <c r="A818" i="16"/>
  <c r="A818" i="20"/>
  <c r="A818" i="19"/>
  <c r="C46" i="8"/>
  <c r="C46" i="7"/>
  <c r="A56" i="7"/>
  <c r="A56" i="8"/>
  <c r="A56" i="9"/>
  <c r="B56" i="5"/>
  <c r="A56" i="11"/>
  <c r="B83" i="9"/>
  <c r="C83" i="11"/>
  <c r="A98" i="11"/>
  <c r="A98" i="7"/>
  <c r="B98" i="5"/>
  <c r="B108" i="7"/>
  <c r="C108" i="11"/>
  <c r="B108" i="8"/>
  <c r="C117" i="9"/>
  <c r="C117" i="7"/>
  <c r="C117" i="8"/>
  <c r="D117" i="11"/>
  <c r="C153" i="7"/>
  <c r="C153" i="9"/>
  <c r="D153" i="11"/>
  <c r="C153" i="8"/>
  <c r="B216" i="5"/>
  <c r="C372" i="8"/>
  <c r="C372" i="9"/>
  <c r="C372" i="7"/>
  <c r="D372" i="11"/>
  <c r="B394" i="8"/>
  <c r="B394" i="7"/>
  <c r="C399" i="11"/>
  <c r="B399" i="9"/>
  <c r="B399" i="8"/>
  <c r="D408" i="11"/>
  <c r="C408" i="8"/>
  <c r="C408" i="9"/>
  <c r="C480" i="9"/>
  <c r="C480" i="8"/>
  <c r="C480" i="7"/>
  <c r="L504" i="9"/>
  <c r="B504" i="11"/>
  <c r="L613" i="9"/>
  <c r="B613" i="11"/>
  <c r="A618" i="11"/>
  <c r="A618" i="7"/>
  <c r="B618" i="5"/>
  <c r="C622" i="9"/>
  <c r="C622" i="8"/>
  <c r="D622" i="11"/>
  <c r="C672" i="8"/>
  <c r="C672" i="7"/>
  <c r="A723" i="9"/>
  <c r="A723" i="7"/>
  <c r="A723" i="8"/>
  <c r="A723" i="11"/>
  <c r="D760" i="11"/>
  <c r="C760" i="7"/>
  <c r="C760" i="9"/>
  <c r="C760" i="8"/>
  <c r="D779" i="11"/>
  <c r="C779" i="8"/>
  <c r="D783" i="11"/>
  <c r="C783" i="8"/>
  <c r="C783" i="9"/>
  <c r="C806" i="11"/>
  <c r="B806" i="9"/>
  <c r="B806" i="8"/>
  <c r="B317" i="7"/>
  <c r="A216" i="8"/>
  <c r="D749" i="9"/>
  <c r="H19" i="16"/>
  <c r="P19" i="16" s="1"/>
  <c r="H19" i="20"/>
  <c r="F19" i="19"/>
  <c r="I145" i="16"/>
  <c r="M145" i="16" s="1"/>
  <c r="G145" i="20"/>
  <c r="G145" i="19"/>
  <c r="J145" i="19" s="1"/>
  <c r="I297" i="16"/>
  <c r="M297" i="16" s="1"/>
  <c r="G297" i="20"/>
  <c r="G297" i="19"/>
  <c r="J297" i="19" s="1"/>
  <c r="B343" i="20"/>
  <c r="AL343" i="20" s="1"/>
  <c r="B343" i="19"/>
  <c r="C531" i="16"/>
  <c r="E531" i="19"/>
  <c r="F531" i="20"/>
  <c r="C712" i="16"/>
  <c r="F712" i="20"/>
  <c r="E712" i="19"/>
  <c r="D480" i="11"/>
  <c r="H163" i="19"/>
  <c r="D808" i="11"/>
  <c r="C808" i="9"/>
  <c r="C808" i="8"/>
  <c r="A33" i="11"/>
  <c r="A33" i="9"/>
  <c r="A33" i="7"/>
  <c r="B33" i="5"/>
  <c r="B61" i="9"/>
  <c r="B61" i="7"/>
  <c r="B61" i="8"/>
  <c r="C61" i="11"/>
  <c r="D83" i="11"/>
  <c r="C83" i="9"/>
  <c r="B136" i="5"/>
  <c r="D149" i="11"/>
  <c r="C149" i="8"/>
  <c r="C149" i="7"/>
  <c r="D158" i="11"/>
  <c r="C158" i="9"/>
  <c r="C158" i="8"/>
  <c r="C158" i="7"/>
  <c r="A181" i="9"/>
  <c r="A181" i="11"/>
  <c r="A181" i="8"/>
  <c r="A181" i="7"/>
  <c r="L226" i="9"/>
  <c r="B226" i="11"/>
  <c r="D279" i="11"/>
  <c r="C279" i="7"/>
  <c r="C279" i="8"/>
  <c r="C279" i="9"/>
  <c r="C322" i="11"/>
  <c r="B322" i="9"/>
  <c r="B322" i="7"/>
  <c r="B322" i="8"/>
  <c r="B337" i="9"/>
  <c r="B337" i="7"/>
  <c r="B337" i="8"/>
  <c r="C337" i="11"/>
  <c r="D386" i="11"/>
  <c r="C386" i="9"/>
  <c r="C386" i="8"/>
  <c r="C386" i="7"/>
  <c r="D436" i="11"/>
  <c r="C436" i="9"/>
  <c r="C436" i="7"/>
  <c r="A454" i="11"/>
  <c r="A454" i="8"/>
  <c r="A454" i="7"/>
  <c r="A454" i="9"/>
  <c r="B494" i="7"/>
  <c r="B494" i="9"/>
  <c r="C494" i="11"/>
  <c r="B494" i="8"/>
  <c r="B599" i="11"/>
  <c r="L599" i="9"/>
  <c r="D603" i="11"/>
  <c r="C603" i="8"/>
  <c r="C603" i="7"/>
  <c r="B613" i="9"/>
  <c r="C613" i="11"/>
  <c r="B613" i="8"/>
  <c r="B613" i="7"/>
  <c r="C618" i="11"/>
  <c r="B618" i="7"/>
  <c r="B618" i="9"/>
  <c r="C654" i="9"/>
  <c r="C654" i="8"/>
  <c r="D654" i="11"/>
  <c r="B663" i="9"/>
  <c r="B663" i="8"/>
  <c r="C663" i="11"/>
  <c r="B663" i="7"/>
  <c r="A673" i="9"/>
  <c r="A673" i="11"/>
  <c r="A673" i="7"/>
  <c r="A673" i="8"/>
  <c r="C677" i="7"/>
  <c r="C677" i="9"/>
  <c r="D677" i="11"/>
  <c r="C686" i="11"/>
  <c r="B686" i="8"/>
  <c r="B686" i="9"/>
  <c r="B686" i="7"/>
  <c r="B723" i="5"/>
  <c r="A784" i="11"/>
  <c r="A784" i="9"/>
  <c r="C788" i="8"/>
  <c r="C788" i="7"/>
  <c r="C788" i="9"/>
  <c r="D788" i="11"/>
  <c r="A798" i="11"/>
  <c r="A798" i="8"/>
  <c r="B798" i="5"/>
  <c r="A798" i="9"/>
  <c r="B802" i="9"/>
  <c r="C802" i="11"/>
  <c r="B802" i="8"/>
  <c r="A784" i="7"/>
  <c r="D222" i="9"/>
  <c r="D549" i="9"/>
  <c r="M756" i="19"/>
  <c r="I756" i="19"/>
  <c r="H25" i="20"/>
  <c r="H25" i="16"/>
  <c r="P25" i="16" s="1"/>
  <c r="F25" i="19"/>
  <c r="I48" i="16"/>
  <c r="M48" i="16" s="1"/>
  <c r="G48" i="20"/>
  <c r="G48" i="19"/>
  <c r="J48" i="19" s="1"/>
  <c r="H93" i="16"/>
  <c r="P93" i="16" s="1"/>
  <c r="H93" i="20"/>
  <c r="F93" i="19"/>
  <c r="I108" i="16"/>
  <c r="M108" i="16" s="1"/>
  <c r="G108" i="20"/>
  <c r="G108" i="19"/>
  <c r="J108" i="19" s="1"/>
  <c r="A344" i="16"/>
  <c r="A344" i="20"/>
  <c r="A344" i="19"/>
  <c r="B414" i="16"/>
  <c r="E414" i="20"/>
  <c r="AM414" i="20" s="1"/>
  <c r="H531" i="16"/>
  <c r="P531" i="16" s="1"/>
  <c r="H531" i="20"/>
  <c r="F531" i="19"/>
  <c r="A610" i="16"/>
  <c r="A610" i="20"/>
  <c r="A610" i="19"/>
  <c r="B622" i="16"/>
  <c r="E622" i="20"/>
  <c r="AM622" i="20" s="1"/>
  <c r="I727" i="16"/>
  <c r="M727" i="16" s="1"/>
  <c r="G727" i="20"/>
  <c r="G727" i="19"/>
  <c r="J727" i="19" s="1"/>
  <c r="C818" i="16"/>
  <c r="F818" i="20"/>
  <c r="E818" i="19"/>
  <c r="L133" i="19"/>
  <c r="H133" i="19"/>
  <c r="B23" i="8"/>
  <c r="B23" i="9"/>
  <c r="B23" i="7"/>
  <c r="A71" i="9"/>
  <c r="A71" i="11"/>
  <c r="A71" i="7"/>
  <c r="A71" i="8"/>
  <c r="C172" i="11"/>
  <c r="B172" i="9"/>
  <c r="B172" i="8"/>
  <c r="B172" i="7"/>
  <c r="L266" i="9"/>
  <c r="B266" i="11"/>
  <c r="A280" i="11"/>
  <c r="A280" i="9"/>
  <c r="A280" i="7"/>
  <c r="A280" i="8"/>
  <c r="A368" i="11"/>
  <c r="A368" i="7"/>
  <c r="B368" i="5"/>
  <c r="A368" i="9"/>
  <c r="A404" i="9"/>
  <c r="A404" i="7"/>
  <c r="A404" i="8"/>
  <c r="A404" i="11"/>
  <c r="B404" i="5"/>
  <c r="B454" i="5"/>
  <c r="A477" i="9"/>
  <c r="A477" i="8"/>
  <c r="A477" i="7"/>
  <c r="A477" i="11"/>
  <c r="A594" i="11"/>
  <c r="A594" i="7"/>
  <c r="B594" i="5"/>
  <c r="A637" i="9"/>
  <c r="A637" i="11"/>
  <c r="A637" i="8"/>
  <c r="A637" i="7"/>
  <c r="C798" i="11"/>
  <c r="B798" i="8"/>
  <c r="D144" i="9"/>
  <c r="D393" i="9"/>
  <c r="H539" i="16"/>
  <c r="P539" i="16" s="1"/>
  <c r="H539" i="20"/>
  <c r="F539" i="19"/>
  <c r="A594" i="8"/>
  <c r="D634" i="9"/>
  <c r="H781" i="16"/>
  <c r="P781" i="16" s="1"/>
  <c r="H781" i="20"/>
  <c r="F781" i="19"/>
  <c r="H43" i="16"/>
  <c r="P43" i="16" s="1"/>
  <c r="H43" i="20"/>
  <c r="F43" i="19"/>
  <c r="H89" i="16"/>
  <c r="P89" i="16" s="1"/>
  <c r="H89" i="20"/>
  <c r="F89" i="19"/>
  <c r="B168" i="16"/>
  <c r="E168" i="20"/>
  <c r="AM168" i="20" s="1"/>
  <c r="I531" i="16"/>
  <c r="M531" i="16" s="1"/>
  <c r="G531" i="20"/>
  <c r="G531" i="19"/>
  <c r="J531" i="19" s="1"/>
  <c r="I746" i="16"/>
  <c r="M746" i="16" s="1"/>
  <c r="G746" i="20"/>
  <c r="G746" i="19"/>
  <c r="J746" i="19" s="1"/>
  <c r="C394" i="11"/>
  <c r="B150" i="20"/>
  <c r="AL150" i="20" s="1"/>
  <c r="B150" i="19"/>
  <c r="A177" i="9"/>
  <c r="A177" i="11"/>
  <c r="A200" i="11"/>
  <c r="A200" i="9"/>
  <c r="A200" i="8"/>
  <c r="B280" i="5"/>
  <c r="C332" i="11"/>
  <c r="B332" i="9"/>
  <c r="B332" i="8"/>
  <c r="B332" i="7"/>
  <c r="A387" i="9"/>
  <c r="A387" i="11"/>
  <c r="A387" i="7"/>
  <c r="C409" i="11"/>
  <c r="B409" i="9"/>
  <c r="B409" i="8"/>
  <c r="C414" i="11"/>
  <c r="B414" i="8"/>
  <c r="C458" i="16"/>
  <c r="F458" i="20"/>
  <c r="E458" i="19"/>
  <c r="D468" i="11"/>
  <c r="C468" i="9"/>
  <c r="C468" i="7"/>
  <c r="C468" i="8"/>
  <c r="B477" i="5"/>
  <c r="F485" i="20"/>
  <c r="C485" i="16"/>
  <c r="E485" i="19"/>
  <c r="B495" i="9"/>
  <c r="C495" i="11"/>
  <c r="B495" i="8"/>
  <c r="B495" i="7"/>
  <c r="B545" i="9"/>
  <c r="C545" i="11"/>
  <c r="B545" i="7"/>
  <c r="B545" i="8"/>
  <c r="A614" i="9"/>
  <c r="A614" i="11"/>
  <c r="A614" i="8"/>
  <c r="A614" i="7"/>
  <c r="A651" i="9"/>
  <c r="A651" i="7"/>
  <c r="A651" i="8"/>
  <c r="A651" i="11"/>
  <c r="C696" i="11"/>
  <c r="B696" i="8"/>
  <c r="C710" i="11"/>
  <c r="B710" i="9"/>
  <c r="B710" i="8"/>
  <c r="B737" i="9"/>
  <c r="B737" i="8"/>
  <c r="B737" i="7"/>
  <c r="C737" i="11"/>
  <c r="B793" i="9"/>
  <c r="C793" i="11"/>
  <c r="B793" i="8"/>
  <c r="A803" i="9"/>
  <c r="A803" i="11"/>
  <c r="D817" i="11"/>
  <c r="C817" i="8"/>
  <c r="C817" i="9"/>
  <c r="C822" i="9"/>
  <c r="D822" i="11"/>
  <c r="C822" i="8"/>
  <c r="C65" i="7"/>
  <c r="D45" i="9"/>
  <c r="C296" i="8"/>
  <c r="D738" i="9"/>
  <c r="I32" i="16"/>
  <c r="M32" i="16" s="1"/>
  <c r="G32" i="20"/>
  <c r="G32" i="19"/>
  <c r="J32" i="19" s="1"/>
  <c r="A78" i="16"/>
  <c r="A78" i="20"/>
  <c r="A78" i="19"/>
  <c r="I89" i="16"/>
  <c r="M89" i="16" s="1"/>
  <c r="G89" i="19"/>
  <c r="J89" i="19" s="1"/>
  <c r="G89" i="20"/>
  <c r="C104" i="16"/>
  <c r="E104" i="19"/>
  <c r="F104" i="20"/>
  <c r="H140" i="16"/>
  <c r="P140" i="16" s="1"/>
  <c r="H140" i="20"/>
  <c r="F140" i="19"/>
  <c r="I151" i="16"/>
  <c r="M151" i="16" s="1"/>
  <c r="G151" i="20"/>
  <c r="G151" i="19"/>
  <c r="J151" i="19" s="1"/>
  <c r="I230" i="16"/>
  <c r="M230" i="16" s="1"/>
  <c r="G230" i="20"/>
  <c r="H263" i="16"/>
  <c r="P263" i="16" s="1"/>
  <c r="H263" i="20"/>
  <c r="F263" i="19"/>
  <c r="C344" i="16"/>
  <c r="F344" i="20"/>
  <c r="E344" i="19"/>
  <c r="I355" i="16"/>
  <c r="M355" i="16" s="1"/>
  <c r="G355" i="19"/>
  <c r="J355" i="19" s="1"/>
  <c r="G355" i="20"/>
  <c r="H403" i="16"/>
  <c r="P403" i="16" s="1"/>
  <c r="H403" i="20"/>
  <c r="F403" i="19"/>
  <c r="I431" i="16"/>
  <c r="M431" i="16" s="1"/>
  <c r="G431" i="20"/>
  <c r="G431" i="19"/>
  <c r="J431" i="19" s="1"/>
  <c r="B466" i="16"/>
  <c r="E466" i="20"/>
  <c r="AM466" i="20" s="1"/>
  <c r="H490" i="16"/>
  <c r="P490" i="16" s="1"/>
  <c r="H490" i="20"/>
  <c r="F490" i="19"/>
  <c r="L549" i="9"/>
  <c r="A696" i="16"/>
  <c r="A696" i="20"/>
  <c r="A696" i="19"/>
  <c r="I759" i="16"/>
  <c r="M759" i="16" s="1"/>
  <c r="G759" i="20"/>
  <c r="G759" i="19"/>
  <c r="J759" i="19" s="1"/>
  <c r="H771" i="16"/>
  <c r="P771" i="16" s="1"/>
  <c r="H771" i="20"/>
  <c r="F771" i="19"/>
  <c r="W31" i="20"/>
  <c r="AQ31" i="10"/>
  <c r="W50" i="20"/>
  <c r="L50" i="10"/>
  <c r="D811" i="11"/>
  <c r="C811" i="9"/>
  <c r="C811" i="8"/>
  <c r="B71" i="9"/>
  <c r="B71" i="7"/>
  <c r="C71" i="11"/>
  <c r="B71" i="8"/>
  <c r="B159" i="9"/>
  <c r="B159" i="7"/>
  <c r="B159" i="8"/>
  <c r="B177" i="5"/>
  <c r="B186" i="5"/>
  <c r="B200" i="5"/>
  <c r="C288" i="8"/>
  <c r="C288" i="7"/>
  <c r="C288" i="9"/>
  <c r="B319" i="11"/>
  <c r="L319" i="9"/>
  <c r="B346" i="7"/>
  <c r="B346" i="8"/>
  <c r="B346" i="9"/>
  <c r="C346" i="11"/>
  <c r="C463" i="8"/>
  <c r="C463" i="7"/>
  <c r="D463" i="11"/>
  <c r="C669" i="11"/>
  <c r="B669" i="9"/>
  <c r="B669" i="7"/>
  <c r="B669" i="8"/>
  <c r="D696" i="11"/>
  <c r="C696" i="8"/>
  <c r="B776" i="11"/>
  <c r="L776" i="9"/>
  <c r="C789" i="11"/>
  <c r="B789" i="9"/>
  <c r="B789" i="7"/>
  <c r="B789" i="8"/>
  <c r="B822" i="9"/>
  <c r="B822" i="8"/>
  <c r="C822" i="11"/>
  <c r="C216" i="7"/>
  <c r="D189" i="9"/>
  <c r="B38" i="16"/>
  <c r="E38" i="20"/>
  <c r="AM38" i="20" s="1"/>
  <c r="A274" i="16"/>
  <c r="A274" i="20"/>
  <c r="A274" i="19"/>
  <c r="I490" i="16"/>
  <c r="M490" i="16" s="1"/>
  <c r="G490" i="20"/>
  <c r="G490" i="19"/>
  <c r="J490" i="19" s="1"/>
  <c r="H521" i="16"/>
  <c r="P521" i="16" s="1"/>
  <c r="F521" i="19"/>
  <c r="H521" i="20"/>
  <c r="I543" i="16"/>
  <c r="M543" i="16" s="1"/>
  <c r="G543" i="20"/>
  <c r="G543" i="19"/>
  <c r="J543" i="19" s="1"/>
  <c r="C599" i="16"/>
  <c r="F599" i="20"/>
  <c r="E599" i="19"/>
  <c r="C14" i="7"/>
  <c r="C14" i="8"/>
  <c r="C14" i="9"/>
  <c r="D14" i="11"/>
  <c r="C84" i="7"/>
  <c r="C84" i="9"/>
  <c r="D84" i="11"/>
  <c r="B104" i="7"/>
  <c r="C104" i="11"/>
  <c r="B104" i="8"/>
  <c r="B173" i="5"/>
  <c r="D212" i="11"/>
  <c r="C212" i="8"/>
  <c r="C212" i="7"/>
  <c r="A307" i="9"/>
  <c r="A307" i="8"/>
  <c r="D328" i="11"/>
  <c r="C328" i="9"/>
  <c r="C328" i="7"/>
  <c r="C328" i="8"/>
  <c r="B428" i="5"/>
  <c r="A428" i="7"/>
  <c r="A428" i="11"/>
  <c r="A428" i="8"/>
  <c r="A428" i="9"/>
  <c r="A451" i="9"/>
  <c r="A451" i="11"/>
  <c r="A451" i="7"/>
  <c r="A451" i="8"/>
  <c r="D545" i="11"/>
  <c r="C545" i="9"/>
  <c r="C545" i="7"/>
  <c r="C545" i="8"/>
  <c r="B623" i="9"/>
  <c r="C623" i="11"/>
  <c r="B623" i="8"/>
  <c r="B651" i="9"/>
  <c r="B651" i="7"/>
  <c r="C651" i="11"/>
  <c r="B651" i="8"/>
  <c r="D766" i="11"/>
  <c r="C766" i="9"/>
  <c r="C766" i="8"/>
  <c r="C766" i="7"/>
  <c r="D770" i="9"/>
  <c r="B15" i="9"/>
  <c r="C570" i="16"/>
  <c r="F570" i="20"/>
  <c r="E570" i="19"/>
  <c r="H599" i="16"/>
  <c r="P599" i="16" s="1"/>
  <c r="F599" i="19"/>
  <c r="H599" i="20"/>
  <c r="B617" i="20"/>
  <c r="AL617" i="20" s="1"/>
  <c r="B617" i="19"/>
  <c r="U12" i="20"/>
  <c r="S12" i="20"/>
  <c r="B715" i="9"/>
  <c r="C715" i="11"/>
  <c r="B715" i="7"/>
  <c r="B715" i="8"/>
  <c r="A48" i="9"/>
  <c r="B48" i="5"/>
  <c r="A48" i="8"/>
  <c r="A48" i="11"/>
  <c r="A48" i="7"/>
  <c r="C62" i="11"/>
  <c r="B62" i="9"/>
  <c r="B62" i="8"/>
  <c r="B62" i="7"/>
  <c r="A114" i="9"/>
  <c r="B114" i="5"/>
  <c r="A114" i="7"/>
  <c r="A114" i="11"/>
  <c r="A114" i="8"/>
  <c r="C132" i="11"/>
  <c r="B132" i="9"/>
  <c r="B132" i="8"/>
  <c r="B132" i="7"/>
  <c r="B196" i="5"/>
  <c r="D222" i="11"/>
  <c r="C222" i="9"/>
  <c r="C222" i="7"/>
  <c r="B307" i="5"/>
  <c r="B351" i="5"/>
  <c r="D382" i="11"/>
  <c r="C382" i="7"/>
  <c r="C382" i="9"/>
  <c r="B541" i="9"/>
  <c r="B541" i="8"/>
  <c r="B541" i="7"/>
  <c r="C541" i="11"/>
  <c r="L610" i="9"/>
  <c r="B610" i="11"/>
  <c r="C642" i="9"/>
  <c r="D642" i="11"/>
  <c r="A408" i="7"/>
  <c r="B550" i="7"/>
  <c r="H15" i="20"/>
  <c r="H15" i="16"/>
  <c r="P15" i="16" s="1"/>
  <c r="F15" i="19"/>
  <c r="H78" i="16"/>
  <c r="P78" i="16" s="1"/>
  <c r="H78" i="20"/>
  <c r="F78" i="19"/>
  <c r="C264" i="16"/>
  <c r="F264" i="20"/>
  <c r="E264" i="19"/>
  <c r="A516" i="16"/>
  <c r="A516" i="20"/>
  <c r="A516" i="19"/>
  <c r="I587" i="16"/>
  <c r="M587" i="16" s="1"/>
  <c r="G587" i="20"/>
  <c r="G587" i="19"/>
  <c r="J587" i="19" s="1"/>
  <c r="A618" i="9"/>
  <c r="I696" i="16"/>
  <c r="M696" i="16" s="1"/>
  <c r="G696" i="20"/>
  <c r="G696" i="19"/>
  <c r="J696" i="19" s="1"/>
  <c r="H735" i="16"/>
  <c r="P735" i="16" s="1"/>
  <c r="F735" i="19"/>
  <c r="H735" i="20"/>
  <c r="B48" i="9"/>
  <c r="C48" i="11"/>
  <c r="B48" i="7"/>
  <c r="A110" i="8"/>
  <c r="A110" i="11"/>
  <c r="A110" i="7"/>
  <c r="A110" i="9"/>
  <c r="B137" i="9"/>
  <c r="C137" i="11"/>
  <c r="B137" i="7"/>
  <c r="C222" i="11"/>
  <c r="B222" i="9"/>
  <c r="B222" i="8"/>
  <c r="B222" i="7"/>
  <c r="C428" i="7"/>
  <c r="C428" i="8"/>
  <c r="D428" i="11"/>
  <c r="D473" i="11"/>
  <c r="C473" i="8"/>
  <c r="C473" i="7"/>
  <c r="D550" i="11"/>
  <c r="C550" i="9"/>
  <c r="C550" i="7"/>
  <c r="D706" i="11"/>
  <c r="C706" i="8"/>
  <c r="C706" i="9"/>
  <c r="C706" i="7"/>
  <c r="I718" i="19"/>
  <c r="A134" i="20"/>
  <c r="A134" i="16"/>
  <c r="A134" i="19"/>
  <c r="D461" i="9"/>
  <c r="B516" i="16"/>
  <c r="E516" i="20"/>
  <c r="AM516" i="20" s="1"/>
  <c r="C684" i="16"/>
  <c r="F684" i="20"/>
  <c r="E684" i="19"/>
  <c r="I715" i="16"/>
  <c r="M715" i="16" s="1"/>
  <c r="G715" i="19"/>
  <c r="J715" i="19" s="1"/>
  <c r="G715" i="20"/>
  <c r="B754" i="16"/>
  <c r="E754" i="20"/>
  <c r="AM754" i="20" s="1"/>
  <c r="AU57" i="10"/>
  <c r="AN57" i="10"/>
  <c r="Q57" i="20" s="1"/>
  <c r="O57" i="10"/>
  <c r="F18" i="18" s="1"/>
  <c r="H18" i="18" s="1"/>
  <c r="C30" i="11"/>
  <c r="B30" i="9"/>
  <c r="C80" i="9"/>
  <c r="C80" i="8"/>
  <c r="D80" i="11"/>
  <c r="C80" i="7"/>
  <c r="C105" i="11"/>
  <c r="B105" i="9"/>
  <c r="B105" i="8"/>
  <c r="B146" i="7"/>
  <c r="B146" i="8"/>
  <c r="B146" i="9"/>
  <c r="C146" i="11"/>
  <c r="A170" i="11"/>
  <c r="A170" i="8"/>
  <c r="A170" i="9"/>
  <c r="C204" i="7"/>
  <c r="D204" i="11"/>
  <c r="C204" i="8"/>
  <c r="C204" i="9"/>
  <c r="B246" i="5"/>
  <c r="A281" i="9"/>
  <c r="A281" i="8"/>
  <c r="A281" i="7"/>
  <c r="A281" i="11"/>
  <c r="C298" i="8"/>
  <c r="C298" i="9"/>
  <c r="D298" i="11"/>
  <c r="C298" i="7"/>
  <c r="D415" i="11"/>
  <c r="C415" i="8"/>
  <c r="C415" i="9"/>
  <c r="C415" i="7"/>
  <c r="L506" i="9"/>
  <c r="B506" i="11"/>
  <c r="C546" i="11"/>
  <c r="B546" i="7"/>
  <c r="B546" i="9"/>
  <c r="B819" i="11"/>
  <c r="L819" i="9"/>
  <c r="D30" i="11"/>
  <c r="C30" i="8"/>
  <c r="C30" i="9"/>
  <c r="A58" i="11"/>
  <c r="A58" i="8"/>
  <c r="B58" i="5"/>
  <c r="A58" i="9"/>
  <c r="A58" i="7"/>
  <c r="D119" i="11"/>
  <c r="C119" i="8"/>
  <c r="C119" i="7"/>
  <c r="C146" i="8"/>
  <c r="C146" i="9"/>
  <c r="D146" i="11"/>
  <c r="B170" i="5"/>
  <c r="A178" i="11"/>
  <c r="A178" i="7"/>
  <c r="A178" i="8"/>
  <c r="B178" i="5"/>
  <c r="B281" i="5"/>
  <c r="D329" i="11"/>
  <c r="C329" i="7"/>
  <c r="C329" i="8"/>
  <c r="A416" i="11"/>
  <c r="A416" i="9"/>
  <c r="A416" i="7"/>
  <c r="D487" i="11"/>
  <c r="C487" i="9"/>
  <c r="C487" i="8"/>
  <c r="C487" i="7"/>
  <c r="B689" i="11"/>
  <c r="L689" i="9"/>
  <c r="A716" i="11"/>
  <c r="A716" i="8"/>
  <c r="A716" i="7"/>
  <c r="B716" i="5"/>
  <c r="A716" i="9"/>
  <c r="C135" i="7"/>
  <c r="D47" i="9"/>
  <c r="D141" i="9"/>
  <c r="B491" i="8"/>
  <c r="C677" i="8"/>
  <c r="C722" i="8"/>
  <c r="H259" i="16"/>
  <c r="P259" i="16" s="1"/>
  <c r="H259" i="20"/>
  <c r="F259" i="19"/>
  <c r="C498" i="16"/>
  <c r="F498" i="20"/>
  <c r="E498" i="19"/>
  <c r="C533" i="16"/>
  <c r="F533" i="20"/>
  <c r="E533" i="19"/>
  <c r="H571" i="16"/>
  <c r="P571" i="16" s="1"/>
  <c r="H571" i="20"/>
  <c r="F571" i="19"/>
  <c r="A594" i="9"/>
  <c r="I691" i="16"/>
  <c r="M691" i="16" s="1"/>
  <c r="G691" i="20"/>
  <c r="G691" i="19"/>
  <c r="J691" i="19" s="1"/>
  <c r="A760" i="16"/>
  <c r="A760" i="20"/>
  <c r="A760" i="19"/>
  <c r="F814" i="20"/>
  <c r="E814" i="19"/>
  <c r="C814" i="16"/>
  <c r="D722" i="11"/>
  <c r="B63" i="9"/>
  <c r="C63" i="11"/>
  <c r="B63" i="7"/>
  <c r="B63" i="8"/>
  <c r="B124" i="5"/>
  <c r="A166" i="11"/>
  <c r="A166" i="9"/>
  <c r="A166" i="8"/>
  <c r="A166" i="7"/>
  <c r="L299" i="9"/>
  <c r="B299" i="11"/>
  <c r="B416" i="5"/>
  <c r="A556" i="11"/>
  <c r="A556" i="8"/>
  <c r="A556" i="9"/>
  <c r="C582" i="9"/>
  <c r="C582" i="7"/>
  <c r="C582" i="8"/>
  <c r="D582" i="11"/>
  <c r="A671" i="9"/>
  <c r="A671" i="11"/>
  <c r="A671" i="7"/>
  <c r="A671" i="8"/>
  <c r="D716" i="11"/>
  <c r="C716" i="8"/>
  <c r="C716" i="7"/>
  <c r="C716" i="9"/>
  <c r="D767" i="11"/>
  <c r="C767" i="8"/>
  <c r="C767" i="7"/>
  <c r="C767" i="9"/>
  <c r="C814" i="11"/>
  <c r="B814" i="8"/>
  <c r="B814" i="9"/>
  <c r="A136" i="7"/>
  <c r="C305" i="7"/>
  <c r="C157" i="8"/>
  <c r="H451" i="16"/>
  <c r="P451" i="16" s="1"/>
  <c r="H451" i="20"/>
  <c r="F451" i="19"/>
  <c r="C373" i="9"/>
  <c r="L168" i="19"/>
  <c r="A101" i="9"/>
  <c r="A101" i="11"/>
  <c r="A101" i="8"/>
  <c r="A101" i="7"/>
  <c r="B161" i="9"/>
  <c r="B161" i="8"/>
  <c r="C161" i="11"/>
  <c r="B161" i="7"/>
  <c r="A188" i="11"/>
  <c r="A188" i="9"/>
  <c r="A188" i="8"/>
  <c r="B188" i="5"/>
  <c r="A188" i="7"/>
  <c r="B259" i="9"/>
  <c r="B259" i="7"/>
  <c r="B259" i="8"/>
  <c r="C325" i="11"/>
  <c r="B325" i="9"/>
  <c r="B325" i="7"/>
  <c r="B352" i="9"/>
  <c r="B352" i="8"/>
  <c r="B352" i="7"/>
  <c r="C352" i="11"/>
  <c r="A393" i="11"/>
  <c r="A393" i="9"/>
  <c r="A393" i="8"/>
  <c r="A421" i="9"/>
  <c r="A421" i="8"/>
  <c r="A421" i="11"/>
  <c r="A421" i="7"/>
  <c r="B523" i="9"/>
  <c r="C523" i="11"/>
  <c r="B523" i="7"/>
  <c r="B523" i="8"/>
  <c r="D186" i="9"/>
  <c r="C59" i="9"/>
  <c r="D59" i="11"/>
  <c r="C59" i="8"/>
  <c r="C59" i="7"/>
  <c r="B77" i="9"/>
  <c r="C77" i="11"/>
  <c r="B77" i="7"/>
  <c r="B77" i="8"/>
  <c r="A376" i="8"/>
  <c r="A376" i="11"/>
  <c r="A376" i="7"/>
  <c r="B376" i="5"/>
  <c r="A376" i="9"/>
  <c r="B73" i="9"/>
  <c r="C73" i="11"/>
  <c r="B73" i="8"/>
  <c r="D116" i="11"/>
  <c r="C116" i="8"/>
  <c r="C116" i="9"/>
  <c r="C116" i="7"/>
  <c r="D139" i="11"/>
  <c r="C139" i="9"/>
  <c r="C139" i="8"/>
  <c r="C148" i="11"/>
  <c r="B148" i="8"/>
  <c r="B148" i="7"/>
  <c r="B233" i="9"/>
  <c r="C233" i="11"/>
  <c r="B233" i="8"/>
  <c r="B233" i="7"/>
  <c r="C353" i="7"/>
  <c r="C353" i="8"/>
  <c r="C353" i="9"/>
  <c r="D362" i="11"/>
  <c r="C362" i="7"/>
  <c r="C362" i="8"/>
  <c r="C376" i="11"/>
  <c r="B376" i="8"/>
  <c r="B376" i="7"/>
  <c r="B376" i="9"/>
  <c r="B393" i="9"/>
  <c r="C393" i="11"/>
  <c r="B393" i="8"/>
  <c r="B393" i="7"/>
  <c r="B417" i="9"/>
  <c r="C417" i="11"/>
  <c r="B417" i="8"/>
  <c r="B417" i="7"/>
  <c r="C466" i="11"/>
  <c r="B466" i="8"/>
  <c r="A476" i="8"/>
  <c r="A476" i="7"/>
  <c r="A476" i="9"/>
  <c r="A484" i="11"/>
  <c r="B484" i="5"/>
  <c r="A484" i="9"/>
  <c r="C493" i="16"/>
  <c r="F493" i="20"/>
  <c r="E493" i="19"/>
  <c r="B515" i="9"/>
  <c r="C515" i="11"/>
  <c r="B515" i="8"/>
  <c r="B515" i="7"/>
  <c r="C519" i="11"/>
  <c r="B519" i="9"/>
  <c r="B519" i="7"/>
  <c r="C529" i="11"/>
  <c r="B529" i="9"/>
  <c r="B529" i="7"/>
  <c r="B529" i="8"/>
  <c r="C579" i="11"/>
  <c r="B579" i="9"/>
  <c r="B579" i="8"/>
  <c r="B579" i="7"/>
  <c r="C597" i="7"/>
  <c r="D597" i="11"/>
  <c r="C597" i="9"/>
  <c r="C597" i="8"/>
  <c r="C640" i="11"/>
  <c r="B640" i="8"/>
  <c r="B640" i="9"/>
  <c r="C676" i="11"/>
  <c r="B676" i="9"/>
  <c r="B676" i="8"/>
  <c r="C690" i="11"/>
  <c r="B690" i="8"/>
  <c r="B690" i="9"/>
  <c r="B690" i="7"/>
  <c r="B102" i="7"/>
  <c r="B188" i="7"/>
  <c r="B229" i="7"/>
  <c r="B273" i="7"/>
  <c r="C643" i="7"/>
  <c r="A717" i="7"/>
  <c r="C758" i="7"/>
  <c r="D159" i="9"/>
  <c r="D276" i="9"/>
  <c r="D305" i="9"/>
  <c r="H397" i="16"/>
  <c r="P397" i="16" s="1"/>
  <c r="H397" i="20"/>
  <c r="F397" i="19"/>
  <c r="A408" i="8"/>
  <c r="C436" i="8"/>
  <c r="D475" i="9"/>
  <c r="C639" i="8"/>
  <c r="B714" i="8"/>
  <c r="D784" i="9"/>
  <c r="C812" i="8"/>
  <c r="H41" i="20"/>
  <c r="H41" i="16"/>
  <c r="P41" i="16" s="1"/>
  <c r="F41" i="19"/>
  <c r="C113" i="9"/>
  <c r="H119" i="16"/>
  <c r="P119" i="16" s="1"/>
  <c r="H119" i="20"/>
  <c r="F119" i="19"/>
  <c r="F131" i="20"/>
  <c r="C131" i="16"/>
  <c r="E131" i="19"/>
  <c r="C149" i="9"/>
  <c r="I166" i="16"/>
  <c r="M166" i="16" s="1"/>
  <c r="G166" i="20"/>
  <c r="G166" i="19"/>
  <c r="J166" i="19" s="1"/>
  <c r="A178" i="9"/>
  <c r="C205" i="16"/>
  <c r="F205" i="20"/>
  <c r="E205" i="19"/>
  <c r="I229" i="16"/>
  <c r="M229" i="16" s="1"/>
  <c r="G229" i="20"/>
  <c r="G229" i="19"/>
  <c r="J229" i="19" s="1"/>
  <c r="I295" i="16"/>
  <c r="M295" i="16" s="1"/>
  <c r="G295" i="20"/>
  <c r="G295" i="19"/>
  <c r="J295" i="19" s="1"/>
  <c r="L313" i="9"/>
  <c r="I358" i="16"/>
  <c r="M358" i="16" s="1"/>
  <c r="G358" i="20"/>
  <c r="G358" i="19"/>
  <c r="J358" i="19" s="1"/>
  <c r="A370" i="16"/>
  <c r="A370" i="20"/>
  <c r="A370" i="19"/>
  <c r="C384" i="16"/>
  <c r="F384" i="20"/>
  <c r="E384" i="19"/>
  <c r="A418" i="16"/>
  <c r="A418" i="20"/>
  <c r="A418" i="19"/>
  <c r="C452" i="16"/>
  <c r="F452" i="20"/>
  <c r="E452" i="19"/>
  <c r="B457" i="20"/>
  <c r="AL457" i="20" s="1"/>
  <c r="B457" i="19"/>
  <c r="B487" i="20"/>
  <c r="AL487" i="20" s="1"/>
  <c r="B487" i="19"/>
  <c r="A566" i="16"/>
  <c r="A566" i="20"/>
  <c r="A566" i="19"/>
  <c r="C615" i="16"/>
  <c r="F615" i="20"/>
  <c r="E615" i="19"/>
  <c r="A650" i="16"/>
  <c r="A650" i="19"/>
  <c r="A650" i="20"/>
  <c r="A656" i="16"/>
  <c r="A656" i="19"/>
  <c r="A656" i="20"/>
  <c r="A732" i="16"/>
  <c r="A732" i="20"/>
  <c r="A732" i="19"/>
  <c r="I775" i="16"/>
  <c r="M775" i="16" s="1"/>
  <c r="G775" i="20"/>
  <c r="G775" i="19"/>
  <c r="J775" i="19" s="1"/>
  <c r="A794" i="9"/>
  <c r="S33" i="20"/>
  <c r="U33" i="20"/>
  <c r="O42" i="10"/>
  <c r="C174" i="11"/>
  <c r="A314" i="11"/>
  <c r="D515" i="11"/>
  <c r="C8" i="8"/>
  <c r="D8" i="11"/>
  <c r="A74" i="9"/>
  <c r="A74" i="8"/>
  <c r="A74" i="7"/>
  <c r="C107" i="9"/>
  <c r="C107" i="8"/>
  <c r="C107" i="7"/>
  <c r="A131" i="9"/>
  <c r="A131" i="7"/>
  <c r="B131" i="5"/>
  <c r="D202" i="11"/>
  <c r="C202" i="9"/>
  <c r="C202" i="7"/>
  <c r="C202" i="8"/>
  <c r="L220" i="9"/>
  <c r="B220" i="11"/>
  <c r="C238" i="8"/>
  <c r="D238" i="11"/>
  <c r="C238" i="7"/>
  <c r="D309" i="11"/>
  <c r="C309" i="7"/>
  <c r="C309" i="9"/>
  <c r="A394" i="11"/>
  <c r="A394" i="8"/>
  <c r="A394" i="9"/>
  <c r="A394" i="7"/>
  <c r="B467" i="11"/>
  <c r="L467" i="9"/>
  <c r="B525" i="9"/>
  <c r="C525" i="11"/>
  <c r="B525" i="8"/>
  <c r="C557" i="7"/>
  <c r="D557" i="11"/>
  <c r="C557" i="9"/>
  <c r="C557" i="8"/>
  <c r="D566" i="11"/>
  <c r="C566" i="9"/>
  <c r="C566" i="7"/>
  <c r="C566" i="8"/>
  <c r="C575" i="7"/>
  <c r="D575" i="11"/>
  <c r="C575" i="8"/>
  <c r="C575" i="9"/>
  <c r="D662" i="11"/>
  <c r="C662" i="9"/>
  <c r="C662" i="8"/>
  <c r="C662" i="7"/>
  <c r="B686" i="11"/>
  <c r="L686" i="9"/>
  <c r="D44" i="9"/>
  <c r="D227" i="9"/>
  <c r="C189" i="16"/>
  <c r="E189" i="19"/>
  <c r="F189" i="20"/>
  <c r="B37" i="9"/>
  <c r="B37" i="8"/>
  <c r="B37" i="7"/>
  <c r="A66" i="11"/>
  <c r="A66" i="7"/>
  <c r="A66" i="9"/>
  <c r="A93" i="9"/>
  <c r="A93" i="7"/>
  <c r="A93" i="8"/>
  <c r="A93" i="11"/>
  <c r="D112" i="11"/>
  <c r="C112" i="8"/>
  <c r="C112" i="9"/>
  <c r="C112" i="7"/>
  <c r="B131" i="9"/>
  <c r="B131" i="7"/>
  <c r="C131" i="11"/>
  <c r="B140" i="5"/>
  <c r="B144" i="5"/>
  <c r="C162" i="11"/>
  <c r="B162" i="9"/>
  <c r="B162" i="8"/>
  <c r="B162" i="7"/>
  <c r="A203" i="9"/>
  <c r="A203" i="8"/>
  <c r="A203" i="7"/>
  <c r="A203" i="11"/>
  <c r="B220" i="7"/>
  <c r="B220" i="9"/>
  <c r="C220" i="11"/>
  <c r="B220" i="8"/>
  <c r="A306" i="11"/>
  <c r="A306" i="8"/>
  <c r="A306" i="9"/>
  <c r="C317" i="9"/>
  <c r="C317" i="7"/>
  <c r="C317" i="8"/>
  <c r="D449" i="11"/>
  <c r="C449" i="7"/>
  <c r="C449" i="8"/>
  <c r="C449" i="9"/>
  <c r="B457" i="9"/>
  <c r="B457" i="8"/>
  <c r="C457" i="11"/>
  <c r="B457" i="7"/>
  <c r="B467" i="9"/>
  <c r="B467" i="8"/>
  <c r="B467" i="7"/>
  <c r="C480" i="11"/>
  <c r="B480" i="9"/>
  <c r="B480" i="8"/>
  <c r="B480" i="7"/>
  <c r="B484" i="7"/>
  <c r="C484" i="11"/>
  <c r="B490" i="8"/>
  <c r="B490" i="9"/>
  <c r="B490" i="7"/>
  <c r="C490" i="11"/>
  <c r="C503" i="8"/>
  <c r="C503" i="9"/>
  <c r="D503" i="11"/>
  <c r="C503" i="7"/>
  <c r="B530" i="8"/>
  <c r="B530" i="7"/>
  <c r="B530" i="9"/>
  <c r="C530" i="11"/>
  <c r="B553" i="11"/>
  <c r="L553" i="9"/>
  <c r="D562" i="11"/>
  <c r="C562" i="7"/>
  <c r="C562" i="8"/>
  <c r="C562" i="9"/>
  <c r="A576" i="9"/>
  <c r="A576" i="7"/>
  <c r="A576" i="11"/>
  <c r="A576" i="8"/>
  <c r="C584" i="11"/>
  <c r="B584" i="7"/>
  <c r="B584" i="9"/>
  <c r="B584" i="8"/>
  <c r="B636" i="11"/>
  <c r="L636" i="9"/>
  <c r="B654" i="5"/>
  <c r="A663" i="9"/>
  <c r="A663" i="8"/>
  <c r="A663" i="11"/>
  <c r="A663" i="7"/>
  <c r="B677" i="5"/>
  <c r="C704" i="11"/>
  <c r="B704" i="7"/>
  <c r="B704" i="8"/>
  <c r="B704" i="9"/>
  <c r="B741" i="9"/>
  <c r="C741" i="11"/>
  <c r="B741" i="8"/>
  <c r="B760" i="8"/>
  <c r="B760" i="7"/>
  <c r="C760" i="11"/>
  <c r="B760" i="9"/>
  <c r="D816" i="11"/>
  <c r="C816" i="9"/>
  <c r="C816" i="8"/>
  <c r="A144" i="8"/>
  <c r="H261" i="16"/>
  <c r="P261" i="16" s="1"/>
  <c r="H261" i="20"/>
  <c r="F261" i="19"/>
  <c r="D357" i="9"/>
  <c r="H500" i="16"/>
  <c r="P500" i="16" s="1"/>
  <c r="H500" i="20"/>
  <c r="F500" i="19"/>
  <c r="H680" i="16"/>
  <c r="P680" i="16" s="1"/>
  <c r="F680" i="19"/>
  <c r="H680" i="20"/>
  <c r="D774" i="9"/>
  <c r="C19" i="16"/>
  <c r="F19" i="20"/>
  <c r="E19" i="19"/>
  <c r="A120" i="16"/>
  <c r="A120" i="20"/>
  <c r="A120" i="19"/>
  <c r="I183" i="16"/>
  <c r="M183" i="16" s="1"/>
  <c r="G183" i="20"/>
  <c r="G183" i="19"/>
  <c r="J183" i="19" s="1"/>
  <c r="A234" i="9"/>
  <c r="G567" i="20"/>
  <c r="I567" i="16"/>
  <c r="M567" i="16" s="1"/>
  <c r="G567" i="19"/>
  <c r="J567" i="19" s="1"/>
  <c r="C603" i="16"/>
  <c r="F603" i="20"/>
  <c r="E603" i="19"/>
  <c r="A638" i="16"/>
  <c r="A638" i="20"/>
  <c r="A638" i="19"/>
  <c r="A770" i="16"/>
  <c r="A770" i="19"/>
  <c r="A770" i="20"/>
  <c r="I787" i="16"/>
  <c r="M787" i="16" s="1"/>
  <c r="G787" i="19"/>
  <c r="J787" i="19" s="1"/>
  <c r="G787" i="20"/>
  <c r="A131" i="11"/>
  <c r="C808" i="11"/>
  <c r="B808" i="8"/>
  <c r="C13" i="11"/>
  <c r="B13" i="9"/>
  <c r="B13" i="7"/>
  <c r="B13" i="8"/>
  <c r="C37" i="9"/>
  <c r="D37" i="11"/>
  <c r="C37" i="8"/>
  <c r="C37" i="7"/>
  <c r="B66" i="5"/>
  <c r="B144" i="7"/>
  <c r="B144" i="9"/>
  <c r="C144" i="11"/>
  <c r="C158" i="11"/>
  <c r="B158" i="9"/>
  <c r="B158" i="8"/>
  <c r="B158" i="7"/>
  <c r="A190" i="8"/>
  <c r="A190" i="7"/>
  <c r="B190" i="5"/>
  <c r="A190" i="11"/>
  <c r="A190" i="9"/>
  <c r="B211" i="9"/>
  <c r="B211" i="7"/>
  <c r="B211" i="8"/>
  <c r="B310" i="5"/>
  <c r="C445" i="9"/>
  <c r="D445" i="11"/>
  <c r="D494" i="11"/>
  <c r="C494" i="9"/>
  <c r="C494" i="7"/>
  <c r="B567" i="11"/>
  <c r="L567" i="9"/>
  <c r="B576" i="5"/>
  <c r="C589" i="11"/>
  <c r="B589" i="9"/>
  <c r="B589" i="7"/>
  <c r="B589" i="8"/>
  <c r="B603" i="9"/>
  <c r="C603" i="11"/>
  <c r="B603" i="8"/>
  <c r="B603" i="7"/>
  <c r="B627" i="9"/>
  <c r="C627" i="11"/>
  <c r="B627" i="7"/>
  <c r="B627" i="8"/>
  <c r="B677" i="9"/>
  <c r="C677" i="11"/>
  <c r="B677" i="7"/>
  <c r="B788" i="9"/>
  <c r="B788" i="8"/>
  <c r="B788" i="7"/>
  <c r="B83" i="7"/>
  <c r="B462" i="7"/>
  <c r="C783" i="7"/>
  <c r="B144" i="8"/>
  <c r="H228" i="16"/>
  <c r="P228" i="16" s="1"/>
  <c r="H228" i="20"/>
  <c r="F228" i="19"/>
  <c r="D289" i="9"/>
  <c r="H6" i="16"/>
  <c r="P6" i="16" s="1"/>
  <c r="X6" i="16" s="1"/>
  <c r="H6" i="20"/>
  <c r="F6" i="19"/>
  <c r="C25" i="16"/>
  <c r="F25" i="20"/>
  <c r="E25" i="19"/>
  <c r="C93" i="16"/>
  <c r="F93" i="20"/>
  <c r="E93" i="19"/>
  <c r="B114" i="16"/>
  <c r="E114" i="20"/>
  <c r="AM114" i="20" s="1"/>
  <c r="C156" i="16"/>
  <c r="F156" i="20"/>
  <c r="E156" i="19"/>
  <c r="A240" i="16"/>
  <c r="A240" i="20"/>
  <c r="A240" i="19"/>
  <c r="H333" i="16"/>
  <c r="P333" i="16" s="1"/>
  <c r="F333" i="19"/>
  <c r="H333" i="20"/>
  <c r="A414" i="16"/>
  <c r="A414" i="20"/>
  <c r="A414" i="19"/>
  <c r="H443" i="16"/>
  <c r="P443" i="16" s="1"/>
  <c r="H443" i="20"/>
  <c r="F443" i="19"/>
  <c r="H603" i="16"/>
  <c r="P603" i="16" s="1"/>
  <c r="H603" i="20"/>
  <c r="F603" i="19"/>
  <c r="A646" i="16"/>
  <c r="A646" i="20"/>
  <c r="A646" i="19"/>
  <c r="H707" i="16"/>
  <c r="P707" i="16" s="1"/>
  <c r="H707" i="20"/>
  <c r="F707" i="19"/>
  <c r="H763" i="16"/>
  <c r="P763" i="16" s="1"/>
  <c r="H763" i="20"/>
  <c r="F763" i="19"/>
  <c r="B818" i="16"/>
  <c r="E818" i="20"/>
  <c r="AM818" i="20" s="1"/>
  <c r="O43" i="10"/>
  <c r="AN43" i="10"/>
  <c r="Q43" i="20" s="1"/>
  <c r="AU43" i="10"/>
  <c r="C479" i="11"/>
  <c r="B479" i="9"/>
  <c r="B479" i="7"/>
  <c r="B479" i="8"/>
  <c r="C18" i="11"/>
  <c r="B18" i="9"/>
  <c r="B18" i="8"/>
  <c r="B18" i="7"/>
  <c r="B28" i="9"/>
  <c r="B28" i="8"/>
  <c r="C51" i="16"/>
  <c r="F51" i="20"/>
  <c r="E51" i="19"/>
  <c r="B56" i="7"/>
  <c r="B56" i="9"/>
  <c r="C56" i="11"/>
  <c r="B56" i="8"/>
  <c r="C98" i="11"/>
  <c r="B98" i="7"/>
  <c r="B103" i="9"/>
  <c r="C103" i="11"/>
  <c r="B103" i="8"/>
  <c r="D122" i="11"/>
  <c r="C122" i="7"/>
  <c r="C122" i="8"/>
  <c r="C122" i="9"/>
  <c r="A154" i="11"/>
  <c r="A154" i="7"/>
  <c r="A154" i="9"/>
  <c r="B190" i="8"/>
  <c r="B190" i="7"/>
  <c r="C190" i="11"/>
  <c r="B190" i="9"/>
  <c r="C216" i="11"/>
  <c r="B216" i="7"/>
  <c r="C296" i="16"/>
  <c r="F296" i="20"/>
  <c r="E296" i="19"/>
  <c r="B327" i="9"/>
  <c r="B327" i="8"/>
  <c r="C394" i="8"/>
  <c r="C394" i="7"/>
  <c r="A446" i="11"/>
  <c r="A446" i="7"/>
  <c r="B450" i="5"/>
  <c r="A458" i="11"/>
  <c r="A458" i="7"/>
  <c r="B458" i="5"/>
  <c r="A458" i="8"/>
  <c r="C462" i="8"/>
  <c r="C462" i="9"/>
  <c r="C462" i="7"/>
  <c r="D462" i="11"/>
  <c r="A481" i="9"/>
  <c r="A481" i="11"/>
  <c r="A481" i="8"/>
  <c r="A481" i="7"/>
  <c r="B485" i="9"/>
  <c r="C485" i="11"/>
  <c r="B485" i="7"/>
  <c r="B485" i="8"/>
  <c r="C580" i="8"/>
  <c r="C580" i="9"/>
  <c r="D580" i="11"/>
  <c r="C580" i="7"/>
  <c r="D593" i="11"/>
  <c r="C593" i="9"/>
  <c r="C593" i="8"/>
  <c r="D636" i="11"/>
  <c r="C636" i="9"/>
  <c r="C636" i="7"/>
  <c r="A780" i="11"/>
  <c r="A780" i="9"/>
  <c r="A780" i="8"/>
  <c r="B780" i="5"/>
  <c r="C83" i="7"/>
  <c r="B318" i="7"/>
  <c r="D66" i="9"/>
  <c r="B216" i="8"/>
  <c r="D506" i="9"/>
  <c r="C15" i="1"/>
  <c r="I19" i="16"/>
  <c r="M19" i="16" s="1"/>
  <c r="G19" i="20"/>
  <c r="G19" i="19"/>
  <c r="J19" i="19" s="1"/>
  <c r="H156" i="16"/>
  <c r="P156" i="16" s="1"/>
  <c r="H156" i="20"/>
  <c r="F156" i="19"/>
  <c r="I333" i="16"/>
  <c r="M333" i="16" s="1"/>
  <c r="G333" i="20"/>
  <c r="G333" i="19"/>
  <c r="J333" i="19" s="1"/>
  <c r="H359" i="16"/>
  <c r="P359" i="16" s="1"/>
  <c r="H359" i="20"/>
  <c r="F359" i="19"/>
  <c r="A562" i="16"/>
  <c r="A562" i="20"/>
  <c r="A562" i="19"/>
  <c r="B646" i="16"/>
  <c r="E646" i="20"/>
  <c r="AM646" i="20" s="1"/>
  <c r="C701" i="16"/>
  <c r="F701" i="20"/>
  <c r="E701" i="19"/>
  <c r="I740" i="16"/>
  <c r="M740" i="16" s="1"/>
  <c r="G740" i="20"/>
  <c r="G740" i="19"/>
  <c r="J740" i="19" s="1"/>
  <c r="C759" i="16"/>
  <c r="F759" i="20"/>
  <c r="E759" i="19"/>
  <c r="I763" i="16"/>
  <c r="M763" i="16" s="1"/>
  <c r="G763" i="20"/>
  <c r="G763" i="19"/>
  <c r="J763" i="19" s="1"/>
  <c r="D422" i="11"/>
  <c r="C422" i="8"/>
  <c r="C422" i="9"/>
  <c r="C9" i="7"/>
  <c r="C9" i="8"/>
  <c r="C9" i="9"/>
  <c r="C28" i="9"/>
  <c r="C28" i="8"/>
  <c r="B79" i="9"/>
  <c r="B79" i="7"/>
  <c r="C79" i="11"/>
  <c r="B176" i="9"/>
  <c r="B176" i="7"/>
  <c r="C176" i="11"/>
  <c r="B176" i="8"/>
  <c r="L231" i="9"/>
  <c r="B231" i="11"/>
  <c r="B314" i="5"/>
  <c r="C318" i="8"/>
  <c r="D318" i="11"/>
  <c r="C337" i="9"/>
  <c r="C337" i="7"/>
  <c r="C337" i="8"/>
  <c r="D337" i="11"/>
  <c r="B363" i="9"/>
  <c r="C363" i="11"/>
  <c r="B363" i="8"/>
  <c r="B363" i="7"/>
  <c r="B446" i="5"/>
  <c r="B472" i="9"/>
  <c r="B472" i="8"/>
  <c r="B472" i="7"/>
  <c r="C472" i="11"/>
  <c r="B481" i="5"/>
  <c r="C540" i="11"/>
  <c r="B540" i="9"/>
  <c r="B540" i="8"/>
  <c r="C599" i="11"/>
  <c r="B599" i="9"/>
  <c r="B599" i="8"/>
  <c r="B599" i="7"/>
  <c r="D613" i="11"/>
  <c r="C613" i="8"/>
  <c r="C613" i="7"/>
  <c r="C613" i="9"/>
  <c r="C700" i="11"/>
  <c r="B700" i="9"/>
  <c r="B700" i="7"/>
  <c r="B700" i="8"/>
  <c r="A807" i="11"/>
  <c r="A807" i="8"/>
  <c r="A807" i="9"/>
  <c r="D13" i="9"/>
  <c r="N18" i="8"/>
  <c r="C13" i="1" s="1"/>
  <c r="D61" i="9"/>
  <c r="C78" i="8"/>
  <c r="B318" i="8"/>
  <c r="D450" i="9"/>
  <c r="C544" i="8"/>
  <c r="I82" i="16"/>
  <c r="M82" i="16" s="1"/>
  <c r="G82" i="20"/>
  <c r="G82" i="19"/>
  <c r="J82" i="19" s="1"/>
  <c r="B104" i="16"/>
  <c r="E104" i="20"/>
  <c r="AM104" i="20" s="1"/>
  <c r="H133" i="16"/>
  <c r="P133" i="16" s="1"/>
  <c r="H133" i="20"/>
  <c r="I156" i="16"/>
  <c r="M156" i="16" s="1"/>
  <c r="G156" i="20"/>
  <c r="G156" i="19"/>
  <c r="J156" i="19" s="1"/>
  <c r="I207" i="16"/>
  <c r="M207" i="16" s="1"/>
  <c r="G207" i="20"/>
  <c r="G207" i="19"/>
  <c r="J207" i="19" s="1"/>
  <c r="A14" i="9"/>
  <c r="A14" i="7"/>
  <c r="A14" i="8"/>
  <c r="A14" i="11"/>
  <c r="B14" i="5"/>
  <c r="C23" i="8"/>
  <c r="C23" i="9"/>
  <c r="C23" i="7"/>
  <c r="D23" i="11"/>
  <c r="B71" i="5"/>
  <c r="D79" i="11"/>
  <c r="C79" i="7"/>
  <c r="C154" i="11"/>
  <c r="B154" i="7"/>
  <c r="B154" i="9"/>
  <c r="B181" i="9"/>
  <c r="B181" i="8"/>
  <c r="C181" i="11"/>
  <c r="B181" i="7"/>
  <c r="C226" i="7"/>
  <c r="D226" i="11"/>
  <c r="C226" i="9"/>
  <c r="B276" i="5"/>
  <c r="A360" i="7"/>
  <c r="A360" i="9"/>
  <c r="A360" i="8"/>
  <c r="A360" i="11"/>
  <c r="B368" i="7"/>
  <c r="C368" i="11"/>
  <c r="B368" i="9"/>
  <c r="B377" i="9"/>
  <c r="C377" i="11"/>
  <c r="B377" i="8"/>
  <c r="B377" i="7"/>
  <c r="C404" i="11"/>
  <c r="B404" i="7"/>
  <c r="B404" i="9"/>
  <c r="B404" i="8"/>
  <c r="B427" i="9"/>
  <c r="B427" i="7"/>
  <c r="C427" i="11"/>
  <c r="C446" i="11"/>
  <c r="B446" i="7"/>
  <c r="B481" i="9"/>
  <c r="C481" i="11"/>
  <c r="B481" i="8"/>
  <c r="B481" i="7"/>
  <c r="B491" i="5"/>
  <c r="D540" i="11"/>
  <c r="C540" i="8"/>
  <c r="C609" i="11"/>
  <c r="B609" i="9"/>
  <c r="B609" i="8"/>
  <c r="B637" i="5"/>
  <c r="C646" i="11"/>
  <c r="B646" i="8"/>
  <c r="B646" i="7"/>
  <c r="D700" i="11"/>
  <c r="C700" i="7"/>
  <c r="C700" i="9"/>
  <c r="A747" i="9"/>
  <c r="A747" i="8"/>
  <c r="A747" i="7"/>
  <c r="A747" i="11"/>
  <c r="B747" i="5"/>
  <c r="D798" i="11"/>
  <c r="C798" i="8"/>
  <c r="B83" i="8"/>
  <c r="D241" i="9"/>
  <c r="D335" i="9"/>
  <c r="D427" i="9"/>
  <c r="B594" i="8"/>
  <c r="C12" i="16"/>
  <c r="F12" i="20"/>
  <c r="E12" i="19"/>
  <c r="A98" i="9"/>
  <c r="H258" i="16"/>
  <c r="P258" i="16" s="1"/>
  <c r="H258" i="20"/>
  <c r="F258" i="19"/>
  <c r="H280" i="16"/>
  <c r="P280" i="16" s="1"/>
  <c r="H280" i="20"/>
  <c r="F280" i="19"/>
  <c r="C334" i="16"/>
  <c r="E334" i="19"/>
  <c r="I575" i="16"/>
  <c r="M575" i="16" s="1"/>
  <c r="G575" i="20"/>
  <c r="G575" i="19"/>
  <c r="J575" i="19" s="1"/>
  <c r="A812" i="16"/>
  <c r="A812" i="19"/>
  <c r="A812" i="20"/>
  <c r="W28" i="20"/>
  <c r="AQ28" i="10"/>
  <c r="L28" i="10"/>
  <c r="W47" i="20"/>
  <c r="AQ47" i="10"/>
  <c r="D626" i="11"/>
  <c r="C626" i="9"/>
  <c r="C626" i="7"/>
  <c r="C626" i="8"/>
  <c r="L94" i="9"/>
  <c r="B94" i="11"/>
  <c r="B113" i="9"/>
  <c r="C113" i="11"/>
  <c r="B113" i="8"/>
  <c r="B113" i="7"/>
  <c r="B150" i="8"/>
  <c r="B150" i="9"/>
  <c r="B150" i="7"/>
  <c r="C150" i="11"/>
  <c r="A208" i="11"/>
  <c r="A208" i="8"/>
  <c r="A208" i="9"/>
  <c r="B208" i="5"/>
  <c r="A208" i="7"/>
  <c r="A293" i="9"/>
  <c r="A293" i="7"/>
  <c r="B293" i="5"/>
  <c r="A293" i="8"/>
  <c r="A364" i="8"/>
  <c r="A364" i="11"/>
  <c r="A364" i="7"/>
  <c r="A364" i="9"/>
  <c r="D432" i="11"/>
  <c r="C432" i="8"/>
  <c r="C432" i="7"/>
  <c r="C432" i="9"/>
  <c r="C454" i="8"/>
  <c r="C454" i="7"/>
  <c r="C454" i="9"/>
  <c r="A541" i="9"/>
  <c r="A541" i="8"/>
  <c r="A541" i="11"/>
  <c r="D609" i="11"/>
  <c r="C609" i="9"/>
  <c r="C609" i="8"/>
  <c r="B632" i="9"/>
  <c r="C632" i="11"/>
  <c r="B632" i="8"/>
  <c r="A660" i="11"/>
  <c r="A660" i="8"/>
  <c r="A660" i="7"/>
  <c r="B660" i="5"/>
  <c r="A701" i="9"/>
  <c r="A701" i="7"/>
  <c r="A701" i="8"/>
  <c r="A701" i="11"/>
  <c r="D714" i="11"/>
  <c r="C714" i="9"/>
  <c r="C714" i="7"/>
  <c r="C766" i="11"/>
  <c r="B766" i="7"/>
  <c r="A818" i="11"/>
  <c r="B818" i="5"/>
  <c r="A818" i="8"/>
  <c r="B98" i="9"/>
  <c r="C225" i="16"/>
  <c r="F225" i="20"/>
  <c r="E225" i="19"/>
  <c r="I398" i="16"/>
  <c r="M398" i="16" s="1"/>
  <c r="G398" i="20"/>
  <c r="G398" i="19"/>
  <c r="J398" i="19" s="1"/>
  <c r="C61" i="8"/>
  <c r="D61" i="11"/>
  <c r="C61" i="9"/>
  <c r="C150" i="9"/>
  <c r="C150" i="8"/>
  <c r="C150" i="7"/>
  <c r="C186" i="11"/>
  <c r="B186" i="8"/>
  <c r="B186" i="7"/>
  <c r="B208" i="8"/>
  <c r="C208" i="11"/>
  <c r="B208" i="9"/>
  <c r="B208" i="7"/>
  <c r="B217" i="9"/>
  <c r="B217" i="8"/>
  <c r="C217" i="11"/>
  <c r="C240" i="9"/>
  <c r="C240" i="7"/>
  <c r="C240" i="8"/>
  <c r="D240" i="11"/>
  <c r="B284" i="5"/>
  <c r="B333" i="9"/>
  <c r="C333" i="11"/>
  <c r="B333" i="7"/>
  <c r="B333" i="8"/>
  <c r="B364" i="5"/>
  <c r="A410" i="8"/>
  <c r="A410" i="9"/>
  <c r="A410" i="11"/>
  <c r="B469" i="11"/>
  <c r="L469" i="9"/>
  <c r="A568" i="7"/>
  <c r="B568" i="5"/>
  <c r="A568" i="9"/>
  <c r="A568" i="11"/>
  <c r="C614" i="11"/>
  <c r="B614" i="8"/>
  <c r="B614" i="9"/>
  <c r="A647" i="9"/>
  <c r="A647" i="8"/>
  <c r="A647" i="11"/>
  <c r="A647" i="7"/>
  <c r="A720" i="9"/>
  <c r="A720" i="8"/>
  <c r="A720" i="11"/>
  <c r="A720" i="7"/>
  <c r="D445" i="9"/>
  <c r="D642" i="9"/>
  <c r="C38" i="16"/>
  <c r="F38" i="20"/>
  <c r="E38" i="19"/>
  <c r="I197" i="16"/>
  <c r="M197" i="16" s="1"/>
  <c r="G197" i="20"/>
  <c r="G197" i="19"/>
  <c r="J197" i="19" s="1"/>
  <c r="D555" i="11"/>
  <c r="C555" i="7"/>
  <c r="C555" i="8"/>
  <c r="C5" i="16"/>
  <c r="F5" i="20"/>
  <c r="E5" i="19"/>
  <c r="C24" i="11"/>
  <c r="B24" i="8"/>
  <c r="B24" i="9"/>
  <c r="B24" i="7"/>
  <c r="B204" i="5"/>
  <c r="B227" i="9"/>
  <c r="B227" i="7"/>
  <c r="B227" i="8"/>
  <c r="C227" i="11"/>
  <c r="A250" i="8"/>
  <c r="A250" i="9"/>
  <c r="A250" i="11"/>
  <c r="B311" i="5"/>
  <c r="A334" i="8"/>
  <c r="A334" i="9"/>
  <c r="A334" i="11"/>
  <c r="B334" i="5"/>
  <c r="A334" i="7"/>
  <c r="B364" i="7"/>
  <c r="B364" i="8"/>
  <c r="C364" i="11"/>
  <c r="B364" i="9"/>
  <c r="A424" i="9"/>
  <c r="A424" i="8"/>
  <c r="A424" i="7"/>
  <c r="A447" i="9"/>
  <c r="A447" i="8"/>
  <c r="A447" i="7"/>
  <c r="A447" i="11"/>
  <c r="B527" i="5"/>
  <c r="A546" i="8"/>
  <c r="A546" i="7"/>
  <c r="A546" i="9"/>
  <c r="B572" i="9"/>
  <c r="B572" i="8"/>
  <c r="C572" i="11"/>
  <c r="B647" i="5"/>
  <c r="B701" i="9"/>
  <c r="B701" i="7"/>
  <c r="B701" i="8"/>
  <c r="B733" i="9"/>
  <c r="C733" i="11"/>
  <c r="B733" i="8"/>
  <c r="B733" i="7"/>
  <c r="D290" i="9"/>
  <c r="D302" i="9"/>
  <c r="D319" i="9"/>
  <c r="D670" i="9"/>
  <c r="I201" i="16"/>
  <c r="M201" i="16" s="1"/>
  <c r="G201" i="20"/>
  <c r="G201" i="19"/>
  <c r="J201" i="19" s="1"/>
  <c r="A450" i="9"/>
  <c r="C473" i="16"/>
  <c r="F473" i="20"/>
  <c r="E473" i="19"/>
  <c r="A772" i="16"/>
  <c r="A772" i="20"/>
  <c r="A772" i="19"/>
  <c r="B10" i="7"/>
  <c r="B10" i="9"/>
  <c r="B67" i="9"/>
  <c r="C67" i="11"/>
  <c r="B67" i="7"/>
  <c r="B67" i="8"/>
  <c r="L213" i="9"/>
  <c r="B213" i="11"/>
  <c r="A258" i="11"/>
  <c r="A258" i="7"/>
  <c r="A258" i="9"/>
  <c r="A258" i="8"/>
  <c r="B258" i="5"/>
  <c r="B289" i="9"/>
  <c r="C289" i="11"/>
  <c r="B289" i="7"/>
  <c r="B289" i="8"/>
  <c r="A347" i="9"/>
  <c r="A347" i="8"/>
  <c r="A347" i="11"/>
  <c r="A347" i="7"/>
  <c r="B410" i="8"/>
  <c r="C410" i="11"/>
  <c r="B410" i="9"/>
  <c r="A438" i="7"/>
  <c r="B438" i="5"/>
  <c r="A438" i="11"/>
  <c r="A438" i="8"/>
  <c r="A438" i="9"/>
  <c r="D459" i="11"/>
  <c r="C459" i="9"/>
  <c r="C459" i="7"/>
  <c r="B546" i="5"/>
  <c r="A564" i="9"/>
  <c r="A564" i="8"/>
  <c r="A564" i="7"/>
  <c r="A564" i="11"/>
  <c r="A624" i="9"/>
  <c r="A624" i="7"/>
  <c r="B647" i="9"/>
  <c r="C647" i="11"/>
  <c r="B647" i="8"/>
  <c r="B647" i="7"/>
  <c r="B757" i="11"/>
  <c r="L757" i="9"/>
  <c r="B781" i="5"/>
  <c r="B794" i="5"/>
  <c r="A200" i="7"/>
  <c r="B262" i="7"/>
  <c r="C445" i="7"/>
  <c r="B632" i="7"/>
  <c r="A98" i="8"/>
  <c r="D556" i="9"/>
  <c r="A618" i="8"/>
  <c r="I27" i="16"/>
  <c r="M27" i="16" s="1"/>
  <c r="G27" i="20"/>
  <c r="G27" i="19"/>
  <c r="J27" i="19" s="1"/>
  <c r="I78" i="16"/>
  <c r="M78" i="16" s="1"/>
  <c r="G78" i="20"/>
  <c r="G78" i="19"/>
  <c r="J78" i="19" s="1"/>
  <c r="I99" i="16"/>
  <c r="M99" i="16" s="1"/>
  <c r="G99" i="20"/>
  <c r="G99" i="19"/>
  <c r="J99" i="19" s="1"/>
  <c r="D329" i="9"/>
  <c r="B450" i="9"/>
  <c r="B606" i="16"/>
  <c r="E606" i="20"/>
  <c r="AM606" i="20" s="1"/>
  <c r="A672" i="16"/>
  <c r="A672" i="19"/>
  <c r="A672" i="20"/>
  <c r="B70" i="11"/>
  <c r="D150" i="11"/>
  <c r="C333" i="7"/>
  <c r="C333" i="8"/>
  <c r="C333" i="9"/>
  <c r="B20" i="9"/>
  <c r="B20" i="8"/>
  <c r="C20" i="11"/>
  <c r="B20" i="7"/>
  <c r="A63" i="9"/>
  <c r="A63" i="7"/>
  <c r="A63" i="8"/>
  <c r="A133" i="9"/>
  <c r="A133" i="11"/>
  <c r="A133" i="7"/>
  <c r="A133" i="8"/>
  <c r="B133" i="5"/>
  <c r="C160" i="7"/>
  <c r="C160" i="8"/>
  <c r="C160" i="9"/>
  <c r="D160" i="11"/>
  <c r="A254" i="11"/>
  <c r="A254" i="9"/>
  <c r="A254" i="8"/>
  <c r="D289" i="11"/>
  <c r="C289" i="7"/>
  <c r="L374" i="9"/>
  <c r="B374" i="11"/>
  <c r="D410" i="11"/>
  <c r="C410" i="9"/>
  <c r="C410" i="7"/>
  <c r="C410" i="8"/>
  <c r="A443" i="9"/>
  <c r="A443" i="11"/>
  <c r="A443" i="8"/>
  <c r="D496" i="11"/>
  <c r="C496" i="9"/>
  <c r="B513" i="9"/>
  <c r="C513" i="11"/>
  <c r="B513" i="8"/>
  <c r="B513" i="7"/>
  <c r="C517" i="9"/>
  <c r="C517" i="7"/>
  <c r="C517" i="8"/>
  <c r="D517" i="11"/>
  <c r="L620" i="9"/>
  <c r="B620" i="11"/>
  <c r="B643" i="5"/>
  <c r="B711" i="9"/>
  <c r="B711" i="7"/>
  <c r="B711" i="8"/>
  <c r="C715" i="7"/>
  <c r="C715" i="9"/>
  <c r="C715" i="8"/>
  <c r="A734" i="11"/>
  <c r="A734" i="8"/>
  <c r="A734" i="9"/>
  <c r="A734" i="7"/>
  <c r="B734" i="5"/>
  <c r="C762" i="16"/>
  <c r="F762" i="20"/>
  <c r="E762" i="19"/>
  <c r="A37" i="7"/>
  <c r="C243" i="7"/>
  <c r="C654" i="7"/>
  <c r="H114" i="16"/>
  <c r="P114" i="16" s="1"/>
  <c r="H114" i="20"/>
  <c r="F114" i="19"/>
  <c r="A131" i="8"/>
  <c r="B546" i="8"/>
  <c r="D584" i="9"/>
  <c r="B618" i="8"/>
  <c r="B677" i="8"/>
  <c r="F50" i="20"/>
  <c r="C50" i="16"/>
  <c r="B134" i="16"/>
  <c r="E134" i="20"/>
  <c r="AM134" i="20" s="1"/>
  <c r="A186" i="9"/>
  <c r="I377" i="16"/>
  <c r="M377" i="16" s="1"/>
  <c r="G377" i="20"/>
  <c r="G377" i="19"/>
  <c r="J377" i="19" s="1"/>
  <c r="C399" i="16"/>
  <c r="F399" i="20"/>
  <c r="E399" i="19"/>
  <c r="D440" i="9"/>
  <c r="I461" i="16"/>
  <c r="M461" i="16" s="1"/>
  <c r="G461" i="19"/>
  <c r="J461" i="19" s="1"/>
  <c r="G461" i="20"/>
  <c r="C571" i="16"/>
  <c r="F571" i="20"/>
  <c r="E571" i="19"/>
  <c r="C660" i="16"/>
  <c r="F660" i="20"/>
  <c r="E660" i="19"/>
  <c r="I684" i="16"/>
  <c r="M684" i="16" s="1"/>
  <c r="G684" i="20"/>
  <c r="G684" i="19"/>
  <c r="J684" i="19" s="1"/>
  <c r="I703" i="16"/>
  <c r="M703" i="16" s="1"/>
  <c r="G703" i="20"/>
  <c r="G703" i="19"/>
  <c r="J703" i="19" s="1"/>
  <c r="B766" i="9"/>
  <c r="C807" i="9"/>
  <c r="Q3" i="20"/>
  <c r="B316" i="7"/>
  <c r="B316" i="8"/>
  <c r="B316" i="9"/>
  <c r="C316" i="11"/>
  <c r="C500" i="11"/>
  <c r="B500" i="8"/>
  <c r="B500" i="9"/>
  <c r="B500" i="7"/>
  <c r="D20" i="11"/>
  <c r="C20" i="9"/>
  <c r="C20" i="7"/>
  <c r="A44" i="8"/>
  <c r="A44" i="7"/>
  <c r="A44" i="9"/>
  <c r="A44" i="11"/>
  <c r="B133" i="9"/>
  <c r="C133" i="11"/>
  <c r="B133" i="8"/>
  <c r="B133" i="7"/>
  <c r="B254" i="5"/>
  <c r="C272" i="11"/>
  <c r="B272" i="9"/>
  <c r="B272" i="8"/>
  <c r="B272" i="7"/>
  <c r="A434" i="16"/>
  <c r="A434" i="20"/>
  <c r="A434" i="19"/>
  <c r="C464" i="7"/>
  <c r="C464" i="8"/>
  <c r="C464" i="9"/>
  <c r="D464" i="11"/>
  <c r="A518" i="11"/>
  <c r="A518" i="7"/>
  <c r="A518" i="9"/>
  <c r="B518" i="5"/>
  <c r="A518" i="8"/>
  <c r="D546" i="11"/>
  <c r="C546" i="8"/>
  <c r="C546" i="7"/>
  <c r="C546" i="9"/>
  <c r="B560" i="5"/>
  <c r="B707" i="11"/>
  <c r="L707" i="9"/>
  <c r="B720" i="9"/>
  <c r="B720" i="8"/>
  <c r="C720" i="11"/>
  <c r="B720" i="7"/>
  <c r="A753" i="9"/>
  <c r="A753" i="7"/>
  <c r="A753" i="8"/>
  <c r="A753" i="11"/>
  <c r="B767" i="9"/>
  <c r="B767" i="8"/>
  <c r="C767" i="11"/>
  <c r="B767" i="7"/>
  <c r="A777" i="9"/>
  <c r="A777" i="11"/>
  <c r="A777" i="7"/>
  <c r="C819" i="11"/>
  <c r="B819" i="8"/>
  <c r="B819" i="9"/>
  <c r="C79" i="8"/>
  <c r="A196" i="8"/>
  <c r="D325" i="9"/>
  <c r="F16" i="20"/>
  <c r="C16" i="16"/>
  <c r="E16" i="19"/>
  <c r="H123" i="16"/>
  <c r="P123" i="16" s="1"/>
  <c r="H123" i="20"/>
  <c r="F123" i="19"/>
  <c r="C181" i="16"/>
  <c r="F181" i="20"/>
  <c r="E181" i="19"/>
  <c r="B186" i="9"/>
  <c r="H323" i="16"/>
  <c r="P323" i="16" s="1"/>
  <c r="H323" i="20"/>
  <c r="F323" i="19"/>
  <c r="I367" i="16"/>
  <c r="M367" i="16" s="1"/>
  <c r="G367" i="20"/>
  <c r="G367" i="19"/>
  <c r="J367" i="19" s="1"/>
  <c r="A528" i="16"/>
  <c r="A528" i="19"/>
  <c r="A528" i="20"/>
  <c r="C583" i="16"/>
  <c r="F583" i="20"/>
  <c r="E583" i="19"/>
  <c r="I642" i="16"/>
  <c r="M642" i="16" s="1"/>
  <c r="G642" i="20"/>
  <c r="G642" i="19"/>
  <c r="J642" i="19" s="1"/>
  <c r="A748" i="16"/>
  <c r="A748" i="19"/>
  <c r="A748" i="20"/>
  <c r="I518" i="19"/>
  <c r="C6" i="8"/>
  <c r="C6" i="9"/>
  <c r="C6" i="7"/>
  <c r="B44" i="5"/>
  <c r="C379" i="11"/>
  <c r="B379" i="9"/>
  <c r="B379" i="8"/>
  <c r="B532" i="9"/>
  <c r="B532" i="8"/>
  <c r="C532" i="11"/>
  <c r="B532" i="7"/>
  <c r="D26" i="9"/>
  <c r="I123" i="16"/>
  <c r="M123" i="16" s="1"/>
  <c r="G123" i="20"/>
  <c r="G123" i="19"/>
  <c r="J123" i="19" s="1"/>
  <c r="C142" i="16"/>
  <c r="F142" i="20"/>
  <c r="E142" i="19"/>
  <c r="B528" i="16"/>
  <c r="E528" i="20"/>
  <c r="AM528" i="20" s="1"/>
  <c r="B594" i="9"/>
  <c r="H743" i="16"/>
  <c r="P743" i="16" s="1"/>
  <c r="H743" i="20"/>
  <c r="F743" i="19"/>
  <c r="B821" i="16"/>
  <c r="E821" i="20"/>
  <c r="W41" i="20"/>
  <c r="AQ41" i="10"/>
  <c r="L41" i="10"/>
  <c r="L31" i="9"/>
  <c r="B31" i="11"/>
  <c r="B49" i="9"/>
  <c r="C49" i="11"/>
  <c r="B49" i="7"/>
  <c r="B49" i="8"/>
  <c r="D142" i="11"/>
  <c r="C142" i="8"/>
  <c r="C142" i="7"/>
  <c r="D223" i="11"/>
  <c r="C223" i="8"/>
  <c r="C223" i="9"/>
  <c r="C223" i="7"/>
  <c r="A273" i="9"/>
  <c r="A273" i="11"/>
  <c r="A273" i="8"/>
  <c r="B299" i="9"/>
  <c r="C299" i="11"/>
  <c r="B299" i="7"/>
  <c r="B299" i="8"/>
  <c r="C370" i="11"/>
  <c r="B370" i="8"/>
  <c r="C416" i="11"/>
  <c r="B416" i="9"/>
  <c r="B416" i="7"/>
  <c r="B416" i="8"/>
  <c r="D429" i="11"/>
  <c r="C429" i="8"/>
  <c r="D443" i="11"/>
  <c r="C443" i="8"/>
  <c r="C488" i="11"/>
  <c r="B488" i="7"/>
  <c r="B488" i="9"/>
  <c r="B488" i="8"/>
  <c r="B514" i="5"/>
  <c r="B523" i="5"/>
  <c r="B556" i="5"/>
  <c r="A768" i="11"/>
  <c r="A768" i="7"/>
  <c r="B768" i="5"/>
  <c r="A768" i="9"/>
  <c r="A768" i="8"/>
  <c r="D42" i="9"/>
  <c r="D115" i="9"/>
  <c r="B137" i="8"/>
  <c r="D247" i="9"/>
  <c r="D264" i="9"/>
  <c r="D309" i="9"/>
  <c r="D8" i="19"/>
  <c r="I118" i="16"/>
  <c r="M118" i="16" s="1"/>
  <c r="G118" i="20"/>
  <c r="G118" i="19"/>
  <c r="J118" i="19" s="1"/>
  <c r="I142" i="16"/>
  <c r="M142" i="16" s="1"/>
  <c r="G142" i="20"/>
  <c r="A238" i="16"/>
  <c r="A238" i="20"/>
  <c r="A238" i="19"/>
  <c r="I505" i="16"/>
  <c r="M505" i="16" s="1"/>
  <c r="G505" i="20"/>
  <c r="G505" i="19"/>
  <c r="J505" i="19" s="1"/>
  <c r="C528" i="16"/>
  <c r="F528" i="20"/>
  <c r="E528" i="19"/>
  <c r="I583" i="16"/>
  <c r="M583" i="16" s="1"/>
  <c r="G583" i="19"/>
  <c r="J583" i="19" s="1"/>
  <c r="G583" i="20"/>
  <c r="C637" i="9"/>
  <c r="I791" i="16"/>
  <c r="M791" i="16" s="1"/>
  <c r="G791" i="20"/>
  <c r="G791" i="19"/>
  <c r="J791" i="19" s="1"/>
  <c r="D155" i="11"/>
  <c r="A36" i="11"/>
  <c r="A36" i="7"/>
  <c r="A36" i="9"/>
  <c r="A224" i="8"/>
  <c r="A224" i="9"/>
  <c r="A224" i="7"/>
  <c r="B330" i="8"/>
  <c r="B330" i="7"/>
  <c r="C330" i="11"/>
  <c r="B330" i="9"/>
  <c r="D370" i="11"/>
  <c r="C370" i="8"/>
  <c r="C370" i="7"/>
  <c r="C537" i="7"/>
  <c r="C537" i="9"/>
  <c r="D537" i="11"/>
  <c r="C537" i="8"/>
  <c r="B50" i="8"/>
  <c r="C50" i="11"/>
  <c r="B50" i="7"/>
  <c r="B50" i="9"/>
  <c r="D166" i="11"/>
  <c r="C166" i="7"/>
  <c r="C166" i="8"/>
  <c r="D179" i="11"/>
  <c r="C179" i="9"/>
  <c r="A243" i="9"/>
  <c r="A243" i="8"/>
  <c r="A243" i="11"/>
  <c r="A243" i="7"/>
  <c r="B264" i="7"/>
  <c r="B264" i="9"/>
  <c r="C264" i="11"/>
  <c r="B264" i="8"/>
  <c r="B317" i="11"/>
  <c r="L317" i="9"/>
  <c r="A326" i="11"/>
  <c r="A326" i="8"/>
  <c r="A326" i="9"/>
  <c r="B353" i="9"/>
  <c r="B353" i="7"/>
  <c r="C353" i="11"/>
  <c r="B353" i="8"/>
  <c r="D366" i="11"/>
  <c r="C366" i="9"/>
  <c r="C366" i="8"/>
  <c r="C366" i="7"/>
  <c r="B385" i="9"/>
  <c r="C385" i="11"/>
  <c r="B385" i="7"/>
  <c r="B385" i="8"/>
  <c r="D389" i="11"/>
  <c r="C389" i="8"/>
  <c r="C389" i="7"/>
  <c r="C389" i="9"/>
  <c r="A398" i="7"/>
  <c r="A398" i="11"/>
  <c r="A398" i="9"/>
  <c r="B398" i="5"/>
  <c r="D402" i="11"/>
  <c r="C402" i="8"/>
  <c r="C402" i="7"/>
  <c r="B503" i="11"/>
  <c r="L503" i="9"/>
  <c r="B511" i="9"/>
  <c r="C511" i="11"/>
  <c r="B511" i="7"/>
  <c r="D519" i="11"/>
  <c r="C519" i="9"/>
  <c r="A588" i="11"/>
  <c r="A588" i="8"/>
  <c r="B588" i="5"/>
  <c r="A588" i="9"/>
  <c r="C592" i="16"/>
  <c r="F592" i="20"/>
  <c r="E592" i="19"/>
  <c r="B597" i="9"/>
  <c r="B597" i="7"/>
  <c r="C597" i="11"/>
  <c r="B597" i="8"/>
  <c r="B607" i="9"/>
  <c r="C607" i="11"/>
  <c r="B607" i="7"/>
  <c r="C616" i="11"/>
  <c r="B616" i="8"/>
  <c r="B616" i="9"/>
  <c r="B616" i="7"/>
  <c r="D649" i="11"/>
  <c r="C649" i="8"/>
  <c r="C649" i="9"/>
  <c r="C649" i="7"/>
  <c r="A667" i="9"/>
  <c r="A667" i="8"/>
  <c r="A667" i="11"/>
  <c r="D680" i="11"/>
  <c r="C680" i="7"/>
  <c r="C680" i="9"/>
  <c r="A694" i="7"/>
  <c r="B694" i="5"/>
  <c r="A694" i="9"/>
  <c r="A694" i="11"/>
  <c r="A694" i="8"/>
  <c r="C726" i="11"/>
  <c r="B726" i="8"/>
  <c r="B726" i="9"/>
  <c r="B731" i="9"/>
  <c r="B731" i="7"/>
  <c r="C731" i="11"/>
  <c r="B731" i="8"/>
  <c r="A736" i="11"/>
  <c r="A736" i="9"/>
  <c r="B736" i="5"/>
  <c r="A736" i="7"/>
  <c r="C759" i="11"/>
  <c r="B759" i="9"/>
  <c r="B759" i="7"/>
  <c r="B759" i="8"/>
  <c r="B810" i="9"/>
  <c r="B810" i="8"/>
  <c r="C810" i="11"/>
  <c r="D820" i="11"/>
  <c r="C820" i="8"/>
  <c r="C820" i="9"/>
  <c r="C30" i="7"/>
  <c r="C36" i="11"/>
  <c r="B36" i="7"/>
  <c r="B36" i="8"/>
  <c r="B36" i="9"/>
  <c r="D50" i="11"/>
  <c r="C50" i="8"/>
  <c r="D69" i="11"/>
  <c r="C69" i="9"/>
  <c r="C69" i="8"/>
  <c r="C77" i="9"/>
  <c r="C77" i="7"/>
  <c r="D77" i="11"/>
  <c r="C77" i="8"/>
  <c r="B87" i="9"/>
  <c r="B87" i="8"/>
  <c r="B87" i="7"/>
  <c r="C87" i="11"/>
  <c r="B143" i="9"/>
  <c r="C143" i="11"/>
  <c r="B143" i="8"/>
  <c r="B143" i="7"/>
  <c r="A167" i="9"/>
  <c r="A167" i="7"/>
  <c r="B167" i="5"/>
  <c r="C206" i="11"/>
  <c r="B206" i="7"/>
  <c r="B206" i="9"/>
  <c r="B210" i="8"/>
  <c r="C210" i="11"/>
  <c r="B210" i="9"/>
  <c r="C215" i="11"/>
  <c r="B215" i="9"/>
  <c r="B215" i="8"/>
  <c r="B215" i="7"/>
  <c r="D219" i="11"/>
  <c r="C219" i="7"/>
  <c r="C219" i="8"/>
  <c r="C219" i="9"/>
  <c r="A238" i="11"/>
  <c r="A238" i="7"/>
  <c r="A238" i="8"/>
  <c r="B238" i="5"/>
  <c r="B243" i="5"/>
  <c r="C247" i="9"/>
  <c r="D247" i="11"/>
  <c r="C247" i="7"/>
  <c r="D264" i="11"/>
  <c r="C264" i="7"/>
  <c r="C300" i="7"/>
  <c r="D300" i="11"/>
  <c r="C300" i="9"/>
  <c r="B326" i="5"/>
  <c r="C340" i="11"/>
  <c r="B340" i="9"/>
  <c r="B340" i="8"/>
  <c r="B344" i="7"/>
  <c r="B344" i="8"/>
  <c r="C344" i="11"/>
  <c r="A390" i="8"/>
  <c r="A390" i="7"/>
  <c r="A390" i="9"/>
  <c r="A390" i="11"/>
  <c r="B398" i="7"/>
  <c r="B398" i="9"/>
  <c r="C398" i="11"/>
  <c r="L480" i="9"/>
  <c r="B480" i="11"/>
  <c r="D489" i="11"/>
  <c r="C489" i="8"/>
  <c r="C489" i="7"/>
  <c r="C489" i="9"/>
  <c r="L566" i="9"/>
  <c r="B566" i="11"/>
  <c r="B575" i="9"/>
  <c r="C575" i="11"/>
  <c r="B575" i="7"/>
  <c r="B575" i="8"/>
  <c r="D583" i="11"/>
  <c r="C583" i="8"/>
  <c r="C583" i="7"/>
  <c r="C602" i="11"/>
  <c r="B602" i="8"/>
  <c r="B602" i="9"/>
  <c r="D616" i="11"/>
  <c r="C616" i="8"/>
  <c r="C616" i="9"/>
  <c r="C616" i="7"/>
  <c r="B658" i="8"/>
  <c r="C658" i="11"/>
  <c r="B658" i="9"/>
  <c r="A681" i="9"/>
  <c r="A681" i="8"/>
  <c r="A681" i="11"/>
  <c r="A681" i="7"/>
  <c r="D685" i="11"/>
  <c r="C685" i="7"/>
  <c r="C685" i="8"/>
  <c r="B694" i="7"/>
  <c r="B694" i="9"/>
  <c r="B694" i="8"/>
  <c r="B703" i="9"/>
  <c r="B703" i="7"/>
  <c r="C703" i="11"/>
  <c r="B703" i="8"/>
  <c r="D726" i="11"/>
  <c r="C726" i="9"/>
  <c r="C726" i="8"/>
  <c r="C736" i="11"/>
  <c r="B736" i="9"/>
  <c r="B736" i="8"/>
  <c r="B736" i="7"/>
  <c r="L754" i="9"/>
  <c r="B754" i="11"/>
  <c r="D759" i="11"/>
  <c r="C759" i="7"/>
  <c r="C759" i="8"/>
  <c r="B764" i="5"/>
  <c r="C769" i="11"/>
  <c r="B769" i="9"/>
  <c r="B769" i="8"/>
  <c r="D810" i="11"/>
  <c r="C810" i="8"/>
  <c r="C810" i="9"/>
  <c r="A816" i="11"/>
  <c r="A816" i="9"/>
  <c r="A816" i="8"/>
  <c r="B8" i="9"/>
  <c r="B8" i="8"/>
  <c r="C8" i="11"/>
  <c r="B60" i="7"/>
  <c r="B60" i="8"/>
  <c r="C60" i="11"/>
  <c r="B60" i="9"/>
  <c r="A70" i="8"/>
  <c r="A70" i="7"/>
  <c r="A70" i="9"/>
  <c r="A70" i="11"/>
  <c r="D73" i="11"/>
  <c r="C73" i="9"/>
  <c r="C73" i="8"/>
  <c r="A78" i="11"/>
  <c r="A78" i="7"/>
  <c r="B78" i="5"/>
  <c r="A78" i="8"/>
  <c r="C82" i="11"/>
  <c r="B82" i="9"/>
  <c r="B82" i="8"/>
  <c r="D87" i="11"/>
  <c r="C87" i="9"/>
  <c r="C87" i="8"/>
  <c r="C87" i="7"/>
  <c r="C92" i="11"/>
  <c r="B92" i="9"/>
  <c r="B92" i="8"/>
  <c r="B92" i="7"/>
  <c r="B107" i="9"/>
  <c r="B107" i="8"/>
  <c r="B107" i="7"/>
  <c r="B139" i="9"/>
  <c r="C139" i="11"/>
  <c r="B139" i="8"/>
  <c r="C143" i="8"/>
  <c r="D143" i="11"/>
  <c r="C143" i="9"/>
  <c r="C143" i="7"/>
  <c r="B157" i="16"/>
  <c r="E157" i="20"/>
  <c r="AM157" i="20" s="1"/>
  <c r="B189" i="9"/>
  <c r="C189" i="11"/>
  <c r="B189" i="7"/>
  <c r="D206" i="11"/>
  <c r="C206" i="7"/>
  <c r="C206" i="9"/>
  <c r="A220" i="7"/>
  <c r="A220" i="9"/>
  <c r="A220" i="8"/>
  <c r="A220" i="11"/>
  <c r="A230" i="8"/>
  <c r="A230" i="11"/>
  <c r="B238" i="8"/>
  <c r="B238" i="7"/>
  <c r="C238" i="11"/>
  <c r="B243" i="9"/>
  <c r="C243" i="11"/>
  <c r="B243" i="8"/>
  <c r="B243" i="7"/>
  <c r="D295" i="11"/>
  <c r="C295" i="7"/>
  <c r="B309" i="9"/>
  <c r="C309" i="11"/>
  <c r="B309" i="7"/>
  <c r="A341" i="9"/>
  <c r="A341" i="8"/>
  <c r="A341" i="7"/>
  <c r="A341" i="11"/>
  <c r="B341" i="5"/>
  <c r="D385" i="11"/>
  <c r="C385" i="7"/>
  <c r="C385" i="9"/>
  <c r="C385" i="8"/>
  <c r="B390" i="5"/>
  <c r="C398" i="9"/>
  <c r="C398" i="8"/>
  <c r="D398" i="11"/>
  <c r="B412" i="9"/>
  <c r="B412" i="8"/>
  <c r="B412" i="7"/>
  <c r="C412" i="11"/>
  <c r="D466" i="11"/>
  <c r="C466" i="8"/>
  <c r="B476" i="5"/>
  <c r="B499" i="11"/>
  <c r="L499" i="9"/>
  <c r="B557" i="9"/>
  <c r="C557" i="11"/>
  <c r="B557" i="8"/>
  <c r="C566" i="11"/>
  <c r="B566" i="9"/>
  <c r="B566" i="8"/>
  <c r="A571" i="9"/>
  <c r="A571" i="7"/>
  <c r="A571" i="11"/>
  <c r="A571" i="8"/>
  <c r="A584" i="11"/>
  <c r="A584" i="7"/>
  <c r="A584" i="9"/>
  <c r="C588" i="16"/>
  <c r="F588" i="20"/>
  <c r="E588" i="19"/>
  <c r="A598" i="7"/>
  <c r="A598" i="9"/>
  <c r="A598" i="8"/>
  <c r="B598" i="5"/>
  <c r="D602" i="11"/>
  <c r="C602" i="8"/>
  <c r="C602" i="9"/>
  <c r="D653" i="11"/>
  <c r="C653" i="8"/>
  <c r="C653" i="9"/>
  <c r="C653" i="7"/>
  <c r="C658" i="8"/>
  <c r="D658" i="11"/>
  <c r="C658" i="7"/>
  <c r="C658" i="9"/>
  <c r="C662" i="11"/>
  <c r="B662" i="7"/>
  <c r="B662" i="9"/>
  <c r="B667" i="9"/>
  <c r="B667" i="8"/>
  <c r="D676" i="11"/>
  <c r="C676" i="8"/>
  <c r="C676" i="9"/>
  <c r="C676" i="7"/>
  <c r="B681" i="5"/>
  <c r="A686" i="11"/>
  <c r="A686" i="9"/>
  <c r="A686" i="7"/>
  <c r="A686" i="8"/>
  <c r="D690" i="11"/>
  <c r="C690" i="8"/>
  <c r="C690" i="9"/>
  <c r="C690" i="7"/>
  <c r="D703" i="11"/>
  <c r="C703" i="7"/>
  <c r="C703" i="9"/>
  <c r="C703" i="8"/>
  <c r="C745" i="9"/>
  <c r="C745" i="7"/>
  <c r="C745" i="8"/>
  <c r="D745" i="11"/>
  <c r="C750" i="11"/>
  <c r="B750" i="8"/>
  <c r="B750" i="7"/>
  <c r="B750" i="9"/>
  <c r="C754" i="11"/>
  <c r="B754" i="7"/>
  <c r="B754" i="8"/>
  <c r="C764" i="11"/>
  <c r="B764" i="9"/>
  <c r="B764" i="7"/>
  <c r="B764" i="8"/>
  <c r="D769" i="11"/>
  <c r="C769" i="8"/>
  <c r="C769" i="9"/>
  <c r="C769" i="7"/>
  <c r="A811" i="11"/>
  <c r="A811" i="9"/>
  <c r="A811" i="8"/>
  <c r="B816" i="5"/>
  <c r="B82" i="7"/>
  <c r="C102" i="7"/>
  <c r="C146" i="7"/>
  <c r="B165" i="7"/>
  <c r="A314" i="7"/>
  <c r="A357" i="7"/>
  <c r="B414" i="7"/>
  <c r="C540" i="7"/>
  <c r="C622" i="7"/>
  <c r="I7" i="8"/>
  <c r="K7" i="9" s="1"/>
  <c r="A154" i="8"/>
  <c r="D260" i="9"/>
  <c r="D271" i="9"/>
  <c r="D328" i="9"/>
  <c r="B459" i="8"/>
  <c r="B587" i="8"/>
  <c r="D608" i="9"/>
  <c r="D639" i="9"/>
  <c r="C714" i="8"/>
  <c r="A736" i="8"/>
  <c r="D754" i="9"/>
  <c r="H767" i="16"/>
  <c r="P767" i="16" s="1"/>
  <c r="H767" i="20"/>
  <c r="F767" i="19"/>
  <c r="L24" i="9"/>
  <c r="G41" i="20"/>
  <c r="I41" i="16"/>
  <c r="M41" i="16" s="1"/>
  <c r="G41" i="19"/>
  <c r="J41" i="19" s="1"/>
  <c r="I81" i="16"/>
  <c r="M81" i="16" s="1"/>
  <c r="G81" i="20"/>
  <c r="G81" i="19"/>
  <c r="J81" i="19" s="1"/>
  <c r="I87" i="16"/>
  <c r="M87" i="16" s="1"/>
  <c r="G87" i="20"/>
  <c r="G87" i="19"/>
  <c r="J87" i="19" s="1"/>
  <c r="H96" i="20"/>
  <c r="H96" i="16"/>
  <c r="P96" i="16" s="1"/>
  <c r="F96" i="19"/>
  <c r="A108" i="16"/>
  <c r="A108" i="20"/>
  <c r="A108" i="19"/>
  <c r="D149" i="9"/>
  <c r="B178" i="9"/>
  <c r="C183" i="16"/>
  <c r="F183" i="20"/>
  <c r="E183" i="19"/>
  <c r="H273" i="16"/>
  <c r="P273" i="16" s="1"/>
  <c r="H273" i="20"/>
  <c r="F273" i="19"/>
  <c r="C303" i="9"/>
  <c r="E308" i="20"/>
  <c r="AM308" i="20" s="1"/>
  <c r="A314" i="9"/>
  <c r="B370" i="9"/>
  <c r="L407" i="9"/>
  <c r="H436" i="16"/>
  <c r="P436" i="16" s="1"/>
  <c r="H436" i="20"/>
  <c r="F436" i="19"/>
  <c r="I447" i="16"/>
  <c r="M447" i="16" s="1"/>
  <c r="G447" i="19"/>
  <c r="J447" i="19" s="1"/>
  <c r="G447" i="20"/>
  <c r="A458" i="9"/>
  <c r="A488" i="16"/>
  <c r="A488" i="20"/>
  <c r="A488" i="19"/>
  <c r="I495" i="16"/>
  <c r="M495" i="16" s="1"/>
  <c r="G495" i="20"/>
  <c r="G495" i="19"/>
  <c r="J495" i="19" s="1"/>
  <c r="C555" i="9"/>
  <c r="H615" i="16"/>
  <c r="P615" i="16" s="1"/>
  <c r="H615" i="20"/>
  <c r="F615" i="19"/>
  <c r="B656" i="16"/>
  <c r="E656" i="20"/>
  <c r="AM656" i="20" s="1"/>
  <c r="C669" i="9"/>
  <c r="I700" i="16"/>
  <c r="M700" i="16" s="1"/>
  <c r="G700" i="19"/>
  <c r="J700" i="19" s="1"/>
  <c r="G700" i="20"/>
  <c r="D719" i="9"/>
  <c r="C732" i="16"/>
  <c r="F732" i="20"/>
  <c r="E732" i="19"/>
  <c r="F787" i="20"/>
  <c r="C787" i="16"/>
  <c r="E787" i="19"/>
  <c r="L52" i="10"/>
  <c r="A28" i="11"/>
  <c r="A63" i="11"/>
  <c r="D107" i="11"/>
  <c r="D174" i="11"/>
  <c r="C327" i="11"/>
  <c r="C681" i="11"/>
  <c r="M148" i="19"/>
  <c r="I148" i="19"/>
  <c r="C96" i="11"/>
  <c r="B96" i="8"/>
  <c r="B96" i="7"/>
  <c r="C351" i="8"/>
  <c r="C351" i="9"/>
  <c r="C351" i="7"/>
  <c r="D538" i="11"/>
  <c r="C538" i="7"/>
  <c r="C538" i="9"/>
  <c r="C538" i="8"/>
  <c r="D21" i="9"/>
  <c r="D151" i="9"/>
  <c r="D267" i="9"/>
  <c r="D347" i="9"/>
  <c r="H364" i="16"/>
  <c r="P364" i="16" s="1"/>
  <c r="H364" i="20"/>
  <c r="H374" i="16"/>
  <c r="P374" i="16" s="1"/>
  <c r="H374" i="20"/>
  <c r="F374" i="19"/>
  <c r="D433" i="9"/>
  <c r="D438" i="9"/>
  <c r="D648" i="9"/>
  <c r="D724" i="9"/>
  <c r="H746" i="16"/>
  <c r="P746" i="16" s="1"/>
  <c r="H746" i="20"/>
  <c r="F746" i="19"/>
  <c r="I17" i="16"/>
  <c r="M17" i="16" s="1"/>
  <c r="G17" i="20"/>
  <c r="G17" i="19"/>
  <c r="J17" i="19" s="1"/>
  <c r="H38" i="16"/>
  <c r="P38" i="16" s="1"/>
  <c r="F38" i="19"/>
  <c r="H38" i="20"/>
  <c r="H49" i="16"/>
  <c r="P49" i="16" s="1"/>
  <c r="H49" i="20"/>
  <c r="F49" i="19"/>
  <c r="A64" i="16"/>
  <c r="A64" i="20"/>
  <c r="A64" i="19"/>
  <c r="C85" i="9"/>
  <c r="H90" i="16"/>
  <c r="P90" i="16" s="1"/>
  <c r="H90" i="20"/>
  <c r="F90" i="19"/>
  <c r="C148" i="16"/>
  <c r="F148" i="20"/>
  <c r="E148" i="19"/>
  <c r="I152" i="16"/>
  <c r="M152" i="16" s="1"/>
  <c r="G152" i="20"/>
  <c r="G152" i="19"/>
  <c r="J152" i="19" s="1"/>
  <c r="I159" i="16"/>
  <c r="M159" i="16" s="1"/>
  <c r="G159" i="19"/>
  <c r="J159" i="19" s="1"/>
  <c r="G159" i="20"/>
  <c r="C168" i="16"/>
  <c r="F168" i="20"/>
  <c r="H215" i="16"/>
  <c r="P215" i="16" s="1"/>
  <c r="H215" i="20"/>
  <c r="F215" i="19"/>
  <c r="H225" i="16"/>
  <c r="P225" i="16" s="1"/>
  <c r="H225" i="20"/>
  <c r="F225" i="19"/>
  <c r="H245" i="16"/>
  <c r="P245" i="16" s="1"/>
  <c r="H245" i="20"/>
  <c r="B260" i="9"/>
  <c r="A266" i="16"/>
  <c r="A266" i="19"/>
  <c r="A266" i="20"/>
  <c r="I276" i="16"/>
  <c r="M276" i="16" s="1"/>
  <c r="G276" i="20"/>
  <c r="G276" i="19"/>
  <c r="J276" i="19" s="1"/>
  <c r="C282" i="16"/>
  <c r="F282" i="20"/>
  <c r="E282" i="19"/>
  <c r="B287" i="20"/>
  <c r="AL287" i="20" s="1"/>
  <c r="B287" i="19"/>
  <c r="E304" i="20"/>
  <c r="AM304" i="20" s="1"/>
  <c r="B304" i="16"/>
  <c r="H350" i="16"/>
  <c r="P350" i="16" s="1"/>
  <c r="H350" i="20"/>
  <c r="F350" i="19"/>
  <c r="I385" i="16"/>
  <c r="M385" i="16" s="1"/>
  <c r="G385" i="20"/>
  <c r="G385" i="19"/>
  <c r="J385" i="19" s="1"/>
  <c r="B400" i="9"/>
  <c r="I416" i="16"/>
  <c r="M416" i="16" s="1"/>
  <c r="G416" i="20"/>
  <c r="G416" i="19"/>
  <c r="J416" i="19" s="1"/>
  <c r="I437" i="16"/>
  <c r="M437" i="16" s="1"/>
  <c r="G437" i="20"/>
  <c r="G437" i="19"/>
  <c r="J437" i="19" s="1"/>
  <c r="I443" i="16"/>
  <c r="M443" i="16" s="1"/>
  <c r="G443" i="20"/>
  <c r="G443" i="19"/>
  <c r="J443" i="19" s="1"/>
  <c r="C448" i="16"/>
  <c r="F448" i="20"/>
  <c r="E448" i="19"/>
  <c r="I458" i="16"/>
  <c r="M458" i="16" s="1"/>
  <c r="G458" i="20"/>
  <c r="G458" i="19"/>
  <c r="J458" i="19" s="1"/>
  <c r="H480" i="16"/>
  <c r="P480" i="16" s="1"/>
  <c r="H480" i="20"/>
  <c r="H518" i="16"/>
  <c r="P518" i="16" s="1"/>
  <c r="H518" i="20"/>
  <c r="C524" i="16"/>
  <c r="F524" i="20"/>
  <c r="E524" i="19"/>
  <c r="I540" i="16"/>
  <c r="M540" i="16" s="1"/>
  <c r="G540" i="20"/>
  <c r="G540" i="19"/>
  <c r="J540" i="19" s="1"/>
  <c r="I578" i="16"/>
  <c r="M578" i="16" s="1"/>
  <c r="G578" i="20"/>
  <c r="G578" i="19"/>
  <c r="J578" i="19" s="1"/>
  <c r="C607" i="16"/>
  <c r="F607" i="20"/>
  <c r="E607" i="19"/>
  <c r="B634" i="16"/>
  <c r="E634" i="20"/>
  <c r="AM634" i="20" s="1"/>
  <c r="H669" i="16"/>
  <c r="P669" i="16" s="1"/>
  <c r="F669" i="19"/>
  <c r="H669" i="20"/>
  <c r="F674" i="20"/>
  <c r="E674" i="19"/>
  <c r="C674" i="16"/>
  <c r="I732" i="16"/>
  <c r="M732" i="16" s="1"/>
  <c r="G732" i="20"/>
  <c r="G732" i="19"/>
  <c r="J732" i="19" s="1"/>
  <c r="I755" i="16"/>
  <c r="M755" i="16" s="1"/>
  <c r="G755" i="19"/>
  <c r="J755" i="19" s="1"/>
  <c r="G755" i="20"/>
  <c r="H822" i="16"/>
  <c r="P822" i="16" s="1"/>
  <c r="H822" i="20"/>
  <c r="F822" i="19"/>
  <c r="A81" i="9"/>
  <c r="A81" i="8"/>
  <c r="A81" i="7"/>
  <c r="L129" i="9"/>
  <c r="B129" i="11"/>
  <c r="C273" i="9"/>
  <c r="C273" i="8"/>
  <c r="B379" i="11"/>
  <c r="L379" i="9"/>
  <c r="C564" i="7"/>
  <c r="D564" i="11"/>
  <c r="C564" i="8"/>
  <c r="C564" i="9"/>
  <c r="D599" i="11"/>
  <c r="C599" i="8"/>
  <c r="C599" i="7"/>
  <c r="C664" i="11"/>
  <c r="B664" i="7"/>
  <c r="B664" i="9"/>
  <c r="B664" i="8"/>
  <c r="B129" i="9"/>
  <c r="B129" i="7"/>
  <c r="B129" i="8"/>
  <c r="A184" i="11"/>
  <c r="A184" i="9"/>
  <c r="A184" i="7"/>
  <c r="C213" i="8"/>
  <c r="C213" i="9"/>
  <c r="L239" i="9"/>
  <c r="B239" i="11"/>
  <c r="D260" i="11"/>
  <c r="C260" i="9"/>
  <c r="B265" i="11"/>
  <c r="L265" i="9"/>
  <c r="C307" i="9"/>
  <c r="D307" i="11"/>
  <c r="C307" i="7"/>
  <c r="C307" i="8"/>
  <c r="B341" i="9"/>
  <c r="B341" i="8"/>
  <c r="B341" i="7"/>
  <c r="C341" i="11"/>
  <c r="B349" i="9"/>
  <c r="C349" i="11"/>
  <c r="B349" i="8"/>
  <c r="C362" i="11"/>
  <c r="B362" i="9"/>
  <c r="B362" i="7"/>
  <c r="B409" i="11"/>
  <c r="L409" i="9"/>
  <c r="A431" i="9"/>
  <c r="A431" i="11"/>
  <c r="A431" i="7"/>
  <c r="A431" i="8"/>
  <c r="A440" i="11"/>
  <c r="A440" i="7"/>
  <c r="A440" i="9"/>
  <c r="C452" i="8"/>
  <c r="C452" i="7"/>
  <c r="B465" i="9"/>
  <c r="C465" i="11"/>
  <c r="B470" i="5"/>
  <c r="A474" i="9"/>
  <c r="B474" i="5"/>
  <c r="A474" i="7"/>
  <c r="A474" i="11"/>
  <c r="D482" i="11"/>
  <c r="C482" i="8"/>
  <c r="C482" i="9"/>
  <c r="A496" i="16"/>
  <c r="A496" i="20"/>
  <c r="A496" i="19"/>
  <c r="D525" i="11"/>
  <c r="C525" i="8"/>
  <c r="A538" i="7"/>
  <c r="A538" i="8"/>
  <c r="A538" i="11"/>
  <c r="A538" i="9"/>
  <c r="B538" i="5"/>
  <c r="B564" i="9"/>
  <c r="B564" i="7"/>
  <c r="C564" i="11"/>
  <c r="B564" i="8"/>
  <c r="D569" i="11"/>
  <c r="C569" i="9"/>
  <c r="C569" i="8"/>
  <c r="A591" i="9"/>
  <c r="A591" i="7"/>
  <c r="A591" i="11"/>
  <c r="B621" i="9"/>
  <c r="B621" i="8"/>
  <c r="C621" i="11"/>
  <c r="C651" i="16"/>
  <c r="F651" i="20"/>
  <c r="E651" i="19"/>
  <c r="A656" i="7"/>
  <c r="A656" i="11"/>
  <c r="A656" i="8"/>
  <c r="D673" i="11"/>
  <c r="C673" i="9"/>
  <c r="B678" i="8"/>
  <c r="C678" i="11"/>
  <c r="B678" i="7"/>
  <c r="B678" i="9"/>
  <c r="C682" i="11"/>
  <c r="B682" i="8"/>
  <c r="B682" i="7"/>
  <c r="B682" i="9"/>
  <c r="B700" i="11"/>
  <c r="L700" i="9"/>
  <c r="A704" i="11"/>
  <c r="A704" i="8"/>
  <c r="A704" i="9"/>
  <c r="D708" i="11"/>
  <c r="C708" i="9"/>
  <c r="C708" i="7"/>
  <c r="D712" i="11"/>
  <c r="C712" i="8"/>
  <c r="C712" i="7"/>
  <c r="B747" i="9"/>
  <c r="C747" i="11"/>
  <c r="B747" i="7"/>
  <c r="B801" i="16"/>
  <c r="E801" i="20"/>
  <c r="AM801" i="20" s="1"/>
  <c r="L810" i="9"/>
  <c r="B810" i="11"/>
  <c r="C33" i="7"/>
  <c r="D17" i="9"/>
  <c r="D161" i="9"/>
  <c r="D209" i="9"/>
  <c r="D327" i="9"/>
  <c r="D342" i="9"/>
  <c r="D390" i="9"/>
  <c r="B400" i="8"/>
  <c r="D536" i="9"/>
  <c r="A591" i="8"/>
  <c r="D600" i="9"/>
  <c r="I38" i="16"/>
  <c r="M38" i="16" s="1"/>
  <c r="G38" i="19"/>
  <c r="J38" i="19" s="1"/>
  <c r="I49" i="16"/>
  <c r="M49" i="16" s="1"/>
  <c r="G49" i="20"/>
  <c r="G49" i="19"/>
  <c r="J49" i="19" s="1"/>
  <c r="A60" i="16"/>
  <c r="A60" i="20"/>
  <c r="A60" i="19"/>
  <c r="A126" i="16"/>
  <c r="A126" i="20"/>
  <c r="A126" i="19"/>
  <c r="G131" i="20"/>
  <c r="I131" i="16"/>
  <c r="M131" i="16" s="1"/>
  <c r="G131" i="19"/>
  <c r="J131" i="19" s="1"/>
  <c r="G137" i="20"/>
  <c r="I137" i="16"/>
  <c r="M137" i="16" s="1"/>
  <c r="G137" i="19"/>
  <c r="J137" i="19" s="1"/>
  <c r="H148" i="20"/>
  <c r="H148" i="16"/>
  <c r="P148" i="16" s="1"/>
  <c r="G215" i="20"/>
  <c r="I215" i="16"/>
  <c r="M215" i="16" s="1"/>
  <c r="G215" i="19"/>
  <c r="J215" i="19" s="1"/>
  <c r="H219" i="16"/>
  <c r="P219" i="16" s="1"/>
  <c r="H219" i="20"/>
  <c r="F219" i="19"/>
  <c r="I225" i="16"/>
  <c r="M225" i="16" s="1"/>
  <c r="G225" i="20"/>
  <c r="G225" i="19"/>
  <c r="J225" i="19" s="1"/>
  <c r="I245" i="16"/>
  <c r="M245" i="16" s="1"/>
  <c r="G245" i="20"/>
  <c r="C251" i="16"/>
  <c r="F251" i="20"/>
  <c r="E251" i="19"/>
  <c r="I271" i="16"/>
  <c r="M271" i="16" s="1"/>
  <c r="G271" i="20"/>
  <c r="G271" i="19"/>
  <c r="J271" i="19" s="1"/>
  <c r="G282" i="20"/>
  <c r="I282" i="16"/>
  <c r="M282" i="16" s="1"/>
  <c r="G282" i="19"/>
  <c r="J282" i="19" s="1"/>
  <c r="I292" i="16"/>
  <c r="M292" i="16" s="1"/>
  <c r="G292" i="20"/>
  <c r="G292" i="19"/>
  <c r="J292" i="19" s="1"/>
  <c r="F345" i="20"/>
  <c r="C345" i="16"/>
  <c r="E345" i="19"/>
  <c r="I350" i="16"/>
  <c r="M350" i="16" s="1"/>
  <c r="G350" i="20"/>
  <c r="G350" i="19"/>
  <c r="J350" i="19" s="1"/>
  <c r="H448" i="16"/>
  <c r="P448" i="16" s="1"/>
  <c r="H448" i="20"/>
  <c r="F448" i="19"/>
  <c r="I480" i="16"/>
  <c r="M480" i="16" s="1"/>
  <c r="G480" i="20"/>
  <c r="G480" i="19"/>
  <c r="I508" i="16"/>
  <c r="M508" i="16" s="1"/>
  <c r="G508" i="20"/>
  <c r="G508" i="19"/>
  <c r="J508" i="19" s="1"/>
  <c r="I562" i="16"/>
  <c r="M562" i="16" s="1"/>
  <c r="G562" i="20"/>
  <c r="G562" i="19"/>
  <c r="J562" i="19" s="1"/>
  <c r="A602" i="16"/>
  <c r="A602" i="19"/>
  <c r="A602" i="20"/>
  <c r="C618" i="16"/>
  <c r="E618" i="19"/>
  <c r="F618" i="20"/>
  <c r="C634" i="16"/>
  <c r="F634" i="20"/>
  <c r="E634" i="19"/>
  <c r="I664" i="16"/>
  <c r="M664" i="16" s="1"/>
  <c r="G664" i="20"/>
  <c r="G664" i="19"/>
  <c r="J664" i="19" s="1"/>
  <c r="I669" i="16"/>
  <c r="M669" i="16" s="1"/>
  <c r="G669" i="19"/>
  <c r="J669" i="19" s="1"/>
  <c r="G669" i="20"/>
  <c r="B817" i="16"/>
  <c r="E817" i="20"/>
  <c r="AM817" i="20" s="1"/>
  <c r="C63" i="7"/>
  <c r="C63" i="8"/>
  <c r="C63" i="9"/>
  <c r="D108" i="11"/>
  <c r="C108" i="7"/>
  <c r="C108" i="8"/>
  <c r="C192" i="11"/>
  <c r="B192" i="9"/>
  <c r="B192" i="8"/>
  <c r="A218" i="11"/>
  <c r="A218" i="7"/>
  <c r="A218" i="8"/>
  <c r="B218" i="5"/>
  <c r="L349" i="9"/>
  <c r="B349" i="11"/>
  <c r="A383" i="9"/>
  <c r="A383" i="7"/>
  <c r="A383" i="8"/>
  <c r="D417" i="11"/>
  <c r="C417" i="9"/>
  <c r="C417" i="7"/>
  <c r="D430" i="11"/>
  <c r="C430" i="9"/>
  <c r="B435" i="9"/>
  <c r="C435" i="11"/>
  <c r="B435" i="8"/>
  <c r="D495" i="11"/>
  <c r="C495" i="8"/>
  <c r="C495" i="9"/>
  <c r="C520" i="8"/>
  <c r="C520" i="7"/>
  <c r="C569" i="11"/>
  <c r="B569" i="9"/>
  <c r="B569" i="8"/>
  <c r="C630" i="9"/>
  <c r="C630" i="8"/>
  <c r="D630" i="11"/>
  <c r="C630" i="7"/>
  <c r="B660" i="9"/>
  <c r="B660" i="8"/>
  <c r="C660" i="11"/>
  <c r="B660" i="7"/>
  <c r="B673" i="9"/>
  <c r="C673" i="11"/>
  <c r="B673" i="7"/>
  <c r="B673" i="8"/>
  <c r="C682" i="8"/>
  <c r="C682" i="9"/>
  <c r="D682" i="11"/>
  <c r="B708" i="9"/>
  <c r="C708" i="11"/>
  <c r="B708" i="7"/>
  <c r="C7" i="11"/>
  <c r="B7" i="9"/>
  <c r="L29" i="9"/>
  <c r="B29" i="11"/>
  <c r="A163" i="9"/>
  <c r="A163" i="11"/>
  <c r="A163" i="8"/>
  <c r="A163" i="7"/>
  <c r="B209" i="9"/>
  <c r="C209" i="11"/>
  <c r="B209" i="8"/>
  <c r="B209" i="7"/>
  <c r="A227" i="9"/>
  <c r="A227" i="11"/>
  <c r="A227" i="7"/>
  <c r="A227" i="8"/>
  <c r="B16" i="8"/>
  <c r="B16" i="9"/>
  <c r="B16" i="7"/>
  <c r="A86" i="11"/>
  <c r="A86" i="9"/>
  <c r="A86" i="7"/>
  <c r="A86" i="8"/>
  <c r="A113" i="9"/>
  <c r="A113" i="8"/>
  <c r="A113" i="11"/>
  <c r="A113" i="7"/>
  <c r="L189" i="9"/>
  <c r="B189" i="11"/>
  <c r="B197" i="9"/>
  <c r="B197" i="7"/>
  <c r="C197" i="11"/>
  <c r="B197" i="8"/>
  <c r="B239" i="9"/>
  <c r="C239" i="11"/>
  <c r="B274" i="5"/>
  <c r="A274" i="11"/>
  <c r="B286" i="8"/>
  <c r="B286" i="7"/>
  <c r="B286" i="9"/>
  <c r="C286" i="11"/>
  <c r="A291" i="9"/>
  <c r="A291" i="7"/>
  <c r="A291" i="11"/>
  <c r="A291" i="8"/>
  <c r="B303" i="9"/>
  <c r="C303" i="11"/>
  <c r="B303" i="7"/>
  <c r="B307" i="9"/>
  <c r="C307" i="11"/>
  <c r="B307" i="7"/>
  <c r="B307" i="8"/>
  <c r="D349" i="11"/>
  <c r="C349" i="9"/>
  <c r="B359" i="11"/>
  <c r="L359" i="9"/>
  <c r="A371" i="9"/>
  <c r="A371" i="7"/>
  <c r="A371" i="11"/>
  <c r="B383" i="9"/>
  <c r="C383" i="11"/>
  <c r="B383" i="8"/>
  <c r="B383" i="7"/>
  <c r="C396" i="11"/>
  <c r="B396" i="7"/>
  <c r="B396" i="8"/>
  <c r="D404" i="11"/>
  <c r="C404" i="7"/>
  <c r="C404" i="9"/>
  <c r="C404" i="8"/>
  <c r="D426" i="11"/>
  <c r="C426" i="7"/>
  <c r="C426" i="9"/>
  <c r="C426" i="8"/>
  <c r="B431" i="5"/>
  <c r="D435" i="11"/>
  <c r="C435" i="8"/>
  <c r="B440" i="5"/>
  <c r="B461" i="9"/>
  <c r="C461" i="11"/>
  <c r="B461" i="8"/>
  <c r="B470" i="8"/>
  <c r="C470" i="11"/>
  <c r="B470" i="7"/>
  <c r="C474" i="11"/>
  <c r="B474" i="9"/>
  <c r="B496" i="5"/>
  <c r="D500" i="11"/>
  <c r="C500" i="9"/>
  <c r="C500" i="7"/>
  <c r="C500" i="8"/>
  <c r="B504" i="7"/>
  <c r="C504" i="11"/>
  <c r="B504" i="9"/>
  <c r="D516" i="11"/>
  <c r="C516" i="8"/>
  <c r="L521" i="9"/>
  <c r="B521" i="11"/>
  <c r="A526" i="11"/>
  <c r="A526" i="9"/>
  <c r="A526" i="8"/>
  <c r="A534" i="8"/>
  <c r="A534" i="9"/>
  <c r="A534" i="7"/>
  <c r="A534" i="11"/>
  <c r="B534" i="5"/>
  <c r="A557" i="11"/>
  <c r="A557" i="9"/>
  <c r="A557" i="8"/>
  <c r="A561" i="9"/>
  <c r="A561" i="8"/>
  <c r="A561" i="7"/>
  <c r="A561" i="11"/>
  <c r="B561" i="5"/>
  <c r="B591" i="5"/>
  <c r="D625" i="11"/>
  <c r="C625" i="9"/>
  <c r="C625" i="7"/>
  <c r="C625" i="8"/>
  <c r="B635" i="9"/>
  <c r="C635" i="11"/>
  <c r="B635" i="8"/>
  <c r="A640" i="11"/>
  <c r="A640" i="8"/>
  <c r="A640" i="9"/>
  <c r="B656" i="5"/>
  <c r="A674" i="8"/>
  <c r="A674" i="11"/>
  <c r="D687" i="11"/>
  <c r="C687" i="8"/>
  <c r="C687" i="9"/>
  <c r="B704" i="5"/>
  <c r="A713" i="9"/>
  <c r="A713" i="11"/>
  <c r="A713" i="7"/>
  <c r="B713" i="5"/>
  <c r="A713" i="8"/>
  <c r="D734" i="11"/>
  <c r="C734" i="9"/>
  <c r="C734" i="8"/>
  <c r="C734" i="7"/>
  <c r="B739" i="11"/>
  <c r="L739" i="9"/>
  <c r="A743" i="11"/>
  <c r="A743" i="9"/>
  <c r="A743" i="7"/>
  <c r="A761" i="11"/>
  <c r="A761" i="9"/>
  <c r="A761" i="7"/>
  <c r="A761" i="8"/>
  <c r="C782" i="9"/>
  <c r="C782" i="7"/>
  <c r="D782" i="11"/>
  <c r="C782" i="8"/>
  <c r="B787" i="9"/>
  <c r="C787" i="11"/>
  <c r="B787" i="7"/>
  <c r="D796" i="11"/>
  <c r="C796" i="9"/>
  <c r="D805" i="11"/>
  <c r="C805" i="8"/>
  <c r="D819" i="11"/>
  <c r="C819" i="9"/>
  <c r="C819" i="8"/>
  <c r="B435" i="7"/>
  <c r="D5" i="9"/>
  <c r="J5" i="8"/>
  <c r="I5" i="8"/>
  <c r="K5" i="9" s="1"/>
  <c r="D76" i="9"/>
  <c r="D199" i="9"/>
  <c r="D277" i="9"/>
  <c r="D400" i="9"/>
  <c r="H410" i="16"/>
  <c r="P410" i="16" s="1"/>
  <c r="H410" i="20"/>
  <c r="F410" i="19"/>
  <c r="D458" i="9"/>
  <c r="D468" i="9"/>
  <c r="D542" i="9"/>
  <c r="H617" i="16"/>
  <c r="P617" i="16" s="1"/>
  <c r="H617" i="20"/>
  <c r="F617" i="19"/>
  <c r="B4" i="20"/>
  <c r="B4" i="19"/>
  <c r="I9" i="16"/>
  <c r="M9" i="16" s="1"/>
  <c r="G9" i="20"/>
  <c r="G9" i="19"/>
  <c r="J9" i="19" s="1"/>
  <c r="N19" i="9"/>
  <c r="C14" i="1" s="1"/>
  <c r="C29" i="9"/>
  <c r="F64" i="20"/>
  <c r="C64" i="16"/>
  <c r="E64" i="19"/>
  <c r="H70" i="16"/>
  <c r="P70" i="16" s="1"/>
  <c r="H70" i="20"/>
  <c r="F70" i="19"/>
  <c r="I85" i="16"/>
  <c r="M85" i="16" s="1"/>
  <c r="G85" i="20"/>
  <c r="G85" i="19"/>
  <c r="J85" i="19" s="1"/>
  <c r="I219" i="16"/>
  <c r="M219" i="16" s="1"/>
  <c r="G219" i="20"/>
  <c r="G219" i="19"/>
  <c r="J219" i="19" s="1"/>
  <c r="H330" i="16"/>
  <c r="P330" i="16" s="1"/>
  <c r="H330" i="20"/>
  <c r="F330" i="19"/>
  <c r="C341" i="16"/>
  <c r="F341" i="20"/>
  <c r="E341" i="19"/>
  <c r="I365" i="16"/>
  <c r="M365" i="16" s="1"/>
  <c r="G365" i="20"/>
  <c r="G365" i="19"/>
  <c r="J365" i="19" s="1"/>
  <c r="C391" i="16"/>
  <c r="F391" i="20"/>
  <c r="E391" i="19"/>
  <c r="A396" i="16"/>
  <c r="A396" i="20"/>
  <c r="A396" i="19"/>
  <c r="I422" i="16"/>
  <c r="M422" i="16" s="1"/>
  <c r="G422" i="20"/>
  <c r="G422" i="19"/>
  <c r="J422" i="19" s="1"/>
  <c r="B470" i="9"/>
  <c r="C491" i="16"/>
  <c r="F491" i="20"/>
  <c r="E491" i="19"/>
  <c r="I546" i="16"/>
  <c r="M546" i="16" s="1"/>
  <c r="G546" i="19"/>
  <c r="J546" i="19" s="1"/>
  <c r="G546" i="20"/>
  <c r="I618" i="16"/>
  <c r="M618" i="16" s="1"/>
  <c r="G618" i="19"/>
  <c r="J618" i="19" s="1"/>
  <c r="G618" i="20"/>
  <c r="B629" i="20"/>
  <c r="AL629" i="20" s="1"/>
  <c r="B629" i="19"/>
  <c r="H693" i="16"/>
  <c r="P693" i="16" s="1"/>
  <c r="H693" i="20"/>
  <c r="F693" i="19"/>
  <c r="I722" i="16"/>
  <c r="M722" i="16" s="1"/>
  <c r="G722" i="20"/>
  <c r="G722" i="19"/>
  <c r="J722" i="19" s="1"/>
  <c r="A744" i="16"/>
  <c r="A744" i="20"/>
  <c r="A744" i="19"/>
  <c r="I778" i="16"/>
  <c r="M778" i="16" s="1"/>
  <c r="G778" i="20"/>
  <c r="G778" i="19"/>
  <c r="J778" i="19" s="1"/>
  <c r="W54" i="20"/>
  <c r="AQ54" i="10"/>
  <c r="L54" i="10"/>
  <c r="D351" i="11"/>
  <c r="F245" i="19"/>
  <c r="I497" i="19"/>
  <c r="D72" i="11"/>
  <c r="C72" i="8"/>
  <c r="D24" i="11"/>
  <c r="C24" i="9"/>
  <c r="C24" i="8"/>
  <c r="C24" i="7"/>
  <c r="A51" i="9"/>
  <c r="A51" i="7"/>
  <c r="A51" i="11"/>
  <c r="A51" i="8"/>
  <c r="C64" i="11"/>
  <c r="B64" i="8"/>
  <c r="L73" i="9"/>
  <c r="B73" i="11"/>
  <c r="B86" i="5"/>
  <c r="C94" i="11"/>
  <c r="B94" i="7"/>
  <c r="B94" i="9"/>
  <c r="B99" i="9"/>
  <c r="C99" i="11"/>
  <c r="B99" i="8"/>
  <c r="B99" i="7"/>
  <c r="B113" i="5"/>
  <c r="B121" i="5"/>
  <c r="A151" i="9"/>
  <c r="A151" i="7"/>
  <c r="A151" i="11"/>
  <c r="B184" i="7"/>
  <c r="B184" i="9"/>
  <c r="C184" i="11"/>
  <c r="C197" i="9"/>
  <c r="C197" i="7"/>
  <c r="D197" i="11"/>
  <c r="C197" i="8"/>
  <c r="B214" i="20"/>
  <c r="AL214" i="20" s="1"/>
  <c r="B214" i="19"/>
  <c r="B231" i="9"/>
  <c r="B231" i="7"/>
  <c r="C231" i="11"/>
  <c r="B231" i="8"/>
  <c r="B235" i="11"/>
  <c r="L235" i="9"/>
  <c r="D239" i="11"/>
  <c r="C239" i="9"/>
  <c r="A261" i="9"/>
  <c r="A261" i="8"/>
  <c r="A261" i="11"/>
  <c r="A261" i="7"/>
  <c r="L270" i="9"/>
  <c r="B270" i="11"/>
  <c r="C274" i="11"/>
  <c r="B274" i="9"/>
  <c r="B274" i="7"/>
  <c r="C286" i="8"/>
  <c r="C286" i="7"/>
  <c r="C286" i="9"/>
  <c r="D286" i="11"/>
  <c r="B291" i="5"/>
  <c r="D299" i="11"/>
  <c r="C299" i="9"/>
  <c r="C299" i="7"/>
  <c r="D324" i="11"/>
  <c r="C324" i="7"/>
  <c r="C324" i="9"/>
  <c r="C324" i="8"/>
  <c r="B354" i="8"/>
  <c r="B354" i="9"/>
  <c r="B354" i="7"/>
  <c r="A363" i="9"/>
  <c r="A363" i="8"/>
  <c r="A363" i="7"/>
  <c r="A363" i="11"/>
  <c r="A367" i="9"/>
  <c r="A367" i="7"/>
  <c r="A367" i="11"/>
  <c r="B371" i="5"/>
  <c r="B375" i="9"/>
  <c r="C375" i="11"/>
  <c r="B375" i="7"/>
  <c r="D383" i="11"/>
  <c r="C383" i="8"/>
  <c r="C383" i="9"/>
  <c r="C383" i="7"/>
  <c r="D396" i="11"/>
  <c r="C396" i="7"/>
  <c r="C396" i="8"/>
  <c r="C413" i="9"/>
  <c r="D413" i="11"/>
  <c r="C413" i="8"/>
  <c r="A427" i="11"/>
  <c r="A427" i="9"/>
  <c r="A427" i="8"/>
  <c r="A427" i="7"/>
  <c r="B431" i="9"/>
  <c r="B431" i="7"/>
  <c r="B431" i="8"/>
  <c r="A436" i="9"/>
  <c r="A436" i="7"/>
  <c r="C440" i="11"/>
  <c r="B440" i="8"/>
  <c r="B440" i="9"/>
  <c r="A457" i="9"/>
  <c r="A457" i="7"/>
  <c r="A457" i="8"/>
  <c r="A457" i="11"/>
  <c r="D465" i="11"/>
  <c r="C465" i="9"/>
  <c r="D470" i="11"/>
  <c r="C470" i="7"/>
  <c r="C470" i="8"/>
  <c r="B496" i="9"/>
  <c r="C496" i="11"/>
  <c r="C504" i="16"/>
  <c r="F504" i="20"/>
  <c r="E504" i="19"/>
  <c r="B521" i="9"/>
  <c r="C521" i="11"/>
  <c r="B521" i="8"/>
  <c r="B521" i="7"/>
  <c r="B526" i="5"/>
  <c r="B534" i="9"/>
  <c r="B534" i="7"/>
  <c r="C534" i="11"/>
  <c r="B534" i="8"/>
  <c r="B539" i="11"/>
  <c r="L539" i="9"/>
  <c r="C543" i="8"/>
  <c r="D543" i="11"/>
  <c r="C543" i="7"/>
  <c r="C548" i="11"/>
  <c r="B548" i="9"/>
  <c r="B548" i="8"/>
  <c r="B548" i="7"/>
  <c r="C552" i="11"/>
  <c r="B552" i="8"/>
  <c r="B552" i="7"/>
  <c r="B552" i="9"/>
  <c r="B557" i="5"/>
  <c r="B561" i="9"/>
  <c r="B561" i="8"/>
  <c r="C561" i="11"/>
  <c r="B565" i="9"/>
  <c r="B565" i="7"/>
  <c r="B565" i="8"/>
  <c r="C565" i="11"/>
  <c r="A587" i="9"/>
  <c r="A587" i="7"/>
  <c r="A587" i="11"/>
  <c r="B591" i="9"/>
  <c r="C591" i="11"/>
  <c r="B591" i="7"/>
  <c r="B595" i="9"/>
  <c r="B595" i="8"/>
  <c r="B595" i="7"/>
  <c r="C600" i="11"/>
  <c r="B600" i="9"/>
  <c r="B600" i="7"/>
  <c r="B604" i="9"/>
  <c r="B604" i="7"/>
  <c r="C604" i="11"/>
  <c r="A626" i="8"/>
  <c r="A626" i="9"/>
  <c r="A626" i="7"/>
  <c r="A626" i="11"/>
  <c r="B626" i="5"/>
  <c r="B640" i="5"/>
  <c r="A644" i="8"/>
  <c r="A644" i="9"/>
  <c r="A648" i="9"/>
  <c r="A648" i="7"/>
  <c r="B648" i="5"/>
  <c r="A648" i="11"/>
  <c r="C656" i="11"/>
  <c r="B656" i="8"/>
  <c r="B656" i="7"/>
  <c r="B665" i="9"/>
  <c r="B665" i="8"/>
  <c r="C665" i="11"/>
  <c r="A670" i="8"/>
  <c r="A670" i="9"/>
  <c r="A670" i="7"/>
  <c r="B670" i="5"/>
  <c r="B674" i="5"/>
  <c r="B709" i="11"/>
  <c r="L709" i="9"/>
  <c r="B713" i="9"/>
  <c r="C713" i="11"/>
  <c r="B713" i="7"/>
  <c r="B713" i="8"/>
  <c r="B743" i="5"/>
  <c r="B761" i="5"/>
  <c r="B765" i="9"/>
  <c r="B765" i="7"/>
  <c r="B765" i="8"/>
  <c r="A770" i="11"/>
  <c r="A770" i="8"/>
  <c r="B770" i="5"/>
  <c r="A770" i="7"/>
  <c r="B774" i="7"/>
  <c r="C774" i="11"/>
  <c r="A806" i="11"/>
  <c r="A806" i="9"/>
  <c r="A806" i="8"/>
  <c r="B815" i="9"/>
  <c r="B815" i="8"/>
  <c r="C815" i="11"/>
  <c r="A820" i="11"/>
  <c r="A820" i="9"/>
  <c r="B64" i="7"/>
  <c r="B260" i="7"/>
  <c r="C435" i="7"/>
  <c r="C687" i="7"/>
  <c r="D50" i="9"/>
  <c r="H54" i="20"/>
  <c r="H54" i="16"/>
  <c r="P54" i="16" s="1"/>
  <c r="F54" i="19"/>
  <c r="D95" i="9"/>
  <c r="D104" i="9"/>
  <c r="B239" i="8"/>
  <c r="B244" i="8"/>
  <c r="C299" i="8"/>
  <c r="D322" i="9"/>
  <c r="H354" i="16"/>
  <c r="P354" i="16" s="1"/>
  <c r="H354" i="20"/>
  <c r="F354" i="19"/>
  <c r="D493" i="9"/>
  <c r="H508" i="16"/>
  <c r="P508" i="16" s="1"/>
  <c r="H508" i="20"/>
  <c r="F508" i="19"/>
  <c r="D576" i="9"/>
  <c r="D581" i="9"/>
  <c r="D705" i="9"/>
  <c r="I70" i="16"/>
  <c r="M70" i="16" s="1"/>
  <c r="G70" i="20"/>
  <c r="G70" i="19"/>
  <c r="J70" i="19" s="1"/>
  <c r="A160" i="16"/>
  <c r="A160" i="20"/>
  <c r="A160" i="19"/>
  <c r="I210" i="16"/>
  <c r="M210" i="16" s="1"/>
  <c r="G210" i="19"/>
  <c r="J210" i="19" s="1"/>
  <c r="G210" i="20"/>
  <c r="B236" i="16"/>
  <c r="E236" i="20"/>
  <c r="AM236" i="20" s="1"/>
  <c r="C241" i="16"/>
  <c r="F241" i="20"/>
  <c r="E241" i="19"/>
  <c r="I277" i="16"/>
  <c r="M277" i="16" s="1"/>
  <c r="G277" i="20"/>
  <c r="G277" i="19"/>
  <c r="J277" i="19" s="1"/>
  <c r="H300" i="16"/>
  <c r="P300" i="16" s="1"/>
  <c r="H300" i="20"/>
  <c r="F300" i="19"/>
  <c r="C315" i="16"/>
  <c r="F315" i="20"/>
  <c r="E315" i="19"/>
  <c r="I330" i="16"/>
  <c r="M330" i="16" s="1"/>
  <c r="G330" i="20"/>
  <c r="G330" i="19"/>
  <c r="J330" i="19" s="1"/>
  <c r="H341" i="16"/>
  <c r="P341" i="16" s="1"/>
  <c r="H341" i="20"/>
  <c r="F341" i="19"/>
  <c r="C376" i="16"/>
  <c r="E376" i="19"/>
  <c r="F376" i="20"/>
  <c r="C381" i="16"/>
  <c r="F381" i="20"/>
  <c r="E381" i="19"/>
  <c r="H391" i="16"/>
  <c r="P391" i="16" s="1"/>
  <c r="H391" i="20"/>
  <c r="F391" i="19"/>
  <c r="B396" i="9"/>
  <c r="C470" i="9"/>
  <c r="I502" i="16"/>
  <c r="M502" i="16" s="1"/>
  <c r="G502" i="20"/>
  <c r="G502" i="19"/>
  <c r="J502" i="19" s="1"/>
  <c r="C525" i="9"/>
  <c r="A558" i="16"/>
  <c r="A558" i="20"/>
  <c r="A558" i="19"/>
  <c r="A574" i="16"/>
  <c r="A574" i="20"/>
  <c r="A574" i="19"/>
  <c r="C591" i="16"/>
  <c r="F591" i="20"/>
  <c r="E591" i="19"/>
  <c r="I613" i="16"/>
  <c r="M613" i="16" s="1"/>
  <c r="G613" i="20"/>
  <c r="G613" i="19"/>
  <c r="J613" i="19" s="1"/>
  <c r="A630" i="16"/>
  <c r="A630" i="19"/>
  <c r="A630" i="20"/>
  <c r="I640" i="16"/>
  <c r="M640" i="16" s="1"/>
  <c r="G640" i="20"/>
  <c r="G640" i="19"/>
  <c r="J640" i="19" s="1"/>
  <c r="I658" i="16"/>
  <c r="M658" i="16" s="1"/>
  <c r="G658" i="20"/>
  <c r="G658" i="19"/>
  <c r="J658" i="19" s="1"/>
  <c r="M675" i="20"/>
  <c r="J675" i="20"/>
  <c r="I716" i="16"/>
  <c r="M716" i="16" s="1"/>
  <c r="G716" i="20"/>
  <c r="G716" i="19"/>
  <c r="J716" i="19" s="1"/>
  <c r="B744" i="16"/>
  <c r="E744" i="20"/>
  <c r="AM744" i="20" s="1"/>
  <c r="I804" i="16"/>
  <c r="M804" i="16" s="1"/>
  <c r="G804" i="20"/>
  <c r="G804" i="19"/>
  <c r="J804" i="19" s="1"/>
  <c r="G245" i="19"/>
  <c r="J245" i="19" s="1"/>
  <c r="G38" i="20"/>
  <c r="D98" i="11"/>
  <c r="C98" i="9"/>
  <c r="C98" i="7"/>
  <c r="C112" i="11"/>
  <c r="B112" i="9"/>
  <c r="B112" i="8"/>
  <c r="B112" i="7"/>
  <c r="D188" i="11"/>
  <c r="C188" i="9"/>
  <c r="C188" i="8"/>
  <c r="C188" i="7"/>
  <c r="C294" i="9"/>
  <c r="D294" i="11"/>
  <c r="C294" i="8"/>
  <c r="A333" i="9"/>
  <c r="A333" i="7"/>
  <c r="A333" i="8"/>
  <c r="A333" i="11"/>
  <c r="D374" i="11"/>
  <c r="C374" i="8"/>
  <c r="C374" i="7"/>
  <c r="C374" i="9"/>
  <c r="A413" i="9"/>
  <c r="A413" i="7"/>
  <c r="A413" i="11"/>
  <c r="A413" i="8"/>
  <c r="A461" i="9"/>
  <c r="A461" i="8"/>
  <c r="A461" i="11"/>
  <c r="A470" i="8"/>
  <c r="A470" i="11"/>
  <c r="A470" i="7"/>
  <c r="A504" i="11"/>
  <c r="A504" i="9"/>
  <c r="A504" i="7"/>
  <c r="A530" i="11"/>
  <c r="A530" i="8"/>
  <c r="A530" i="9"/>
  <c r="A530" i="7"/>
  <c r="C542" i="11"/>
  <c r="B542" i="8"/>
  <c r="B542" i="7"/>
  <c r="D556" i="11"/>
  <c r="C556" i="8"/>
  <c r="C556" i="9"/>
  <c r="A613" i="9"/>
  <c r="A613" i="7"/>
  <c r="A613" i="8"/>
  <c r="A613" i="11"/>
  <c r="C655" i="9"/>
  <c r="D655" i="11"/>
  <c r="C655" i="7"/>
  <c r="B687" i="11"/>
  <c r="L687" i="9"/>
  <c r="A696" i="8"/>
  <c r="A696" i="11"/>
  <c r="B696" i="5"/>
  <c r="B712" i="8"/>
  <c r="C712" i="11"/>
  <c r="B712" i="7"/>
  <c r="C738" i="7"/>
  <c r="D738" i="11"/>
  <c r="B742" i="8"/>
  <c r="B742" i="9"/>
  <c r="B742" i="7"/>
  <c r="D764" i="11"/>
  <c r="C764" i="7"/>
  <c r="C764" i="8"/>
  <c r="C764" i="9"/>
  <c r="D786" i="11"/>
  <c r="C786" i="9"/>
  <c r="C786" i="7"/>
  <c r="C786" i="8"/>
  <c r="C294" i="7"/>
  <c r="C133" i="16"/>
  <c r="F133" i="20"/>
  <c r="D154" i="11"/>
  <c r="C154" i="9"/>
  <c r="C218" i="11"/>
  <c r="B218" i="8"/>
  <c r="B218" i="9"/>
  <c r="A223" i="9"/>
  <c r="A223" i="11"/>
  <c r="A223" i="8"/>
  <c r="C234" i="7"/>
  <c r="C234" i="9"/>
  <c r="D234" i="11"/>
  <c r="D11" i="11"/>
  <c r="C11" i="9"/>
  <c r="C11" i="8"/>
  <c r="C42" i="11"/>
  <c r="B42" i="9"/>
  <c r="A77" i="9"/>
  <c r="A77" i="7"/>
  <c r="A77" i="11"/>
  <c r="A77" i="8"/>
  <c r="B81" i="9"/>
  <c r="B81" i="8"/>
  <c r="C81" i="11"/>
  <c r="D129" i="11"/>
  <c r="C129" i="7"/>
  <c r="C129" i="9"/>
  <c r="C129" i="8"/>
  <c r="C7" i="9"/>
  <c r="D7" i="11"/>
  <c r="C7" i="7"/>
  <c r="A21" i="11"/>
  <c r="A21" i="8"/>
  <c r="A21" i="9"/>
  <c r="A43" i="9"/>
  <c r="A43" i="11"/>
  <c r="A43" i="7"/>
  <c r="A43" i="8"/>
  <c r="L51" i="9"/>
  <c r="B51" i="11"/>
  <c r="D99" i="11"/>
  <c r="C99" i="7"/>
  <c r="C99" i="8"/>
  <c r="C99" i="9"/>
  <c r="L139" i="9"/>
  <c r="B139" i="11"/>
  <c r="L151" i="9"/>
  <c r="B151" i="11"/>
  <c r="D163" i="11"/>
  <c r="C163" i="8"/>
  <c r="C163" i="7"/>
  <c r="C180" i="8"/>
  <c r="C180" i="7"/>
  <c r="C180" i="9"/>
  <c r="D180" i="11"/>
  <c r="A257" i="9"/>
  <c r="A257" i="11"/>
  <c r="A257" i="7"/>
  <c r="B270" i="8"/>
  <c r="B270" i="9"/>
  <c r="C270" i="11"/>
  <c r="B270" i="7"/>
  <c r="D282" i="11"/>
  <c r="C282" i="8"/>
  <c r="A300" i="7"/>
  <c r="A300" i="11"/>
  <c r="A300" i="9"/>
  <c r="B363" i="20"/>
  <c r="AL363" i="20" s="1"/>
  <c r="B363" i="19"/>
  <c r="B371" i="9"/>
  <c r="B371" i="7"/>
  <c r="B371" i="8"/>
  <c r="A397" i="9"/>
  <c r="A397" i="8"/>
  <c r="A397" i="11"/>
  <c r="A397" i="7"/>
  <c r="C440" i="7"/>
  <c r="D440" i="11"/>
  <c r="C440" i="9"/>
  <c r="A466" i="11"/>
  <c r="A466" i="8"/>
  <c r="D534" i="11"/>
  <c r="C534" i="8"/>
  <c r="C534" i="7"/>
  <c r="C534" i="9"/>
  <c r="C539" i="11"/>
  <c r="B539" i="9"/>
  <c r="B539" i="8"/>
  <c r="C548" i="9"/>
  <c r="D548" i="11"/>
  <c r="C548" i="8"/>
  <c r="C548" i="7"/>
  <c r="D552" i="11"/>
  <c r="C552" i="8"/>
  <c r="C552" i="7"/>
  <c r="C552" i="9"/>
  <c r="B570" i="8"/>
  <c r="B570" i="9"/>
  <c r="C570" i="11"/>
  <c r="C574" i="9"/>
  <c r="D574" i="11"/>
  <c r="C574" i="7"/>
  <c r="C574" i="8"/>
  <c r="B579" i="11"/>
  <c r="L579" i="9"/>
  <c r="A583" i="9"/>
  <c r="A583" i="7"/>
  <c r="A583" i="8"/>
  <c r="A583" i="11"/>
  <c r="L587" i="9"/>
  <c r="B587" i="11"/>
  <c r="D600" i="11"/>
  <c r="C600" i="9"/>
  <c r="B631" i="9"/>
  <c r="B631" i="7"/>
  <c r="C631" i="11"/>
  <c r="B631" i="8"/>
  <c r="C635" i="8"/>
  <c r="C635" i="9"/>
  <c r="D635" i="11"/>
  <c r="L644" i="9"/>
  <c r="B644" i="11"/>
  <c r="B648" i="9"/>
  <c r="B648" i="7"/>
  <c r="C648" i="11"/>
  <c r="B648" i="8"/>
  <c r="D656" i="11"/>
  <c r="C656" i="7"/>
  <c r="D683" i="11"/>
  <c r="C683" i="9"/>
  <c r="C683" i="8"/>
  <c r="B688" i="8"/>
  <c r="C688" i="11"/>
  <c r="B688" i="9"/>
  <c r="C704" i="7"/>
  <c r="C704" i="8"/>
  <c r="C704" i="9"/>
  <c r="C709" i="11"/>
  <c r="B709" i="9"/>
  <c r="B709" i="7"/>
  <c r="C722" i="11"/>
  <c r="B722" i="7"/>
  <c r="B722" i="9"/>
  <c r="A731" i="9"/>
  <c r="A731" i="7"/>
  <c r="A731" i="8"/>
  <c r="A731" i="11"/>
  <c r="B743" i="9"/>
  <c r="C743" i="11"/>
  <c r="B743" i="7"/>
  <c r="C752" i="11"/>
  <c r="B752" i="7"/>
  <c r="B752" i="9"/>
  <c r="B761" i="9"/>
  <c r="C761" i="11"/>
  <c r="B761" i="8"/>
  <c r="B761" i="7"/>
  <c r="C770" i="11"/>
  <c r="B770" i="9"/>
  <c r="B770" i="7"/>
  <c r="C779" i="11"/>
  <c r="B779" i="9"/>
  <c r="B779" i="8"/>
  <c r="B783" i="9"/>
  <c r="B783" i="8"/>
  <c r="D787" i="11"/>
  <c r="C787" i="7"/>
  <c r="B806" i="11"/>
  <c r="L806" i="9"/>
  <c r="B7" i="7"/>
  <c r="B81" i="7"/>
  <c r="C154" i="7"/>
  <c r="C260" i="7"/>
  <c r="C495" i="7"/>
  <c r="B621" i="7"/>
  <c r="M82" i="19"/>
  <c r="I82" i="19"/>
  <c r="D91" i="9"/>
  <c r="D128" i="9"/>
  <c r="D162" i="9"/>
  <c r="H234" i="16"/>
  <c r="P234" i="16" s="1"/>
  <c r="H234" i="20"/>
  <c r="F234" i="19"/>
  <c r="C239" i="8"/>
  <c r="H254" i="16"/>
  <c r="P254" i="16" s="1"/>
  <c r="H254" i="20"/>
  <c r="F254" i="19"/>
  <c r="D380" i="9"/>
  <c r="A504" i="8"/>
  <c r="D659" i="9"/>
  <c r="D694" i="9"/>
  <c r="D808" i="9"/>
  <c r="I29" i="16"/>
  <c r="M29" i="16" s="1"/>
  <c r="G29" i="20"/>
  <c r="G29" i="19"/>
  <c r="J29" i="19" s="1"/>
  <c r="A50" i="16"/>
  <c r="A50" i="20"/>
  <c r="A50" i="19"/>
  <c r="H60" i="16"/>
  <c r="P60" i="16" s="1"/>
  <c r="H60" i="20"/>
  <c r="F60" i="19"/>
  <c r="I111" i="16"/>
  <c r="M111" i="16" s="1"/>
  <c r="G111" i="20"/>
  <c r="G111" i="19"/>
  <c r="J111" i="19" s="1"/>
  <c r="I127" i="16"/>
  <c r="M127" i="16" s="1"/>
  <c r="G127" i="20"/>
  <c r="G127" i="19"/>
  <c r="J127" i="19" s="1"/>
  <c r="B160" i="16"/>
  <c r="E160" i="20"/>
  <c r="AM160" i="20" s="1"/>
  <c r="A164" i="16"/>
  <c r="A164" i="20"/>
  <c r="A164" i="19"/>
  <c r="C190" i="16"/>
  <c r="F190" i="20"/>
  <c r="E190" i="19"/>
  <c r="H226" i="16"/>
  <c r="P226" i="16" s="1"/>
  <c r="H226" i="20"/>
  <c r="F226" i="19"/>
  <c r="H288" i="16"/>
  <c r="P288" i="16" s="1"/>
  <c r="H288" i="20"/>
  <c r="F288" i="19"/>
  <c r="I300" i="16"/>
  <c r="M300" i="16" s="1"/>
  <c r="G300" i="20"/>
  <c r="G300" i="19"/>
  <c r="J300" i="19" s="1"/>
  <c r="G381" i="20"/>
  <c r="I381" i="16"/>
  <c r="M381" i="16" s="1"/>
  <c r="I391" i="16"/>
  <c r="M391" i="16" s="1"/>
  <c r="G391" i="20"/>
  <c r="G391" i="19"/>
  <c r="J391" i="19" s="1"/>
  <c r="C396" i="9"/>
  <c r="I413" i="16"/>
  <c r="M413" i="16" s="1"/>
  <c r="G413" i="20"/>
  <c r="G413" i="19"/>
  <c r="J413" i="19" s="1"/>
  <c r="L427" i="9"/>
  <c r="G439" i="20"/>
  <c r="I439" i="16"/>
  <c r="M439" i="16" s="1"/>
  <c r="G439" i="19"/>
  <c r="J439" i="19" s="1"/>
  <c r="H470" i="16"/>
  <c r="P470" i="16" s="1"/>
  <c r="F470" i="19"/>
  <c r="H470" i="20"/>
  <c r="B558" i="16"/>
  <c r="E558" i="20"/>
  <c r="AM558" i="20" s="1"/>
  <c r="D591" i="9"/>
  <c r="I597" i="16"/>
  <c r="M597" i="16" s="1"/>
  <c r="G597" i="20"/>
  <c r="G597" i="19"/>
  <c r="J597" i="19" s="1"/>
  <c r="I602" i="16"/>
  <c r="M602" i="16" s="1"/>
  <c r="G602" i="20"/>
  <c r="G602" i="19"/>
  <c r="J602" i="19" s="1"/>
  <c r="I624" i="16"/>
  <c r="M624" i="16" s="1"/>
  <c r="G624" i="20"/>
  <c r="G624" i="19"/>
  <c r="J624" i="19" s="1"/>
  <c r="B630" i="16"/>
  <c r="E630" i="20"/>
  <c r="AM630" i="20" s="1"/>
  <c r="A740" i="16"/>
  <c r="A740" i="20"/>
  <c r="I756" i="16"/>
  <c r="M756" i="16" s="1"/>
  <c r="G756" i="19"/>
  <c r="J756" i="19" s="1"/>
  <c r="G756" i="20"/>
  <c r="B774" i="9"/>
  <c r="A790" i="16"/>
  <c r="A790" i="20"/>
  <c r="A790" i="19"/>
  <c r="D33" i="11"/>
  <c r="B214" i="11"/>
  <c r="A383" i="11"/>
  <c r="D704" i="11"/>
  <c r="A24" i="11"/>
  <c r="A24" i="7"/>
  <c r="A24" i="9"/>
  <c r="L59" i="9"/>
  <c r="B59" i="11"/>
  <c r="C103" i="8"/>
  <c r="C103" i="9"/>
  <c r="C183" i="8"/>
  <c r="C183" i="7"/>
  <c r="D183" i="11"/>
  <c r="A197" i="9"/>
  <c r="A197" i="11"/>
  <c r="A197" i="7"/>
  <c r="B213" i="9"/>
  <c r="C213" i="11"/>
  <c r="B213" i="8"/>
  <c r="C387" i="9"/>
  <c r="D387" i="11"/>
  <c r="C456" i="11"/>
  <c r="B456" i="7"/>
  <c r="B456" i="9"/>
  <c r="A508" i="7"/>
  <c r="B508" i="5"/>
  <c r="A508" i="9"/>
  <c r="A508" i="8"/>
  <c r="A508" i="11"/>
  <c r="C586" i="11"/>
  <c r="B586" i="7"/>
  <c r="B586" i="8"/>
  <c r="B586" i="9"/>
  <c r="D594" i="11"/>
  <c r="C594" i="7"/>
  <c r="A617" i="9"/>
  <c r="A617" i="8"/>
  <c r="A617" i="11"/>
  <c r="A617" i="7"/>
  <c r="B625" i="9"/>
  <c r="C625" i="11"/>
  <c r="B625" i="7"/>
  <c r="B625" i="8"/>
  <c r="A678" i="7"/>
  <c r="B678" i="5"/>
  <c r="A678" i="8"/>
  <c r="A678" i="11"/>
  <c r="A678" i="9"/>
  <c r="A3" i="11"/>
  <c r="A3" i="9"/>
  <c r="A3" i="8"/>
  <c r="C11" i="11"/>
  <c r="B11" i="9"/>
  <c r="B11" i="8"/>
  <c r="C33" i="11"/>
  <c r="B33" i="9"/>
  <c r="B33" i="7"/>
  <c r="D54" i="11"/>
  <c r="C54" i="7"/>
  <c r="C54" i="9"/>
  <c r="B81" i="5"/>
  <c r="A94" i="11"/>
  <c r="A94" i="7"/>
  <c r="A94" i="9"/>
  <c r="A117" i="9"/>
  <c r="A117" i="11"/>
  <c r="D124" i="11"/>
  <c r="C124" i="7"/>
  <c r="C124" i="9"/>
  <c r="L159" i="9"/>
  <c r="B159" i="11"/>
  <c r="B167" i="9"/>
  <c r="B167" i="7"/>
  <c r="C167" i="11"/>
  <c r="A231" i="9"/>
  <c r="A231" i="7"/>
  <c r="A231" i="8"/>
  <c r="A231" i="11"/>
  <c r="C33" i="16"/>
  <c r="F33" i="20"/>
  <c r="E33" i="19"/>
  <c r="B109" i="20"/>
  <c r="AL109" i="20" s="1"/>
  <c r="B109" i="19"/>
  <c r="B117" i="5"/>
  <c r="A121" i="9"/>
  <c r="A121" i="8"/>
  <c r="A121" i="7"/>
  <c r="C142" i="11"/>
  <c r="B142" i="9"/>
  <c r="B142" i="7"/>
  <c r="B142" i="8"/>
  <c r="B163" i="5"/>
  <c r="C167" i="9"/>
  <c r="C167" i="7"/>
  <c r="C167" i="8"/>
  <c r="D167" i="11"/>
  <c r="B184" i="5"/>
  <c r="A193" i="9"/>
  <c r="A193" i="11"/>
  <c r="A193" i="8"/>
  <c r="A193" i="7"/>
  <c r="C218" i="8"/>
  <c r="C218" i="7"/>
  <c r="D218" i="11"/>
  <c r="B223" i="5"/>
  <c r="B227" i="5"/>
  <c r="B256" i="7"/>
  <c r="C256" i="11"/>
  <c r="B256" i="8"/>
  <c r="B256" i="9"/>
  <c r="B3" i="9"/>
  <c r="B3" i="8"/>
  <c r="C3" i="11"/>
  <c r="C16" i="8"/>
  <c r="C16" i="7"/>
  <c r="C3" i="9"/>
  <c r="D3" i="11"/>
  <c r="H3" i="11" s="1"/>
  <c r="C3" i="8"/>
  <c r="A17" i="9"/>
  <c r="A17" i="11"/>
  <c r="A17" i="7"/>
  <c r="B39" i="11"/>
  <c r="L39" i="9"/>
  <c r="A47" i="9"/>
  <c r="A47" i="11"/>
  <c r="A47" i="8"/>
  <c r="A47" i="7"/>
  <c r="B55" i="9"/>
  <c r="C55" i="11"/>
  <c r="B55" i="8"/>
  <c r="B55" i="7"/>
  <c r="C104" i="7"/>
  <c r="D104" i="11"/>
  <c r="B121" i="9"/>
  <c r="B121" i="8"/>
  <c r="C125" i="11"/>
  <c r="B125" i="9"/>
  <c r="B125" i="8"/>
  <c r="A143" i="9"/>
  <c r="A143" i="11"/>
  <c r="A143" i="8"/>
  <c r="A147" i="9"/>
  <c r="A147" i="11"/>
  <c r="C155" i="11"/>
  <c r="B155" i="9"/>
  <c r="B155" i="8"/>
  <c r="C184" i="7"/>
  <c r="D184" i="11"/>
  <c r="C184" i="9"/>
  <c r="C184" i="8"/>
  <c r="A253" i="9"/>
  <c r="A253" i="8"/>
  <c r="A253" i="11"/>
  <c r="L261" i="9"/>
  <c r="B261" i="11"/>
  <c r="C265" i="8"/>
  <c r="C265" i="9"/>
  <c r="B291" i="9"/>
  <c r="B291" i="7"/>
  <c r="B291" i="8"/>
  <c r="A304" i="8"/>
  <c r="B304" i="5"/>
  <c r="C320" i="7"/>
  <c r="C320" i="9"/>
  <c r="C320" i="8"/>
  <c r="D320" i="11"/>
  <c r="L367" i="9"/>
  <c r="B367" i="11"/>
  <c r="B392" i="9"/>
  <c r="B392" i="8"/>
  <c r="B392" i="7"/>
  <c r="C392" i="11"/>
  <c r="A401" i="9"/>
  <c r="A401" i="11"/>
  <c r="A401" i="8"/>
  <c r="A423" i="9"/>
  <c r="A423" i="11"/>
  <c r="A423" i="7"/>
  <c r="B453" i="11"/>
  <c r="L453" i="9"/>
  <c r="A8" i="9"/>
  <c r="A8" i="7"/>
  <c r="A8" i="8"/>
  <c r="A8" i="11"/>
  <c r="B8" i="5"/>
  <c r="B17" i="5"/>
  <c r="B21" i="5"/>
  <c r="B43" i="5"/>
  <c r="B47" i="5"/>
  <c r="B51" i="9"/>
  <c r="B51" i="7"/>
  <c r="C51" i="11"/>
  <c r="B51" i="8"/>
  <c r="B69" i="9"/>
  <c r="C69" i="11"/>
  <c r="B69" i="8"/>
  <c r="B130" i="8"/>
  <c r="B130" i="7"/>
  <c r="C130" i="11"/>
  <c r="B130" i="9"/>
  <c r="C134" i="8"/>
  <c r="C134" i="9"/>
  <c r="B143" i="5"/>
  <c r="B147" i="5"/>
  <c r="B151" i="9"/>
  <c r="B151" i="7"/>
  <c r="C151" i="11"/>
  <c r="C176" i="9"/>
  <c r="C176" i="7"/>
  <c r="D176" i="11"/>
  <c r="C193" i="8"/>
  <c r="D193" i="11"/>
  <c r="C193" i="7"/>
  <c r="C214" i="9"/>
  <c r="D214" i="11"/>
  <c r="C214" i="8"/>
  <c r="C214" i="7"/>
  <c r="B240" i="9"/>
  <c r="B240" i="8"/>
  <c r="C240" i="11"/>
  <c r="B240" i="7"/>
  <c r="C245" i="11"/>
  <c r="B245" i="9"/>
  <c r="B245" i="7"/>
  <c r="B249" i="9"/>
  <c r="B249" i="7"/>
  <c r="B249" i="8"/>
  <c r="C249" i="11"/>
  <c r="B253" i="5"/>
  <c r="B257" i="5"/>
  <c r="B261" i="9"/>
  <c r="B261" i="8"/>
  <c r="C261" i="11"/>
  <c r="A266" i="11"/>
  <c r="A266" i="8"/>
  <c r="D270" i="11"/>
  <c r="C270" i="7"/>
  <c r="C270" i="8"/>
  <c r="B300" i="5"/>
  <c r="B304" i="7"/>
  <c r="B304" i="8"/>
  <c r="C304" i="11"/>
  <c r="A321" i="9"/>
  <c r="A321" i="8"/>
  <c r="A321" i="11"/>
  <c r="A321" i="7"/>
  <c r="B355" i="9"/>
  <c r="C355" i="11"/>
  <c r="B355" i="7"/>
  <c r="D375" i="11"/>
  <c r="C375" i="7"/>
  <c r="C375" i="9"/>
  <c r="B389" i="11"/>
  <c r="L389" i="9"/>
  <c r="C392" i="8"/>
  <c r="C392" i="9"/>
  <c r="B397" i="5"/>
  <c r="B401" i="5"/>
  <c r="B405" i="9"/>
  <c r="B405" i="7"/>
  <c r="B405" i="8"/>
  <c r="C405" i="11"/>
  <c r="B414" i="11"/>
  <c r="L414" i="9"/>
  <c r="B423" i="5"/>
  <c r="B436" i="9"/>
  <c r="B436" i="7"/>
  <c r="C436" i="11"/>
  <c r="B466" i="5"/>
  <c r="B483" i="9"/>
  <c r="B483" i="8"/>
  <c r="C509" i="11"/>
  <c r="B509" i="9"/>
  <c r="D526" i="11"/>
  <c r="C526" i="9"/>
  <c r="C530" i="7"/>
  <c r="C530" i="8"/>
  <c r="C530" i="9"/>
  <c r="D530" i="11"/>
  <c r="C539" i="16"/>
  <c r="F539" i="20"/>
  <c r="E539" i="19"/>
  <c r="B583" i="5"/>
  <c r="C595" i="9"/>
  <c r="C595" i="8"/>
  <c r="C595" i="7"/>
  <c r="B605" i="9"/>
  <c r="B605" i="7"/>
  <c r="B605" i="8"/>
  <c r="A610" i="11"/>
  <c r="A610" i="8"/>
  <c r="A610" i="7"/>
  <c r="A636" i="8"/>
  <c r="A636" i="9"/>
  <c r="A636" i="11"/>
  <c r="D640" i="11"/>
  <c r="C640" i="7"/>
  <c r="C640" i="8"/>
  <c r="C640" i="9"/>
  <c r="B644" i="9"/>
  <c r="B644" i="8"/>
  <c r="B644" i="7"/>
  <c r="D648" i="11"/>
  <c r="C648" i="9"/>
  <c r="C648" i="7"/>
  <c r="C648" i="8"/>
  <c r="D652" i="11"/>
  <c r="C652" i="8"/>
  <c r="C652" i="9"/>
  <c r="C665" i="9"/>
  <c r="D665" i="11"/>
  <c r="C665" i="7"/>
  <c r="C670" i="9"/>
  <c r="C670" i="7"/>
  <c r="C674" i="8"/>
  <c r="D674" i="11"/>
  <c r="C679" i="11"/>
  <c r="B679" i="9"/>
  <c r="B679" i="7"/>
  <c r="B679" i="8"/>
  <c r="C688" i="8"/>
  <c r="D688" i="11"/>
  <c r="C688" i="9"/>
  <c r="B692" i="9"/>
  <c r="C692" i="11"/>
  <c r="B692" i="7"/>
  <c r="B692" i="8"/>
  <c r="A697" i="9"/>
  <c r="A697" i="11"/>
  <c r="A697" i="8"/>
  <c r="D709" i="11"/>
  <c r="C709" i="8"/>
  <c r="B719" i="11"/>
  <c r="L719" i="9"/>
  <c r="A727" i="9"/>
  <c r="A727" i="8"/>
  <c r="A727" i="11"/>
  <c r="B731" i="5"/>
  <c r="B735" i="9"/>
  <c r="C735" i="11"/>
  <c r="B735" i="8"/>
  <c r="D743" i="11"/>
  <c r="C743" i="7"/>
  <c r="C743" i="8"/>
  <c r="C743" i="9"/>
  <c r="D752" i="11"/>
  <c r="C752" i="7"/>
  <c r="C752" i="8"/>
  <c r="A757" i="9"/>
  <c r="A757" i="11"/>
  <c r="A757" i="8"/>
  <c r="D765" i="11"/>
  <c r="C765" i="7"/>
  <c r="C765" i="9"/>
  <c r="C765" i="8"/>
  <c r="A788" i="11"/>
  <c r="B788" i="5"/>
  <c r="A788" i="9"/>
  <c r="C792" i="8"/>
  <c r="C792" i="9"/>
  <c r="D792" i="11"/>
  <c r="B797" i="8"/>
  <c r="B797" i="9"/>
  <c r="C797" i="11"/>
  <c r="C815" i="9"/>
  <c r="C815" i="8"/>
  <c r="D815" i="11"/>
  <c r="C820" i="11"/>
  <c r="B820" i="9"/>
  <c r="C134" i="7"/>
  <c r="B261" i="7"/>
  <c r="A496" i="7"/>
  <c r="C673" i="7"/>
  <c r="B688" i="7"/>
  <c r="A704" i="7"/>
  <c r="H5" i="8"/>
  <c r="D23" i="9"/>
  <c r="D176" i="9"/>
  <c r="D229" i="9"/>
  <c r="D239" i="9"/>
  <c r="D244" i="9"/>
  <c r="B303" i="8"/>
  <c r="H344" i="16"/>
  <c r="P344" i="16" s="1"/>
  <c r="H344" i="20"/>
  <c r="F344" i="19"/>
  <c r="C349" i="8"/>
  <c r="B375" i="8"/>
  <c r="C430" i="8"/>
  <c r="D488" i="9"/>
  <c r="B504" i="8"/>
  <c r="H721" i="20"/>
  <c r="H721" i="16"/>
  <c r="P721" i="16" s="1"/>
  <c r="F721" i="19"/>
  <c r="B752" i="8"/>
  <c r="H795" i="20"/>
  <c r="H795" i="16"/>
  <c r="P795" i="16" s="1"/>
  <c r="F795" i="19"/>
  <c r="B19" i="16"/>
  <c r="E19" i="20"/>
  <c r="AM19" i="20" s="1"/>
  <c r="A35" i="16"/>
  <c r="A35" i="20"/>
  <c r="A35" i="19"/>
  <c r="I60" i="16"/>
  <c r="M60" i="16" s="1"/>
  <c r="G60" i="20"/>
  <c r="G60" i="19"/>
  <c r="J60" i="19" s="1"/>
  <c r="C175" i="16"/>
  <c r="F175" i="20"/>
  <c r="E175" i="19"/>
  <c r="H190" i="16"/>
  <c r="P190" i="16" s="1"/>
  <c r="H190" i="20"/>
  <c r="F190" i="19"/>
  <c r="I226" i="16"/>
  <c r="M226" i="16" s="1"/>
  <c r="G226" i="20"/>
  <c r="G226" i="19"/>
  <c r="J226" i="19" s="1"/>
  <c r="H236" i="16"/>
  <c r="P236" i="16" s="1"/>
  <c r="H236" i="20"/>
  <c r="F236" i="19"/>
  <c r="I288" i="16"/>
  <c r="M288" i="16" s="1"/>
  <c r="G288" i="20"/>
  <c r="G288" i="19"/>
  <c r="J288" i="19" s="1"/>
  <c r="I315" i="16"/>
  <c r="M315" i="16" s="1"/>
  <c r="G315" i="19"/>
  <c r="J315" i="19" s="1"/>
  <c r="G315" i="20"/>
  <c r="C321" i="16"/>
  <c r="F321" i="20"/>
  <c r="E321" i="19"/>
  <c r="H326" i="16"/>
  <c r="P326" i="16" s="1"/>
  <c r="H326" i="20"/>
  <c r="F326" i="19"/>
  <c r="I366" i="16"/>
  <c r="M366" i="16" s="1"/>
  <c r="G366" i="20"/>
  <c r="G366" i="19"/>
  <c r="J366" i="19" s="1"/>
  <c r="I376" i="16"/>
  <c r="M376" i="16" s="1"/>
  <c r="G376" i="20"/>
  <c r="G376" i="19"/>
  <c r="J376" i="19" s="1"/>
  <c r="I432" i="16"/>
  <c r="M432" i="16" s="1"/>
  <c r="G432" i="20"/>
  <c r="G432" i="19"/>
  <c r="J432" i="19" s="1"/>
  <c r="E444" i="20"/>
  <c r="AM444" i="20" s="1"/>
  <c r="B444" i="16"/>
  <c r="C481" i="16"/>
  <c r="F481" i="20"/>
  <c r="E481" i="19"/>
  <c r="I487" i="16"/>
  <c r="M487" i="16" s="1"/>
  <c r="G487" i="20"/>
  <c r="G487" i="19"/>
  <c r="J487" i="19" s="1"/>
  <c r="A498" i="16"/>
  <c r="A498" i="20"/>
  <c r="A498" i="19"/>
  <c r="A520" i="16"/>
  <c r="A520" i="20"/>
  <c r="A520" i="19"/>
  <c r="I525" i="16"/>
  <c r="M525" i="16" s="1"/>
  <c r="G525" i="20"/>
  <c r="G525" i="19"/>
  <c r="J525" i="19" s="1"/>
  <c r="I586" i="16"/>
  <c r="M586" i="16" s="1"/>
  <c r="G586" i="19"/>
  <c r="J586" i="19" s="1"/>
  <c r="G586" i="20"/>
  <c r="I591" i="16"/>
  <c r="M591" i="16" s="1"/>
  <c r="G591" i="20"/>
  <c r="G591" i="19"/>
  <c r="J591" i="19" s="1"/>
  <c r="I653" i="16"/>
  <c r="M653" i="16" s="1"/>
  <c r="G653" i="20"/>
  <c r="G653" i="19"/>
  <c r="J653" i="19" s="1"/>
  <c r="A676" i="16"/>
  <c r="A676" i="20"/>
  <c r="A676" i="19"/>
  <c r="A728" i="16"/>
  <c r="A728" i="20"/>
  <c r="A728" i="19"/>
  <c r="A805" i="16"/>
  <c r="A805" i="20"/>
  <c r="A805" i="19"/>
  <c r="A81" i="11"/>
  <c r="C121" i="11"/>
  <c r="C129" i="11"/>
  <c r="D273" i="11"/>
  <c r="I560" i="19"/>
  <c r="I574" i="19"/>
  <c r="I656" i="16"/>
  <c r="M656" i="16" s="1"/>
  <c r="G656" i="20"/>
  <c r="G656" i="19"/>
  <c r="J656" i="19" s="1"/>
  <c r="B672" i="16"/>
  <c r="E672" i="20"/>
  <c r="AM672" i="20" s="1"/>
  <c r="I693" i="16"/>
  <c r="M693" i="16" s="1"/>
  <c r="G693" i="20"/>
  <c r="I719" i="16"/>
  <c r="M719" i="16" s="1"/>
  <c r="G719" i="19"/>
  <c r="J719" i="19" s="1"/>
  <c r="G719" i="20"/>
  <c r="I730" i="16"/>
  <c r="M730" i="16" s="1"/>
  <c r="G730" i="20"/>
  <c r="G730" i="19"/>
  <c r="J730" i="19" s="1"/>
  <c r="C751" i="16"/>
  <c r="F751" i="20"/>
  <c r="E751" i="19"/>
  <c r="H787" i="16"/>
  <c r="P787" i="16" s="1"/>
  <c r="H787" i="20"/>
  <c r="F787" i="19"/>
  <c r="I800" i="16"/>
  <c r="M800" i="16" s="1"/>
  <c r="G800" i="19"/>
  <c r="J800" i="19" s="1"/>
  <c r="G800" i="20"/>
  <c r="A808" i="16"/>
  <c r="A808" i="20"/>
  <c r="A808" i="19"/>
  <c r="A814" i="16"/>
  <c r="A814" i="20"/>
  <c r="A814" i="19"/>
  <c r="W26" i="20"/>
  <c r="AQ26" i="10"/>
  <c r="L26" i="10"/>
  <c r="W38" i="20"/>
  <c r="AQ38" i="10"/>
  <c r="A814" i="11"/>
  <c r="A573" i="9"/>
  <c r="B573" i="5"/>
  <c r="A573" i="7"/>
  <c r="D577" i="11"/>
  <c r="C577" i="7"/>
  <c r="C577" i="9"/>
  <c r="C577" i="8"/>
  <c r="A590" i="8"/>
  <c r="A590" i="7"/>
  <c r="A590" i="11"/>
  <c r="A628" i="8"/>
  <c r="B628" i="5"/>
  <c r="A628" i="9"/>
  <c r="A628" i="7"/>
  <c r="C644" i="8"/>
  <c r="C644" i="7"/>
  <c r="D644" i="11"/>
  <c r="A724" i="9"/>
  <c r="A724" i="8"/>
  <c r="A724" i="7"/>
  <c r="A728" i="11"/>
  <c r="B728" i="5"/>
  <c r="B745" i="9"/>
  <c r="B745" i="8"/>
  <c r="B745" i="7"/>
  <c r="C745" i="11"/>
  <c r="A766" i="11"/>
  <c r="A766" i="7"/>
  <c r="A766" i="9"/>
  <c r="C770" i="16"/>
  <c r="F770" i="20"/>
  <c r="E770" i="19"/>
  <c r="A783" i="9"/>
  <c r="A783" i="8"/>
  <c r="A783" i="7"/>
  <c r="A787" i="9"/>
  <c r="A787" i="8"/>
  <c r="A787" i="11"/>
  <c r="A787" i="7"/>
  <c r="B795" i="9"/>
  <c r="B795" i="8"/>
  <c r="C795" i="11"/>
  <c r="A800" i="11"/>
  <c r="A800" i="8"/>
  <c r="A800" i="9"/>
  <c r="D818" i="11"/>
  <c r="C818" i="8"/>
  <c r="D98" i="9"/>
  <c r="H121" i="16"/>
  <c r="P121" i="16" s="1"/>
  <c r="H121" i="20"/>
  <c r="F121" i="19"/>
  <c r="D216" i="9"/>
  <c r="D453" i="9"/>
  <c r="H560" i="16"/>
  <c r="P560" i="16" s="1"/>
  <c r="H560" i="20"/>
  <c r="H645" i="20"/>
  <c r="H645" i="16"/>
  <c r="P645" i="16" s="1"/>
  <c r="F645" i="19"/>
  <c r="D655" i="9"/>
  <c r="D691" i="9"/>
  <c r="D773" i="9"/>
  <c r="D804" i="9"/>
  <c r="B5" i="16"/>
  <c r="E5" i="20"/>
  <c r="A76" i="16"/>
  <c r="A76" i="20"/>
  <c r="A76" i="19"/>
  <c r="I90" i="16"/>
  <c r="M90" i="16" s="1"/>
  <c r="G90" i="20"/>
  <c r="G90" i="19"/>
  <c r="J90" i="19" s="1"/>
  <c r="C105" i="9"/>
  <c r="C130" i="16"/>
  <c r="F130" i="20"/>
  <c r="E130" i="19"/>
  <c r="I140" i="16"/>
  <c r="M140" i="16" s="1"/>
  <c r="G140" i="20"/>
  <c r="G140" i="19"/>
  <c r="J140" i="19" s="1"/>
  <c r="H160" i="20"/>
  <c r="H160" i="16"/>
  <c r="P160" i="16" s="1"/>
  <c r="F160" i="19"/>
  <c r="I178" i="16"/>
  <c r="M178" i="16" s="1"/>
  <c r="G178" i="20"/>
  <c r="G178" i="19"/>
  <c r="J178" i="19" s="1"/>
  <c r="K198" i="19"/>
  <c r="H198" i="19"/>
  <c r="I212" i="16"/>
  <c r="M212" i="16" s="1"/>
  <c r="G212" i="20"/>
  <c r="G212" i="19"/>
  <c r="J212" i="19" s="1"/>
  <c r="I236" i="16"/>
  <c r="M236" i="16" s="1"/>
  <c r="G236" i="20"/>
  <c r="G236" i="19"/>
  <c r="J236" i="19" s="1"/>
  <c r="I241" i="16"/>
  <c r="M241" i="16" s="1"/>
  <c r="G241" i="20"/>
  <c r="G241" i="19"/>
  <c r="J241" i="19" s="1"/>
  <c r="I251" i="16"/>
  <c r="M251" i="16" s="1"/>
  <c r="G251" i="20"/>
  <c r="G251" i="19"/>
  <c r="J251" i="19" s="1"/>
  <c r="H306" i="16"/>
  <c r="P306" i="16" s="1"/>
  <c r="H306" i="20"/>
  <c r="F306" i="19"/>
  <c r="I311" i="16"/>
  <c r="M311" i="16" s="1"/>
  <c r="G311" i="19"/>
  <c r="J311" i="19" s="1"/>
  <c r="G311" i="20"/>
  <c r="H321" i="16"/>
  <c r="P321" i="16" s="1"/>
  <c r="F321" i="19"/>
  <c r="H321" i="20"/>
  <c r="I326" i="16"/>
  <c r="M326" i="16" s="1"/>
  <c r="G326" i="20"/>
  <c r="G326" i="19"/>
  <c r="J326" i="19" s="1"/>
  <c r="B380" i="16"/>
  <c r="E380" i="20"/>
  <c r="AM380" i="20" s="1"/>
  <c r="H399" i="16"/>
  <c r="P399" i="16" s="1"/>
  <c r="H399" i="20"/>
  <c r="F399" i="19"/>
  <c r="C414" i="16"/>
  <c r="F414" i="20"/>
  <c r="E414" i="19"/>
  <c r="C425" i="16"/>
  <c r="F425" i="20"/>
  <c r="E425" i="19"/>
  <c r="I448" i="16"/>
  <c r="M448" i="16" s="1"/>
  <c r="G448" i="20"/>
  <c r="G448" i="19"/>
  <c r="J448" i="19" s="1"/>
  <c r="H463" i="16"/>
  <c r="P463" i="16" s="1"/>
  <c r="F463" i="19"/>
  <c r="H463" i="20"/>
  <c r="H473" i="16"/>
  <c r="P473" i="16" s="1"/>
  <c r="H473" i="20"/>
  <c r="F473" i="19"/>
  <c r="I621" i="16"/>
  <c r="M621" i="16" s="1"/>
  <c r="G621" i="19"/>
  <c r="J621" i="19" s="1"/>
  <c r="G621" i="20"/>
  <c r="A662" i="16"/>
  <c r="A662" i="20"/>
  <c r="A662" i="19"/>
  <c r="I672" i="16"/>
  <c r="M672" i="16" s="1"/>
  <c r="G672" i="20"/>
  <c r="G672" i="19"/>
  <c r="J672" i="19" s="1"/>
  <c r="H709" i="16"/>
  <c r="P709" i="16" s="1"/>
  <c r="H709" i="20"/>
  <c r="F709" i="19"/>
  <c r="I751" i="16"/>
  <c r="M751" i="16" s="1"/>
  <c r="G751" i="20"/>
  <c r="G751" i="19"/>
  <c r="J751" i="19" s="1"/>
  <c r="B762" i="16"/>
  <c r="E762" i="20"/>
  <c r="AM762" i="20" s="1"/>
  <c r="A778" i="16"/>
  <c r="A778" i="20"/>
  <c r="A778" i="19"/>
  <c r="A782" i="16"/>
  <c r="A782" i="19"/>
  <c r="A782" i="20"/>
  <c r="I794" i="16"/>
  <c r="M794" i="16" s="1"/>
  <c r="G794" i="20"/>
  <c r="G794" i="19"/>
  <c r="J794" i="19" s="1"/>
  <c r="F814" i="19"/>
  <c r="H814" i="20"/>
  <c r="H814" i="16"/>
  <c r="P814" i="16" s="1"/>
  <c r="AU20" i="10"/>
  <c r="O20" i="10"/>
  <c r="AN20" i="10"/>
  <c r="Q20" i="20" s="1"/>
  <c r="I566" i="19"/>
  <c r="A480" i="11"/>
  <c r="A480" i="8"/>
  <c r="A480" i="9"/>
  <c r="A480" i="7"/>
  <c r="B488" i="5"/>
  <c r="A488" i="11"/>
  <c r="B501" i="11"/>
  <c r="L501" i="9"/>
  <c r="B543" i="9"/>
  <c r="C543" i="11"/>
  <c r="B543" i="8"/>
  <c r="B543" i="7"/>
  <c r="A548" i="11"/>
  <c r="A548" i="9"/>
  <c r="A548" i="8"/>
  <c r="B548" i="5"/>
  <c r="B569" i="11"/>
  <c r="L569" i="9"/>
  <c r="B573" i="9"/>
  <c r="B573" i="7"/>
  <c r="B586" i="11"/>
  <c r="L586" i="9"/>
  <c r="B590" i="5"/>
  <c r="B593" i="9"/>
  <c r="B593" i="8"/>
  <c r="C593" i="11"/>
  <c r="C628" i="11"/>
  <c r="B628" i="9"/>
  <c r="B628" i="8"/>
  <c r="B628" i="7"/>
  <c r="A641" i="9"/>
  <c r="A641" i="8"/>
  <c r="A641" i="7"/>
  <c r="B641" i="5"/>
  <c r="C661" i="16"/>
  <c r="F661" i="20"/>
  <c r="E661" i="19"/>
  <c r="B666" i="5"/>
  <c r="D686" i="11"/>
  <c r="C686" i="9"/>
  <c r="C686" i="7"/>
  <c r="C686" i="8"/>
  <c r="B724" i="5"/>
  <c r="C728" i="11"/>
  <c r="B728" i="8"/>
  <c r="B728" i="7"/>
  <c r="D732" i="11"/>
  <c r="C732" i="7"/>
  <c r="B766" i="5"/>
  <c r="B775" i="9"/>
  <c r="C775" i="11"/>
  <c r="B775" i="8"/>
  <c r="B775" i="7"/>
  <c r="B783" i="5"/>
  <c r="B787" i="5"/>
  <c r="B791" i="9"/>
  <c r="C791" i="11"/>
  <c r="B791" i="7"/>
  <c r="B791" i="8"/>
  <c r="B800" i="5"/>
  <c r="B804" i="9"/>
  <c r="B804" i="8"/>
  <c r="C804" i="11"/>
  <c r="C809" i="11"/>
  <c r="B809" i="8"/>
  <c r="B809" i="9"/>
  <c r="A823" i="8"/>
  <c r="A823" i="9"/>
  <c r="A823" i="11"/>
  <c r="D169" i="9"/>
  <c r="D182" i="9"/>
  <c r="H231" i="16"/>
  <c r="P231" i="16" s="1"/>
  <c r="H231" i="20"/>
  <c r="F231" i="19"/>
  <c r="D266" i="9"/>
  <c r="H274" i="16"/>
  <c r="P274" i="16" s="1"/>
  <c r="H274" i="20"/>
  <c r="F274" i="19"/>
  <c r="D362" i="9"/>
  <c r="H408" i="16"/>
  <c r="P408" i="16" s="1"/>
  <c r="F408" i="19"/>
  <c r="H408" i="20"/>
  <c r="D621" i="9"/>
  <c r="D725" i="9"/>
  <c r="I66" i="16"/>
  <c r="M66" i="16" s="1"/>
  <c r="G66" i="20"/>
  <c r="G66" i="19"/>
  <c r="J66" i="19" s="1"/>
  <c r="H130" i="16"/>
  <c r="P130" i="16" s="1"/>
  <c r="H130" i="20"/>
  <c r="F130" i="19"/>
  <c r="H155" i="16"/>
  <c r="P155" i="16" s="1"/>
  <c r="H155" i="20"/>
  <c r="F155" i="19"/>
  <c r="I160" i="16"/>
  <c r="M160" i="16" s="1"/>
  <c r="G160" i="20"/>
  <c r="G160" i="19"/>
  <c r="J160" i="19" s="1"/>
  <c r="I189" i="16"/>
  <c r="M189" i="16" s="1"/>
  <c r="G189" i="19"/>
  <c r="J189" i="19" s="1"/>
  <c r="G189" i="20"/>
  <c r="I227" i="16"/>
  <c r="M227" i="16" s="1"/>
  <c r="G227" i="20"/>
  <c r="G227" i="19"/>
  <c r="J227" i="19" s="1"/>
  <c r="C271" i="16"/>
  <c r="F271" i="20"/>
  <c r="E271" i="19"/>
  <c r="H291" i="16"/>
  <c r="P291" i="16" s="1"/>
  <c r="H291" i="20"/>
  <c r="F291" i="19"/>
  <c r="I306" i="16"/>
  <c r="M306" i="16" s="1"/>
  <c r="G306" i="20"/>
  <c r="G306" i="19"/>
  <c r="J306" i="19" s="1"/>
  <c r="I321" i="16"/>
  <c r="M321" i="16" s="1"/>
  <c r="G321" i="19"/>
  <c r="J321" i="19" s="1"/>
  <c r="G321" i="20"/>
  <c r="I399" i="16"/>
  <c r="M399" i="16" s="1"/>
  <c r="G399" i="20"/>
  <c r="G399" i="19"/>
  <c r="J399" i="19" s="1"/>
  <c r="I410" i="16"/>
  <c r="M410" i="16" s="1"/>
  <c r="G410" i="20"/>
  <c r="G410" i="19"/>
  <c r="J410" i="19" s="1"/>
  <c r="H425" i="16"/>
  <c r="P425" i="16" s="1"/>
  <c r="H425" i="20"/>
  <c r="F425" i="19"/>
  <c r="I463" i="16"/>
  <c r="M463" i="16" s="1"/>
  <c r="G463" i="20"/>
  <c r="G463" i="19"/>
  <c r="J463" i="19" s="1"/>
  <c r="I473" i="16"/>
  <c r="M473" i="16" s="1"/>
  <c r="G473" i="20"/>
  <c r="G473" i="19"/>
  <c r="J473" i="19" s="1"/>
  <c r="A590" i="9"/>
  <c r="C611" i="16"/>
  <c r="F611" i="20"/>
  <c r="E611" i="19"/>
  <c r="I668" i="16"/>
  <c r="M668" i="16" s="1"/>
  <c r="G668" i="20"/>
  <c r="G668" i="19"/>
  <c r="J668" i="19" s="1"/>
  <c r="B703" i="20"/>
  <c r="AL703" i="20" s="1"/>
  <c r="B703" i="19"/>
  <c r="I709" i="16"/>
  <c r="M709" i="16" s="1"/>
  <c r="G709" i="20"/>
  <c r="G709" i="19"/>
  <c r="J709" i="19" s="1"/>
  <c r="C731" i="16"/>
  <c r="E731" i="19"/>
  <c r="F731" i="20"/>
  <c r="G736" i="20"/>
  <c r="I736" i="16"/>
  <c r="M736" i="16" s="1"/>
  <c r="G736" i="19"/>
  <c r="J736" i="19" s="1"/>
  <c r="B778" i="16"/>
  <c r="E778" i="20"/>
  <c r="AM778" i="20" s="1"/>
  <c r="B782" i="16"/>
  <c r="E782" i="20"/>
  <c r="AM782" i="20" s="1"/>
  <c r="U29" i="20"/>
  <c r="S29" i="20"/>
  <c r="W51" i="20"/>
  <c r="AQ51" i="10"/>
  <c r="D125" i="9"/>
  <c r="D257" i="9"/>
  <c r="D270" i="9"/>
  <c r="H334" i="16"/>
  <c r="P334" i="16" s="1"/>
  <c r="H334" i="20"/>
  <c r="F334" i="19"/>
  <c r="D367" i="9"/>
  <c r="H377" i="16"/>
  <c r="P377" i="16" s="1"/>
  <c r="H377" i="20"/>
  <c r="F377" i="19"/>
  <c r="D529" i="9"/>
  <c r="D588" i="9"/>
  <c r="H631" i="16"/>
  <c r="P631" i="16" s="1"/>
  <c r="H631" i="20"/>
  <c r="F631" i="19"/>
  <c r="D641" i="9"/>
  <c r="D792" i="9"/>
  <c r="A2" i="16"/>
  <c r="A2" i="20"/>
  <c r="A2" i="19"/>
  <c r="I130" i="16"/>
  <c r="M130" i="16" s="1"/>
  <c r="G130" i="20"/>
  <c r="G130" i="19"/>
  <c r="J130" i="19" s="1"/>
  <c r="I155" i="16"/>
  <c r="M155" i="16" s="1"/>
  <c r="G155" i="20"/>
  <c r="G155" i="19"/>
  <c r="J155" i="19" s="1"/>
  <c r="C194" i="16"/>
  <c r="E194" i="19"/>
  <c r="F194" i="20"/>
  <c r="I291" i="16"/>
  <c r="M291" i="16" s="1"/>
  <c r="G291" i="20"/>
  <c r="G291" i="19"/>
  <c r="J291" i="19" s="1"/>
  <c r="I296" i="16"/>
  <c r="M296" i="16" s="1"/>
  <c r="G296" i="20"/>
  <c r="G296" i="19"/>
  <c r="J296" i="19" s="1"/>
  <c r="I332" i="16"/>
  <c r="M332" i="16" s="1"/>
  <c r="G332" i="20"/>
  <c r="G332" i="19"/>
  <c r="J332" i="19" s="1"/>
  <c r="H366" i="16"/>
  <c r="P366" i="16" s="1"/>
  <c r="H366" i="20"/>
  <c r="F366" i="19"/>
  <c r="H385" i="16"/>
  <c r="P385" i="16" s="1"/>
  <c r="H385" i="20"/>
  <c r="F385" i="19"/>
  <c r="I425" i="16"/>
  <c r="M425" i="16" s="1"/>
  <c r="G425" i="20"/>
  <c r="G425" i="19"/>
  <c r="J425" i="19" s="1"/>
  <c r="A444" i="16"/>
  <c r="A444" i="20"/>
  <c r="A444" i="19"/>
  <c r="H469" i="16"/>
  <c r="P469" i="16" s="1"/>
  <c r="H469" i="20"/>
  <c r="F469" i="19"/>
  <c r="H495" i="16"/>
  <c r="P495" i="16" s="1"/>
  <c r="H495" i="20"/>
  <c r="F495" i="19"/>
  <c r="H510" i="16"/>
  <c r="P510" i="16" s="1"/>
  <c r="H510" i="20"/>
  <c r="F510" i="19"/>
  <c r="I539" i="16"/>
  <c r="M539" i="16" s="1"/>
  <c r="G539" i="20"/>
  <c r="G539" i="19"/>
  <c r="J539" i="19" s="1"/>
  <c r="H559" i="16"/>
  <c r="P559" i="16" s="1"/>
  <c r="H559" i="20"/>
  <c r="F559" i="19"/>
  <c r="H611" i="16"/>
  <c r="P611" i="16" s="1"/>
  <c r="H611" i="20"/>
  <c r="F611" i="19"/>
  <c r="I699" i="16"/>
  <c r="M699" i="16" s="1"/>
  <c r="G699" i="20"/>
  <c r="G699" i="19"/>
  <c r="J699" i="19" s="1"/>
  <c r="A726" i="16"/>
  <c r="A726" i="20"/>
  <c r="A726" i="19"/>
  <c r="H731" i="16"/>
  <c r="P731" i="16" s="1"/>
  <c r="H731" i="20"/>
  <c r="F731" i="19"/>
  <c r="I762" i="16"/>
  <c r="M762" i="16" s="1"/>
  <c r="G762" i="20"/>
  <c r="G762" i="19"/>
  <c r="J762" i="19" s="1"/>
  <c r="C778" i="16"/>
  <c r="F778" i="20"/>
  <c r="E778" i="19"/>
  <c r="AU51" i="10"/>
  <c r="AN51" i="10"/>
  <c r="Q51" i="20" s="1"/>
  <c r="O51" i="10"/>
  <c r="F12" i="18" s="1"/>
  <c r="H12" i="18" s="1"/>
  <c r="M14" i="19"/>
  <c r="I14" i="19"/>
  <c r="A724" i="11"/>
  <c r="K474" i="20"/>
  <c r="D5" i="11"/>
  <c r="C5" i="7"/>
  <c r="D18" i="11"/>
  <c r="C18" i="9"/>
  <c r="A32" i="20"/>
  <c r="A32" i="16"/>
  <c r="A32" i="19"/>
  <c r="B44" i="9"/>
  <c r="B44" i="8"/>
  <c r="B44" i="7"/>
  <c r="C48" i="16"/>
  <c r="E48" i="19"/>
  <c r="F48" i="20"/>
  <c r="C74" i="9"/>
  <c r="D74" i="11"/>
  <c r="C74" i="8"/>
  <c r="A88" i="16"/>
  <c r="A88" i="20"/>
  <c r="A88" i="19"/>
  <c r="B110" i="8"/>
  <c r="C110" i="11"/>
  <c r="B110" i="7"/>
  <c r="B110" i="9"/>
  <c r="D126" i="11"/>
  <c r="C126" i="9"/>
  <c r="C126" i="8"/>
  <c r="C126" i="7"/>
  <c r="C135" i="11"/>
  <c r="B135" i="9"/>
  <c r="B135" i="8"/>
  <c r="A156" i="11"/>
  <c r="A156" i="9"/>
  <c r="B156" i="5"/>
  <c r="B169" i="20"/>
  <c r="AL169" i="20" s="1"/>
  <c r="B169" i="19"/>
  <c r="D172" i="11"/>
  <c r="C172" i="8"/>
  <c r="C172" i="7"/>
  <c r="C172" i="9"/>
  <c r="B193" i="9"/>
  <c r="C193" i="11"/>
  <c r="B193" i="8"/>
  <c r="B193" i="7"/>
  <c r="A210" i="20"/>
  <c r="A210" i="16"/>
  <c r="A210" i="19"/>
  <c r="B219" i="20"/>
  <c r="AL219" i="20" s="1"/>
  <c r="B219" i="19"/>
  <c r="C235" i="11"/>
  <c r="B235" i="9"/>
  <c r="B235" i="7"/>
  <c r="D252" i="11"/>
  <c r="C252" i="8"/>
  <c r="C252" i="9"/>
  <c r="C256" i="7"/>
  <c r="C256" i="8"/>
  <c r="C256" i="9"/>
  <c r="C265" i="11"/>
  <c r="B265" i="9"/>
  <c r="B265" i="8"/>
  <c r="A270" i="8"/>
  <c r="A270" i="9"/>
  <c r="A270" i="11"/>
  <c r="A270" i="7"/>
  <c r="L286" i="9"/>
  <c r="B286" i="11"/>
  <c r="C294" i="11"/>
  <c r="B294" i="7"/>
  <c r="B294" i="9"/>
  <c r="B294" i="8"/>
  <c r="B311" i="9"/>
  <c r="B311" i="7"/>
  <c r="B311" i="8"/>
  <c r="C311" i="11"/>
  <c r="C315" i="11"/>
  <c r="B315" i="9"/>
  <c r="B315" i="7"/>
  <c r="A337" i="9"/>
  <c r="A337" i="7"/>
  <c r="A337" i="8"/>
  <c r="A337" i="11"/>
  <c r="C344" i="7"/>
  <c r="D344" i="11"/>
  <c r="C348" i="9"/>
  <c r="D348" i="11"/>
  <c r="B370" i="11"/>
  <c r="L370" i="9"/>
  <c r="A374" i="8"/>
  <c r="A374" i="7"/>
  <c r="A374" i="9"/>
  <c r="A374" i="11"/>
  <c r="A391" i="9"/>
  <c r="A391" i="7"/>
  <c r="A391" i="11"/>
  <c r="B391" i="5"/>
  <c r="B403" i="9"/>
  <c r="B403" i="7"/>
  <c r="C407" i="9"/>
  <c r="C407" i="7"/>
  <c r="D407" i="11"/>
  <c r="B429" i="11"/>
  <c r="L429" i="9"/>
  <c r="C433" i="9"/>
  <c r="C433" i="7"/>
  <c r="C438" i="11"/>
  <c r="B438" i="8"/>
  <c r="B438" i="9"/>
  <c r="B438" i="7"/>
  <c r="B442" i="9"/>
  <c r="C442" i="11"/>
  <c r="B442" i="7"/>
  <c r="B442" i="8"/>
  <c r="D458" i="11"/>
  <c r="C458" i="7"/>
  <c r="C467" i="9"/>
  <c r="C467" i="8"/>
  <c r="C467" i="7"/>
  <c r="A493" i="9"/>
  <c r="A493" i="11"/>
  <c r="A493" i="7"/>
  <c r="A493" i="8"/>
  <c r="B493" i="5"/>
  <c r="A531" i="9"/>
  <c r="A531" i="7"/>
  <c r="A531" i="11"/>
  <c r="B531" i="5"/>
  <c r="A531" i="8"/>
  <c r="D539" i="11"/>
  <c r="C539" i="8"/>
  <c r="L544" i="9"/>
  <c r="B544" i="11"/>
  <c r="A553" i="9"/>
  <c r="A553" i="11"/>
  <c r="A553" i="7"/>
  <c r="D578" i="11"/>
  <c r="C578" i="8"/>
  <c r="B582" i="7"/>
  <c r="B582" i="9"/>
  <c r="B582" i="8"/>
  <c r="D598" i="11"/>
  <c r="C598" i="9"/>
  <c r="C598" i="8"/>
  <c r="C598" i="7"/>
  <c r="A603" i="9"/>
  <c r="A603" i="11"/>
  <c r="D623" i="11"/>
  <c r="C623" i="8"/>
  <c r="C623" i="9"/>
  <c r="A633" i="9"/>
  <c r="A633" i="8"/>
  <c r="B637" i="9"/>
  <c r="B637" i="8"/>
  <c r="C637" i="11"/>
  <c r="B637" i="7"/>
  <c r="A658" i="7"/>
  <c r="A658" i="8"/>
  <c r="A658" i="11"/>
  <c r="A658" i="9"/>
  <c r="B658" i="5"/>
  <c r="C678" i="9"/>
  <c r="C678" i="7"/>
  <c r="C678" i="8"/>
  <c r="D678" i="11"/>
  <c r="B687" i="9"/>
  <c r="C687" i="11"/>
  <c r="B687" i="7"/>
  <c r="A700" i="11"/>
  <c r="A700" i="8"/>
  <c r="A700" i="7"/>
  <c r="A700" i="9"/>
  <c r="A708" i="9"/>
  <c r="A708" i="11"/>
  <c r="A708" i="7"/>
  <c r="B708" i="5"/>
  <c r="A754" i="11"/>
  <c r="A754" i="7"/>
  <c r="B758" i="8"/>
  <c r="B758" i="9"/>
  <c r="D762" i="11"/>
  <c r="C762" i="8"/>
  <c r="A776" i="11"/>
  <c r="A776" i="8"/>
  <c r="A776" i="9"/>
  <c r="A776" i="7"/>
  <c r="A792" i="16"/>
  <c r="A792" i="20"/>
  <c r="A792" i="19"/>
  <c r="C796" i="11"/>
  <c r="B796" i="9"/>
  <c r="A810" i="9"/>
  <c r="A810" i="8"/>
  <c r="A810" i="11"/>
  <c r="D814" i="11"/>
  <c r="C814" i="8"/>
  <c r="D823" i="11"/>
  <c r="C823" i="8"/>
  <c r="C823" i="9"/>
  <c r="H11" i="16"/>
  <c r="P11" i="16" s="1"/>
  <c r="H11" i="20"/>
  <c r="F11" i="19"/>
  <c r="H35" i="16"/>
  <c r="P35" i="16" s="1"/>
  <c r="H35" i="20"/>
  <c r="F35" i="19"/>
  <c r="H205" i="16"/>
  <c r="P205" i="16" s="1"/>
  <c r="H205" i="20"/>
  <c r="F205" i="19"/>
  <c r="D218" i="9"/>
  <c r="D348" i="9"/>
  <c r="D417" i="9"/>
  <c r="D426" i="9"/>
  <c r="C458" i="8"/>
  <c r="D471" i="9"/>
  <c r="H557" i="16"/>
  <c r="P557" i="16" s="1"/>
  <c r="H557" i="20"/>
  <c r="F557" i="19"/>
  <c r="D656" i="9"/>
  <c r="D716" i="9"/>
  <c r="D726" i="9"/>
  <c r="I11" i="16"/>
  <c r="M11" i="16" s="1"/>
  <c r="G11" i="20"/>
  <c r="G11" i="19"/>
  <c r="J11" i="19" s="1"/>
  <c r="A19" i="16"/>
  <c r="A19" i="20"/>
  <c r="A19" i="19"/>
  <c r="A38" i="16"/>
  <c r="A38" i="20"/>
  <c r="A38" i="19"/>
  <c r="G101" i="20"/>
  <c r="I101" i="16"/>
  <c r="M101" i="16" s="1"/>
  <c r="G101" i="19"/>
  <c r="J101" i="19" s="1"/>
  <c r="C111" i="16"/>
  <c r="F111" i="20"/>
  <c r="E111" i="19"/>
  <c r="L151" i="19"/>
  <c r="H151" i="19"/>
  <c r="I307" i="16"/>
  <c r="M307" i="16" s="1"/>
  <c r="G307" i="20"/>
  <c r="G307" i="19"/>
  <c r="J307" i="19" s="1"/>
  <c r="A338" i="20"/>
  <c r="A338" i="19"/>
  <c r="A338" i="16"/>
  <c r="I347" i="16"/>
  <c r="M347" i="16" s="1"/>
  <c r="G347" i="20"/>
  <c r="G347" i="19"/>
  <c r="J347" i="19" s="1"/>
  <c r="H376" i="16"/>
  <c r="P376" i="16" s="1"/>
  <c r="H376" i="20"/>
  <c r="F376" i="19"/>
  <c r="D381" i="9"/>
  <c r="A400" i="16"/>
  <c r="A400" i="19"/>
  <c r="A400" i="20"/>
  <c r="I420" i="16"/>
  <c r="M420" i="16" s="1"/>
  <c r="G420" i="20"/>
  <c r="G420" i="19"/>
  <c r="J420" i="19" s="1"/>
  <c r="H429" i="16"/>
  <c r="P429" i="16" s="1"/>
  <c r="H429" i="20"/>
  <c r="F429" i="19"/>
  <c r="I440" i="16"/>
  <c r="M440" i="16" s="1"/>
  <c r="G440" i="20"/>
  <c r="G440" i="19"/>
  <c r="J440" i="19" s="1"/>
  <c r="C444" i="16"/>
  <c r="F444" i="20"/>
  <c r="E444" i="19"/>
  <c r="I499" i="16"/>
  <c r="M499" i="16" s="1"/>
  <c r="G499" i="19"/>
  <c r="J499" i="19" s="1"/>
  <c r="G499" i="20"/>
  <c r="H505" i="16"/>
  <c r="P505" i="16" s="1"/>
  <c r="H505" i="20"/>
  <c r="F505" i="19"/>
  <c r="H525" i="16"/>
  <c r="P525" i="16" s="1"/>
  <c r="H525" i="20"/>
  <c r="F525" i="19"/>
  <c r="I570" i="16"/>
  <c r="M570" i="16" s="1"/>
  <c r="G570" i="20"/>
  <c r="G570" i="19"/>
  <c r="J570" i="19" s="1"/>
  <c r="H637" i="16"/>
  <c r="P637" i="16" s="1"/>
  <c r="H637" i="20"/>
  <c r="F637" i="19"/>
  <c r="H653" i="16"/>
  <c r="P653" i="16" s="1"/>
  <c r="H653" i="20"/>
  <c r="F653" i="19"/>
  <c r="H747" i="16"/>
  <c r="P747" i="16" s="1"/>
  <c r="H747" i="20"/>
  <c r="F747" i="19"/>
  <c r="I752" i="16"/>
  <c r="M752" i="16" s="1"/>
  <c r="G752" i="20"/>
  <c r="G752" i="19"/>
  <c r="J752" i="19" s="1"/>
  <c r="A795" i="16"/>
  <c r="A795" i="20"/>
  <c r="A795" i="19"/>
  <c r="H803" i="16"/>
  <c r="P803" i="16" s="1"/>
  <c r="H803" i="20"/>
  <c r="F803" i="19"/>
  <c r="A821" i="20"/>
  <c r="A821" i="16"/>
  <c r="A821" i="19"/>
  <c r="W5" i="20"/>
  <c r="L5" i="10"/>
  <c r="AQ5" i="10"/>
  <c r="W66" i="20"/>
  <c r="AQ66" i="10"/>
  <c r="L66" i="10"/>
  <c r="C758" i="11"/>
  <c r="M63" i="19"/>
  <c r="I434" i="19"/>
  <c r="H455" i="19"/>
  <c r="M482" i="20"/>
  <c r="J482" i="20"/>
  <c r="C524" i="7"/>
  <c r="D524" i="11"/>
  <c r="C524" i="8"/>
  <c r="AX44" i="19"/>
  <c r="I63" i="19"/>
  <c r="K166" i="20"/>
  <c r="H779" i="16"/>
  <c r="P779" i="16" s="1"/>
  <c r="H779" i="20"/>
  <c r="F779" i="19"/>
  <c r="AN18" i="10"/>
  <c r="Q18" i="20" s="1"/>
  <c r="O18" i="10"/>
  <c r="AU18" i="10"/>
  <c r="W30" i="20"/>
  <c r="AQ30" i="10"/>
  <c r="L30" i="10"/>
  <c r="W57" i="20"/>
  <c r="AQ57" i="10"/>
  <c r="M48" i="19"/>
  <c r="L455" i="19"/>
  <c r="D413" i="9"/>
  <c r="H439" i="20"/>
  <c r="H439" i="16"/>
  <c r="P439" i="16" s="1"/>
  <c r="F439" i="19"/>
  <c r="H486" i="16"/>
  <c r="P486" i="16" s="1"/>
  <c r="H486" i="20"/>
  <c r="F486" i="19"/>
  <c r="H580" i="16"/>
  <c r="P580" i="16" s="1"/>
  <c r="H580" i="20"/>
  <c r="F580" i="19"/>
  <c r="D597" i="9"/>
  <c r="D688" i="9"/>
  <c r="G25" i="20"/>
  <c r="I25" i="16"/>
  <c r="M25" i="16" s="1"/>
  <c r="G25" i="19"/>
  <c r="J25" i="19" s="1"/>
  <c r="I67" i="16"/>
  <c r="M67" i="16" s="1"/>
  <c r="G67" i="20"/>
  <c r="G67" i="19"/>
  <c r="J67" i="19" s="1"/>
  <c r="H86" i="16"/>
  <c r="P86" i="16" s="1"/>
  <c r="H86" i="20"/>
  <c r="F86" i="19"/>
  <c r="I119" i="16"/>
  <c r="M119" i="16" s="1"/>
  <c r="G119" i="20"/>
  <c r="G119" i="19"/>
  <c r="J119" i="19" s="1"/>
  <c r="I148" i="16"/>
  <c r="M148" i="16" s="1"/>
  <c r="G148" i="20"/>
  <c r="I163" i="16"/>
  <c r="M163" i="16" s="1"/>
  <c r="G163" i="20"/>
  <c r="G163" i="19"/>
  <c r="G181" i="20"/>
  <c r="I181" i="16"/>
  <c r="M181" i="16" s="1"/>
  <c r="G181" i="19"/>
  <c r="J181" i="19" s="1"/>
  <c r="B195" i="20"/>
  <c r="AL195" i="20" s="1"/>
  <c r="B195" i="19"/>
  <c r="H200" i="16"/>
  <c r="P200" i="16" s="1"/>
  <c r="H200" i="20"/>
  <c r="F200" i="19"/>
  <c r="C209" i="16"/>
  <c r="F209" i="20"/>
  <c r="H308" i="16"/>
  <c r="P308" i="16" s="1"/>
  <c r="H308" i="20"/>
  <c r="F308" i="19"/>
  <c r="I341" i="16"/>
  <c r="M341" i="16" s="1"/>
  <c r="G341" i="20"/>
  <c r="H370" i="16"/>
  <c r="P370" i="16" s="1"/>
  <c r="H370" i="20"/>
  <c r="F370" i="19"/>
  <c r="A388" i="16"/>
  <c r="A388" i="20"/>
  <c r="A388" i="19"/>
  <c r="G469" i="20"/>
  <c r="I469" i="16"/>
  <c r="M469" i="16" s="1"/>
  <c r="G469" i="19"/>
  <c r="J469" i="19" s="1"/>
  <c r="H498" i="16"/>
  <c r="P498" i="16" s="1"/>
  <c r="H498" i="20"/>
  <c r="F498" i="19"/>
  <c r="A536" i="16"/>
  <c r="A536" i="19"/>
  <c r="A536" i="20"/>
  <c r="I555" i="16"/>
  <c r="M555" i="16" s="1"/>
  <c r="G555" i="20"/>
  <c r="G555" i="19"/>
  <c r="J555" i="19" s="1"/>
  <c r="A586" i="16"/>
  <c r="A586" i="20"/>
  <c r="A586" i="19"/>
  <c r="C621" i="16"/>
  <c r="F621" i="20"/>
  <c r="E621" i="19"/>
  <c r="I735" i="16"/>
  <c r="M735" i="16" s="1"/>
  <c r="G735" i="20"/>
  <c r="G735" i="19"/>
  <c r="J735" i="19" s="1"/>
  <c r="A756" i="16"/>
  <c r="A756" i="20"/>
  <c r="A756" i="19"/>
  <c r="A809" i="16"/>
  <c r="A809" i="20"/>
  <c r="A809" i="19"/>
  <c r="AU7" i="10"/>
  <c r="AN7" i="10"/>
  <c r="Q7" i="20" s="1"/>
  <c r="I48" i="19"/>
  <c r="I143" i="19"/>
  <c r="I220" i="19"/>
  <c r="D116" i="9"/>
  <c r="D124" i="9"/>
  <c r="H405" i="16"/>
  <c r="P405" i="16" s="1"/>
  <c r="H405" i="20"/>
  <c r="F405" i="19"/>
  <c r="H546" i="16"/>
  <c r="P546" i="16" s="1"/>
  <c r="H546" i="20"/>
  <c r="F546" i="19"/>
  <c r="D752" i="9"/>
  <c r="D799" i="9"/>
  <c r="A5" i="16"/>
  <c r="A5" i="20"/>
  <c r="A5" i="19"/>
  <c r="H9" i="16"/>
  <c r="P9" i="16" s="1"/>
  <c r="H9" i="20"/>
  <c r="F9" i="19"/>
  <c r="H53" i="16"/>
  <c r="P53" i="16" s="1"/>
  <c r="H53" i="20"/>
  <c r="F53" i="19"/>
  <c r="I72" i="16"/>
  <c r="M72" i="16" s="1"/>
  <c r="G72" i="20"/>
  <c r="G72" i="19"/>
  <c r="J72" i="19" s="1"/>
  <c r="G86" i="20"/>
  <c r="I86" i="16"/>
  <c r="M86" i="16" s="1"/>
  <c r="A96" i="20"/>
  <c r="A96" i="16"/>
  <c r="A96" i="19"/>
  <c r="C145" i="16"/>
  <c r="F145" i="20"/>
  <c r="E145" i="19"/>
  <c r="A168" i="16"/>
  <c r="A168" i="20"/>
  <c r="A168" i="19"/>
  <c r="I200" i="16"/>
  <c r="M200" i="16" s="1"/>
  <c r="G200" i="20"/>
  <c r="G200" i="19"/>
  <c r="J200" i="19" s="1"/>
  <c r="I218" i="16"/>
  <c r="M218" i="16" s="1"/>
  <c r="G218" i="19"/>
  <c r="J218" i="19" s="1"/>
  <c r="G218" i="20"/>
  <c r="M223" i="20"/>
  <c r="J223" i="20"/>
  <c r="H233" i="16"/>
  <c r="P233" i="16" s="1"/>
  <c r="H233" i="20"/>
  <c r="F233" i="19"/>
  <c r="A256" i="16"/>
  <c r="A256" i="20"/>
  <c r="A256" i="19"/>
  <c r="I270" i="16"/>
  <c r="M270" i="16" s="1"/>
  <c r="G270" i="20"/>
  <c r="C274" i="16"/>
  <c r="F274" i="20"/>
  <c r="E274" i="19"/>
  <c r="C365" i="16"/>
  <c r="F365" i="20"/>
  <c r="E365" i="19"/>
  <c r="I370" i="16"/>
  <c r="M370" i="16" s="1"/>
  <c r="G370" i="20"/>
  <c r="G370" i="19"/>
  <c r="J370" i="19" s="1"/>
  <c r="A384" i="16"/>
  <c r="A384" i="20"/>
  <c r="A384" i="19"/>
  <c r="B388" i="16"/>
  <c r="E388" i="20"/>
  <c r="AM388" i="20" s="1"/>
  <c r="I417" i="16"/>
  <c r="M417" i="16" s="1"/>
  <c r="G417" i="20"/>
  <c r="G417" i="19"/>
  <c r="J417" i="19" s="1"/>
  <c r="C455" i="16"/>
  <c r="F455" i="20"/>
  <c r="H479" i="16"/>
  <c r="P479" i="16" s="1"/>
  <c r="H479" i="20"/>
  <c r="F479" i="19"/>
  <c r="B483" i="20"/>
  <c r="AL483" i="20" s="1"/>
  <c r="B483" i="19"/>
  <c r="I498" i="16"/>
  <c r="M498" i="16" s="1"/>
  <c r="G498" i="20"/>
  <c r="G498" i="19"/>
  <c r="J498" i="19" s="1"/>
  <c r="I513" i="16"/>
  <c r="M513" i="16" s="1"/>
  <c r="G513" i="20"/>
  <c r="I517" i="16"/>
  <c r="M517" i="16" s="1"/>
  <c r="G517" i="20"/>
  <c r="G517" i="19"/>
  <c r="J517" i="19" s="1"/>
  <c r="H575" i="16"/>
  <c r="P575" i="16" s="1"/>
  <c r="H575" i="20"/>
  <c r="F575" i="19"/>
  <c r="G595" i="20"/>
  <c r="I595" i="16"/>
  <c r="M595" i="16" s="1"/>
  <c r="G595" i="19"/>
  <c r="J595" i="19" s="1"/>
  <c r="I680" i="16"/>
  <c r="M680" i="16" s="1"/>
  <c r="G680" i="19"/>
  <c r="J680" i="19" s="1"/>
  <c r="G680" i="20"/>
  <c r="D715" i="9"/>
  <c r="C771" i="16"/>
  <c r="F771" i="20"/>
  <c r="E771" i="19"/>
  <c r="C791" i="16"/>
  <c r="F791" i="20"/>
  <c r="E791" i="19"/>
  <c r="O7" i="10"/>
  <c r="AU46" i="10"/>
  <c r="AN46" i="10"/>
  <c r="Q46" i="20" s="1"/>
  <c r="O46" i="10"/>
  <c r="F7" i="18" s="1"/>
  <c r="H7" i="18" s="1"/>
  <c r="K50" i="20"/>
  <c r="M374" i="20"/>
  <c r="B22" i="8"/>
  <c r="B22" i="9"/>
  <c r="C22" i="11"/>
  <c r="B22" i="7"/>
  <c r="A41" i="11"/>
  <c r="A41" i="9"/>
  <c r="A41" i="7"/>
  <c r="A41" i="8"/>
  <c r="A87" i="9"/>
  <c r="A87" i="11"/>
  <c r="A87" i="7"/>
  <c r="A87" i="8"/>
  <c r="A141" i="9"/>
  <c r="A141" i="8"/>
  <c r="A141" i="11"/>
  <c r="A160" i="11"/>
  <c r="A160" i="7"/>
  <c r="A160" i="8"/>
  <c r="B201" i="9"/>
  <c r="B201" i="8"/>
  <c r="A361" i="9"/>
  <c r="A361" i="8"/>
  <c r="A361" i="7"/>
  <c r="A554" i="11"/>
  <c r="A554" i="9"/>
  <c r="D138" i="9"/>
  <c r="D164" i="9"/>
  <c r="H297" i="16"/>
  <c r="P297" i="16" s="1"/>
  <c r="F297" i="19"/>
  <c r="H297" i="20"/>
  <c r="D369" i="9"/>
  <c r="D585" i="9"/>
  <c r="I61" i="16"/>
  <c r="M61" i="16" s="1"/>
  <c r="G61" i="20"/>
  <c r="G61" i="19"/>
  <c r="J61" i="19" s="1"/>
  <c r="I149" i="16"/>
  <c r="M149" i="16" s="1"/>
  <c r="G149" i="19"/>
  <c r="J149" i="19" s="1"/>
  <c r="G149" i="20"/>
  <c r="H235" i="16"/>
  <c r="P235" i="16" s="1"/>
  <c r="H235" i="20"/>
  <c r="B638" i="16"/>
  <c r="E638" i="20"/>
  <c r="AM638" i="20" s="1"/>
  <c r="T37" i="11"/>
  <c r="A30" i="9"/>
  <c r="A30" i="11"/>
  <c r="A30" i="8"/>
  <c r="A30" i="7"/>
  <c r="B41" i="5"/>
  <c r="C255" i="11"/>
  <c r="B255" i="9"/>
  <c r="B255" i="7"/>
  <c r="A297" i="9"/>
  <c r="A297" i="11"/>
  <c r="A327" i="16"/>
  <c r="A327" i="20"/>
  <c r="A327" i="19"/>
  <c r="B361" i="5"/>
  <c r="D455" i="11"/>
  <c r="C455" i="7"/>
  <c r="A543" i="9"/>
  <c r="A543" i="8"/>
  <c r="A543" i="11"/>
  <c r="B554" i="5"/>
  <c r="A581" i="9"/>
  <c r="A581" i="8"/>
  <c r="B804" i="5"/>
  <c r="D310" i="9"/>
  <c r="D398" i="9"/>
  <c r="H595" i="16"/>
  <c r="P595" i="16" s="1"/>
  <c r="H595" i="20"/>
  <c r="F595" i="19"/>
  <c r="I235" i="16"/>
  <c r="M235" i="16" s="1"/>
  <c r="G235" i="20"/>
  <c r="G235" i="19"/>
  <c r="J235" i="19" s="1"/>
  <c r="A320" i="16"/>
  <c r="A320" i="20"/>
  <c r="A320" i="19"/>
  <c r="C371" i="16"/>
  <c r="E371" i="19"/>
  <c r="F371" i="20"/>
  <c r="I382" i="16"/>
  <c r="M382" i="16" s="1"/>
  <c r="G382" i="20"/>
  <c r="G382" i="19"/>
  <c r="J382" i="19" s="1"/>
  <c r="I396" i="16"/>
  <c r="M396" i="16" s="1"/>
  <c r="G396" i="19"/>
  <c r="J396" i="19" s="1"/>
  <c r="G396" i="20"/>
  <c r="H415" i="20"/>
  <c r="H415" i="16"/>
  <c r="P415" i="16" s="1"/>
  <c r="F415" i="19"/>
  <c r="B426" i="16"/>
  <c r="E426" i="20"/>
  <c r="AM426" i="20" s="1"/>
  <c r="C441" i="16"/>
  <c r="F441" i="20"/>
  <c r="E441" i="19"/>
  <c r="I452" i="16"/>
  <c r="M452" i="16" s="1"/>
  <c r="G452" i="20"/>
  <c r="G452" i="19"/>
  <c r="J452" i="19" s="1"/>
  <c r="C475" i="16"/>
  <c r="F475" i="20"/>
  <c r="E475" i="19"/>
  <c r="D485" i="9"/>
  <c r="C511" i="16"/>
  <c r="F511" i="20"/>
  <c r="E511" i="19"/>
  <c r="I522" i="16"/>
  <c r="M522" i="16" s="1"/>
  <c r="G522" i="20"/>
  <c r="G522" i="19"/>
  <c r="J522" i="19" s="1"/>
  <c r="A552" i="16"/>
  <c r="A552" i="20"/>
  <c r="A552" i="19"/>
  <c r="I760" i="16"/>
  <c r="M760" i="16" s="1"/>
  <c r="G760" i="20"/>
  <c r="G760" i="19"/>
  <c r="J760" i="19" s="1"/>
  <c r="I818" i="16"/>
  <c r="M818" i="16" s="1"/>
  <c r="G818" i="20"/>
  <c r="G818" i="19"/>
  <c r="J818" i="19" s="1"/>
  <c r="W48" i="20"/>
  <c r="AQ48" i="10"/>
  <c r="H818" i="16"/>
  <c r="P818" i="16" s="1"/>
  <c r="C68" i="8"/>
  <c r="C68" i="9"/>
  <c r="C88" i="16"/>
  <c r="F88" i="20"/>
  <c r="C241" i="8"/>
  <c r="C241" i="7"/>
  <c r="D241" i="11"/>
  <c r="C261" i="8"/>
  <c r="C261" i="9"/>
  <c r="B15" i="5"/>
  <c r="C22" i="9"/>
  <c r="D22" i="11"/>
  <c r="C22" i="7"/>
  <c r="B30" i="5"/>
  <c r="B41" i="9"/>
  <c r="B41" i="7"/>
  <c r="B41" i="8"/>
  <c r="C41" i="11"/>
  <c r="L49" i="9"/>
  <c r="B49" i="11"/>
  <c r="B52" i="9"/>
  <c r="B52" i="7"/>
  <c r="B64" i="5"/>
  <c r="A68" i="11"/>
  <c r="A68" i="8"/>
  <c r="A68" i="9"/>
  <c r="B68" i="5"/>
  <c r="B91" i="9"/>
  <c r="B91" i="7"/>
  <c r="B107" i="5"/>
  <c r="A111" i="9"/>
  <c r="A111" i="7"/>
  <c r="D114" i="11"/>
  <c r="C114" i="7"/>
  <c r="B126" i="5"/>
  <c r="A130" i="8"/>
  <c r="A130" i="9"/>
  <c r="A130" i="7"/>
  <c r="B141" i="9"/>
  <c r="B141" i="8"/>
  <c r="C141" i="11"/>
  <c r="B149" i="20"/>
  <c r="AL149" i="20" s="1"/>
  <c r="B149" i="19"/>
  <c r="C152" i="11"/>
  <c r="B152" i="9"/>
  <c r="B152" i="8"/>
  <c r="B152" i="7"/>
  <c r="C175" i="11"/>
  <c r="B175" i="9"/>
  <c r="B175" i="7"/>
  <c r="B175" i="8"/>
  <c r="A194" i="16"/>
  <c r="A194" i="20"/>
  <c r="A194" i="19"/>
  <c r="A217" i="16"/>
  <c r="A217" i="20"/>
  <c r="B240" i="5"/>
  <c r="B267" i="5"/>
  <c r="A271" i="9"/>
  <c r="A271" i="11"/>
  <c r="A271" i="7"/>
  <c r="A271" i="8"/>
  <c r="D278" i="11"/>
  <c r="C278" i="9"/>
  <c r="C278" i="8"/>
  <c r="C278" i="7"/>
  <c r="A290" i="8"/>
  <c r="A290" i="9"/>
  <c r="B297" i="5"/>
  <c r="A301" i="9"/>
  <c r="A301" i="11"/>
  <c r="A301" i="8"/>
  <c r="A301" i="7"/>
  <c r="C304" i="7"/>
  <c r="C304" i="9"/>
  <c r="A316" i="11"/>
  <c r="A316" i="7"/>
  <c r="A316" i="8"/>
  <c r="A316" i="9"/>
  <c r="B327" i="5"/>
  <c r="A331" i="9"/>
  <c r="A331" i="7"/>
  <c r="A331" i="8"/>
  <c r="C338" i="7"/>
  <c r="D338" i="11"/>
  <c r="A346" i="11"/>
  <c r="A346" i="7"/>
  <c r="A346" i="8"/>
  <c r="B361" i="9"/>
  <c r="B361" i="8"/>
  <c r="B369" i="11"/>
  <c r="L369" i="9"/>
  <c r="B372" i="9"/>
  <c r="B372" i="8"/>
  <c r="A403" i="9"/>
  <c r="A403" i="11"/>
  <c r="A418" i="7"/>
  <c r="A418" i="11"/>
  <c r="B418" i="5"/>
  <c r="B433" i="5"/>
  <c r="A437" i="9"/>
  <c r="A437" i="8"/>
  <c r="A437" i="11"/>
  <c r="C448" i="11"/>
  <c r="B448" i="9"/>
  <c r="B448" i="7"/>
  <c r="A456" i="11"/>
  <c r="A456" i="7"/>
  <c r="A456" i="9"/>
  <c r="A471" i="9"/>
  <c r="A471" i="11"/>
  <c r="A471" i="7"/>
  <c r="D474" i="11"/>
  <c r="C474" i="9"/>
  <c r="C474" i="8"/>
  <c r="B486" i="5"/>
  <c r="A490" i="8"/>
  <c r="A490" i="11"/>
  <c r="B520" i="5"/>
  <c r="C535" i="11"/>
  <c r="B535" i="9"/>
  <c r="B535" i="8"/>
  <c r="B543" i="5"/>
  <c r="A547" i="16"/>
  <c r="A547" i="20"/>
  <c r="A547" i="19"/>
  <c r="D558" i="11"/>
  <c r="C558" i="9"/>
  <c r="A570" i="11"/>
  <c r="A570" i="8"/>
  <c r="A570" i="9"/>
  <c r="B581" i="5"/>
  <c r="B600" i="5"/>
  <c r="B611" i="9"/>
  <c r="B611" i="7"/>
  <c r="B611" i="8"/>
  <c r="B619" i="11"/>
  <c r="L619" i="9"/>
  <c r="B645" i="9"/>
  <c r="C645" i="11"/>
  <c r="A664" i="9"/>
  <c r="A664" i="7"/>
  <c r="A691" i="9"/>
  <c r="A691" i="7"/>
  <c r="C694" i="16"/>
  <c r="E694" i="19"/>
  <c r="F694" i="20"/>
  <c r="D698" i="11"/>
  <c r="C698" i="9"/>
  <c r="C698" i="8"/>
  <c r="B706" i="5"/>
  <c r="B721" i="9"/>
  <c r="C721" i="11"/>
  <c r="B729" i="11"/>
  <c r="L729" i="9"/>
  <c r="B732" i="9"/>
  <c r="B732" i="8"/>
  <c r="B755" i="9"/>
  <c r="B755" i="8"/>
  <c r="A774" i="8"/>
  <c r="A774" i="11"/>
  <c r="A774" i="9"/>
  <c r="A774" i="7"/>
  <c r="A793" i="11"/>
  <c r="A793" i="9"/>
  <c r="A813" i="9"/>
  <c r="A813" i="8"/>
  <c r="A2" i="7"/>
  <c r="A76" i="7"/>
  <c r="A88" i="7"/>
  <c r="B119" i="7"/>
  <c r="A236" i="7"/>
  <c r="A320" i="7"/>
  <c r="B415" i="7"/>
  <c r="B425" i="7"/>
  <c r="A554" i="7"/>
  <c r="A616" i="7"/>
  <c r="B721" i="7"/>
  <c r="D158" i="9"/>
  <c r="D197" i="9"/>
  <c r="A217" i="8"/>
  <c r="H220" i="16"/>
  <c r="P220" i="16" s="1"/>
  <c r="H220" i="20"/>
  <c r="B320" i="8"/>
  <c r="H389" i="16"/>
  <c r="P389" i="16" s="1"/>
  <c r="H389" i="20"/>
  <c r="F389" i="19"/>
  <c r="A418" i="8"/>
  <c r="D421" i="9"/>
  <c r="C505" i="8"/>
  <c r="H514" i="16"/>
  <c r="P514" i="16" s="1"/>
  <c r="H514" i="20"/>
  <c r="F514" i="19"/>
  <c r="D524" i="9"/>
  <c r="C528" i="8"/>
  <c r="C558" i="8"/>
  <c r="D578" i="9"/>
  <c r="H602" i="16"/>
  <c r="P602" i="16" s="1"/>
  <c r="H602" i="20"/>
  <c r="F602" i="19"/>
  <c r="D609" i="9"/>
  <c r="H626" i="16"/>
  <c r="P626" i="16" s="1"/>
  <c r="H626" i="20"/>
  <c r="F626" i="19"/>
  <c r="A706" i="8"/>
  <c r="A710" i="8"/>
  <c r="D730" i="9"/>
  <c r="D733" i="9"/>
  <c r="B744" i="8"/>
  <c r="A748" i="8"/>
  <c r="H10" i="20"/>
  <c r="H10" i="16"/>
  <c r="P10" i="16" s="1"/>
  <c r="F10" i="19"/>
  <c r="I33" i="16"/>
  <c r="M33" i="16" s="1"/>
  <c r="G33" i="20"/>
  <c r="H51" i="16"/>
  <c r="P51" i="16" s="1"/>
  <c r="H51" i="20"/>
  <c r="F51" i="19"/>
  <c r="I69" i="16"/>
  <c r="M69" i="16" s="1"/>
  <c r="G69" i="20"/>
  <c r="G69" i="19"/>
  <c r="J69" i="19" s="1"/>
  <c r="I80" i="16"/>
  <c r="M80" i="16" s="1"/>
  <c r="G80" i="20"/>
  <c r="G80" i="19"/>
  <c r="J80" i="19" s="1"/>
  <c r="C91" i="16"/>
  <c r="F91" i="20"/>
  <c r="E91" i="19"/>
  <c r="I98" i="16"/>
  <c r="M98" i="16" s="1"/>
  <c r="G98" i="20"/>
  <c r="G98" i="19"/>
  <c r="J98" i="19" s="1"/>
  <c r="I116" i="16"/>
  <c r="M116" i="16" s="1"/>
  <c r="G116" i="20"/>
  <c r="G116" i="19"/>
  <c r="J116" i="19" s="1"/>
  <c r="I150" i="16"/>
  <c r="M150" i="16" s="1"/>
  <c r="G150" i="20"/>
  <c r="G150" i="19"/>
  <c r="J150" i="19" s="1"/>
  <c r="C161" i="16"/>
  <c r="F161" i="20"/>
  <c r="E161" i="19"/>
  <c r="I165" i="16"/>
  <c r="M165" i="16" s="1"/>
  <c r="G165" i="20"/>
  <c r="G165" i="19"/>
  <c r="J165" i="19" s="1"/>
  <c r="I191" i="16"/>
  <c r="M191" i="16" s="1"/>
  <c r="G191" i="20"/>
  <c r="G191" i="19"/>
  <c r="J191" i="19" s="1"/>
  <c r="H198" i="16"/>
  <c r="P198" i="16" s="1"/>
  <c r="H198" i="20"/>
  <c r="F198" i="19"/>
  <c r="A206" i="9"/>
  <c r="H213" i="20"/>
  <c r="H213" i="16"/>
  <c r="P213" i="16" s="1"/>
  <c r="F213" i="19"/>
  <c r="I256" i="16"/>
  <c r="M256" i="16" s="1"/>
  <c r="G256" i="20"/>
  <c r="C301" i="16"/>
  <c r="F301" i="20"/>
  <c r="E301" i="19"/>
  <c r="I305" i="16"/>
  <c r="M305" i="16" s="1"/>
  <c r="G305" i="20"/>
  <c r="G305" i="19"/>
  <c r="J305" i="19" s="1"/>
  <c r="I312" i="16"/>
  <c r="M312" i="16" s="1"/>
  <c r="G312" i="20"/>
  <c r="G312" i="19"/>
  <c r="J312" i="19" s="1"/>
  <c r="B320" i="9"/>
  <c r="I327" i="16"/>
  <c r="M327" i="16" s="1"/>
  <c r="G327" i="20"/>
  <c r="I335" i="16"/>
  <c r="M335" i="16" s="1"/>
  <c r="G335" i="20"/>
  <c r="G335" i="19"/>
  <c r="J335" i="19" s="1"/>
  <c r="H338" i="16"/>
  <c r="P338" i="16" s="1"/>
  <c r="H338" i="20"/>
  <c r="F338" i="19"/>
  <c r="I349" i="16"/>
  <c r="M349" i="16" s="1"/>
  <c r="G349" i="20"/>
  <c r="G349" i="19"/>
  <c r="J349" i="19" s="1"/>
  <c r="H371" i="16"/>
  <c r="P371" i="16" s="1"/>
  <c r="H371" i="20"/>
  <c r="F371" i="19"/>
  <c r="I375" i="16"/>
  <c r="M375" i="16" s="1"/>
  <c r="G375" i="20"/>
  <c r="G375" i="19"/>
  <c r="J375" i="19" s="1"/>
  <c r="H419" i="20"/>
  <c r="H419" i="16"/>
  <c r="P419" i="16" s="1"/>
  <c r="F419" i="19"/>
  <c r="H441" i="16"/>
  <c r="P441" i="16" s="1"/>
  <c r="H441" i="20"/>
  <c r="F441" i="19"/>
  <c r="B460" i="9"/>
  <c r="I467" i="16"/>
  <c r="M467" i="16" s="1"/>
  <c r="G467" i="20"/>
  <c r="G467" i="19"/>
  <c r="J467" i="19" s="1"/>
  <c r="C478" i="9"/>
  <c r="I485" i="16"/>
  <c r="M485" i="16" s="1"/>
  <c r="G485" i="20"/>
  <c r="G485" i="19"/>
  <c r="J485" i="19" s="1"/>
  <c r="I489" i="16"/>
  <c r="M489" i="16" s="1"/>
  <c r="G489" i="20"/>
  <c r="G489" i="19"/>
  <c r="J489" i="19" s="1"/>
  <c r="D511" i="9"/>
  <c r="I556" i="16"/>
  <c r="M556" i="16" s="1"/>
  <c r="G556" i="20"/>
  <c r="G556" i="19"/>
  <c r="J556" i="19" s="1"/>
  <c r="I564" i="16"/>
  <c r="M564" i="16" s="1"/>
  <c r="G564" i="20"/>
  <c r="G564" i="19"/>
  <c r="J564" i="19" s="1"/>
  <c r="A572" i="16"/>
  <c r="A572" i="20"/>
  <c r="A572" i="19"/>
  <c r="I576" i="16"/>
  <c r="M576" i="16" s="1"/>
  <c r="G576" i="20"/>
  <c r="G576" i="19"/>
  <c r="J576" i="19" s="1"/>
  <c r="I596" i="16"/>
  <c r="M596" i="16" s="1"/>
  <c r="G596" i="19"/>
  <c r="J596" i="19" s="1"/>
  <c r="G596" i="20"/>
  <c r="A600" i="9"/>
  <c r="A608" i="9"/>
  <c r="A612" i="16"/>
  <c r="A612" i="20"/>
  <c r="A612" i="19"/>
  <c r="G619" i="20"/>
  <c r="I619" i="16"/>
  <c r="M619" i="16" s="1"/>
  <c r="G619" i="19"/>
  <c r="J619" i="19" s="1"/>
  <c r="H627" i="16"/>
  <c r="P627" i="16" s="1"/>
  <c r="F627" i="19"/>
  <c r="H627" i="20"/>
  <c r="I655" i="16"/>
  <c r="M655" i="16" s="1"/>
  <c r="G655" i="20"/>
  <c r="G655" i="19"/>
  <c r="J655" i="19" s="1"/>
  <c r="H687" i="20"/>
  <c r="H687" i="16"/>
  <c r="P687" i="16" s="1"/>
  <c r="F687" i="19"/>
  <c r="I690" i="16"/>
  <c r="M690" i="16" s="1"/>
  <c r="G690" i="19"/>
  <c r="J690" i="19" s="1"/>
  <c r="G690" i="20"/>
  <c r="B702" i="9"/>
  <c r="A706" i="9"/>
  <c r="I725" i="16"/>
  <c r="M725" i="16" s="1"/>
  <c r="G725" i="20"/>
  <c r="G725" i="19"/>
  <c r="J725" i="19" s="1"/>
  <c r="H741" i="16"/>
  <c r="P741" i="16" s="1"/>
  <c r="H741" i="20"/>
  <c r="F741" i="19"/>
  <c r="I749" i="16"/>
  <c r="M749" i="16" s="1"/>
  <c r="G749" i="20"/>
  <c r="G749" i="19"/>
  <c r="J749" i="19" s="1"/>
  <c r="D765" i="9"/>
  <c r="I810" i="16"/>
  <c r="M810" i="16" s="1"/>
  <c r="G810" i="20"/>
  <c r="G810" i="19"/>
  <c r="J810" i="19" s="1"/>
  <c r="L27" i="10"/>
  <c r="W35" i="20"/>
  <c r="AQ35" i="10"/>
  <c r="L35" i="10"/>
  <c r="W40" i="20"/>
  <c r="AQ40" i="10"/>
  <c r="L48" i="10"/>
  <c r="L53" i="10"/>
  <c r="A5" i="11"/>
  <c r="B61" i="11"/>
  <c r="D94" i="11"/>
  <c r="A130" i="11"/>
  <c r="B161" i="11"/>
  <c r="A194" i="11"/>
  <c r="A240" i="11"/>
  <c r="A361" i="11"/>
  <c r="D565" i="11"/>
  <c r="C683" i="11"/>
  <c r="D744" i="11"/>
  <c r="B760" i="11"/>
  <c r="A83" i="9"/>
  <c r="A83" i="11"/>
  <c r="B259" i="20"/>
  <c r="AL259" i="20" s="1"/>
  <c r="B259" i="19"/>
  <c r="A323" i="9"/>
  <c r="A323" i="7"/>
  <c r="A338" i="11"/>
  <c r="A338" i="7"/>
  <c r="B338" i="5"/>
  <c r="D614" i="11"/>
  <c r="C614" i="9"/>
  <c r="C614" i="8"/>
  <c r="A683" i="16"/>
  <c r="A683" i="20"/>
  <c r="A683" i="19"/>
  <c r="A721" i="9"/>
  <c r="A721" i="11"/>
  <c r="H650" i="16"/>
  <c r="P650" i="16" s="1"/>
  <c r="H650" i="20"/>
  <c r="F650" i="19"/>
  <c r="A13" i="16"/>
  <c r="A13" i="20"/>
  <c r="B57" i="20"/>
  <c r="AL57" i="20" s="1"/>
  <c r="B57" i="19"/>
  <c r="I105" i="16"/>
  <c r="M105" i="16" s="1"/>
  <c r="G105" i="20"/>
  <c r="I186" i="16"/>
  <c r="M186" i="16" s="1"/>
  <c r="G186" i="20"/>
  <c r="I238" i="16"/>
  <c r="M238" i="16" s="1"/>
  <c r="G238" i="20"/>
  <c r="G238" i="19"/>
  <c r="J238" i="19" s="1"/>
  <c r="A426" i="16"/>
  <c r="A426" i="19"/>
  <c r="A426" i="20"/>
  <c r="I470" i="16"/>
  <c r="M470" i="16" s="1"/>
  <c r="G470" i="20"/>
  <c r="G470" i="19"/>
  <c r="J470" i="19" s="1"/>
  <c r="I518" i="16"/>
  <c r="M518" i="16" s="1"/>
  <c r="G518" i="20"/>
  <c r="G518" i="19"/>
  <c r="I536" i="16"/>
  <c r="M536" i="16" s="1"/>
  <c r="G536" i="20"/>
  <c r="G536" i="19"/>
  <c r="J536" i="19" s="1"/>
  <c r="I650" i="16"/>
  <c r="M650" i="16" s="1"/>
  <c r="G650" i="20"/>
  <c r="G650" i="19"/>
  <c r="J650" i="19" s="1"/>
  <c r="A682" i="19"/>
  <c r="A682" i="20"/>
  <c r="A682" i="16"/>
  <c r="I814" i="16"/>
  <c r="M814" i="16" s="1"/>
  <c r="G814" i="20"/>
  <c r="G814" i="19"/>
  <c r="J814" i="19" s="1"/>
  <c r="B4" i="9"/>
  <c r="B4" i="8"/>
  <c r="C4" i="11"/>
  <c r="B4" i="7"/>
  <c r="B87" i="5"/>
  <c r="B160" i="5"/>
  <c r="A267" i="16"/>
  <c r="A267" i="20"/>
  <c r="A267" i="19"/>
  <c r="B76" i="20"/>
  <c r="AL76" i="20" s="1"/>
  <c r="B76" i="19"/>
  <c r="B194" i="20"/>
  <c r="AL194" i="20" s="1"/>
  <c r="B194" i="19"/>
  <c r="L229" i="9"/>
  <c r="B229" i="11"/>
  <c r="C232" i="11"/>
  <c r="B232" i="9"/>
  <c r="B232" i="8"/>
  <c r="A248" i="11"/>
  <c r="A248" i="8"/>
  <c r="A248" i="7"/>
  <c r="B248" i="5"/>
  <c r="D255" i="11"/>
  <c r="C255" i="9"/>
  <c r="C255" i="7"/>
  <c r="B316" i="20"/>
  <c r="AL316" i="20" s="1"/>
  <c r="B316" i="19"/>
  <c r="B331" i="11"/>
  <c r="L331" i="9"/>
  <c r="A384" i="8"/>
  <c r="A384" i="11"/>
  <c r="D395" i="11"/>
  <c r="C395" i="9"/>
  <c r="C418" i="11"/>
  <c r="B418" i="9"/>
  <c r="B501" i="9"/>
  <c r="B501" i="8"/>
  <c r="B501" i="7"/>
  <c r="B512" i="9"/>
  <c r="B512" i="8"/>
  <c r="C512" i="11"/>
  <c r="A551" i="9"/>
  <c r="A551" i="7"/>
  <c r="A551" i="8"/>
  <c r="B691" i="11"/>
  <c r="L691" i="9"/>
  <c r="A763" i="16"/>
  <c r="A763" i="20"/>
  <c r="A763" i="19"/>
  <c r="A778" i="7"/>
  <c r="B778" i="5"/>
  <c r="A801" i="8"/>
  <c r="A801" i="11"/>
  <c r="B813" i="20"/>
  <c r="AL813" i="20" s="1"/>
  <c r="B813" i="19"/>
  <c r="A817" i="16"/>
  <c r="A817" i="19"/>
  <c r="A817" i="20"/>
  <c r="B88" i="7"/>
  <c r="A141" i="7"/>
  <c r="B236" i="7"/>
  <c r="C425" i="7"/>
  <c r="A437" i="7"/>
  <c r="C573" i="7"/>
  <c r="B19" i="8"/>
  <c r="H68" i="20"/>
  <c r="H68" i="16"/>
  <c r="P68" i="16" s="1"/>
  <c r="F68" i="19"/>
  <c r="B119" i="8"/>
  <c r="A126" i="8"/>
  <c r="H194" i="16"/>
  <c r="P194" i="16" s="1"/>
  <c r="H194" i="20"/>
  <c r="F194" i="19"/>
  <c r="H204" i="16"/>
  <c r="P204" i="16" s="1"/>
  <c r="H204" i="20"/>
  <c r="F204" i="19"/>
  <c r="A214" i="8"/>
  <c r="C259" i="8"/>
  <c r="H294" i="16"/>
  <c r="P294" i="16" s="1"/>
  <c r="H294" i="20"/>
  <c r="F294" i="19"/>
  <c r="C304" i="8"/>
  <c r="B415" i="8"/>
  <c r="B418" i="8"/>
  <c r="A444" i="8"/>
  <c r="B562" i="8"/>
  <c r="A586" i="8"/>
  <c r="D633" i="9"/>
  <c r="B661" i="8"/>
  <c r="D678" i="9"/>
  <c r="C744" i="8"/>
  <c r="H786" i="16"/>
  <c r="P786" i="16" s="1"/>
  <c r="H786" i="20"/>
  <c r="F786" i="19"/>
  <c r="A4" i="16"/>
  <c r="A4" i="20"/>
  <c r="A4" i="19"/>
  <c r="A7" i="16"/>
  <c r="A7" i="20"/>
  <c r="A7" i="19"/>
  <c r="I10" i="16"/>
  <c r="M10" i="16" s="1"/>
  <c r="G10" i="20"/>
  <c r="G10" i="19"/>
  <c r="J10" i="19" s="1"/>
  <c r="I51" i="16"/>
  <c r="M51" i="16" s="1"/>
  <c r="G51" i="20"/>
  <c r="G51" i="19"/>
  <c r="J51" i="19" s="1"/>
  <c r="A84" i="9"/>
  <c r="I95" i="16"/>
  <c r="M95" i="16" s="1"/>
  <c r="G95" i="20"/>
  <c r="G95" i="19"/>
  <c r="J95" i="19" s="1"/>
  <c r="I102" i="16"/>
  <c r="M102" i="16" s="1"/>
  <c r="G102" i="20"/>
  <c r="G102" i="19"/>
  <c r="J102" i="19" s="1"/>
  <c r="C125" i="9"/>
  <c r="I139" i="16"/>
  <c r="M139" i="16" s="1"/>
  <c r="G139" i="20"/>
  <c r="G139" i="19"/>
  <c r="J139" i="19" s="1"/>
  <c r="H143" i="16"/>
  <c r="P143" i="16" s="1"/>
  <c r="H143" i="20"/>
  <c r="I172" i="16"/>
  <c r="M172" i="16" s="1"/>
  <c r="G172" i="20"/>
  <c r="G172" i="19"/>
  <c r="J172" i="19" s="1"/>
  <c r="G176" i="20"/>
  <c r="I176" i="16"/>
  <c r="M176" i="16" s="1"/>
  <c r="I187" i="16"/>
  <c r="M187" i="16" s="1"/>
  <c r="G187" i="20"/>
  <c r="G187" i="19"/>
  <c r="J187" i="19" s="1"/>
  <c r="H195" i="16"/>
  <c r="P195" i="16" s="1"/>
  <c r="H195" i="20"/>
  <c r="F195" i="19"/>
  <c r="I198" i="16"/>
  <c r="M198" i="16" s="1"/>
  <c r="G198" i="20"/>
  <c r="I213" i="16"/>
  <c r="M213" i="16" s="1"/>
  <c r="G213" i="20"/>
  <c r="H265" i="16"/>
  <c r="P265" i="16" s="1"/>
  <c r="H265" i="20"/>
  <c r="F265" i="19"/>
  <c r="H268" i="16"/>
  <c r="P268" i="16" s="1"/>
  <c r="H268" i="20"/>
  <c r="H301" i="16"/>
  <c r="P301" i="16" s="1"/>
  <c r="H301" i="20"/>
  <c r="F301" i="19"/>
  <c r="I338" i="16"/>
  <c r="M338" i="16" s="1"/>
  <c r="G338" i="20"/>
  <c r="G338" i="19"/>
  <c r="J338" i="19" s="1"/>
  <c r="A346" i="9"/>
  <c r="H353" i="16"/>
  <c r="P353" i="16" s="1"/>
  <c r="H353" i="20"/>
  <c r="F353" i="19"/>
  <c r="H356" i="16"/>
  <c r="P356" i="16" s="1"/>
  <c r="H356" i="20"/>
  <c r="F356" i="19"/>
  <c r="I371" i="16"/>
  <c r="M371" i="16" s="1"/>
  <c r="G371" i="20"/>
  <c r="G371" i="19"/>
  <c r="J371" i="19" s="1"/>
  <c r="I405" i="16"/>
  <c r="M405" i="16" s="1"/>
  <c r="G405" i="20"/>
  <c r="G405" i="19"/>
  <c r="J405" i="19" s="1"/>
  <c r="I419" i="16"/>
  <c r="M419" i="16" s="1"/>
  <c r="G419" i="20"/>
  <c r="G419" i="19"/>
  <c r="J419" i="19" s="1"/>
  <c r="H423" i="16"/>
  <c r="P423" i="16" s="1"/>
  <c r="H423" i="20"/>
  <c r="F423" i="19"/>
  <c r="L437" i="9"/>
  <c r="I441" i="16"/>
  <c r="M441" i="16" s="1"/>
  <c r="G441" i="20"/>
  <c r="G441" i="19"/>
  <c r="J441" i="19" s="1"/>
  <c r="I475" i="16"/>
  <c r="M475" i="16" s="1"/>
  <c r="G475" i="20"/>
  <c r="G475" i="19"/>
  <c r="J475" i="19" s="1"/>
  <c r="I511" i="16"/>
  <c r="M511" i="16" s="1"/>
  <c r="G511" i="20"/>
  <c r="G511" i="19"/>
  <c r="J511" i="19" s="1"/>
  <c r="H530" i="16"/>
  <c r="P530" i="16" s="1"/>
  <c r="H530" i="20"/>
  <c r="F530" i="19"/>
  <c r="C541" i="16"/>
  <c r="F541" i="20"/>
  <c r="E541" i="19"/>
  <c r="I592" i="16"/>
  <c r="M592" i="16" s="1"/>
  <c r="G592" i="20"/>
  <c r="G592" i="19"/>
  <c r="J592" i="19" s="1"/>
  <c r="B608" i="9"/>
  <c r="I627" i="16"/>
  <c r="M627" i="16" s="1"/>
  <c r="G627" i="19"/>
  <c r="J627" i="19" s="1"/>
  <c r="G627" i="20"/>
  <c r="I631" i="16"/>
  <c r="M631" i="16" s="1"/>
  <c r="G631" i="20"/>
  <c r="G631" i="19"/>
  <c r="J631" i="19" s="1"/>
  <c r="D643" i="9"/>
  <c r="H647" i="16"/>
  <c r="P647" i="16" s="1"/>
  <c r="F647" i="19"/>
  <c r="H647" i="20"/>
  <c r="I671" i="16"/>
  <c r="M671" i="16" s="1"/>
  <c r="G671" i="20"/>
  <c r="G671" i="19"/>
  <c r="J671" i="19" s="1"/>
  <c r="I687" i="16"/>
  <c r="M687" i="16" s="1"/>
  <c r="G687" i="20"/>
  <c r="G687" i="19"/>
  <c r="J687" i="19" s="1"/>
  <c r="I741" i="16"/>
  <c r="M741" i="16" s="1"/>
  <c r="G741" i="20"/>
  <c r="G741" i="19"/>
  <c r="J741" i="19" s="1"/>
  <c r="H757" i="16"/>
  <c r="P757" i="16" s="1"/>
  <c r="F757" i="19"/>
  <c r="H757" i="20"/>
  <c r="I765" i="16"/>
  <c r="M765" i="16" s="1"/>
  <c r="G765" i="20"/>
  <c r="G765" i="19"/>
  <c r="J765" i="19" s="1"/>
  <c r="I788" i="16"/>
  <c r="M788" i="16" s="1"/>
  <c r="G788" i="19"/>
  <c r="J788" i="19" s="1"/>
  <c r="G788" i="20"/>
  <c r="A801" i="9"/>
  <c r="L32" i="10"/>
  <c r="W32" i="20"/>
  <c r="S40" i="20"/>
  <c r="U40" i="20"/>
  <c r="D45" i="11"/>
  <c r="B130" i="11"/>
  <c r="D133" i="11"/>
  <c r="B194" i="11"/>
  <c r="D217" i="11"/>
  <c r="D315" i="11"/>
  <c r="A460" i="11"/>
  <c r="B494" i="11"/>
  <c r="A547" i="11"/>
  <c r="F235" i="19"/>
  <c r="A103" i="9"/>
  <c r="A103" i="11"/>
  <c r="A118" i="11"/>
  <c r="A118" i="7"/>
  <c r="A118" i="9"/>
  <c r="B118" i="5"/>
  <c r="L209" i="9"/>
  <c r="B209" i="11"/>
  <c r="B251" i="9"/>
  <c r="B251" i="7"/>
  <c r="B251" i="8"/>
  <c r="C364" i="7"/>
  <c r="C364" i="8"/>
  <c r="D364" i="11"/>
  <c r="A463" i="11"/>
  <c r="A463" i="9"/>
  <c r="A463" i="7"/>
  <c r="A478" i="7"/>
  <c r="B478" i="5"/>
  <c r="D485" i="11"/>
  <c r="C485" i="7"/>
  <c r="A577" i="9"/>
  <c r="A577" i="11"/>
  <c r="A577" i="8"/>
  <c r="A596" i="11"/>
  <c r="A596" i="7"/>
  <c r="B679" i="11"/>
  <c r="L679" i="9"/>
  <c r="C705" i="9"/>
  <c r="D705" i="11"/>
  <c r="D728" i="11"/>
  <c r="C728" i="8"/>
  <c r="B781" i="9"/>
  <c r="B781" i="7"/>
  <c r="A804" i="9"/>
  <c r="A804" i="8"/>
  <c r="H135" i="20"/>
  <c r="H135" i="16"/>
  <c r="P135" i="16" s="1"/>
  <c r="F135" i="19"/>
  <c r="A236" i="8"/>
  <c r="D537" i="9"/>
  <c r="H740" i="16"/>
  <c r="P740" i="16" s="1"/>
  <c r="H740" i="20"/>
  <c r="F740" i="19"/>
  <c r="H46" i="20"/>
  <c r="H46" i="16"/>
  <c r="P46" i="16" s="1"/>
  <c r="F46" i="19"/>
  <c r="F76" i="20"/>
  <c r="C76" i="16"/>
  <c r="E76" i="19"/>
  <c r="H168" i="16"/>
  <c r="P168" i="16" s="1"/>
  <c r="H168" i="20"/>
  <c r="I308" i="16"/>
  <c r="M308" i="16" s="1"/>
  <c r="G308" i="20"/>
  <c r="G308" i="19"/>
  <c r="J308" i="19" s="1"/>
  <c r="C335" i="16"/>
  <c r="F335" i="20"/>
  <c r="E335" i="19"/>
  <c r="I359" i="16"/>
  <c r="M359" i="16" s="1"/>
  <c r="G359" i="20"/>
  <c r="G359" i="19"/>
  <c r="J359" i="19" s="1"/>
  <c r="I378" i="16"/>
  <c r="M378" i="16" s="1"/>
  <c r="G378" i="20"/>
  <c r="G378" i="19"/>
  <c r="J378" i="19" s="1"/>
  <c r="A478" i="9"/>
  <c r="A544" i="16"/>
  <c r="A544" i="20"/>
  <c r="A544" i="19"/>
  <c r="I603" i="16"/>
  <c r="M603" i="16" s="1"/>
  <c r="G603" i="20"/>
  <c r="G603" i="19"/>
  <c r="J603" i="19" s="1"/>
  <c r="I634" i="16"/>
  <c r="M634" i="16" s="1"/>
  <c r="G634" i="20"/>
  <c r="G634" i="19"/>
  <c r="J634" i="19" s="1"/>
  <c r="C728" i="9"/>
  <c r="B822" i="19"/>
  <c r="B822" i="20"/>
  <c r="M414" i="19"/>
  <c r="I414" i="19"/>
  <c r="B26" i="5"/>
  <c r="B60" i="5"/>
  <c r="B83" i="5"/>
  <c r="L179" i="9"/>
  <c r="B179" i="11"/>
  <c r="B323" i="5"/>
  <c r="B338" i="7"/>
  <c r="C338" i="11"/>
  <c r="A414" i="11"/>
  <c r="A414" i="8"/>
  <c r="B444" i="5"/>
  <c r="D508" i="11"/>
  <c r="C508" i="7"/>
  <c r="C584" i="7"/>
  <c r="D584" i="11"/>
  <c r="B751" i="9"/>
  <c r="B751" i="7"/>
  <c r="C751" i="11"/>
  <c r="B785" i="9"/>
  <c r="B785" i="8"/>
  <c r="C785" i="11"/>
  <c r="C75" i="7"/>
  <c r="A721" i="7"/>
  <c r="D67" i="9"/>
  <c r="H568" i="16"/>
  <c r="P568" i="16" s="1"/>
  <c r="H568" i="20"/>
  <c r="F568" i="19"/>
  <c r="G16" i="20"/>
  <c r="I16" i="16"/>
  <c r="M16" i="16" s="1"/>
  <c r="I46" i="16"/>
  <c r="M46" i="16" s="1"/>
  <c r="G46" i="20"/>
  <c r="G46" i="19"/>
  <c r="J46" i="19" s="1"/>
  <c r="C95" i="16"/>
  <c r="F95" i="20"/>
  <c r="E95" i="19"/>
  <c r="H165" i="16"/>
  <c r="P165" i="16" s="1"/>
  <c r="H165" i="20"/>
  <c r="F165" i="19"/>
  <c r="A180" i="16"/>
  <c r="A180" i="20"/>
  <c r="A180" i="19"/>
  <c r="I209" i="16"/>
  <c r="M209" i="16" s="1"/>
  <c r="G209" i="20"/>
  <c r="I393" i="16"/>
  <c r="M393" i="16" s="1"/>
  <c r="G393" i="20"/>
  <c r="A460" i="16"/>
  <c r="A460" i="20"/>
  <c r="A460" i="19"/>
  <c r="A80" i="11"/>
  <c r="A80" i="9"/>
  <c r="A80" i="8"/>
  <c r="B111" i="20"/>
  <c r="AL111" i="20" s="1"/>
  <c r="B111" i="19"/>
  <c r="A183" i="9"/>
  <c r="A183" i="7"/>
  <c r="A183" i="11"/>
  <c r="A183" i="8"/>
  <c r="C205" i="7"/>
  <c r="C205" i="8"/>
  <c r="A221" i="9"/>
  <c r="A221" i="8"/>
  <c r="B271" i="11"/>
  <c r="L271" i="9"/>
  <c r="B301" i="11"/>
  <c r="L301" i="9"/>
  <c r="D308" i="11"/>
  <c r="C308" i="7"/>
  <c r="A441" i="9"/>
  <c r="A441" i="8"/>
  <c r="A441" i="7"/>
  <c r="B471" i="11"/>
  <c r="L471" i="9"/>
  <c r="B547" i="20"/>
  <c r="AL547" i="20" s="1"/>
  <c r="B547" i="19"/>
  <c r="C554" i="16"/>
  <c r="F554" i="20"/>
  <c r="E554" i="19"/>
  <c r="B581" i="9"/>
  <c r="B581" i="8"/>
  <c r="C581" i="11"/>
  <c r="B581" i="7"/>
  <c r="B615" i="16"/>
  <c r="E615" i="20"/>
  <c r="AM615" i="20" s="1"/>
  <c r="A634" i="11"/>
  <c r="A634" i="7"/>
  <c r="A653" i="16"/>
  <c r="A653" i="20"/>
  <c r="A653" i="19"/>
  <c r="A668" i="11"/>
  <c r="A668" i="8"/>
  <c r="B668" i="5"/>
  <c r="L774" i="9"/>
  <c r="B774" i="11"/>
  <c r="A12" i="11"/>
  <c r="A12" i="9"/>
  <c r="A153" i="9"/>
  <c r="A153" i="8"/>
  <c r="A153" i="7"/>
  <c r="B160" i="7"/>
  <c r="B160" i="8"/>
  <c r="B164" i="5"/>
  <c r="C175" i="7"/>
  <c r="C175" i="8"/>
  <c r="A187" i="9"/>
  <c r="A187" i="11"/>
  <c r="B221" i="5"/>
  <c r="B271" i="9"/>
  <c r="B271" i="7"/>
  <c r="B271" i="8"/>
  <c r="C282" i="11"/>
  <c r="B282" i="9"/>
  <c r="C342" i="11"/>
  <c r="B342" i="9"/>
  <c r="A354" i="11"/>
  <c r="A354" i="8"/>
  <c r="A354" i="9"/>
  <c r="C357" i="9"/>
  <c r="C357" i="7"/>
  <c r="D357" i="11"/>
  <c r="A373" i="9"/>
  <c r="A373" i="11"/>
  <c r="B384" i="5"/>
  <c r="A388" i="11"/>
  <c r="B388" i="5"/>
  <c r="A396" i="11"/>
  <c r="A396" i="7"/>
  <c r="D399" i="11"/>
  <c r="C399" i="8"/>
  <c r="D418" i="11"/>
  <c r="C418" i="9"/>
  <c r="C418" i="7"/>
  <c r="B426" i="5"/>
  <c r="A430" i="8"/>
  <c r="A430" i="11"/>
  <c r="A430" i="9"/>
  <c r="B441" i="5"/>
  <c r="B444" i="7"/>
  <c r="B444" i="8"/>
  <c r="B460" i="5"/>
  <c r="B463" i="9"/>
  <c r="C463" i="11"/>
  <c r="B463" i="7"/>
  <c r="C471" i="11"/>
  <c r="B471" i="9"/>
  <c r="B471" i="7"/>
  <c r="B479" i="11"/>
  <c r="L479" i="9"/>
  <c r="B482" i="9"/>
  <c r="C482" i="11"/>
  <c r="B482" i="8"/>
  <c r="D493" i="11"/>
  <c r="C493" i="7"/>
  <c r="B497" i="9"/>
  <c r="C497" i="11"/>
  <c r="B497" i="8"/>
  <c r="B505" i="9"/>
  <c r="C505" i="11"/>
  <c r="C512" i="8"/>
  <c r="D512" i="11"/>
  <c r="C512" i="9"/>
  <c r="B516" i="7"/>
  <c r="C516" i="11"/>
  <c r="L528" i="9"/>
  <c r="B528" i="11"/>
  <c r="B551" i="5"/>
  <c r="C554" i="11"/>
  <c r="B554" i="9"/>
  <c r="B559" i="11"/>
  <c r="L559" i="9"/>
  <c r="C573" i="16"/>
  <c r="F573" i="20"/>
  <c r="E573" i="19"/>
  <c r="B577" i="9"/>
  <c r="C577" i="11"/>
  <c r="B577" i="8"/>
  <c r="B585" i="9"/>
  <c r="B585" i="8"/>
  <c r="D592" i="11"/>
  <c r="C592" i="8"/>
  <c r="C596" i="11"/>
  <c r="B596" i="9"/>
  <c r="B596" i="7"/>
  <c r="A604" i="7"/>
  <c r="A604" i="9"/>
  <c r="A623" i="9"/>
  <c r="A623" i="11"/>
  <c r="B630" i="8"/>
  <c r="C630" i="11"/>
  <c r="B634" i="5"/>
  <c r="A638" i="7"/>
  <c r="A638" i="11"/>
  <c r="A638" i="8"/>
  <c r="B638" i="5"/>
  <c r="D645" i="11"/>
  <c r="C645" i="9"/>
  <c r="C649" i="11"/>
  <c r="B649" i="9"/>
  <c r="B649" i="8"/>
  <c r="B649" i="7"/>
  <c r="B653" i="5"/>
  <c r="A657" i="9"/>
  <c r="A657" i="11"/>
  <c r="A657" i="7"/>
  <c r="D660" i="11"/>
  <c r="C660" i="8"/>
  <c r="C668" i="11"/>
  <c r="B668" i="9"/>
  <c r="B668" i="8"/>
  <c r="D679" i="11"/>
  <c r="C679" i="8"/>
  <c r="C679" i="7"/>
  <c r="B691" i="9"/>
  <c r="C691" i="11"/>
  <c r="B691" i="7"/>
  <c r="B699" i="11"/>
  <c r="L699" i="9"/>
  <c r="D713" i="11"/>
  <c r="C713" i="9"/>
  <c r="D717" i="11"/>
  <c r="C717" i="7"/>
  <c r="C717" i="9"/>
  <c r="C717" i="8"/>
  <c r="A733" i="9"/>
  <c r="A733" i="11"/>
  <c r="D736" i="11"/>
  <c r="C736" i="9"/>
  <c r="C736" i="8"/>
  <c r="C736" i="7"/>
  <c r="B740" i="16"/>
  <c r="E740" i="20"/>
  <c r="AM740" i="20" s="1"/>
  <c r="B744" i="5"/>
  <c r="B748" i="19"/>
  <c r="B748" i="20"/>
  <c r="AL748" i="20" s="1"/>
  <c r="C755" i="8"/>
  <c r="C755" i="9"/>
  <c r="B763" i="5"/>
  <c r="A767" i="9"/>
  <c r="A767" i="8"/>
  <c r="A767" i="7"/>
  <c r="B778" i="8"/>
  <c r="C778" i="11"/>
  <c r="A786" i="8"/>
  <c r="A786" i="9"/>
  <c r="B801" i="5"/>
  <c r="B817" i="5"/>
  <c r="C88" i="7"/>
  <c r="B141" i="7"/>
  <c r="A194" i="7"/>
  <c r="A206" i="7"/>
  <c r="A354" i="7"/>
  <c r="A490" i="7"/>
  <c r="C554" i="7"/>
  <c r="A586" i="7"/>
  <c r="A650" i="7"/>
  <c r="B755" i="7"/>
  <c r="A9" i="8"/>
  <c r="C22" i="8"/>
  <c r="H28" i="16"/>
  <c r="P28" i="16" s="1"/>
  <c r="H28" i="20"/>
  <c r="F28" i="19"/>
  <c r="H34" i="16"/>
  <c r="P34" i="16" s="1"/>
  <c r="H34" i="20"/>
  <c r="F34" i="19"/>
  <c r="H37" i="16"/>
  <c r="P37" i="16" s="1"/>
  <c r="H37" i="20"/>
  <c r="H71" i="20"/>
  <c r="H71" i="16"/>
  <c r="P71" i="16" s="1"/>
  <c r="F71" i="19"/>
  <c r="D106" i="9"/>
  <c r="D109" i="9"/>
  <c r="H191" i="16"/>
  <c r="P191" i="16" s="1"/>
  <c r="H191" i="20"/>
  <c r="F191" i="19"/>
  <c r="D207" i="9"/>
  <c r="H246" i="16"/>
  <c r="P246" i="16" s="1"/>
  <c r="H246" i="20"/>
  <c r="F246" i="19"/>
  <c r="D249" i="9"/>
  <c r="H262" i="16"/>
  <c r="P262" i="16" s="1"/>
  <c r="H262" i="20"/>
  <c r="F262" i="19"/>
  <c r="H304" i="16"/>
  <c r="P304" i="16" s="1"/>
  <c r="H304" i="20"/>
  <c r="F304" i="19"/>
  <c r="D307" i="9"/>
  <c r="H317" i="16"/>
  <c r="P317" i="16" s="1"/>
  <c r="F317" i="19"/>
  <c r="H317" i="20"/>
  <c r="A343" i="8"/>
  <c r="A373" i="8"/>
  <c r="C418" i="8"/>
  <c r="H534" i="16"/>
  <c r="P534" i="16" s="1"/>
  <c r="H534" i="20"/>
  <c r="F534" i="19"/>
  <c r="D538" i="9"/>
  <c r="C565" i="8"/>
  <c r="A596" i="8"/>
  <c r="A616" i="8"/>
  <c r="H658" i="16"/>
  <c r="P658" i="16" s="1"/>
  <c r="H658" i="20"/>
  <c r="F658" i="19"/>
  <c r="D664" i="9"/>
  <c r="C675" i="8"/>
  <c r="A703" i="8"/>
  <c r="C713" i="8"/>
  <c r="D744" i="9"/>
  <c r="D793" i="9"/>
  <c r="H30" i="16"/>
  <c r="P30" i="16" s="1"/>
  <c r="H30" i="20"/>
  <c r="F30" i="19"/>
  <c r="D40" i="9"/>
  <c r="I47" i="16"/>
  <c r="M47" i="16" s="1"/>
  <c r="G47" i="20"/>
  <c r="G47" i="19"/>
  <c r="J47" i="19" s="1"/>
  <c r="H58" i="20"/>
  <c r="H58" i="16"/>
  <c r="P58" i="16" s="1"/>
  <c r="F58" i="19"/>
  <c r="I73" i="16"/>
  <c r="M73" i="16" s="1"/>
  <c r="G73" i="20"/>
  <c r="G73" i="19"/>
  <c r="J73" i="19" s="1"/>
  <c r="I106" i="16"/>
  <c r="M106" i="16" s="1"/>
  <c r="G106" i="20"/>
  <c r="G106" i="19"/>
  <c r="J106" i="19" s="1"/>
  <c r="I121" i="16"/>
  <c r="M121" i="16" s="1"/>
  <c r="G121" i="20"/>
  <c r="G121" i="19"/>
  <c r="J121" i="19" s="1"/>
  <c r="I128" i="16"/>
  <c r="M128" i="16" s="1"/>
  <c r="G128" i="20"/>
  <c r="I143" i="16"/>
  <c r="M143" i="16" s="1"/>
  <c r="G143" i="20"/>
  <c r="H180" i="16"/>
  <c r="P180" i="16" s="1"/>
  <c r="H180" i="20"/>
  <c r="F180" i="19"/>
  <c r="I195" i="16"/>
  <c r="M195" i="16" s="1"/>
  <c r="G195" i="20"/>
  <c r="G195" i="19"/>
  <c r="J195" i="19" s="1"/>
  <c r="C224" i="9"/>
  <c r="B228" i="9"/>
  <c r="I261" i="16"/>
  <c r="M261" i="16" s="1"/>
  <c r="G261" i="20"/>
  <c r="G261" i="19"/>
  <c r="J261" i="19" s="1"/>
  <c r="I265" i="16"/>
  <c r="M265" i="16" s="1"/>
  <c r="G265" i="20"/>
  <c r="G265" i="19"/>
  <c r="J265" i="19" s="1"/>
  <c r="I268" i="16"/>
  <c r="M268" i="16" s="1"/>
  <c r="G268" i="20"/>
  <c r="G268" i="19"/>
  <c r="I279" i="16"/>
  <c r="M279" i="16" s="1"/>
  <c r="G279" i="20"/>
  <c r="G279" i="19"/>
  <c r="J279" i="19" s="1"/>
  <c r="H283" i="16"/>
  <c r="P283" i="16" s="1"/>
  <c r="H283" i="20"/>
  <c r="F283" i="19"/>
  <c r="D320" i="9"/>
  <c r="I353" i="16"/>
  <c r="M353" i="16" s="1"/>
  <c r="G353" i="20"/>
  <c r="G353" i="19"/>
  <c r="J353" i="19" s="1"/>
  <c r="I356" i="16"/>
  <c r="M356" i="16" s="1"/>
  <c r="G356" i="20"/>
  <c r="G356" i="19"/>
  <c r="J356" i="19" s="1"/>
  <c r="I397" i="16"/>
  <c r="M397" i="16" s="1"/>
  <c r="G397" i="20"/>
  <c r="G397" i="19"/>
  <c r="J397" i="19" s="1"/>
  <c r="I408" i="16"/>
  <c r="M408" i="16" s="1"/>
  <c r="G408" i="20"/>
  <c r="G408" i="19"/>
  <c r="J408" i="19" s="1"/>
  <c r="I423" i="16"/>
  <c r="M423" i="16" s="1"/>
  <c r="G423" i="20"/>
  <c r="G423" i="19"/>
  <c r="J423" i="19" s="1"/>
  <c r="G426" i="20"/>
  <c r="I426" i="16"/>
  <c r="M426" i="16" s="1"/>
  <c r="G426" i="19"/>
  <c r="J426" i="19" s="1"/>
  <c r="H449" i="16"/>
  <c r="P449" i="16" s="1"/>
  <c r="H449" i="20"/>
  <c r="F449" i="19"/>
  <c r="D460" i="9"/>
  <c r="G478" i="20"/>
  <c r="I478" i="16"/>
  <c r="M478" i="16" s="1"/>
  <c r="G478" i="19"/>
  <c r="J478" i="19" s="1"/>
  <c r="I493" i="16"/>
  <c r="M493" i="16" s="1"/>
  <c r="G493" i="20"/>
  <c r="G493" i="19"/>
  <c r="J493" i="19" s="1"/>
  <c r="I496" i="16"/>
  <c r="M496" i="16" s="1"/>
  <c r="G496" i="20"/>
  <c r="G496" i="19"/>
  <c r="J496" i="19" s="1"/>
  <c r="I530" i="16"/>
  <c r="M530" i="16" s="1"/>
  <c r="G530" i="20"/>
  <c r="G530" i="19"/>
  <c r="J530" i="19" s="1"/>
  <c r="D541" i="9"/>
  <c r="I552" i="16"/>
  <c r="M552" i="16" s="1"/>
  <c r="G552" i="20"/>
  <c r="G552" i="19"/>
  <c r="J552" i="19" s="1"/>
  <c r="I572" i="16"/>
  <c r="M572" i="16" s="1"/>
  <c r="G572" i="19"/>
  <c r="J572" i="19" s="1"/>
  <c r="G572" i="20"/>
  <c r="C584" i="9"/>
  <c r="I612" i="16"/>
  <c r="M612" i="16" s="1"/>
  <c r="G612" i="20"/>
  <c r="G612" i="19"/>
  <c r="J612" i="19" s="1"/>
  <c r="A616" i="9"/>
  <c r="I643" i="16"/>
  <c r="M643" i="16" s="1"/>
  <c r="G643" i="20"/>
  <c r="G643" i="19"/>
  <c r="J643" i="19" s="1"/>
  <c r="I647" i="16"/>
  <c r="M647" i="16" s="1"/>
  <c r="G647" i="20"/>
  <c r="G647" i="19"/>
  <c r="J647" i="19" s="1"/>
  <c r="C675" i="9"/>
  <c r="C679" i="9"/>
  <c r="H683" i="16"/>
  <c r="P683" i="16" s="1"/>
  <c r="H683" i="20"/>
  <c r="F683" i="19"/>
  <c r="I757" i="16"/>
  <c r="M757" i="16" s="1"/>
  <c r="G757" i="20"/>
  <c r="G757" i="19"/>
  <c r="J757" i="19" s="1"/>
  <c r="C781" i="16"/>
  <c r="F781" i="20"/>
  <c r="E781" i="19"/>
  <c r="I784" i="16"/>
  <c r="M784" i="16" s="1"/>
  <c r="G784" i="19"/>
  <c r="J784" i="19" s="1"/>
  <c r="G784" i="20"/>
  <c r="A797" i="9"/>
  <c r="A815" i="16"/>
  <c r="A815" i="19"/>
  <c r="A815" i="20"/>
  <c r="H819" i="16"/>
  <c r="P819" i="16" s="1"/>
  <c r="H819" i="20"/>
  <c r="F819" i="19"/>
  <c r="AN11" i="10"/>
  <c r="Q11" i="20" s="1"/>
  <c r="O11" i="10"/>
  <c r="AU11" i="10"/>
  <c r="L21" i="10"/>
  <c r="O40" i="10"/>
  <c r="T19" i="11"/>
  <c r="T24" i="11"/>
  <c r="C38" i="11"/>
  <c r="D261" i="11"/>
  <c r="B279" i="11"/>
  <c r="C308" i="11"/>
  <c r="C361" i="11"/>
  <c r="C478" i="11"/>
  <c r="A506" i="11"/>
  <c r="B547" i="11"/>
  <c r="A703" i="11"/>
  <c r="D797" i="11"/>
  <c r="M83" i="19"/>
  <c r="G198" i="19"/>
  <c r="A26" i="20"/>
  <c r="A26" i="16"/>
  <c r="A91" i="9"/>
  <c r="A91" i="7"/>
  <c r="A263" i="9"/>
  <c r="A263" i="7"/>
  <c r="A263" i="8"/>
  <c r="B402" i="9"/>
  <c r="B402" i="8"/>
  <c r="C402" i="11"/>
  <c r="A497" i="11"/>
  <c r="A497" i="9"/>
  <c r="A497" i="8"/>
  <c r="A558" i="7"/>
  <c r="A558" i="11"/>
  <c r="B558" i="5"/>
  <c r="A611" i="11"/>
  <c r="A611" i="9"/>
  <c r="A611" i="7"/>
  <c r="B671" i="9"/>
  <c r="B671" i="7"/>
  <c r="C671" i="11"/>
  <c r="B671" i="8"/>
  <c r="A698" i="7"/>
  <c r="A698" i="11"/>
  <c r="A698" i="9"/>
  <c r="A698" i="8"/>
  <c r="B698" i="5"/>
  <c r="B792" i="8"/>
  <c r="B792" i="9"/>
  <c r="D33" i="9"/>
  <c r="D629" i="9"/>
  <c r="H16" i="20"/>
  <c r="H16" i="16"/>
  <c r="P16" i="16" s="1"/>
  <c r="F16" i="19"/>
  <c r="H113" i="16"/>
  <c r="P113" i="16" s="1"/>
  <c r="H113" i="20"/>
  <c r="I666" i="16"/>
  <c r="M666" i="16" s="1"/>
  <c r="G666" i="20"/>
  <c r="G666" i="19"/>
  <c r="J666" i="19" s="1"/>
  <c r="E725" i="19"/>
  <c r="C725" i="16"/>
  <c r="F725" i="20"/>
  <c r="I772" i="16"/>
  <c r="M772" i="16" s="1"/>
  <c r="G772" i="20"/>
  <c r="G772" i="19"/>
  <c r="J772" i="19" s="1"/>
  <c r="H805" i="16"/>
  <c r="P805" i="16" s="1"/>
  <c r="H805" i="20"/>
  <c r="F805" i="19"/>
  <c r="H818" i="20"/>
  <c r="F818" i="19"/>
  <c r="A683" i="11"/>
  <c r="B91" i="5"/>
  <c r="B103" i="5"/>
  <c r="C182" i="11"/>
  <c r="B182" i="9"/>
  <c r="B182" i="7"/>
  <c r="B380" i="5"/>
  <c r="B497" i="5"/>
  <c r="B531" i="9"/>
  <c r="B531" i="7"/>
  <c r="C531" i="11"/>
  <c r="C588" i="8"/>
  <c r="D588" i="11"/>
  <c r="C588" i="7"/>
  <c r="B641" i="9"/>
  <c r="C641" i="11"/>
  <c r="B641" i="8"/>
  <c r="B641" i="7"/>
  <c r="B683" i="5"/>
  <c r="B698" i="8"/>
  <c r="C698" i="11"/>
  <c r="B698" i="9"/>
  <c r="B721" i="5"/>
  <c r="A267" i="7"/>
  <c r="B45" i="9"/>
  <c r="C45" i="11"/>
  <c r="B68" i="8"/>
  <c r="B68" i="9"/>
  <c r="B130" i="20"/>
  <c r="AL130" i="20" s="1"/>
  <c r="B130" i="19"/>
  <c r="C145" i="11"/>
  <c r="B145" i="9"/>
  <c r="B145" i="8"/>
  <c r="B145" i="7"/>
  <c r="A198" i="11"/>
  <c r="A198" i="7"/>
  <c r="A198" i="8"/>
  <c r="B198" i="5"/>
  <c r="B225" i="11"/>
  <c r="L225" i="9"/>
  <c r="B346" i="20"/>
  <c r="AL346" i="20" s="1"/>
  <c r="B346" i="19"/>
  <c r="B365" i="16"/>
  <c r="E365" i="20"/>
  <c r="AM365" i="20" s="1"/>
  <c r="A407" i="9"/>
  <c r="A407" i="11"/>
  <c r="C444" i="7"/>
  <c r="C444" i="8"/>
  <c r="D448" i="11"/>
  <c r="C448" i="7"/>
  <c r="L490" i="9"/>
  <c r="B490" i="11"/>
  <c r="B509" i="11"/>
  <c r="L509" i="9"/>
  <c r="A524" i="9"/>
  <c r="A524" i="11"/>
  <c r="C592" i="11"/>
  <c r="B592" i="8"/>
  <c r="L710" i="9"/>
  <c r="B710" i="11"/>
  <c r="B725" i="9"/>
  <c r="C725" i="11"/>
  <c r="B725" i="8"/>
  <c r="C785" i="8"/>
  <c r="C785" i="9"/>
  <c r="D785" i="11"/>
  <c r="C804" i="9"/>
  <c r="D804" i="11"/>
  <c r="C15" i="9"/>
  <c r="D15" i="11"/>
  <c r="C19" i="7"/>
  <c r="D19" i="11"/>
  <c r="A23" i="11"/>
  <c r="A23" i="8"/>
  <c r="A34" i="8"/>
  <c r="A34" i="11"/>
  <c r="A34" i="9"/>
  <c r="A53" i="9"/>
  <c r="A53" i="11"/>
  <c r="B80" i="5"/>
  <c r="B111" i="9"/>
  <c r="B111" i="7"/>
  <c r="B119" i="11"/>
  <c r="L119" i="9"/>
  <c r="C122" i="11"/>
  <c r="B122" i="9"/>
  <c r="B122" i="7"/>
  <c r="C137" i="9"/>
  <c r="C137" i="7"/>
  <c r="D137" i="11"/>
  <c r="C137" i="8"/>
  <c r="A168" i="11"/>
  <c r="A168" i="8"/>
  <c r="A168" i="7"/>
  <c r="B168" i="5"/>
  <c r="B179" i="9"/>
  <c r="C179" i="11"/>
  <c r="B183" i="5"/>
  <c r="B198" i="8"/>
  <c r="B198" i="7"/>
  <c r="C225" i="11"/>
  <c r="B225" i="9"/>
  <c r="B225" i="8"/>
  <c r="D232" i="11"/>
  <c r="C232" i="8"/>
  <c r="C232" i="9"/>
  <c r="C248" i="11"/>
  <c r="B248" i="8"/>
  <c r="B248" i="7"/>
  <c r="A256" i="11"/>
  <c r="A256" i="7"/>
  <c r="B263" i="9"/>
  <c r="C263" i="11"/>
  <c r="B263" i="7"/>
  <c r="B263" i="8"/>
  <c r="B279" i="20"/>
  <c r="AL279" i="20" s="1"/>
  <c r="B279" i="19"/>
  <c r="C293" i="7"/>
  <c r="C293" i="9"/>
  <c r="C293" i="8"/>
  <c r="B301" i="9"/>
  <c r="C301" i="11"/>
  <c r="B301" i="8"/>
  <c r="B301" i="7"/>
  <c r="B323" i="9"/>
  <c r="C323" i="11"/>
  <c r="B323" i="7"/>
  <c r="B331" i="9"/>
  <c r="B331" i="7"/>
  <c r="C331" i="11"/>
  <c r="B331" i="8"/>
  <c r="B350" i="5"/>
  <c r="D376" i="11"/>
  <c r="C376" i="8"/>
  <c r="A411" i="11"/>
  <c r="A411" i="9"/>
  <c r="A411" i="7"/>
  <c r="C535" i="8"/>
  <c r="C535" i="9"/>
  <c r="B23" i="5"/>
  <c r="B34" i="5"/>
  <c r="A38" i="7"/>
  <c r="B38" i="5"/>
  <c r="F45" i="20"/>
  <c r="C45" i="16"/>
  <c r="E45" i="19"/>
  <c r="B53" i="5"/>
  <c r="A57" i="9"/>
  <c r="A57" i="11"/>
  <c r="L69" i="9"/>
  <c r="B69" i="11"/>
  <c r="C72" i="11"/>
  <c r="B72" i="9"/>
  <c r="B72" i="7"/>
  <c r="C115" i="11"/>
  <c r="B115" i="9"/>
  <c r="B115" i="8"/>
  <c r="B115" i="7"/>
  <c r="A138" i="11"/>
  <c r="A138" i="7"/>
  <c r="A138" i="9"/>
  <c r="B138" i="5"/>
  <c r="C145" i="8"/>
  <c r="C145" i="7"/>
  <c r="D145" i="11"/>
  <c r="B153" i="5"/>
  <c r="A157" i="16"/>
  <c r="A157" i="20"/>
  <c r="A157" i="19"/>
  <c r="B168" i="8"/>
  <c r="B168" i="7"/>
  <c r="C168" i="11"/>
  <c r="A176" i="11"/>
  <c r="A176" i="9"/>
  <c r="B187" i="5"/>
  <c r="A191" i="9"/>
  <c r="A191" i="7"/>
  <c r="A191" i="11"/>
  <c r="B206" i="5"/>
  <c r="A210" i="8"/>
  <c r="A210" i="11"/>
  <c r="B221" i="9"/>
  <c r="B221" i="8"/>
  <c r="A233" i="9"/>
  <c r="A233" i="11"/>
  <c r="A233" i="8"/>
  <c r="D248" i="11"/>
  <c r="C248" i="8"/>
  <c r="C248" i="7"/>
  <c r="B256" i="5"/>
  <c r="C275" i="11"/>
  <c r="B275" i="9"/>
  <c r="A294" i="11"/>
  <c r="A294" i="7"/>
  <c r="L309" i="9"/>
  <c r="B309" i="11"/>
  <c r="C312" i="11"/>
  <c r="B312" i="9"/>
  <c r="B312" i="8"/>
  <c r="C335" i="11"/>
  <c r="B335" i="9"/>
  <c r="B354" i="5"/>
  <c r="A358" i="7"/>
  <c r="B358" i="5"/>
  <c r="B373" i="5"/>
  <c r="A377" i="16"/>
  <c r="A377" i="20"/>
  <c r="B396" i="5"/>
  <c r="B411" i="5"/>
  <c r="B430" i="5"/>
  <c r="B441" i="9"/>
  <c r="B441" i="8"/>
  <c r="B441" i="7"/>
  <c r="C441" i="11"/>
  <c r="B449" i="11"/>
  <c r="L449" i="9"/>
  <c r="B452" i="9"/>
  <c r="B452" i="8"/>
  <c r="B475" i="9"/>
  <c r="C475" i="11"/>
  <c r="A494" i="7"/>
  <c r="A494" i="9"/>
  <c r="A513" i="9"/>
  <c r="A513" i="11"/>
  <c r="B540" i="5"/>
  <c r="B551" i="9"/>
  <c r="B551" i="7"/>
  <c r="B551" i="8"/>
  <c r="A574" i="11"/>
  <c r="A574" i="7"/>
  <c r="A593" i="11"/>
  <c r="A593" i="9"/>
  <c r="A593" i="8"/>
  <c r="B604" i="5"/>
  <c r="L608" i="9"/>
  <c r="B608" i="11"/>
  <c r="B623" i="5"/>
  <c r="A627" i="9"/>
  <c r="A627" i="8"/>
  <c r="A627" i="7"/>
  <c r="A627" i="11"/>
  <c r="B657" i="5"/>
  <c r="A661" i="11"/>
  <c r="A661" i="9"/>
  <c r="D664" i="11"/>
  <c r="C664" i="7"/>
  <c r="C668" i="8"/>
  <c r="D668" i="11"/>
  <c r="B695" i="9"/>
  <c r="B695" i="8"/>
  <c r="C695" i="11"/>
  <c r="A714" i="16"/>
  <c r="A714" i="20"/>
  <c r="A714" i="19"/>
  <c r="A718" i="11"/>
  <c r="A718" i="7"/>
  <c r="A718" i="8"/>
  <c r="B718" i="5"/>
  <c r="D725" i="11"/>
  <c r="C725" i="8"/>
  <c r="B733" i="5"/>
  <c r="A737" i="9"/>
  <c r="A737" i="8"/>
  <c r="A737" i="7"/>
  <c r="B748" i="9"/>
  <c r="B748" i="8"/>
  <c r="C748" i="11"/>
  <c r="A756" i="8"/>
  <c r="A756" i="11"/>
  <c r="B767" i="5"/>
  <c r="A771" i="9"/>
  <c r="A771" i="11"/>
  <c r="A771" i="7"/>
  <c r="C774" i="9"/>
  <c r="D774" i="11"/>
  <c r="C774" i="7"/>
  <c r="D778" i="11"/>
  <c r="C778" i="8"/>
  <c r="B786" i="5"/>
  <c r="A790" i="8"/>
  <c r="A790" i="7"/>
  <c r="A790" i="11"/>
  <c r="C801" i="11"/>
  <c r="B801" i="8"/>
  <c r="B821" i="5"/>
  <c r="A237" i="7"/>
  <c r="B342" i="7"/>
  <c r="A407" i="7"/>
  <c r="B512" i="7"/>
  <c r="A543" i="7"/>
  <c r="C607" i="7"/>
  <c r="A703" i="7"/>
  <c r="C755" i="7"/>
  <c r="D22" i="9"/>
  <c r="D74" i="9"/>
  <c r="H100" i="16"/>
  <c r="P100" i="16" s="1"/>
  <c r="H100" i="20"/>
  <c r="F100" i="19"/>
  <c r="D217" i="9"/>
  <c r="B275" i="8"/>
  <c r="A327" i="8"/>
  <c r="D418" i="9"/>
  <c r="H422" i="16"/>
  <c r="P422" i="16" s="1"/>
  <c r="H422" i="20"/>
  <c r="F422" i="19"/>
  <c r="B448" i="8"/>
  <c r="H515" i="16"/>
  <c r="P515" i="16" s="1"/>
  <c r="H515" i="20"/>
  <c r="F515" i="19"/>
  <c r="H562" i="16"/>
  <c r="P562" i="16" s="1"/>
  <c r="F562" i="19"/>
  <c r="H562" i="20"/>
  <c r="D589" i="9"/>
  <c r="B596" i="8"/>
  <c r="H640" i="16"/>
  <c r="P640" i="16" s="1"/>
  <c r="F640" i="19"/>
  <c r="H640" i="20"/>
  <c r="H661" i="16"/>
  <c r="P661" i="16" s="1"/>
  <c r="H661" i="20"/>
  <c r="F661" i="19"/>
  <c r="B672" i="8"/>
  <c r="D689" i="9"/>
  <c r="H696" i="16"/>
  <c r="P696" i="16" s="1"/>
  <c r="H696" i="20"/>
  <c r="F696" i="19"/>
  <c r="H710" i="16"/>
  <c r="P710" i="16" s="1"/>
  <c r="H710" i="20"/>
  <c r="F710" i="19"/>
  <c r="D755" i="9"/>
  <c r="H783" i="16"/>
  <c r="P783" i="16" s="1"/>
  <c r="F783" i="19"/>
  <c r="H783" i="20"/>
  <c r="H4" i="16"/>
  <c r="P4" i="16" s="1"/>
  <c r="H4" i="20"/>
  <c r="F4" i="19"/>
  <c r="I30" i="16"/>
  <c r="M30" i="16" s="1"/>
  <c r="G30" i="20"/>
  <c r="G30" i="19"/>
  <c r="J30" i="19" s="1"/>
  <c r="I40" i="16"/>
  <c r="M40" i="16" s="1"/>
  <c r="G40" i="20"/>
  <c r="G40" i="19"/>
  <c r="J40" i="19" s="1"/>
  <c r="D55" i="9"/>
  <c r="I58" i="16"/>
  <c r="M58" i="16" s="1"/>
  <c r="G58" i="19"/>
  <c r="J58" i="19" s="1"/>
  <c r="G58" i="20"/>
  <c r="H110" i="16"/>
  <c r="P110" i="16" s="1"/>
  <c r="H110" i="20"/>
  <c r="F110" i="19"/>
  <c r="I117" i="16"/>
  <c r="M117" i="16" s="1"/>
  <c r="G117" i="20"/>
  <c r="G117" i="19"/>
  <c r="J117" i="19" s="1"/>
  <c r="I125" i="16"/>
  <c r="M125" i="16" s="1"/>
  <c r="G125" i="20"/>
  <c r="G125" i="19"/>
  <c r="J125" i="19" s="1"/>
  <c r="I180" i="16"/>
  <c r="M180" i="16" s="1"/>
  <c r="G180" i="20"/>
  <c r="G180" i="19"/>
  <c r="J180" i="19" s="1"/>
  <c r="H203" i="20"/>
  <c r="H203" i="16"/>
  <c r="P203" i="16" s="1"/>
  <c r="F203" i="19"/>
  <c r="C221" i="9"/>
  <c r="C228" i="9"/>
  <c r="I232" i="16"/>
  <c r="M232" i="16" s="1"/>
  <c r="G232" i="20"/>
  <c r="G232" i="19"/>
  <c r="J232" i="19" s="1"/>
  <c r="I250" i="16"/>
  <c r="M250" i="16" s="1"/>
  <c r="G250" i="20"/>
  <c r="I257" i="16"/>
  <c r="M257" i="16" s="1"/>
  <c r="G257" i="20"/>
  <c r="G257" i="19"/>
  <c r="J257" i="19" s="1"/>
  <c r="I283" i="16"/>
  <c r="M283" i="16" s="1"/>
  <c r="G283" i="20"/>
  <c r="G283" i="19"/>
  <c r="J283" i="19" s="1"/>
  <c r="G286" i="20"/>
  <c r="I286" i="16"/>
  <c r="M286" i="16" s="1"/>
  <c r="G286" i="19"/>
  <c r="J286" i="19" s="1"/>
  <c r="A298" i="9"/>
  <c r="I320" i="16"/>
  <c r="M320" i="16" s="1"/>
  <c r="G320" i="20"/>
  <c r="A324" i="9"/>
  <c r="C346" i="9"/>
  <c r="A350" i="9"/>
  <c r="C364" i="9"/>
  <c r="H379" i="16"/>
  <c r="P379" i="16" s="1"/>
  <c r="H379" i="20"/>
  <c r="F379" i="19"/>
  <c r="I390" i="16"/>
  <c r="M390" i="16" s="1"/>
  <c r="G390" i="20"/>
  <c r="G390" i="19"/>
  <c r="J390" i="19" s="1"/>
  <c r="G449" i="20"/>
  <c r="I449" i="16"/>
  <c r="M449" i="16" s="1"/>
  <c r="G449" i="19"/>
  <c r="J449" i="19" s="1"/>
  <c r="I460" i="16"/>
  <c r="M460" i="16" s="1"/>
  <c r="G460" i="20"/>
  <c r="G460" i="19"/>
  <c r="J460" i="19" s="1"/>
  <c r="A464" i="9"/>
  <c r="I482" i="16"/>
  <c r="M482" i="16" s="1"/>
  <c r="G482" i="19"/>
  <c r="J482" i="19" s="1"/>
  <c r="A490" i="9"/>
  <c r="B508" i="9"/>
  <c r="I527" i="16"/>
  <c r="M527" i="16" s="1"/>
  <c r="G527" i="20"/>
  <c r="G527" i="19"/>
  <c r="J527" i="19" s="1"/>
  <c r="I549" i="16"/>
  <c r="M549" i="16" s="1"/>
  <c r="G549" i="20"/>
  <c r="G549" i="19"/>
  <c r="J549" i="19" s="1"/>
  <c r="C581" i="16"/>
  <c r="F581" i="20"/>
  <c r="E581" i="19"/>
  <c r="I584" i="16"/>
  <c r="M584" i="16" s="1"/>
  <c r="G584" i="20"/>
  <c r="G584" i="19"/>
  <c r="J584" i="19" s="1"/>
  <c r="I600" i="16"/>
  <c r="M600" i="16" s="1"/>
  <c r="G600" i="20"/>
  <c r="G600" i="19"/>
  <c r="J600" i="19" s="1"/>
  <c r="I608" i="16"/>
  <c r="M608" i="16" s="1"/>
  <c r="G608" i="19"/>
  <c r="J608" i="19" s="1"/>
  <c r="G608" i="20"/>
  <c r="A652" i="16"/>
  <c r="A652" i="20"/>
  <c r="A652" i="19"/>
  <c r="I659" i="16"/>
  <c r="M659" i="16" s="1"/>
  <c r="G659" i="20"/>
  <c r="G659" i="19"/>
  <c r="J659" i="19" s="1"/>
  <c r="I663" i="16"/>
  <c r="M663" i="16" s="1"/>
  <c r="G663" i="20"/>
  <c r="G663" i="19"/>
  <c r="J663" i="19" s="1"/>
  <c r="D675" i="9"/>
  <c r="H679" i="16"/>
  <c r="P679" i="16" s="1"/>
  <c r="H679" i="20"/>
  <c r="F679" i="19"/>
  <c r="I683" i="16"/>
  <c r="M683" i="16" s="1"/>
  <c r="G683" i="19"/>
  <c r="J683" i="19" s="1"/>
  <c r="G683" i="20"/>
  <c r="I706" i="16"/>
  <c r="M706" i="16" s="1"/>
  <c r="G706" i="20"/>
  <c r="G706" i="19"/>
  <c r="J706" i="19" s="1"/>
  <c r="A710" i="9"/>
  <c r="A718" i="9"/>
  <c r="H801" i="16"/>
  <c r="P801" i="16" s="1"/>
  <c r="H801" i="20"/>
  <c r="F801" i="19"/>
  <c r="H811" i="16"/>
  <c r="P811" i="16" s="1"/>
  <c r="H811" i="20"/>
  <c r="F811" i="19"/>
  <c r="I819" i="16"/>
  <c r="M819" i="16" s="1"/>
  <c r="G819" i="20"/>
  <c r="G819" i="19"/>
  <c r="J819" i="19" s="1"/>
  <c r="T24" i="10"/>
  <c r="AC35" i="20" s="1"/>
  <c r="T27" i="10"/>
  <c r="W37" i="20"/>
  <c r="AQ37" i="10"/>
  <c r="D38" i="11"/>
  <c r="D194" i="11"/>
  <c r="C279" i="11"/>
  <c r="A350" i="11"/>
  <c r="A441" i="11"/>
  <c r="C460" i="11"/>
  <c r="D478" i="11"/>
  <c r="A581" i="11"/>
  <c r="B597" i="11"/>
  <c r="A748" i="11"/>
  <c r="B771" i="11"/>
  <c r="A813" i="11"/>
  <c r="M103" i="19"/>
  <c r="G105" i="19"/>
  <c r="J105" i="19" s="1"/>
  <c r="M132" i="19"/>
  <c r="T133" i="16"/>
  <c r="L133" i="16"/>
  <c r="C144" i="7"/>
  <c r="C144" i="9"/>
  <c r="A278" i="11"/>
  <c r="A278" i="7"/>
  <c r="A278" i="9"/>
  <c r="A278" i="8"/>
  <c r="B278" i="5"/>
  <c r="B399" i="11"/>
  <c r="L399" i="9"/>
  <c r="B425" i="9"/>
  <c r="C425" i="11"/>
  <c r="B588" i="9"/>
  <c r="B588" i="8"/>
  <c r="C588" i="11"/>
  <c r="A630" i="8"/>
  <c r="A630" i="11"/>
  <c r="D177" i="9"/>
  <c r="A463" i="8"/>
  <c r="H636" i="16"/>
  <c r="P636" i="16" s="1"/>
  <c r="H636" i="20"/>
  <c r="F636" i="19"/>
  <c r="H785" i="16"/>
  <c r="P785" i="16" s="1"/>
  <c r="H785" i="20"/>
  <c r="F785" i="19"/>
  <c r="I43" i="16"/>
  <c r="M43" i="16" s="1"/>
  <c r="G43" i="20"/>
  <c r="G43" i="19"/>
  <c r="J43" i="19" s="1"/>
  <c r="C231" i="16"/>
  <c r="F231" i="20"/>
  <c r="E231" i="19"/>
  <c r="A268" i="16"/>
  <c r="A268" i="19"/>
  <c r="A268" i="20"/>
  <c r="I533" i="16"/>
  <c r="M533" i="16" s="1"/>
  <c r="G533" i="20"/>
  <c r="G533" i="19"/>
  <c r="J533" i="19" s="1"/>
  <c r="C744" i="16"/>
  <c r="E744" i="19"/>
  <c r="F744" i="20"/>
  <c r="T39" i="11"/>
  <c r="T33" i="11"/>
  <c r="T27" i="11"/>
  <c r="T14" i="11"/>
  <c r="T21" i="11"/>
  <c r="T45" i="11"/>
  <c r="T40" i="11"/>
  <c r="T34" i="11"/>
  <c r="T28" i="11"/>
  <c r="T15" i="11"/>
  <c r="T29" i="11"/>
  <c r="T23" i="11"/>
  <c r="T20" i="11"/>
  <c r="T41" i="11"/>
  <c r="T38" i="11"/>
  <c r="T35" i="11"/>
  <c r="T26" i="11"/>
  <c r="T17" i="11"/>
  <c r="T11" i="11"/>
  <c r="T46" i="11"/>
  <c r="T44" i="11"/>
  <c r="T16" i="11"/>
  <c r="T42" i="11"/>
  <c r="B99" i="20"/>
  <c r="AL99" i="20" s="1"/>
  <c r="B99" i="19"/>
  <c r="B118" i="16"/>
  <c r="E118" i="20"/>
  <c r="AM118" i="20" s="1"/>
  <c r="B141" i="5"/>
  <c r="B171" i="9"/>
  <c r="B171" i="7"/>
  <c r="A213" i="9"/>
  <c r="A213" i="7"/>
  <c r="A213" i="8"/>
  <c r="B236" i="5"/>
  <c r="A286" i="11"/>
  <c r="A286" i="8"/>
  <c r="A286" i="7"/>
  <c r="A448" i="9"/>
  <c r="A448" i="11"/>
  <c r="A448" i="7"/>
  <c r="B448" i="5"/>
  <c r="B463" i="5"/>
  <c r="A486" i="9"/>
  <c r="A486" i="7"/>
  <c r="C504" i="7"/>
  <c r="D504" i="11"/>
  <c r="B577" i="5"/>
  <c r="A687" i="9"/>
  <c r="A687" i="8"/>
  <c r="A687" i="7"/>
  <c r="B762" i="8"/>
  <c r="C762" i="11"/>
  <c r="H284" i="20"/>
  <c r="H284" i="16"/>
  <c r="P284" i="16" s="1"/>
  <c r="F284" i="19"/>
  <c r="A323" i="8"/>
  <c r="H402" i="20"/>
  <c r="F402" i="19"/>
  <c r="H402" i="16"/>
  <c r="P402" i="16" s="1"/>
  <c r="D447" i="9"/>
  <c r="B531" i="8"/>
  <c r="B558" i="8"/>
  <c r="H723" i="16"/>
  <c r="P723" i="16" s="1"/>
  <c r="H723" i="20"/>
  <c r="F723" i="19"/>
  <c r="D768" i="9"/>
  <c r="D789" i="9"/>
  <c r="I113" i="16"/>
  <c r="M113" i="16" s="1"/>
  <c r="G113" i="20"/>
  <c r="I220" i="16"/>
  <c r="M220" i="16" s="1"/>
  <c r="G220" i="20"/>
  <c r="G220" i="19"/>
  <c r="H256" i="16"/>
  <c r="P256" i="16" s="1"/>
  <c r="H256" i="20"/>
  <c r="F256" i="19"/>
  <c r="I289" i="16"/>
  <c r="M289" i="16" s="1"/>
  <c r="G289" i="20"/>
  <c r="G289" i="19"/>
  <c r="J289" i="19" s="1"/>
  <c r="F338" i="20"/>
  <c r="C338" i="16"/>
  <c r="E338" i="19"/>
  <c r="I400" i="16"/>
  <c r="M400" i="16" s="1"/>
  <c r="G400" i="20"/>
  <c r="G400" i="19"/>
  <c r="J400" i="19" s="1"/>
  <c r="B478" i="9"/>
  <c r="C671" i="16"/>
  <c r="E671" i="19"/>
  <c r="F671" i="20"/>
  <c r="A702" i="16"/>
  <c r="A702" i="19"/>
  <c r="A702" i="20"/>
  <c r="I728" i="16"/>
  <c r="M728" i="16" s="1"/>
  <c r="G728" i="20"/>
  <c r="G728" i="19"/>
  <c r="J728" i="19" s="1"/>
  <c r="C741" i="16"/>
  <c r="F741" i="20"/>
  <c r="E741" i="19"/>
  <c r="I768" i="16"/>
  <c r="M768" i="16" s="1"/>
  <c r="G768" i="20"/>
  <c r="G768" i="19"/>
  <c r="J768" i="19" s="1"/>
  <c r="I805" i="16"/>
  <c r="M805" i="16" s="1"/>
  <c r="G805" i="20"/>
  <c r="G805" i="19"/>
  <c r="J805" i="19" s="1"/>
  <c r="AN8" i="10"/>
  <c r="Q8" i="20" s="1"/>
  <c r="O8" i="10"/>
  <c r="D224" i="11"/>
  <c r="B12" i="5"/>
  <c r="C12" i="11"/>
  <c r="B12" i="9"/>
  <c r="A20" i="9"/>
  <c r="A20" i="8"/>
  <c r="A20" i="11"/>
  <c r="A27" i="7"/>
  <c r="A27" i="11"/>
  <c r="A46" i="7"/>
  <c r="A46" i="8"/>
  <c r="A61" i="9"/>
  <c r="A61" i="7"/>
  <c r="A61" i="11"/>
  <c r="A88" i="11"/>
  <c r="B88" i="5"/>
  <c r="L96" i="9"/>
  <c r="B96" i="11"/>
  <c r="A100" i="8"/>
  <c r="A100" i="9"/>
  <c r="A100" i="7"/>
  <c r="A123" i="9"/>
  <c r="A123" i="7"/>
  <c r="B138" i="7"/>
  <c r="B138" i="9"/>
  <c r="A146" i="11"/>
  <c r="A146" i="7"/>
  <c r="A161" i="9"/>
  <c r="A161" i="8"/>
  <c r="A161" i="7"/>
  <c r="C164" i="7"/>
  <c r="D164" i="11"/>
  <c r="C164" i="9"/>
  <c r="L191" i="9"/>
  <c r="B191" i="11"/>
  <c r="L210" i="9"/>
  <c r="B210" i="11"/>
  <c r="D225" i="11"/>
  <c r="C225" i="8"/>
  <c r="A237" i="16"/>
  <c r="A237" i="20"/>
  <c r="A237" i="19"/>
  <c r="A264" i="11"/>
  <c r="A264" i="9"/>
  <c r="A264" i="7"/>
  <c r="A283" i="20"/>
  <c r="A283" i="16"/>
  <c r="L294" i="9"/>
  <c r="B294" i="11"/>
  <c r="A343" i="16"/>
  <c r="A343" i="20"/>
  <c r="A343" i="19"/>
  <c r="A366" i="9"/>
  <c r="A366" i="11"/>
  <c r="A381" i="9"/>
  <c r="A381" i="8"/>
  <c r="D384" i="11"/>
  <c r="C384" i="7"/>
  <c r="C384" i="8"/>
  <c r="C388" i="7"/>
  <c r="D388" i="11"/>
  <c r="L400" i="9"/>
  <c r="B400" i="11"/>
  <c r="B411" i="9"/>
  <c r="B411" i="7"/>
  <c r="C411" i="11"/>
  <c r="B419" i="11"/>
  <c r="L419" i="9"/>
  <c r="B422" i="9"/>
  <c r="B422" i="8"/>
  <c r="C445" i="11"/>
  <c r="B445" i="9"/>
  <c r="A483" i="9"/>
  <c r="A483" i="11"/>
  <c r="B494" i="20"/>
  <c r="AL494" i="20" s="1"/>
  <c r="B494" i="19"/>
  <c r="A498" i="7"/>
  <c r="B498" i="5"/>
  <c r="A517" i="9"/>
  <c r="A517" i="11"/>
  <c r="B555" i="9"/>
  <c r="C555" i="11"/>
  <c r="A563" i="16"/>
  <c r="A563" i="20"/>
  <c r="A563" i="19"/>
  <c r="L574" i="9"/>
  <c r="B574" i="11"/>
  <c r="A578" i="7"/>
  <c r="B578" i="5"/>
  <c r="C585" i="9"/>
  <c r="C585" i="8"/>
  <c r="A597" i="9"/>
  <c r="A597" i="8"/>
  <c r="A597" i="7"/>
  <c r="L627" i="9"/>
  <c r="B627" i="11"/>
  <c r="A631" i="9"/>
  <c r="A631" i="7"/>
  <c r="D638" i="11"/>
  <c r="C638" i="9"/>
  <c r="C638" i="8"/>
  <c r="B646" i="11"/>
  <c r="L646" i="9"/>
  <c r="L680" i="9"/>
  <c r="B680" i="11"/>
  <c r="A703" i="16"/>
  <c r="A703" i="20"/>
  <c r="A703" i="19"/>
  <c r="B714" i="20"/>
  <c r="AL714" i="20" s="1"/>
  <c r="B714" i="19"/>
  <c r="C718" i="11"/>
  <c r="B718" i="8"/>
  <c r="A726" i="11"/>
  <c r="A726" i="8"/>
  <c r="A741" i="9"/>
  <c r="A741" i="11"/>
  <c r="D748" i="11"/>
  <c r="C748" i="8"/>
  <c r="B756" i="11"/>
  <c r="L756" i="9"/>
  <c r="B771" i="20"/>
  <c r="AL771" i="20" s="1"/>
  <c r="B771" i="19"/>
  <c r="L790" i="9"/>
  <c r="B790" i="11"/>
  <c r="B805" i="9"/>
  <c r="B805" i="8"/>
  <c r="A68" i="7"/>
  <c r="A80" i="7"/>
  <c r="A290" i="7"/>
  <c r="B407" i="7"/>
  <c r="C490" i="7"/>
  <c r="C512" i="7"/>
  <c r="A524" i="7"/>
  <c r="B555" i="7"/>
  <c r="C660" i="7"/>
  <c r="B725" i="7"/>
  <c r="D31" i="9"/>
  <c r="H59" i="16"/>
  <c r="P59" i="16" s="1"/>
  <c r="H59" i="20"/>
  <c r="F59" i="19"/>
  <c r="H65" i="16"/>
  <c r="P65" i="16" s="1"/>
  <c r="H65" i="20"/>
  <c r="F65" i="19"/>
  <c r="H126" i="16"/>
  <c r="P126" i="16" s="1"/>
  <c r="H126" i="20"/>
  <c r="F126" i="19"/>
  <c r="D129" i="9"/>
  <c r="H185" i="16"/>
  <c r="P185" i="16" s="1"/>
  <c r="H185" i="20"/>
  <c r="F185" i="19"/>
  <c r="H208" i="16"/>
  <c r="P208" i="16" s="1"/>
  <c r="H208" i="20"/>
  <c r="F208" i="19"/>
  <c r="H211" i="16"/>
  <c r="P211" i="16" s="1"/>
  <c r="H211" i="20"/>
  <c r="F211" i="19"/>
  <c r="H214" i="16"/>
  <c r="P214" i="16" s="1"/>
  <c r="H214" i="20"/>
  <c r="F214" i="19"/>
  <c r="C224" i="8"/>
  <c r="A237" i="8"/>
  <c r="B282" i="8"/>
  <c r="A377" i="8"/>
  <c r="A380" i="8"/>
  <c r="C425" i="8"/>
  <c r="C448" i="8"/>
  <c r="D467" i="9"/>
  <c r="D476" i="9"/>
  <c r="H586" i="16"/>
  <c r="P586" i="16" s="1"/>
  <c r="H586" i="20"/>
  <c r="F586" i="19"/>
  <c r="D651" i="9"/>
  <c r="H672" i="16"/>
  <c r="P672" i="16" s="1"/>
  <c r="H672" i="20"/>
  <c r="F672" i="19"/>
  <c r="A741" i="8"/>
  <c r="D769" i="9"/>
  <c r="H790" i="16"/>
  <c r="P790" i="16" s="1"/>
  <c r="F790" i="19"/>
  <c r="H790" i="20"/>
  <c r="I14" i="16"/>
  <c r="M14" i="16" s="1"/>
  <c r="G14" i="20"/>
  <c r="I20" i="16"/>
  <c r="M20" i="16" s="1"/>
  <c r="G20" i="20"/>
  <c r="G20" i="19"/>
  <c r="J20" i="19" s="1"/>
  <c r="G55" i="20"/>
  <c r="I55" i="16"/>
  <c r="M55" i="16" s="1"/>
  <c r="G55" i="19"/>
  <c r="J55" i="19" s="1"/>
  <c r="C81" i="16"/>
  <c r="F81" i="20"/>
  <c r="E81" i="19"/>
  <c r="I92" i="19"/>
  <c r="I110" i="16"/>
  <c r="M110" i="16" s="1"/>
  <c r="G110" i="20"/>
  <c r="G110" i="19"/>
  <c r="J110" i="19" s="1"/>
  <c r="C151" i="16"/>
  <c r="F151" i="20"/>
  <c r="I162" i="16"/>
  <c r="M162" i="16" s="1"/>
  <c r="G162" i="20"/>
  <c r="G162" i="19"/>
  <c r="J162" i="19" s="1"/>
  <c r="I177" i="16"/>
  <c r="M177" i="16" s="1"/>
  <c r="G177" i="20"/>
  <c r="G177" i="19"/>
  <c r="J177" i="19" s="1"/>
  <c r="D188" i="9"/>
  <c r="I203" i="16"/>
  <c r="M203" i="16" s="1"/>
  <c r="G203" i="20"/>
  <c r="G203" i="19"/>
  <c r="J203" i="19" s="1"/>
  <c r="I206" i="16"/>
  <c r="M206" i="16" s="1"/>
  <c r="G206" i="20"/>
  <c r="G206" i="19"/>
  <c r="J206" i="19" s="1"/>
  <c r="H221" i="16"/>
  <c r="P221" i="16" s="1"/>
  <c r="H221" i="20"/>
  <c r="F221" i="19"/>
  <c r="I239" i="16"/>
  <c r="M239" i="16" s="1"/>
  <c r="G239" i="20"/>
  <c r="G239" i="19"/>
  <c r="J239" i="19" s="1"/>
  <c r="I247" i="16"/>
  <c r="M247" i="16" s="1"/>
  <c r="G247" i="20"/>
  <c r="G247" i="19"/>
  <c r="J247" i="19" s="1"/>
  <c r="I302" i="16"/>
  <c r="M302" i="16" s="1"/>
  <c r="G302" i="20"/>
  <c r="G302" i="19"/>
  <c r="J302" i="19" s="1"/>
  <c r="I309" i="16"/>
  <c r="M309" i="16" s="1"/>
  <c r="G309" i="20"/>
  <c r="G309" i="19"/>
  <c r="J309" i="19" s="1"/>
  <c r="I317" i="16"/>
  <c r="M317" i="16" s="1"/>
  <c r="G317" i="20"/>
  <c r="G317" i="19"/>
  <c r="J317" i="19" s="1"/>
  <c r="I328" i="16"/>
  <c r="M328" i="16" s="1"/>
  <c r="G328" i="20"/>
  <c r="G328" i="19"/>
  <c r="J328" i="19" s="1"/>
  <c r="H346" i="16"/>
  <c r="P346" i="16" s="1"/>
  <c r="H346" i="20"/>
  <c r="F346" i="19"/>
  <c r="B350" i="9"/>
  <c r="C361" i="16"/>
  <c r="E361" i="19"/>
  <c r="F361" i="20"/>
  <c r="C368" i="9"/>
  <c r="G372" i="20"/>
  <c r="G372" i="19"/>
  <c r="J372" i="19" s="1"/>
  <c r="I372" i="16"/>
  <c r="M372" i="16" s="1"/>
  <c r="I379" i="16"/>
  <c r="M379" i="16" s="1"/>
  <c r="G379" i="20"/>
  <c r="G379" i="19"/>
  <c r="J379" i="19" s="1"/>
  <c r="H383" i="16"/>
  <c r="P383" i="16" s="1"/>
  <c r="H383" i="20"/>
  <c r="F383" i="19"/>
  <c r="I387" i="16"/>
  <c r="M387" i="16" s="1"/>
  <c r="G387" i="20"/>
  <c r="G387" i="19"/>
  <c r="J387" i="19" s="1"/>
  <c r="F431" i="20"/>
  <c r="C431" i="16"/>
  <c r="E431" i="19"/>
  <c r="I457" i="16"/>
  <c r="M457" i="16" s="1"/>
  <c r="G457" i="19"/>
  <c r="J457" i="19" s="1"/>
  <c r="G457" i="20"/>
  <c r="C501" i="16"/>
  <c r="F501" i="20"/>
  <c r="E501" i="19"/>
  <c r="C508" i="9"/>
  <c r="I519" i="16"/>
  <c r="M519" i="16" s="1"/>
  <c r="G519" i="20"/>
  <c r="G519" i="19"/>
  <c r="J519" i="19" s="1"/>
  <c r="H523" i="16"/>
  <c r="P523" i="16" s="1"/>
  <c r="F523" i="19"/>
  <c r="H523" i="20"/>
  <c r="C565" i="9"/>
  <c r="I568" i="16"/>
  <c r="M568" i="16" s="1"/>
  <c r="G568" i="19"/>
  <c r="J568" i="19" s="1"/>
  <c r="G568" i="20"/>
  <c r="I589" i="16"/>
  <c r="M589" i="16" s="1"/>
  <c r="G589" i="20"/>
  <c r="G589" i="19"/>
  <c r="J589" i="19" s="1"/>
  <c r="D605" i="9"/>
  <c r="A668" i="9"/>
  <c r="I675" i="16"/>
  <c r="M675" i="16" s="1"/>
  <c r="G675" i="19"/>
  <c r="J675" i="19" s="1"/>
  <c r="C691" i="16"/>
  <c r="F691" i="20"/>
  <c r="E691" i="19"/>
  <c r="B718" i="9"/>
  <c r="A722" i="16"/>
  <c r="A722" i="20"/>
  <c r="A722" i="19"/>
  <c r="I773" i="16"/>
  <c r="M773" i="16" s="1"/>
  <c r="G773" i="20"/>
  <c r="G773" i="19"/>
  <c r="J773" i="19" s="1"/>
  <c r="I781" i="16"/>
  <c r="M781" i="16" s="1"/>
  <c r="G781" i="20"/>
  <c r="G781" i="19"/>
  <c r="J781" i="19" s="1"/>
  <c r="C797" i="9"/>
  <c r="I801" i="16"/>
  <c r="M801" i="16" s="1"/>
  <c r="G801" i="20"/>
  <c r="G801" i="19"/>
  <c r="J801" i="19" s="1"/>
  <c r="I811" i="16"/>
  <c r="M811" i="16" s="1"/>
  <c r="G811" i="20"/>
  <c r="G811" i="19"/>
  <c r="J811" i="19" s="1"/>
  <c r="T42" i="10"/>
  <c r="O2" i="10"/>
  <c r="W58" i="20"/>
  <c r="AQ58" i="10"/>
  <c r="J3" i="11"/>
  <c r="D75" i="11"/>
  <c r="B100" i="11"/>
  <c r="A111" i="11"/>
  <c r="C118" i="11"/>
  <c r="D205" i="11"/>
  <c r="A213" i="11"/>
  <c r="A313" i="11"/>
  <c r="A331" i="11"/>
  <c r="D345" i="11"/>
  <c r="A426" i="11"/>
  <c r="A516" i="11"/>
  <c r="A687" i="11"/>
  <c r="B748" i="11"/>
  <c r="C781" i="11"/>
  <c r="B813" i="11"/>
  <c r="F37" i="19"/>
  <c r="E88" i="19"/>
  <c r="M137" i="19"/>
  <c r="E683" i="20"/>
  <c r="AM683" i="20" s="1"/>
  <c r="U56" i="16"/>
  <c r="Q56" i="16"/>
  <c r="C94" i="16"/>
  <c r="E94" i="19"/>
  <c r="F94" i="20"/>
  <c r="H64" i="16"/>
  <c r="P64" i="16" s="1"/>
  <c r="H64" i="20"/>
  <c r="F64" i="19"/>
  <c r="H544" i="16"/>
  <c r="P544" i="16" s="1"/>
  <c r="H544" i="20"/>
  <c r="F544" i="19"/>
  <c r="B198" i="16"/>
  <c r="E198" i="20"/>
  <c r="AM198" i="20" s="1"/>
  <c r="H253" i="16"/>
  <c r="P253" i="16" s="1"/>
  <c r="H253" i="20"/>
  <c r="F253" i="19"/>
  <c r="B338" i="16"/>
  <c r="E338" i="20"/>
  <c r="AM338" i="20" s="1"/>
  <c r="H396" i="16"/>
  <c r="P396" i="16" s="1"/>
  <c r="H396" i="20"/>
  <c r="F396" i="19"/>
  <c r="A596" i="9"/>
  <c r="I674" i="16"/>
  <c r="M674" i="16" s="1"/>
  <c r="G674" i="20"/>
  <c r="G674" i="19"/>
  <c r="J674" i="19" s="1"/>
  <c r="I112" i="19"/>
  <c r="A107" i="9"/>
  <c r="A107" i="8"/>
  <c r="C205" i="11"/>
  <c r="B205" i="9"/>
  <c r="B205" i="7"/>
  <c r="B205" i="8"/>
  <c r="C278" i="11"/>
  <c r="B278" i="9"/>
  <c r="B278" i="8"/>
  <c r="B278" i="7"/>
  <c r="A308" i="11"/>
  <c r="A308" i="9"/>
  <c r="A308" i="7"/>
  <c r="B308" i="5"/>
  <c r="B391" i="9"/>
  <c r="B391" i="7"/>
  <c r="C391" i="11"/>
  <c r="A433" i="16"/>
  <c r="A433" i="20"/>
  <c r="A433" i="19"/>
  <c r="A467" i="9"/>
  <c r="A467" i="8"/>
  <c r="A501" i="9"/>
  <c r="A501" i="8"/>
  <c r="A501" i="7"/>
  <c r="B516" i="5"/>
  <c r="B611" i="5"/>
  <c r="B630" i="5"/>
  <c r="C652" i="11"/>
  <c r="B652" i="9"/>
  <c r="B652" i="8"/>
  <c r="B675" i="9"/>
  <c r="C675" i="11"/>
  <c r="H174" i="16"/>
  <c r="P174" i="16" s="1"/>
  <c r="H174" i="20"/>
  <c r="F174" i="19"/>
  <c r="D184" i="9"/>
  <c r="D287" i="9"/>
  <c r="H395" i="16"/>
  <c r="P395" i="16" s="1"/>
  <c r="H395" i="20"/>
  <c r="F395" i="19"/>
  <c r="D456" i="9"/>
  <c r="H737" i="16"/>
  <c r="P737" i="16" s="1"/>
  <c r="H737" i="20"/>
  <c r="F737" i="19"/>
  <c r="D817" i="9"/>
  <c r="I168" i="16"/>
  <c r="M168" i="16" s="1"/>
  <c r="G168" i="20"/>
  <c r="C198" i="16"/>
  <c r="F198" i="20"/>
  <c r="I242" i="16"/>
  <c r="M242" i="16" s="1"/>
  <c r="G242" i="20"/>
  <c r="G242" i="19"/>
  <c r="J242" i="19" s="1"/>
  <c r="G253" i="20"/>
  <c r="I253" i="16"/>
  <c r="M253" i="16" s="1"/>
  <c r="G253" i="19"/>
  <c r="J253" i="19" s="1"/>
  <c r="C275" i="16"/>
  <c r="F275" i="20"/>
  <c r="E275" i="19"/>
  <c r="A286" i="9"/>
  <c r="H489" i="20"/>
  <c r="H489" i="16"/>
  <c r="P489" i="16" s="1"/>
  <c r="F489" i="19"/>
  <c r="I580" i="16"/>
  <c r="M580" i="16" s="1"/>
  <c r="G580" i="20"/>
  <c r="G580" i="19"/>
  <c r="J580" i="19" s="1"/>
  <c r="B592" i="16"/>
  <c r="E592" i="20"/>
  <c r="AM592" i="20" s="1"/>
  <c r="H619" i="16"/>
  <c r="P619" i="16" s="1"/>
  <c r="H619" i="20"/>
  <c r="F619" i="19"/>
  <c r="C631" i="16"/>
  <c r="F631" i="20"/>
  <c r="E631" i="19"/>
  <c r="I744" i="16"/>
  <c r="M744" i="16" s="1"/>
  <c r="G744" i="20"/>
  <c r="G744" i="19"/>
  <c r="J744" i="19" s="1"/>
  <c r="W61" i="20"/>
  <c r="AQ61" i="10"/>
  <c r="L61" i="10"/>
  <c r="B9" i="20"/>
  <c r="B9" i="19"/>
  <c r="A31" i="9"/>
  <c r="A31" i="7"/>
  <c r="D34" i="11"/>
  <c r="C34" i="8"/>
  <c r="C34" i="9"/>
  <c r="A50" i="11"/>
  <c r="A50" i="8"/>
  <c r="B61" i="20"/>
  <c r="AL61" i="20" s="1"/>
  <c r="B61" i="19"/>
  <c r="C65" i="11"/>
  <c r="B65" i="9"/>
  <c r="B65" i="8"/>
  <c r="A73" i="9"/>
  <c r="A73" i="8"/>
  <c r="A73" i="11"/>
  <c r="B80" i="9"/>
  <c r="B80" i="8"/>
  <c r="B84" i="20"/>
  <c r="AL84" i="20" s="1"/>
  <c r="B84" i="19"/>
  <c r="B100" i="20"/>
  <c r="AL100" i="20" s="1"/>
  <c r="B100" i="19"/>
  <c r="L104" i="9"/>
  <c r="B104" i="11"/>
  <c r="A108" i="11"/>
  <c r="A108" i="7"/>
  <c r="B108" i="5"/>
  <c r="C115" i="9"/>
  <c r="C115" i="7"/>
  <c r="B119" i="16"/>
  <c r="E119" i="20"/>
  <c r="AM119" i="20" s="1"/>
  <c r="A127" i="9"/>
  <c r="A127" i="8"/>
  <c r="C130" i="7"/>
  <c r="C130" i="8"/>
  <c r="D130" i="11"/>
  <c r="C138" i="7"/>
  <c r="C138" i="9"/>
  <c r="A150" i="8"/>
  <c r="A150" i="9"/>
  <c r="B164" i="7"/>
  <c r="C164" i="11"/>
  <c r="B164" i="9"/>
  <c r="B180" i="20"/>
  <c r="AL180" i="20" s="1"/>
  <c r="B180" i="19"/>
  <c r="B183" i="9"/>
  <c r="C183" i="11"/>
  <c r="B183" i="8"/>
  <c r="B191" i="9"/>
  <c r="B191" i="7"/>
  <c r="C191" i="11"/>
  <c r="C202" i="11"/>
  <c r="B202" i="9"/>
  <c r="A214" i="16"/>
  <c r="A214" i="20"/>
  <c r="A214" i="19"/>
  <c r="C217" i="9"/>
  <c r="C217" i="7"/>
  <c r="A226" i="11"/>
  <c r="A226" i="9"/>
  <c r="A226" i="7"/>
  <c r="D229" i="11"/>
  <c r="C229" i="9"/>
  <c r="L237" i="9"/>
  <c r="B237" i="11"/>
  <c r="A241" i="9"/>
  <c r="A241" i="11"/>
  <c r="A241" i="8"/>
  <c r="A241" i="7"/>
  <c r="B245" i="11"/>
  <c r="L245" i="9"/>
  <c r="C252" i="11"/>
  <c r="B252" i="9"/>
  <c r="B252" i="8"/>
  <c r="L264" i="9"/>
  <c r="B264" i="11"/>
  <c r="A268" i="11"/>
  <c r="B268" i="5"/>
  <c r="B279" i="9"/>
  <c r="B279" i="7"/>
  <c r="A287" i="9"/>
  <c r="A287" i="11"/>
  <c r="A287" i="7"/>
  <c r="D290" i="11"/>
  <c r="C290" i="9"/>
  <c r="A298" i="11"/>
  <c r="A298" i="7"/>
  <c r="B298" i="5"/>
  <c r="A313" i="16"/>
  <c r="A313" i="20"/>
  <c r="A313" i="19"/>
  <c r="C316" i="8"/>
  <c r="C316" i="9"/>
  <c r="L324" i="9"/>
  <c r="B324" i="11"/>
  <c r="A328" i="11"/>
  <c r="A328" i="9"/>
  <c r="B328" i="5"/>
  <c r="B339" i="9"/>
  <c r="B339" i="8"/>
  <c r="D354" i="11"/>
  <c r="C354" i="9"/>
  <c r="L366" i="9"/>
  <c r="B366" i="11"/>
  <c r="A370" i="11"/>
  <c r="A370" i="8"/>
  <c r="B381" i="11"/>
  <c r="L381" i="9"/>
  <c r="B384" i="7"/>
  <c r="C384" i="11"/>
  <c r="B384" i="8"/>
  <c r="C403" i="8"/>
  <c r="C403" i="7"/>
  <c r="B407" i="16"/>
  <c r="E407" i="20"/>
  <c r="AM407" i="20" s="1"/>
  <c r="B415" i="16"/>
  <c r="E415" i="20"/>
  <c r="AM415" i="20" s="1"/>
  <c r="A434" i="7"/>
  <c r="A434" i="8"/>
  <c r="C437" i="9"/>
  <c r="C437" i="7"/>
  <c r="D437" i="11"/>
  <c r="C437" i="8"/>
  <c r="A453" i="9"/>
  <c r="A453" i="11"/>
  <c r="D456" i="11"/>
  <c r="C456" i="7"/>
  <c r="C456" i="9"/>
  <c r="A468" i="11"/>
  <c r="A468" i="9"/>
  <c r="B468" i="5"/>
  <c r="A487" i="9"/>
  <c r="A487" i="11"/>
  <c r="A487" i="7"/>
  <c r="A487" i="8"/>
  <c r="A506" i="20"/>
  <c r="A506" i="16"/>
  <c r="A506" i="19"/>
  <c r="D509" i="11"/>
  <c r="C509" i="9"/>
  <c r="A521" i="9"/>
  <c r="A521" i="11"/>
  <c r="A521" i="8"/>
  <c r="C524" i="11"/>
  <c r="B524" i="7"/>
  <c r="A544" i="11"/>
  <c r="A544" i="7"/>
  <c r="C559" i="11"/>
  <c r="B559" i="9"/>
  <c r="B559" i="8"/>
  <c r="B559" i="7"/>
  <c r="A567" i="9"/>
  <c r="A567" i="11"/>
  <c r="A567" i="7"/>
  <c r="D589" i="11"/>
  <c r="C589" i="9"/>
  <c r="C589" i="7"/>
  <c r="B597" i="19"/>
  <c r="B597" i="20"/>
  <c r="AL597" i="20" s="1"/>
  <c r="A601" i="9"/>
  <c r="A601" i="11"/>
  <c r="A601" i="8"/>
  <c r="C604" i="7"/>
  <c r="D604" i="11"/>
  <c r="C604" i="9"/>
  <c r="B616" i="11"/>
  <c r="L616" i="9"/>
  <c r="A620" i="7"/>
  <c r="A620" i="11"/>
  <c r="A620" i="9"/>
  <c r="B650" i="11"/>
  <c r="L650" i="9"/>
  <c r="B653" i="16"/>
  <c r="E653" i="20"/>
  <c r="AM653" i="20" s="1"/>
  <c r="B661" i="16"/>
  <c r="E661" i="20"/>
  <c r="AM661" i="20" s="1"/>
  <c r="B669" i="11"/>
  <c r="L669" i="9"/>
  <c r="B684" i="11"/>
  <c r="L684" i="9"/>
  <c r="A688" i="8"/>
  <c r="B688" i="5"/>
  <c r="D695" i="11"/>
  <c r="C695" i="9"/>
  <c r="C699" i="11"/>
  <c r="B699" i="9"/>
  <c r="A707" i="9"/>
  <c r="A707" i="8"/>
  <c r="A707" i="11"/>
  <c r="D710" i="11"/>
  <c r="C710" i="9"/>
  <c r="C718" i="8"/>
  <c r="C718" i="9"/>
  <c r="D718" i="11"/>
  <c r="B726" i="11"/>
  <c r="L726" i="9"/>
  <c r="A730" i="9"/>
  <c r="A730" i="7"/>
  <c r="B741" i="11"/>
  <c r="L741" i="9"/>
  <c r="B760" i="20"/>
  <c r="AL760" i="20" s="1"/>
  <c r="B760" i="19"/>
  <c r="B763" i="9"/>
  <c r="C763" i="11"/>
  <c r="B771" i="9"/>
  <c r="B771" i="7"/>
  <c r="B779" i="11"/>
  <c r="L779" i="9"/>
  <c r="B782" i="7"/>
  <c r="C782" i="11"/>
  <c r="D793" i="11"/>
  <c r="C793" i="9"/>
  <c r="D809" i="11"/>
  <c r="C809" i="9"/>
  <c r="D813" i="11"/>
  <c r="C813" i="9"/>
  <c r="C813" i="8"/>
  <c r="C44" i="7"/>
  <c r="A64" i="7"/>
  <c r="B68" i="7"/>
  <c r="B80" i="7"/>
  <c r="B228" i="7"/>
  <c r="C259" i="7"/>
  <c r="C395" i="7"/>
  <c r="A577" i="7"/>
  <c r="C713" i="7"/>
  <c r="B778" i="7"/>
  <c r="A53" i="8"/>
  <c r="D56" i="9"/>
  <c r="D62" i="9"/>
  <c r="H224" i="16"/>
  <c r="P224" i="16" s="1"/>
  <c r="H224" i="20"/>
  <c r="F224" i="19"/>
  <c r="D275" i="9"/>
  <c r="H298" i="16"/>
  <c r="P298" i="16" s="1"/>
  <c r="H298" i="20"/>
  <c r="F298" i="19"/>
  <c r="A308" i="8"/>
  <c r="H314" i="16"/>
  <c r="P314" i="16" s="1"/>
  <c r="H314" i="20"/>
  <c r="F314" i="19"/>
  <c r="H324" i="20"/>
  <c r="H324" i="16"/>
  <c r="P324" i="16" s="1"/>
  <c r="F324" i="19"/>
  <c r="H337" i="16"/>
  <c r="P337" i="16" s="1"/>
  <c r="H337" i="20"/>
  <c r="F337" i="19"/>
  <c r="C357" i="8"/>
  <c r="A396" i="8"/>
  <c r="A403" i="8"/>
  <c r="A506" i="8"/>
  <c r="D579" i="9"/>
  <c r="D596" i="9"/>
  <c r="H620" i="16"/>
  <c r="P620" i="16" s="1"/>
  <c r="H620" i="20"/>
  <c r="F620" i="19"/>
  <c r="H686" i="16"/>
  <c r="P686" i="16" s="1"/>
  <c r="H686" i="20"/>
  <c r="F686" i="19"/>
  <c r="A721" i="8"/>
  <c r="D745" i="9"/>
  <c r="D823" i="9"/>
  <c r="H27" i="16"/>
  <c r="P27" i="16" s="1"/>
  <c r="H27" i="20"/>
  <c r="H48" i="16"/>
  <c r="P48" i="16" s="1"/>
  <c r="H48" i="20"/>
  <c r="H63" i="20"/>
  <c r="H63" i="16"/>
  <c r="P63" i="16" s="1"/>
  <c r="I92" i="16"/>
  <c r="M92" i="16" s="1"/>
  <c r="G92" i="20"/>
  <c r="G92" i="19"/>
  <c r="J92" i="19" s="1"/>
  <c r="D99" i="9"/>
  <c r="I107" i="16"/>
  <c r="M107" i="16" s="1"/>
  <c r="G107" i="20"/>
  <c r="G107" i="19"/>
  <c r="J107" i="19" s="1"/>
  <c r="C118" i="9"/>
  <c r="I169" i="16"/>
  <c r="M169" i="16" s="1"/>
  <c r="G169" i="20"/>
  <c r="G169" i="19"/>
  <c r="J169" i="19" s="1"/>
  <c r="I188" i="16"/>
  <c r="M188" i="16" s="1"/>
  <c r="G188" i="20"/>
  <c r="G188" i="19"/>
  <c r="J188" i="19" s="1"/>
  <c r="H210" i="16"/>
  <c r="P210" i="16" s="1"/>
  <c r="H210" i="20"/>
  <c r="F210" i="19"/>
  <c r="I221" i="16"/>
  <c r="M221" i="16" s="1"/>
  <c r="G221" i="20"/>
  <c r="G221" i="19"/>
  <c r="J221" i="19" s="1"/>
  <c r="A236" i="9"/>
  <c r="C291" i="16"/>
  <c r="F291" i="20"/>
  <c r="E291" i="19"/>
  <c r="L305" i="9"/>
  <c r="I343" i="16"/>
  <c r="M343" i="16" s="1"/>
  <c r="G343" i="20"/>
  <c r="G343" i="19"/>
  <c r="J343" i="19" s="1"/>
  <c r="I346" i="16"/>
  <c r="M346" i="16" s="1"/>
  <c r="G346" i="19"/>
  <c r="J346" i="19" s="1"/>
  <c r="G346" i="20"/>
  <c r="H361" i="16"/>
  <c r="P361" i="16" s="1"/>
  <c r="H361" i="20"/>
  <c r="F361" i="19"/>
  <c r="H416" i="16"/>
  <c r="P416" i="16" s="1"/>
  <c r="H416" i="20"/>
  <c r="F416" i="19"/>
  <c r="D431" i="9"/>
  <c r="I486" i="16"/>
  <c r="M486" i="16" s="1"/>
  <c r="G486" i="20"/>
  <c r="G486" i="19"/>
  <c r="J486" i="19" s="1"/>
  <c r="C490" i="9"/>
  <c r="I523" i="16"/>
  <c r="M523" i="16" s="1"/>
  <c r="G523" i="20"/>
  <c r="G523" i="19"/>
  <c r="J523" i="19" s="1"/>
  <c r="A542" i="16"/>
  <c r="A542" i="20"/>
  <c r="A542" i="19"/>
  <c r="H565" i="20"/>
  <c r="H565" i="16"/>
  <c r="P565" i="16" s="1"/>
  <c r="F565" i="19"/>
  <c r="I581" i="16"/>
  <c r="M581" i="16" s="1"/>
  <c r="G581" i="20"/>
  <c r="G581" i="19"/>
  <c r="J581" i="19" s="1"/>
  <c r="I605" i="16"/>
  <c r="M605" i="16" s="1"/>
  <c r="G605" i="20"/>
  <c r="G605" i="19"/>
  <c r="J605" i="19" s="1"/>
  <c r="I636" i="16"/>
  <c r="M636" i="16" s="1"/>
  <c r="G636" i="20"/>
  <c r="G636" i="19"/>
  <c r="J636" i="19" s="1"/>
  <c r="I652" i="16"/>
  <c r="M652" i="16" s="1"/>
  <c r="G652" i="20"/>
  <c r="G652" i="19"/>
  <c r="J652" i="19" s="1"/>
  <c r="C664" i="9"/>
  <c r="C668" i="9"/>
  <c r="H699" i="16"/>
  <c r="P699" i="16" s="1"/>
  <c r="H699" i="20"/>
  <c r="F699" i="19"/>
  <c r="D703" i="9"/>
  <c r="A762" i="16"/>
  <c r="A762" i="19"/>
  <c r="A762" i="20"/>
  <c r="H802" i="16"/>
  <c r="P802" i="16" s="1"/>
  <c r="H802" i="20"/>
  <c r="F802" i="19"/>
  <c r="Q2" i="20"/>
  <c r="W7" i="20"/>
  <c r="AQ7" i="10"/>
  <c r="AQ21" i="10"/>
  <c r="AQ32" i="10"/>
  <c r="AU40" i="10"/>
  <c r="AN58" i="10"/>
  <c r="Q58" i="20" s="1"/>
  <c r="AU58" i="10"/>
  <c r="K3" i="11"/>
  <c r="K4" i="11" s="1"/>
  <c r="K5" i="11" s="1"/>
  <c r="K6" i="11" s="1"/>
  <c r="K7" i="11" s="1"/>
  <c r="K8" i="11" s="1"/>
  <c r="K9" i="11" s="1"/>
  <c r="K10" i="11" s="1"/>
  <c r="K11" i="11" s="1"/>
  <c r="K12" i="11" s="1"/>
  <c r="K13" i="11" s="1"/>
  <c r="K14" i="11" s="1"/>
  <c r="K15" i="11" s="1"/>
  <c r="K16" i="11" s="1"/>
  <c r="K17" i="11" s="1"/>
  <c r="K18" i="11" s="1"/>
  <c r="K19" i="11" s="1"/>
  <c r="K20" i="11" s="1"/>
  <c r="K21" i="11" s="1"/>
  <c r="K22" i="11" s="1"/>
  <c r="K23" i="11" s="1"/>
  <c r="K24" i="11" s="1"/>
  <c r="K25" i="11" s="1"/>
  <c r="K26" i="11" s="1"/>
  <c r="K27" i="11" s="1"/>
  <c r="K28" i="11" s="1"/>
  <c r="K29" i="11" s="1"/>
  <c r="K30" i="11" s="1"/>
  <c r="K31" i="11" s="1"/>
  <c r="K32" i="11" s="1"/>
  <c r="K33" i="11" s="1"/>
  <c r="K34" i="11" s="1"/>
  <c r="K35" i="11" s="1"/>
  <c r="K36" i="11" s="1"/>
  <c r="K37" i="11" s="1"/>
  <c r="K38" i="11" s="1"/>
  <c r="K39" i="11" s="1"/>
  <c r="K40" i="11" s="1"/>
  <c r="K41" i="11" s="1"/>
  <c r="K42" i="11" s="1"/>
  <c r="K43" i="11" s="1"/>
  <c r="K44" i="11" s="1"/>
  <c r="K45" i="11" s="1"/>
  <c r="K46" i="11" s="1"/>
  <c r="K47" i="11" s="1"/>
  <c r="K48" i="11" s="1"/>
  <c r="K49" i="11" s="1"/>
  <c r="K50" i="11" s="1"/>
  <c r="K51" i="11" s="1"/>
  <c r="K52" i="11" s="1"/>
  <c r="K53" i="11" s="1"/>
  <c r="K54" i="11" s="1"/>
  <c r="K55" i="11" s="1"/>
  <c r="K56" i="11" s="1"/>
  <c r="K57" i="11" s="1"/>
  <c r="K58" i="11" s="1"/>
  <c r="K59" i="11" s="1"/>
  <c r="K60" i="11" s="1"/>
  <c r="K61" i="11" s="1"/>
  <c r="K62" i="11" s="1"/>
  <c r="K63" i="11" s="1"/>
  <c r="K64" i="11" s="1"/>
  <c r="K65" i="11" s="1"/>
  <c r="K66" i="11" s="1"/>
  <c r="K67" i="11" s="1"/>
  <c r="K68" i="11" s="1"/>
  <c r="K69" i="11" s="1"/>
  <c r="K70" i="11" s="1"/>
  <c r="K71" i="11" s="1"/>
  <c r="K72" i="11" s="1"/>
  <c r="K73" i="11" s="1"/>
  <c r="K74" i="11" s="1"/>
  <c r="K75" i="11" s="1"/>
  <c r="K76" i="11" s="1"/>
  <c r="K77" i="11" s="1"/>
  <c r="K78" i="11" s="1"/>
  <c r="K79" i="11" s="1"/>
  <c r="K80" i="11" s="1"/>
  <c r="K81" i="11" s="1"/>
  <c r="K82" i="11" s="1"/>
  <c r="K83" i="11" s="1"/>
  <c r="K84" i="11" s="1"/>
  <c r="K85" i="11" s="1"/>
  <c r="K86" i="11" s="1"/>
  <c r="K87" i="11" s="1"/>
  <c r="K88" i="11" s="1"/>
  <c r="K89" i="11" s="1"/>
  <c r="K90" i="11" s="1"/>
  <c r="K91" i="11" s="1"/>
  <c r="K92" i="11" s="1"/>
  <c r="K93" i="11" s="1"/>
  <c r="K94" i="11" s="1"/>
  <c r="K95" i="11" s="1"/>
  <c r="K96" i="11" s="1"/>
  <c r="K97" i="11" s="1"/>
  <c r="K98" i="11" s="1"/>
  <c r="K99" i="11" s="1"/>
  <c r="K100" i="11" s="1"/>
  <c r="K101" i="11" s="1"/>
  <c r="K102" i="11" s="1"/>
  <c r="K103" i="11" s="1"/>
  <c r="K104" i="11" s="1"/>
  <c r="K105" i="11" s="1"/>
  <c r="K106" i="11" s="1"/>
  <c r="K107" i="11" s="1"/>
  <c r="K108" i="11" s="1"/>
  <c r="K109" i="11" s="1"/>
  <c r="K110" i="11" s="1"/>
  <c r="K111" i="11" s="1"/>
  <c r="K112" i="11" s="1"/>
  <c r="K113" i="11" s="1"/>
  <c r="K114" i="11" s="1"/>
  <c r="K115" i="11" s="1"/>
  <c r="K116" i="11" s="1"/>
  <c r="K117" i="11" s="1"/>
  <c r="K118" i="11" s="1"/>
  <c r="K119" i="11" s="1"/>
  <c r="K120" i="11" s="1"/>
  <c r="K121" i="11" s="1"/>
  <c r="K122" i="11" s="1"/>
  <c r="K123" i="11" s="1"/>
  <c r="K124" i="11" s="1"/>
  <c r="K125" i="11" s="1"/>
  <c r="K126" i="11" s="1"/>
  <c r="K127" i="11" s="1"/>
  <c r="K128" i="11" s="1"/>
  <c r="K129" i="11" s="1"/>
  <c r="K130" i="11" s="1"/>
  <c r="K131" i="11" s="1"/>
  <c r="K132" i="11" s="1"/>
  <c r="K133" i="11" s="1"/>
  <c r="K134" i="11" s="1"/>
  <c r="K135" i="11" s="1"/>
  <c r="K136" i="11" s="1"/>
  <c r="K137" i="11" s="1"/>
  <c r="K138" i="11" s="1"/>
  <c r="K139" i="11" s="1"/>
  <c r="K140" i="11" s="1"/>
  <c r="K141" i="11" s="1"/>
  <c r="K142" i="11" s="1"/>
  <c r="K143" i="11" s="1"/>
  <c r="K144" i="11" s="1"/>
  <c r="K145" i="11" s="1"/>
  <c r="K146" i="11" s="1"/>
  <c r="K147" i="11" s="1"/>
  <c r="K148" i="11" s="1"/>
  <c r="K149" i="11" s="1"/>
  <c r="K150" i="11" s="1"/>
  <c r="K151" i="11" s="1"/>
  <c r="K152" i="11" s="1"/>
  <c r="K153" i="11" s="1"/>
  <c r="K154" i="11" s="1"/>
  <c r="K155" i="11" s="1"/>
  <c r="K156" i="11" s="1"/>
  <c r="K157" i="11" s="1"/>
  <c r="K158" i="11" s="1"/>
  <c r="K159" i="11" s="1"/>
  <c r="K160" i="11" s="1"/>
  <c r="K161" i="11" s="1"/>
  <c r="K162" i="11" s="1"/>
  <c r="K163" i="11" s="1"/>
  <c r="K164" i="11" s="1"/>
  <c r="K165" i="11" s="1"/>
  <c r="K166" i="11" s="1"/>
  <c r="K167" i="11" s="1"/>
  <c r="K168" i="11" s="1"/>
  <c r="K169" i="11" s="1"/>
  <c r="K170" i="11" s="1"/>
  <c r="K171" i="11" s="1"/>
  <c r="K172" i="11" s="1"/>
  <c r="K173" i="11" s="1"/>
  <c r="K174" i="11" s="1"/>
  <c r="K175" i="11" s="1"/>
  <c r="K176" i="11" s="1"/>
  <c r="K177" i="11" s="1"/>
  <c r="K178" i="11" s="1"/>
  <c r="K179" i="11" s="1"/>
  <c r="K180" i="11" s="1"/>
  <c r="K181" i="11" s="1"/>
  <c r="K182" i="11" s="1"/>
  <c r="K183" i="11" s="1"/>
  <c r="K184" i="11" s="1"/>
  <c r="K185" i="11" s="1"/>
  <c r="K186" i="11" s="1"/>
  <c r="K187" i="11" s="1"/>
  <c r="K188" i="11" s="1"/>
  <c r="K189" i="11" s="1"/>
  <c r="K190" i="11" s="1"/>
  <c r="K191" i="11" s="1"/>
  <c r="K192" i="11" s="1"/>
  <c r="K193" i="11" s="1"/>
  <c r="K194" i="11" s="1"/>
  <c r="K195" i="11" s="1"/>
  <c r="K196" i="11" s="1"/>
  <c r="K197" i="11" s="1"/>
  <c r="K198" i="11" s="1"/>
  <c r="K199" i="11" s="1"/>
  <c r="K200" i="11" s="1"/>
  <c r="K201" i="11" s="1"/>
  <c r="K202" i="11" s="1"/>
  <c r="K203" i="11" s="1"/>
  <c r="K204" i="11" s="1"/>
  <c r="K205" i="11" s="1"/>
  <c r="K206" i="11" s="1"/>
  <c r="K207" i="11" s="1"/>
  <c r="K208" i="11" s="1"/>
  <c r="K209" i="11" s="1"/>
  <c r="K210" i="11" s="1"/>
  <c r="K211" i="11" s="1"/>
  <c r="K212" i="11" s="1"/>
  <c r="K213" i="11" s="1"/>
  <c r="K214" i="11" s="1"/>
  <c r="K215" i="11" s="1"/>
  <c r="K216" i="11" s="1"/>
  <c r="K217" i="11" s="1"/>
  <c r="K218" i="11" s="1"/>
  <c r="K219" i="11" s="1"/>
  <c r="K220" i="11" s="1"/>
  <c r="K221" i="11" s="1"/>
  <c r="K222" i="11" s="1"/>
  <c r="K223" i="11" s="1"/>
  <c r="K224" i="11" s="1"/>
  <c r="K225" i="11" s="1"/>
  <c r="K226" i="11" s="1"/>
  <c r="K227" i="11" s="1"/>
  <c r="K228" i="11" s="1"/>
  <c r="K229" i="11" s="1"/>
  <c r="K230" i="11" s="1"/>
  <c r="K231" i="11" s="1"/>
  <c r="K232" i="11" s="1"/>
  <c r="K233" i="11" s="1"/>
  <c r="K234" i="11" s="1"/>
  <c r="K235" i="11" s="1"/>
  <c r="K236" i="11" s="1"/>
  <c r="K237" i="11" s="1"/>
  <c r="K238" i="11" s="1"/>
  <c r="K239" i="11" s="1"/>
  <c r="K240" i="11" s="1"/>
  <c r="K241" i="11" s="1"/>
  <c r="K242" i="11" s="1"/>
  <c r="K243" i="11" s="1"/>
  <c r="K244" i="11" s="1"/>
  <c r="K245" i="11" s="1"/>
  <c r="K246" i="11" s="1"/>
  <c r="K247" i="11" s="1"/>
  <c r="K248" i="11" s="1"/>
  <c r="K249" i="11" s="1"/>
  <c r="K250" i="11" s="1"/>
  <c r="K251" i="11" s="1"/>
  <c r="K252" i="11" s="1"/>
  <c r="K253" i="11" s="1"/>
  <c r="K254" i="11" s="1"/>
  <c r="K255" i="11" s="1"/>
  <c r="K256" i="11" s="1"/>
  <c r="K257" i="11" s="1"/>
  <c r="K258" i="11" s="1"/>
  <c r="K259" i="11" s="1"/>
  <c r="K260" i="11" s="1"/>
  <c r="K261" i="11" s="1"/>
  <c r="K262" i="11" s="1"/>
  <c r="K263" i="11" s="1"/>
  <c r="K264" i="11" s="1"/>
  <c r="K265" i="11" s="1"/>
  <c r="K266" i="11" s="1"/>
  <c r="K267" i="11" s="1"/>
  <c r="K268" i="11" s="1"/>
  <c r="K269" i="11" s="1"/>
  <c r="K270" i="11" s="1"/>
  <c r="K271" i="11" s="1"/>
  <c r="K272" i="11" s="1"/>
  <c r="K273" i="11" s="1"/>
  <c r="K274" i="11" s="1"/>
  <c r="K275" i="11" s="1"/>
  <c r="K276" i="11" s="1"/>
  <c r="K277" i="11" s="1"/>
  <c r="K278" i="11" s="1"/>
  <c r="K279" i="11" s="1"/>
  <c r="K280" i="11" s="1"/>
  <c r="K281" i="11" s="1"/>
  <c r="K282" i="11" s="1"/>
  <c r="K283" i="11" s="1"/>
  <c r="K284" i="11" s="1"/>
  <c r="K285" i="11" s="1"/>
  <c r="K286" i="11" s="1"/>
  <c r="K287" i="11" s="1"/>
  <c r="K288" i="11" s="1"/>
  <c r="K289" i="11" s="1"/>
  <c r="K290" i="11" s="1"/>
  <c r="K291" i="11" s="1"/>
  <c r="K292" i="11" s="1"/>
  <c r="K293" i="11" s="1"/>
  <c r="K294" i="11" s="1"/>
  <c r="K295" i="11" s="1"/>
  <c r="K296" i="11" s="1"/>
  <c r="K297" i="11" s="1"/>
  <c r="K298" i="11" s="1"/>
  <c r="K299" i="11" s="1"/>
  <c r="K300" i="11" s="1"/>
  <c r="K301" i="11" s="1"/>
  <c r="K302" i="11" s="1"/>
  <c r="K303" i="11" s="1"/>
  <c r="K304" i="11" s="1"/>
  <c r="K305" i="11" s="1"/>
  <c r="K306" i="11" s="1"/>
  <c r="K307" i="11" s="1"/>
  <c r="K308" i="11" s="1"/>
  <c r="K309" i="11" s="1"/>
  <c r="K310" i="11" s="1"/>
  <c r="K311" i="11" s="1"/>
  <c r="K312" i="11" s="1"/>
  <c r="K313" i="11" s="1"/>
  <c r="K314" i="11" s="1"/>
  <c r="K315" i="11" s="1"/>
  <c r="K316" i="11" s="1"/>
  <c r="K317" i="11" s="1"/>
  <c r="K318" i="11" s="1"/>
  <c r="K319" i="11" s="1"/>
  <c r="K320" i="11" s="1"/>
  <c r="K321" i="11" s="1"/>
  <c r="K322" i="11" s="1"/>
  <c r="K323" i="11" s="1"/>
  <c r="K324" i="11" s="1"/>
  <c r="K325" i="11" s="1"/>
  <c r="K326" i="11" s="1"/>
  <c r="K327" i="11" s="1"/>
  <c r="K328" i="11" s="1"/>
  <c r="K329" i="11" s="1"/>
  <c r="K330" i="11" s="1"/>
  <c r="K331" i="11" s="1"/>
  <c r="K332" i="11" s="1"/>
  <c r="K333" i="11" s="1"/>
  <c r="K334" i="11" s="1"/>
  <c r="K335" i="11" s="1"/>
  <c r="K336" i="11" s="1"/>
  <c r="K337" i="11" s="1"/>
  <c r="K338" i="11" s="1"/>
  <c r="K339" i="11" s="1"/>
  <c r="K340" i="11" s="1"/>
  <c r="K341" i="11" s="1"/>
  <c r="K342" i="11" s="1"/>
  <c r="K343" i="11" s="1"/>
  <c r="K344" i="11" s="1"/>
  <c r="K345" i="11" s="1"/>
  <c r="K346" i="11" s="1"/>
  <c r="K347" i="11" s="1"/>
  <c r="K348" i="11" s="1"/>
  <c r="K349" i="11" s="1"/>
  <c r="K350" i="11" s="1"/>
  <c r="K351" i="11" s="1"/>
  <c r="K352" i="11" s="1"/>
  <c r="K353" i="11" s="1"/>
  <c r="K354" i="11" s="1"/>
  <c r="K355" i="11" s="1"/>
  <c r="K356" i="11" s="1"/>
  <c r="K357" i="11" s="1"/>
  <c r="K358" i="11" s="1"/>
  <c r="K359" i="11" s="1"/>
  <c r="K360" i="11" s="1"/>
  <c r="K361" i="11" s="1"/>
  <c r="K362" i="11" s="1"/>
  <c r="K363" i="11" s="1"/>
  <c r="K364" i="11" s="1"/>
  <c r="K365" i="11" s="1"/>
  <c r="K366" i="11" s="1"/>
  <c r="K367" i="11" s="1"/>
  <c r="K368" i="11" s="1"/>
  <c r="K369" i="11" s="1"/>
  <c r="K370" i="11" s="1"/>
  <c r="K371" i="11" s="1"/>
  <c r="K372" i="11" s="1"/>
  <c r="K373" i="11" s="1"/>
  <c r="K374" i="11" s="1"/>
  <c r="K375" i="11" s="1"/>
  <c r="K376" i="11" s="1"/>
  <c r="K377" i="11" s="1"/>
  <c r="K378" i="11" s="1"/>
  <c r="K379" i="11" s="1"/>
  <c r="K380" i="11" s="1"/>
  <c r="K381" i="11" s="1"/>
  <c r="K382" i="11" s="1"/>
  <c r="K383" i="11" s="1"/>
  <c r="K384" i="11" s="1"/>
  <c r="K385" i="11" s="1"/>
  <c r="K386" i="11" s="1"/>
  <c r="K387" i="11" s="1"/>
  <c r="K388" i="11" s="1"/>
  <c r="K389" i="11" s="1"/>
  <c r="K390" i="11" s="1"/>
  <c r="K391" i="11" s="1"/>
  <c r="K392" i="11" s="1"/>
  <c r="K393" i="11" s="1"/>
  <c r="K394" i="11" s="1"/>
  <c r="K395" i="11" s="1"/>
  <c r="K396" i="11" s="1"/>
  <c r="K397" i="11" s="1"/>
  <c r="K398" i="11" s="1"/>
  <c r="K399" i="11" s="1"/>
  <c r="K400" i="11" s="1"/>
  <c r="K401" i="11" s="1"/>
  <c r="K402" i="11" s="1"/>
  <c r="K403" i="11" s="1"/>
  <c r="K404" i="11" s="1"/>
  <c r="K405" i="11" s="1"/>
  <c r="K406" i="11" s="1"/>
  <c r="K407" i="11" s="1"/>
  <c r="K408" i="11" s="1"/>
  <c r="K409" i="11" s="1"/>
  <c r="K410" i="11" s="1"/>
  <c r="K411" i="11" s="1"/>
  <c r="K412" i="11" s="1"/>
  <c r="K413" i="11" s="1"/>
  <c r="K414" i="11" s="1"/>
  <c r="K415" i="11" s="1"/>
  <c r="K416" i="11" s="1"/>
  <c r="K417" i="11" s="1"/>
  <c r="K418" i="11" s="1"/>
  <c r="K419" i="11" s="1"/>
  <c r="K420" i="11" s="1"/>
  <c r="K421" i="11" s="1"/>
  <c r="K422" i="11" s="1"/>
  <c r="K423" i="11" s="1"/>
  <c r="K424" i="11" s="1"/>
  <c r="K425" i="11" s="1"/>
  <c r="K426" i="11" s="1"/>
  <c r="K427" i="11" s="1"/>
  <c r="K428" i="11" s="1"/>
  <c r="K429" i="11" s="1"/>
  <c r="K430" i="11" s="1"/>
  <c r="K431" i="11" s="1"/>
  <c r="K432" i="11" s="1"/>
  <c r="K433" i="11" s="1"/>
  <c r="K434" i="11" s="1"/>
  <c r="K435" i="11" s="1"/>
  <c r="K436" i="11" s="1"/>
  <c r="K437" i="11" s="1"/>
  <c r="K438" i="11" s="1"/>
  <c r="K439" i="11" s="1"/>
  <c r="K440" i="11" s="1"/>
  <c r="K441" i="11" s="1"/>
  <c r="K442" i="11" s="1"/>
  <c r="K443" i="11" s="1"/>
  <c r="K444" i="11" s="1"/>
  <c r="K445" i="11" s="1"/>
  <c r="K446" i="11" s="1"/>
  <c r="K447" i="11" s="1"/>
  <c r="K448" i="11" s="1"/>
  <c r="K449" i="11" s="1"/>
  <c r="K450" i="11" s="1"/>
  <c r="K451" i="11" s="1"/>
  <c r="K452" i="11" s="1"/>
  <c r="K453" i="11" s="1"/>
  <c r="K454" i="11" s="1"/>
  <c r="K455" i="11" s="1"/>
  <c r="K456" i="11" s="1"/>
  <c r="K457" i="11" s="1"/>
  <c r="K458" i="11" s="1"/>
  <c r="K459" i="11" s="1"/>
  <c r="K460" i="11" s="1"/>
  <c r="K461" i="11" s="1"/>
  <c r="K462" i="11" s="1"/>
  <c r="K463" i="11" s="1"/>
  <c r="K464" i="11" s="1"/>
  <c r="K465" i="11" s="1"/>
  <c r="K466" i="11" s="1"/>
  <c r="K467" i="11" s="1"/>
  <c r="K468" i="11" s="1"/>
  <c r="K469" i="11" s="1"/>
  <c r="K470" i="11" s="1"/>
  <c r="K471" i="11" s="1"/>
  <c r="K472" i="11" s="1"/>
  <c r="K473" i="11" s="1"/>
  <c r="K474" i="11" s="1"/>
  <c r="K475" i="11" s="1"/>
  <c r="K476" i="11" s="1"/>
  <c r="K477" i="11" s="1"/>
  <c r="K478" i="11" s="1"/>
  <c r="K479" i="11" s="1"/>
  <c r="K480" i="11" s="1"/>
  <c r="K481" i="11" s="1"/>
  <c r="K482" i="11" s="1"/>
  <c r="K483" i="11" s="1"/>
  <c r="K484" i="11" s="1"/>
  <c r="K485" i="11" s="1"/>
  <c r="K486" i="11" s="1"/>
  <c r="K487" i="11" s="1"/>
  <c r="K488" i="11" s="1"/>
  <c r="K489" i="11" s="1"/>
  <c r="K490" i="11" s="1"/>
  <c r="K491" i="11" s="1"/>
  <c r="K492" i="11" s="1"/>
  <c r="K493" i="11" s="1"/>
  <c r="K494" i="11" s="1"/>
  <c r="K495" i="11" s="1"/>
  <c r="K496" i="11" s="1"/>
  <c r="K497" i="11" s="1"/>
  <c r="K498" i="11" s="1"/>
  <c r="K499" i="11" s="1"/>
  <c r="K500" i="11" s="1"/>
  <c r="K501" i="11" s="1"/>
  <c r="K502" i="11" s="1"/>
  <c r="K503" i="11" s="1"/>
  <c r="K504" i="11" s="1"/>
  <c r="K505" i="11" s="1"/>
  <c r="K506" i="11" s="1"/>
  <c r="K507" i="11" s="1"/>
  <c r="K508" i="11" s="1"/>
  <c r="K509" i="11" s="1"/>
  <c r="K510" i="11" s="1"/>
  <c r="K511" i="11" s="1"/>
  <c r="K512" i="11" s="1"/>
  <c r="K513" i="11" s="1"/>
  <c r="K514" i="11" s="1"/>
  <c r="K515" i="11" s="1"/>
  <c r="K516" i="11" s="1"/>
  <c r="K517" i="11" s="1"/>
  <c r="K518" i="11" s="1"/>
  <c r="K519" i="11" s="1"/>
  <c r="K520" i="11" s="1"/>
  <c r="K521" i="11" s="1"/>
  <c r="K522" i="11" s="1"/>
  <c r="K523" i="11" s="1"/>
  <c r="K524" i="11" s="1"/>
  <c r="K525" i="11" s="1"/>
  <c r="K526" i="11" s="1"/>
  <c r="K527" i="11" s="1"/>
  <c r="K528" i="11" s="1"/>
  <c r="K529" i="11" s="1"/>
  <c r="K530" i="11" s="1"/>
  <c r="K531" i="11" s="1"/>
  <c r="K532" i="11" s="1"/>
  <c r="K533" i="11" s="1"/>
  <c r="K534" i="11" s="1"/>
  <c r="K535" i="11" s="1"/>
  <c r="K536" i="11" s="1"/>
  <c r="K537" i="11" s="1"/>
  <c r="K538" i="11" s="1"/>
  <c r="K539" i="11" s="1"/>
  <c r="K540" i="11" s="1"/>
  <c r="K541" i="11" s="1"/>
  <c r="K542" i="11" s="1"/>
  <c r="K543" i="11" s="1"/>
  <c r="K544" i="11" s="1"/>
  <c r="K545" i="11" s="1"/>
  <c r="K546" i="11" s="1"/>
  <c r="K547" i="11" s="1"/>
  <c r="K548" i="11" s="1"/>
  <c r="K549" i="11" s="1"/>
  <c r="K550" i="11" s="1"/>
  <c r="K551" i="11" s="1"/>
  <c r="K552" i="11" s="1"/>
  <c r="K553" i="11" s="1"/>
  <c r="K554" i="11" s="1"/>
  <c r="K555" i="11" s="1"/>
  <c r="K556" i="11" s="1"/>
  <c r="K557" i="11" s="1"/>
  <c r="K558" i="11" s="1"/>
  <c r="K559" i="11" s="1"/>
  <c r="K560" i="11" s="1"/>
  <c r="K561" i="11" s="1"/>
  <c r="K562" i="11" s="1"/>
  <c r="K563" i="11" s="1"/>
  <c r="K564" i="11" s="1"/>
  <c r="K565" i="11" s="1"/>
  <c r="K566" i="11" s="1"/>
  <c r="K567" i="11" s="1"/>
  <c r="K568" i="11" s="1"/>
  <c r="K569" i="11" s="1"/>
  <c r="K570" i="11" s="1"/>
  <c r="K571" i="11" s="1"/>
  <c r="K572" i="11" s="1"/>
  <c r="K573" i="11" s="1"/>
  <c r="K574" i="11" s="1"/>
  <c r="K575" i="11" s="1"/>
  <c r="K576" i="11" s="1"/>
  <c r="K577" i="11" s="1"/>
  <c r="K578" i="11" s="1"/>
  <c r="K579" i="11" s="1"/>
  <c r="K580" i="11" s="1"/>
  <c r="K581" i="11" s="1"/>
  <c r="K582" i="11" s="1"/>
  <c r="K583" i="11" s="1"/>
  <c r="K584" i="11" s="1"/>
  <c r="K585" i="11" s="1"/>
  <c r="K586" i="11" s="1"/>
  <c r="K587" i="11" s="1"/>
  <c r="K588" i="11" s="1"/>
  <c r="K589" i="11" s="1"/>
  <c r="K590" i="11" s="1"/>
  <c r="K591" i="11" s="1"/>
  <c r="K592" i="11" s="1"/>
  <c r="K593" i="11" s="1"/>
  <c r="K594" i="11" s="1"/>
  <c r="K595" i="11" s="1"/>
  <c r="K596" i="11" s="1"/>
  <c r="K597" i="11" s="1"/>
  <c r="K598" i="11" s="1"/>
  <c r="K599" i="11" s="1"/>
  <c r="K600" i="11" s="1"/>
  <c r="K601" i="11" s="1"/>
  <c r="K602" i="11" s="1"/>
  <c r="K603" i="11" s="1"/>
  <c r="K604" i="11" s="1"/>
  <c r="K605" i="11" s="1"/>
  <c r="K606" i="11" s="1"/>
  <c r="K607" i="11" s="1"/>
  <c r="K608" i="11" s="1"/>
  <c r="K609" i="11" s="1"/>
  <c r="K610" i="11" s="1"/>
  <c r="K611" i="11" s="1"/>
  <c r="K612" i="11" s="1"/>
  <c r="K613" i="11" s="1"/>
  <c r="K614" i="11" s="1"/>
  <c r="K615" i="11" s="1"/>
  <c r="K616" i="11" s="1"/>
  <c r="K617" i="11" s="1"/>
  <c r="K618" i="11" s="1"/>
  <c r="K619" i="11" s="1"/>
  <c r="K620" i="11" s="1"/>
  <c r="K621" i="11" s="1"/>
  <c r="K622" i="11" s="1"/>
  <c r="K623" i="11" s="1"/>
  <c r="K624" i="11" s="1"/>
  <c r="K625" i="11" s="1"/>
  <c r="K626" i="11" s="1"/>
  <c r="K627" i="11" s="1"/>
  <c r="K628" i="11" s="1"/>
  <c r="K629" i="11" s="1"/>
  <c r="K630" i="11" s="1"/>
  <c r="K631" i="11" s="1"/>
  <c r="K632" i="11" s="1"/>
  <c r="K633" i="11" s="1"/>
  <c r="K634" i="11" s="1"/>
  <c r="K635" i="11" s="1"/>
  <c r="K636" i="11" s="1"/>
  <c r="K637" i="11" s="1"/>
  <c r="K638" i="11" s="1"/>
  <c r="K639" i="11" s="1"/>
  <c r="K640" i="11" s="1"/>
  <c r="K641" i="11" s="1"/>
  <c r="K642" i="11" s="1"/>
  <c r="K643" i="11" s="1"/>
  <c r="K644" i="11" s="1"/>
  <c r="K645" i="11" s="1"/>
  <c r="K646" i="11" s="1"/>
  <c r="K647" i="11" s="1"/>
  <c r="K648" i="11" s="1"/>
  <c r="K649" i="11" s="1"/>
  <c r="K650" i="11" s="1"/>
  <c r="K651" i="11" s="1"/>
  <c r="K652" i="11" s="1"/>
  <c r="K653" i="11" s="1"/>
  <c r="K654" i="11" s="1"/>
  <c r="K655" i="11" s="1"/>
  <c r="K656" i="11" s="1"/>
  <c r="K657" i="11" s="1"/>
  <c r="K658" i="11" s="1"/>
  <c r="K659" i="11" s="1"/>
  <c r="K660" i="11" s="1"/>
  <c r="K661" i="11" s="1"/>
  <c r="K662" i="11" s="1"/>
  <c r="K663" i="11" s="1"/>
  <c r="K664" i="11" s="1"/>
  <c r="K665" i="11" s="1"/>
  <c r="K666" i="11" s="1"/>
  <c r="K667" i="11" s="1"/>
  <c r="K668" i="11" s="1"/>
  <c r="K669" i="11" s="1"/>
  <c r="K670" i="11" s="1"/>
  <c r="K671" i="11" s="1"/>
  <c r="K672" i="11" s="1"/>
  <c r="K673" i="11" s="1"/>
  <c r="K674" i="11" s="1"/>
  <c r="K675" i="11" s="1"/>
  <c r="K676" i="11" s="1"/>
  <c r="K677" i="11" s="1"/>
  <c r="K678" i="11" s="1"/>
  <c r="K679" i="11" s="1"/>
  <c r="K680" i="11" s="1"/>
  <c r="K681" i="11" s="1"/>
  <c r="K682" i="11" s="1"/>
  <c r="K683" i="11" s="1"/>
  <c r="K684" i="11" s="1"/>
  <c r="K685" i="11" s="1"/>
  <c r="K686" i="11" s="1"/>
  <c r="K687" i="11" s="1"/>
  <c r="K688" i="11" s="1"/>
  <c r="K689" i="11" s="1"/>
  <c r="K690" i="11" s="1"/>
  <c r="K691" i="11" s="1"/>
  <c r="K692" i="11" s="1"/>
  <c r="K693" i="11" s="1"/>
  <c r="K694" i="11" s="1"/>
  <c r="K695" i="11" s="1"/>
  <c r="K696" i="11" s="1"/>
  <c r="K697" i="11" s="1"/>
  <c r="K698" i="11" s="1"/>
  <c r="K699" i="11" s="1"/>
  <c r="K700" i="11" s="1"/>
  <c r="K701" i="11" s="1"/>
  <c r="K702" i="11" s="1"/>
  <c r="K703" i="11" s="1"/>
  <c r="K704" i="11" s="1"/>
  <c r="K705" i="11" s="1"/>
  <c r="K706" i="11" s="1"/>
  <c r="K707" i="11" s="1"/>
  <c r="K708" i="11" s="1"/>
  <c r="K709" i="11" s="1"/>
  <c r="K710" i="11" s="1"/>
  <c r="K711" i="11" s="1"/>
  <c r="K712" i="11" s="1"/>
  <c r="K713" i="11" s="1"/>
  <c r="K714" i="11" s="1"/>
  <c r="K715" i="11" s="1"/>
  <c r="K716" i="11" s="1"/>
  <c r="K717" i="11" s="1"/>
  <c r="K718" i="11" s="1"/>
  <c r="K719" i="11" s="1"/>
  <c r="K720" i="11" s="1"/>
  <c r="K721" i="11" s="1"/>
  <c r="K722" i="11" s="1"/>
  <c r="K723" i="11" s="1"/>
  <c r="K724" i="11" s="1"/>
  <c r="K725" i="11" s="1"/>
  <c r="K726" i="11" s="1"/>
  <c r="K727" i="11" s="1"/>
  <c r="K728" i="11" s="1"/>
  <c r="K729" i="11" s="1"/>
  <c r="K730" i="11" s="1"/>
  <c r="K731" i="11" s="1"/>
  <c r="K732" i="11" s="1"/>
  <c r="K733" i="11" s="1"/>
  <c r="K734" i="11" s="1"/>
  <c r="K735" i="11" s="1"/>
  <c r="K736" i="11" s="1"/>
  <c r="K737" i="11" s="1"/>
  <c r="K738" i="11" s="1"/>
  <c r="K739" i="11" s="1"/>
  <c r="K740" i="11" s="1"/>
  <c r="K741" i="11" s="1"/>
  <c r="K742" i="11" s="1"/>
  <c r="K743" i="11" s="1"/>
  <c r="K744" i="11" s="1"/>
  <c r="K745" i="11" s="1"/>
  <c r="K746" i="11" s="1"/>
  <c r="K747" i="11" s="1"/>
  <c r="K748" i="11" s="1"/>
  <c r="K749" i="11" s="1"/>
  <c r="K750" i="11" s="1"/>
  <c r="K751" i="11" s="1"/>
  <c r="K752" i="11" s="1"/>
  <c r="K753" i="11" s="1"/>
  <c r="K754" i="11" s="1"/>
  <c r="K755" i="11" s="1"/>
  <c r="K756" i="11" s="1"/>
  <c r="K757" i="11" s="1"/>
  <c r="K758" i="11" s="1"/>
  <c r="K759" i="11" s="1"/>
  <c r="K760" i="11" s="1"/>
  <c r="K761" i="11" s="1"/>
  <c r="K762" i="11" s="1"/>
  <c r="K763" i="11" s="1"/>
  <c r="K764" i="11" s="1"/>
  <c r="K765" i="11" s="1"/>
  <c r="K766" i="11" s="1"/>
  <c r="K767" i="11" s="1"/>
  <c r="K768" i="11" s="1"/>
  <c r="K769" i="11" s="1"/>
  <c r="K770" i="11" s="1"/>
  <c r="K771" i="11" s="1"/>
  <c r="K772" i="11" s="1"/>
  <c r="K773" i="11" s="1"/>
  <c r="K774" i="11" s="1"/>
  <c r="K775" i="11" s="1"/>
  <c r="K776" i="11" s="1"/>
  <c r="K777" i="11" s="1"/>
  <c r="K778" i="11" s="1"/>
  <c r="K779" i="11" s="1"/>
  <c r="K780" i="11" s="1"/>
  <c r="K781" i="11" s="1"/>
  <c r="K782" i="11" s="1"/>
  <c r="K783" i="11" s="1"/>
  <c r="K784" i="11" s="1"/>
  <c r="K785" i="11" s="1"/>
  <c r="K786" i="11" s="1"/>
  <c r="K787" i="11" s="1"/>
  <c r="K788" i="11" s="1"/>
  <c r="K789" i="11" s="1"/>
  <c r="K790" i="11" s="1"/>
  <c r="K791" i="11" s="1"/>
  <c r="T10" i="11"/>
  <c r="B111" i="11"/>
  <c r="D144" i="11"/>
  <c r="B149" i="11"/>
  <c r="B259" i="11"/>
  <c r="A267" i="11"/>
  <c r="A323" i="11"/>
  <c r="C350" i="11"/>
  <c r="C672" i="11"/>
  <c r="C755" i="11"/>
  <c r="F27" i="19"/>
  <c r="F113" i="19"/>
  <c r="M142" i="19"/>
  <c r="I142" i="19"/>
  <c r="G256" i="19"/>
  <c r="J256" i="19" s="1"/>
  <c r="I384" i="19"/>
  <c r="A122" i="7"/>
  <c r="A152" i="7"/>
  <c r="A322" i="7"/>
  <c r="A552" i="7"/>
  <c r="A722" i="7"/>
  <c r="A752" i="7"/>
  <c r="A16" i="8"/>
  <c r="A25" i="8"/>
  <c r="H84" i="16"/>
  <c r="P84" i="16" s="1"/>
  <c r="H84" i="20"/>
  <c r="H94" i="16"/>
  <c r="P94" i="16" s="1"/>
  <c r="H94" i="20"/>
  <c r="A112" i="8"/>
  <c r="H142" i="16"/>
  <c r="P142" i="16" s="1"/>
  <c r="H142" i="20"/>
  <c r="H157" i="16"/>
  <c r="P157" i="16" s="1"/>
  <c r="F157" i="19"/>
  <c r="D187" i="9"/>
  <c r="A195" i="8"/>
  <c r="A429" i="8"/>
  <c r="H484" i="16"/>
  <c r="P484" i="16" s="1"/>
  <c r="H484" i="20"/>
  <c r="F484" i="19"/>
  <c r="H494" i="16"/>
  <c r="P494" i="16" s="1"/>
  <c r="H494" i="20"/>
  <c r="F494" i="19"/>
  <c r="D558" i="9"/>
  <c r="H561" i="16"/>
  <c r="P561" i="16" s="1"/>
  <c r="H561" i="20"/>
  <c r="F561" i="19"/>
  <c r="H566" i="16"/>
  <c r="P566" i="16" s="1"/>
  <c r="H566" i="20"/>
  <c r="A649" i="8"/>
  <c r="H654" i="16"/>
  <c r="P654" i="16" s="1"/>
  <c r="F654" i="19"/>
  <c r="H654" i="20"/>
  <c r="H665" i="16"/>
  <c r="P665" i="16" s="1"/>
  <c r="H665" i="20"/>
  <c r="F665" i="19"/>
  <c r="D673" i="9"/>
  <c r="D684" i="9"/>
  <c r="D692" i="9"/>
  <c r="D722" i="9"/>
  <c r="H758" i="16"/>
  <c r="P758" i="16" s="1"/>
  <c r="H758" i="20"/>
  <c r="F758" i="19"/>
  <c r="D782" i="9"/>
  <c r="H806" i="16"/>
  <c r="P806" i="16" s="1"/>
  <c r="H806" i="20"/>
  <c r="F806" i="19"/>
  <c r="D812" i="9"/>
  <c r="H8" i="16"/>
  <c r="P8" i="16" s="1"/>
  <c r="X8" i="16" s="1"/>
  <c r="H8" i="20"/>
  <c r="F8" i="19"/>
  <c r="I53" i="16"/>
  <c r="M53" i="16" s="1"/>
  <c r="G53" i="20"/>
  <c r="G53" i="19"/>
  <c r="J53" i="19" s="1"/>
  <c r="I79" i="16"/>
  <c r="M79" i="16" s="1"/>
  <c r="G79" i="19"/>
  <c r="J79" i="19" s="1"/>
  <c r="G79" i="20"/>
  <c r="G146" i="20"/>
  <c r="I146" i="16"/>
  <c r="M146" i="16" s="1"/>
  <c r="G167" i="20"/>
  <c r="I167" i="16"/>
  <c r="M167" i="16" s="1"/>
  <c r="G167" i="19"/>
  <c r="J167" i="19" s="1"/>
  <c r="I190" i="16"/>
  <c r="M190" i="16" s="1"/>
  <c r="G190" i="20"/>
  <c r="I216" i="16"/>
  <c r="M216" i="16" s="1"/>
  <c r="G216" i="20"/>
  <c r="G216" i="19"/>
  <c r="J216" i="19" s="1"/>
  <c r="G231" i="20"/>
  <c r="I231" i="16"/>
  <c r="M231" i="16" s="1"/>
  <c r="G231" i="19"/>
  <c r="J231" i="19" s="1"/>
  <c r="I237" i="16"/>
  <c r="M237" i="16" s="1"/>
  <c r="G237" i="20"/>
  <c r="G237" i="19"/>
  <c r="J237" i="19" s="1"/>
  <c r="H243" i="16"/>
  <c r="P243" i="16" s="1"/>
  <c r="H243" i="20"/>
  <c r="I260" i="16"/>
  <c r="M260" i="16" s="1"/>
  <c r="G260" i="20"/>
  <c r="G301" i="20"/>
  <c r="I301" i="16"/>
  <c r="M301" i="16" s="1"/>
  <c r="G301" i="19"/>
  <c r="J301" i="19" s="1"/>
  <c r="D313" i="9"/>
  <c r="I342" i="16"/>
  <c r="M342" i="16" s="1"/>
  <c r="G342" i="20"/>
  <c r="I345" i="16"/>
  <c r="M345" i="16" s="1"/>
  <c r="G345" i="20"/>
  <c r="G345" i="19"/>
  <c r="J345" i="19" s="1"/>
  <c r="I368" i="16"/>
  <c r="M368" i="16" s="1"/>
  <c r="G368" i="20"/>
  <c r="G368" i="19"/>
  <c r="J368" i="19" s="1"/>
  <c r="I383" i="16"/>
  <c r="M383" i="16" s="1"/>
  <c r="G383" i="20"/>
  <c r="G383" i="19"/>
  <c r="J383" i="19" s="1"/>
  <c r="D406" i="9"/>
  <c r="I409" i="16"/>
  <c r="M409" i="16" s="1"/>
  <c r="G409" i="20"/>
  <c r="G409" i="19"/>
  <c r="J409" i="19" s="1"/>
  <c r="I412" i="16"/>
  <c r="M412" i="16" s="1"/>
  <c r="G412" i="20"/>
  <c r="G412" i="19"/>
  <c r="J412" i="19" s="1"/>
  <c r="I415" i="16"/>
  <c r="M415" i="16" s="1"/>
  <c r="G415" i="20"/>
  <c r="G415" i="19"/>
  <c r="J415" i="19" s="1"/>
  <c r="C421" i="9"/>
  <c r="I438" i="16"/>
  <c r="M438" i="16" s="1"/>
  <c r="G438" i="20"/>
  <c r="G438" i="19"/>
  <c r="J438" i="19" s="1"/>
  <c r="I453" i="16"/>
  <c r="M453" i="16" s="1"/>
  <c r="G453" i="20"/>
  <c r="G453" i="19"/>
  <c r="J453" i="19" s="1"/>
  <c r="I479" i="16"/>
  <c r="M479" i="16" s="1"/>
  <c r="G479" i="19"/>
  <c r="J479" i="19" s="1"/>
  <c r="G479" i="20"/>
  <c r="I541" i="16"/>
  <c r="M541" i="16" s="1"/>
  <c r="G541" i="20"/>
  <c r="G541" i="19"/>
  <c r="J541" i="19" s="1"/>
  <c r="I547" i="16"/>
  <c r="M547" i="16" s="1"/>
  <c r="G547" i="20"/>
  <c r="G547" i="19"/>
  <c r="J547" i="19" s="1"/>
  <c r="G588" i="20"/>
  <c r="I588" i="16"/>
  <c r="M588" i="16" s="1"/>
  <c r="G588" i="19"/>
  <c r="J588" i="19" s="1"/>
  <c r="I594" i="16"/>
  <c r="M594" i="16" s="1"/>
  <c r="G594" i="20"/>
  <c r="G594" i="19"/>
  <c r="J594" i="19" s="1"/>
  <c r="A632" i="9"/>
  <c r="D635" i="9"/>
  <c r="I679" i="16"/>
  <c r="M679" i="16" s="1"/>
  <c r="G679" i="20"/>
  <c r="G679" i="19"/>
  <c r="J679" i="19" s="1"/>
  <c r="I688" i="16"/>
  <c r="M688" i="16" s="1"/>
  <c r="G688" i="20"/>
  <c r="G688" i="19"/>
  <c r="J688" i="19" s="1"/>
  <c r="I701" i="16"/>
  <c r="M701" i="16" s="1"/>
  <c r="G701" i="20"/>
  <c r="G701" i="19"/>
  <c r="J701" i="19" s="1"/>
  <c r="I707" i="16"/>
  <c r="M707" i="16" s="1"/>
  <c r="G707" i="20"/>
  <c r="G707" i="19"/>
  <c r="J707" i="19" s="1"/>
  <c r="I748" i="16"/>
  <c r="M748" i="16" s="1"/>
  <c r="G748" i="20"/>
  <c r="G748" i="19"/>
  <c r="J748" i="19" s="1"/>
  <c r="I754" i="16"/>
  <c r="M754" i="16" s="1"/>
  <c r="G754" i="20"/>
  <c r="G754" i="19"/>
  <c r="J754" i="19" s="1"/>
  <c r="H816" i="16"/>
  <c r="P816" i="16" s="1"/>
  <c r="H816" i="20"/>
  <c r="F816" i="19"/>
  <c r="W4" i="20"/>
  <c r="AQ4" i="10"/>
  <c r="A79" i="11"/>
  <c r="A545" i="11"/>
  <c r="A685" i="11"/>
  <c r="M3" i="19"/>
  <c r="I3" i="19"/>
  <c r="K206" i="20"/>
  <c r="B19" i="5"/>
  <c r="A55" i="9"/>
  <c r="A55" i="11"/>
  <c r="A125" i="9"/>
  <c r="A125" i="11"/>
  <c r="A255" i="9"/>
  <c r="A255" i="11"/>
  <c r="A285" i="9"/>
  <c r="A285" i="11"/>
  <c r="A295" i="9"/>
  <c r="A295" i="11"/>
  <c r="A315" i="9"/>
  <c r="A315" i="11"/>
  <c r="A325" i="9"/>
  <c r="A325" i="11"/>
  <c r="A335" i="9"/>
  <c r="A335" i="11"/>
  <c r="A345" i="9"/>
  <c r="A345" i="11"/>
  <c r="A365" i="16"/>
  <c r="A365" i="20"/>
  <c r="A365" i="19"/>
  <c r="A375" i="9"/>
  <c r="A375" i="11"/>
  <c r="A385" i="11"/>
  <c r="A385" i="9"/>
  <c r="A395" i="16"/>
  <c r="A395" i="20"/>
  <c r="A395" i="19"/>
  <c r="A405" i="16"/>
  <c r="A405" i="19"/>
  <c r="A405" i="20"/>
  <c r="A415" i="16"/>
  <c r="A415" i="19"/>
  <c r="A415" i="20"/>
  <c r="A425" i="9"/>
  <c r="A425" i="11"/>
  <c r="A435" i="9"/>
  <c r="A435" i="11"/>
  <c r="A445" i="9"/>
  <c r="A445" i="11"/>
  <c r="A455" i="9"/>
  <c r="A455" i="11"/>
  <c r="A465" i="9"/>
  <c r="A465" i="11"/>
  <c r="A475" i="16"/>
  <c r="A475" i="20"/>
  <c r="A475" i="19"/>
  <c r="A485" i="9"/>
  <c r="A485" i="11"/>
  <c r="A495" i="9"/>
  <c r="A495" i="11"/>
  <c r="A505" i="9"/>
  <c r="A505" i="11"/>
  <c r="A515" i="11"/>
  <c r="A515" i="9"/>
  <c r="A525" i="11"/>
  <c r="A525" i="9"/>
  <c r="A535" i="9"/>
  <c r="A535" i="11"/>
  <c r="A545" i="16"/>
  <c r="A545" i="20"/>
  <c r="A545" i="19"/>
  <c r="A555" i="16"/>
  <c r="A555" i="20"/>
  <c r="A555" i="19"/>
  <c r="A565" i="9"/>
  <c r="A565" i="11"/>
  <c r="A575" i="9"/>
  <c r="A575" i="11"/>
  <c r="A585" i="16"/>
  <c r="A585" i="19"/>
  <c r="A585" i="20"/>
  <c r="A595" i="11"/>
  <c r="A595" i="9"/>
  <c r="A605" i="9"/>
  <c r="A605" i="11"/>
  <c r="A615" i="16"/>
  <c r="A615" i="20"/>
  <c r="A615" i="19"/>
  <c r="A625" i="9"/>
  <c r="A625" i="11"/>
  <c r="A635" i="9"/>
  <c r="A635" i="8"/>
  <c r="A645" i="11"/>
  <c r="A645" i="9"/>
  <c r="A655" i="9"/>
  <c r="A655" i="11"/>
  <c r="A665" i="9"/>
  <c r="A665" i="8"/>
  <c r="A675" i="16"/>
  <c r="A675" i="19"/>
  <c r="A675" i="20"/>
  <c r="A685" i="16"/>
  <c r="A685" i="20"/>
  <c r="A685" i="19"/>
  <c r="A695" i="11"/>
  <c r="A695" i="9"/>
  <c r="A695" i="8"/>
  <c r="A705" i="9"/>
  <c r="A705" i="11"/>
  <c r="A715" i="9"/>
  <c r="A715" i="11"/>
  <c r="A725" i="9"/>
  <c r="A725" i="8"/>
  <c r="A735" i="16"/>
  <c r="A735" i="19"/>
  <c r="A735" i="20"/>
  <c r="A745" i="11"/>
  <c r="A745" i="9"/>
  <c r="A755" i="9"/>
  <c r="A755" i="11"/>
  <c r="A755" i="8"/>
  <c r="A765" i="16"/>
  <c r="A765" i="20"/>
  <c r="A765" i="19"/>
  <c r="A775" i="16"/>
  <c r="A775" i="20"/>
  <c r="A775" i="19"/>
  <c r="A785" i="9"/>
  <c r="A785" i="11"/>
  <c r="A805" i="11"/>
  <c r="A805" i="8"/>
  <c r="A35" i="7"/>
  <c r="A49" i="7"/>
  <c r="A145" i="7"/>
  <c r="C181" i="7"/>
  <c r="A189" i="7"/>
  <c r="C211" i="7"/>
  <c r="A315" i="7"/>
  <c r="A345" i="7"/>
  <c r="C381" i="7"/>
  <c r="A389" i="7"/>
  <c r="C411" i="7"/>
  <c r="A515" i="7"/>
  <c r="A545" i="7"/>
  <c r="C611" i="7"/>
  <c r="A715" i="7"/>
  <c r="A745" i="7"/>
  <c r="H77" i="16"/>
  <c r="P77" i="16" s="1"/>
  <c r="H77" i="20"/>
  <c r="F77" i="19"/>
  <c r="H122" i="16"/>
  <c r="P122" i="16" s="1"/>
  <c r="H122" i="20"/>
  <c r="F122" i="19"/>
  <c r="H137" i="16"/>
  <c r="P137" i="16" s="1"/>
  <c r="H137" i="20"/>
  <c r="D167" i="9"/>
  <c r="A175" i="8"/>
  <c r="A185" i="8"/>
  <c r="H464" i="16"/>
  <c r="P464" i="16" s="1"/>
  <c r="H464" i="20"/>
  <c r="H474" i="20"/>
  <c r="H474" i="16"/>
  <c r="P474" i="16" s="1"/>
  <c r="F474" i="19"/>
  <c r="H522" i="16"/>
  <c r="P522" i="16" s="1"/>
  <c r="H522" i="20"/>
  <c r="F522" i="19"/>
  <c r="H553" i="16"/>
  <c r="P553" i="16" s="1"/>
  <c r="H553" i="20"/>
  <c r="F553" i="19"/>
  <c r="H582" i="16"/>
  <c r="P582" i="16" s="1"/>
  <c r="H582" i="20"/>
  <c r="F582" i="19"/>
  <c r="D624" i="9"/>
  <c r="D632" i="9"/>
  <c r="H649" i="20"/>
  <c r="F649" i="19"/>
  <c r="H649" i="16"/>
  <c r="P649" i="16" s="1"/>
  <c r="D662" i="9"/>
  <c r="D706" i="9"/>
  <c r="A712" i="8"/>
  <c r="D766" i="9"/>
  <c r="A772" i="8"/>
  <c r="H777" i="16"/>
  <c r="P777" i="16" s="1"/>
  <c r="H777" i="20"/>
  <c r="F777" i="19"/>
  <c r="H788" i="16"/>
  <c r="P788" i="16" s="1"/>
  <c r="F788" i="19"/>
  <c r="H788" i="20"/>
  <c r="I28" i="16"/>
  <c r="M28" i="16" s="1"/>
  <c r="G28" i="20"/>
  <c r="G28" i="19"/>
  <c r="J28" i="19" s="1"/>
  <c r="I50" i="16"/>
  <c r="M50" i="16" s="1"/>
  <c r="G50" i="20"/>
  <c r="I76" i="16"/>
  <c r="M76" i="16" s="1"/>
  <c r="G76" i="20"/>
  <c r="G76" i="19"/>
  <c r="J76" i="19" s="1"/>
  <c r="I91" i="16"/>
  <c r="M91" i="16" s="1"/>
  <c r="G91" i="20"/>
  <c r="G91" i="19"/>
  <c r="J91" i="19" s="1"/>
  <c r="I97" i="16"/>
  <c r="M97" i="16" s="1"/>
  <c r="G97" i="20"/>
  <c r="G97" i="19"/>
  <c r="J97" i="19" s="1"/>
  <c r="H103" i="20"/>
  <c r="H103" i="16"/>
  <c r="P103" i="16" s="1"/>
  <c r="I120" i="16"/>
  <c r="M120" i="16" s="1"/>
  <c r="G120" i="20"/>
  <c r="G120" i="19"/>
  <c r="J120" i="19" s="1"/>
  <c r="G161" i="20"/>
  <c r="I161" i="16"/>
  <c r="M161" i="16" s="1"/>
  <c r="G161" i="19"/>
  <c r="J161" i="19" s="1"/>
  <c r="I202" i="16"/>
  <c r="M202" i="16" s="1"/>
  <c r="G202" i="20"/>
  <c r="G202" i="19"/>
  <c r="J202" i="19" s="1"/>
  <c r="I205" i="16"/>
  <c r="M205" i="16" s="1"/>
  <c r="G205" i="20"/>
  <c r="I228" i="16"/>
  <c r="M228" i="16" s="1"/>
  <c r="G228" i="20"/>
  <c r="I243" i="16"/>
  <c r="M243" i="16" s="1"/>
  <c r="G243" i="20"/>
  <c r="I269" i="16"/>
  <c r="M269" i="16" s="1"/>
  <c r="G269" i="20"/>
  <c r="G269" i="19"/>
  <c r="J269" i="19" s="1"/>
  <c r="I272" i="16"/>
  <c r="M272" i="16" s="1"/>
  <c r="G272" i="20"/>
  <c r="G272" i="19"/>
  <c r="J272" i="19" s="1"/>
  <c r="I275" i="16"/>
  <c r="M275" i="16" s="1"/>
  <c r="G275" i="20"/>
  <c r="G275" i="19"/>
  <c r="J275" i="19" s="1"/>
  <c r="C281" i="9"/>
  <c r="G298" i="20"/>
  <c r="I298" i="16"/>
  <c r="M298" i="16" s="1"/>
  <c r="G298" i="19"/>
  <c r="J298" i="19" s="1"/>
  <c r="I313" i="16"/>
  <c r="M313" i="16" s="1"/>
  <c r="G313" i="20"/>
  <c r="G313" i="19"/>
  <c r="J313" i="19" s="1"/>
  <c r="H336" i="16"/>
  <c r="P336" i="16" s="1"/>
  <c r="H336" i="20"/>
  <c r="F336" i="19"/>
  <c r="I339" i="16"/>
  <c r="M339" i="16" s="1"/>
  <c r="G339" i="20"/>
  <c r="G339" i="19"/>
  <c r="J339" i="19" s="1"/>
  <c r="D351" i="9"/>
  <c r="I406" i="16"/>
  <c r="M406" i="16" s="1"/>
  <c r="G406" i="20"/>
  <c r="G406" i="19"/>
  <c r="J406" i="19" s="1"/>
  <c r="I427" i="16"/>
  <c r="M427" i="16" s="1"/>
  <c r="G427" i="20"/>
  <c r="G427" i="19"/>
  <c r="J427" i="19" s="1"/>
  <c r="I450" i="16"/>
  <c r="M450" i="16" s="1"/>
  <c r="G450" i="20"/>
  <c r="G450" i="19"/>
  <c r="J450" i="19" s="1"/>
  <c r="G476" i="20"/>
  <c r="I476" i="16"/>
  <c r="M476" i="16" s="1"/>
  <c r="G476" i="19"/>
  <c r="J476" i="19" s="1"/>
  <c r="I491" i="16"/>
  <c r="M491" i="16" s="1"/>
  <c r="G491" i="20"/>
  <c r="G491" i="19"/>
  <c r="J491" i="19" s="1"/>
  <c r="I497" i="16"/>
  <c r="M497" i="16" s="1"/>
  <c r="G497" i="19"/>
  <c r="G497" i="20"/>
  <c r="H503" i="16"/>
  <c r="P503" i="16" s="1"/>
  <c r="H503" i="20"/>
  <c r="F503" i="19"/>
  <c r="I520" i="16"/>
  <c r="M520" i="16" s="1"/>
  <c r="G520" i="20"/>
  <c r="G520" i="19"/>
  <c r="J520" i="19" s="1"/>
  <c r="H535" i="16"/>
  <c r="P535" i="16" s="1"/>
  <c r="F535" i="19"/>
  <c r="H535" i="20"/>
  <c r="H563" i="16"/>
  <c r="P563" i="16" s="1"/>
  <c r="H563" i="20"/>
  <c r="F563" i="19"/>
  <c r="A582" i="9"/>
  <c r="I607" i="16"/>
  <c r="M607" i="16" s="1"/>
  <c r="G607" i="20"/>
  <c r="G607" i="19"/>
  <c r="J607" i="19" s="1"/>
  <c r="I616" i="16"/>
  <c r="M616" i="16" s="1"/>
  <c r="G616" i="19"/>
  <c r="J616" i="19" s="1"/>
  <c r="G616" i="20"/>
  <c r="I629" i="16"/>
  <c r="M629" i="16" s="1"/>
  <c r="G629" i="20"/>
  <c r="G629" i="19"/>
  <c r="J629" i="19" s="1"/>
  <c r="I635" i="16"/>
  <c r="M635" i="16" s="1"/>
  <c r="G635" i="20"/>
  <c r="G635" i="19"/>
  <c r="J635" i="19" s="1"/>
  <c r="I676" i="16"/>
  <c r="M676" i="16" s="1"/>
  <c r="G676" i="20"/>
  <c r="G676" i="19"/>
  <c r="J676" i="19" s="1"/>
  <c r="I682" i="16"/>
  <c r="M682" i="16" s="1"/>
  <c r="G682" i="19"/>
  <c r="J682" i="19" s="1"/>
  <c r="G682" i="20"/>
  <c r="A692" i="9"/>
  <c r="H695" i="16"/>
  <c r="P695" i="16" s="1"/>
  <c r="H695" i="20"/>
  <c r="F695" i="19"/>
  <c r="D717" i="9"/>
  <c r="A742" i="9"/>
  <c r="I767" i="16"/>
  <c r="M767" i="16" s="1"/>
  <c r="G767" i="20"/>
  <c r="G767" i="19"/>
  <c r="J767" i="19" s="1"/>
  <c r="I776" i="16"/>
  <c r="M776" i="16" s="1"/>
  <c r="G776" i="20"/>
  <c r="G776" i="19"/>
  <c r="J776" i="19" s="1"/>
  <c r="I789" i="16"/>
  <c r="M789" i="16" s="1"/>
  <c r="G789" i="20"/>
  <c r="G789" i="19"/>
  <c r="J789" i="19" s="1"/>
  <c r="H809" i="16"/>
  <c r="P809" i="16" s="1"/>
  <c r="H809" i="20"/>
  <c r="F809" i="19"/>
  <c r="A32" i="11"/>
  <c r="A122" i="11"/>
  <c r="A189" i="11"/>
  <c r="A212" i="11"/>
  <c r="A272" i="11"/>
  <c r="D311" i="11"/>
  <c r="A509" i="11"/>
  <c r="T319" i="16"/>
  <c r="L319" i="16"/>
  <c r="A65" i="9"/>
  <c r="A65" i="11"/>
  <c r="A85" i="9"/>
  <c r="A85" i="11"/>
  <c r="A155" i="9"/>
  <c r="A155" i="11"/>
  <c r="A165" i="9"/>
  <c r="A165" i="11"/>
  <c r="A205" i="9"/>
  <c r="A205" i="11"/>
  <c r="A275" i="9"/>
  <c r="A275" i="11"/>
  <c r="A355" i="16"/>
  <c r="A355" i="20"/>
  <c r="A355" i="19"/>
  <c r="A10" i="16"/>
  <c r="A10" i="20"/>
  <c r="B22" i="5"/>
  <c r="D31" i="11"/>
  <c r="C31" i="9"/>
  <c r="C41" i="9"/>
  <c r="C41" i="8"/>
  <c r="B55" i="5"/>
  <c r="B125" i="5"/>
  <c r="B145" i="5"/>
  <c r="B165" i="5"/>
  <c r="B275" i="5"/>
  <c r="B285" i="5"/>
  <c r="B295" i="5"/>
  <c r="B345" i="5"/>
  <c r="B355" i="5"/>
  <c r="B365" i="5"/>
  <c r="B375" i="5"/>
  <c r="B435" i="5"/>
  <c r="D441" i="11"/>
  <c r="C441" i="8"/>
  <c r="B465" i="5"/>
  <c r="B475" i="5"/>
  <c r="B485" i="5"/>
  <c r="B545" i="5"/>
  <c r="C561" i="8"/>
  <c r="C561" i="9"/>
  <c r="B575" i="5"/>
  <c r="C581" i="8"/>
  <c r="D581" i="11"/>
  <c r="B585" i="5"/>
  <c r="B595" i="5"/>
  <c r="B605" i="5"/>
  <c r="B635" i="5"/>
  <c r="D651" i="11"/>
  <c r="C651" i="8"/>
  <c r="B685" i="5"/>
  <c r="B695" i="5"/>
  <c r="C721" i="16"/>
  <c r="E721" i="19"/>
  <c r="F721" i="20"/>
  <c r="B745" i="5"/>
  <c r="B755" i="5"/>
  <c r="D761" i="11"/>
  <c r="C761" i="9"/>
  <c r="B765" i="5"/>
  <c r="B775" i="5"/>
  <c r="B785" i="5"/>
  <c r="C821" i="16"/>
  <c r="F821" i="20"/>
  <c r="E821" i="19"/>
  <c r="A4" i="7"/>
  <c r="A182" i="7"/>
  <c r="A212" i="7"/>
  <c r="A582" i="7"/>
  <c r="A612" i="7"/>
  <c r="A782" i="7"/>
  <c r="H82" i="16"/>
  <c r="P82" i="16" s="1"/>
  <c r="H82" i="20"/>
  <c r="H102" i="16"/>
  <c r="P102" i="16" s="1"/>
  <c r="H102" i="20"/>
  <c r="F102" i="19"/>
  <c r="H117" i="16"/>
  <c r="P117" i="16" s="1"/>
  <c r="H117" i="20"/>
  <c r="F117" i="19"/>
  <c r="D147" i="9"/>
  <c r="A155" i="8"/>
  <c r="A165" i="8"/>
  <c r="C331" i="8"/>
  <c r="H444" i="16"/>
  <c r="P444" i="16" s="1"/>
  <c r="H444" i="20"/>
  <c r="F444" i="19"/>
  <c r="H454" i="16"/>
  <c r="P454" i="16" s="1"/>
  <c r="H454" i="20"/>
  <c r="F454" i="19"/>
  <c r="H502" i="16"/>
  <c r="P502" i="16" s="1"/>
  <c r="F502" i="19"/>
  <c r="H502" i="20"/>
  <c r="H517" i="16"/>
  <c r="P517" i="16" s="1"/>
  <c r="F517" i="19"/>
  <c r="A535" i="8"/>
  <c r="H540" i="16"/>
  <c r="P540" i="16" s="1"/>
  <c r="H540" i="20"/>
  <c r="F540" i="19"/>
  <c r="D545" i="9"/>
  <c r="H548" i="16"/>
  <c r="P548" i="16" s="1"/>
  <c r="F548" i="19"/>
  <c r="H548" i="20"/>
  <c r="D616" i="9"/>
  <c r="A622" i="8"/>
  <c r="H638" i="16"/>
  <c r="P638" i="16" s="1"/>
  <c r="H638" i="20"/>
  <c r="F638" i="19"/>
  <c r="A652" i="8"/>
  <c r="D657" i="9"/>
  <c r="D676" i="9"/>
  <c r="A682" i="8"/>
  <c r="H698" i="16"/>
  <c r="P698" i="16" s="1"/>
  <c r="H698" i="20"/>
  <c r="F698" i="19"/>
  <c r="H728" i="16"/>
  <c r="P728" i="16" s="1"/>
  <c r="H728" i="20"/>
  <c r="F728" i="19"/>
  <c r="D736" i="9"/>
  <c r="A742" i="8"/>
  <c r="C761" i="8"/>
  <c r="C791" i="8"/>
  <c r="D18" i="9"/>
  <c r="G23" i="20"/>
  <c r="I23" i="16"/>
  <c r="M23" i="16" s="1"/>
  <c r="G23" i="19"/>
  <c r="J23" i="19" s="1"/>
  <c r="G31" i="20"/>
  <c r="I31" i="16"/>
  <c r="M31" i="16" s="1"/>
  <c r="I36" i="16"/>
  <c r="M36" i="16" s="1"/>
  <c r="G36" i="20"/>
  <c r="I62" i="16"/>
  <c r="M62" i="16" s="1"/>
  <c r="G62" i="20"/>
  <c r="G65" i="20"/>
  <c r="I65" i="16"/>
  <c r="M65" i="16" s="1"/>
  <c r="G65" i="19"/>
  <c r="J65" i="19" s="1"/>
  <c r="C71" i="9"/>
  <c r="I88" i="16"/>
  <c r="M88" i="16" s="1"/>
  <c r="G88" i="19"/>
  <c r="J88" i="19" s="1"/>
  <c r="G88" i="20"/>
  <c r="G103" i="20"/>
  <c r="I103" i="16"/>
  <c r="M103" i="16" s="1"/>
  <c r="I129" i="16"/>
  <c r="M129" i="16" s="1"/>
  <c r="G129" i="19"/>
  <c r="J129" i="19" s="1"/>
  <c r="G129" i="20"/>
  <c r="I132" i="16"/>
  <c r="M132" i="16" s="1"/>
  <c r="G132" i="20"/>
  <c r="I135" i="16"/>
  <c r="M135" i="16" s="1"/>
  <c r="G135" i="20"/>
  <c r="C141" i="9"/>
  <c r="I158" i="16"/>
  <c r="M158" i="16" s="1"/>
  <c r="G158" i="20"/>
  <c r="G158" i="19"/>
  <c r="J158" i="19" s="1"/>
  <c r="D170" i="9"/>
  <c r="I173" i="16"/>
  <c r="M173" i="16" s="1"/>
  <c r="G173" i="20"/>
  <c r="G173" i="19"/>
  <c r="J173" i="19" s="1"/>
  <c r="I199" i="16"/>
  <c r="M199" i="16" s="1"/>
  <c r="G199" i="20"/>
  <c r="G199" i="19"/>
  <c r="J199" i="19" s="1"/>
  <c r="D240" i="9"/>
  <c r="G266" i="20"/>
  <c r="I266" i="16"/>
  <c r="M266" i="16" s="1"/>
  <c r="G266" i="19"/>
  <c r="J266" i="19" s="1"/>
  <c r="I287" i="16"/>
  <c r="M287" i="16" s="1"/>
  <c r="G287" i="20"/>
  <c r="G287" i="19"/>
  <c r="J287" i="19" s="1"/>
  <c r="I310" i="16"/>
  <c r="M310" i="16" s="1"/>
  <c r="G310" i="20"/>
  <c r="G310" i="19"/>
  <c r="J310" i="19" s="1"/>
  <c r="I336" i="16"/>
  <c r="M336" i="16" s="1"/>
  <c r="G336" i="20"/>
  <c r="G336" i="19"/>
  <c r="J336" i="19" s="1"/>
  <c r="I351" i="16"/>
  <c r="M351" i="16" s="1"/>
  <c r="G351" i="20"/>
  <c r="I357" i="16"/>
  <c r="M357" i="16" s="1"/>
  <c r="G357" i="20"/>
  <c r="H363" i="16"/>
  <c r="P363" i="16" s="1"/>
  <c r="H363" i="20"/>
  <c r="F363" i="19"/>
  <c r="I380" i="16"/>
  <c r="M380" i="16" s="1"/>
  <c r="G380" i="20"/>
  <c r="I421" i="16"/>
  <c r="M421" i="16" s="1"/>
  <c r="G421" i="19"/>
  <c r="J421" i="19" s="1"/>
  <c r="G421" i="20"/>
  <c r="D459" i="9"/>
  <c r="G462" i="20"/>
  <c r="G462" i="19"/>
  <c r="J462" i="19" s="1"/>
  <c r="I462" i="16"/>
  <c r="M462" i="16" s="1"/>
  <c r="I465" i="16"/>
  <c r="M465" i="16" s="1"/>
  <c r="G465" i="20"/>
  <c r="G465" i="19"/>
  <c r="J465" i="19" s="1"/>
  <c r="C471" i="9"/>
  <c r="I488" i="16"/>
  <c r="M488" i="16" s="1"/>
  <c r="G488" i="20"/>
  <c r="G488" i="19"/>
  <c r="J488" i="19" s="1"/>
  <c r="I503" i="16"/>
  <c r="M503" i="16" s="1"/>
  <c r="G503" i="20"/>
  <c r="G503" i="19"/>
  <c r="J503" i="19" s="1"/>
  <c r="I529" i="16"/>
  <c r="M529" i="16" s="1"/>
  <c r="G529" i="20"/>
  <c r="G529" i="19"/>
  <c r="J529" i="19" s="1"/>
  <c r="I532" i="16"/>
  <c r="M532" i="16" s="1"/>
  <c r="G532" i="20"/>
  <c r="G532" i="19"/>
  <c r="J532" i="19" s="1"/>
  <c r="I535" i="16"/>
  <c r="M535" i="16" s="1"/>
  <c r="G535" i="20"/>
  <c r="G535" i="19"/>
  <c r="J535" i="19" s="1"/>
  <c r="I544" i="16"/>
  <c r="M544" i="16" s="1"/>
  <c r="G544" i="20"/>
  <c r="G544" i="19"/>
  <c r="J544" i="19" s="1"/>
  <c r="C551" i="9"/>
  <c r="I557" i="16"/>
  <c r="M557" i="16" s="1"/>
  <c r="G557" i="20"/>
  <c r="G557" i="19"/>
  <c r="J557" i="19" s="1"/>
  <c r="I563" i="16"/>
  <c r="M563" i="16" s="1"/>
  <c r="G563" i="20"/>
  <c r="G563" i="19"/>
  <c r="J563" i="19" s="1"/>
  <c r="I604" i="16"/>
  <c r="M604" i="16" s="1"/>
  <c r="G604" i="20"/>
  <c r="G604" i="19"/>
  <c r="J604" i="19" s="1"/>
  <c r="I610" i="16"/>
  <c r="M610" i="16" s="1"/>
  <c r="G610" i="19"/>
  <c r="J610" i="19" s="1"/>
  <c r="G610" i="20"/>
  <c r="H623" i="16"/>
  <c r="P623" i="16" s="1"/>
  <c r="H623" i="20"/>
  <c r="F623" i="19"/>
  <c r="I695" i="16"/>
  <c r="M695" i="16" s="1"/>
  <c r="G695" i="20"/>
  <c r="G695" i="19"/>
  <c r="J695" i="19" s="1"/>
  <c r="I704" i="16"/>
  <c r="M704" i="16" s="1"/>
  <c r="G704" i="20"/>
  <c r="G704" i="19"/>
  <c r="J704" i="19" s="1"/>
  <c r="C711" i="9"/>
  <c r="I717" i="16"/>
  <c r="M717" i="16" s="1"/>
  <c r="G717" i="19"/>
  <c r="J717" i="19" s="1"/>
  <c r="G717" i="20"/>
  <c r="I723" i="16"/>
  <c r="M723" i="16" s="1"/>
  <c r="G723" i="20"/>
  <c r="G723" i="19"/>
  <c r="J723" i="19" s="1"/>
  <c r="I764" i="16"/>
  <c r="M764" i="16" s="1"/>
  <c r="G764" i="20"/>
  <c r="G764" i="19"/>
  <c r="J764" i="19" s="1"/>
  <c r="I770" i="16"/>
  <c r="M770" i="16" s="1"/>
  <c r="G770" i="20"/>
  <c r="G770" i="19"/>
  <c r="J770" i="19" s="1"/>
  <c r="L802" i="9"/>
  <c r="I809" i="16"/>
  <c r="M809" i="16" s="1"/>
  <c r="G809" i="20"/>
  <c r="G809" i="19"/>
  <c r="J809" i="19" s="1"/>
  <c r="AN4" i="10"/>
  <c r="AU9" i="10"/>
  <c r="AN9" i="10"/>
  <c r="Q9" i="20" s="1"/>
  <c r="L34" i="10"/>
  <c r="L45" i="10"/>
  <c r="L56" i="10"/>
  <c r="O65" i="10"/>
  <c r="F26" i="18" s="1"/>
  <c r="H26" i="18" s="1"/>
  <c r="A4" i="11"/>
  <c r="U21" i="11"/>
  <c r="U45" i="11"/>
  <c r="U40" i="11"/>
  <c r="U34" i="11"/>
  <c r="U28" i="11"/>
  <c r="U15" i="11"/>
  <c r="U22" i="11"/>
  <c r="U36" i="11"/>
  <c r="U30" i="11"/>
  <c r="U17" i="11"/>
  <c r="U46" i="11"/>
  <c r="U29" i="11"/>
  <c r="U23" i="11"/>
  <c r="U20" i="11"/>
  <c r="U41" i="11"/>
  <c r="U38" i="11"/>
  <c r="U35" i="11"/>
  <c r="U26" i="11"/>
  <c r="U11" i="11"/>
  <c r="U32" i="11"/>
  <c r="U14" i="11"/>
  <c r="A22" i="11"/>
  <c r="D41" i="11"/>
  <c r="U42" i="11"/>
  <c r="D81" i="11"/>
  <c r="A675" i="11"/>
  <c r="G36" i="19"/>
  <c r="J36" i="19" s="1"/>
  <c r="G135" i="19"/>
  <c r="J135" i="19" s="1"/>
  <c r="G260" i="19"/>
  <c r="J260" i="19" s="1"/>
  <c r="F464" i="19"/>
  <c r="B25" i="5"/>
  <c r="C161" i="8"/>
  <c r="D161" i="11"/>
  <c r="B175" i="5"/>
  <c r="B255" i="5"/>
  <c r="B315" i="5"/>
  <c r="B325" i="5"/>
  <c r="B335" i="5"/>
  <c r="B385" i="5"/>
  <c r="B395" i="5"/>
  <c r="D401" i="11"/>
  <c r="C401" i="8"/>
  <c r="B405" i="5"/>
  <c r="B415" i="5"/>
  <c r="B425" i="5"/>
  <c r="B445" i="5"/>
  <c r="B455" i="5"/>
  <c r="D461" i="11"/>
  <c r="C461" i="8"/>
  <c r="B495" i="5"/>
  <c r="B505" i="5"/>
  <c r="B515" i="5"/>
  <c r="B525" i="5"/>
  <c r="B535" i="5"/>
  <c r="D541" i="11"/>
  <c r="C541" i="8"/>
  <c r="B555" i="5"/>
  <c r="B565" i="5"/>
  <c r="C601" i="8"/>
  <c r="C601" i="9"/>
  <c r="B615" i="5"/>
  <c r="D621" i="11"/>
  <c r="C621" i="8"/>
  <c r="B625" i="5"/>
  <c r="D641" i="11"/>
  <c r="C641" i="9"/>
  <c r="B645" i="5"/>
  <c r="B655" i="5"/>
  <c r="B665" i="5"/>
  <c r="B675" i="5"/>
  <c r="B705" i="5"/>
  <c r="B715" i="5"/>
  <c r="B725" i="5"/>
  <c r="B735" i="5"/>
  <c r="D741" i="11"/>
  <c r="C741" i="8"/>
  <c r="B795" i="5"/>
  <c r="C801" i="16"/>
  <c r="F801" i="20"/>
  <c r="E801" i="19"/>
  <c r="B805" i="5"/>
  <c r="B10" i="5"/>
  <c r="A42" i="11"/>
  <c r="A42" i="9"/>
  <c r="A52" i="11"/>
  <c r="A52" i="9"/>
  <c r="A62" i="11"/>
  <c r="A62" i="9"/>
  <c r="A72" i="16"/>
  <c r="A72" i="20"/>
  <c r="A72" i="19"/>
  <c r="A82" i="16"/>
  <c r="A82" i="20"/>
  <c r="A82" i="19"/>
  <c r="A92" i="9"/>
  <c r="A92" i="11"/>
  <c r="A102" i="16"/>
  <c r="A102" i="20"/>
  <c r="A102" i="19"/>
  <c r="A112" i="16"/>
  <c r="A112" i="20"/>
  <c r="A122" i="16"/>
  <c r="A122" i="20"/>
  <c r="A132" i="16"/>
  <c r="A132" i="20"/>
  <c r="A132" i="19"/>
  <c r="A142" i="16"/>
  <c r="A142" i="20"/>
  <c r="A152" i="16"/>
  <c r="A152" i="20"/>
  <c r="A152" i="19"/>
  <c r="A162" i="16"/>
  <c r="A162" i="20"/>
  <c r="A162" i="19"/>
  <c r="A172" i="11"/>
  <c r="A172" i="9"/>
  <c r="A182" i="20"/>
  <c r="A182" i="16"/>
  <c r="A182" i="19"/>
  <c r="A192" i="16"/>
  <c r="A192" i="20"/>
  <c r="A192" i="19"/>
  <c r="A202" i="16"/>
  <c r="A202" i="20"/>
  <c r="A202" i="19"/>
  <c r="A212" i="16"/>
  <c r="A212" i="20"/>
  <c r="A212" i="19"/>
  <c r="A222" i="16"/>
  <c r="A222" i="20"/>
  <c r="A232" i="11"/>
  <c r="A232" i="9"/>
  <c r="A242" i="16"/>
  <c r="A242" i="20"/>
  <c r="A242" i="19"/>
  <c r="A252" i="16"/>
  <c r="A252" i="20"/>
  <c r="A262" i="11"/>
  <c r="A262" i="9"/>
  <c r="A272" i="16"/>
  <c r="A272" i="20"/>
  <c r="A272" i="19"/>
  <c r="A282" i="16"/>
  <c r="A282" i="20"/>
  <c r="A282" i="19"/>
  <c r="A292" i="9"/>
  <c r="A292" i="11"/>
  <c r="A302" i="16"/>
  <c r="A302" i="20"/>
  <c r="A302" i="19"/>
  <c r="A312" i="16"/>
  <c r="A312" i="20"/>
  <c r="A322" i="16"/>
  <c r="A322" i="20"/>
  <c r="A322" i="19"/>
  <c r="A332" i="20"/>
  <c r="A332" i="16"/>
  <c r="A342" i="20"/>
  <c r="A342" i="16"/>
  <c r="A352" i="11"/>
  <c r="A352" i="9"/>
  <c r="A362" i="11"/>
  <c r="A362" i="9"/>
  <c r="A372" i="11"/>
  <c r="A372" i="9"/>
  <c r="A382" i="11"/>
  <c r="A382" i="9"/>
  <c r="A392" i="11"/>
  <c r="A392" i="9"/>
  <c r="A402" i="11"/>
  <c r="A402" i="9"/>
  <c r="A412" i="11"/>
  <c r="A412" i="9"/>
  <c r="A422" i="11"/>
  <c r="A422" i="9"/>
  <c r="A432" i="11"/>
  <c r="A432" i="9"/>
  <c r="A442" i="11"/>
  <c r="A442" i="9"/>
  <c r="A452" i="11"/>
  <c r="A452" i="9"/>
  <c r="A462" i="11"/>
  <c r="A462" i="9"/>
  <c r="A472" i="11"/>
  <c r="A472" i="9"/>
  <c r="A482" i="11"/>
  <c r="A482" i="9"/>
  <c r="A492" i="11"/>
  <c r="A492" i="9"/>
  <c r="A502" i="11"/>
  <c r="A502" i="9"/>
  <c r="A512" i="11"/>
  <c r="A512" i="9"/>
  <c r="A522" i="11"/>
  <c r="A522" i="9"/>
  <c r="A532" i="11"/>
  <c r="A532" i="9"/>
  <c r="A672" i="11"/>
  <c r="A672" i="8"/>
  <c r="A702" i="11"/>
  <c r="A702" i="8"/>
  <c r="A732" i="11"/>
  <c r="A732" i="8"/>
  <c r="A762" i="11"/>
  <c r="A762" i="8"/>
  <c r="A792" i="11"/>
  <c r="A792" i="8"/>
  <c r="A802" i="11"/>
  <c r="A802" i="9"/>
  <c r="A822" i="11"/>
  <c r="A822" i="9"/>
  <c r="A52" i="7"/>
  <c r="C71" i="7"/>
  <c r="A205" i="7"/>
  <c r="A249" i="7"/>
  <c r="C271" i="7"/>
  <c r="A375" i="7"/>
  <c r="A405" i="7"/>
  <c r="C441" i="7"/>
  <c r="A449" i="7"/>
  <c r="A575" i="7"/>
  <c r="A605" i="7"/>
  <c r="C641" i="7"/>
  <c r="C671" i="7"/>
  <c r="A775" i="7"/>
  <c r="A32" i="8"/>
  <c r="H97" i="16"/>
  <c r="P97" i="16" s="1"/>
  <c r="H97" i="20"/>
  <c r="F97" i="19"/>
  <c r="D127" i="9"/>
  <c r="A369" i="8"/>
  <c r="A422" i="8"/>
  <c r="H424" i="16"/>
  <c r="P424" i="16" s="1"/>
  <c r="H424" i="20"/>
  <c r="F424" i="19"/>
  <c r="H434" i="16"/>
  <c r="P434" i="16" s="1"/>
  <c r="H434" i="20"/>
  <c r="A452" i="8"/>
  <c r="H482" i="16"/>
  <c r="P482" i="16" s="1"/>
  <c r="H482" i="20"/>
  <c r="F482" i="19"/>
  <c r="H497" i="16"/>
  <c r="P497" i="16" s="1"/>
  <c r="H497" i="20"/>
  <c r="D527" i="9"/>
  <c r="D569" i="9"/>
  <c r="H577" i="16"/>
  <c r="P577" i="16" s="1"/>
  <c r="H577" i="20"/>
  <c r="F577" i="19"/>
  <c r="A585" i="8"/>
  <c r="C731" i="8"/>
  <c r="D750" i="9"/>
  <c r="D753" i="9"/>
  <c r="D761" i="9"/>
  <c r="G13" i="20"/>
  <c r="I13" i="16"/>
  <c r="M13" i="16" s="1"/>
  <c r="G13" i="19"/>
  <c r="J13" i="19" s="1"/>
  <c r="I18" i="16"/>
  <c r="M18" i="16" s="1"/>
  <c r="G18" i="20"/>
  <c r="G18" i="19"/>
  <c r="J18" i="19" s="1"/>
  <c r="A39" i="9"/>
  <c r="I59" i="16"/>
  <c r="M59" i="16" s="1"/>
  <c r="G59" i="20"/>
  <c r="G59" i="19"/>
  <c r="J59" i="19" s="1"/>
  <c r="I126" i="16"/>
  <c r="M126" i="16" s="1"/>
  <c r="G126" i="20"/>
  <c r="G147" i="20"/>
  <c r="I147" i="16"/>
  <c r="M147" i="16" s="1"/>
  <c r="G147" i="19"/>
  <c r="J147" i="19" s="1"/>
  <c r="I170" i="16"/>
  <c r="M170" i="16" s="1"/>
  <c r="G170" i="20"/>
  <c r="G170" i="19"/>
  <c r="J170" i="19" s="1"/>
  <c r="I196" i="16"/>
  <c r="M196" i="16" s="1"/>
  <c r="G196" i="20"/>
  <c r="G196" i="19"/>
  <c r="J196" i="19" s="1"/>
  <c r="I211" i="16"/>
  <c r="M211" i="16" s="1"/>
  <c r="G211" i="20"/>
  <c r="I217" i="16"/>
  <c r="M217" i="16" s="1"/>
  <c r="G217" i="20"/>
  <c r="G217" i="19"/>
  <c r="J217" i="19" s="1"/>
  <c r="H223" i="16"/>
  <c r="P223" i="16" s="1"/>
  <c r="H223" i="20"/>
  <c r="F223" i="19"/>
  <c r="I240" i="16"/>
  <c r="M240" i="16" s="1"/>
  <c r="G240" i="20"/>
  <c r="G240" i="19"/>
  <c r="J240" i="19" s="1"/>
  <c r="D255" i="9"/>
  <c r="D278" i="9"/>
  <c r="I281" i="16"/>
  <c r="M281" i="16" s="1"/>
  <c r="G281" i="20"/>
  <c r="G281" i="19"/>
  <c r="J281" i="19" s="1"/>
  <c r="D293" i="9"/>
  <c r="I322" i="16"/>
  <c r="M322" i="16" s="1"/>
  <c r="G322" i="20"/>
  <c r="G322" i="19"/>
  <c r="J322" i="19" s="1"/>
  <c r="I325" i="16"/>
  <c r="M325" i="16" s="1"/>
  <c r="G325" i="20"/>
  <c r="G325" i="19"/>
  <c r="J325" i="19" s="1"/>
  <c r="C331" i="9"/>
  <c r="I348" i="16"/>
  <c r="M348" i="16" s="1"/>
  <c r="G348" i="20"/>
  <c r="G348" i="19"/>
  <c r="J348" i="19" s="1"/>
  <c r="I363" i="16"/>
  <c r="M363" i="16" s="1"/>
  <c r="G363" i="20"/>
  <c r="G363" i="19"/>
  <c r="J363" i="19" s="1"/>
  <c r="D386" i="9"/>
  <c r="I389" i="16"/>
  <c r="M389" i="16" s="1"/>
  <c r="G389" i="20"/>
  <c r="G389" i="19"/>
  <c r="J389" i="19" s="1"/>
  <c r="I392" i="16"/>
  <c r="M392" i="16" s="1"/>
  <c r="G392" i="19"/>
  <c r="J392" i="19" s="1"/>
  <c r="G392" i="20"/>
  <c r="I395" i="16"/>
  <c r="M395" i="16" s="1"/>
  <c r="G395" i="20"/>
  <c r="G395" i="19"/>
  <c r="J395" i="19" s="1"/>
  <c r="C401" i="9"/>
  <c r="G418" i="20"/>
  <c r="I418" i="16"/>
  <c r="M418" i="16" s="1"/>
  <c r="G418" i="19"/>
  <c r="J418" i="19" s="1"/>
  <c r="I433" i="16"/>
  <c r="M433" i="16" s="1"/>
  <c r="G433" i="20"/>
  <c r="G433" i="19"/>
  <c r="J433" i="19" s="1"/>
  <c r="I459" i="16"/>
  <c r="M459" i="16" s="1"/>
  <c r="G459" i="20"/>
  <c r="G459" i="19"/>
  <c r="J459" i="19" s="1"/>
  <c r="I526" i="16"/>
  <c r="M526" i="16" s="1"/>
  <c r="G526" i="19"/>
  <c r="J526" i="19" s="1"/>
  <c r="G526" i="20"/>
  <c r="I538" i="16"/>
  <c r="M538" i="16" s="1"/>
  <c r="G538" i="20"/>
  <c r="G538" i="19"/>
  <c r="J538" i="19" s="1"/>
  <c r="I623" i="16"/>
  <c r="M623" i="16" s="1"/>
  <c r="G623" i="20"/>
  <c r="G623" i="19"/>
  <c r="J623" i="19" s="1"/>
  <c r="I632" i="16"/>
  <c r="M632" i="16" s="1"/>
  <c r="G632" i="20"/>
  <c r="G632" i="19"/>
  <c r="J632" i="19" s="1"/>
  <c r="A642" i="9"/>
  <c r="I645" i="16"/>
  <c r="M645" i="16" s="1"/>
  <c r="G645" i="20"/>
  <c r="G645" i="19"/>
  <c r="J645" i="19" s="1"/>
  <c r="I651" i="16"/>
  <c r="M651" i="16" s="1"/>
  <c r="G651" i="20"/>
  <c r="G651" i="19"/>
  <c r="J651" i="19" s="1"/>
  <c r="I692" i="16"/>
  <c r="M692" i="16" s="1"/>
  <c r="G692" i="20"/>
  <c r="G692" i="19"/>
  <c r="J692" i="19" s="1"/>
  <c r="I698" i="16"/>
  <c r="M698" i="16" s="1"/>
  <c r="G698" i="20"/>
  <c r="G698" i="19"/>
  <c r="J698" i="19" s="1"/>
  <c r="H711" i="16"/>
  <c r="P711" i="16" s="1"/>
  <c r="H711" i="20"/>
  <c r="F711" i="19"/>
  <c r="H739" i="16"/>
  <c r="P739" i="16" s="1"/>
  <c r="F739" i="19"/>
  <c r="H739" i="20"/>
  <c r="I783" i="16"/>
  <c r="M783" i="16" s="1"/>
  <c r="G783" i="19"/>
  <c r="J783" i="19" s="1"/>
  <c r="G783" i="20"/>
  <c r="I792" i="16"/>
  <c r="M792" i="16" s="1"/>
  <c r="G792" i="20"/>
  <c r="G792" i="19"/>
  <c r="J792" i="19" s="1"/>
  <c r="I799" i="16"/>
  <c r="M799" i="16" s="1"/>
  <c r="G799" i="20"/>
  <c r="G799" i="19"/>
  <c r="J799" i="19" s="1"/>
  <c r="H820" i="16"/>
  <c r="P820" i="16" s="1"/>
  <c r="H820" i="20"/>
  <c r="F820" i="19"/>
  <c r="O9" i="10"/>
  <c r="W16" i="20"/>
  <c r="L16" i="10"/>
  <c r="W39" i="20"/>
  <c r="L39" i="10"/>
  <c r="A49" i="11"/>
  <c r="A69" i="11"/>
  <c r="A229" i="11"/>
  <c r="A355" i="11"/>
  <c r="D731" i="11"/>
  <c r="D821" i="11"/>
  <c r="G62" i="19"/>
  <c r="J62" i="19" s="1"/>
  <c r="A142" i="19"/>
  <c r="F243" i="19"/>
  <c r="M174" i="20"/>
  <c r="J174" i="20"/>
  <c r="H517" i="20"/>
  <c r="T52" i="16"/>
  <c r="L52" i="16"/>
  <c r="A75" i="9"/>
  <c r="A75" i="11"/>
  <c r="A115" i="9"/>
  <c r="A115" i="11"/>
  <c r="A135" i="9"/>
  <c r="A135" i="11"/>
  <c r="A185" i="9"/>
  <c r="A185" i="11"/>
  <c r="A195" i="9"/>
  <c r="A195" i="11"/>
  <c r="A215" i="9"/>
  <c r="A215" i="11"/>
  <c r="A245" i="9"/>
  <c r="A245" i="11"/>
  <c r="A265" i="9"/>
  <c r="A265" i="11"/>
  <c r="A305" i="9"/>
  <c r="A305" i="11"/>
  <c r="B7" i="5"/>
  <c r="B65" i="5"/>
  <c r="B75" i="5"/>
  <c r="B115" i="5"/>
  <c r="B205" i="5"/>
  <c r="B42" i="11"/>
  <c r="L42" i="9"/>
  <c r="L52" i="9"/>
  <c r="B52" i="11"/>
  <c r="L82" i="9"/>
  <c r="B82" i="11"/>
  <c r="L102" i="9"/>
  <c r="B102" i="11"/>
  <c r="L132" i="9"/>
  <c r="B132" i="11"/>
  <c r="L152" i="9"/>
  <c r="B152" i="11"/>
  <c r="L162" i="9"/>
  <c r="B162" i="11"/>
  <c r="L192" i="9"/>
  <c r="B192" i="11"/>
  <c r="L222" i="9"/>
  <c r="B222" i="11"/>
  <c r="L242" i="9"/>
  <c r="B242" i="11"/>
  <c r="L262" i="9"/>
  <c r="B262" i="11"/>
  <c r="L282" i="9"/>
  <c r="B282" i="11"/>
  <c r="L302" i="9"/>
  <c r="B302" i="11"/>
  <c r="L342" i="9"/>
  <c r="B342" i="11"/>
  <c r="B362" i="11"/>
  <c r="L362" i="9"/>
  <c r="B372" i="11"/>
  <c r="L372" i="9"/>
  <c r="B402" i="11"/>
  <c r="L402" i="9"/>
  <c r="B422" i="11"/>
  <c r="L422" i="9"/>
  <c r="B442" i="11"/>
  <c r="L442" i="9"/>
  <c r="B462" i="11"/>
  <c r="L462" i="9"/>
  <c r="B472" i="11"/>
  <c r="L472" i="9"/>
  <c r="B492" i="11"/>
  <c r="L492" i="9"/>
  <c r="B512" i="11"/>
  <c r="L512" i="9"/>
  <c r="B532" i="11"/>
  <c r="L532" i="9"/>
  <c r="B552" i="11"/>
  <c r="L552" i="9"/>
  <c r="B572" i="11"/>
  <c r="L572" i="9"/>
  <c r="B592" i="11"/>
  <c r="L592" i="9"/>
  <c r="B602" i="11"/>
  <c r="L602" i="9"/>
  <c r="B622" i="11"/>
  <c r="L622" i="9"/>
  <c r="B632" i="11"/>
  <c r="L632" i="9"/>
  <c r="B642" i="11"/>
  <c r="L642" i="9"/>
  <c r="B652" i="11"/>
  <c r="L652" i="9"/>
  <c r="B662" i="11"/>
  <c r="L662" i="9"/>
  <c r="B672" i="11"/>
  <c r="L672" i="9"/>
  <c r="B682" i="11"/>
  <c r="L682" i="9"/>
  <c r="B692" i="11"/>
  <c r="L692" i="9"/>
  <c r="B702" i="11"/>
  <c r="L702" i="9"/>
  <c r="B712" i="11"/>
  <c r="L712" i="9"/>
  <c r="B722" i="11"/>
  <c r="L722" i="9"/>
  <c r="B732" i="11"/>
  <c r="L732" i="9"/>
  <c r="B742" i="11"/>
  <c r="L742" i="9"/>
  <c r="B752" i="11"/>
  <c r="L752" i="9"/>
  <c r="B762" i="11"/>
  <c r="L762" i="9"/>
  <c r="B772" i="11"/>
  <c r="L772" i="9"/>
  <c r="B782" i="11"/>
  <c r="L782" i="9"/>
  <c r="B792" i="11"/>
  <c r="L792" i="9"/>
  <c r="B812" i="11"/>
  <c r="L812" i="9"/>
  <c r="A72" i="7"/>
  <c r="A242" i="7"/>
  <c r="A272" i="7"/>
  <c r="A442" i="7"/>
  <c r="A472" i="7"/>
  <c r="A642" i="7"/>
  <c r="A672" i="7"/>
  <c r="C51" i="8"/>
  <c r="D107" i="9"/>
  <c r="A115" i="8"/>
  <c r="A125" i="8"/>
  <c r="A402" i="8"/>
  <c r="H404" i="16"/>
  <c r="P404" i="16" s="1"/>
  <c r="H404" i="20"/>
  <c r="F404" i="19"/>
  <c r="H414" i="16"/>
  <c r="P414" i="16" s="1"/>
  <c r="H414" i="20"/>
  <c r="A432" i="8"/>
  <c r="H462" i="16"/>
  <c r="P462" i="16" s="1"/>
  <c r="H462" i="20"/>
  <c r="F462" i="19"/>
  <c r="H477" i="16"/>
  <c r="P477" i="16" s="1"/>
  <c r="F477" i="19"/>
  <c r="H477" i="20"/>
  <c r="D507" i="9"/>
  <c r="A515" i="8"/>
  <c r="A525" i="8"/>
  <c r="A572" i="8"/>
  <c r="D598" i="9"/>
  <c r="H601" i="16"/>
  <c r="P601" i="16" s="1"/>
  <c r="H601" i="20"/>
  <c r="F601" i="19"/>
  <c r="H606" i="16"/>
  <c r="P606" i="16" s="1"/>
  <c r="H606" i="20"/>
  <c r="F606" i="19"/>
  <c r="H668" i="20"/>
  <c r="H668" i="16"/>
  <c r="P668" i="16" s="1"/>
  <c r="F668" i="19"/>
  <c r="C701" i="8"/>
  <c r="H712" i="16"/>
  <c r="P712" i="16" s="1"/>
  <c r="H712" i="20"/>
  <c r="F712" i="19"/>
  <c r="A745" i="8"/>
  <c r="H772" i="16"/>
  <c r="P772" i="16" s="1"/>
  <c r="H772" i="20"/>
  <c r="F772" i="19"/>
  <c r="A775" i="8"/>
  <c r="D813" i="9"/>
  <c r="I34" i="16"/>
  <c r="M34" i="16" s="1"/>
  <c r="G34" i="20"/>
  <c r="G34" i="19"/>
  <c r="J34" i="19" s="1"/>
  <c r="I56" i="16"/>
  <c r="M56" i="16" s="1"/>
  <c r="G56" i="20"/>
  <c r="G71" i="20"/>
  <c r="I71" i="16"/>
  <c r="M71" i="16" s="1"/>
  <c r="G71" i="19"/>
  <c r="J71" i="19" s="1"/>
  <c r="I77" i="16"/>
  <c r="M77" i="16" s="1"/>
  <c r="G77" i="20"/>
  <c r="G77" i="19"/>
  <c r="J77" i="19" s="1"/>
  <c r="H83" i="16"/>
  <c r="P83" i="16" s="1"/>
  <c r="H83" i="20"/>
  <c r="I100" i="16"/>
  <c r="M100" i="16" s="1"/>
  <c r="G100" i="20"/>
  <c r="G100" i="19"/>
  <c r="J100" i="19" s="1"/>
  <c r="G141" i="20"/>
  <c r="I141" i="16"/>
  <c r="M141" i="16" s="1"/>
  <c r="I182" i="16"/>
  <c r="M182" i="16" s="1"/>
  <c r="G182" i="20"/>
  <c r="G182" i="19"/>
  <c r="J182" i="19" s="1"/>
  <c r="I185" i="16"/>
  <c r="M185" i="16" s="1"/>
  <c r="G185" i="20"/>
  <c r="G185" i="19"/>
  <c r="J185" i="19" s="1"/>
  <c r="C191" i="9"/>
  <c r="I208" i="16"/>
  <c r="M208" i="16" s="1"/>
  <c r="G208" i="20"/>
  <c r="I223" i="16"/>
  <c r="M223" i="16" s="1"/>
  <c r="G223" i="19"/>
  <c r="J223" i="19" s="1"/>
  <c r="I249" i="16"/>
  <c r="M249" i="16" s="1"/>
  <c r="G249" i="20"/>
  <c r="G249" i="19"/>
  <c r="J249" i="19" s="1"/>
  <c r="I252" i="16"/>
  <c r="M252" i="16" s="1"/>
  <c r="G252" i="20"/>
  <c r="G252" i="19"/>
  <c r="J252" i="19" s="1"/>
  <c r="I255" i="16"/>
  <c r="M255" i="16" s="1"/>
  <c r="G255" i="20"/>
  <c r="G255" i="19"/>
  <c r="J255" i="19" s="1"/>
  <c r="I278" i="16"/>
  <c r="M278" i="16" s="1"/>
  <c r="G278" i="20"/>
  <c r="G278" i="19"/>
  <c r="J278" i="19" s="1"/>
  <c r="I293" i="16"/>
  <c r="M293" i="16" s="1"/>
  <c r="G293" i="20"/>
  <c r="G293" i="19"/>
  <c r="J293" i="19" s="1"/>
  <c r="I319" i="16"/>
  <c r="M319" i="16" s="1"/>
  <c r="G319" i="20"/>
  <c r="G319" i="19"/>
  <c r="J319" i="19" s="1"/>
  <c r="I386" i="16"/>
  <c r="M386" i="16" s="1"/>
  <c r="G386" i="20"/>
  <c r="G386" i="19"/>
  <c r="J386" i="19" s="1"/>
  <c r="I407" i="16"/>
  <c r="M407" i="16" s="1"/>
  <c r="G407" i="20"/>
  <c r="G407" i="19"/>
  <c r="J407" i="19" s="1"/>
  <c r="I430" i="16"/>
  <c r="M430" i="16" s="1"/>
  <c r="G430" i="20"/>
  <c r="I456" i="16"/>
  <c r="M456" i="16" s="1"/>
  <c r="G456" i="20"/>
  <c r="G456" i="19"/>
  <c r="J456" i="19" s="1"/>
  <c r="I471" i="16"/>
  <c r="M471" i="16" s="1"/>
  <c r="G471" i="20"/>
  <c r="G471" i="19"/>
  <c r="J471" i="19" s="1"/>
  <c r="I477" i="16"/>
  <c r="M477" i="16" s="1"/>
  <c r="G477" i="19"/>
  <c r="J477" i="19" s="1"/>
  <c r="G477" i="20"/>
  <c r="H483" i="16"/>
  <c r="P483" i="16" s="1"/>
  <c r="H483" i="20"/>
  <c r="F483" i="19"/>
  <c r="I500" i="16"/>
  <c r="M500" i="16" s="1"/>
  <c r="G500" i="20"/>
  <c r="G500" i="19"/>
  <c r="J500" i="19" s="1"/>
  <c r="I551" i="16"/>
  <c r="M551" i="16" s="1"/>
  <c r="G551" i="20"/>
  <c r="G551" i="19"/>
  <c r="J551" i="19" s="1"/>
  <c r="I560" i="16"/>
  <c r="M560" i="16" s="1"/>
  <c r="G560" i="20"/>
  <c r="G560" i="19"/>
  <c r="I573" i="16"/>
  <c r="M573" i="16" s="1"/>
  <c r="G573" i="20"/>
  <c r="G573" i="19"/>
  <c r="J573" i="19" s="1"/>
  <c r="I579" i="16"/>
  <c r="M579" i="16" s="1"/>
  <c r="G579" i="20"/>
  <c r="G579" i="19"/>
  <c r="J579" i="19" s="1"/>
  <c r="I620" i="16"/>
  <c r="M620" i="16" s="1"/>
  <c r="G620" i="20"/>
  <c r="G620" i="19"/>
  <c r="J620" i="19" s="1"/>
  <c r="I626" i="16"/>
  <c r="M626" i="16" s="1"/>
  <c r="G626" i="20"/>
  <c r="G626" i="19"/>
  <c r="J626" i="19" s="1"/>
  <c r="F667" i="19"/>
  <c r="H667" i="16"/>
  <c r="P667" i="16" s="1"/>
  <c r="H667" i="20"/>
  <c r="I711" i="16"/>
  <c r="M711" i="16" s="1"/>
  <c r="G711" i="20"/>
  <c r="G711" i="19"/>
  <c r="J711" i="19" s="1"/>
  <c r="I720" i="16"/>
  <c r="M720" i="16" s="1"/>
  <c r="G720" i="20"/>
  <c r="G720" i="19"/>
  <c r="J720" i="19" s="1"/>
  <c r="I733" i="16"/>
  <c r="M733" i="16" s="1"/>
  <c r="G733" i="20"/>
  <c r="G733" i="19"/>
  <c r="J733" i="19" s="1"/>
  <c r="I739" i="16"/>
  <c r="M739" i="16" s="1"/>
  <c r="G739" i="20"/>
  <c r="G739" i="19"/>
  <c r="J739" i="19" s="1"/>
  <c r="I780" i="16"/>
  <c r="M780" i="16" s="1"/>
  <c r="G780" i="19"/>
  <c r="J780" i="19" s="1"/>
  <c r="G780" i="20"/>
  <c r="I786" i="16"/>
  <c r="M786" i="16" s="1"/>
  <c r="G786" i="20"/>
  <c r="G786" i="19"/>
  <c r="J786" i="19" s="1"/>
  <c r="H796" i="16"/>
  <c r="P796" i="16" s="1"/>
  <c r="F796" i="19"/>
  <c r="H796" i="20"/>
  <c r="I820" i="16"/>
  <c r="M820" i="16" s="1"/>
  <c r="G820" i="20"/>
  <c r="G820" i="19"/>
  <c r="J820" i="19" s="1"/>
  <c r="W3" i="20"/>
  <c r="AQ3" i="10"/>
  <c r="AU4" i="10"/>
  <c r="O24" i="10"/>
  <c r="L44" i="10"/>
  <c r="L60" i="10"/>
  <c r="AN65" i="10"/>
  <c r="Q65" i="20" s="1"/>
  <c r="U16" i="11"/>
  <c r="U44" i="11"/>
  <c r="D141" i="11"/>
  <c r="D301" i="11"/>
  <c r="A615" i="11"/>
  <c r="A635" i="11"/>
  <c r="F94" i="19"/>
  <c r="G243" i="19"/>
  <c r="J243" i="19" s="1"/>
  <c r="G342" i="19"/>
  <c r="J342" i="19" s="1"/>
  <c r="I550" i="19"/>
  <c r="A22" i="8"/>
  <c r="A22" i="9"/>
  <c r="A45" i="9"/>
  <c r="A45" i="11"/>
  <c r="A95" i="9"/>
  <c r="A95" i="11"/>
  <c r="A105" i="9"/>
  <c r="A105" i="11"/>
  <c r="A145" i="9"/>
  <c r="A145" i="11"/>
  <c r="A175" i="9"/>
  <c r="A175" i="11"/>
  <c r="A225" i="9"/>
  <c r="A225" i="11"/>
  <c r="A235" i="9"/>
  <c r="A235" i="11"/>
  <c r="A16" i="11"/>
  <c r="A16" i="9"/>
  <c r="B35" i="5"/>
  <c r="B85" i="5"/>
  <c r="B135" i="5"/>
  <c r="B155" i="5"/>
  <c r="B215" i="5"/>
  <c r="L62" i="9"/>
  <c r="B62" i="11"/>
  <c r="L72" i="9"/>
  <c r="B72" i="11"/>
  <c r="L92" i="9"/>
  <c r="B92" i="11"/>
  <c r="L112" i="9"/>
  <c r="B112" i="11"/>
  <c r="L122" i="9"/>
  <c r="B122" i="11"/>
  <c r="L142" i="9"/>
  <c r="B142" i="11"/>
  <c r="L172" i="9"/>
  <c r="B172" i="11"/>
  <c r="L182" i="9"/>
  <c r="B182" i="11"/>
  <c r="L202" i="9"/>
  <c r="B202" i="11"/>
  <c r="L212" i="9"/>
  <c r="B212" i="11"/>
  <c r="L232" i="9"/>
  <c r="B232" i="11"/>
  <c r="L252" i="9"/>
  <c r="B252" i="11"/>
  <c r="L272" i="9"/>
  <c r="B272" i="11"/>
  <c r="L292" i="9"/>
  <c r="B292" i="11"/>
  <c r="L312" i="9"/>
  <c r="B312" i="11"/>
  <c r="L322" i="9"/>
  <c r="B322" i="11"/>
  <c r="L332" i="9"/>
  <c r="B332" i="11"/>
  <c r="B352" i="11"/>
  <c r="L352" i="9"/>
  <c r="B382" i="11"/>
  <c r="L382" i="9"/>
  <c r="B392" i="11"/>
  <c r="L392" i="9"/>
  <c r="B412" i="11"/>
  <c r="L412" i="9"/>
  <c r="B432" i="11"/>
  <c r="L432" i="9"/>
  <c r="B452" i="11"/>
  <c r="L452" i="9"/>
  <c r="B482" i="11"/>
  <c r="L482" i="9"/>
  <c r="B502" i="11"/>
  <c r="L502" i="9"/>
  <c r="B522" i="11"/>
  <c r="L522" i="9"/>
  <c r="B542" i="11"/>
  <c r="L542" i="9"/>
  <c r="B562" i="11"/>
  <c r="L562" i="9"/>
  <c r="B582" i="11"/>
  <c r="L582" i="9"/>
  <c r="B612" i="11"/>
  <c r="L612" i="9"/>
  <c r="A29" i="11"/>
  <c r="A29" i="9"/>
  <c r="A49" i="20"/>
  <c r="A49" i="16"/>
  <c r="A59" i="9"/>
  <c r="A59" i="11"/>
  <c r="A59" i="8"/>
  <c r="A69" i="16"/>
  <c r="A69" i="20"/>
  <c r="A69" i="19"/>
  <c r="A79" i="9"/>
  <c r="A79" i="8"/>
  <c r="A89" i="9"/>
  <c r="A89" i="11"/>
  <c r="A99" i="9"/>
  <c r="A99" i="8"/>
  <c r="A109" i="16"/>
  <c r="A109" i="20"/>
  <c r="A119" i="9"/>
  <c r="A119" i="8"/>
  <c r="A129" i="16"/>
  <c r="A129" i="20"/>
  <c r="A139" i="9"/>
  <c r="A139" i="8"/>
  <c r="A149" i="9"/>
  <c r="A149" i="11"/>
  <c r="A159" i="9"/>
  <c r="A159" i="8"/>
  <c r="A169" i="16"/>
  <c r="A169" i="20"/>
  <c r="A179" i="9"/>
  <c r="A179" i="8"/>
  <c r="A179" i="11"/>
  <c r="A189" i="16"/>
  <c r="A189" i="20"/>
  <c r="A199" i="9"/>
  <c r="A199" i="8"/>
  <c r="A209" i="9"/>
  <c r="A209" i="11"/>
  <c r="A219" i="9"/>
  <c r="A219" i="8"/>
  <c r="A229" i="16"/>
  <c r="A229" i="19"/>
  <c r="A239" i="9"/>
  <c r="A239" i="8"/>
  <c r="A249" i="20"/>
  <c r="A249" i="19"/>
  <c r="A249" i="16"/>
  <c r="A259" i="9"/>
  <c r="A259" i="8"/>
  <c r="A269" i="16"/>
  <c r="A269" i="19"/>
  <c r="A269" i="20"/>
  <c r="A279" i="9"/>
  <c r="A279" i="8"/>
  <c r="A289" i="9"/>
  <c r="A289" i="11"/>
  <c r="C295" i="11"/>
  <c r="B295" i="9"/>
  <c r="A299" i="9"/>
  <c r="A299" i="8"/>
  <c r="C305" i="11"/>
  <c r="B305" i="9"/>
  <c r="A309" i="16"/>
  <c r="A309" i="20"/>
  <c r="A319" i="9"/>
  <c r="A319" i="8"/>
  <c r="A329" i="16"/>
  <c r="A329" i="20"/>
  <c r="A329" i="19"/>
  <c r="A339" i="9"/>
  <c r="A339" i="8"/>
  <c r="C345" i="11"/>
  <c r="B345" i="9"/>
  <c r="A349" i="9"/>
  <c r="A349" i="11"/>
  <c r="A359" i="9"/>
  <c r="A359" i="8"/>
  <c r="A369" i="16"/>
  <c r="A369" i="20"/>
  <c r="A369" i="19"/>
  <c r="A379" i="9"/>
  <c r="A379" i="8"/>
  <c r="A389" i="9"/>
  <c r="A389" i="11"/>
  <c r="A399" i="9"/>
  <c r="A399" i="8"/>
  <c r="A409" i="9"/>
  <c r="A409" i="11"/>
  <c r="A419" i="9"/>
  <c r="A419" i="11"/>
  <c r="A419" i="8"/>
  <c r="A429" i="16"/>
  <c r="A429" i="20"/>
  <c r="A429" i="19"/>
  <c r="A439" i="9"/>
  <c r="A439" i="8"/>
  <c r="A449" i="16"/>
  <c r="A449" i="20"/>
  <c r="A449" i="19"/>
  <c r="A459" i="9"/>
  <c r="A459" i="8"/>
  <c r="A469" i="16"/>
  <c r="A469" i="20"/>
  <c r="A469" i="19"/>
  <c r="A479" i="11"/>
  <c r="A479" i="9"/>
  <c r="A479" i="8"/>
  <c r="A489" i="9"/>
  <c r="A489" i="11"/>
  <c r="A499" i="9"/>
  <c r="A499" i="8"/>
  <c r="A509" i="16"/>
  <c r="A509" i="20"/>
  <c r="A509" i="19"/>
  <c r="A519" i="9"/>
  <c r="A519" i="8"/>
  <c r="A529" i="11"/>
  <c r="A529" i="9"/>
  <c r="A539" i="11"/>
  <c r="A539" i="9"/>
  <c r="A539" i="8"/>
  <c r="A549" i="11"/>
  <c r="A549" i="9"/>
  <c r="A559" i="11"/>
  <c r="A559" i="9"/>
  <c r="A559" i="8"/>
  <c r="A569" i="11"/>
  <c r="A569" i="9"/>
  <c r="A579" i="11"/>
  <c r="A579" i="9"/>
  <c r="A579" i="8"/>
  <c r="A589" i="11"/>
  <c r="A589" i="9"/>
  <c r="A599" i="11"/>
  <c r="A599" i="9"/>
  <c r="A599" i="8"/>
  <c r="A609" i="11"/>
  <c r="A609" i="9"/>
  <c r="A619" i="11"/>
  <c r="A619" i="9"/>
  <c r="A619" i="8"/>
  <c r="A629" i="11"/>
  <c r="A629" i="9"/>
  <c r="A639" i="11"/>
  <c r="A639" i="9"/>
  <c r="A649" i="11"/>
  <c r="A649" i="9"/>
  <c r="A659" i="11"/>
  <c r="A659" i="9"/>
  <c r="A669" i="11"/>
  <c r="A669" i="9"/>
  <c r="A679" i="11"/>
  <c r="A679" i="9"/>
  <c r="A679" i="8"/>
  <c r="A689" i="11"/>
  <c r="A689" i="9"/>
  <c r="A699" i="11"/>
  <c r="A699" i="9"/>
  <c r="A709" i="11"/>
  <c r="A709" i="9"/>
  <c r="A709" i="8"/>
  <c r="A719" i="11"/>
  <c r="A719" i="9"/>
  <c r="A729" i="11"/>
  <c r="A729" i="9"/>
  <c r="A739" i="11"/>
  <c r="A739" i="9"/>
  <c r="A739" i="8"/>
  <c r="A749" i="11"/>
  <c r="A749" i="9"/>
  <c r="A759" i="11"/>
  <c r="A759" i="9"/>
  <c r="A769" i="11"/>
  <c r="A769" i="9"/>
  <c r="A769" i="8"/>
  <c r="A779" i="11"/>
  <c r="A779" i="9"/>
  <c r="A789" i="11"/>
  <c r="A789" i="9"/>
  <c r="A799" i="11"/>
  <c r="A799" i="9"/>
  <c r="A819" i="11"/>
  <c r="A819" i="9"/>
  <c r="A7" i="7"/>
  <c r="C41" i="7"/>
  <c r="A55" i="7"/>
  <c r="A109" i="7"/>
  <c r="C131" i="7"/>
  <c r="A139" i="7"/>
  <c r="A235" i="7"/>
  <c r="A265" i="7"/>
  <c r="C301" i="7"/>
  <c r="A309" i="7"/>
  <c r="C331" i="7"/>
  <c r="A339" i="7"/>
  <c r="A435" i="7"/>
  <c r="A465" i="7"/>
  <c r="C501" i="7"/>
  <c r="A509" i="7"/>
  <c r="C531" i="7"/>
  <c r="A539" i="7"/>
  <c r="A635" i="7"/>
  <c r="A665" i="7"/>
  <c r="A709" i="7"/>
  <c r="A739" i="7"/>
  <c r="H39" i="16"/>
  <c r="P39" i="16" s="1"/>
  <c r="H39" i="20"/>
  <c r="F39" i="19"/>
  <c r="D87" i="9"/>
  <c r="A95" i="8"/>
  <c r="A105" i="8"/>
  <c r="C271" i="8"/>
  <c r="A329" i="8"/>
  <c r="A382" i="8"/>
  <c r="H384" i="16"/>
  <c r="P384" i="16" s="1"/>
  <c r="H384" i="20"/>
  <c r="H394" i="16"/>
  <c r="P394" i="16" s="1"/>
  <c r="H394" i="20"/>
  <c r="F394" i="19"/>
  <c r="A412" i="8"/>
  <c r="H442" i="16"/>
  <c r="P442" i="16" s="1"/>
  <c r="H442" i="20"/>
  <c r="F442" i="19"/>
  <c r="H457" i="16"/>
  <c r="P457" i="16" s="1"/>
  <c r="H457" i="20"/>
  <c r="F457" i="19"/>
  <c r="D487" i="9"/>
  <c r="A495" i="8"/>
  <c r="A505" i="8"/>
  <c r="H564" i="16"/>
  <c r="P564" i="16" s="1"/>
  <c r="H564" i="20"/>
  <c r="F564" i="19"/>
  <c r="H593" i="16"/>
  <c r="P593" i="16" s="1"/>
  <c r="H593" i="20"/>
  <c r="F593" i="19"/>
  <c r="H622" i="16"/>
  <c r="P622" i="16" s="1"/>
  <c r="H622" i="20"/>
  <c r="F622" i="19"/>
  <c r="C641" i="8"/>
  <c r="D644" i="9"/>
  <c r="H652" i="16"/>
  <c r="P652" i="16" s="1"/>
  <c r="H652" i="20"/>
  <c r="F652" i="19"/>
  <c r="C671" i="8"/>
  <c r="H682" i="16"/>
  <c r="P682" i="16" s="1"/>
  <c r="H682" i="20"/>
  <c r="F682" i="19"/>
  <c r="A685" i="8"/>
  <c r="A715" i="8"/>
  <c r="H742" i="16"/>
  <c r="P742" i="16" s="1"/>
  <c r="H742" i="20"/>
  <c r="F742" i="19"/>
  <c r="H756" i="16"/>
  <c r="P756" i="16" s="1"/>
  <c r="H756" i="20"/>
  <c r="H780" i="16"/>
  <c r="P780" i="16" s="1"/>
  <c r="H780" i="20"/>
  <c r="F780" i="19"/>
  <c r="A795" i="8"/>
  <c r="H810" i="16"/>
  <c r="P810" i="16" s="1"/>
  <c r="F810" i="19"/>
  <c r="H810" i="20"/>
  <c r="I21" i="16"/>
  <c r="M21" i="16" s="1"/>
  <c r="G21" i="20"/>
  <c r="G21" i="19"/>
  <c r="J21" i="19" s="1"/>
  <c r="I42" i="16"/>
  <c r="M42" i="16" s="1"/>
  <c r="G42" i="20"/>
  <c r="I45" i="16"/>
  <c r="M45" i="16" s="1"/>
  <c r="G45" i="20"/>
  <c r="G45" i="19"/>
  <c r="J45" i="19" s="1"/>
  <c r="I68" i="16"/>
  <c r="M68" i="16" s="1"/>
  <c r="G68" i="20"/>
  <c r="G68" i="19"/>
  <c r="J68" i="19" s="1"/>
  <c r="I83" i="16"/>
  <c r="M83" i="16" s="1"/>
  <c r="G83" i="20"/>
  <c r="I109" i="16"/>
  <c r="M109" i="16" s="1"/>
  <c r="G109" i="20"/>
  <c r="G109" i="19"/>
  <c r="J109" i="19" s="1"/>
  <c r="I112" i="16"/>
  <c r="M112" i="16" s="1"/>
  <c r="G112" i="20"/>
  <c r="G112" i="19"/>
  <c r="J112" i="19" s="1"/>
  <c r="I115" i="16"/>
  <c r="M115" i="16" s="1"/>
  <c r="G115" i="20"/>
  <c r="G115" i="19"/>
  <c r="J115" i="19" s="1"/>
  <c r="C121" i="9"/>
  <c r="I138" i="16"/>
  <c r="M138" i="16" s="1"/>
  <c r="G138" i="19"/>
  <c r="J138" i="19" s="1"/>
  <c r="I153" i="16"/>
  <c r="M153" i="16" s="1"/>
  <c r="G153" i="20"/>
  <c r="I179" i="16"/>
  <c r="M179" i="16" s="1"/>
  <c r="G179" i="19"/>
  <c r="J179" i="19" s="1"/>
  <c r="G179" i="20"/>
  <c r="I246" i="16"/>
  <c r="M246" i="16" s="1"/>
  <c r="G246" i="20"/>
  <c r="G246" i="19"/>
  <c r="J246" i="19" s="1"/>
  <c r="I267" i="16"/>
  <c r="M267" i="16" s="1"/>
  <c r="G267" i="20"/>
  <c r="G267" i="19"/>
  <c r="J267" i="19" s="1"/>
  <c r="I290" i="16"/>
  <c r="M290" i="16" s="1"/>
  <c r="G290" i="20"/>
  <c r="G290" i="19"/>
  <c r="J290" i="19" s="1"/>
  <c r="I316" i="16"/>
  <c r="M316" i="16" s="1"/>
  <c r="G316" i="20"/>
  <c r="G316" i="19"/>
  <c r="J316" i="19" s="1"/>
  <c r="I331" i="16"/>
  <c r="M331" i="16" s="1"/>
  <c r="G331" i="20"/>
  <c r="G331" i="19"/>
  <c r="J331" i="19" s="1"/>
  <c r="I337" i="16"/>
  <c r="M337" i="16" s="1"/>
  <c r="G337" i="20"/>
  <c r="G337" i="19"/>
  <c r="J337" i="19" s="1"/>
  <c r="H343" i="16"/>
  <c r="P343" i="16" s="1"/>
  <c r="H343" i="20"/>
  <c r="F343" i="19"/>
  <c r="I360" i="16"/>
  <c r="M360" i="16" s="1"/>
  <c r="G360" i="20"/>
  <c r="G360" i="19"/>
  <c r="J360" i="19" s="1"/>
  <c r="I401" i="16"/>
  <c r="M401" i="16" s="1"/>
  <c r="G401" i="20"/>
  <c r="G401" i="19"/>
  <c r="J401" i="19" s="1"/>
  <c r="I442" i="16"/>
  <c r="M442" i="16" s="1"/>
  <c r="G442" i="20"/>
  <c r="G442" i="19"/>
  <c r="J442" i="19" s="1"/>
  <c r="I445" i="16"/>
  <c r="M445" i="16" s="1"/>
  <c r="G445" i="20"/>
  <c r="G445" i="19"/>
  <c r="J445" i="19" s="1"/>
  <c r="C451" i="9"/>
  <c r="I468" i="16"/>
  <c r="M468" i="16" s="1"/>
  <c r="G468" i="20"/>
  <c r="G468" i="19"/>
  <c r="J468" i="19" s="1"/>
  <c r="I483" i="16"/>
  <c r="M483" i="16" s="1"/>
  <c r="G483" i="20"/>
  <c r="G483" i="19"/>
  <c r="J483" i="19" s="1"/>
  <c r="I509" i="16"/>
  <c r="M509" i="16" s="1"/>
  <c r="G509" i="20"/>
  <c r="G509" i="19"/>
  <c r="J509" i="19" s="1"/>
  <c r="I512" i="16"/>
  <c r="M512" i="16" s="1"/>
  <c r="G512" i="20"/>
  <c r="G512" i="19"/>
  <c r="J512" i="19" s="1"/>
  <c r="I515" i="16"/>
  <c r="M515" i="16" s="1"/>
  <c r="G515" i="20"/>
  <c r="G515" i="19"/>
  <c r="J515" i="19" s="1"/>
  <c r="C521" i="9"/>
  <c r="I548" i="16"/>
  <c r="M548" i="16" s="1"/>
  <c r="G548" i="20"/>
  <c r="G548" i="19"/>
  <c r="J548" i="19" s="1"/>
  <c r="I554" i="16"/>
  <c r="M554" i="16" s="1"/>
  <c r="G554" i="20"/>
  <c r="G554" i="19"/>
  <c r="J554" i="19" s="1"/>
  <c r="A592" i="9"/>
  <c r="I639" i="16"/>
  <c r="M639" i="16" s="1"/>
  <c r="G639" i="19"/>
  <c r="J639" i="19" s="1"/>
  <c r="G639" i="20"/>
  <c r="I648" i="16"/>
  <c r="M648" i="16" s="1"/>
  <c r="G648" i="19"/>
  <c r="J648" i="19" s="1"/>
  <c r="G648" i="20"/>
  <c r="I661" i="16"/>
  <c r="M661" i="16" s="1"/>
  <c r="G661" i="20"/>
  <c r="G661" i="19"/>
  <c r="J661" i="19" s="1"/>
  <c r="I667" i="16"/>
  <c r="M667" i="16" s="1"/>
  <c r="G667" i="19"/>
  <c r="J667" i="19" s="1"/>
  <c r="G667" i="20"/>
  <c r="I708" i="16"/>
  <c r="M708" i="16" s="1"/>
  <c r="G708" i="19"/>
  <c r="J708" i="19" s="1"/>
  <c r="G708" i="20"/>
  <c r="I714" i="16"/>
  <c r="M714" i="16" s="1"/>
  <c r="G714" i="19"/>
  <c r="J714" i="19" s="1"/>
  <c r="G714" i="20"/>
  <c r="H727" i="16"/>
  <c r="P727" i="16" s="1"/>
  <c r="H727" i="20"/>
  <c r="F727" i="19"/>
  <c r="A752" i="9"/>
  <c r="AU23" i="10"/>
  <c r="AN23" i="10"/>
  <c r="Q23" i="20" s="1"/>
  <c r="AQ45" i="10"/>
  <c r="A10" i="11"/>
  <c r="A202" i="11"/>
  <c r="A332" i="11"/>
  <c r="D421" i="11"/>
  <c r="A775" i="11"/>
  <c r="H554" i="16"/>
  <c r="P554" i="16" s="1"/>
  <c r="H554" i="20"/>
  <c r="F554" i="19"/>
  <c r="H574" i="16"/>
  <c r="P574" i="16" s="1"/>
  <c r="H574" i="20"/>
  <c r="H594" i="16"/>
  <c r="P594" i="16" s="1"/>
  <c r="H594" i="20"/>
  <c r="F594" i="19"/>
  <c r="H614" i="16"/>
  <c r="P614" i="16" s="1"/>
  <c r="H614" i="20"/>
  <c r="F614" i="19"/>
  <c r="H646" i="16"/>
  <c r="P646" i="16" s="1"/>
  <c r="H646" i="20"/>
  <c r="F646" i="19"/>
  <c r="H690" i="16"/>
  <c r="P690" i="16" s="1"/>
  <c r="H690" i="20"/>
  <c r="F690" i="19"/>
  <c r="H720" i="16"/>
  <c r="P720" i="16" s="1"/>
  <c r="F720" i="19"/>
  <c r="H720" i="20"/>
  <c r="D807" i="9"/>
  <c r="W13" i="20"/>
  <c r="AQ13" i="10"/>
  <c r="H630" i="16"/>
  <c r="P630" i="16" s="1"/>
  <c r="H630" i="20"/>
  <c r="F630" i="19"/>
  <c r="H660" i="16"/>
  <c r="P660" i="16" s="1"/>
  <c r="H660" i="20"/>
  <c r="F660" i="19"/>
  <c r="H734" i="16"/>
  <c r="P734" i="16" s="1"/>
  <c r="H734" i="20"/>
  <c r="F734" i="19"/>
  <c r="D764" i="9"/>
  <c r="H778" i="16"/>
  <c r="P778" i="16" s="1"/>
  <c r="F778" i="19"/>
  <c r="H3" i="16"/>
  <c r="P3" i="16" s="1"/>
  <c r="H3" i="20"/>
  <c r="G44" i="20"/>
  <c r="I44" i="16"/>
  <c r="M44" i="16" s="1"/>
  <c r="G44" i="19"/>
  <c r="J44" i="19" s="1"/>
  <c r="I54" i="16"/>
  <c r="M54" i="16" s="1"/>
  <c r="G54" i="20"/>
  <c r="I64" i="16"/>
  <c r="M64" i="16" s="1"/>
  <c r="G64" i="20"/>
  <c r="I74" i="16"/>
  <c r="M74" i="16" s="1"/>
  <c r="G74" i="20"/>
  <c r="G74" i="19"/>
  <c r="J74" i="19" s="1"/>
  <c r="I84" i="16"/>
  <c r="M84" i="16" s="1"/>
  <c r="G84" i="20"/>
  <c r="G84" i="19"/>
  <c r="I94" i="16"/>
  <c r="M94" i="16" s="1"/>
  <c r="G94" i="20"/>
  <c r="G94" i="19"/>
  <c r="J94" i="19" s="1"/>
  <c r="I104" i="16"/>
  <c r="M104" i="16" s="1"/>
  <c r="G104" i="19"/>
  <c r="J104" i="19" s="1"/>
  <c r="G104" i="20"/>
  <c r="I114" i="16"/>
  <c r="M114" i="16" s="1"/>
  <c r="G114" i="19"/>
  <c r="J114" i="19" s="1"/>
  <c r="G114" i="20"/>
  <c r="I124" i="16"/>
  <c r="M124" i="16" s="1"/>
  <c r="G124" i="20"/>
  <c r="G124" i="19"/>
  <c r="J124" i="19" s="1"/>
  <c r="I134" i="16"/>
  <c r="M134" i="16" s="1"/>
  <c r="G134" i="20"/>
  <c r="G134" i="19"/>
  <c r="J134" i="19" s="1"/>
  <c r="I144" i="16"/>
  <c r="M144" i="16" s="1"/>
  <c r="G144" i="20"/>
  <c r="G144" i="19"/>
  <c r="J144" i="19" s="1"/>
  <c r="I154" i="16"/>
  <c r="M154" i="16" s="1"/>
  <c r="G154" i="20"/>
  <c r="G154" i="19"/>
  <c r="J154" i="19" s="1"/>
  <c r="I164" i="16"/>
  <c r="M164" i="16" s="1"/>
  <c r="G164" i="20"/>
  <c r="G164" i="19"/>
  <c r="J164" i="19" s="1"/>
  <c r="I174" i="16"/>
  <c r="M174" i="16" s="1"/>
  <c r="G174" i="19"/>
  <c r="J174" i="19" s="1"/>
  <c r="I184" i="16"/>
  <c r="M184" i="16" s="1"/>
  <c r="G184" i="20"/>
  <c r="G184" i="19"/>
  <c r="J184" i="19" s="1"/>
  <c r="I194" i="16"/>
  <c r="M194" i="16" s="1"/>
  <c r="G194" i="19"/>
  <c r="J194" i="19" s="1"/>
  <c r="G194" i="20"/>
  <c r="I204" i="16"/>
  <c r="M204" i="16" s="1"/>
  <c r="G204" i="20"/>
  <c r="G204" i="19"/>
  <c r="J204" i="19" s="1"/>
  <c r="I214" i="16"/>
  <c r="M214" i="16" s="1"/>
  <c r="G214" i="20"/>
  <c r="G214" i="19"/>
  <c r="J214" i="19" s="1"/>
  <c r="I224" i="16"/>
  <c r="M224" i="16" s="1"/>
  <c r="G224" i="20"/>
  <c r="G224" i="19"/>
  <c r="J224" i="19" s="1"/>
  <c r="I234" i="16"/>
  <c r="M234" i="16" s="1"/>
  <c r="G234" i="20"/>
  <c r="G234" i="19"/>
  <c r="J234" i="19" s="1"/>
  <c r="I244" i="16"/>
  <c r="M244" i="16" s="1"/>
  <c r="G244" i="19"/>
  <c r="J244" i="19" s="1"/>
  <c r="G244" i="20"/>
  <c r="I254" i="16"/>
  <c r="M254" i="16" s="1"/>
  <c r="G254" i="20"/>
  <c r="I264" i="16"/>
  <c r="M264" i="16" s="1"/>
  <c r="G264" i="20"/>
  <c r="G264" i="19"/>
  <c r="J264" i="19" s="1"/>
  <c r="I274" i="16"/>
  <c r="M274" i="16" s="1"/>
  <c r="G274" i="20"/>
  <c r="I284" i="16"/>
  <c r="M284" i="16" s="1"/>
  <c r="G284" i="20"/>
  <c r="G284" i="19"/>
  <c r="J284" i="19" s="1"/>
  <c r="I294" i="16"/>
  <c r="M294" i="16" s="1"/>
  <c r="G294" i="20"/>
  <c r="G294" i="19"/>
  <c r="J294" i="19" s="1"/>
  <c r="I304" i="16"/>
  <c r="M304" i="16" s="1"/>
  <c r="G304" i="20"/>
  <c r="G304" i="19"/>
  <c r="J304" i="19" s="1"/>
  <c r="I314" i="16"/>
  <c r="M314" i="16" s="1"/>
  <c r="G314" i="20"/>
  <c r="G314" i="19"/>
  <c r="J314" i="19" s="1"/>
  <c r="G324" i="20"/>
  <c r="G324" i="19"/>
  <c r="J324" i="19" s="1"/>
  <c r="I334" i="16"/>
  <c r="M334" i="16" s="1"/>
  <c r="G334" i="20"/>
  <c r="G334" i="19"/>
  <c r="J334" i="19" s="1"/>
  <c r="I344" i="16"/>
  <c r="M344" i="16" s="1"/>
  <c r="G344" i="20"/>
  <c r="I354" i="16"/>
  <c r="M354" i="16" s="1"/>
  <c r="G354" i="20"/>
  <c r="G354" i="19"/>
  <c r="J354" i="19" s="1"/>
  <c r="I364" i="16"/>
  <c r="M364" i="16" s="1"/>
  <c r="G364" i="20"/>
  <c r="G364" i="19"/>
  <c r="I374" i="16"/>
  <c r="M374" i="16" s="1"/>
  <c r="G374" i="19"/>
  <c r="J374" i="19" s="1"/>
  <c r="I384" i="16"/>
  <c r="M384" i="16" s="1"/>
  <c r="G384" i="20"/>
  <c r="I394" i="16"/>
  <c r="M394" i="16" s="1"/>
  <c r="G394" i="20"/>
  <c r="G394" i="19"/>
  <c r="J394" i="19" s="1"/>
  <c r="I404" i="16"/>
  <c r="M404" i="16" s="1"/>
  <c r="G404" i="20"/>
  <c r="G404" i="19"/>
  <c r="J404" i="19" s="1"/>
  <c r="G414" i="20"/>
  <c r="I414" i="16"/>
  <c r="M414" i="16" s="1"/>
  <c r="I424" i="16"/>
  <c r="M424" i="16" s="1"/>
  <c r="G424" i="20"/>
  <c r="G424" i="19"/>
  <c r="J424" i="19" s="1"/>
  <c r="I434" i="16"/>
  <c r="M434" i="16" s="1"/>
  <c r="G434" i="20"/>
  <c r="G434" i="19"/>
  <c r="I444" i="16"/>
  <c r="M444" i="16" s="1"/>
  <c r="G444" i="20"/>
  <c r="G444" i="19"/>
  <c r="J444" i="19" s="1"/>
  <c r="G454" i="20"/>
  <c r="G454" i="19"/>
  <c r="J454" i="19" s="1"/>
  <c r="I454" i="16"/>
  <c r="M454" i="16" s="1"/>
  <c r="I464" i="16"/>
  <c r="M464" i="16" s="1"/>
  <c r="G464" i="20"/>
  <c r="I474" i="16"/>
  <c r="M474" i="16" s="1"/>
  <c r="G474" i="19"/>
  <c r="J474" i="19" s="1"/>
  <c r="G474" i="20"/>
  <c r="I484" i="16"/>
  <c r="M484" i="16" s="1"/>
  <c r="G484" i="19"/>
  <c r="J484" i="19" s="1"/>
  <c r="G484" i="20"/>
  <c r="I494" i="16"/>
  <c r="M494" i="16" s="1"/>
  <c r="G494" i="20"/>
  <c r="I504" i="16"/>
  <c r="M504" i="16" s="1"/>
  <c r="G504" i="20"/>
  <c r="G504" i="19"/>
  <c r="J504" i="19" s="1"/>
  <c r="I514" i="16"/>
  <c r="M514" i="16" s="1"/>
  <c r="G514" i="20"/>
  <c r="G514" i="19"/>
  <c r="J514" i="19" s="1"/>
  <c r="I524" i="16"/>
  <c r="M524" i="16" s="1"/>
  <c r="G524" i="20"/>
  <c r="G524" i="19"/>
  <c r="J524" i="19" s="1"/>
  <c r="I534" i="16"/>
  <c r="M534" i="16" s="1"/>
  <c r="G534" i="20"/>
  <c r="G534" i="19"/>
  <c r="J534" i="19" s="1"/>
  <c r="G542" i="20"/>
  <c r="I542" i="16"/>
  <c r="M542" i="16" s="1"/>
  <c r="G542" i="19"/>
  <c r="J542" i="19" s="1"/>
  <c r="I550" i="16"/>
  <c r="M550" i="16" s="1"/>
  <c r="G550" i="20"/>
  <c r="G550" i="19"/>
  <c r="J550" i="19" s="1"/>
  <c r="I558" i="16"/>
  <c r="M558" i="16" s="1"/>
  <c r="G558" i="20"/>
  <c r="G558" i="19"/>
  <c r="J558" i="19" s="1"/>
  <c r="I566" i="16"/>
  <c r="M566" i="16" s="1"/>
  <c r="G566" i="20"/>
  <c r="G566" i="19"/>
  <c r="I574" i="16"/>
  <c r="M574" i="16" s="1"/>
  <c r="G574" i="20"/>
  <c r="I582" i="16"/>
  <c r="M582" i="16" s="1"/>
  <c r="G582" i="20"/>
  <c r="G582" i="19"/>
  <c r="J582" i="19" s="1"/>
  <c r="I590" i="16"/>
  <c r="M590" i="16" s="1"/>
  <c r="G590" i="20"/>
  <c r="G590" i="19"/>
  <c r="J590" i="19" s="1"/>
  <c r="I598" i="16"/>
  <c r="M598" i="16" s="1"/>
  <c r="G598" i="19"/>
  <c r="J598" i="19" s="1"/>
  <c r="G598" i="20"/>
  <c r="I606" i="16"/>
  <c r="M606" i="16" s="1"/>
  <c r="G606" i="20"/>
  <c r="G606" i="19"/>
  <c r="J606" i="19" s="1"/>
  <c r="I614" i="16"/>
  <c r="M614" i="16" s="1"/>
  <c r="G614" i="19"/>
  <c r="J614" i="19" s="1"/>
  <c r="G614" i="20"/>
  <c r="I622" i="16"/>
  <c r="M622" i="16" s="1"/>
  <c r="G622" i="20"/>
  <c r="G622" i="19"/>
  <c r="J622" i="19" s="1"/>
  <c r="I630" i="16"/>
  <c r="M630" i="16" s="1"/>
  <c r="G630" i="20"/>
  <c r="I638" i="16"/>
  <c r="M638" i="16" s="1"/>
  <c r="G638" i="20"/>
  <c r="G638" i="19"/>
  <c r="J638" i="19" s="1"/>
  <c r="I646" i="16"/>
  <c r="M646" i="16" s="1"/>
  <c r="G646" i="20"/>
  <c r="G646" i="19"/>
  <c r="J646" i="19" s="1"/>
  <c r="I654" i="16"/>
  <c r="M654" i="16" s="1"/>
  <c r="G654" i="19"/>
  <c r="J654" i="19" s="1"/>
  <c r="G654" i="20"/>
  <c r="I662" i="16"/>
  <c r="M662" i="16" s="1"/>
  <c r="G662" i="20"/>
  <c r="G662" i="19"/>
  <c r="J662" i="19" s="1"/>
  <c r="I670" i="16"/>
  <c r="M670" i="16" s="1"/>
  <c r="G670" i="20"/>
  <c r="G670" i="19"/>
  <c r="J670" i="19" s="1"/>
  <c r="I678" i="16"/>
  <c r="M678" i="16" s="1"/>
  <c r="G678" i="19"/>
  <c r="J678" i="19" s="1"/>
  <c r="G678" i="20"/>
  <c r="I686" i="16"/>
  <c r="M686" i="16" s="1"/>
  <c r="G686" i="20"/>
  <c r="G686" i="19"/>
  <c r="J686" i="19" s="1"/>
  <c r="I694" i="16"/>
  <c r="M694" i="16" s="1"/>
  <c r="G694" i="20"/>
  <c r="G694" i="19"/>
  <c r="J694" i="19" s="1"/>
  <c r="I702" i="16"/>
  <c r="M702" i="16" s="1"/>
  <c r="G702" i="20"/>
  <c r="G702" i="19"/>
  <c r="J702" i="19" s="1"/>
  <c r="I710" i="16"/>
  <c r="M710" i="16" s="1"/>
  <c r="G710" i="20"/>
  <c r="G710" i="19"/>
  <c r="J710" i="19" s="1"/>
  <c r="D713" i="9"/>
  <c r="I718" i="16"/>
  <c r="M718" i="16" s="1"/>
  <c r="G718" i="20"/>
  <c r="G718" i="19"/>
  <c r="I726" i="16"/>
  <c r="M726" i="16" s="1"/>
  <c r="G726" i="20"/>
  <c r="G726" i="19"/>
  <c r="J726" i="19" s="1"/>
  <c r="I734" i="16"/>
  <c r="M734" i="16" s="1"/>
  <c r="G734" i="20"/>
  <c r="G734" i="19"/>
  <c r="J734" i="19" s="1"/>
  <c r="I742" i="16"/>
  <c r="M742" i="16" s="1"/>
  <c r="G742" i="20"/>
  <c r="G742" i="19"/>
  <c r="J742" i="19" s="1"/>
  <c r="I750" i="16"/>
  <c r="M750" i="16" s="1"/>
  <c r="G750" i="20"/>
  <c r="G750" i="19"/>
  <c r="J750" i="19" s="1"/>
  <c r="I758" i="16"/>
  <c r="M758" i="16" s="1"/>
  <c r="G758" i="20"/>
  <c r="G758" i="19"/>
  <c r="J758" i="19" s="1"/>
  <c r="I766" i="16"/>
  <c r="M766" i="16" s="1"/>
  <c r="G766" i="20"/>
  <c r="I774" i="16"/>
  <c r="M774" i="16" s="1"/>
  <c r="G774" i="20"/>
  <c r="G774" i="19"/>
  <c r="J774" i="19" s="1"/>
  <c r="I782" i="16"/>
  <c r="M782" i="16" s="1"/>
  <c r="G782" i="20"/>
  <c r="G782" i="19"/>
  <c r="J782" i="19" s="1"/>
  <c r="I790" i="16"/>
  <c r="M790" i="16" s="1"/>
  <c r="G790" i="19"/>
  <c r="J790" i="19" s="1"/>
  <c r="G790" i="20"/>
  <c r="I793" i="16"/>
  <c r="M793" i="16" s="1"/>
  <c r="G793" i="20"/>
  <c r="G793" i="19"/>
  <c r="J793" i="19" s="1"/>
  <c r="I807" i="16"/>
  <c r="M807" i="16" s="1"/>
  <c r="G807" i="20"/>
  <c r="G807" i="19"/>
  <c r="J807" i="19" s="1"/>
  <c r="I813" i="16"/>
  <c r="M813" i="16" s="1"/>
  <c r="G813" i="19"/>
  <c r="J813" i="19" s="1"/>
  <c r="G813" i="20"/>
  <c r="L13" i="10"/>
  <c r="W14" i="20"/>
  <c r="AQ14" i="10"/>
  <c r="L17" i="10"/>
  <c r="K430" i="20"/>
  <c r="H778" i="20"/>
  <c r="H552" i="16"/>
  <c r="P552" i="16" s="1"/>
  <c r="H552" i="20"/>
  <c r="F552" i="19"/>
  <c r="H572" i="16"/>
  <c r="P572" i="16" s="1"/>
  <c r="H572" i="20"/>
  <c r="F572" i="19"/>
  <c r="H592" i="16"/>
  <c r="P592" i="16" s="1"/>
  <c r="H592" i="20"/>
  <c r="F592" i="19"/>
  <c r="H612" i="20"/>
  <c r="H612" i="16"/>
  <c r="P612" i="16" s="1"/>
  <c r="F612" i="19"/>
  <c r="H674" i="16"/>
  <c r="P674" i="16" s="1"/>
  <c r="H674" i="20"/>
  <c r="F674" i="19"/>
  <c r="D704" i="9"/>
  <c r="H718" i="16"/>
  <c r="P718" i="16" s="1"/>
  <c r="H718" i="20"/>
  <c r="H748" i="16"/>
  <c r="P748" i="16" s="1"/>
  <c r="H748" i="20"/>
  <c r="F748" i="19"/>
  <c r="H797" i="20"/>
  <c r="H797" i="16"/>
  <c r="P797" i="16" s="1"/>
  <c r="F797" i="19"/>
  <c r="H815" i="16"/>
  <c r="P815" i="16" s="1"/>
  <c r="H815" i="20"/>
  <c r="F815" i="19"/>
  <c r="I537" i="16"/>
  <c r="M537" i="16" s="1"/>
  <c r="G537" i="20"/>
  <c r="G537" i="19"/>
  <c r="J537" i="19" s="1"/>
  <c r="I545" i="16"/>
  <c r="M545" i="16" s="1"/>
  <c r="G545" i="20"/>
  <c r="G545" i="19"/>
  <c r="J545" i="19" s="1"/>
  <c r="I553" i="16"/>
  <c r="M553" i="16" s="1"/>
  <c r="G553" i="20"/>
  <c r="G553" i="19"/>
  <c r="J553" i="19" s="1"/>
  <c r="I561" i="16"/>
  <c r="M561" i="16" s="1"/>
  <c r="G561" i="20"/>
  <c r="G561" i="19"/>
  <c r="J561" i="19" s="1"/>
  <c r="I569" i="16"/>
  <c r="M569" i="16" s="1"/>
  <c r="G569" i="20"/>
  <c r="G569" i="19"/>
  <c r="J569" i="19" s="1"/>
  <c r="I577" i="16"/>
  <c r="M577" i="16" s="1"/>
  <c r="G577" i="20"/>
  <c r="G577" i="19"/>
  <c r="J577" i="19" s="1"/>
  <c r="I585" i="16"/>
  <c r="M585" i="16" s="1"/>
  <c r="G585" i="20"/>
  <c r="G585" i="19"/>
  <c r="J585" i="19" s="1"/>
  <c r="I593" i="16"/>
  <c r="M593" i="16" s="1"/>
  <c r="G593" i="20"/>
  <c r="G593" i="19"/>
  <c r="J593" i="19" s="1"/>
  <c r="I601" i="16"/>
  <c r="M601" i="16" s="1"/>
  <c r="G601" i="20"/>
  <c r="G601" i="19"/>
  <c r="J601" i="19" s="1"/>
  <c r="I609" i="16"/>
  <c r="M609" i="16" s="1"/>
  <c r="G609" i="20"/>
  <c r="G609" i="19"/>
  <c r="J609" i="19" s="1"/>
  <c r="I617" i="16"/>
  <c r="M617" i="16" s="1"/>
  <c r="G617" i="20"/>
  <c r="G617" i="19"/>
  <c r="J617" i="19" s="1"/>
  <c r="I625" i="16"/>
  <c r="M625" i="16" s="1"/>
  <c r="G625" i="20"/>
  <c r="G625" i="19"/>
  <c r="J625" i="19" s="1"/>
  <c r="I633" i="16"/>
  <c r="M633" i="16" s="1"/>
  <c r="G633" i="20"/>
  <c r="G633" i="19"/>
  <c r="J633" i="19" s="1"/>
  <c r="I641" i="16"/>
  <c r="M641" i="16" s="1"/>
  <c r="G641" i="19"/>
  <c r="J641" i="19" s="1"/>
  <c r="G641" i="20"/>
  <c r="I649" i="16"/>
  <c r="M649" i="16" s="1"/>
  <c r="G649" i="20"/>
  <c r="G649" i="19"/>
  <c r="J649" i="19" s="1"/>
  <c r="I657" i="16"/>
  <c r="M657" i="16" s="1"/>
  <c r="G657" i="20"/>
  <c r="G657" i="19"/>
  <c r="J657" i="19" s="1"/>
  <c r="I665" i="16"/>
  <c r="M665" i="16" s="1"/>
  <c r="G665" i="20"/>
  <c r="G665" i="19"/>
  <c r="J665" i="19" s="1"/>
  <c r="I673" i="16"/>
  <c r="M673" i="16" s="1"/>
  <c r="G673" i="20"/>
  <c r="I681" i="16"/>
  <c r="M681" i="16" s="1"/>
  <c r="G681" i="20"/>
  <c r="G681" i="19"/>
  <c r="J681" i="19" s="1"/>
  <c r="I689" i="16"/>
  <c r="M689" i="16" s="1"/>
  <c r="G689" i="20"/>
  <c r="G689" i="19"/>
  <c r="J689" i="19" s="1"/>
  <c r="I697" i="16"/>
  <c r="M697" i="16" s="1"/>
  <c r="G697" i="20"/>
  <c r="G697" i="19"/>
  <c r="J697" i="19" s="1"/>
  <c r="I705" i="16"/>
  <c r="M705" i="16" s="1"/>
  <c r="G705" i="20"/>
  <c r="G705" i="19"/>
  <c r="J705" i="19" s="1"/>
  <c r="I713" i="16"/>
  <c r="M713" i="16" s="1"/>
  <c r="G713" i="20"/>
  <c r="G713" i="19"/>
  <c r="J713" i="19" s="1"/>
  <c r="I721" i="16"/>
  <c r="M721" i="16" s="1"/>
  <c r="G721" i="20"/>
  <c r="G721" i="19"/>
  <c r="J721" i="19" s="1"/>
  <c r="I729" i="16"/>
  <c r="M729" i="16" s="1"/>
  <c r="G729" i="20"/>
  <c r="G729" i="19"/>
  <c r="J729" i="19" s="1"/>
  <c r="I737" i="16"/>
  <c r="M737" i="16" s="1"/>
  <c r="G737" i="20"/>
  <c r="G737" i="19"/>
  <c r="J737" i="19" s="1"/>
  <c r="I745" i="16"/>
  <c r="M745" i="16" s="1"/>
  <c r="G745" i="20"/>
  <c r="G745" i="19"/>
  <c r="J745" i="19" s="1"/>
  <c r="I753" i="16"/>
  <c r="M753" i="16" s="1"/>
  <c r="G753" i="20"/>
  <c r="G753" i="19"/>
  <c r="J753" i="19" s="1"/>
  <c r="I761" i="16"/>
  <c r="M761" i="16" s="1"/>
  <c r="G761" i="20"/>
  <c r="G761" i="19"/>
  <c r="J761" i="19" s="1"/>
  <c r="I769" i="16"/>
  <c r="M769" i="16" s="1"/>
  <c r="G769" i="20"/>
  <c r="G769" i="19"/>
  <c r="J769" i="19" s="1"/>
  <c r="I777" i="16"/>
  <c r="M777" i="16" s="1"/>
  <c r="G777" i="20"/>
  <c r="G777" i="19"/>
  <c r="J777" i="19" s="1"/>
  <c r="I785" i="16"/>
  <c r="M785" i="16" s="1"/>
  <c r="G785" i="20"/>
  <c r="G785" i="19"/>
  <c r="J785" i="19" s="1"/>
  <c r="L14" i="10"/>
  <c r="H550" i="16"/>
  <c r="P550" i="16" s="1"/>
  <c r="H550" i="20"/>
  <c r="H570" i="16"/>
  <c r="P570" i="16" s="1"/>
  <c r="H570" i="20"/>
  <c r="F570" i="19"/>
  <c r="H590" i="16"/>
  <c r="P590" i="16" s="1"/>
  <c r="H590" i="20"/>
  <c r="F590" i="19"/>
  <c r="H610" i="16"/>
  <c r="P610" i="16" s="1"/>
  <c r="F610" i="19"/>
  <c r="H610" i="20"/>
  <c r="H628" i="16"/>
  <c r="P628" i="16" s="1"/>
  <c r="H628" i="20"/>
  <c r="F628" i="19"/>
  <c r="H732" i="16"/>
  <c r="P732" i="16" s="1"/>
  <c r="F732" i="19"/>
  <c r="H732" i="20"/>
  <c r="H762" i="20"/>
  <c r="H762" i="16"/>
  <c r="P762" i="16" s="1"/>
  <c r="F762" i="19"/>
  <c r="H776" i="16"/>
  <c r="P776" i="16" s="1"/>
  <c r="H776" i="20"/>
  <c r="F776" i="19"/>
  <c r="H12" i="20"/>
  <c r="H12" i="16"/>
  <c r="P12" i="16" s="1"/>
  <c r="F12" i="19"/>
  <c r="H14" i="16"/>
  <c r="P14" i="16" s="1"/>
  <c r="H14" i="20"/>
  <c r="H52" i="16"/>
  <c r="P52" i="16" s="1"/>
  <c r="H52" i="20"/>
  <c r="F52" i="19"/>
  <c r="H72" i="16"/>
  <c r="P72" i="16" s="1"/>
  <c r="H72" i="20"/>
  <c r="H92" i="16"/>
  <c r="P92" i="16" s="1"/>
  <c r="H92" i="20"/>
  <c r="H112" i="16"/>
  <c r="P112" i="16" s="1"/>
  <c r="H112" i="20"/>
  <c r="H132" i="16"/>
  <c r="P132" i="16" s="1"/>
  <c r="H132" i="20"/>
  <c r="H152" i="20"/>
  <c r="H152" i="16"/>
  <c r="P152" i="16" s="1"/>
  <c r="F152" i="19"/>
  <c r="H172" i="16"/>
  <c r="P172" i="16" s="1"/>
  <c r="H172" i="20"/>
  <c r="F172" i="19"/>
  <c r="H192" i="16"/>
  <c r="P192" i="16" s="1"/>
  <c r="H192" i="20"/>
  <c r="H212" i="16"/>
  <c r="P212" i="16" s="1"/>
  <c r="H212" i="20"/>
  <c r="F212" i="19"/>
  <c r="H232" i="16"/>
  <c r="P232" i="16" s="1"/>
  <c r="H232" i="20"/>
  <c r="F232" i="19"/>
  <c r="H252" i="16"/>
  <c r="P252" i="16" s="1"/>
  <c r="H252" i="20"/>
  <c r="F252" i="19"/>
  <c r="H272" i="16"/>
  <c r="P272" i="16" s="1"/>
  <c r="H272" i="20"/>
  <c r="F272" i="19"/>
  <c r="H292" i="16"/>
  <c r="P292" i="16" s="1"/>
  <c r="H292" i="20"/>
  <c r="F292" i="19"/>
  <c r="H312" i="16"/>
  <c r="P312" i="16" s="1"/>
  <c r="H312" i="20"/>
  <c r="F312" i="19"/>
  <c r="H332" i="16"/>
  <c r="P332" i="16" s="1"/>
  <c r="F332" i="19"/>
  <c r="H332" i="20"/>
  <c r="H352" i="16"/>
  <c r="P352" i="16" s="1"/>
  <c r="H352" i="20"/>
  <c r="F352" i="19"/>
  <c r="H372" i="16"/>
  <c r="P372" i="16" s="1"/>
  <c r="H372" i="20"/>
  <c r="F372" i="19"/>
  <c r="F392" i="19"/>
  <c r="H392" i="16"/>
  <c r="P392" i="16" s="1"/>
  <c r="H392" i="20"/>
  <c r="H412" i="16"/>
  <c r="P412" i="16" s="1"/>
  <c r="H412" i="20"/>
  <c r="F412" i="19"/>
  <c r="H432" i="16"/>
  <c r="P432" i="16" s="1"/>
  <c r="H432" i="20"/>
  <c r="F432" i="19"/>
  <c r="H452" i="16"/>
  <c r="P452" i="16" s="1"/>
  <c r="H452" i="20"/>
  <c r="F452" i="19"/>
  <c r="H472" i="16"/>
  <c r="P472" i="16" s="1"/>
  <c r="H472" i="20"/>
  <c r="F472" i="19"/>
  <c r="H492" i="16"/>
  <c r="P492" i="16" s="1"/>
  <c r="H492" i="20"/>
  <c r="F492" i="19"/>
  <c r="H512" i="16"/>
  <c r="P512" i="16" s="1"/>
  <c r="F512" i="19"/>
  <c r="H512" i="20"/>
  <c r="H532" i="20"/>
  <c r="F532" i="19"/>
  <c r="H532" i="16"/>
  <c r="P532" i="16" s="1"/>
  <c r="I796" i="16"/>
  <c r="M796" i="16" s="1"/>
  <c r="G796" i="20"/>
  <c r="G796" i="19"/>
  <c r="J796" i="19" s="1"/>
  <c r="I802" i="16"/>
  <c r="M802" i="16" s="1"/>
  <c r="G802" i="20"/>
  <c r="G802" i="19"/>
  <c r="J802" i="19" s="1"/>
  <c r="I816" i="16"/>
  <c r="M816" i="16" s="1"/>
  <c r="G816" i="20"/>
  <c r="G816" i="19"/>
  <c r="J816" i="19" s="1"/>
  <c r="G822" i="20"/>
  <c r="G822" i="19"/>
  <c r="J822" i="19" s="1"/>
  <c r="W68" i="20"/>
  <c r="AC37" i="20"/>
  <c r="G64" i="19"/>
  <c r="J64" i="19" s="1"/>
  <c r="F72" i="19"/>
  <c r="I803" i="16"/>
  <c r="M803" i="16" s="1"/>
  <c r="G803" i="20"/>
  <c r="G803" i="19"/>
  <c r="J803" i="19" s="1"/>
  <c r="I823" i="16"/>
  <c r="M823" i="16" s="1"/>
  <c r="W823" i="16" s="1"/>
  <c r="G823" i="19"/>
  <c r="J823" i="19" s="1"/>
  <c r="G823" i="20"/>
  <c r="K247" i="20"/>
  <c r="I808" i="16"/>
  <c r="M808" i="16" s="1"/>
  <c r="G808" i="19"/>
  <c r="J808" i="19" s="1"/>
  <c r="G808" i="20"/>
  <c r="I22" i="16"/>
  <c r="M22" i="16" s="1"/>
  <c r="G22" i="20"/>
  <c r="I35" i="16"/>
  <c r="M35" i="16" s="1"/>
  <c r="G35" i="20"/>
  <c r="G35" i="19"/>
  <c r="J35" i="19" s="1"/>
  <c r="I797" i="16"/>
  <c r="M797" i="16" s="1"/>
  <c r="G797" i="19"/>
  <c r="J797" i="19" s="1"/>
  <c r="G797" i="20"/>
  <c r="I817" i="16"/>
  <c r="M817" i="16" s="1"/>
  <c r="G817" i="20"/>
  <c r="G817" i="19"/>
  <c r="J817" i="19" s="1"/>
  <c r="L49" i="10"/>
  <c r="I15" i="16"/>
  <c r="M15" i="16" s="1"/>
  <c r="G15" i="20"/>
  <c r="I24" i="16"/>
  <c r="M24" i="16" s="1"/>
  <c r="G24" i="20"/>
  <c r="G24" i="19"/>
  <c r="J24" i="19" s="1"/>
  <c r="I806" i="16"/>
  <c r="M806" i="16" s="1"/>
  <c r="G806" i="20"/>
  <c r="G806" i="19"/>
  <c r="J806" i="19" s="1"/>
  <c r="L59" i="10"/>
  <c r="L63" i="10"/>
  <c r="U275" i="16"/>
  <c r="Q275" i="16"/>
  <c r="I26" i="16"/>
  <c r="M26" i="16" s="1"/>
  <c r="G26" i="20"/>
  <c r="I37" i="16"/>
  <c r="M37" i="16" s="1"/>
  <c r="G37" i="20"/>
  <c r="I39" i="16"/>
  <c r="M39" i="16" s="1"/>
  <c r="G39" i="20"/>
  <c r="I795" i="16"/>
  <c r="M795" i="16" s="1"/>
  <c r="G795" i="20"/>
  <c r="G795" i="19"/>
  <c r="J795" i="19" s="1"/>
  <c r="I815" i="16"/>
  <c r="M815" i="16" s="1"/>
  <c r="G815" i="20"/>
  <c r="AB37" i="20"/>
  <c r="AB35" i="20"/>
  <c r="W2" i="20"/>
  <c r="AQ24" i="10"/>
  <c r="L48" i="16"/>
  <c r="T48" i="16"/>
  <c r="T292" i="16"/>
  <c r="L292" i="16"/>
  <c r="K44" i="20"/>
  <c r="K352" i="20"/>
  <c r="K614" i="20"/>
  <c r="L24" i="16"/>
  <c r="T24" i="16"/>
  <c r="K244" i="20"/>
  <c r="U24" i="16"/>
  <c r="Q24" i="16"/>
  <c r="AX45" i="19"/>
  <c r="K661" i="20"/>
  <c r="K633" i="20"/>
  <c r="K264" i="20"/>
  <c r="K233" i="20"/>
  <c r="T240" i="16"/>
  <c r="L240" i="16"/>
  <c r="K334" i="20"/>
  <c r="K506" i="20"/>
  <c r="AD56" i="20"/>
  <c r="K121" i="20"/>
  <c r="K604" i="20"/>
  <c r="K663" i="20"/>
  <c r="K116" i="20"/>
  <c r="K161" i="20"/>
  <c r="K296" i="20"/>
  <c r="K634" i="20"/>
  <c r="U165" i="16"/>
  <c r="Q165" i="16"/>
  <c r="K9" i="20"/>
  <c r="K12" i="20"/>
  <c r="K21" i="20"/>
  <c r="K290" i="20"/>
  <c r="K372" i="20"/>
  <c r="K541" i="20"/>
  <c r="K284" i="20"/>
  <c r="K361" i="20"/>
  <c r="K402" i="20"/>
  <c r="T219" i="16"/>
  <c r="L219" i="16"/>
  <c r="T615" i="16"/>
  <c r="L615" i="16"/>
  <c r="K297" i="20"/>
  <c r="K459" i="20"/>
  <c r="T586" i="16"/>
  <c r="L586" i="16"/>
  <c r="K45" i="20"/>
  <c r="K198" i="20"/>
  <c r="K302" i="20"/>
  <c r="K624" i="20"/>
  <c r="K797" i="20"/>
  <c r="Q51" i="16"/>
  <c r="L56" i="16"/>
  <c r="T56" i="16"/>
  <c r="U27" i="16"/>
  <c r="Q27" i="16"/>
  <c r="L286" i="16"/>
  <c r="T286" i="16"/>
  <c r="Q586" i="16"/>
  <c r="U586" i="16"/>
  <c r="K52" i="20"/>
  <c r="K411" i="20"/>
  <c r="L36" i="16"/>
  <c r="T36" i="16"/>
  <c r="T177" i="16"/>
  <c r="L177" i="16"/>
  <c r="T295" i="16"/>
  <c r="L295" i="16"/>
  <c r="K17" i="20"/>
  <c r="K276" i="20"/>
  <c r="K325" i="20"/>
  <c r="Q177" i="16"/>
  <c r="U177" i="16"/>
  <c r="K315" i="20"/>
  <c r="K704" i="20"/>
  <c r="Q23" i="16"/>
  <c r="L32" i="16"/>
  <c r="T32" i="16"/>
  <c r="U164" i="16"/>
  <c r="Q164" i="16"/>
  <c r="K20" i="20"/>
  <c r="K191" i="20"/>
  <c r="K300" i="20"/>
  <c r="K457" i="20"/>
  <c r="K537" i="20"/>
  <c r="K774" i="20"/>
  <c r="T340" i="16"/>
  <c r="L340" i="16"/>
  <c r="K196" i="20"/>
  <c r="K450" i="20"/>
  <c r="K654" i="20"/>
  <c r="K818" i="20"/>
  <c r="K58" i="20"/>
  <c r="K309" i="20"/>
  <c r="L415" i="16"/>
  <c r="T415" i="16"/>
  <c r="K362" i="20"/>
  <c r="K787" i="20"/>
  <c r="T699" i="16"/>
  <c r="L699" i="16"/>
  <c r="K330" i="20"/>
  <c r="K400" i="20"/>
  <c r="K545" i="20"/>
  <c r="T460" i="16"/>
  <c r="L460" i="16"/>
  <c r="K188" i="20"/>
  <c r="K261" i="20"/>
  <c r="K486" i="20"/>
  <c r="L45" i="16"/>
  <c r="T45" i="16"/>
  <c r="U58" i="16"/>
  <c r="Q58" i="16"/>
  <c r="U115" i="16"/>
  <c r="Q115" i="16"/>
  <c r="L454" i="16"/>
  <c r="T454" i="16"/>
  <c r="T573" i="16"/>
  <c r="K37" i="20"/>
  <c r="K439" i="20"/>
  <c r="K491" i="20"/>
  <c r="K546" i="20"/>
  <c r="U45" i="16"/>
  <c r="Q45" i="16"/>
  <c r="K51" i="20"/>
  <c r="K294" i="20"/>
  <c r="K691" i="20"/>
  <c r="K771" i="20"/>
  <c r="K437" i="20"/>
  <c r="Q57" i="16"/>
  <c r="U57" i="16"/>
  <c r="T161" i="16"/>
  <c r="L161" i="16"/>
  <c r="L470" i="16"/>
  <c r="T470" i="16"/>
  <c r="K340" i="20"/>
  <c r="K525" i="20"/>
  <c r="K552" i="20"/>
  <c r="K744" i="20"/>
  <c r="K799" i="20"/>
  <c r="U292" i="16"/>
  <c r="Q292" i="16"/>
  <c r="T304" i="16"/>
  <c r="L304" i="16"/>
  <c r="K19" i="20"/>
  <c r="K223" i="20"/>
  <c r="K390" i="20"/>
  <c r="K399" i="20"/>
  <c r="K447" i="20"/>
  <c r="K570" i="20"/>
  <c r="K794" i="20"/>
  <c r="U71" i="16"/>
  <c r="Q71" i="16"/>
  <c r="L172" i="16"/>
  <c r="T172" i="16"/>
  <c r="L451" i="16"/>
  <c r="T451" i="16"/>
  <c r="K312" i="20"/>
  <c r="Q451" i="16"/>
  <c r="U451" i="16"/>
  <c r="K270" i="20"/>
  <c r="K535" i="20"/>
  <c r="K603" i="20"/>
  <c r="K683" i="20"/>
  <c r="K739" i="20"/>
  <c r="U365" i="16"/>
  <c r="Q365" i="16"/>
  <c r="K28" i="20"/>
  <c r="K256" i="20"/>
  <c r="K299" i="20"/>
  <c r="K324" i="20"/>
  <c r="U16" i="16"/>
  <c r="Q16" i="16"/>
  <c r="L77" i="16"/>
  <c r="T77" i="16"/>
  <c r="Q301" i="16"/>
  <c r="U301" i="16"/>
  <c r="T412" i="16"/>
  <c r="L412" i="16"/>
  <c r="K432" i="20"/>
  <c r="K601" i="20"/>
  <c r="K767" i="20"/>
  <c r="Q77" i="16"/>
  <c r="U77" i="16"/>
  <c r="T400" i="16"/>
  <c r="L400" i="16"/>
  <c r="Q449" i="16"/>
  <c r="U449" i="16"/>
  <c r="K62" i="20"/>
  <c r="K243" i="20"/>
  <c r="K452" i="20"/>
  <c r="K526" i="20"/>
  <c r="K613" i="20"/>
  <c r="K741" i="20"/>
  <c r="K820" i="20"/>
  <c r="Q13" i="16"/>
  <c r="U13" i="16"/>
  <c r="K421" i="20"/>
  <c r="K542" i="20"/>
  <c r="L386" i="16"/>
  <c r="T386" i="16"/>
  <c r="K30" i="20"/>
  <c r="K32" i="20"/>
  <c r="K163" i="20"/>
  <c r="K218" i="20"/>
  <c r="K257" i="20"/>
  <c r="K387" i="20"/>
  <c r="K406" i="20"/>
  <c r="K669" i="20"/>
  <c r="Q25" i="16"/>
  <c r="U25" i="16"/>
  <c r="T51" i="16"/>
  <c r="L51" i="16"/>
  <c r="M2" i="20"/>
  <c r="J2" i="20"/>
  <c r="K213" i="20"/>
  <c r="K397" i="20"/>
  <c r="K501" i="20"/>
  <c r="K504" i="20"/>
  <c r="K576" i="20"/>
  <c r="K580" i="20"/>
  <c r="T10" i="16"/>
  <c r="L10" i="16"/>
  <c r="U137" i="16"/>
  <c r="Q137" i="16"/>
  <c r="U785" i="16"/>
  <c r="Q785" i="16"/>
  <c r="K322" i="20"/>
  <c r="K335" i="20"/>
  <c r="K364" i="20"/>
  <c r="K465" i="20"/>
  <c r="K560" i="20"/>
  <c r="K594" i="20"/>
  <c r="U80" i="16"/>
  <c r="Q80" i="16"/>
  <c r="L170" i="16"/>
  <c r="T170" i="16"/>
  <c r="K78" i="20"/>
  <c r="K123" i="20"/>
  <c r="K208" i="20"/>
  <c r="K229" i="20"/>
  <c r="K251" i="20"/>
  <c r="K344" i="20"/>
  <c r="K350" i="20"/>
  <c r="K482" i="20"/>
  <c r="K577" i="20"/>
  <c r="K822" i="20"/>
  <c r="U140" i="16"/>
  <c r="Q140" i="16"/>
  <c r="U148" i="16"/>
  <c r="Q148" i="16"/>
  <c r="Q170" i="16"/>
  <c r="U170" i="16"/>
  <c r="U280" i="16"/>
  <c r="Q280" i="16"/>
  <c r="U308" i="16"/>
  <c r="Q308" i="16"/>
  <c r="K178" i="20"/>
  <c r="K280" i="20"/>
  <c r="K332" i="20"/>
  <c r="K416" i="20"/>
  <c r="K435" i="20"/>
  <c r="K674" i="20"/>
  <c r="K760" i="20"/>
  <c r="T557" i="16"/>
  <c r="L557" i="16"/>
  <c r="Q771" i="16"/>
  <c r="K88" i="20"/>
  <c r="K475" i="20"/>
  <c r="K524" i="20"/>
  <c r="K531" i="20"/>
  <c r="K550" i="20"/>
  <c r="K719" i="20"/>
  <c r="T733" i="16"/>
  <c r="K27" i="20"/>
  <c r="K60" i="20"/>
  <c r="K557" i="20"/>
  <c r="U40" i="16"/>
  <c r="Q40" i="16"/>
  <c r="U48" i="16"/>
  <c r="Q48" i="16"/>
  <c r="T61" i="16"/>
  <c r="L61" i="16"/>
  <c r="L233" i="16"/>
  <c r="T233" i="16"/>
  <c r="U462" i="16"/>
  <c r="Q462" i="16"/>
  <c r="Q532" i="16"/>
  <c r="U532" i="16"/>
  <c r="K14" i="20"/>
  <c r="K15" i="20"/>
  <c r="K55" i="20"/>
  <c r="K370" i="20"/>
  <c r="K419" i="20"/>
  <c r="K782" i="20"/>
  <c r="L54" i="16"/>
  <c r="T54" i="16"/>
  <c r="U161" i="16"/>
  <c r="Q161" i="16"/>
  <c r="U423" i="16"/>
  <c r="Q423" i="16"/>
  <c r="U547" i="16"/>
  <c r="Q547" i="16"/>
  <c r="L636" i="16"/>
  <c r="T636" i="16"/>
  <c r="K26" i="20"/>
  <c r="K133" i="20"/>
  <c r="K326" i="20"/>
  <c r="K472" i="20"/>
  <c r="K530" i="20"/>
  <c r="K708" i="20"/>
  <c r="K711" i="20"/>
  <c r="U17" i="16"/>
  <c r="Q17" i="16"/>
  <c r="L28" i="16"/>
  <c r="T28" i="16"/>
  <c r="Q38" i="16"/>
  <c r="L75" i="16"/>
  <c r="T75" i="16"/>
  <c r="Q120" i="16"/>
  <c r="U120" i="16"/>
  <c r="L131" i="16"/>
  <c r="T131" i="16"/>
  <c r="Q203" i="16"/>
  <c r="U203" i="16"/>
  <c r="Q333" i="16"/>
  <c r="U333" i="16"/>
  <c r="K22" i="20"/>
  <c r="K49" i="20"/>
  <c r="K267" i="20"/>
  <c r="K424" i="20"/>
  <c r="K511" i="20"/>
  <c r="Q28" i="16"/>
  <c r="U28" i="16"/>
  <c r="Q75" i="16"/>
  <c r="U75" i="16"/>
  <c r="T396" i="16"/>
  <c r="L396" i="16"/>
  <c r="T419" i="16"/>
  <c r="L419" i="16"/>
  <c r="K260" i="20"/>
  <c r="K311" i="20"/>
  <c r="K484" i="20"/>
  <c r="K733" i="20"/>
  <c r="T57" i="16"/>
  <c r="L57" i="16"/>
  <c r="U337" i="16"/>
  <c r="Q337" i="16"/>
  <c r="U419" i="16"/>
  <c r="Q419" i="16"/>
  <c r="T424" i="16"/>
  <c r="L424" i="16"/>
  <c r="Q500" i="16"/>
  <c r="U500" i="16"/>
  <c r="T543" i="16"/>
  <c r="L543" i="16"/>
  <c r="U650" i="16"/>
  <c r="Q650" i="16"/>
  <c r="K314" i="20"/>
  <c r="K509" i="20"/>
  <c r="K643" i="20"/>
  <c r="K810" i="20"/>
  <c r="U37" i="16"/>
  <c r="Q37" i="16"/>
  <c r="T72" i="16"/>
  <c r="L72" i="16"/>
  <c r="Q340" i="16"/>
  <c r="U340" i="16"/>
  <c r="Q360" i="16"/>
  <c r="U360" i="16"/>
  <c r="U415" i="16"/>
  <c r="Q415" i="16"/>
  <c r="Q670" i="16"/>
  <c r="U670" i="16"/>
  <c r="K347" i="20"/>
  <c r="K464" i="20"/>
  <c r="K536" i="20"/>
  <c r="U50" i="16"/>
  <c r="Q50" i="16"/>
  <c r="Q222" i="16"/>
  <c r="U222" i="16"/>
  <c r="L453" i="16"/>
  <c r="T453" i="16"/>
  <c r="L787" i="16"/>
  <c r="T787" i="16"/>
  <c r="K250" i="20"/>
  <c r="K713" i="20"/>
  <c r="L192" i="16"/>
  <c r="T192" i="16"/>
  <c r="L261" i="16"/>
  <c r="T261" i="16"/>
  <c r="L265" i="16"/>
  <c r="T265" i="16"/>
  <c r="Q447" i="16"/>
  <c r="U447" i="16"/>
  <c r="U750" i="16"/>
  <c r="Q750" i="16"/>
  <c r="K349" i="20"/>
  <c r="K440" i="20"/>
  <c r="K520" i="20"/>
  <c r="K769" i="20"/>
  <c r="T46" i="16"/>
  <c r="L67" i="16"/>
  <c r="Q144" i="16"/>
  <c r="Q253" i="16"/>
  <c r="U253" i="16"/>
  <c r="Q265" i="16"/>
  <c r="U265" i="16"/>
  <c r="T312" i="16"/>
  <c r="L312" i="16"/>
  <c r="Q577" i="16"/>
  <c r="U577" i="16"/>
  <c r="K337" i="20"/>
  <c r="K359" i="20"/>
  <c r="K410" i="20"/>
  <c r="K469" i="20"/>
  <c r="K581" i="20"/>
  <c r="K588" i="20"/>
  <c r="K641" i="20"/>
  <c r="U35" i="16"/>
  <c r="Q35" i="16"/>
  <c r="U223" i="16"/>
  <c r="Q223" i="16"/>
  <c r="T751" i="16"/>
  <c r="L751" i="16"/>
  <c r="L788" i="16"/>
  <c r="T788" i="16"/>
  <c r="Q73" i="16"/>
  <c r="U73" i="16"/>
  <c r="U118" i="16"/>
  <c r="Q118" i="16"/>
  <c r="U142" i="16"/>
  <c r="Q142" i="16"/>
  <c r="T168" i="16"/>
  <c r="L168" i="16"/>
  <c r="T278" i="16"/>
  <c r="L278" i="16"/>
  <c r="U479" i="16"/>
  <c r="Q479" i="16"/>
  <c r="K809" i="20"/>
  <c r="U316" i="16"/>
  <c r="Q316" i="16"/>
  <c r="U398" i="16"/>
  <c r="Q398" i="16"/>
  <c r="U412" i="16"/>
  <c r="Q412" i="16"/>
  <c r="T485" i="16"/>
  <c r="L485" i="16"/>
  <c r="K305" i="20"/>
  <c r="K355" i="20"/>
  <c r="K405" i="20"/>
  <c r="K426" i="20"/>
  <c r="K678" i="20"/>
  <c r="U18" i="16"/>
  <c r="Q18" i="16"/>
  <c r="T66" i="16"/>
  <c r="L66" i="16"/>
  <c r="T76" i="16"/>
  <c r="L76" i="16"/>
  <c r="L242" i="16"/>
  <c r="T242" i="16"/>
  <c r="T259" i="16"/>
  <c r="L259" i="16"/>
  <c r="T284" i="16"/>
  <c r="L284" i="16"/>
  <c r="T409" i="16"/>
  <c r="L409" i="16"/>
  <c r="T554" i="16"/>
  <c r="L554" i="16"/>
  <c r="K547" i="20"/>
  <c r="K587" i="20"/>
  <c r="T60" i="16"/>
  <c r="L60" i="16"/>
  <c r="U76" i="16"/>
  <c r="Q76" i="16"/>
  <c r="Q138" i="16"/>
  <c r="L163" i="16"/>
  <c r="T163" i="16"/>
  <c r="T217" i="16"/>
  <c r="L217" i="16"/>
  <c r="U284" i="16"/>
  <c r="Q284" i="16"/>
  <c r="T298" i="16"/>
  <c r="L298" i="16"/>
  <c r="K807" i="20"/>
  <c r="K819" i="20"/>
  <c r="T15" i="16"/>
  <c r="L15" i="16"/>
  <c r="T39" i="16"/>
  <c r="L195" i="16"/>
  <c r="T195" i="16"/>
  <c r="L202" i="16"/>
  <c r="T202" i="16"/>
  <c r="U298" i="16"/>
  <c r="Q298" i="16"/>
  <c r="L394" i="16"/>
  <c r="T394" i="16"/>
  <c r="U473" i="16"/>
  <c r="Q473" i="16"/>
  <c r="U541" i="16"/>
  <c r="Q541" i="16"/>
  <c r="L639" i="16"/>
  <c r="T639" i="16"/>
  <c r="Q32" i="16"/>
  <c r="Q41" i="16"/>
  <c r="U41" i="16"/>
  <c r="U160" i="16"/>
  <c r="Q160" i="16"/>
  <c r="U172" i="16"/>
  <c r="Q202" i="16"/>
  <c r="U202" i="16"/>
  <c r="T238" i="16"/>
  <c r="L238" i="16"/>
  <c r="L322" i="16"/>
  <c r="T322" i="16"/>
  <c r="T349" i="16"/>
  <c r="L349" i="16"/>
  <c r="T477" i="16"/>
  <c r="L477" i="16"/>
  <c r="K757" i="20"/>
  <c r="K789" i="20"/>
  <c r="U163" i="16"/>
  <c r="Q163" i="16"/>
  <c r="Q348" i="16"/>
  <c r="U348" i="16"/>
  <c r="L474" i="16"/>
  <c r="T474" i="16"/>
  <c r="L820" i="16"/>
  <c r="T820" i="16"/>
  <c r="K779" i="20"/>
  <c r="U146" i="16"/>
  <c r="Q146" i="16"/>
  <c r="U220" i="16"/>
  <c r="Q220" i="16"/>
  <c r="Q241" i="16"/>
  <c r="U241" i="16"/>
  <c r="T318" i="16"/>
  <c r="L318" i="16"/>
  <c r="L382" i="16"/>
  <c r="T382" i="16"/>
  <c r="Q450" i="16"/>
  <c r="U450" i="16"/>
  <c r="L481" i="16"/>
  <c r="T481" i="16"/>
  <c r="U503" i="16"/>
  <c r="Q503" i="16"/>
  <c r="K585" i="20"/>
  <c r="K814" i="20"/>
  <c r="Q9" i="16"/>
  <c r="U9" i="16"/>
  <c r="U72" i="16"/>
  <c r="Q72" i="16"/>
  <c r="L79" i="16"/>
  <c r="T79" i="16"/>
  <c r="T130" i="16"/>
  <c r="L130" i="16"/>
  <c r="Q185" i="16"/>
  <c r="U185" i="16"/>
  <c r="Q200" i="16"/>
  <c r="U200" i="16"/>
  <c r="T214" i="16"/>
  <c r="L214" i="16"/>
  <c r="U238" i="16"/>
  <c r="Q238" i="16"/>
  <c r="Q242" i="16"/>
  <c r="U242" i="16"/>
  <c r="Q362" i="16"/>
  <c r="U362" i="16"/>
  <c r="U379" i="16"/>
  <c r="Q379" i="16"/>
  <c r="T618" i="16"/>
  <c r="L618" i="16"/>
  <c r="Q786" i="16"/>
  <c r="U786" i="16"/>
  <c r="U151" i="16"/>
  <c r="Q151" i="16"/>
  <c r="T183" i="16"/>
  <c r="L183" i="16"/>
  <c r="T224" i="16"/>
  <c r="L224" i="16"/>
  <c r="L232" i="16"/>
  <c r="T232" i="16"/>
  <c r="L254" i="16"/>
  <c r="T254" i="16"/>
  <c r="T338" i="16"/>
  <c r="L338" i="16"/>
  <c r="U376" i="16"/>
  <c r="Q376" i="16"/>
  <c r="U403" i="16"/>
  <c r="Q403" i="16"/>
  <c r="T512" i="16"/>
  <c r="L512" i="16"/>
  <c r="L529" i="16"/>
  <c r="T529" i="16"/>
  <c r="Q606" i="16"/>
  <c r="U606" i="16"/>
  <c r="U141" i="16"/>
  <c r="Q141" i="16"/>
  <c r="Q147" i="16"/>
  <c r="U147" i="16"/>
  <c r="U183" i="16"/>
  <c r="Q183" i="16"/>
  <c r="U232" i="16"/>
  <c r="Q232" i="16"/>
  <c r="U251" i="16"/>
  <c r="Q251" i="16"/>
  <c r="U254" i="16"/>
  <c r="Q254" i="16"/>
  <c r="L440" i="16"/>
  <c r="U456" i="16"/>
  <c r="Q483" i="16"/>
  <c r="U483" i="16"/>
  <c r="T630" i="16"/>
  <c r="L630" i="16"/>
  <c r="Q685" i="16"/>
  <c r="U685" i="16"/>
  <c r="L698" i="16"/>
  <c r="T698" i="16"/>
  <c r="U143" i="16"/>
  <c r="Q143" i="16"/>
  <c r="U418" i="16"/>
  <c r="Q418" i="16"/>
  <c r="Q440" i="16"/>
  <c r="L447" i="16"/>
  <c r="T447" i="16"/>
  <c r="T157" i="16"/>
  <c r="L157" i="16"/>
  <c r="T159" i="16"/>
  <c r="L159" i="16"/>
  <c r="U178" i="16"/>
  <c r="Q178" i="16"/>
  <c r="T216" i="16"/>
  <c r="L216" i="16"/>
  <c r="U510" i="16"/>
  <c r="Q510" i="16"/>
  <c r="L547" i="16"/>
  <c r="T547" i="16"/>
  <c r="U775" i="16"/>
  <c r="Q775" i="16"/>
  <c r="T182" i="16"/>
  <c r="L182" i="16"/>
  <c r="T294" i="16"/>
  <c r="L294" i="16"/>
  <c r="U345" i="16"/>
  <c r="Q345" i="16"/>
  <c r="Q396" i="16"/>
  <c r="U396" i="16"/>
  <c r="Q498" i="16"/>
  <c r="U498" i="16"/>
  <c r="L544" i="16"/>
  <c r="T544" i="16"/>
  <c r="T749" i="16"/>
  <c r="L749" i="16"/>
  <c r="J7" i="18"/>
  <c r="K7" i="18" s="1"/>
  <c r="L7" i="18" s="1"/>
  <c r="J5" i="18"/>
  <c r="K5" i="18" s="1"/>
  <c r="L5" i="18" s="1"/>
  <c r="Q212" i="16"/>
  <c r="U212" i="16"/>
  <c r="U303" i="16"/>
  <c r="Q303" i="16"/>
  <c r="L306" i="16"/>
  <c r="T306" i="16"/>
  <c r="T359" i="16"/>
  <c r="L359" i="16"/>
  <c r="L468" i="16"/>
  <c r="T468" i="16"/>
  <c r="U534" i="16"/>
  <c r="Q534" i="16"/>
  <c r="Q544" i="16"/>
  <c r="U544" i="16"/>
  <c r="U559" i="16"/>
  <c r="Q559" i="16"/>
  <c r="T590" i="16"/>
  <c r="L590" i="16"/>
  <c r="T633" i="16"/>
  <c r="L633" i="16"/>
  <c r="Q662" i="16"/>
  <c r="U662" i="16"/>
  <c r="U749" i="16"/>
  <c r="Q749" i="16"/>
  <c r="U78" i="16"/>
  <c r="Q78" i="16"/>
  <c r="U150" i="16"/>
  <c r="Q150" i="16"/>
  <c r="U294" i="16"/>
  <c r="T317" i="16"/>
  <c r="L317" i="16"/>
  <c r="U428" i="16"/>
  <c r="Q428" i="16"/>
  <c r="L432" i="16"/>
  <c r="T432" i="16"/>
  <c r="Q511" i="16"/>
  <c r="U511" i="16"/>
  <c r="T531" i="16"/>
  <c r="L531" i="16"/>
  <c r="L171" i="16"/>
  <c r="T171" i="16"/>
  <c r="T201" i="16"/>
  <c r="L201" i="16"/>
  <c r="U317" i="16"/>
  <c r="Q317" i="16"/>
  <c r="T324" i="16"/>
  <c r="L324" i="16"/>
  <c r="L384" i="16"/>
  <c r="T384" i="16"/>
  <c r="T428" i="16"/>
  <c r="U432" i="16"/>
  <c r="Q432" i="16"/>
  <c r="Q692" i="16"/>
  <c r="U692" i="16"/>
  <c r="J18" i="18"/>
  <c r="K18" i="18" s="1"/>
  <c r="L18" i="18" s="1"/>
  <c r="J16" i="18"/>
  <c r="K16" i="18" s="1"/>
  <c r="L16" i="18" s="1"/>
  <c r="L18" i="16"/>
  <c r="U158" i="16"/>
  <c r="Q158" i="16"/>
  <c r="T222" i="16"/>
  <c r="L222" i="16"/>
  <c r="T274" i="16"/>
  <c r="L274" i="16"/>
  <c r="T282" i="16"/>
  <c r="L282" i="16"/>
  <c r="T337" i="16"/>
  <c r="L337" i="16"/>
  <c r="L405" i="16"/>
  <c r="T405" i="16"/>
  <c r="T489" i="16"/>
  <c r="L489" i="16"/>
  <c r="T535" i="16"/>
  <c r="L535" i="16"/>
  <c r="Q587" i="16"/>
  <c r="U587" i="16"/>
  <c r="Q594" i="16"/>
  <c r="U594" i="16"/>
  <c r="Q641" i="16"/>
  <c r="U641" i="16"/>
  <c r="U208" i="16"/>
  <c r="Q208" i="16"/>
  <c r="Q234" i="16"/>
  <c r="U234" i="16"/>
  <c r="U259" i="16"/>
  <c r="Q259" i="16"/>
  <c r="Q261" i="16"/>
  <c r="U261" i="16"/>
  <c r="T280" i="16"/>
  <c r="L280" i="16"/>
  <c r="Q306" i="16"/>
  <c r="U306" i="16"/>
  <c r="Q381" i="16"/>
  <c r="U381" i="16"/>
  <c r="U393" i="16"/>
  <c r="Q393" i="16"/>
  <c r="T416" i="16"/>
  <c r="L416" i="16"/>
  <c r="U437" i="16"/>
  <c r="Q437" i="16"/>
  <c r="U454" i="16"/>
  <c r="Q454" i="16"/>
  <c r="U515" i="16"/>
  <c r="Q515" i="16"/>
  <c r="U521" i="16"/>
  <c r="Q521" i="16"/>
  <c r="Q636" i="16"/>
  <c r="U636" i="16"/>
  <c r="Q715" i="16"/>
  <c r="U715" i="16"/>
  <c r="U817" i="16"/>
  <c r="Q817" i="16"/>
  <c r="U159" i="16"/>
  <c r="Q159" i="16"/>
  <c r="L313" i="16"/>
  <c r="T313" i="16"/>
  <c r="L323" i="16"/>
  <c r="T323" i="16"/>
  <c r="T364" i="16"/>
  <c r="L364" i="16"/>
  <c r="Q382" i="16"/>
  <c r="U382" i="16"/>
  <c r="Q384" i="16"/>
  <c r="U384" i="16"/>
  <c r="L387" i="16"/>
  <c r="T387" i="16"/>
  <c r="L458" i="16"/>
  <c r="T458" i="16"/>
  <c r="U472" i="16"/>
  <c r="Q472" i="16"/>
  <c r="T679" i="16"/>
  <c r="L679" i="16"/>
  <c r="Q800" i="16"/>
  <c r="U800" i="16"/>
  <c r="T307" i="16"/>
  <c r="L307" i="16"/>
  <c r="T610" i="16"/>
  <c r="L610" i="16"/>
  <c r="U195" i="16"/>
  <c r="Q195" i="16"/>
  <c r="Q201" i="16"/>
  <c r="U201" i="16"/>
  <c r="U205" i="16"/>
  <c r="Q205" i="16"/>
  <c r="U617" i="16"/>
  <c r="Q617" i="16"/>
  <c r="T686" i="16"/>
  <c r="L686" i="16"/>
  <c r="L739" i="16"/>
  <c r="T739" i="16"/>
  <c r="Q756" i="16"/>
  <c r="Q67" i="16"/>
  <c r="U145" i="16"/>
  <c r="Q145" i="16"/>
  <c r="Q171" i="16"/>
  <c r="T302" i="16"/>
  <c r="L302" i="16"/>
  <c r="U313" i="16"/>
  <c r="Q414" i="16"/>
  <c r="U414" i="16"/>
  <c r="L452" i="16"/>
  <c r="T452" i="16"/>
  <c r="U481" i="16"/>
  <c r="L504" i="16"/>
  <c r="T504" i="16"/>
  <c r="T634" i="16"/>
  <c r="L634" i="16"/>
  <c r="U770" i="16"/>
  <c r="Q770" i="16"/>
  <c r="T248" i="16"/>
  <c r="L248" i="16"/>
  <c r="Q302" i="16"/>
  <c r="U302" i="16"/>
  <c r="Q326" i="16"/>
  <c r="Q469" i="16"/>
  <c r="U469" i="16"/>
  <c r="Q504" i="16"/>
  <c r="U504" i="16"/>
  <c r="U219" i="16"/>
  <c r="Q219" i="16"/>
  <c r="U273" i="16"/>
  <c r="Q273" i="16"/>
  <c r="T275" i="16"/>
  <c r="L275" i="16"/>
  <c r="U336" i="16"/>
  <c r="Q336" i="16"/>
  <c r="L492" i="16"/>
  <c r="T492" i="16"/>
  <c r="U535" i="16"/>
  <c r="Q535" i="16"/>
  <c r="Q554" i="16"/>
  <c r="U554" i="16"/>
  <c r="Q568" i="16"/>
  <c r="U568" i="16"/>
  <c r="Q753" i="16"/>
  <c r="U753" i="16"/>
  <c r="Q787" i="16"/>
  <c r="U787" i="16"/>
  <c r="Q798" i="16"/>
  <c r="U798" i="16"/>
  <c r="Q216" i="16"/>
  <c r="U216" i="16"/>
  <c r="L229" i="16"/>
  <c r="T229" i="16"/>
  <c r="L239" i="16"/>
  <c r="T243" i="16"/>
  <c r="L243" i="16"/>
  <c r="Q366" i="16"/>
  <c r="U366" i="16"/>
  <c r="U420" i="16"/>
  <c r="L429" i="16"/>
  <c r="T429" i="16"/>
  <c r="Q485" i="16"/>
  <c r="U485" i="16"/>
  <c r="T563" i="16"/>
  <c r="L563" i="16"/>
  <c r="L582" i="16"/>
  <c r="T582" i="16"/>
  <c r="Q687" i="16"/>
  <c r="U687" i="16"/>
  <c r="U690" i="16"/>
  <c r="Q690" i="16"/>
  <c r="Q767" i="16"/>
  <c r="U767" i="16"/>
  <c r="T194" i="16"/>
  <c r="L194" i="16"/>
  <c r="T199" i="16"/>
  <c r="L199" i="16"/>
  <c r="T204" i="16"/>
  <c r="L204" i="16"/>
  <c r="L226" i="16"/>
  <c r="T226" i="16"/>
  <c r="L258" i="16"/>
  <c r="L283" i="16"/>
  <c r="T283" i="16"/>
  <c r="U352" i="16"/>
  <c r="Q352" i="16"/>
  <c r="U374" i="16"/>
  <c r="L436" i="16"/>
  <c r="T436" i="16"/>
  <c r="L616" i="16"/>
  <c r="T616" i="16"/>
  <c r="U805" i="16"/>
  <c r="Q805" i="16"/>
  <c r="Q262" i="16"/>
  <c r="U262" i="16"/>
  <c r="U283" i="16"/>
  <c r="Q283" i="16"/>
  <c r="T372" i="16"/>
  <c r="Q436" i="16"/>
  <c r="U436" i="16"/>
  <c r="U475" i="16"/>
  <c r="Q475" i="16"/>
  <c r="U480" i="16"/>
  <c r="Q480" i="16"/>
  <c r="L597" i="16"/>
  <c r="T597" i="16"/>
  <c r="T808" i="16"/>
  <c r="U812" i="16"/>
  <c r="Q812" i="16"/>
  <c r="T255" i="16"/>
  <c r="L255" i="16"/>
  <c r="U276" i="16"/>
  <c r="Q276" i="16"/>
  <c r="T285" i="16"/>
  <c r="U293" i="16"/>
  <c r="T345" i="16"/>
  <c r="L362" i="16"/>
  <c r="T362" i="16"/>
  <c r="U391" i="16"/>
  <c r="Q391" i="16"/>
  <c r="T628" i="16"/>
  <c r="L628" i="16"/>
  <c r="L675" i="16"/>
  <c r="T675" i="16"/>
  <c r="Q703" i="16"/>
  <c r="U703" i="16"/>
  <c r="U357" i="16"/>
  <c r="Q357" i="16"/>
  <c r="L366" i="16"/>
  <c r="T366" i="16"/>
  <c r="L381" i="16"/>
  <c r="T381" i="16"/>
  <c r="T456" i="16"/>
  <c r="L456" i="16"/>
  <c r="Q492" i="16"/>
  <c r="U492" i="16"/>
  <c r="U545" i="16"/>
  <c r="Q545" i="16"/>
  <c r="T550" i="16"/>
  <c r="L550" i="16"/>
  <c r="Q592" i="16"/>
  <c r="U592" i="16"/>
  <c r="T606" i="16"/>
  <c r="L606" i="16"/>
  <c r="T673" i="16"/>
  <c r="L673" i="16"/>
  <c r="U681" i="16"/>
  <c r="Q681" i="16"/>
  <c r="T342" i="16"/>
  <c r="L342" i="16"/>
  <c r="U359" i="16"/>
  <c r="Q359" i="16"/>
  <c r="L385" i="16"/>
  <c r="T385" i="16"/>
  <c r="Q416" i="16"/>
  <c r="L446" i="16"/>
  <c r="T446" i="16"/>
  <c r="Q488" i="16"/>
  <c r="U488" i="16"/>
  <c r="Q516" i="16"/>
  <c r="U516" i="16"/>
  <c r="T602" i="16"/>
  <c r="L602" i="16"/>
  <c r="T609" i="16"/>
  <c r="L609" i="16"/>
  <c r="Q637" i="16"/>
  <c r="L668" i="16"/>
  <c r="T690" i="16"/>
  <c r="L690" i="16"/>
  <c r="T729" i="16"/>
  <c r="L729" i="16"/>
  <c r="U751" i="16"/>
  <c r="Q751" i="16"/>
  <c r="Q323" i="16"/>
  <c r="U323" i="16"/>
  <c r="L346" i="16"/>
  <c r="T346" i="16"/>
  <c r="Q361" i="16"/>
  <c r="U361" i="16"/>
  <c r="Q397" i="16"/>
  <c r="U471" i="16"/>
  <c r="Q471" i="16"/>
  <c r="L482" i="16"/>
  <c r="T482" i="16"/>
  <c r="Q499" i="16"/>
  <c r="U499" i="16"/>
  <c r="L509" i="16"/>
  <c r="T509" i="16"/>
  <c r="T804" i="16"/>
  <c r="L804" i="16"/>
  <c r="Q363" i="16"/>
  <c r="U363" i="16"/>
  <c r="L368" i="16"/>
  <c r="Q435" i="16"/>
  <c r="U435" i="16"/>
  <c r="Q484" i="16"/>
  <c r="U484" i="16"/>
  <c r="L493" i="16"/>
  <c r="T493" i="16"/>
  <c r="U514" i="16"/>
  <c r="Q514" i="16"/>
  <c r="U558" i="16"/>
  <c r="Q558" i="16"/>
  <c r="L624" i="16"/>
  <c r="T624" i="16"/>
  <c r="Q632" i="16"/>
  <c r="U632" i="16"/>
  <c r="U658" i="16"/>
  <c r="Q658" i="16"/>
  <c r="U688" i="16"/>
  <c r="Q688" i="16"/>
  <c r="T693" i="16"/>
  <c r="L693" i="16"/>
  <c r="L727" i="16"/>
  <c r="T727" i="16"/>
  <c r="Q743" i="16"/>
  <c r="U743" i="16"/>
  <c r="T776" i="16"/>
  <c r="L776" i="16"/>
  <c r="L234" i="16"/>
  <c r="T234" i="16"/>
  <c r="Q318" i="16"/>
  <c r="U339" i="16"/>
  <c r="Q339" i="16"/>
  <c r="L356" i="16"/>
  <c r="T389" i="16"/>
  <c r="L389" i="16"/>
  <c r="T408" i="16"/>
  <c r="L408" i="16"/>
  <c r="Q429" i="16"/>
  <c r="L441" i="16"/>
  <c r="U493" i="16"/>
  <c r="Q493" i="16"/>
  <c r="L532" i="16"/>
  <c r="T532" i="16"/>
  <c r="U539" i="16"/>
  <c r="Q539" i="16"/>
  <c r="U588" i="16"/>
  <c r="Q588" i="16"/>
  <c r="T617" i="16"/>
  <c r="L617" i="16"/>
  <c r="Q648" i="16"/>
  <c r="U648" i="16"/>
  <c r="U792" i="16"/>
  <c r="Q792" i="16"/>
  <c r="U319" i="16"/>
  <c r="Q319" i="16"/>
  <c r="Q458" i="16"/>
  <c r="U458" i="16"/>
  <c r="L462" i="16"/>
  <c r="T462" i="16"/>
  <c r="L502" i="16"/>
  <c r="T502" i="16"/>
  <c r="T725" i="16"/>
  <c r="L725" i="16"/>
  <c r="U734" i="16"/>
  <c r="Q734" i="16"/>
  <c r="T785" i="16"/>
  <c r="L785" i="16"/>
  <c r="Q814" i="16"/>
  <c r="U814" i="16"/>
  <c r="T817" i="16"/>
  <c r="L817" i="16"/>
  <c r="U582" i="16"/>
  <c r="Q582" i="16"/>
  <c r="Q194" i="16"/>
  <c r="Q239" i="16"/>
  <c r="T281" i="16"/>
  <c r="L281" i="16"/>
  <c r="Q295" i="16"/>
  <c r="U364" i="16"/>
  <c r="Q364" i="16"/>
  <c r="U386" i="16"/>
  <c r="Q386" i="16"/>
  <c r="L425" i="16"/>
  <c r="T425" i="16"/>
  <c r="L603" i="16"/>
  <c r="T603" i="16"/>
  <c r="L655" i="16"/>
  <c r="T655" i="16"/>
  <c r="T682" i="16"/>
  <c r="L682" i="16"/>
  <c r="T793" i="16"/>
  <c r="L793" i="16"/>
  <c r="T262" i="16"/>
  <c r="T380" i="16"/>
  <c r="L380" i="16"/>
  <c r="T392" i="16"/>
  <c r="L392" i="16"/>
  <c r="U549" i="16"/>
  <c r="Q549" i="16"/>
  <c r="Q655" i="16"/>
  <c r="U655" i="16"/>
  <c r="U682" i="16"/>
  <c r="Q682" i="16"/>
  <c r="U710" i="16"/>
  <c r="Q710" i="16"/>
  <c r="L764" i="16"/>
  <c r="T361" i="16"/>
  <c r="L361" i="16"/>
  <c r="U373" i="16"/>
  <c r="Q373" i="16"/>
  <c r="T488" i="16"/>
  <c r="L488" i="16"/>
  <c r="U496" i="16"/>
  <c r="Q496" i="16"/>
  <c r="U524" i="16"/>
  <c r="Q524" i="16"/>
  <c r="U576" i="16"/>
  <c r="Q576" i="16"/>
  <c r="Q599" i="16"/>
  <c r="U599" i="16"/>
  <c r="L651" i="16"/>
  <c r="T651" i="16"/>
  <c r="Q666" i="16"/>
  <c r="Q684" i="16"/>
  <c r="Q723" i="16"/>
  <c r="U723" i="16"/>
  <c r="T809" i="16"/>
  <c r="L809" i="16"/>
  <c r="J8" i="18"/>
  <c r="K8" i="18" s="1"/>
  <c r="L8" i="18" s="1"/>
  <c r="J10" i="18"/>
  <c r="K10" i="18" s="1"/>
  <c r="T414" i="16"/>
  <c r="L414" i="16"/>
  <c r="L647" i="16"/>
  <c r="T647" i="16"/>
  <c r="Q668" i="16"/>
  <c r="U668" i="16"/>
  <c r="L704" i="16"/>
  <c r="T704" i="16"/>
  <c r="U279" i="16"/>
  <c r="Q279" i="16"/>
  <c r="T360" i="16"/>
  <c r="L360" i="16"/>
  <c r="L438" i="16"/>
  <c r="T438" i="16"/>
  <c r="U585" i="16"/>
  <c r="Q585" i="16"/>
  <c r="U642" i="16"/>
  <c r="Q642" i="16"/>
  <c r="T754" i="16"/>
  <c r="L754" i="16"/>
  <c r="L813" i="16"/>
  <c r="T813" i="16"/>
  <c r="Q258" i="16"/>
  <c r="U282" i="16"/>
  <c r="T303" i="16"/>
  <c r="Q342" i="16"/>
  <c r="U342" i="16"/>
  <c r="T431" i="16"/>
  <c r="L445" i="16"/>
  <c r="T445" i="16"/>
  <c r="L448" i="16"/>
  <c r="T448" i="16"/>
  <c r="L553" i="16"/>
  <c r="T553" i="16"/>
  <c r="L623" i="16"/>
  <c r="U707" i="16"/>
  <c r="Q707" i="16"/>
  <c r="T709" i="16"/>
  <c r="L709" i="16"/>
  <c r="L761" i="16"/>
  <c r="L796" i="16"/>
  <c r="T796" i="16"/>
  <c r="Q813" i="16"/>
  <c r="U813" i="16"/>
  <c r="T822" i="16"/>
  <c r="L822" i="16"/>
  <c r="U299" i="16"/>
  <c r="Q299" i="16"/>
  <c r="L388" i="16"/>
  <c r="L542" i="16"/>
  <c r="T542" i="16"/>
  <c r="Q598" i="16"/>
  <c r="T650" i="16"/>
  <c r="L650" i="16"/>
  <c r="U709" i="16"/>
  <c r="Q709" i="16"/>
  <c r="L736" i="16"/>
  <c r="T736" i="16"/>
  <c r="L781" i="16"/>
  <c r="T781" i="16"/>
  <c r="U819" i="16"/>
  <c r="Q819" i="16"/>
  <c r="Q822" i="16"/>
  <c r="U822" i="16"/>
  <c r="U697" i="16"/>
  <c r="Q697" i="16"/>
  <c r="T748" i="16"/>
  <c r="L748" i="16"/>
  <c r="Q408" i="16"/>
  <c r="T526" i="16"/>
  <c r="L526" i="16"/>
  <c r="Q741" i="16"/>
  <c r="U778" i="16"/>
  <c r="Q778" i="16"/>
  <c r="T433" i="16"/>
  <c r="L433" i="16"/>
  <c r="T437" i="16"/>
  <c r="U455" i="16"/>
  <c r="Q455" i="16"/>
  <c r="Q518" i="16"/>
  <c r="U518" i="16"/>
  <c r="Q607" i="16"/>
  <c r="U607" i="16"/>
  <c r="T687" i="16"/>
  <c r="Q701" i="16"/>
  <c r="U701" i="16"/>
  <c r="U724" i="16"/>
  <c r="Q772" i="16"/>
  <c r="U772" i="16"/>
  <c r="J25" i="18"/>
  <c r="K25" i="18" s="1"/>
  <c r="L25" i="18" s="1"/>
  <c r="T427" i="16"/>
  <c r="T549" i="16"/>
  <c r="L549" i="16"/>
  <c r="L558" i="16"/>
  <c r="L691" i="16"/>
  <c r="T691" i="16"/>
  <c r="Q747" i="16"/>
  <c r="U747" i="16"/>
  <c r="L567" i="16"/>
  <c r="T567" i="16"/>
  <c r="Q716" i="16"/>
  <c r="U716" i="16"/>
  <c r="U796" i="16"/>
  <c r="Q796" i="16"/>
  <c r="Q628" i="16"/>
  <c r="Q706" i="16"/>
  <c r="Q729" i="16"/>
  <c r="U563" i="16"/>
  <c r="T576" i="16"/>
  <c r="T593" i="16"/>
  <c r="L513" i="16"/>
  <c r="T513" i="16"/>
  <c r="T799" i="16"/>
  <c r="L799" i="16"/>
  <c r="U806" i="16"/>
  <c r="Q806" i="16"/>
  <c r="J11" i="18"/>
  <c r="K11" i="18" s="1"/>
  <c r="L11" i="18" s="1"/>
  <c r="J9" i="18"/>
  <c r="K9" i="18" s="1"/>
  <c r="L9" i="18" s="1"/>
  <c r="T816" i="16"/>
  <c r="L816" i="16"/>
  <c r="O5" i="18"/>
  <c r="O6" i="18"/>
  <c r="O25" i="18"/>
  <c r="T716" i="16"/>
  <c r="L810" i="16"/>
  <c r="T810" i="16"/>
  <c r="O8" i="18"/>
  <c r="L21" i="18"/>
  <c r="U567" i="16"/>
  <c r="T599" i="16"/>
  <c r="T771" i="16"/>
  <c r="L771" i="16"/>
  <c r="L780" i="16"/>
  <c r="T780" i="16"/>
  <c r="T792" i="16"/>
  <c r="L792" i="16"/>
  <c r="L819" i="16"/>
  <c r="T819" i="16"/>
  <c r="O30" i="18"/>
  <c r="T778" i="16"/>
  <c r="O9" i="18"/>
  <c r="J12" i="18"/>
  <c r="K12" i="18" s="1"/>
  <c r="L12" i="18" s="1"/>
  <c r="J17" i="18"/>
  <c r="K17" i="18" s="1"/>
  <c r="L17" i="18" s="1"/>
  <c r="O28" i="18"/>
  <c r="J20" i="18"/>
  <c r="K20" i="18" s="1"/>
  <c r="L20" i="18" s="1"/>
  <c r="B809" i="11" l="1"/>
  <c r="L809" i="9"/>
  <c r="B808" i="11"/>
  <c r="L808" i="9"/>
  <c r="L46" i="9"/>
  <c r="B46" i="11"/>
  <c r="B27" i="11"/>
  <c r="L27" i="9"/>
  <c r="A684" i="19"/>
  <c r="L815" i="9"/>
  <c r="B815" i="11"/>
  <c r="L737" i="9"/>
  <c r="B737" i="11"/>
  <c r="L283" i="9"/>
  <c r="B283" i="11"/>
  <c r="B649" i="11"/>
  <c r="L649" i="9"/>
  <c r="B13" i="11"/>
  <c r="L13" i="9"/>
  <c r="L664" i="9"/>
  <c r="B664" i="11"/>
  <c r="B589" i="11"/>
  <c r="L589" i="9"/>
  <c r="A684" i="20"/>
  <c r="L536" i="9"/>
  <c r="B536" i="11"/>
  <c r="L339" i="9"/>
  <c r="B339" i="11"/>
  <c r="B593" i="11"/>
  <c r="L593" i="9"/>
  <c r="B631" i="11"/>
  <c r="L631" i="9"/>
  <c r="L570" i="9"/>
  <c r="B570" i="11"/>
  <c r="L661" i="9"/>
  <c r="B661" i="11"/>
  <c r="B217" i="11"/>
  <c r="L217" i="9"/>
  <c r="L456" i="9"/>
  <c r="B456" i="11"/>
  <c r="AU19" i="10"/>
  <c r="O19" i="10"/>
  <c r="AN19" i="10"/>
  <c r="Q19" i="20" s="1"/>
  <c r="AN24" i="10"/>
  <c r="Q24" i="20" s="1"/>
  <c r="AU24" i="10"/>
  <c r="L377" i="9"/>
  <c r="B377" i="11"/>
  <c r="B769" i="11"/>
  <c r="L769" i="9"/>
  <c r="AN67" i="10"/>
  <c r="Q67" i="20" s="1"/>
  <c r="O67" i="10"/>
  <c r="F28" i="18" s="1"/>
  <c r="H28" i="18" s="1"/>
  <c r="AU67" i="10"/>
  <c r="L260" i="9"/>
  <c r="B260" i="11"/>
  <c r="L563" i="9"/>
  <c r="B563" i="11"/>
  <c r="B20" i="11"/>
  <c r="L20" i="9"/>
  <c r="L517" i="9"/>
  <c r="B517" i="11"/>
  <c r="L244" i="9"/>
  <c r="B244" i="11"/>
  <c r="AU64" i="10"/>
  <c r="AN64" i="10"/>
  <c r="Q64" i="20" s="1"/>
  <c r="O64" i="10"/>
  <c r="F25" i="18" s="1"/>
  <c r="H25" i="18" s="1"/>
  <c r="B32" i="11"/>
  <c r="L32" i="9"/>
  <c r="L436" i="9"/>
  <c r="B436" i="11"/>
  <c r="L329" i="9"/>
  <c r="B329" i="11"/>
  <c r="A680" i="20"/>
  <c r="L290" i="9"/>
  <c r="B290" i="11"/>
  <c r="L464" i="9"/>
  <c r="B464" i="11"/>
  <c r="L320" i="9"/>
  <c r="B320" i="11"/>
  <c r="L176" i="9"/>
  <c r="B176" i="11"/>
  <c r="O25" i="10"/>
  <c r="AU25" i="10"/>
  <c r="AN25" i="10"/>
  <c r="Q25" i="20" s="1"/>
  <c r="L519" i="9"/>
  <c r="B789" i="11"/>
  <c r="L789" i="9"/>
  <c r="B609" i="11"/>
  <c r="L609" i="9"/>
  <c r="B820" i="19"/>
  <c r="L134" i="9"/>
  <c r="B134" i="11"/>
  <c r="L16" i="9"/>
  <c r="B16" i="11"/>
  <c r="B513" i="11"/>
  <c r="L513" i="9"/>
  <c r="B185" i="11"/>
  <c r="L185" i="9"/>
  <c r="L249" i="9"/>
  <c r="B249" i="11"/>
  <c r="C7" i="6"/>
  <c r="B89" i="11"/>
  <c r="B95" i="11"/>
  <c r="L95" i="9"/>
  <c r="B797" i="11"/>
  <c r="L797" i="9"/>
  <c r="B759" i="11"/>
  <c r="L759" i="9"/>
  <c r="M550" i="19"/>
  <c r="M92" i="19"/>
  <c r="B79" i="11"/>
  <c r="F608" i="20"/>
  <c r="O22" i="10"/>
  <c r="AU22" i="10"/>
  <c r="AN22" i="10"/>
  <c r="Q22" i="20" s="1"/>
  <c r="U42" i="10"/>
  <c r="AU68" i="10"/>
  <c r="AN68" i="10"/>
  <c r="Q68" i="20" s="1"/>
  <c r="O68" i="10"/>
  <c r="F29" i="18" s="1"/>
  <c r="H29" i="18" s="1"/>
  <c r="O15" i="10"/>
  <c r="AU15" i="10"/>
  <c r="AN15" i="10"/>
  <c r="Q15" i="20" s="1"/>
  <c r="L146" i="9"/>
  <c r="B146" i="11"/>
  <c r="B403" i="19"/>
  <c r="B403" i="20"/>
  <c r="AL403" i="20" s="1"/>
  <c r="L199" i="9"/>
  <c r="B199" i="11"/>
  <c r="M192" i="19"/>
  <c r="O36" i="10"/>
  <c r="AN36" i="10"/>
  <c r="Q36" i="20" s="1"/>
  <c r="AU36" i="10"/>
  <c r="L123" i="9"/>
  <c r="B123" i="11"/>
  <c r="M112" i="19"/>
  <c r="A669" i="16"/>
  <c r="A669" i="19"/>
  <c r="A669" i="20"/>
  <c r="B522" i="20"/>
  <c r="AL522" i="20" s="1"/>
  <c r="B522" i="19"/>
  <c r="A235" i="16"/>
  <c r="A235" i="20"/>
  <c r="A235" i="19"/>
  <c r="J34" i="20"/>
  <c r="M34" i="20"/>
  <c r="C164" i="16"/>
  <c r="E164" i="19"/>
  <c r="F164" i="20"/>
  <c r="J805" i="20"/>
  <c r="M805" i="20"/>
  <c r="L455" i="20"/>
  <c r="I455" i="20"/>
  <c r="S145" i="16"/>
  <c r="O145" i="16"/>
  <c r="K145" i="16"/>
  <c r="J471" i="20"/>
  <c r="M471" i="20"/>
  <c r="I710" i="19"/>
  <c r="M710" i="19"/>
  <c r="K541" i="16"/>
  <c r="S541" i="16"/>
  <c r="O541" i="16"/>
  <c r="A725" i="16"/>
  <c r="A725" i="20"/>
  <c r="A725" i="19"/>
  <c r="M609" i="20"/>
  <c r="J609" i="20"/>
  <c r="M379" i="19"/>
  <c r="I379" i="19"/>
  <c r="A361" i="16"/>
  <c r="A361" i="20"/>
  <c r="A361" i="19"/>
  <c r="J666" i="20"/>
  <c r="M666" i="20"/>
  <c r="H768" i="16"/>
  <c r="P768" i="16" s="1"/>
  <c r="F768" i="19"/>
  <c r="H768" i="20"/>
  <c r="M540" i="19"/>
  <c r="I540" i="19"/>
  <c r="A465" i="16"/>
  <c r="A465" i="20"/>
  <c r="A465" i="19"/>
  <c r="A125" i="20"/>
  <c r="A125" i="16"/>
  <c r="A125" i="19"/>
  <c r="B222" i="20"/>
  <c r="AL222" i="20" s="1"/>
  <c r="B222" i="19"/>
  <c r="B65" i="11"/>
  <c r="L65" i="9"/>
  <c r="A482" i="16"/>
  <c r="A482" i="20"/>
  <c r="A482" i="19"/>
  <c r="A382" i="16"/>
  <c r="A382" i="20"/>
  <c r="A382" i="19"/>
  <c r="B455" i="11"/>
  <c r="L455" i="9"/>
  <c r="J349" i="20"/>
  <c r="M349" i="20"/>
  <c r="J256" i="20"/>
  <c r="M256" i="20"/>
  <c r="B645" i="11"/>
  <c r="L645" i="9"/>
  <c r="M179" i="20"/>
  <c r="J179" i="20"/>
  <c r="O821" i="16"/>
  <c r="S821" i="16"/>
  <c r="K821" i="16"/>
  <c r="J704" i="20"/>
  <c r="M704" i="20"/>
  <c r="I336" i="19"/>
  <c r="M336" i="19"/>
  <c r="J785" i="20"/>
  <c r="M785" i="20"/>
  <c r="M569" i="20"/>
  <c r="J569" i="20"/>
  <c r="I780" i="19"/>
  <c r="M780" i="19"/>
  <c r="A689" i="16"/>
  <c r="A689" i="20"/>
  <c r="A689" i="19"/>
  <c r="A359" i="16"/>
  <c r="A359" i="20"/>
  <c r="A359" i="19"/>
  <c r="B202" i="20"/>
  <c r="AL202" i="20" s="1"/>
  <c r="B202" i="19"/>
  <c r="B85" i="11"/>
  <c r="L85" i="9"/>
  <c r="I668" i="19"/>
  <c r="M668" i="19"/>
  <c r="L635" i="9"/>
  <c r="B635" i="11"/>
  <c r="H624" i="16"/>
  <c r="P624" i="16" s="1"/>
  <c r="H624" i="20"/>
  <c r="F624" i="19"/>
  <c r="I665" i="19"/>
  <c r="M665" i="19"/>
  <c r="K771" i="16"/>
  <c r="O771" i="16"/>
  <c r="S771" i="16"/>
  <c r="M11" i="20"/>
  <c r="J11" i="20"/>
  <c r="B770" i="16"/>
  <c r="E770" i="20"/>
  <c r="AM770" i="20" s="1"/>
  <c r="B709" i="16"/>
  <c r="E709" i="20"/>
  <c r="AM709" i="20" s="1"/>
  <c r="C635" i="16"/>
  <c r="F635" i="20"/>
  <c r="E635" i="19"/>
  <c r="C440" i="16"/>
  <c r="F440" i="20"/>
  <c r="E440" i="19"/>
  <c r="B262" i="20"/>
  <c r="AL262" i="20" s="1"/>
  <c r="B262" i="19"/>
  <c r="B285" i="11"/>
  <c r="L285" i="9"/>
  <c r="I565" i="19"/>
  <c r="M565" i="19"/>
  <c r="J346" i="20"/>
  <c r="M346" i="20"/>
  <c r="B391" i="16"/>
  <c r="E391" i="20"/>
  <c r="AM391" i="20" s="1"/>
  <c r="H467" i="16"/>
  <c r="P467" i="16" s="1"/>
  <c r="H467" i="20"/>
  <c r="F467" i="19"/>
  <c r="L236" i="9"/>
  <c r="B236" i="11"/>
  <c r="M741" i="20"/>
  <c r="J741" i="20"/>
  <c r="M592" i="20"/>
  <c r="J592" i="20"/>
  <c r="M176" i="20"/>
  <c r="J176" i="20"/>
  <c r="L88" i="20"/>
  <c r="I88" i="20"/>
  <c r="L274" i="19"/>
  <c r="K274" i="19"/>
  <c r="H274" i="19"/>
  <c r="H413" i="16"/>
  <c r="P413" i="16" s="1"/>
  <c r="H413" i="20"/>
  <c r="F413" i="19"/>
  <c r="M307" i="20"/>
  <c r="J307" i="20"/>
  <c r="B396" i="16"/>
  <c r="E396" i="20"/>
  <c r="AM396" i="20" s="1"/>
  <c r="M6" i="19"/>
  <c r="I6" i="19"/>
  <c r="B627" i="16"/>
  <c r="E627" i="20"/>
  <c r="AM627" i="20" s="1"/>
  <c r="B211" i="16"/>
  <c r="E211" i="20"/>
  <c r="AM211" i="20" s="1"/>
  <c r="B13" i="16"/>
  <c r="E13" i="20"/>
  <c r="AM13" i="20" s="1"/>
  <c r="A451" i="16"/>
  <c r="A451" i="20"/>
  <c r="A451" i="19"/>
  <c r="C84" i="16"/>
  <c r="F84" i="20"/>
  <c r="E84" i="19"/>
  <c r="M617" i="20"/>
  <c r="J617" i="20"/>
  <c r="M360" i="20"/>
  <c r="J360" i="20"/>
  <c r="H644" i="16"/>
  <c r="P644" i="16" s="1"/>
  <c r="F644" i="19"/>
  <c r="H644" i="20"/>
  <c r="A769" i="16"/>
  <c r="A769" i="20"/>
  <c r="A769" i="19"/>
  <c r="A349" i="16"/>
  <c r="A349" i="20"/>
  <c r="A349" i="19"/>
  <c r="A99" i="16"/>
  <c r="A99" i="20"/>
  <c r="A99" i="19"/>
  <c r="B182" i="20"/>
  <c r="AL182" i="20" s="1"/>
  <c r="B182" i="19"/>
  <c r="A16" i="20"/>
  <c r="A16" i="16"/>
  <c r="A16" i="19"/>
  <c r="M56" i="20"/>
  <c r="J56" i="20"/>
  <c r="I97" i="19"/>
  <c r="M97" i="19"/>
  <c r="B675" i="11"/>
  <c r="L675" i="9"/>
  <c r="B495" i="11"/>
  <c r="L495" i="9"/>
  <c r="L595" i="9"/>
  <c r="B595" i="11"/>
  <c r="B275" i="11"/>
  <c r="L275" i="9"/>
  <c r="A165" i="16"/>
  <c r="A165" i="20"/>
  <c r="A165" i="19"/>
  <c r="L198" i="20"/>
  <c r="I198" i="20"/>
  <c r="B478" i="16"/>
  <c r="E478" i="20"/>
  <c r="AM478" i="20" s="1"/>
  <c r="L781" i="19"/>
  <c r="K781" i="19"/>
  <c r="H781" i="19"/>
  <c r="I301" i="19"/>
  <c r="M301" i="19"/>
  <c r="A664" i="16"/>
  <c r="A664" i="20"/>
  <c r="A664" i="19"/>
  <c r="B535" i="16"/>
  <c r="E535" i="20"/>
  <c r="AM535" i="20" s="1"/>
  <c r="A437" i="16"/>
  <c r="A437" i="20"/>
  <c r="A437" i="19"/>
  <c r="L64" i="9"/>
  <c r="B64" i="11"/>
  <c r="S88" i="16"/>
  <c r="O88" i="16"/>
  <c r="K88" i="16"/>
  <c r="J680" i="20"/>
  <c r="M680" i="20"/>
  <c r="L787" i="9"/>
  <c r="B787" i="11"/>
  <c r="S661" i="16"/>
  <c r="O661" i="16"/>
  <c r="K661" i="16"/>
  <c r="M178" i="20"/>
  <c r="J178" i="20"/>
  <c r="J777" i="20"/>
  <c r="M777" i="20"/>
  <c r="J561" i="20"/>
  <c r="M561" i="20"/>
  <c r="J246" i="20"/>
  <c r="M246" i="20"/>
  <c r="M83" i="20"/>
  <c r="J83" i="20"/>
  <c r="H87" i="16"/>
  <c r="P87" i="16" s="1"/>
  <c r="H87" i="20"/>
  <c r="F87" i="19"/>
  <c r="A679" i="20"/>
  <c r="A679" i="16"/>
  <c r="A679" i="19"/>
  <c r="A589" i="16"/>
  <c r="A589" i="20"/>
  <c r="A589" i="19"/>
  <c r="E345" i="20"/>
  <c r="AM345" i="20" s="1"/>
  <c r="B345" i="16"/>
  <c r="A279" i="16"/>
  <c r="A279" i="20"/>
  <c r="A279" i="19"/>
  <c r="B542" i="20"/>
  <c r="AL542" i="20" s="1"/>
  <c r="B542" i="19"/>
  <c r="M293" i="20"/>
  <c r="J293" i="20"/>
  <c r="M185" i="20"/>
  <c r="J185" i="20"/>
  <c r="B242" i="20"/>
  <c r="AL242" i="20" s="1"/>
  <c r="B242" i="19"/>
  <c r="B115" i="11"/>
  <c r="L115" i="9"/>
  <c r="A802" i="16"/>
  <c r="A802" i="20"/>
  <c r="A802" i="19"/>
  <c r="A492" i="16"/>
  <c r="A492" i="20"/>
  <c r="A492" i="19"/>
  <c r="A392" i="16"/>
  <c r="A392" i="20"/>
  <c r="A392" i="19"/>
  <c r="B665" i="11"/>
  <c r="L665" i="9"/>
  <c r="H545" i="16"/>
  <c r="P545" i="16" s="1"/>
  <c r="F545" i="19"/>
  <c r="H545" i="20"/>
  <c r="H821" i="19"/>
  <c r="L821" i="19"/>
  <c r="K821" i="19"/>
  <c r="L585" i="9"/>
  <c r="B585" i="11"/>
  <c r="B165" i="11"/>
  <c r="L165" i="9"/>
  <c r="I582" i="19"/>
  <c r="M582" i="19"/>
  <c r="H703" i="16"/>
  <c r="P703" i="16" s="1"/>
  <c r="H703" i="20"/>
  <c r="F703" i="19"/>
  <c r="O198" i="16"/>
  <c r="S198" i="16"/>
  <c r="K198" i="16"/>
  <c r="J419" i="20"/>
  <c r="M419" i="20"/>
  <c r="I301" i="20"/>
  <c r="L301" i="20"/>
  <c r="B433" i="11"/>
  <c r="L433" i="9"/>
  <c r="A331" i="16"/>
  <c r="A331" i="20"/>
  <c r="A331" i="19"/>
  <c r="C68" i="16"/>
  <c r="F68" i="20"/>
  <c r="E68" i="19"/>
  <c r="M570" i="20"/>
  <c r="J570" i="20"/>
  <c r="M672" i="20"/>
  <c r="J672" i="20"/>
  <c r="C351" i="16"/>
  <c r="F351" i="20"/>
  <c r="E351" i="19"/>
  <c r="M721" i="20"/>
  <c r="J721" i="20"/>
  <c r="J665" i="20"/>
  <c r="M665" i="20"/>
  <c r="I343" i="19"/>
  <c r="M343" i="19"/>
  <c r="A759" i="16"/>
  <c r="A759" i="20"/>
  <c r="A759" i="19"/>
  <c r="A89" i="16"/>
  <c r="A89" i="20"/>
  <c r="A89" i="19"/>
  <c r="B332" i="20"/>
  <c r="AL332" i="20" s="1"/>
  <c r="B332" i="19"/>
  <c r="B172" i="20"/>
  <c r="AL172" i="20" s="1"/>
  <c r="B172" i="19"/>
  <c r="B722" i="20"/>
  <c r="AL722" i="20" s="1"/>
  <c r="B722" i="19"/>
  <c r="B622" i="19"/>
  <c r="B622" i="20"/>
  <c r="AL622" i="20" s="1"/>
  <c r="B442" i="20"/>
  <c r="AL442" i="20" s="1"/>
  <c r="B442" i="19"/>
  <c r="B75" i="11"/>
  <c r="L75" i="9"/>
  <c r="A75" i="16"/>
  <c r="A75" i="20"/>
  <c r="A75" i="19"/>
  <c r="A62" i="16"/>
  <c r="A62" i="20"/>
  <c r="A62" i="19"/>
  <c r="B655" i="11"/>
  <c r="L655" i="9"/>
  <c r="M464" i="19"/>
  <c r="I464" i="19"/>
  <c r="L821" i="20"/>
  <c r="I821" i="20"/>
  <c r="B145" i="11"/>
  <c r="L145" i="9"/>
  <c r="A155" i="16"/>
  <c r="A155" i="20"/>
  <c r="A155" i="19"/>
  <c r="J676" i="20"/>
  <c r="M676" i="20"/>
  <c r="M427" i="20"/>
  <c r="J427" i="20"/>
  <c r="M275" i="20"/>
  <c r="J275" i="20"/>
  <c r="I788" i="19"/>
  <c r="M788" i="19"/>
  <c r="M654" i="19"/>
  <c r="I654" i="19"/>
  <c r="I699" i="19"/>
  <c r="M699" i="19"/>
  <c r="M168" i="20"/>
  <c r="J168" i="20"/>
  <c r="M400" i="20"/>
  <c r="J400" i="20"/>
  <c r="B83" i="11"/>
  <c r="L83" i="9"/>
  <c r="A478" i="16"/>
  <c r="A478" i="20"/>
  <c r="A478" i="19"/>
  <c r="M687" i="20"/>
  <c r="J687" i="20"/>
  <c r="L541" i="20"/>
  <c r="I541" i="20"/>
  <c r="B702" i="16"/>
  <c r="E702" i="20"/>
  <c r="AM702" i="20" s="1"/>
  <c r="A600" i="16"/>
  <c r="A600" i="20"/>
  <c r="A600" i="19"/>
  <c r="B645" i="16"/>
  <c r="E645" i="20"/>
  <c r="AM645" i="20" s="1"/>
  <c r="L520" i="9"/>
  <c r="B520" i="11"/>
  <c r="L327" i="9"/>
  <c r="B327" i="11"/>
  <c r="M803" i="19"/>
  <c r="I803" i="19"/>
  <c r="I814" i="19"/>
  <c r="M814" i="19"/>
  <c r="H425" i="19"/>
  <c r="L425" i="19"/>
  <c r="K425" i="19"/>
  <c r="B377" i="16"/>
  <c r="E377" i="20"/>
  <c r="AM377" i="20" s="1"/>
  <c r="A188" i="16"/>
  <c r="A188" i="20"/>
  <c r="A188" i="19"/>
  <c r="M37" i="20"/>
  <c r="J37" i="20"/>
  <c r="J694" i="20"/>
  <c r="M694" i="20"/>
  <c r="J304" i="20"/>
  <c r="M304" i="20"/>
  <c r="J94" i="20"/>
  <c r="M94" i="20"/>
  <c r="A749" i="16"/>
  <c r="A749" i="20"/>
  <c r="A749" i="19"/>
  <c r="A579" i="20"/>
  <c r="A579" i="16"/>
  <c r="A579" i="19"/>
  <c r="A499" i="16"/>
  <c r="A499" i="20"/>
  <c r="A499" i="19"/>
  <c r="A339" i="16"/>
  <c r="A339" i="20"/>
  <c r="A339" i="19"/>
  <c r="A179" i="16"/>
  <c r="A179" i="20"/>
  <c r="A179" i="19"/>
  <c r="A79" i="16"/>
  <c r="A79" i="20"/>
  <c r="A79" i="19"/>
  <c r="B322" i="20"/>
  <c r="AL322" i="20" s="1"/>
  <c r="B322" i="19"/>
  <c r="B142" i="20"/>
  <c r="AL142" i="20" s="1"/>
  <c r="B142" i="19"/>
  <c r="M573" i="20"/>
  <c r="J573" i="20"/>
  <c r="J278" i="20"/>
  <c r="M278" i="20"/>
  <c r="M182" i="20"/>
  <c r="J182" i="20"/>
  <c r="B712" i="19"/>
  <c r="B712" i="20"/>
  <c r="AL712" i="20" s="1"/>
  <c r="B602" i="19"/>
  <c r="B602" i="20"/>
  <c r="AL602" i="20" s="1"/>
  <c r="B422" i="20"/>
  <c r="AL422" i="20" s="1"/>
  <c r="B422" i="19"/>
  <c r="B7" i="11"/>
  <c r="L7" i="9"/>
  <c r="B32" i="10"/>
  <c r="B6" i="6"/>
  <c r="D6" i="6"/>
  <c r="C31" i="10"/>
  <c r="AM31" i="16" s="1"/>
  <c r="B41" i="10"/>
  <c r="C4" i="10"/>
  <c r="AM4" i="16" s="1"/>
  <c r="C25" i="6"/>
  <c r="I25" i="7"/>
  <c r="AN25" i="16" s="1"/>
  <c r="H4" i="7"/>
  <c r="D35" i="6"/>
  <c r="H45" i="7"/>
  <c r="D28" i="10"/>
  <c r="D64" i="6"/>
  <c r="E21" i="6"/>
  <c r="I9" i="7"/>
  <c r="AN9" i="16" s="1"/>
  <c r="H27" i="7"/>
  <c r="G62" i="7"/>
  <c r="I12" i="7"/>
  <c r="AN12" i="16" s="1"/>
  <c r="C10" i="10"/>
  <c r="AM10" i="16" s="1"/>
  <c r="E67" i="6"/>
  <c r="H7" i="7"/>
  <c r="H41" i="7"/>
  <c r="E30" i="6"/>
  <c r="B35" i="6"/>
  <c r="G36" i="7"/>
  <c r="B60" i="10"/>
  <c r="C6" i="10"/>
  <c r="AM6" i="16" s="1"/>
  <c r="B19" i="10"/>
  <c r="C41" i="10"/>
  <c r="AM41" i="16" s="1"/>
  <c r="I53" i="7"/>
  <c r="AN53" i="16" s="1"/>
  <c r="H33" i="7"/>
  <c r="G14" i="7"/>
  <c r="C38" i="10"/>
  <c r="AM38" i="16" s="1"/>
  <c r="B21" i="6"/>
  <c r="B40" i="6"/>
  <c r="G43" i="7"/>
  <c r="C60" i="10"/>
  <c r="AM60" i="16" s="1"/>
  <c r="C31" i="6"/>
  <c r="G29" i="7"/>
  <c r="D42" i="10"/>
  <c r="B56" i="10"/>
  <c r="D2" i="10"/>
  <c r="C12" i="10"/>
  <c r="AM12" i="16" s="1"/>
  <c r="D40" i="10"/>
  <c r="I48" i="7"/>
  <c r="AN48" i="16" s="1"/>
  <c r="H28" i="7"/>
  <c r="H9" i="7"/>
  <c r="C8" i="10"/>
  <c r="AM8" i="16" s="1"/>
  <c r="B16" i="6"/>
  <c r="C37" i="6"/>
  <c r="I40" i="7"/>
  <c r="AN40" i="16" s="1"/>
  <c r="C44" i="10"/>
  <c r="AM44" i="16" s="1"/>
  <c r="D28" i="6"/>
  <c r="G21" i="7"/>
  <c r="B34" i="10"/>
  <c r="C17" i="10"/>
  <c r="AM17" i="16" s="1"/>
  <c r="I47" i="7"/>
  <c r="AN47" i="16" s="1"/>
  <c r="D61" i="10"/>
  <c r="B44" i="6"/>
  <c r="E56" i="6"/>
  <c r="D56" i="6"/>
  <c r="I34" i="7"/>
  <c r="AN34" i="16" s="1"/>
  <c r="D48" i="10"/>
  <c r="H25" i="7"/>
  <c r="I10" i="7"/>
  <c r="AN10" i="16" s="1"/>
  <c r="E35" i="6"/>
  <c r="I4" i="7"/>
  <c r="AN4" i="16" s="1"/>
  <c r="I15" i="7"/>
  <c r="AN15" i="16" s="1"/>
  <c r="B26" i="10"/>
  <c r="C19" i="10"/>
  <c r="AM19" i="16" s="1"/>
  <c r="D58" i="10"/>
  <c r="B30" i="10"/>
  <c r="G19" i="7"/>
  <c r="C15" i="10"/>
  <c r="AM15" i="16" s="1"/>
  <c r="B46" i="6"/>
  <c r="G35" i="7"/>
  <c r="C49" i="10"/>
  <c r="AM49" i="16" s="1"/>
  <c r="C3" i="6"/>
  <c r="E68" i="6"/>
  <c r="H40" i="7"/>
  <c r="D56" i="10"/>
  <c r="E62" i="6"/>
  <c r="H51" i="7"/>
  <c r="B35" i="10"/>
  <c r="B65" i="6"/>
  <c r="H55" i="7"/>
  <c r="D68" i="10"/>
  <c r="E17" i="6"/>
  <c r="D17" i="6"/>
  <c r="C44" i="6"/>
  <c r="I52" i="7"/>
  <c r="AN52" i="16" s="1"/>
  <c r="D41" i="6"/>
  <c r="E25" i="6"/>
  <c r="G56" i="7"/>
  <c r="E66" i="6"/>
  <c r="C13" i="10"/>
  <c r="AM13" i="16" s="1"/>
  <c r="C12" i="6"/>
  <c r="G28" i="7"/>
  <c r="D6" i="10"/>
  <c r="C9" i="10"/>
  <c r="AM9" i="16" s="1"/>
  <c r="C45" i="10"/>
  <c r="AM45" i="16" s="1"/>
  <c r="B24" i="10"/>
  <c r="I5" i="7"/>
  <c r="AN5" i="16" s="1"/>
  <c r="B11" i="10"/>
  <c r="D40" i="6"/>
  <c r="I19" i="7"/>
  <c r="AN19" i="16" s="1"/>
  <c r="B8" i="10"/>
  <c r="D60" i="10"/>
  <c r="C54" i="6"/>
  <c r="G24" i="7"/>
  <c r="B44" i="10"/>
  <c r="C48" i="6"/>
  <c r="H17" i="7"/>
  <c r="G42" i="7"/>
  <c r="B53" i="6"/>
  <c r="H39" i="7"/>
  <c r="D37" i="10"/>
  <c r="I8" i="7"/>
  <c r="AN8" i="16" s="1"/>
  <c r="D2" i="6"/>
  <c r="C32" i="6"/>
  <c r="C58" i="6"/>
  <c r="E26" i="6"/>
  <c r="D12" i="6"/>
  <c r="I41" i="7"/>
  <c r="AN41" i="16" s="1"/>
  <c r="E41" i="6"/>
  <c r="B50" i="10"/>
  <c r="B2" i="10"/>
  <c r="I43" i="7"/>
  <c r="AN43" i="16" s="1"/>
  <c r="G4" i="7"/>
  <c r="E13" i="6"/>
  <c r="G32" i="7"/>
  <c r="B23" i="6"/>
  <c r="B45" i="10"/>
  <c r="B5" i="10"/>
  <c r="C49" i="6"/>
  <c r="D21" i="6"/>
  <c r="E64" i="6"/>
  <c r="H18" i="7"/>
  <c r="G13" i="7"/>
  <c r="G18" i="7"/>
  <c r="D15" i="6"/>
  <c r="C67" i="6"/>
  <c r="E38" i="6"/>
  <c r="D43" i="10"/>
  <c r="I38" i="7"/>
  <c r="AN38" i="16" s="1"/>
  <c r="B66" i="6"/>
  <c r="D8" i="6"/>
  <c r="I29" i="7"/>
  <c r="AN29" i="16" s="1"/>
  <c r="D18" i="6"/>
  <c r="C26" i="10"/>
  <c r="AM26" i="16" s="1"/>
  <c r="I55" i="7"/>
  <c r="AN55" i="16" s="1"/>
  <c r="D36" i="6"/>
  <c r="E2" i="6"/>
  <c r="C56" i="6"/>
  <c r="H13" i="7"/>
  <c r="C50" i="6"/>
  <c r="B58" i="6"/>
  <c r="B38" i="6"/>
  <c r="B15" i="6"/>
  <c r="E63" i="6"/>
  <c r="C40" i="10"/>
  <c r="AM40" i="16" s="1"/>
  <c r="D66" i="10"/>
  <c r="I33" i="7"/>
  <c r="AN33" i="16" s="1"/>
  <c r="C63" i="6"/>
  <c r="D3" i="6"/>
  <c r="H24" i="7"/>
  <c r="B13" i="6"/>
  <c r="B20" i="10"/>
  <c r="G51" i="7"/>
  <c r="B28" i="6"/>
  <c r="C52" i="6"/>
  <c r="E52" i="6"/>
  <c r="B62" i="6"/>
  <c r="D25" i="6"/>
  <c r="C39" i="6"/>
  <c r="C62" i="6"/>
  <c r="D57" i="10"/>
  <c r="C5" i="6"/>
  <c r="I7" i="7"/>
  <c r="AN7" i="16" s="1"/>
  <c r="E22" i="6"/>
  <c r="E14" i="6"/>
  <c r="C33" i="10"/>
  <c r="AM33" i="16" s="1"/>
  <c r="D62" i="10"/>
  <c r="I28" i="7"/>
  <c r="AN28" i="16" s="1"/>
  <c r="D60" i="6"/>
  <c r="C64" i="10"/>
  <c r="AM64" i="16" s="1"/>
  <c r="I11" i="7"/>
  <c r="AN11" i="16" s="1"/>
  <c r="E10" i="6"/>
  <c r="B10" i="10"/>
  <c r="I39" i="7"/>
  <c r="AN39" i="16" s="1"/>
  <c r="B14" i="6"/>
  <c r="B37" i="10"/>
  <c r="E40" i="6"/>
  <c r="B55" i="6"/>
  <c r="E11" i="6"/>
  <c r="C9" i="6"/>
  <c r="I56" i="7"/>
  <c r="AN56" i="16" s="1"/>
  <c r="B47" i="6"/>
  <c r="E15" i="6"/>
  <c r="H22" i="7"/>
  <c r="G37" i="7"/>
  <c r="C16" i="10"/>
  <c r="AM16" i="16" s="1"/>
  <c r="B52" i="10"/>
  <c r="I21" i="7"/>
  <c r="AN21" i="16" s="1"/>
  <c r="E57" i="6"/>
  <c r="B55" i="10"/>
  <c r="I6" i="7"/>
  <c r="AN6" i="16" s="1"/>
  <c r="E5" i="6"/>
  <c r="C5" i="10"/>
  <c r="AM5" i="16" s="1"/>
  <c r="I31" i="7"/>
  <c r="AN31" i="16" s="1"/>
  <c r="H42" i="7"/>
  <c r="H62" i="7"/>
  <c r="D35" i="10"/>
  <c r="C47" i="6"/>
  <c r="D4" i="6"/>
  <c r="C66" i="6"/>
  <c r="C55" i="6"/>
  <c r="I60" i="7"/>
  <c r="AN60" i="16" s="1"/>
  <c r="I61" i="7"/>
  <c r="AN61" i="16" s="1"/>
  <c r="D29" i="10"/>
  <c r="C11" i="10"/>
  <c r="AM11" i="16" s="1"/>
  <c r="H12" i="7"/>
  <c r="C43" i="6"/>
  <c r="C23" i="10"/>
  <c r="AM23" i="16" s="1"/>
  <c r="B57" i="6"/>
  <c r="D45" i="10"/>
  <c r="H59" i="7"/>
  <c r="H20" i="7"/>
  <c r="B17" i="6"/>
  <c r="H23" i="7"/>
  <c r="B14" i="10"/>
  <c r="E33" i="6"/>
  <c r="E47" i="6"/>
  <c r="D22" i="10"/>
  <c r="D8" i="10"/>
  <c r="H58" i="7"/>
  <c r="E3" i="6"/>
  <c r="H19" i="7"/>
  <c r="E28" i="6"/>
  <c r="I20" i="7"/>
  <c r="AN20" i="16" s="1"/>
  <c r="G17" i="7"/>
  <c r="D53" i="10"/>
  <c r="G5" i="7"/>
  <c r="H34" i="7"/>
  <c r="I44" i="7"/>
  <c r="AN44" i="16" s="1"/>
  <c r="B9" i="6"/>
  <c r="D5" i="10"/>
  <c r="I36" i="7"/>
  <c r="AN36" i="16" s="1"/>
  <c r="D19" i="10"/>
  <c r="C66" i="10"/>
  <c r="AM66" i="16" s="1"/>
  <c r="H53" i="7"/>
  <c r="C55" i="10"/>
  <c r="AM55" i="16" s="1"/>
  <c r="B60" i="6"/>
  <c r="D9" i="10"/>
  <c r="D64" i="10"/>
  <c r="H48" i="7"/>
  <c r="B54" i="10"/>
  <c r="C57" i="6"/>
  <c r="E18" i="6"/>
  <c r="G54" i="7"/>
  <c r="C29" i="6"/>
  <c r="D61" i="6"/>
  <c r="H26" i="7"/>
  <c r="D44" i="6"/>
  <c r="D20" i="6"/>
  <c r="G7" i="7"/>
  <c r="B4" i="10"/>
  <c r="C46" i="10"/>
  <c r="AM46" i="16" s="1"/>
  <c r="B38" i="10"/>
  <c r="H38" i="7"/>
  <c r="B48" i="10"/>
  <c r="E51" i="6"/>
  <c r="B3" i="6"/>
  <c r="I51" i="7"/>
  <c r="AN51" i="16" s="1"/>
  <c r="B25" i="6"/>
  <c r="B10" i="6"/>
  <c r="B24" i="6"/>
  <c r="B36" i="6"/>
  <c r="I66" i="7"/>
  <c r="B33" i="6"/>
  <c r="G48" i="7"/>
  <c r="D62" i="6"/>
  <c r="I49" i="7"/>
  <c r="AN49" i="16" s="1"/>
  <c r="B43" i="10"/>
  <c r="C37" i="10"/>
  <c r="AM37" i="16" s="1"/>
  <c r="H21" i="7"/>
  <c r="B7" i="10"/>
  <c r="D34" i="6"/>
  <c r="C39" i="10"/>
  <c r="AM39" i="16" s="1"/>
  <c r="I37" i="7"/>
  <c r="AN37" i="16" s="1"/>
  <c r="C10" i="6"/>
  <c r="C32" i="10"/>
  <c r="AM32" i="16" s="1"/>
  <c r="B58" i="10"/>
  <c r="D32" i="6"/>
  <c r="D39" i="6"/>
  <c r="E12" i="6"/>
  <c r="D11" i="6"/>
  <c r="C52" i="10"/>
  <c r="AM52" i="16" s="1"/>
  <c r="G61" i="7"/>
  <c r="D36" i="10"/>
  <c r="C34" i="10"/>
  <c r="AM34" i="16" s="1"/>
  <c r="I14" i="7"/>
  <c r="AN14" i="16" s="1"/>
  <c r="G60" i="7"/>
  <c r="E31" i="6"/>
  <c r="D24" i="10"/>
  <c r="H16" i="7"/>
  <c r="C56" i="10"/>
  <c r="AM56" i="16" s="1"/>
  <c r="I26" i="7"/>
  <c r="AN26" i="16" s="1"/>
  <c r="G31" i="7"/>
  <c r="E24" i="6"/>
  <c r="C67" i="10"/>
  <c r="AM67" i="16" s="1"/>
  <c r="E7" i="6"/>
  <c r="C4" i="6"/>
  <c r="G45" i="7"/>
  <c r="D16" i="6"/>
  <c r="C29" i="10"/>
  <c r="AM29" i="16" s="1"/>
  <c r="D33" i="10"/>
  <c r="G12" i="7"/>
  <c r="I57" i="7"/>
  <c r="AN57" i="16" s="1"/>
  <c r="D23" i="6"/>
  <c r="B3" i="10"/>
  <c r="G11" i="7"/>
  <c r="H50" i="7"/>
  <c r="B32" i="6"/>
  <c r="I27" i="7"/>
  <c r="AN27" i="16" s="1"/>
  <c r="E6" i="6"/>
  <c r="C51" i="10"/>
  <c r="AM51" i="16" s="1"/>
  <c r="D51" i="10"/>
  <c r="G25" i="7"/>
  <c r="I3" i="7"/>
  <c r="AN3" i="16" s="1"/>
  <c r="B22" i="6"/>
  <c r="D43" i="6"/>
  <c r="C22" i="10"/>
  <c r="AM22" i="16" s="1"/>
  <c r="B31" i="10"/>
  <c r="C20" i="10"/>
  <c r="AM20" i="16" s="1"/>
  <c r="G49" i="7"/>
  <c r="D13" i="6"/>
  <c r="H65" i="7"/>
  <c r="G6" i="7"/>
  <c r="B68" i="6"/>
  <c r="E9" i="6"/>
  <c r="I23" i="7"/>
  <c r="AN23" i="16" s="1"/>
  <c r="B21" i="10"/>
  <c r="D31" i="10"/>
  <c r="H44" i="7"/>
  <c r="I18" i="7"/>
  <c r="AN18" i="16" s="1"/>
  <c r="B45" i="6"/>
  <c r="G10" i="7"/>
  <c r="D12" i="10"/>
  <c r="B27" i="10"/>
  <c r="B18" i="10"/>
  <c r="I46" i="7"/>
  <c r="AN46" i="16" s="1"/>
  <c r="C8" i="6"/>
  <c r="H54" i="7"/>
  <c r="C68" i="6"/>
  <c r="E39" i="6"/>
  <c r="D27" i="10"/>
  <c r="H5" i="7"/>
  <c r="D17" i="10"/>
  <c r="H3" i="7"/>
  <c r="G30" i="7"/>
  <c r="D58" i="6"/>
  <c r="B46" i="10"/>
  <c r="D14" i="10"/>
  <c r="I32" i="7"/>
  <c r="AN32" i="16" s="1"/>
  <c r="B8" i="6"/>
  <c r="H29" i="7"/>
  <c r="D65" i="6"/>
  <c r="C24" i="6"/>
  <c r="G34" i="7"/>
  <c r="B61" i="6"/>
  <c r="C14" i="10"/>
  <c r="AM14" i="16" s="1"/>
  <c r="D4" i="10"/>
  <c r="D67" i="6"/>
  <c r="C33" i="6"/>
  <c r="C15" i="6"/>
  <c r="I45" i="7"/>
  <c r="AN45" i="16" s="1"/>
  <c r="C36" i="10"/>
  <c r="AM36" i="16" s="1"/>
  <c r="B65" i="10"/>
  <c r="B15" i="10"/>
  <c r="B43" i="6"/>
  <c r="B54" i="6"/>
  <c r="B51" i="6"/>
  <c r="B2" i="6"/>
  <c r="E60" i="6"/>
  <c r="B49" i="6"/>
  <c r="I50" i="7"/>
  <c r="AN50" i="16" s="1"/>
  <c r="B59" i="10"/>
  <c r="E59" i="6"/>
  <c r="C11" i="6"/>
  <c r="B64" i="10"/>
  <c r="B22" i="10"/>
  <c r="H60" i="7"/>
  <c r="D37" i="6"/>
  <c r="G57" i="7"/>
  <c r="D48" i="6"/>
  <c r="D5" i="6"/>
  <c r="B42" i="10"/>
  <c r="C58" i="10"/>
  <c r="AM58" i="16" s="1"/>
  <c r="C36" i="6"/>
  <c r="G27" i="7"/>
  <c r="G52" i="7"/>
  <c r="H56" i="7"/>
  <c r="G41" i="7"/>
  <c r="C38" i="6"/>
  <c r="G22" i="7"/>
  <c r="D47" i="10"/>
  <c r="H10" i="7"/>
  <c r="C53" i="10"/>
  <c r="AM53" i="16" s="1"/>
  <c r="B9" i="10"/>
  <c r="I58" i="7"/>
  <c r="AN58" i="16" s="1"/>
  <c r="H35" i="7"/>
  <c r="E23" i="6"/>
  <c r="G46" i="7"/>
  <c r="B34" i="6"/>
  <c r="D50" i="10"/>
  <c r="D7" i="10"/>
  <c r="H47" i="7"/>
  <c r="E32" i="6"/>
  <c r="G23" i="7"/>
  <c r="G38" i="7"/>
  <c r="G26" i="7"/>
  <c r="G33" i="7"/>
  <c r="B5" i="6"/>
  <c r="B13" i="10"/>
  <c r="H61" i="7"/>
  <c r="H36" i="7"/>
  <c r="C27" i="6"/>
  <c r="D10" i="6"/>
  <c r="C46" i="6"/>
  <c r="E46" i="6"/>
  <c r="B7" i="6"/>
  <c r="C41" i="6"/>
  <c r="G3" i="7"/>
  <c r="D38" i="6"/>
  <c r="C59" i="10"/>
  <c r="AM59" i="16" s="1"/>
  <c r="B17" i="10"/>
  <c r="D63" i="6"/>
  <c r="E55" i="6"/>
  <c r="C35" i="6"/>
  <c r="H2" i="7"/>
  <c r="I13" i="7"/>
  <c r="AN13" i="16" s="1"/>
  <c r="I59" i="7"/>
  <c r="AN59" i="16" s="1"/>
  <c r="C20" i="6"/>
  <c r="G58" i="7"/>
  <c r="B30" i="6"/>
  <c r="E44" i="6"/>
  <c r="B48" i="6"/>
  <c r="C45" i="6"/>
  <c r="H30" i="7"/>
  <c r="C57" i="10"/>
  <c r="AM57" i="16" s="1"/>
  <c r="I62" i="7"/>
  <c r="AN62" i="16" s="1"/>
  <c r="E4" i="6"/>
  <c r="E19" i="6"/>
  <c r="D26" i="10"/>
  <c r="B4" i="6"/>
  <c r="D46" i="6"/>
  <c r="B27" i="6"/>
  <c r="B29" i="10"/>
  <c r="H52" i="7"/>
  <c r="D50" i="6"/>
  <c r="C7" i="10"/>
  <c r="AM7" i="16" s="1"/>
  <c r="D52" i="6"/>
  <c r="C59" i="6"/>
  <c r="B12" i="10"/>
  <c r="C27" i="10"/>
  <c r="AM27" i="16" s="1"/>
  <c r="C22" i="6"/>
  <c r="B23" i="10"/>
  <c r="C40" i="6"/>
  <c r="I65" i="7"/>
  <c r="AN65" i="16" s="1"/>
  <c r="H66" i="7"/>
  <c r="C51" i="6"/>
  <c r="B19" i="6"/>
  <c r="G15" i="7"/>
  <c r="A292" i="16"/>
  <c r="A292" i="20"/>
  <c r="A292" i="19"/>
  <c r="A52" i="16"/>
  <c r="A52" i="20"/>
  <c r="A52" i="19"/>
  <c r="C641" i="16"/>
  <c r="E641" i="19"/>
  <c r="F641" i="20"/>
  <c r="B445" i="11"/>
  <c r="L445" i="9"/>
  <c r="M698" i="19"/>
  <c r="I698" i="19"/>
  <c r="B785" i="11"/>
  <c r="L785" i="9"/>
  <c r="J789" i="20"/>
  <c r="M789" i="20"/>
  <c r="M520" i="20"/>
  <c r="J520" i="20"/>
  <c r="M816" i="19"/>
  <c r="I816" i="19"/>
  <c r="H812" i="16"/>
  <c r="P812" i="16" s="1"/>
  <c r="H812" i="20"/>
  <c r="F812" i="19"/>
  <c r="B419" i="20"/>
  <c r="AL419" i="20" s="1"/>
  <c r="B419" i="19"/>
  <c r="B294" i="20"/>
  <c r="AL294" i="20" s="1"/>
  <c r="B294" i="19"/>
  <c r="H338" i="19"/>
  <c r="K338" i="19"/>
  <c r="L338" i="19"/>
  <c r="L26" i="9"/>
  <c r="B26" i="11"/>
  <c r="J378" i="20"/>
  <c r="M378" i="20"/>
  <c r="AN35" i="10"/>
  <c r="Q35" i="20" s="1"/>
  <c r="AU35" i="10"/>
  <c r="O35" i="10"/>
  <c r="A271" i="16"/>
  <c r="A271" i="20"/>
  <c r="A271" i="19"/>
  <c r="B141" i="16"/>
  <c r="E141" i="20"/>
  <c r="AM141" i="20" s="1"/>
  <c r="B49" i="20"/>
  <c r="AL49" i="20" s="1"/>
  <c r="B49" i="19"/>
  <c r="M66" i="20"/>
  <c r="J66" i="20"/>
  <c r="H182" i="16"/>
  <c r="P182" i="16" s="1"/>
  <c r="H182" i="20"/>
  <c r="F182" i="19"/>
  <c r="J802" i="20"/>
  <c r="M802" i="20"/>
  <c r="I432" i="19"/>
  <c r="M432" i="19"/>
  <c r="M776" i="19"/>
  <c r="I776" i="19"/>
  <c r="M713" i="20"/>
  <c r="J713" i="20"/>
  <c r="M657" i="20"/>
  <c r="J657" i="20"/>
  <c r="A659" i="16"/>
  <c r="A659" i="20"/>
  <c r="A659" i="19"/>
  <c r="A419" i="16"/>
  <c r="A419" i="20"/>
  <c r="A419" i="19"/>
  <c r="B502" i="20"/>
  <c r="AL502" i="20" s="1"/>
  <c r="B502" i="19"/>
  <c r="A225" i="16"/>
  <c r="A225" i="20"/>
  <c r="A225" i="19"/>
  <c r="M404" i="19"/>
  <c r="I404" i="19"/>
  <c r="B192" i="20"/>
  <c r="AL192" i="20" s="1"/>
  <c r="B192" i="19"/>
  <c r="A472" i="16"/>
  <c r="A472" i="20"/>
  <c r="A472" i="19"/>
  <c r="A372" i="16"/>
  <c r="A372" i="20"/>
  <c r="A372" i="19"/>
  <c r="B425" i="11"/>
  <c r="L425" i="9"/>
  <c r="C561" i="16"/>
  <c r="F561" i="20"/>
  <c r="E561" i="19"/>
  <c r="J635" i="20"/>
  <c r="M635" i="20"/>
  <c r="J406" i="20"/>
  <c r="M406" i="20"/>
  <c r="J272" i="20"/>
  <c r="M272" i="20"/>
  <c r="A707" i="16"/>
  <c r="A707" i="20"/>
  <c r="A707" i="19"/>
  <c r="B616" i="19"/>
  <c r="B616" i="20"/>
  <c r="AL616" i="20" s="1"/>
  <c r="B559" i="16"/>
  <c r="E559" i="20"/>
  <c r="AM559" i="20" s="1"/>
  <c r="B324" i="20"/>
  <c r="AL324" i="20" s="1"/>
  <c r="B324" i="19"/>
  <c r="A150" i="16"/>
  <c r="A150" i="20"/>
  <c r="A150" i="19"/>
  <c r="H817" i="16"/>
  <c r="P817" i="16" s="1"/>
  <c r="H817" i="20"/>
  <c r="F817" i="19"/>
  <c r="B805" i="16"/>
  <c r="E805" i="20"/>
  <c r="AM805" i="20" s="1"/>
  <c r="S338" i="16"/>
  <c r="K338" i="16"/>
  <c r="O338" i="16"/>
  <c r="M723" i="19"/>
  <c r="I723" i="19"/>
  <c r="C478" i="16"/>
  <c r="F478" i="20"/>
  <c r="E478" i="19"/>
  <c r="I338" i="19"/>
  <c r="M338" i="19"/>
  <c r="I213" i="19"/>
  <c r="M213" i="19"/>
  <c r="M116" i="20"/>
  <c r="J116" i="20"/>
  <c r="B201" i="16"/>
  <c r="E201" i="20"/>
  <c r="AM201" i="20" s="1"/>
  <c r="J736" i="20"/>
  <c r="M736" i="20"/>
  <c r="M463" i="20"/>
  <c r="J463" i="20"/>
  <c r="L271" i="19"/>
  <c r="H271" i="19"/>
  <c r="B797" i="16"/>
  <c r="E797" i="20"/>
  <c r="AM797" i="20" s="1"/>
  <c r="C688" i="16"/>
  <c r="F688" i="20"/>
  <c r="E688" i="19"/>
  <c r="L583" i="9"/>
  <c r="B583" i="11"/>
  <c r="A321" i="16"/>
  <c r="A321" i="20"/>
  <c r="A321" i="19"/>
  <c r="B245" i="16"/>
  <c r="E245" i="20"/>
  <c r="AM245" i="20" s="1"/>
  <c r="B143" i="11"/>
  <c r="L143" i="9"/>
  <c r="B39" i="20"/>
  <c r="AL39" i="20" s="1"/>
  <c r="B39" i="19"/>
  <c r="C180" i="16"/>
  <c r="F180" i="20"/>
  <c r="E180" i="19"/>
  <c r="A21" i="16"/>
  <c r="A21" i="20"/>
  <c r="A21" i="19"/>
  <c r="C11" i="16"/>
  <c r="F11" i="20"/>
  <c r="E11" i="19"/>
  <c r="J26" i="20"/>
  <c r="M26" i="20"/>
  <c r="J224" i="20"/>
  <c r="M224" i="20"/>
  <c r="M154" i="20"/>
  <c r="J154" i="20"/>
  <c r="J84" i="19"/>
  <c r="M84" i="19"/>
  <c r="H813" i="16"/>
  <c r="P813" i="16" s="1"/>
  <c r="F813" i="19"/>
  <c r="H813" i="20"/>
  <c r="B812" i="19"/>
  <c r="B812" i="20"/>
  <c r="AL812" i="20" s="1"/>
  <c r="B702" i="20"/>
  <c r="AL702" i="20" s="1"/>
  <c r="B702" i="19"/>
  <c r="B592" i="19"/>
  <c r="B592" i="20"/>
  <c r="AL592" i="20" s="1"/>
  <c r="B402" i="20"/>
  <c r="AL402" i="20" s="1"/>
  <c r="B402" i="19"/>
  <c r="A305" i="16"/>
  <c r="A305" i="19"/>
  <c r="A305" i="20"/>
  <c r="J783" i="20"/>
  <c r="M783" i="20"/>
  <c r="J645" i="20"/>
  <c r="M645" i="20"/>
  <c r="M433" i="20"/>
  <c r="J433" i="20"/>
  <c r="M348" i="20"/>
  <c r="J348" i="20"/>
  <c r="H170" i="16"/>
  <c r="P170" i="16" s="1"/>
  <c r="H170" i="20"/>
  <c r="F170" i="19"/>
  <c r="M65" i="20"/>
  <c r="J65" i="20"/>
  <c r="L765" i="9"/>
  <c r="B765" i="11"/>
  <c r="B699" i="16"/>
  <c r="E699" i="20"/>
  <c r="AM699" i="20" s="1"/>
  <c r="L468" i="9"/>
  <c r="B468" i="11"/>
  <c r="C316" i="16"/>
  <c r="F316" i="20"/>
  <c r="E316" i="19"/>
  <c r="B264" i="19"/>
  <c r="B264" i="20"/>
  <c r="AL264" i="20" s="1"/>
  <c r="C217" i="16"/>
  <c r="F217" i="20"/>
  <c r="E217" i="19"/>
  <c r="M221" i="19"/>
  <c r="I221" i="19"/>
  <c r="B680" i="20"/>
  <c r="AL680" i="20" s="1"/>
  <c r="B680" i="19"/>
  <c r="B335" i="16"/>
  <c r="E335" i="20"/>
  <c r="AM335" i="20" s="1"/>
  <c r="A138" i="16"/>
  <c r="A138" i="20"/>
  <c r="A138" i="19"/>
  <c r="B34" i="11"/>
  <c r="L34" i="9"/>
  <c r="B301" i="16"/>
  <c r="E301" i="20"/>
  <c r="AM301" i="20" s="1"/>
  <c r="E111" i="20"/>
  <c r="AM111" i="20" s="1"/>
  <c r="B111" i="16"/>
  <c r="B725" i="16"/>
  <c r="E725" i="20"/>
  <c r="AM725" i="20" s="1"/>
  <c r="B721" i="11"/>
  <c r="L721" i="9"/>
  <c r="B103" i="11"/>
  <c r="L103" i="9"/>
  <c r="I687" i="19"/>
  <c r="M687" i="19"/>
  <c r="M149" i="20"/>
  <c r="J149" i="20"/>
  <c r="H229" i="16"/>
  <c r="P229" i="16" s="1"/>
  <c r="H229" i="20"/>
  <c r="F229" i="19"/>
  <c r="I425" i="19"/>
  <c r="M425" i="19"/>
  <c r="O271" i="16"/>
  <c r="K271" i="16"/>
  <c r="S271" i="16"/>
  <c r="I539" i="20"/>
  <c r="L539" i="20"/>
  <c r="A8" i="16"/>
  <c r="A8" i="20"/>
  <c r="A8" i="19"/>
  <c r="L33" i="19"/>
  <c r="H33" i="19"/>
  <c r="L81" i="9"/>
  <c r="B81" i="11"/>
  <c r="J364" i="19"/>
  <c r="M364" i="19"/>
  <c r="M686" i="20"/>
  <c r="J686" i="20"/>
  <c r="M574" i="20"/>
  <c r="J574" i="20"/>
  <c r="J294" i="20"/>
  <c r="M294" i="20"/>
  <c r="B405" i="11"/>
  <c r="L405" i="9"/>
  <c r="J776" i="20"/>
  <c r="M776" i="20"/>
  <c r="J527" i="20"/>
  <c r="M527" i="20"/>
  <c r="B23" i="11"/>
  <c r="L23" i="9"/>
  <c r="L80" i="9"/>
  <c r="B80" i="11"/>
  <c r="I165" i="19"/>
  <c r="M165" i="19"/>
  <c r="J734" i="20"/>
  <c r="M734" i="20"/>
  <c r="J364" i="20"/>
  <c r="M364" i="20"/>
  <c r="M560" i="20"/>
  <c r="J560" i="20"/>
  <c r="C331" i="16"/>
  <c r="F331" i="20"/>
  <c r="E331" i="19"/>
  <c r="M217" i="20"/>
  <c r="J217" i="20"/>
  <c r="M158" i="20"/>
  <c r="J158" i="20"/>
  <c r="U58" i="20"/>
  <c r="S58" i="20"/>
  <c r="C695" i="16"/>
  <c r="F695" i="20"/>
  <c r="E695" i="19"/>
  <c r="B252" i="16"/>
  <c r="E252" i="20"/>
  <c r="AM252" i="20" s="1"/>
  <c r="B786" i="11"/>
  <c r="L786" i="9"/>
  <c r="B497" i="16"/>
  <c r="E497" i="20"/>
  <c r="AM497" i="20" s="1"/>
  <c r="A12" i="16"/>
  <c r="A12" i="20"/>
  <c r="A12" i="19"/>
  <c r="S539" i="16"/>
  <c r="O539" i="16"/>
  <c r="K539" i="16"/>
  <c r="J566" i="19"/>
  <c r="M566" i="19"/>
  <c r="M144" i="20"/>
  <c r="J144" i="20"/>
  <c r="M711" i="20"/>
  <c r="J711" i="20"/>
  <c r="M465" i="20"/>
  <c r="J465" i="20"/>
  <c r="M497" i="20"/>
  <c r="J497" i="20"/>
  <c r="J387" i="20"/>
  <c r="M387" i="20"/>
  <c r="B691" i="16"/>
  <c r="E691" i="20"/>
  <c r="AM691" i="20" s="1"/>
  <c r="B751" i="16"/>
  <c r="E751" i="20"/>
  <c r="AM751" i="20" s="1"/>
  <c r="B460" i="16"/>
  <c r="E460" i="20"/>
  <c r="AM460" i="20" s="1"/>
  <c r="J566" i="20"/>
  <c r="M566" i="20"/>
  <c r="J434" i="20"/>
  <c r="M434" i="20"/>
  <c r="M418" i="20"/>
  <c r="J418" i="20"/>
  <c r="J809" i="20"/>
  <c r="M809" i="20"/>
  <c r="J544" i="20"/>
  <c r="M544" i="20"/>
  <c r="H766" i="16"/>
  <c r="P766" i="16" s="1"/>
  <c r="H766" i="20"/>
  <c r="F766" i="19"/>
  <c r="M206" i="20"/>
  <c r="J206" i="20"/>
  <c r="L683" i="9"/>
  <c r="B683" i="11"/>
  <c r="I573" i="20"/>
  <c r="L573" i="20"/>
  <c r="M291" i="20"/>
  <c r="J291" i="20"/>
  <c r="B561" i="11"/>
  <c r="L561" i="9"/>
  <c r="M310" i="20"/>
  <c r="J310" i="20"/>
  <c r="J91" i="20"/>
  <c r="M91" i="20"/>
  <c r="M383" i="19"/>
  <c r="I383" i="19"/>
  <c r="L198" i="9"/>
  <c r="B198" i="11"/>
  <c r="A497" i="16"/>
  <c r="A497" i="20"/>
  <c r="A497" i="19"/>
  <c r="C25" i="10"/>
  <c r="AM25" i="16" s="1"/>
  <c r="M646" i="19"/>
  <c r="I646" i="19"/>
  <c r="M13" i="20"/>
  <c r="J13" i="20"/>
  <c r="B802" i="20"/>
  <c r="AL802" i="20" s="1"/>
  <c r="B802" i="19"/>
  <c r="J4" i="11"/>
  <c r="AB3" i="11"/>
  <c r="L3" i="11"/>
  <c r="M3" i="11" s="1"/>
  <c r="AJ3" i="19" s="1"/>
  <c r="AK3" i="19" s="1"/>
  <c r="M523" i="19"/>
  <c r="I523" i="19"/>
  <c r="M317" i="20"/>
  <c r="J317" i="20"/>
  <c r="H106" i="20"/>
  <c r="H106" i="16"/>
  <c r="P106" i="16" s="1"/>
  <c r="F106" i="19"/>
  <c r="B559" i="20"/>
  <c r="AL559" i="20" s="1"/>
  <c r="B559" i="19"/>
  <c r="B282" i="16"/>
  <c r="E282" i="20"/>
  <c r="AM282" i="20" s="1"/>
  <c r="B668" i="11"/>
  <c r="L668" i="9"/>
  <c r="S95" i="16"/>
  <c r="O95" i="16"/>
  <c r="K95" i="16"/>
  <c r="A810" i="16"/>
  <c r="A810" i="20"/>
  <c r="A810" i="19"/>
  <c r="A700" i="16"/>
  <c r="A700" i="20"/>
  <c r="A700" i="19"/>
  <c r="B544" i="20"/>
  <c r="AL544" i="20" s="1"/>
  <c r="B544" i="19"/>
  <c r="A374" i="16"/>
  <c r="A374" i="20"/>
  <c r="A374" i="19"/>
  <c r="L556" i="9"/>
  <c r="B556" i="11"/>
  <c r="B299" i="16"/>
  <c r="E299" i="20"/>
  <c r="AM299" i="20" s="1"/>
  <c r="C807" i="16"/>
  <c r="F807" i="20"/>
  <c r="E807" i="19"/>
  <c r="A649" i="16"/>
  <c r="A649" i="20"/>
  <c r="A649" i="19"/>
  <c r="A409" i="16"/>
  <c r="A409" i="20"/>
  <c r="A409" i="19"/>
  <c r="B482" i="20"/>
  <c r="AL482" i="20" s="1"/>
  <c r="B482" i="19"/>
  <c r="A175" i="16"/>
  <c r="A175" i="20"/>
  <c r="A175" i="19"/>
  <c r="J560" i="19"/>
  <c r="M560" i="19"/>
  <c r="A462" i="16"/>
  <c r="A462" i="20"/>
  <c r="A462" i="19"/>
  <c r="A362" i="16"/>
  <c r="A362" i="20"/>
  <c r="A362" i="19"/>
  <c r="H351" i="16"/>
  <c r="P351" i="16" s="1"/>
  <c r="H351" i="20"/>
  <c r="F351" i="19"/>
  <c r="M314" i="19"/>
  <c r="I314" i="19"/>
  <c r="J726" i="20"/>
  <c r="M726" i="20"/>
  <c r="J354" i="20"/>
  <c r="M354" i="20"/>
  <c r="I739" i="19"/>
  <c r="M739" i="19"/>
  <c r="H657" i="16"/>
  <c r="P657" i="16" s="1"/>
  <c r="H657" i="20"/>
  <c r="F657" i="19"/>
  <c r="H109" i="16"/>
  <c r="P109" i="16" s="1"/>
  <c r="H109" i="20"/>
  <c r="F109" i="19"/>
  <c r="M699" i="20"/>
  <c r="J699" i="20"/>
  <c r="M711" i="19"/>
  <c r="I711" i="19"/>
  <c r="M623" i="20"/>
  <c r="J623" i="20"/>
  <c r="M395" i="20"/>
  <c r="J395" i="20"/>
  <c r="J322" i="20"/>
  <c r="M322" i="20"/>
  <c r="M196" i="20"/>
  <c r="J196" i="20"/>
  <c r="B501" i="16"/>
  <c r="E501" i="20"/>
  <c r="AM501" i="20" s="1"/>
  <c r="M814" i="20"/>
  <c r="J814" i="20"/>
  <c r="M611" i="19"/>
  <c r="I611" i="19"/>
  <c r="A694" i="16"/>
  <c r="A694" i="20"/>
  <c r="A694" i="19"/>
  <c r="M790" i="20"/>
  <c r="J790" i="20"/>
  <c r="J630" i="20"/>
  <c r="M630" i="20"/>
  <c r="J444" i="20"/>
  <c r="M444" i="20"/>
  <c r="M84" i="20"/>
  <c r="J84" i="20"/>
  <c r="A739" i="16"/>
  <c r="A739" i="20"/>
  <c r="A739" i="19"/>
  <c r="C471" i="16"/>
  <c r="F471" i="20"/>
  <c r="E471" i="19"/>
  <c r="J62" i="20"/>
  <c r="M62" i="20"/>
  <c r="M517" i="19"/>
  <c r="I517" i="19"/>
  <c r="L731" i="19"/>
  <c r="K731" i="19"/>
  <c r="H731" i="19"/>
  <c r="L426" i="9"/>
  <c r="B426" i="11"/>
  <c r="A718" i="16"/>
  <c r="A718" i="20"/>
  <c r="A718" i="19"/>
  <c r="B623" i="11"/>
  <c r="L623" i="9"/>
  <c r="C349" i="16"/>
  <c r="F349" i="20"/>
  <c r="E349" i="19"/>
  <c r="I484" i="19"/>
  <c r="M484" i="19"/>
  <c r="J605" i="20"/>
  <c r="M605" i="20"/>
  <c r="M544" i="19"/>
  <c r="I544" i="19"/>
  <c r="B718" i="16"/>
  <c r="E718" i="20"/>
  <c r="AM718" i="20" s="1"/>
  <c r="L744" i="20"/>
  <c r="I744" i="20"/>
  <c r="I317" i="19"/>
  <c r="M317" i="19"/>
  <c r="C623" i="16"/>
  <c r="F623" i="20"/>
  <c r="E623" i="19"/>
  <c r="B235" i="16"/>
  <c r="E235" i="20"/>
  <c r="AM235" i="20" s="1"/>
  <c r="H216" i="16"/>
  <c r="P216" i="16" s="1"/>
  <c r="H216" i="20"/>
  <c r="F216" i="19"/>
  <c r="C525" i="16"/>
  <c r="F525" i="20"/>
  <c r="E525" i="19"/>
  <c r="L694" i="9"/>
  <c r="B694" i="11"/>
  <c r="L398" i="9"/>
  <c r="B398" i="11"/>
  <c r="A326" i="16"/>
  <c r="A326" i="20"/>
  <c r="A326" i="19"/>
  <c r="L514" i="9"/>
  <c r="B514" i="11"/>
  <c r="O344" i="16"/>
  <c r="K344" i="16"/>
  <c r="S344" i="16"/>
  <c r="J514" i="20"/>
  <c r="M514" i="20"/>
  <c r="M820" i="20"/>
  <c r="J820" i="20"/>
  <c r="A642" i="16"/>
  <c r="A642" i="20"/>
  <c r="A642" i="19"/>
  <c r="Q4" i="20"/>
  <c r="J336" i="20"/>
  <c r="M336" i="20"/>
  <c r="B644" i="16"/>
  <c r="E644" i="20"/>
  <c r="AM644" i="20" s="1"/>
  <c r="B130" i="16"/>
  <c r="E130" i="20"/>
  <c r="AM130" i="20" s="1"/>
  <c r="B453" i="20"/>
  <c r="AL453" i="20" s="1"/>
  <c r="B453" i="19"/>
  <c r="L33" i="20"/>
  <c r="I33" i="20"/>
  <c r="C54" i="16"/>
  <c r="E54" i="19"/>
  <c r="F54" i="20"/>
  <c r="B625" i="16"/>
  <c r="E625" i="20"/>
  <c r="AM625" i="20" s="1"/>
  <c r="C387" i="16"/>
  <c r="F387" i="20"/>
  <c r="E387" i="19"/>
  <c r="H380" i="16"/>
  <c r="P380" i="16" s="1"/>
  <c r="H380" i="20"/>
  <c r="F380" i="19"/>
  <c r="A364" i="16"/>
  <c r="A364" i="20"/>
  <c r="A364" i="19"/>
  <c r="B113" i="16"/>
  <c r="E113" i="20"/>
  <c r="AM113" i="20" s="1"/>
  <c r="M678" i="20"/>
  <c r="J678" i="20"/>
  <c r="J434" i="19"/>
  <c r="M434" i="19"/>
  <c r="M214" i="20"/>
  <c r="J214" i="20"/>
  <c r="I690" i="19"/>
  <c r="M690" i="19"/>
  <c r="M36" i="20"/>
  <c r="J36" i="20"/>
  <c r="J339" i="20"/>
  <c r="M339" i="20"/>
  <c r="H74" i="16"/>
  <c r="P74" i="16" s="1"/>
  <c r="H74" i="20"/>
  <c r="F74" i="19"/>
  <c r="B225" i="20"/>
  <c r="AL225" i="20" s="1"/>
  <c r="B225" i="19"/>
  <c r="L573" i="19"/>
  <c r="H573" i="19"/>
  <c r="L248" i="9"/>
  <c r="B248" i="11"/>
  <c r="M810" i="20"/>
  <c r="J810" i="20"/>
  <c r="AN30" i="10"/>
  <c r="Q30" i="20" s="1"/>
  <c r="O30" i="10"/>
  <c r="AU30" i="10"/>
  <c r="M74" i="20"/>
  <c r="J74" i="20"/>
  <c r="M211" i="20"/>
  <c r="J211" i="20"/>
  <c r="H579" i="16"/>
  <c r="P579" i="16" s="1"/>
  <c r="H579" i="20"/>
  <c r="F579" i="19"/>
  <c r="H651" i="16"/>
  <c r="P651" i="16" s="1"/>
  <c r="H651" i="20"/>
  <c r="F651" i="19"/>
  <c r="A34" i="20"/>
  <c r="A34" i="16"/>
  <c r="A34" i="19"/>
  <c r="L744" i="9"/>
  <c r="B744" i="11"/>
  <c r="H641" i="20"/>
  <c r="H641" i="16"/>
  <c r="P641" i="16" s="1"/>
  <c r="F641" i="19"/>
  <c r="E239" i="20"/>
  <c r="AM239" i="20" s="1"/>
  <c r="B239" i="16"/>
  <c r="M782" i="20"/>
  <c r="J782" i="20"/>
  <c r="M135" i="20"/>
  <c r="J135" i="20"/>
  <c r="A191" i="16"/>
  <c r="A191" i="20"/>
  <c r="A191" i="19"/>
  <c r="B115" i="16"/>
  <c r="E115" i="20"/>
  <c r="AM115" i="20" s="1"/>
  <c r="B179" i="16"/>
  <c r="E179" i="20"/>
  <c r="AM179" i="20" s="1"/>
  <c r="M392" i="20"/>
  <c r="J392" i="20"/>
  <c r="H293" i="16"/>
  <c r="P293" i="16" s="1"/>
  <c r="H293" i="20"/>
  <c r="F293" i="19"/>
  <c r="I802" i="19"/>
  <c r="M802" i="19"/>
  <c r="M194" i="19"/>
  <c r="I194" i="19"/>
  <c r="B438" i="16"/>
  <c r="E438" i="20"/>
  <c r="AM438" i="20" s="1"/>
  <c r="B370" i="19"/>
  <c r="B370" i="20"/>
  <c r="AL370" i="20" s="1"/>
  <c r="B294" i="16"/>
  <c r="E294" i="20"/>
  <c r="AM294" i="20" s="1"/>
  <c r="B135" i="16"/>
  <c r="E135" i="20"/>
  <c r="AM135" i="20" s="1"/>
  <c r="H770" i="19"/>
  <c r="L770" i="19"/>
  <c r="L628" i="9"/>
  <c r="B628" i="11"/>
  <c r="E575" i="20"/>
  <c r="AM575" i="20" s="1"/>
  <c r="B575" i="16"/>
  <c r="B340" i="16"/>
  <c r="E340" i="20"/>
  <c r="AM340" i="20" s="1"/>
  <c r="B87" i="16"/>
  <c r="E87" i="20"/>
  <c r="AM87" i="20" s="1"/>
  <c r="B810" i="16"/>
  <c r="E810" i="20"/>
  <c r="AM810" i="20" s="1"/>
  <c r="A398" i="16"/>
  <c r="A398" i="20"/>
  <c r="A398" i="19"/>
  <c r="M142" i="20"/>
  <c r="J142" i="20"/>
  <c r="I660" i="19"/>
  <c r="M660" i="19"/>
  <c r="O39" i="10"/>
  <c r="AN39" i="10"/>
  <c r="Q39" i="20" s="1"/>
  <c r="AU39" i="10"/>
  <c r="C551" i="16"/>
  <c r="F551" i="20"/>
  <c r="E551" i="19"/>
  <c r="C346" i="16"/>
  <c r="E346" i="19"/>
  <c r="F346" i="20"/>
  <c r="B577" i="16"/>
  <c r="E577" i="20"/>
  <c r="AM577" i="20" s="1"/>
  <c r="B342" i="16"/>
  <c r="E342" i="20"/>
  <c r="AM342" i="20" s="1"/>
  <c r="O554" i="16"/>
  <c r="S554" i="16"/>
  <c r="K554" i="16"/>
  <c r="S731" i="16"/>
  <c r="K731" i="16"/>
  <c r="O731" i="16"/>
  <c r="C792" i="16"/>
  <c r="F792" i="20"/>
  <c r="E792" i="19"/>
  <c r="O49" i="10"/>
  <c r="F10" i="18" s="1"/>
  <c r="H10" i="18" s="1"/>
  <c r="AU49" i="10"/>
  <c r="AN49" i="10"/>
  <c r="Q49" i="20" s="1"/>
  <c r="M622" i="20"/>
  <c r="J622" i="20"/>
  <c r="J284" i="20"/>
  <c r="M284" i="20"/>
  <c r="M632" i="20"/>
  <c r="J632" i="20"/>
  <c r="J325" i="20"/>
  <c r="M325" i="20"/>
  <c r="J695" i="20"/>
  <c r="M695" i="20"/>
  <c r="M59" i="19"/>
  <c r="I59" i="19"/>
  <c r="B504" i="16"/>
  <c r="E504" i="20"/>
  <c r="AM504" i="20" s="1"/>
  <c r="B614" i="16"/>
  <c r="E614" i="20"/>
  <c r="AM614" i="20" s="1"/>
  <c r="J504" i="20"/>
  <c r="M504" i="20"/>
  <c r="B355" i="11"/>
  <c r="L355" i="9"/>
  <c r="A275" i="16"/>
  <c r="A275" i="20"/>
  <c r="A275" i="19"/>
  <c r="M361" i="19"/>
  <c r="I361" i="19"/>
  <c r="H184" i="16"/>
  <c r="P184" i="16" s="1"/>
  <c r="H184" i="20"/>
  <c r="F184" i="19"/>
  <c r="I691" i="20"/>
  <c r="L691" i="20"/>
  <c r="H418" i="16"/>
  <c r="P418" i="16" s="1"/>
  <c r="H418" i="20"/>
  <c r="F418" i="19"/>
  <c r="J493" i="20"/>
  <c r="M493" i="20"/>
  <c r="M757" i="19"/>
  <c r="I757" i="19"/>
  <c r="B437" i="20"/>
  <c r="AL437" i="20" s="1"/>
  <c r="B437" i="19"/>
  <c r="M187" i="20"/>
  <c r="J187" i="20"/>
  <c r="H365" i="19"/>
  <c r="L365" i="19"/>
  <c r="M200" i="20"/>
  <c r="J200" i="20"/>
  <c r="S341" i="16"/>
  <c r="O341" i="16"/>
  <c r="K341" i="16"/>
  <c r="C680" i="16"/>
  <c r="F680" i="20"/>
  <c r="E680" i="19"/>
  <c r="B597" i="16"/>
  <c r="E597" i="20"/>
  <c r="AM597" i="20" s="1"/>
  <c r="D47" i="6"/>
  <c r="L660" i="9"/>
  <c r="B660" i="11"/>
  <c r="I42" i="7"/>
  <c r="AN42" i="16" s="1"/>
  <c r="B452" i="16"/>
  <c r="E452" i="20"/>
  <c r="AM452" i="20" s="1"/>
  <c r="C23" i="6"/>
  <c r="B449" i="20"/>
  <c r="AL449" i="20" s="1"/>
  <c r="B449" i="19"/>
  <c r="A411" i="16"/>
  <c r="A411" i="19"/>
  <c r="A411" i="20"/>
  <c r="I552" i="19"/>
  <c r="M552" i="19"/>
  <c r="M581" i="20"/>
  <c r="J581" i="20"/>
  <c r="M188" i="20"/>
  <c r="J188" i="20"/>
  <c r="H823" i="16"/>
  <c r="P823" i="16" s="1"/>
  <c r="X823" i="16" s="1"/>
  <c r="F823" i="19"/>
  <c r="H823" i="20"/>
  <c r="I823" i="9"/>
  <c r="J823" i="9" s="1"/>
  <c r="C823" i="19" s="1"/>
  <c r="I174" i="19"/>
  <c r="M174" i="19"/>
  <c r="M64" i="19"/>
  <c r="I64" i="19"/>
  <c r="L771" i="20"/>
  <c r="I771" i="20"/>
  <c r="L365" i="20"/>
  <c r="I365" i="20"/>
  <c r="O5" i="10"/>
  <c r="AN5" i="10"/>
  <c r="Q5" i="20" s="1"/>
  <c r="AU5" i="10"/>
  <c r="M637" i="19"/>
  <c r="I637" i="19"/>
  <c r="S315" i="16"/>
  <c r="O315" i="16"/>
  <c r="K315" i="16"/>
  <c r="S583" i="16"/>
  <c r="O583" i="16"/>
  <c r="K583" i="16"/>
  <c r="H357" i="16"/>
  <c r="P357" i="16" s="1"/>
  <c r="H357" i="20"/>
  <c r="F357" i="19"/>
  <c r="A178" i="16"/>
  <c r="A178" i="20"/>
  <c r="A178" i="19"/>
  <c r="C617" i="16"/>
  <c r="F617" i="20"/>
  <c r="E617" i="19"/>
  <c r="L386" i="9"/>
  <c r="B386" i="11"/>
  <c r="H775" i="16"/>
  <c r="P775" i="16" s="1"/>
  <c r="H775" i="20"/>
  <c r="F775" i="19"/>
  <c r="J451" i="20"/>
  <c r="M451" i="20"/>
  <c r="I352" i="19"/>
  <c r="M352" i="19"/>
  <c r="I52" i="19"/>
  <c r="M52" i="19"/>
  <c r="J729" i="20"/>
  <c r="M729" i="20"/>
  <c r="M673" i="20"/>
  <c r="J673" i="20"/>
  <c r="M748" i="19"/>
  <c r="I748" i="19"/>
  <c r="J793" i="20"/>
  <c r="M793" i="20"/>
  <c r="M742" i="20"/>
  <c r="J742" i="20"/>
  <c r="J638" i="20"/>
  <c r="M638" i="20"/>
  <c r="M582" i="20"/>
  <c r="J582" i="20"/>
  <c r="J524" i="20"/>
  <c r="M524" i="20"/>
  <c r="J454" i="20"/>
  <c r="M454" i="20"/>
  <c r="M734" i="19"/>
  <c r="I734" i="19"/>
  <c r="I652" i="19"/>
  <c r="M652" i="19"/>
  <c r="A599" i="16"/>
  <c r="A599" i="20"/>
  <c r="A599" i="19"/>
  <c r="A519" i="16"/>
  <c r="A519" i="20"/>
  <c r="A519" i="19"/>
  <c r="A439" i="16"/>
  <c r="A439" i="20"/>
  <c r="A439" i="19"/>
  <c r="A289" i="16"/>
  <c r="A289" i="20"/>
  <c r="A289" i="19"/>
  <c r="A199" i="16"/>
  <c r="A199" i="20"/>
  <c r="A199" i="19"/>
  <c r="B562" i="20"/>
  <c r="AL562" i="20" s="1"/>
  <c r="B562" i="19"/>
  <c r="B352" i="20"/>
  <c r="AL352" i="20" s="1"/>
  <c r="B352" i="19"/>
  <c r="L35" i="9"/>
  <c r="B35" i="11"/>
  <c r="J71" i="20"/>
  <c r="M71" i="20"/>
  <c r="B732" i="20"/>
  <c r="AL732" i="20" s="1"/>
  <c r="B732" i="19"/>
  <c r="B632" i="20"/>
  <c r="AL632" i="20" s="1"/>
  <c r="B632" i="19"/>
  <c r="B462" i="20"/>
  <c r="AL462" i="20" s="1"/>
  <c r="B462" i="19"/>
  <c r="B205" i="11"/>
  <c r="L205" i="9"/>
  <c r="A115" i="16"/>
  <c r="A115" i="20"/>
  <c r="A115" i="19"/>
  <c r="A39" i="20"/>
  <c r="A39" i="16"/>
  <c r="A39" i="19"/>
  <c r="L25" i="9"/>
  <c r="B25" i="11"/>
  <c r="B345" i="11"/>
  <c r="L345" i="9"/>
  <c r="M120" i="20"/>
  <c r="J120" i="20"/>
  <c r="A315" i="16"/>
  <c r="A315" i="20"/>
  <c r="A315" i="19"/>
  <c r="H287" i="16"/>
  <c r="P287" i="16" s="1"/>
  <c r="H287" i="20"/>
  <c r="F287" i="19"/>
  <c r="A467" i="16"/>
  <c r="A467" i="20"/>
  <c r="A467" i="19"/>
  <c r="A107" i="16"/>
  <c r="A107" i="20"/>
  <c r="A107" i="19"/>
  <c r="J773" i="20"/>
  <c r="M773" i="20"/>
  <c r="C565" i="16"/>
  <c r="F565" i="20"/>
  <c r="E565" i="19"/>
  <c r="M785" i="19"/>
  <c r="I785" i="19"/>
  <c r="B733" i="11"/>
  <c r="L733" i="9"/>
  <c r="A494" i="16"/>
  <c r="A494" i="20"/>
  <c r="A494" i="19"/>
  <c r="L354" i="9"/>
  <c r="B354" i="11"/>
  <c r="B221" i="16"/>
  <c r="E221" i="20"/>
  <c r="AM221" i="20" s="1"/>
  <c r="L138" i="9"/>
  <c r="B138" i="11"/>
  <c r="B225" i="16"/>
  <c r="E225" i="20"/>
  <c r="AM225" i="20" s="1"/>
  <c r="B182" i="16"/>
  <c r="E182" i="20"/>
  <c r="AM182" i="20" s="1"/>
  <c r="L60" i="9"/>
  <c r="B60" i="11"/>
  <c r="I740" i="19"/>
  <c r="M740" i="19"/>
  <c r="B608" i="16"/>
  <c r="E608" i="20"/>
  <c r="AM608" i="20" s="1"/>
  <c r="M423" i="19"/>
  <c r="I423" i="19"/>
  <c r="J338" i="20"/>
  <c r="M338" i="20"/>
  <c r="J690" i="20"/>
  <c r="M690" i="20"/>
  <c r="M596" i="20"/>
  <c r="J596" i="20"/>
  <c r="M485" i="20"/>
  <c r="J485" i="20"/>
  <c r="S301" i="16"/>
  <c r="O301" i="16"/>
  <c r="K301" i="16"/>
  <c r="M150" i="20"/>
  <c r="J150" i="20"/>
  <c r="M33" i="20"/>
  <c r="J33" i="20"/>
  <c r="M440" i="20"/>
  <c r="J440" i="20"/>
  <c r="L783" i="9"/>
  <c r="B783" i="11"/>
  <c r="B641" i="11"/>
  <c r="L641" i="9"/>
  <c r="A548" i="16"/>
  <c r="A548" i="20"/>
  <c r="A548" i="19"/>
  <c r="B696" i="11"/>
  <c r="L696" i="9"/>
  <c r="O634" i="16"/>
  <c r="K634" i="16"/>
  <c r="S634" i="16"/>
  <c r="AU41" i="10"/>
  <c r="AN41" i="10"/>
  <c r="Q41" i="20" s="1"/>
  <c r="O41" i="10"/>
  <c r="B618" i="16"/>
  <c r="E618" i="20"/>
  <c r="AM618" i="20" s="1"/>
  <c r="B226" i="19"/>
  <c r="B226" i="20"/>
  <c r="AL226" i="20" s="1"/>
  <c r="E61" i="20"/>
  <c r="AM61" i="20" s="1"/>
  <c r="B61" i="16"/>
  <c r="M9" i="20"/>
  <c r="J9" i="20"/>
  <c r="I350" i="19"/>
  <c r="M350" i="19"/>
  <c r="M225" i="19"/>
  <c r="I225" i="19"/>
  <c r="B754" i="20"/>
  <c r="AL754" i="20" s="1"/>
  <c r="B754" i="19"/>
  <c r="B566" i="20"/>
  <c r="AL566" i="20" s="1"/>
  <c r="B566" i="19"/>
  <c r="L326" i="9"/>
  <c r="B326" i="11"/>
  <c r="B215" i="16"/>
  <c r="E215" i="20"/>
  <c r="AM215" i="20" s="1"/>
  <c r="H592" i="19"/>
  <c r="L592" i="19"/>
  <c r="K592" i="19"/>
  <c r="B317" i="20"/>
  <c r="AL317" i="20" s="1"/>
  <c r="B317" i="19"/>
  <c r="M823" i="20"/>
  <c r="J823" i="20"/>
  <c r="M570" i="19"/>
  <c r="I570" i="19"/>
  <c r="M614" i="20"/>
  <c r="J614" i="20"/>
  <c r="J274" i="20"/>
  <c r="M274" i="20"/>
  <c r="J204" i="20"/>
  <c r="M204" i="20"/>
  <c r="J134" i="20"/>
  <c r="M134" i="20"/>
  <c r="M64" i="20"/>
  <c r="J64" i="20"/>
  <c r="I630" i="19"/>
  <c r="M630" i="19"/>
  <c r="M714" i="20"/>
  <c r="J714" i="20"/>
  <c r="A592" i="16"/>
  <c r="A592" i="19"/>
  <c r="A592" i="20"/>
  <c r="J483" i="20"/>
  <c r="M483" i="20"/>
  <c r="M68" i="20"/>
  <c r="J68" i="20"/>
  <c r="M39" i="19"/>
  <c r="I39" i="19"/>
  <c r="A569" i="16"/>
  <c r="A569" i="20"/>
  <c r="A569" i="19"/>
  <c r="A489" i="16"/>
  <c r="A489" i="20"/>
  <c r="A489" i="19"/>
  <c r="A259" i="16"/>
  <c r="A259" i="20"/>
  <c r="A259" i="19"/>
  <c r="B312" i="20"/>
  <c r="AL312" i="20" s="1"/>
  <c r="B312" i="19"/>
  <c r="B122" i="20"/>
  <c r="AL122" i="20" s="1"/>
  <c r="B122" i="19"/>
  <c r="M94" i="19"/>
  <c r="I94" i="19"/>
  <c r="M796" i="19"/>
  <c r="I796" i="19"/>
  <c r="J456" i="20"/>
  <c r="M456" i="20"/>
  <c r="M255" i="20"/>
  <c r="J255" i="20"/>
  <c r="J141" i="20"/>
  <c r="M141" i="20"/>
  <c r="B162" i="20"/>
  <c r="AL162" i="20" s="1"/>
  <c r="B162" i="19"/>
  <c r="O16" i="10"/>
  <c r="AN16" i="10"/>
  <c r="Q16" i="20" s="1"/>
  <c r="AU16" i="10"/>
  <c r="C141" i="16"/>
  <c r="F141" i="20"/>
  <c r="E141" i="19"/>
  <c r="H147" i="16"/>
  <c r="P147" i="16" s="1"/>
  <c r="H147" i="20"/>
  <c r="F147" i="19"/>
  <c r="B55" i="11"/>
  <c r="L55" i="9"/>
  <c r="A85" i="16"/>
  <c r="A85" i="20"/>
  <c r="A85" i="19"/>
  <c r="M767" i="20"/>
  <c r="J767" i="20"/>
  <c r="M616" i="20"/>
  <c r="J616" i="20"/>
  <c r="J497" i="19"/>
  <c r="M497" i="19"/>
  <c r="M243" i="20"/>
  <c r="J243" i="20"/>
  <c r="H635" i="16"/>
  <c r="P635" i="16" s="1"/>
  <c r="H635" i="20"/>
  <c r="F635" i="19"/>
  <c r="J216" i="20"/>
  <c r="M216" i="20"/>
  <c r="I806" i="19"/>
  <c r="M806" i="19"/>
  <c r="B771" i="16"/>
  <c r="E771" i="20"/>
  <c r="AM771" i="20" s="1"/>
  <c r="C604" i="16"/>
  <c r="F604" i="20"/>
  <c r="E604" i="19"/>
  <c r="A468" i="16"/>
  <c r="A468" i="20"/>
  <c r="A468" i="19"/>
  <c r="C138" i="16"/>
  <c r="F138" i="20"/>
  <c r="E138" i="19"/>
  <c r="A31" i="16"/>
  <c r="A31" i="20"/>
  <c r="A31" i="19"/>
  <c r="J580" i="20"/>
  <c r="M580" i="20"/>
  <c r="L308" i="9"/>
  <c r="B308" i="11"/>
  <c r="L691" i="19"/>
  <c r="H691" i="19"/>
  <c r="B790" i="20"/>
  <c r="AL790" i="20" s="1"/>
  <c r="B790" i="19"/>
  <c r="B646" i="19"/>
  <c r="B646" i="20"/>
  <c r="AL646" i="20" s="1"/>
  <c r="A61" i="16"/>
  <c r="A61" i="20"/>
  <c r="A61" i="19"/>
  <c r="B171" i="16"/>
  <c r="E171" i="20"/>
  <c r="AM171" i="20" s="1"/>
  <c r="A710" i="16"/>
  <c r="A710" i="20"/>
  <c r="A710" i="19"/>
  <c r="M40" i="20"/>
  <c r="J40" i="20"/>
  <c r="H22" i="16"/>
  <c r="P22" i="16" s="1"/>
  <c r="H22" i="20"/>
  <c r="F22" i="19"/>
  <c r="M71" i="19"/>
  <c r="I71" i="19"/>
  <c r="B634" i="11"/>
  <c r="L634" i="9"/>
  <c r="K573" i="16"/>
  <c r="O573" i="16"/>
  <c r="S573" i="16"/>
  <c r="F418" i="20"/>
  <c r="C418" i="16"/>
  <c r="E418" i="19"/>
  <c r="B774" i="20"/>
  <c r="AL774" i="20" s="1"/>
  <c r="B774" i="19"/>
  <c r="B471" i="20"/>
  <c r="AL471" i="20" s="1"/>
  <c r="B471" i="19"/>
  <c r="A183" i="16"/>
  <c r="A183" i="20"/>
  <c r="A183" i="19"/>
  <c r="L95" i="20"/>
  <c r="I95" i="20"/>
  <c r="J655" i="20"/>
  <c r="M655" i="20"/>
  <c r="M557" i="19"/>
  <c r="I557" i="19"/>
  <c r="M794" i="20"/>
  <c r="J794" i="20"/>
  <c r="C655" i="16"/>
  <c r="F655" i="20"/>
  <c r="E655" i="19"/>
  <c r="H491" i="19"/>
  <c r="L491" i="19"/>
  <c r="A598" i="16"/>
  <c r="A598" i="20"/>
  <c r="A598" i="19"/>
  <c r="L476" i="9"/>
  <c r="B476" i="11"/>
  <c r="A647" i="16"/>
  <c r="A647" i="19"/>
  <c r="A647" i="20"/>
  <c r="H770" i="16"/>
  <c r="P770" i="16" s="1"/>
  <c r="H770" i="20"/>
  <c r="F770" i="19"/>
  <c r="K770" i="19" s="1"/>
  <c r="B669" i="16"/>
  <c r="E669" i="20"/>
  <c r="AM669" i="20" s="1"/>
  <c r="B549" i="20"/>
  <c r="AL549" i="20" s="1"/>
  <c r="B549" i="19"/>
  <c r="J531" i="20"/>
  <c r="M531" i="20"/>
  <c r="H57" i="16"/>
  <c r="P57" i="16" s="1"/>
  <c r="H57" i="20"/>
  <c r="F57" i="19"/>
  <c r="I292" i="19"/>
  <c r="M292" i="19"/>
  <c r="M152" i="19"/>
  <c r="I152" i="19"/>
  <c r="AU17" i="10"/>
  <c r="O17" i="10"/>
  <c r="AN17" i="10"/>
  <c r="Q17" i="20" s="1"/>
  <c r="M774" i="20"/>
  <c r="J774" i="20"/>
  <c r="M718" i="20"/>
  <c r="J718" i="20"/>
  <c r="M194" i="20"/>
  <c r="J194" i="20"/>
  <c r="J54" i="20"/>
  <c r="M54" i="20"/>
  <c r="J337" i="20"/>
  <c r="M337" i="20"/>
  <c r="M153" i="20"/>
  <c r="J153" i="20"/>
  <c r="I742" i="19"/>
  <c r="M742" i="19"/>
  <c r="J551" i="20"/>
  <c r="M551" i="20"/>
  <c r="M430" i="20"/>
  <c r="J430" i="20"/>
  <c r="B152" i="20"/>
  <c r="AL152" i="20" s="1"/>
  <c r="B152" i="19"/>
  <c r="L10" i="9"/>
  <c r="B10" i="11"/>
  <c r="M502" i="19"/>
  <c r="I502" i="19"/>
  <c r="A742" i="16"/>
  <c r="A742" i="20"/>
  <c r="A742" i="19"/>
  <c r="M228" i="20"/>
  <c r="J228" i="20"/>
  <c r="A635" i="16"/>
  <c r="A635" i="20"/>
  <c r="A635" i="19"/>
  <c r="A375" i="16"/>
  <c r="A375" i="20"/>
  <c r="A375" i="19"/>
  <c r="M190" i="20"/>
  <c r="J190" i="20"/>
  <c r="B763" i="16"/>
  <c r="E763" i="20"/>
  <c r="AM763" i="20" s="1"/>
  <c r="AL9" i="20"/>
  <c r="I489" i="19"/>
  <c r="M489" i="19"/>
  <c r="B555" i="16"/>
  <c r="E555" i="20"/>
  <c r="AM555" i="20" s="1"/>
  <c r="B411" i="16"/>
  <c r="E411" i="20"/>
  <c r="AM411" i="20" s="1"/>
  <c r="A264" i="16"/>
  <c r="A264" i="20"/>
  <c r="A264" i="19"/>
  <c r="A161" i="16"/>
  <c r="A161" i="19"/>
  <c r="A161" i="20"/>
  <c r="L741" i="19"/>
  <c r="K741" i="19"/>
  <c r="H741" i="19"/>
  <c r="B72" i="16"/>
  <c r="E72" i="20"/>
  <c r="AM72" i="20" s="1"/>
  <c r="H33" i="20"/>
  <c r="H33" i="16"/>
  <c r="P33" i="16" s="1"/>
  <c r="F33" i="19"/>
  <c r="K33" i="19" s="1"/>
  <c r="A804" i="16"/>
  <c r="A804" i="20"/>
  <c r="A804" i="19"/>
  <c r="B732" i="16"/>
  <c r="E732" i="20"/>
  <c r="AM732" i="20" s="1"/>
  <c r="L486" i="9"/>
  <c r="B486" i="11"/>
  <c r="B267" i="11"/>
  <c r="L267" i="9"/>
  <c r="A297" i="16"/>
  <c r="A297" i="20"/>
  <c r="A297" i="19"/>
  <c r="O491" i="16"/>
  <c r="K491" i="16"/>
  <c r="S491" i="16"/>
  <c r="B747" i="16"/>
  <c r="E747" i="20"/>
  <c r="AM747" i="20" s="1"/>
  <c r="B736" i="16"/>
  <c r="E736" i="20"/>
  <c r="AM736" i="20" s="1"/>
  <c r="C240" i="16"/>
  <c r="F240" i="20"/>
  <c r="E240" i="19"/>
  <c r="O63" i="10"/>
  <c r="F24" i="18" s="1"/>
  <c r="H24" i="18" s="1"/>
  <c r="AN63" i="10"/>
  <c r="Q63" i="20" s="1"/>
  <c r="AU63" i="10"/>
  <c r="M817" i="20"/>
  <c r="J817" i="20"/>
  <c r="M708" i="20"/>
  <c r="J708" i="20"/>
  <c r="J554" i="20"/>
  <c r="M554" i="20"/>
  <c r="M468" i="20"/>
  <c r="J468" i="20"/>
  <c r="M45" i="20"/>
  <c r="J45" i="20"/>
  <c r="I457" i="19"/>
  <c r="M457" i="19"/>
  <c r="A729" i="16"/>
  <c r="A729" i="20"/>
  <c r="A729" i="19"/>
  <c r="A639" i="16"/>
  <c r="A639" i="20"/>
  <c r="A639" i="19"/>
  <c r="A559" i="16"/>
  <c r="A559" i="20"/>
  <c r="A559" i="19"/>
  <c r="A399" i="16"/>
  <c r="A399" i="20"/>
  <c r="A399" i="19"/>
  <c r="A319" i="16"/>
  <c r="A319" i="20"/>
  <c r="A319" i="19"/>
  <c r="B452" i="20"/>
  <c r="AL452" i="20" s="1"/>
  <c r="B452" i="19"/>
  <c r="A145" i="16"/>
  <c r="A145" i="20"/>
  <c r="A145" i="19"/>
  <c r="M786" i="20"/>
  <c r="J786" i="20"/>
  <c r="I667" i="19"/>
  <c r="M667" i="19"/>
  <c r="M252" i="20"/>
  <c r="J252" i="20"/>
  <c r="I820" i="19"/>
  <c r="M820" i="19"/>
  <c r="H750" i="16"/>
  <c r="P750" i="16" s="1"/>
  <c r="H750" i="20"/>
  <c r="F750" i="19"/>
  <c r="A452" i="16"/>
  <c r="A452" i="20"/>
  <c r="A452" i="19"/>
  <c r="A352" i="16"/>
  <c r="A352" i="20"/>
  <c r="A352" i="19"/>
  <c r="L805" i="9"/>
  <c r="B805" i="11"/>
  <c r="B615" i="11"/>
  <c r="L615" i="9"/>
  <c r="I638" i="19"/>
  <c r="M638" i="19"/>
  <c r="M77" i="19"/>
  <c r="I77" i="19"/>
  <c r="A715" i="16"/>
  <c r="A715" i="19"/>
  <c r="A715" i="20"/>
  <c r="A455" i="16"/>
  <c r="A455" i="19"/>
  <c r="A455" i="20"/>
  <c r="A55" i="16"/>
  <c r="A55" i="20"/>
  <c r="A55" i="19"/>
  <c r="J754" i="20"/>
  <c r="M754" i="20"/>
  <c r="J594" i="20"/>
  <c r="M594" i="20"/>
  <c r="C421" i="16"/>
  <c r="F421" i="20"/>
  <c r="E421" i="19"/>
  <c r="M342" i="20"/>
  <c r="J342" i="20"/>
  <c r="M686" i="19"/>
  <c r="I686" i="19"/>
  <c r="L688" i="9"/>
  <c r="B688" i="11"/>
  <c r="B202" i="16"/>
  <c r="E202" i="20"/>
  <c r="AM202" i="20" s="1"/>
  <c r="E80" i="20"/>
  <c r="AM80" i="20" s="1"/>
  <c r="B80" i="16"/>
  <c r="M737" i="19"/>
  <c r="I737" i="19"/>
  <c r="B756" i="20"/>
  <c r="AL756" i="20" s="1"/>
  <c r="B756" i="19"/>
  <c r="C638" i="16"/>
  <c r="E638" i="19"/>
  <c r="F638" i="20"/>
  <c r="M180" i="20"/>
  <c r="J180" i="20"/>
  <c r="M30" i="20"/>
  <c r="J30" i="20"/>
  <c r="H40" i="16"/>
  <c r="P40" i="16" s="1"/>
  <c r="H40" i="20"/>
  <c r="F40" i="19"/>
  <c r="C736" i="16"/>
  <c r="F736" i="20"/>
  <c r="E736" i="19"/>
  <c r="E554" i="20"/>
  <c r="AM554" i="20" s="1"/>
  <c r="B554" i="16"/>
  <c r="B479" i="20"/>
  <c r="AL479" i="20" s="1"/>
  <c r="B479" i="19"/>
  <c r="J396" i="20"/>
  <c r="M396" i="20"/>
  <c r="L175" i="19"/>
  <c r="K175" i="19"/>
  <c r="H175" i="19"/>
  <c r="B470" i="16"/>
  <c r="E470" i="20"/>
  <c r="AM470" i="20" s="1"/>
  <c r="B465" i="16"/>
  <c r="E465" i="20"/>
  <c r="AM465" i="20" s="1"/>
  <c r="B572" i="16"/>
  <c r="E572" i="20"/>
  <c r="AM572" i="20" s="1"/>
  <c r="M796" i="20"/>
  <c r="J796" i="20"/>
  <c r="M287" i="20"/>
  <c r="J287" i="20"/>
  <c r="I695" i="19"/>
  <c r="M695" i="19"/>
  <c r="M143" i="20"/>
  <c r="J143" i="20"/>
  <c r="B255" i="16"/>
  <c r="E255" i="20"/>
  <c r="AM255" i="20" s="1"/>
  <c r="S621" i="16"/>
  <c r="O621" i="16"/>
  <c r="K621" i="16"/>
  <c r="M272" i="19"/>
  <c r="I272" i="19"/>
  <c r="J331" i="20"/>
  <c r="M331" i="20"/>
  <c r="M780" i="20"/>
  <c r="J780" i="20"/>
  <c r="M424" i="19"/>
  <c r="I424" i="19"/>
  <c r="J610" i="20"/>
  <c r="M610" i="20"/>
  <c r="J421" i="20"/>
  <c r="M421" i="20"/>
  <c r="M23" i="20"/>
  <c r="J23" i="20"/>
  <c r="B741" i="19"/>
  <c r="B741" i="20"/>
  <c r="AL741" i="20" s="1"/>
  <c r="B684" i="20"/>
  <c r="AL684" i="20" s="1"/>
  <c r="B684" i="19"/>
  <c r="H31" i="20"/>
  <c r="H31" i="16"/>
  <c r="P31" i="16" s="1"/>
  <c r="F31" i="19"/>
  <c r="H217" i="16"/>
  <c r="P217" i="16" s="1"/>
  <c r="H217" i="20"/>
  <c r="F217" i="19"/>
  <c r="B402" i="16"/>
  <c r="E402" i="20"/>
  <c r="AM402" i="20" s="1"/>
  <c r="J423" i="20"/>
  <c r="M423" i="20"/>
  <c r="M262" i="19"/>
  <c r="I262" i="19"/>
  <c r="M806" i="20"/>
  <c r="J806" i="20"/>
  <c r="M548" i="20"/>
  <c r="J548" i="20"/>
  <c r="C121" i="16"/>
  <c r="F121" i="20"/>
  <c r="E121" i="19"/>
  <c r="M626" i="20"/>
  <c r="J626" i="20"/>
  <c r="O801" i="16"/>
  <c r="K801" i="16"/>
  <c r="S801" i="16"/>
  <c r="B565" i="11"/>
  <c r="L565" i="9"/>
  <c r="B335" i="11"/>
  <c r="L335" i="9"/>
  <c r="J764" i="20"/>
  <c r="M764" i="20"/>
  <c r="H18" i="16"/>
  <c r="P18" i="16" s="1"/>
  <c r="H18" i="20"/>
  <c r="F18" i="19"/>
  <c r="AB16" i="16"/>
  <c r="A535" i="16"/>
  <c r="A535" i="19"/>
  <c r="A535" i="20"/>
  <c r="M748" i="20"/>
  <c r="J748" i="20"/>
  <c r="M167" i="20"/>
  <c r="J167" i="20"/>
  <c r="I758" i="19"/>
  <c r="M758" i="19"/>
  <c r="M224" i="19"/>
  <c r="I224" i="19"/>
  <c r="A521" i="16"/>
  <c r="A521" i="20"/>
  <c r="A521" i="19"/>
  <c r="A127" i="16"/>
  <c r="A127" i="20"/>
  <c r="A127" i="19"/>
  <c r="A73" i="16"/>
  <c r="A73" i="19"/>
  <c r="A73" i="20"/>
  <c r="M162" i="20"/>
  <c r="J162" i="20"/>
  <c r="A631" i="16"/>
  <c r="A631" i="20"/>
  <c r="A631" i="19"/>
  <c r="M728" i="20"/>
  <c r="J728" i="20"/>
  <c r="H231" i="19"/>
  <c r="L231" i="19"/>
  <c r="K231" i="19"/>
  <c r="M772" i="20"/>
  <c r="J772" i="20"/>
  <c r="M530" i="20"/>
  <c r="J530" i="20"/>
  <c r="J268" i="19"/>
  <c r="M268" i="19"/>
  <c r="M128" i="20"/>
  <c r="J128" i="20"/>
  <c r="H538" i="16"/>
  <c r="P538" i="16" s="1"/>
  <c r="H538" i="20"/>
  <c r="F538" i="19"/>
  <c r="I34" i="19"/>
  <c r="M34" i="19"/>
  <c r="B388" i="11"/>
  <c r="L388" i="9"/>
  <c r="L511" i="20"/>
  <c r="I511" i="20"/>
  <c r="J341" i="20"/>
  <c r="M341" i="20"/>
  <c r="J756" i="20"/>
  <c r="M756" i="20"/>
  <c r="C465" i="16"/>
  <c r="F465" i="20"/>
  <c r="E465" i="19"/>
  <c r="A51" i="16"/>
  <c r="A51" i="20"/>
  <c r="A51" i="19"/>
  <c r="J480" i="19"/>
  <c r="M480" i="19"/>
  <c r="M137" i="20"/>
  <c r="J137" i="20"/>
  <c r="A440" i="16"/>
  <c r="A440" i="20"/>
  <c r="A440" i="19"/>
  <c r="B664" i="16"/>
  <c r="E664" i="20"/>
  <c r="AM664" i="20" s="1"/>
  <c r="L225" i="20"/>
  <c r="I225" i="20"/>
  <c r="I412" i="19"/>
  <c r="M412" i="19"/>
  <c r="M762" i="19"/>
  <c r="I762" i="19"/>
  <c r="I462" i="19"/>
  <c r="M462" i="19"/>
  <c r="M454" i="19"/>
  <c r="I454" i="19"/>
  <c r="M607" i="20"/>
  <c r="J607" i="20"/>
  <c r="M205" i="20"/>
  <c r="J205" i="20"/>
  <c r="A625" i="16"/>
  <c r="A625" i="20"/>
  <c r="A625" i="19"/>
  <c r="M30" i="19"/>
  <c r="I30" i="19"/>
  <c r="B817" i="11"/>
  <c r="L817" i="9"/>
  <c r="A623" i="16"/>
  <c r="A623" i="20"/>
  <c r="A623" i="19"/>
  <c r="A441" i="16"/>
  <c r="A441" i="19"/>
  <c r="A441" i="20"/>
  <c r="B611" i="16"/>
  <c r="E611" i="20"/>
  <c r="AM611" i="20" s="1"/>
  <c r="C474" i="16"/>
  <c r="F474" i="20"/>
  <c r="E474" i="19"/>
  <c r="A403" i="16"/>
  <c r="A403" i="20"/>
  <c r="A403" i="19"/>
  <c r="C304" i="16"/>
  <c r="F304" i="20"/>
  <c r="E304" i="19"/>
  <c r="L175" i="20"/>
  <c r="I175" i="20"/>
  <c r="J111" i="20"/>
  <c r="M111" i="20"/>
  <c r="A648" i="16"/>
  <c r="A648" i="20"/>
  <c r="A648" i="19"/>
  <c r="A363" i="16"/>
  <c r="A363" i="20"/>
  <c r="A363" i="19"/>
  <c r="B270" i="20"/>
  <c r="AL270" i="20" s="1"/>
  <c r="B270" i="19"/>
  <c r="H536" i="16"/>
  <c r="P536" i="16" s="1"/>
  <c r="F536" i="19"/>
  <c r="H536" i="20"/>
  <c r="L538" i="9"/>
  <c r="B538" i="11"/>
  <c r="B341" i="16"/>
  <c r="E341" i="20"/>
  <c r="AM341" i="20" s="1"/>
  <c r="B129" i="16"/>
  <c r="E129" i="20"/>
  <c r="AM129" i="20" s="1"/>
  <c r="A81" i="16"/>
  <c r="A81" i="20"/>
  <c r="A81" i="19"/>
  <c r="A811" i="16"/>
  <c r="A811" i="20"/>
  <c r="A811" i="19"/>
  <c r="B662" i="16"/>
  <c r="E662" i="20"/>
  <c r="AM662" i="20" s="1"/>
  <c r="K588" i="16"/>
  <c r="O588" i="16"/>
  <c r="S588" i="16"/>
  <c r="M815" i="20"/>
  <c r="J815" i="20"/>
  <c r="C451" i="16"/>
  <c r="E451" i="19"/>
  <c r="F451" i="20"/>
  <c r="M42" i="20"/>
  <c r="J42" i="20"/>
  <c r="J532" i="20"/>
  <c r="M532" i="20"/>
  <c r="M129" i="20"/>
  <c r="J129" i="20"/>
  <c r="I474" i="19"/>
  <c r="M474" i="19"/>
  <c r="H782" i="16"/>
  <c r="P782" i="16" s="1"/>
  <c r="H782" i="20"/>
  <c r="F782" i="19"/>
  <c r="AU61" i="10"/>
  <c r="AN61" i="10"/>
  <c r="Q61" i="20" s="1"/>
  <c r="O61" i="10"/>
  <c r="F22" i="18" s="1"/>
  <c r="H22" i="18" s="1"/>
  <c r="B138" i="16"/>
  <c r="E138" i="20"/>
  <c r="AM138" i="20" s="1"/>
  <c r="B588" i="16"/>
  <c r="E588" i="20"/>
  <c r="AM588" i="20" s="1"/>
  <c r="L551" i="9"/>
  <c r="B551" i="11"/>
  <c r="H398" i="16"/>
  <c r="P398" i="16" s="1"/>
  <c r="F398" i="19"/>
  <c r="H398" i="20"/>
  <c r="L321" i="19"/>
  <c r="K321" i="19"/>
  <c r="H321" i="19"/>
  <c r="B774" i="16"/>
  <c r="E774" i="20"/>
  <c r="AM774" i="20" s="1"/>
  <c r="A820" i="16"/>
  <c r="A820" i="19"/>
  <c r="A820" i="20"/>
  <c r="A644" i="16"/>
  <c r="A644" i="20"/>
  <c r="A644" i="19"/>
  <c r="J669" i="20"/>
  <c r="M669" i="20"/>
  <c r="A568" i="16"/>
  <c r="A568" i="20"/>
  <c r="A568" i="19"/>
  <c r="B217" i="16"/>
  <c r="E217" i="20"/>
  <c r="AM217" i="20" s="1"/>
  <c r="K248" i="16"/>
  <c r="O248" i="16"/>
  <c r="S248" i="16"/>
  <c r="M532" i="19"/>
  <c r="I532" i="19"/>
  <c r="J745" i="20"/>
  <c r="M745" i="20"/>
  <c r="M667" i="20"/>
  <c r="J667" i="20"/>
  <c r="M445" i="20"/>
  <c r="J445" i="20"/>
  <c r="M649" i="19"/>
  <c r="I649" i="19"/>
  <c r="J588" i="20"/>
  <c r="M588" i="20"/>
  <c r="M113" i="19"/>
  <c r="I113" i="19"/>
  <c r="B669" i="19"/>
  <c r="B669" i="20"/>
  <c r="AL669" i="20" s="1"/>
  <c r="C290" i="16"/>
  <c r="F290" i="20"/>
  <c r="E290" i="19"/>
  <c r="L275" i="20"/>
  <c r="I275" i="20"/>
  <c r="L88" i="19"/>
  <c r="K88" i="19"/>
  <c r="H88" i="19"/>
  <c r="M247" i="20"/>
  <c r="J247" i="20"/>
  <c r="M586" i="19"/>
  <c r="I586" i="19"/>
  <c r="I231" i="20"/>
  <c r="L231" i="20"/>
  <c r="J584" i="20"/>
  <c r="M584" i="20"/>
  <c r="M125" i="20"/>
  <c r="J125" i="20"/>
  <c r="A698" i="16"/>
  <c r="A698" i="19"/>
  <c r="A698" i="20"/>
  <c r="M268" i="20"/>
  <c r="J268" i="20"/>
  <c r="M603" i="20"/>
  <c r="J603" i="20"/>
  <c r="H76" i="19"/>
  <c r="L76" i="19"/>
  <c r="O511" i="16"/>
  <c r="S511" i="16"/>
  <c r="K511" i="16"/>
  <c r="M382" i="20"/>
  <c r="J382" i="20"/>
  <c r="H310" i="16"/>
  <c r="P310" i="16" s="1"/>
  <c r="H310" i="20"/>
  <c r="F310" i="19"/>
  <c r="M800" i="20"/>
  <c r="J800" i="20"/>
  <c r="S321" i="16"/>
  <c r="O321" i="16"/>
  <c r="K321" i="16"/>
  <c r="M470" i="19"/>
  <c r="I470" i="19"/>
  <c r="B19" i="11"/>
  <c r="L19" i="9"/>
  <c r="J286" i="20"/>
  <c r="M286" i="20"/>
  <c r="J279" i="20"/>
  <c r="M279" i="20"/>
  <c r="A80" i="20"/>
  <c r="A80" i="16"/>
  <c r="A80" i="19"/>
  <c r="B781" i="16"/>
  <c r="E781" i="20"/>
  <c r="AM781" i="20" s="1"/>
  <c r="B8" i="16"/>
  <c r="E8" i="20"/>
  <c r="A601" i="16"/>
  <c r="A601" i="20"/>
  <c r="A601" i="19"/>
  <c r="B245" i="20"/>
  <c r="AL245" i="20" s="1"/>
  <c r="B245" i="19"/>
  <c r="L698" i="9"/>
  <c r="B698" i="11"/>
  <c r="L801" i="9"/>
  <c r="B801" i="11"/>
  <c r="B271" i="16"/>
  <c r="E271" i="20"/>
  <c r="AM271" i="20" s="1"/>
  <c r="J795" i="20"/>
  <c r="M795" i="20"/>
  <c r="I252" i="19"/>
  <c r="M252" i="19"/>
  <c r="I732" i="19"/>
  <c r="M732" i="19"/>
  <c r="M689" i="20"/>
  <c r="J689" i="20"/>
  <c r="M633" i="20"/>
  <c r="J633" i="20"/>
  <c r="M554" i="19"/>
  <c r="I554" i="19"/>
  <c r="C521" i="16"/>
  <c r="E521" i="19"/>
  <c r="F521" i="20"/>
  <c r="J316" i="20"/>
  <c r="M316" i="20"/>
  <c r="M115" i="20"/>
  <c r="J115" i="20"/>
  <c r="M21" i="20"/>
  <c r="J21" i="20"/>
  <c r="I442" i="19"/>
  <c r="M442" i="19"/>
  <c r="J529" i="20"/>
  <c r="M529" i="20"/>
  <c r="J380" i="20"/>
  <c r="M380" i="20"/>
  <c r="J266" i="20"/>
  <c r="M266" i="20"/>
  <c r="J412" i="20"/>
  <c r="M412" i="20"/>
  <c r="J301" i="20"/>
  <c r="M301" i="20"/>
  <c r="J146" i="20"/>
  <c r="M146" i="20"/>
  <c r="M37" i="19"/>
  <c r="I37" i="19"/>
  <c r="I151" i="20"/>
  <c r="L151" i="20"/>
  <c r="L448" i="9"/>
  <c r="B448" i="11"/>
  <c r="K231" i="16"/>
  <c r="O231" i="16"/>
  <c r="S231" i="16"/>
  <c r="B399" i="20"/>
  <c r="AL399" i="20" s="1"/>
  <c r="B399" i="19"/>
  <c r="L725" i="20"/>
  <c r="I725" i="20"/>
  <c r="A263" i="16"/>
  <c r="A263" i="20"/>
  <c r="A263" i="19"/>
  <c r="M647" i="20"/>
  <c r="J647" i="20"/>
  <c r="M408" i="20"/>
  <c r="J408" i="20"/>
  <c r="K76" i="16"/>
  <c r="O76" i="16"/>
  <c r="S76" i="16"/>
  <c r="M353" i="19"/>
  <c r="I353" i="19"/>
  <c r="I195" i="19"/>
  <c r="M195" i="19"/>
  <c r="H609" i="16"/>
  <c r="P609" i="16" s="1"/>
  <c r="H609" i="20"/>
  <c r="F609" i="19"/>
  <c r="H485" i="16"/>
  <c r="P485" i="16" s="1"/>
  <c r="H485" i="20"/>
  <c r="F485" i="19"/>
  <c r="J119" i="20"/>
  <c r="M119" i="20"/>
  <c r="H426" i="20"/>
  <c r="H426" i="16"/>
  <c r="P426" i="16" s="1"/>
  <c r="F426" i="19"/>
  <c r="L708" i="9"/>
  <c r="B708" i="11"/>
  <c r="B315" i="16"/>
  <c r="E315" i="20"/>
  <c r="AM315" i="20" s="1"/>
  <c r="B573" i="16"/>
  <c r="E573" i="20"/>
  <c r="AM573" i="20" s="1"/>
  <c r="M656" i="20"/>
  <c r="J656" i="20"/>
  <c r="B709" i="20"/>
  <c r="AL709" i="20" s="1"/>
  <c r="B709" i="19"/>
  <c r="B626" i="11"/>
  <c r="L626" i="9"/>
  <c r="A151" i="16"/>
  <c r="A151" i="20"/>
  <c r="A151" i="19"/>
  <c r="L251" i="19"/>
  <c r="K251" i="19"/>
  <c r="H251" i="19"/>
  <c r="B781" i="11"/>
  <c r="L781" i="9"/>
  <c r="L438" i="9"/>
  <c r="B438" i="11"/>
  <c r="B469" i="20"/>
  <c r="AL469" i="20" s="1"/>
  <c r="B469" i="19"/>
  <c r="L578" i="19"/>
  <c r="H578" i="19"/>
  <c r="B666" i="11"/>
  <c r="L666" i="9"/>
  <c r="B569" i="20"/>
  <c r="AL569" i="20" s="1"/>
  <c r="B569" i="19"/>
  <c r="C324" i="16"/>
  <c r="F324" i="20"/>
  <c r="E324" i="19"/>
  <c r="C239" i="16"/>
  <c r="F239" i="20"/>
  <c r="E239" i="19"/>
  <c r="M664" i="20"/>
  <c r="J664" i="20"/>
  <c r="L16" i="19"/>
  <c r="K16" i="19"/>
  <c r="H16" i="19"/>
  <c r="O38" i="16"/>
  <c r="S38" i="16"/>
  <c r="K38" i="16"/>
  <c r="C326" i="16"/>
  <c r="F326" i="20"/>
  <c r="E326" i="19"/>
  <c r="O59" i="10"/>
  <c r="F20" i="18" s="1"/>
  <c r="AU59" i="10"/>
  <c r="AN59" i="10"/>
  <c r="Q59" i="20" s="1"/>
  <c r="C745" i="16"/>
  <c r="F745" i="20"/>
  <c r="E745" i="19"/>
  <c r="I572" i="19"/>
  <c r="M572" i="19"/>
  <c r="H598" i="16"/>
  <c r="P598" i="16" s="1"/>
  <c r="H598" i="20"/>
  <c r="F598" i="19"/>
  <c r="A425" i="16"/>
  <c r="A425" i="20"/>
  <c r="A425" i="19"/>
  <c r="M707" i="20"/>
  <c r="J707" i="20"/>
  <c r="J79" i="20"/>
  <c r="M79" i="20"/>
  <c r="I27" i="19"/>
  <c r="M27" i="19"/>
  <c r="B375" i="11"/>
  <c r="L375" i="9"/>
  <c r="S431" i="16"/>
  <c r="O431" i="16"/>
  <c r="K431" i="16"/>
  <c r="B350" i="16"/>
  <c r="E350" i="20"/>
  <c r="AM350" i="20" s="1"/>
  <c r="J239" i="20"/>
  <c r="M239" i="20"/>
  <c r="I790" i="19"/>
  <c r="M790" i="19"/>
  <c r="M43" i="20"/>
  <c r="J43" i="20"/>
  <c r="L278" i="9"/>
  <c r="B278" i="11"/>
  <c r="H675" i="16"/>
  <c r="P675" i="16" s="1"/>
  <c r="F675" i="19"/>
  <c r="H675" i="20"/>
  <c r="M390" i="20"/>
  <c r="J390" i="20"/>
  <c r="M117" i="20"/>
  <c r="J117" i="20"/>
  <c r="H725" i="19"/>
  <c r="L725" i="19"/>
  <c r="M265" i="20"/>
  <c r="J265" i="20"/>
  <c r="I46" i="19"/>
  <c r="M46" i="19"/>
  <c r="B209" i="20"/>
  <c r="AL209" i="20" s="1"/>
  <c r="B209" i="19"/>
  <c r="J441" i="20"/>
  <c r="M441" i="20"/>
  <c r="M371" i="19"/>
  <c r="I371" i="19"/>
  <c r="I161" i="20"/>
  <c r="L161" i="20"/>
  <c r="I51" i="19"/>
  <c r="M51" i="19"/>
  <c r="L475" i="20"/>
  <c r="I475" i="20"/>
  <c r="K371" i="19"/>
  <c r="L371" i="19"/>
  <c r="H371" i="19"/>
  <c r="A41" i="16"/>
  <c r="A41" i="20"/>
  <c r="A41" i="19"/>
  <c r="J347" i="20"/>
  <c r="M347" i="20"/>
  <c r="L661" i="19"/>
  <c r="K661" i="19"/>
  <c r="H661" i="19"/>
  <c r="H322" i="16"/>
  <c r="P322" i="16" s="1"/>
  <c r="H322" i="20"/>
  <c r="F322" i="19"/>
  <c r="C756" i="16"/>
  <c r="F756" i="20"/>
  <c r="E756" i="19"/>
  <c r="B591" i="16"/>
  <c r="E591" i="20"/>
  <c r="AM591" i="20" s="1"/>
  <c r="J24" i="20"/>
  <c r="M24" i="20"/>
  <c r="I392" i="19"/>
  <c r="M392" i="19"/>
  <c r="M577" i="20"/>
  <c r="J577" i="20"/>
  <c r="H807" i="16"/>
  <c r="P807" i="16" s="1"/>
  <c r="H807" i="20"/>
  <c r="F807" i="19"/>
  <c r="M564" i="19"/>
  <c r="I564" i="19"/>
  <c r="I712" i="19"/>
  <c r="M712" i="19"/>
  <c r="M577" i="19"/>
  <c r="I577" i="19"/>
  <c r="B695" i="11"/>
  <c r="L695" i="9"/>
  <c r="B435" i="11"/>
  <c r="L435" i="9"/>
  <c r="A605" i="16"/>
  <c r="A605" i="19"/>
  <c r="A605" i="20"/>
  <c r="A515" i="16"/>
  <c r="A515" i="19"/>
  <c r="A515" i="20"/>
  <c r="A335" i="16"/>
  <c r="A335" i="20"/>
  <c r="A335" i="19"/>
  <c r="M547" i="20"/>
  <c r="J547" i="20"/>
  <c r="M260" i="20"/>
  <c r="J260" i="20"/>
  <c r="H558" i="16"/>
  <c r="P558" i="16" s="1"/>
  <c r="H558" i="20"/>
  <c r="F558" i="19"/>
  <c r="U2" i="20"/>
  <c r="S2" i="20"/>
  <c r="M221" i="20"/>
  <c r="J221" i="20"/>
  <c r="M324" i="19"/>
  <c r="I324" i="19"/>
  <c r="J744" i="20"/>
  <c r="M744" i="20"/>
  <c r="I253" i="19"/>
  <c r="M253" i="19"/>
  <c r="S151" i="16"/>
  <c r="K151" i="16"/>
  <c r="O151" i="16"/>
  <c r="L581" i="19"/>
  <c r="H581" i="19"/>
  <c r="M257" i="20"/>
  <c r="J257" i="20"/>
  <c r="O725" i="16"/>
  <c r="S725" i="16"/>
  <c r="K725" i="16"/>
  <c r="J496" i="20"/>
  <c r="M496" i="20"/>
  <c r="M121" i="20"/>
  <c r="J121" i="20"/>
  <c r="I76" i="20"/>
  <c r="L76" i="20"/>
  <c r="B679" i="20"/>
  <c r="AL679" i="20" s="1"/>
  <c r="B679" i="19"/>
  <c r="M95" i="20"/>
  <c r="J95" i="20"/>
  <c r="B87" i="11"/>
  <c r="L87" i="9"/>
  <c r="M305" i="20"/>
  <c r="J305" i="20"/>
  <c r="L161" i="19"/>
  <c r="H161" i="19"/>
  <c r="I602" i="19"/>
  <c r="M602" i="19"/>
  <c r="L371" i="20"/>
  <c r="I371" i="20"/>
  <c r="M39" i="20"/>
  <c r="J39" i="20"/>
  <c r="M512" i="19"/>
  <c r="I512" i="19"/>
  <c r="I372" i="19"/>
  <c r="M372" i="19"/>
  <c r="O14" i="10"/>
  <c r="AN14" i="10"/>
  <c r="Q14" i="20" s="1"/>
  <c r="AU14" i="10"/>
  <c r="M737" i="20"/>
  <c r="J737" i="20"/>
  <c r="M797" i="19"/>
  <c r="I797" i="19"/>
  <c r="M807" i="20"/>
  <c r="J807" i="20"/>
  <c r="M750" i="20"/>
  <c r="J750" i="20"/>
  <c r="M646" i="20"/>
  <c r="J646" i="20"/>
  <c r="J590" i="20"/>
  <c r="M590" i="20"/>
  <c r="J534" i="20"/>
  <c r="M534" i="20"/>
  <c r="M515" i="20"/>
  <c r="J515" i="20"/>
  <c r="M442" i="20"/>
  <c r="J442" i="20"/>
  <c r="B282" i="20"/>
  <c r="AL282" i="20" s="1"/>
  <c r="B282" i="19"/>
  <c r="B52" i="19"/>
  <c r="B52" i="20"/>
  <c r="AL52" i="20" s="1"/>
  <c r="I223" i="19"/>
  <c r="M223" i="19"/>
  <c r="L685" i="9"/>
  <c r="B685" i="11"/>
  <c r="A595" i="16"/>
  <c r="A595" i="20"/>
  <c r="A595" i="19"/>
  <c r="H431" i="16"/>
  <c r="P431" i="16" s="1"/>
  <c r="H431" i="20"/>
  <c r="F431" i="19"/>
  <c r="I620" i="19"/>
  <c r="M620" i="19"/>
  <c r="C354" i="16"/>
  <c r="F354" i="20"/>
  <c r="E354" i="19"/>
  <c r="A241" i="16"/>
  <c r="A241" i="20"/>
  <c r="A241" i="19"/>
  <c r="J15" i="20"/>
  <c r="M15" i="20"/>
  <c r="I232" i="19"/>
  <c r="M232" i="19"/>
  <c r="I628" i="19"/>
  <c r="M628" i="19"/>
  <c r="M681" i="20"/>
  <c r="J681" i="20"/>
  <c r="M625" i="20"/>
  <c r="J625" i="20"/>
  <c r="J384" i="20"/>
  <c r="M384" i="20"/>
  <c r="J234" i="20"/>
  <c r="M234" i="20"/>
  <c r="J164" i="20"/>
  <c r="M164" i="20"/>
  <c r="H764" i="16"/>
  <c r="P764" i="16" s="1"/>
  <c r="H764" i="20"/>
  <c r="F764" i="19"/>
  <c r="I720" i="19"/>
  <c r="M720" i="19"/>
  <c r="A779" i="16"/>
  <c r="A779" i="20"/>
  <c r="A779" i="19"/>
  <c r="A209" i="16"/>
  <c r="A209" i="20"/>
  <c r="A209" i="19"/>
  <c r="B582" i="20"/>
  <c r="AL582" i="20" s="1"/>
  <c r="B582" i="19"/>
  <c r="B382" i="20"/>
  <c r="AL382" i="20" s="1"/>
  <c r="B382" i="19"/>
  <c r="B135" i="11"/>
  <c r="L135" i="9"/>
  <c r="B742" i="20"/>
  <c r="AL742" i="20" s="1"/>
  <c r="B742" i="19"/>
  <c r="B642" i="19"/>
  <c r="B642" i="20"/>
  <c r="AL642" i="20" s="1"/>
  <c r="B472" i="20"/>
  <c r="AL472" i="20" s="1"/>
  <c r="B472" i="19"/>
  <c r="B42" i="20"/>
  <c r="AL42" i="20" s="1"/>
  <c r="B42" i="19"/>
  <c r="A135" i="16"/>
  <c r="A135" i="20"/>
  <c r="A135" i="19"/>
  <c r="M59" i="20"/>
  <c r="J59" i="20"/>
  <c r="L365" i="9"/>
  <c r="B365" i="11"/>
  <c r="A325" i="16"/>
  <c r="A325" i="20"/>
  <c r="A325" i="19"/>
  <c r="J409" i="20"/>
  <c r="M409" i="20"/>
  <c r="M416" i="19"/>
  <c r="I416" i="19"/>
  <c r="M210" i="19"/>
  <c r="I210" i="19"/>
  <c r="A501" i="16"/>
  <c r="A501" i="19"/>
  <c r="A501" i="20"/>
  <c r="L431" i="20"/>
  <c r="I431" i="20"/>
  <c r="M346" i="19"/>
  <c r="I346" i="19"/>
  <c r="H476" i="16"/>
  <c r="P476" i="16" s="1"/>
  <c r="H476" i="20"/>
  <c r="F476" i="19"/>
  <c r="M284" i="19"/>
  <c r="I284" i="19"/>
  <c r="A448" i="16"/>
  <c r="A448" i="20"/>
  <c r="A448" i="19"/>
  <c r="M811" i="19"/>
  <c r="I811" i="19"/>
  <c r="K581" i="16"/>
  <c r="S581" i="16"/>
  <c r="O581" i="16"/>
  <c r="M250" i="20"/>
  <c r="J250" i="20"/>
  <c r="M783" i="19"/>
  <c r="I783" i="19"/>
  <c r="L358" i="9"/>
  <c r="B358" i="11"/>
  <c r="A233" i="16"/>
  <c r="A233" i="20"/>
  <c r="A233" i="19"/>
  <c r="L45" i="20"/>
  <c r="I45" i="20"/>
  <c r="B119" i="20"/>
  <c r="AL119" i="20" s="1"/>
  <c r="B119" i="19"/>
  <c r="L380" i="9"/>
  <c r="B380" i="11"/>
  <c r="M643" i="20"/>
  <c r="J643" i="20"/>
  <c r="M397" i="20"/>
  <c r="J397" i="20"/>
  <c r="H67" i="16"/>
  <c r="P67" i="16" s="1"/>
  <c r="H67" i="20"/>
  <c r="F67" i="19"/>
  <c r="B179" i="20"/>
  <c r="AL179" i="20" s="1"/>
  <c r="B179" i="19"/>
  <c r="A346" i="16"/>
  <c r="A346" i="20"/>
  <c r="A346" i="19"/>
  <c r="A84" i="16"/>
  <c r="A84" i="20"/>
  <c r="A84" i="19"/>
  <c r="A721" i="16"/>
  <c r="A721" i="20"/>
  <c r="A721" i="19"/>
  <c r="AN48" i="10"/>
  <c r="Q48" i="20" s="1"/>
  <c r="O48" i="10"/>
  <c r="F9" i="18" s="1"/>
  <c r="AU48" i="10"/>
  <c r="A706" i="16"/>
  <c r="A706" i="20"/>
  <c r="A706" i="19"/>
  <c r="A608" i="16"/>
  <c r="A608" i="20"/>
  <c r="A608" i="19"/>
  <c r="K301" i="19"/>
  <c r="H301" i="19"/>
  <c r="L301" i="19"/>
  <c r="S161" i="16"/>
  <c r="O161" i="16"/>
  <c r="K161" i="16"/>
  <c r="S475" i="16"/>
  <c r="O475" i="16"/>
  <c r="K475" i="16"/>
  <c r="A554" i="16"/>
  <c r="A554" i="20"/>
  <c r="A554" i="19"/>
  <c r="U7" i="20"/>
  <c r="S7" i="20"/>
  <c r="K444" i="16"/>
  <c r="O444" i="16"/>
  <c r="S444" i="16"/>
  <c r="H218" i="16"/>
  <c r="P218" i="16" s="1"/>
  <c r="H218" i="20"/>
  <c r="F218" i="19"/>
  <c r="H270" i="16"/>
  <c r="P270" i="16" s="1"/>
  <c r="H270" i="20"/>
  <c r="F270" i="19"/>
  <c r="J658" i="20"/>
  <c r="M658" i="20"/>
  <c r="H26" i="16"/>
  <c r="P26" i="16" s="1"/>
  <c r="H26" i="20"/>
  <c r="F26" i="19"/>
  <c r="I583" i="20"/>
  <c r="L583" i="20"/>
  <c r="I16" i="20"/>
  <c r="L16" i="20"/>
  <c r="E67" i="20"/>
  <c r="AM67" i="20" s="1"/>
  <c r="B67" i="16"/>
  <c r="M52" i="20"/>
  <c r="J52" i="20"/>
  <c r="I72" i="19"/>
  <c r="M72" i="19"/>
  <c r="M312" i="19"/>
  <c r="I312" i="19"/>
  <c r="I172" i="19"/>
  <c r="M172" i="19"/>
  <c r="M697" i="20"/>
  <c r="J697" i="20"/>
  <c r="J542" i="20"/>
  <c r="M542" i="20"/>
  <c r="J104" i="20"/>
  <c r="M104" i="20"/>
  <c r="M639" i="20"/>
  <c r="J639" i="20"/>
  <c r="J509" i="20"/>
  <c r="M509" i="20"/>
  <c r="M267" i="20"/>
  <c r="J267" i="20"/>
  <c r="J109" i="20"/>
  <c r="M109" i="20"/>
  <c r="M682" i="19"/>
  <c r="I682" i="19"/>
  <c r="A789" i="16"/>
  <c r="A789" i="20"/>
  <c r="A789" i="19"/>
  <c r="A299" i="16"/>
  <c r="A299" i="20"/>
  <c r="A299" i="19"/>
  <c r="A219" i="16"/>
  <c r="A219" i="20"/>
  <c r="A219" i="19"/>
  <c r="B612" i="20"/>
  <c r="AL612" i="20" s="1"/>
  <c r="B612" i="19"/>
  <c r="B392" i="20"/>
  <c r="AL392" i="20" s="1"/>
  <c r="B392" i="19"/>
  <c r="B215" i="11"/>
  <c r="L215" i="9"/>
  <c r="A45" i="20"/>
  <c r="A45" i="16"/>
  <c r="A45" i="19"/>
  <c r="J477" i="20"/>
  <c r="M477" i="20"/>
  <c r="J319" i="20"/>
  <c r="M319" i="20"/>
  <c r="M601" i="19"/>
  <c r="I601" i="19"/>
  <c r="B302" i="20"/>
  <c r="AL302" i="20" s="1"/>
  <c r="B302" i="19"/>
  <c r="B82" i="20"/>
  <c r="AL82" i="20" s="1"/>
  <c r="B82" i="19"/>
  <c r="J792" i="20"/>
  <c r="M792" i="20"/>
  <c r="J459" i="20"/>
  <c r="M459" i="20"/>
  <c r="J363" i="20"/>
  <c r="M363" i="20"/>
  <c r="M126" i="20"/>
  <c r="J126" i="20"/>
  <c r="M482" i="19"/>
  <c r="I482" i="19"/>
  <c r="A232" i="16"/>
  <c r="A232" i="20"/>
  <c r="A232" i="19"/>
  <c r="L715" i="9"/>
  <c r="B715" i="11"/>
  <c r="B515" i="11"/>
  <c r="L515" i="9"/>
  <c r="AU34" i="10"/>
  <c r="O34" i="10"/>
  <c r="AN34" i="10"/>
  <c r="Q34" i="20" s="1"/>
  <c r="C711" i="16"/>
  <c r="F711" i="20"/>
  <c r="E711" i="19"/>
  <c r="M488" i="20"/>
  <c r="J488" i="20"/>
  <c r="M173" i="20"/>
  <c r="J173" i="20"/>
  <c r="I548" i="19"/>
  <c r="M548" i="19"/>
  <c r="L721" i="19"/>
  <c r="K721" i="19"/>
  <c r="H721" i="19"/>
  <c r="B465" i="11"/>
  <c r="L465" i="9"/>
  <c r="M809" i="19"/>
  <c r="I809" i="19"/>
  <c r="C281" i="16"/>
  <c r="F281" i="20"/>
  <c r="E281" i="19"/>
  <c r="M28" i="20"/>
  <c r="J28" i="20"/>
  <c r="A645" i="16"/>
  <c r="A645" i="20"/>
  <c r="A645" i="19"/>
  <c r="A385" i="16"/>
  <c r="A385" i="20"/>
  <c r="A385" i="19"/>
  <c r="A255" i="16"/>
  <c r="A255" i="20"/>
  <c r="A255" i="19"/>
  <c r="H692" i="16"/>
  <c r="P692" i="16" s="1"/>
  <c r="H692" i="20"/>
  <c r="F692" i="19"/>
  <c r="H187" i="16"/>
  <c r="P187" i="16" s="1"/>
  <c r="F187" i="19"/>
  <c r="H187" i="20"/>
  <c r="J486" i="20"/>
  <c r="M486" i="20"/>
  <c r="A236" i="16"/>
  <c r="A236" i="20"/>
  <c r="A236" i="19"/>
  <c r="J781" i="20"/>
  <c r="M781" i="20"/>
  <c r="K361" i="19"/>
  <c r="H361" i="19"/>
  <c r="L361" i="19"/>
  <c r="I185" i="19"/>
  <c r="M185" i="19"/>
  <c r="B96" i="20"/>
  <c r="AL96" i="20" s="1"/>
  <c r="B96" i="19"/>
  <c r="L671" i="19"/>
  <c r="K671" i="19"/>
  <c r="H671" i="19"/>
  <c r="A486" i="16"/>
  <c r="A486" i="20"/>
  <c r="A486" i="19"/>
  <c r="M819" i="20"/>
  <c r="J819" i="20"/>
  <c r="I679" i="19"/>
  <c r="M679" i="19"/>
  <c r="F679" i="20"/>
  <c r="E679" i="19"/>
  <c r="C679" i="16"/>
  <c r="I180" i="19"/>
  <c r="M180" i="19"/>
  <c r="M308" i="20"/>
  <c r="J308" i="20"/>
  <c r="M765" i="20"/>
  <c r="J765" i="20"/>
  <c r="I204" i="19"/>
  <c r="M204" i="19"/>
  <c r="J518" i="19"/>
  <c r="M518" i="19"/>
  <c r="M725" i="20"/>
  <c r="J725" i="20"/>
  <c r="J375" i="20"/>
  <c r="M375" i="20"/>
  <c r="M165" i="20"/>
  <c r="J165" i="20"/>
  <c r="H158" i="20"/>
  <c r="H158" i="16"/>
  <c r="P158" i="16" s="1"/>
  <c r="F158" i="19"/>
  <c r="A691" i="20"/>
  <c r="A691" i="16"/>
  <c r="A691" i="19"/>
  <c r="B543" i="11"/>
  <c r="L543" i="9"/>
  <c r="C278" i="16"/>
  <c r="F278" i="20"/>
  <c r="E278" i="19"/>
  <c r="E152" i="20"/>
  <c r="AM152" i="20" s="1"/>
  <c r="B152" i="16"/>
  <c r="A68" i="16"/>
  <c r="A68" i="20"/>
  <c r="A68" i="19"/>
  <c r="I595" i="19"/>
  <c r="M595" i="19"/>
  <c r="H138" i="20"/>
  <c r="H138" i="16"/>
  <c r="P138" i="16" s="1"/>
  <c r="F138" i="19"/>
  <c r="L791" i="20"/>
  <c r="I791" i="20"/>
  <c r="H621" i="19"/>
  <c r="L621" i="19"/>
  <c r="J163" i="19"/>
  <c r="L163" i="19"/>
  <c r="C823" i="16"/>
  <c r="F823" i="20"/>
  <c r="E823" i="19"/>
  <c r="B265" i="16"/>
  <c r="E265" i="20"/>
  <c r="AM265" i="20" s="1"/>
  <c r="C172" i="16"/>
  <c r="F172" i="20"/>
  <c r="E172" i="19"/>
  <c r="I377" i="19"/>
  <c r="M377" i="19"/>
  <c r="M709" i="19"/>
  <c r="I709" i="19"/>
  <c r="H128" i="16"/>
  <c r="P128" i="16" s="1"/>
  <c r="H128" i="20"/>
  <c r="F128" i="19"/>
  <c r="B644" i="20"/>
  <c r="AL644" i="20" s="1"/>
  <c r="B644" i="19"/>
  <c r="J546" i="20"/>
  <c r="M546" i="20"/>
  <c r="L341" i="19"/>
  <c r="K341" i="19"/>
  <c r="H341" i="19"/>
  <c r="H600" i="16"/>
  <c r="P600" i="16" s="1"/>
  <c r="H600" i="20"/>
  <c r="F600" i="19"/>
  <c r="L474" i="9"/>
  <c r="B474" i="11"/>
  <c r="C273" i="16"/>
  <c r="F273" i="20"/>
  <c r="E273" i="19"/>
  <c r="M642" i="20"/>
  <c r="J642" i="20"/>
  <c r="C432" i="16"/>
  <c r="F432" i="20"/>
  <c r="E432" i="19"/>
  <c r="M585" i="20"/>
  <c r="J585" i="20"/>
  <c r="M815" i="19"/>
  <c r="I815" i="19"/>
  <c r="I592" i="19"/>
  <c r="M592" i="19"/>
  <c r="M702" i="20"/>
  <c r="J702" i="20"/>
  <c r="J464" i="20"/>
  <c r="M464" i="20"/>
  <c r="J394" i="20"/>
  <c r="M394" i="20"/>
  <c r="J314" i="20"/>
  <c r="M314" i="20"/>
  <c r="I778" i="19"/>
  <c r="M778" i="19"/>
  <c r="I727" i="19"/>
  <c r="M727" i="19"/>
  <c r="I593" i="19"/>
  <c r="M593" i="19"/>
  <c r="H487" i="16"/>
  <c r="P487" i="16" s="1"/>
  <c r="H487" i="20"/>
  <c r="F487" i="19"/>
  <c r="A699" i="16"/>
  <c r="A699" i="20"/>
  <c r="A699" i="19"/>
  <c r="A609" i="16"/>
  <c r="A609" i="20"/>
  <c r="A609" i="19"/>
  <c r="A529" i="16"/>
  <c r="A529" i="20"/>
  <c r="A529" i="19"/>
  <c r="E295" i="20"/>
  <c r="AM295" i="20" s="1"/>
  <c r="B295" i="16"/>
  <c r="A119" i="16"/>
  <c r="A119" i="20"/>
  <c r="A119" i="19"/>
  <c r="B212" i="19"/>
  <c r="B212" i="20"/>
  <c r="AL212" i="20" s="1"/>
  <c r="B155" i="11"/>
  <c r="L155" i="9"/>
  <c r="A22" i="16"/>
  <c r="A22" i="20"/>
  <c r="A22" i="19"/>
  <c r="M720" i="20"/>
  <c r="J720" i="20"/>
  <c r="C191" i="16"/>
  <c r="F191" i="20"/>
  <c r="E191" i="19"/>
  <c r="B752" i="20"/>
  <c r="AL752" i="20" s="1"/>
  <c r="B752" i="19"/>
  <c r="B652" i="20"/>
  <c r="AL652" i="20" s="1"/>
  <c r="B652" i="19"/>
  <c r="B492" i="20"/>
  <c r="AL492" i="20" s="1"/>
  <c r="B492" i="19"/>
  <c r="A185" i="16"/>
  <c r="A185" i="20"/>
  <c r="A185" i="19"/>
  <c r="J240" i="20"/>
  <c r="M240" i="20"/>
  <c r="H127" i="16"/>
  <c r="P127" i="16" s="1"/>
  <c r="H127" i="20"/>
  <c r="F127" i="19"/>
  <c r="A822" i="16"/>
  <c r="A822" i="20"/>
  <c r="A822" i="19"/>
  <c r="A502" i="16"/>
  <c r="A502" i="20"/>
  <c r="A502" i="19"/>
  <c r="A402" i="16"/>
  <c r="A402" i="20"/>
  <c r="A402" i="19"/>
  <c r="B705" i="11"/>
  <c r="L705" i="9"/>
  <c r="B505" i="11"/>
  <c r="L505" i="9"/>
  <c r="S9" i="20"/>
  <c r="U9" i="20"/>
  <c r="M557" i="20"/>
  <c r="J557" i="20"/>
  <c r="J351" i="20"/>
  <c r="M351" i="20"/>
  <c r="K721" i="16"/>
  <c r="S721" i="16"/>
  <c r="O721" i="16"/>
  <c r="I535" i="19"/>
  <c r="M535" i="19"/>
  <c r="M161" i="20"/>
  <c r="J161" i="20"/>
  <c r="M122" i="19"/>
  <c r="I122" i="19"/>
  <c r="J679" i="20"/>
  <c r="M679" i="20"/>
  <c r="M453" i="20"/>
  <c r="J453" i="20"/>
  <c r="M368" i="20"/>
  <c r="J368" i="20"/>
  <c r="J231" i="20"/>
  <c r="M231" i="20"/>
  <c r="H684" i="16"/>
  <c r="P684" i="16" s="1"/>
  <c r="F684" i="19"/>
  <c r="H684" i="20"/>
  <c r="I157" i="19"/>
  <c r="M157" i="19"/>
  <c r="M636" i="20"/>
  <c r="J636" i="20"/>
  <c r="M92" i="20"/>
  <c r="J92" i="20"/>
  <c r="B779" i="20"/>
  <c r="AL779" i="20" s="1"/>
  <c r="B779" i="19"/>
  <c r="A487" i="16"/>
  <c r="A487" i="20"/>
  <c r="A487" i="19"/>
  <c r="B104" i="20"/>
  <c r="AL104" i="20" s="1"/>
  <c r="B104" i="19"/>
  <c r="B205" i="16"/>
  <c r="E205" i="20"/>
  <c r="AM205" i="20" s="1"/>
  <c r="J568" i="20"/>
  <c r="M568" i="20"/>
  <c r="H431" i="19"/>
  <c r="L431" i="19"/>
  <c r="S361" i="16"/>
  <c r="O361" i="16"/>
  <c r="K361" i="16"/>
  <c r="J14" i="20"/>
  <c r="M14" i="20"/>
  <c r="B574" i="20"/>
  <c r="AL574" i="20" s="1"/>
  <c r="B574" i="19"/>
  <c r="B422" i="16"/>
  <c r="E422" i="20"/>
  <c r="AM422" i="20" s="1"/>
  <c r="L88" i="9"/>
  <c r="B88" i="11"/>
  <c r="U8" i="20"/>
  <c r="S8" i="20"/>
  <c r="S671" i="16"/>
  <c r="K671" i="16"/>
  <c r="O671" i="16"/>
  <c r="H789" i="16"/>
  <c r="P789" i="16" s="1"/>
  <c r="H789" i="20"/>
  <c r="F789" i="19"/>
  <c r="I402" i="19"/>
  <c r="M402" i="19"/>
  <c r="B463" i="11"/>
  <c r="L463" i="9"/>
  <c r="H177" i="16"/>
  <c r="P177" i="16" s="1"/>
  <c r="H177" i="20"/>
  <c r="F177" i="19"/>
  <c r="M460" i="20"/>
  <c r="J460" i="20"/>
  <c r="I640" i="19"/>
  <c r="M640" i="19"/>
  <c r="L821" i="9"/>
  <c r="B821" i="11"/>
  <c r="B748" i="16"/>
  <c r="E748" i="20"/>
  <c r="AM748" i="20" s="1"/>
  <c r="B551" i="16"/>
  <c r="E551" i="20"/>
  <c r="AM551" i="20" s="1"/>
  <c r="L153" i="9"/>
  <c r="B153" i="11"/>
  <c r="L45" i="19"/>
  <c r="H45" i="19"/>
  <c r="C232" i="16"/>
  <c r="E232" i="19"/>
  <c r="F232" i="20"/>
  <c r="B122" i="16"/>
  <c r="E122" i="20"/>
  <c r="AM122" i="20" s="1"/>
  <c r="B68" i="16"/>
  <c r="E68" i="20"/>
  <c r="AM68" i="20" s="1"/>
  <c r="B531" i="16"/>
  <c r="E531" i="20"/>
  <c r="AM531" i="20" s="1"/>
  <c r="M819" i="19"/>
  <c r="I819" i="19"/>
  <c r="C675" i="16"/>
  <c r="E675" i="19"/>
  <c r="F675" i="20"/>
  <c r="H541" i="16"/>
  <c r="P541" i="16" s="1"/>
  <c r="H541" i="20"/>
  <c r="F541" i="19"/>
  <c r="J426" i="20"/>
  <c r="M426" i="20"/>
  <c r="J47" i="20"/>
  <c r="M47" i="20"/>
  <c r="I658" i="19"/>
  <c r="M658" i="19"/>
  <c r="M634" i="20"/>
  <c r="J634" i="20"/>
  <c r="A463" i="16"/>
  <c r="A463" i="20"/>
  <c r="A463" i="19"/>
  <c r="M627" i="20"/>
  <c r="J627" i="20"/>
  <c r="M198" i="20"/>
  <c r="J198" i="20"/>
  <c r="M102" i="20"/>
  <c r="J102" i="20"/>
  <c r="M786" i="19"/>
  <c r="I786" i="19"/>
  <c r="L160" i="9"/>
  <c r="B160" i="11"/>
  <c r="M518" i="20"/>
  <c r="J518" i="20"/>
  <c r="I650" i="19"/>
  <c r="M650" i="19"/>
  <c r="A83" i="16"/>
  <c r="A83" i="20"/>
  <c r="A83" i="19"/>
  <c r="M626" i="19"/>
  <c r="I626" i="19"/>
  <c r="K791" i="16"/>
  <c r="S791" i="16"/>
  <c r="O791" i="16"/>
  <c r="M370" i="20"/>
  <c r="J370" i="20"/>
  <c r="I53" i="19"/>
  <c r="M53" i="19"/>
  <c r="I621" i="20"/>
  <c r="L621" i="20"/>
  <c r="M370" i="19"/>
  <c r="I370" i="19"/>
  <c r="M163" i="20"/>
  <c r="J163" i="20"/>
  <c r="M463" i="19"/>
  <c r="I463" i="19"/>
  <c r="I321" i="19"/>
  <c r="M321" i="19"/>
  <c r="M341" i="19"/>
  <c r="I341" i="19"/>
  <c r="M210" i="20"/>
  <c r="J210" i="20"/>
  <c r="I341" i="20"/>
  <c r="L341" i="20"/>
  <c r="M508" i="20"/>
  <c r="J508" i="20"/>
  <c r="M282" i="20"/>
  <c r="J282" i="20"/>
  <c r="A474" i="16"/>
  <c r="A474" i="20"/>
  <c r="A474" i="19"/>
  <c r="B349" i="16"/>
  <c r="E349" i="20"/>
  <c r="AM349" i="20" s="1"/>
  <c r="A184" i="16"/>
  <c r="A184" i="20"/>
  <c r="A184" i="19"/>
  <c r="A314" i="16"/>
  <c r="A314" i="20"/>
  <c r="A314" i="19"/>
  <c r="H42" i="16"/>
  <c r="P42" i="16" s="1"/>
  <c r="H42" i="20"/>
  <c r="F42" i="19"/>
  <c r="B609" i="16"/>
  <c r="E609" i="20"/>
  <c r="AM609" i="20" s="1"/>
  <c r="H44" i="20"/>
  <c r="H44" i="16"/>
  <c r="P44" i="16" s="1"/>
  <c r="F44" i="19"/>
  <c r="C202" i="16"/>
  <c r="F202" i="20"/>
  <c r="E202" i="19"/>
  <c r="A794" i="16"/>
  <c r="A794" i="20"/>
  <c r="A794" i="19"/>
  <c r="M295" i="20"/>
  <c r="J295" i="20"/>
  <c r="H159" i="16"/>
  <c r="P159" i="16" s="1"/>
  <c r="H159" i="20"/>
  <c r="F159" i="19"/>
  <c r="A556" i="16"/>
  <c r="A556" i="20"/>
  <c r="A556" i="19"/>
  <c r="A803" i="16"/>
  <c r="A803" i="20"/>
  <c r="A803" i="19"/>
  <c r="A614" i="16"/>
  <c r="A614" i="20"/>
  <c r="A614" i="19"/>
  <c r="A56" i="16"/>
  <c r="A56" i="20"/>
  <c r="A56" i="19"/>
  <c r="K594" i="19"/>
  <c r="L594" i="19"/>
  <c r="H594" i="19"/>
  <c r="C401" i="16"/>
  <c r="F401" i="20"/>
  <c r="E401" i="19"/>
  <c r="M18" i="20"/>
  <c r="J18" i="20"/>
  <c r="A42" i="16"/>
  <c r="A42" i="20"/>
  <c r="A42" i="19"/>
  <c r="B625" i="11"/>
  <c r="L625" i="9"/>
  <c r="L415" i="9"/>
  <c r="B415" i="11"/>
  <c r="I623" i="19"/>
  <c r="M623" i="19"/>
  <c r="M535" i="20"/>
  <c r="J535" i="20"/>
  <c r="M462" i="20"/>
  <c r="J462" i="20"/>
  <c r="M31" i="20"/>
  <c r="J31" i="20"/>
  <c r="H676" i="16"/>
  <c r="P676" i="16" s="1"/>
  <c r="H676" i="20"/>
  <c r="F676" i="19"/>
  <c r="M629" i="20"/>
  <c r="J629" i="20"/>
  <c r="J269" i="20"/>
  <c r="M269" i="20"/>
  <c r="M97" i="20"/>
  <c r="J97" i="20"/>
  <c r="A695" i="16"/>
  <c r="A695" i="20"/>
  <c r="A695" i="19"/>
  <c r="A525" i="16"/>
  <c r="A525" i="19"/>
  <c r="A525" i="20"/>
  <c r="A435" i="16"/>
  <c r="A435" i="20"/>
  <c r="A435" i="19"/>
  <c r="A345" i="16"/>
  <c r="A345" i="20"/>
  <c r="A345" i="19"/>
  <c r="M415" i="20"/>
  <c r="J415" i="20"/>
  <c r="H313" i="16"/>
  <c r="P313" i="16" s="1"/>
  <c r="H313" i="20"/>
  <c r="F313" i="19"/>
  <c r="C456" i="16"/>
  <c r="F456" i="20"/>
  <c r="E456" i="19"/>
  <c r="B381" i="20"/>
  <c r="AL381" i="20" s="1"/>
  <c r="B381" i="19"/>
  <c r="L298" i="9"/>
  <c r="B298" i="11"/>
  <c r="J328" i="20"/>
  <c r="M328" i="20"/>
  <c r="M110" i="20"/>
  <c r="J110" i="20"/>
  <c r="M214" i="19"/>
  <c r="I214" i="19"/>
  <c r="H129" i="16"/>
  <c r="P129" i="16" s="1"/>
  <c r="H129" i="20"/>
  <c r="F129" i="19"/>
  <c r="B400" i="19"/>
  <c r="B400" i="20"/>
  <c r="AL400" i="20" s="1"/>
  <c r="J768" i="20"/>
  <c r="M768" i="20"/>
  <c r="L338" i="20"/>
  <c r="I338" i="20"/>
  <c r="B425" i="16"/>
  <c r="E425" i="20"/>
  <c r="AM425" i="20" s="1"/>
  <c r="M659" i="20"/>
  <c r="J659" i="20"/>
  <c r="J549" i="20"/>
  <c r="M549" i="20"/>
  <c r="M696" i="19"/>
  <c r="I696" i="19"/>
  <c r="H589" i="16"/>
  <c r="P589" i="16" s="1"/>
  <c r="H589" i="20"/>
  <c r="F589" i="19"/>
  <c r="I422" i="19"/>
  <c r="M422" i="19"/>
  <c r="B718" i="11"/>
  <c r="L718" i="9"/>
  <c r="B475" i="16"/>
  <c r="E475" i="20"/>
  <c r="AM475" i="20" s="1"/>
  <c r="L206" i="9"/>
  <c r="B206" i="11"/>
  <c r="C535" i="16"/>
  <c r="F535" i="20"/>
  <c r="E535" i="19"/>
  <c r="C293" i="16"/>
  <c r="F293" i="20"/>
  <c r="E293" i="19"/>
  <c r="B710" i="20"/>
  <c r="AL710" i="20" s="1"/>
  <c r="B710" i="19"/>
  <c r="M784" i="20"/>
  <c r="J784" i="20"/>
  <c r="A616" i="16"/>
  <c r="A616" i="19"/>
  <c r="A616" i="20"/>
  <c r="I246" i="19"/>
  <c r="M246" i="19"/>
  <c r="B668" i="16"/>
  <c r="E668" i="20"/>
  <c r="AM668" i="20" s="1"/>
  <c r="B482" i="16"/>
  <c r="E482" i="20"/>
  <c r="AM482" i="20" s="1"/>
  <c r="L95" i="19"/>
  <c r="H95" i="19"/>
  <c r="B785" i="16"/>
  <c r="E785" i="20"/>
  <c r="AM785" i="20" s="1"/>
  <c r="C705" i="16"/>
  <c r="F705" i="20"/>
  <c r="E705" i="19"/>
  <c r="B251" i="16"/>
  <c r="E251" i="20"/>
  <c r="AM251" i="20" s="1"/>
  <c r="AU27" i="10"/>
  <c r="AN27" i="10"/>
  <c r="Q27" i="20" s="1"/>
  <c r="O27" i="10"/>
  <c r="J576" i="20"/>
  <c r="M576" i="20"/>
  <c r="M467" i="20"/>
  <c r="J467" i="20"/>
  <c r="M10" i="19"/>
  <c r="I10" i="19"/>
  <c r="M389" i="19"/>
  <c r="I389" i="19"/>
  <c r="H475" i="19"/>
  <c r="L475" i="19"/>
  <c r="O274" i="16"/>
  <c r="K274" i="16"/>
  <c r="S274" i="16"/>
  <c r="L145" i="19"/>
  <c r="K145" i="19"/>
  <c r="H145" i="19"/>
  <c r="M86" i="19"/>
  <c r="I86" i="19"/>
  <c r="H597" i="16"/>
  <c r="P597" i="16" s="1"/>
  <c r="H597" i="20"/>
  <c r="F597" i="19"/>
  <c r="M429" i="19"/>
  <c r="I429" i="19"/>
  <c r="U51" i="20"/>
  <c r="S51" i="20"/>
  <c r="B791" i="16"/>
  <c r="E791" i="20"/>
  <c r="AM791" i="20" s="1"/>
  <c r="I661" i="20"/>
  <c r="L661" i="20"/>
  <c r="L548" i="9"/>
  <c r="B548" i="11"/>
  <c r="H773" i="16"/>
  <c r="P773" i="16" s="1"/>
  <c r="H773" i="20"/>
  <c r="F773" i="19"/>
  <c r="M653" i="20"/>
  <c r="J653" i="20"/>
  <c r="H481" i="19"/>
  <c r="K481" i="19"/>
  <c r="L481" i="19"/>
  <c r="M315" i="20"/>
  <c r="J315" i="20"/>
  <c r="M60" i="20"/>
  <c r="J60" i="20"/>
  <c r="L539" i="19"/>
  <c r="K539" i="19"/>
  <c r="H539" i="19"/>
  <c r="C134" i="16"/>
  <c r="E134" i="19"/>
  <c r="F134" i="20"/>
  <c r="L304" i="9"/>
  <c r="B304" i="11"/>
  <c r="A147" i="16"/>
  <c r="A147" i="20"/>
  <c r="A147" i="19"/>
  <c r="B752" i="16"/>
  <c r="E752" i="20"/>
  <c r="AM752" i="20" s="1"/>
  <c r="L674" i="9"/>
  <c r="B674" i="11"/>
  <c r="L634" i="19"/>
  <c r="H634" i="19"/>
  <c r="M374" i="19"/>
  <c r="I374" i="19"/>
  <c r="H328" i="16"/>
  <c r="P328" i="16" s="1"/>
  <c r="H328" i="20"/>
  <c r="F328" i="19"/>
  <c r="B816" i="11"/>
  <c r="L816" i="9"/>
  <c r="H588" i="19"/>
  <c r="L588" i="19"/>
  <c r="B309" i="16"/>
  <c r="E309" i="20"/>
  <c r="AM309" i="20" s="1"/>
  <c r="C87" i="16"/>
  <c r="F87" i="20"/>
  <c r="E87" i="19"/>
  <c r="A681" i="16"/>
  <c r="A681" i="20"/>
  <c r="A681" i="19"/>
  <c r="C489" i="16"/>
  <c r="F489" i="20"/>
  <c r="E489" i="19"/>
  <c r="C300" i="16"/>
  <c r="F300" i="20"/>
  <c r="E300" i="19"/>
  <c r="B759" i="16"/>
  <c r="E759" i="20"/>
  <c r="AM759" i="20" s="1"/>
  <c r="L592" i="20"/>
  <c r="I592" i="20"/>
  <c r="C389" i="16"/>
  <c r="F389" i="20"/>
  <c r="E389" i="19"/>
  <c r="B410" i="16"/>
  <c r="E410" i="20"/>
  <c r="AM410" i="20" s="1"/>
  <c r="M567" i="20"/>
  <c r="J567" i="20"/>
  <c r="B737" i="16"/>
  <c r="E737" i="20"/>
  <c r="AM737" i="20" s="1"/>
  <c r="A387" i="16"/>
  <c r="A387" i="20"/>
  <c r="A387" i="19"/>
  <c r="I707" i="19"/>
  <c r="M707" i="19"/>
  <c r="L196" i="9"/>
  <c r="B196" i="11"/>
  <c r="H189" i="16"/>
  <c r="P189" i="16" s="1"/>
  <c r="F189" i="19"/>
  <c r="H189" i="20"/>
  <c r="F612" i="20"/>
  <c r="E612" i="19"/>
  <c r="C612" i="16"/>
  <c r="L370" i="20"/>
  <c r="I370" i="20"/>
  <c r="B721" i="16"/>
  <c r="E721" i="20"/>
  <c r="AM721" i="20" s="1"/>
  <c r="L581" i="9"/>
  <c r="B581" i="11"/>
  <c r="B372" i="16"/>
  <c r="E372" i="20"/>
  <c r="AM372" i="20" s="1"/>
  <c r="B41" i="16"/>
  <c r="E41" i="20"/>
  <c r="AM41" i="20" s="1"/>
  <c r="K371" i="16"/>
  <c r="O371" i="16"/>
  <c r="S371" i="16"/>
  <c r="M595" i="20"/>
  <c r="J595" i="20"/>
  <c r="O455" i="16"/>
  <c r="K455" i="16"/>
  <c r="S455" i="16"/>
  <c r="H799" i="16"/>
  <c r="P799" i="16" s="1"/>
  <c r="H799" i="20"/>
  <c r="F799" i="19"/>
  <c r="B531" i="11"/>
  <c r="L531" i="9"/>
  <c r="B44" i="16"/>
  <c r="E44" i="20"/>
  <c r="AM44" i="20" s="1"/>
  <c r="H169" i="16"/>
  <c r="P169" i="16" s="1"/>
  <c r="H169" i="20"/>
  <c r="F169" i="19"/>
  <c r="B735" i="16"/>
  <c r="E735" i="20"/>
  <c r="AM735" i="20" s="1"/>
  <c r="C640" i="16"/>
  <c r="F640" i="20"/>
  <c r="E640" i="19"/>
  <c r="B405" i="16"/>
  <c r="E405" i="20"/>
  <c r="AM405" i="20" s="1"/>
  <c r="L300" i="9"/>
  <c r="B300" i="11"/>
  <c r="A143" i="16"/>
  <c r="A143" i="20"/>
  <c r="A143" i="19"/>
  <c r="A17" i="16"/>
  <c r="A17" i="20"/>
  <c r="A17" i="19"/>
  <c r="O33" i="16"/>
  <c r="K33" i="16"/>
  <c r="S33" i="16"/>
  <c r="H705" i="16"/>
  <c r="P705" i="16" s="1"/>
  <c r="H705" i="20"/>
  <c r="F705" i="19"/>
  <c r="J755" i="20"/>
  <c r="M755" i="20"/>
  <c r="L282" i="20"/>
  <c r="I282" i="20"/>
  <c r="A584" i="16"/>
  <c r="A584" i="20"/>
  <c r="A584" i="19"/>
  <c r="B82" i="16"/>
  <c r="E82" i="20"/>
  <c r="AM82" i="20" s="1"/>
  <c r="C69" i="16"/>
  <c r="F69" i="20"/>
  <c r="E69" i="19"/>
  <c r="B736" i="11"/>
  <c r="L736" i="9"/>
  <c r="A667" i="16"/>
  <c r="A667" i="20"/>
  <c r="A667" i="19"/>
  <c r="L588" i="9"/>
  <c r="B588" i="11"/>
  <c r="B264" i="16"/>
  <c r="E264" i="20"/>
  <c r="AM264" i="20" s="1"/>
  <c r="A447" i="16"/>
  <c r="A447" i="20"/>
  <c r="A447" i="19"/>
  <c r="B227" i="16"/>
  <c r="E227" i="20"/>
  <c r="AM227" i="20" s="1"/>
  <c r="K759" i="16"/>
  <c r="S759" i="16"/>
  <c r="O759" i="16"/>
  <c r="A101" i="16"/>
  <c r="A101" i="20"/>
  <c r="A101" i="19"/>
  <c r="I533" i="20"/>
  <c r="L533" i="20"/>
  <c r="M696" i="20"/>
  <c r="J696" i="20"/>
  <c r="A730" i="16"/>
  <c r="A730" i="20"/>
  <c r="A730" i="19"/>
  <c r="A453" i="16"/>
  <c r="A453" i="20"/>
  <c r="A453" i="19"/>
  <c r="B65" i="16"/>
  <c r="E65" i="20"/>
  <c r="AM65" i="20" s="1"/>
  <c r="A286" i="16"/>
  <c r="A286" i="20"/>
  <c r="A286" i="19"/>
  <c r="S691" i="16"/>
  <c r="O691" i="16"/>
  <c r="K691" i="16"/>
  <c r="J519" i="20"/>
  <c r="M519" i="20"/>
  <c r="L81" i="19"/>
  <c r="K81" i="19"/>
  <c r="H81" i="19"/>
  <c r="H769" i="16"/>
  <c r="P769" i="16" s="1"/>
  <c r="H769" i="20"/>
  <c r="F769" i="19"/>
  <c r="C364" i="16"/>
  <c r="F364" i="20"/>
  <c r="E364" i="19"/>
  <c r="I110" i="19"/>
  <c r="M110" i="19"/>
  <c r="C774" i="16"/>
  <c r="E774" i="19"/>
  <c r="F774" i="20"/>
  <c r="B608" i="20"/>
  <c r="AL608" i="20" s="1"/>
  <c r="B608" i="19"/>
  <c r="B309" i="20"/>
  <c r="AL309" i="20" s="1"/>
  <c r="B309" i="19"/>
  <c r="B187" i="11"/>
  <c r="L187" i="9"/>
  <c r="L168" i="9"/>
  <c r="B168" i="11"/>
  <c r="A91" i="16"/>
  <c r="A91" i="20"/>
  <c r="A91" i="19"/>
  <c r="H744" i="16"/>
  <c r="P744" i="16" s="1"/>
  <c r="H744" i="20"/>
  <c r="F744" i="19"/>
  <c r="M534" i="19"/>
  <c r="I534" i="19"/>
  <c r="A786" i="16"/>
  <c r="A786" i="20"/>
  <c r="A786" i="19"/>
  <c r="A733" i="16"/>
  <c r="A733" i="19"/>
  <c r="A733" i="20"/>
  <c r="A604" i="16"/>
  <c r="A604" i="20"/>
  <c r="A604" i="19"/>
  <c r="B471" i="16"/>
  <c r="E471" i="20"/>
  <c r="AM471" i="20" s="1"/>
  <c r="L221" i="9"/>
  <c r="B221" i="11"/>
  <c r="M46" i="20"/>
  <c r="J46" i="20"/>
  <c r="A118" i="20"/>
  <c r="A118" i="19"/>
  <c r="A118" i="16"/>
  <c r="M671" i="20"/>
  <c r="J671" i="20"/>
  <c r="M172" i="20"/>
  <c r="J172" i="20"/>
  <c r="B418" i="16"/>
  <c r="E418" i="20"/>
  <c r="AM418" i="20" s="1"/>
  <c r="M186" i="20"/>
  <c r="J186" i="20"/>
  <c r="M525" i="19"/>
  <c r="I525" i="19"/>
  <c r="H417" i="16"/>
  <c r="P417" i="16" s="1"/>
  <c r="F417" i="19"/>
  <c r="H417" i="20"/>
  <c r="J399" i="20"/>
  <c r="M399" i="20"/>
  <c r="H691" i="16"/>
  <c r="P691" i="16" s="1"/>
  <c r="H691" i="20"/>
  <c r="F691" i="19"/>
  <c r="AU26" i="10"/>
  <c r="O26" i="10"/>
  <c r="AN26" i="10"/>
  <c r="Q26" i="20" s="1"/>
  <c r="H23" i="20"/>
  <c r="H23" i="16"/>
  <c r="P23" i="16" s="1"/>
  <c r="F23" i="19"/>
  <c r="A788" i="16"/>
  <c r="A788" i="20"/>
  <c r="A788" i="19"/>
  <c r="L731" i="9"/>
  <c r="B731" i="11"/>
  <c r="B679" i="16"/>
  <c r="E679" i="20"/>
  <c r="AM679" i="20" s="1"/>
  <c r="C530" i="16"/>
  <c r="F530" i="20"/>
  <c r="E530" i="19"/>
  <c r="B401" i="11"/>
  <c r="L401" i="9"/>
  <c r="B240" i="16"/>
  <c r="E240" i="20"/>
  <c r="AM240" i="20" s="1"/>
  <c r="B291" i="16"/>
  <c r="E291" i="20"/>
  <c r="AM291" i="20" s="1"/>
  <c r="A193" i="16"/>
  <c r="A193" i="20"/>
  <c r="A193" i="19"/>
  <c r="H104" i="16"/>
  <c r="P104" i="16" s="1"/>
  <c r="H104" i="20"/>
  <c r="F104" i="19"/>
  <c r="C703" i="16"/>
  <c r="F703" i="20"/>
  <c r="E703" i="19"/>
  <c r="B412" i="16"/>
  <c r="E412" i="20"/>
  <c r="AM412" i="20" s="1"/>
  <c r="A736" i="16"/>
  <c r="A736" i="20"/>
  <c r="A736" i="19"/>
  <c r="C637" i="16"/>
  <c r="E637" i="19"/>
  <c r="F637" i="20"/>
  <c r="T15" i="19"/>
  <c r="X19" i="19"/>
  <c r="S14" i="19"/>
  <c r="O10" i="19"/>
  <c r="Y20" i="19"/>
  <c r="R13" i="19"/>
  <c r="W18" i="19"/>
  <c r="P11" i="19"/>
  <c r="Q12" i="19"/>
  <c r="V17" i="19"/>
  <c r="U16" i="19"/>
  <c r="N9" i="19"/>
  <c r="H440" i="16"/>
  <c r="P440" i="16" s="1"/>
  <c r="H440" i="20"/>
  <c r="F440" i="19"/>
  <c r="B636" i="20"/>
  <c r="AL636" i="20" s="1"/>
  <c r="B636" i="19"/>
  <c r="B457" i="16"/>
  <c r="E457" i="20"/>
  <c r="AM457" i="20" s="1"/>
  <c r="E77" i="20"/>
  <c r="AM77" i="20" s="1"/>
  <c r="B77" i="16"/>
  <c r="O533" i="16"/>
  <c r="S533" i="16"/>
  <c r="K533" i="16"/>
  <c r="S72" i="16"/>
  <c r="O72" i="16"/>
  <c r="K72" i="16"/>
  <c r="B324" i="16"/>
  <c r="E324" i="20"/>
  <c r="AM324" i="20" s="1"/>
  <c r="M797" i="20"/>
  <c r="J797" i="20"/>
  <c r="M492" i="19"/>
  <c r="I492" i="19"/>
  <c r="J769" i="20"/>
  <c r="M769" i="20"/>
  <c r="M553" i="20"/>
  <c r="J553" i="20"/>
  <c r="H704" i="20"/>
  <c r="F704" i="19"/>
  <c r="H704" i="16"/>
  <c r="P704" i="16" s="1"/>
  <c r="J718" i="19"/>
  <c r="M718" i="19"/>
  <c r="M670" i="20"/>
  <c r="J670" i="20"/>
  <c r="J558" i="20"/>
  <c r="M558" i="20"/>
  <c r="J494" i="20"/>
  <c r="M494" i="20"/>
  <c r="J424" i="20"/>
  <c r="M424" i="20"/>
  <c r="J344" i="20"/>
  <c r="M344" i="20"/>
  <c r="A479" i="16"/>
  <c r="A479" i="20"/>
  <c r="A479" i="19"/>
  <c r="A159" i="16"/>
  <c r="A159" i="20"/>
  <c r="A159" i="19"/>
  <c r="B292" i="20"/>
  <c r="AL292" i="20" s="1"/>
  <c r="B292" i="19"/>
  <c r="B112" i="20"/>
  <c r="AL112" i="20" s="1"/>
  <c r="B112" i="19"/>
  <c r="J407" i="20"/>
  <c r="M407" i="20"/>
  <c r="M100" i="20"/>
  <c r="J100" i="20"/>
  <c r="B792" i="19"/>
  <c r="B792" i="20"/>
  <c r="AL792" i="20" s="1"/>
  <c r="B692" i="20"/>
  <c r="AL692" i="20" s="1"/>
  <c r="B692" i="19"/>
  <c r="B572" i="20"/>
  <c r="AL572" i="20" s="1"/>
  <c r="B572" i="19"/>
  <c r="B372" i="20"/>
  <c r="AL372" i="20" s="1"/>
  <c r="B372" i="19"/>
  <c r="A265" i="16"/>
  <c r="A265" i="20"/>
  <c r="A265" i="19"/>
  <c r="M698" i="20"/>
  <c r="J698" i="20"/>
  <c r="J538" i="20"/>
  <c r="M538" i="20"/>
  <c r="A442" i="16"/>
  <c r="A442" i="20"/>
  <c r="A442" i="19"/>
  <c r="A262" i="16"/>
  <c r="A262" i="20"/>
  <c r="A262" i="19"/>
  <c r="L801" i="20"/>
  <c r="I801" i="20"/>
  <c r="B385" i="11"/>
  <c r="L385" i="9"/>
  <c r="M117" i="19"/>
  <c r="I117" i="19"/>
  <c r="B775" i="11"/>
  <c r="L775" i="9"/>
  <c r="L575" i="9"/>
  <c r="B575" i="11"/>
  <c r="B125" i="11"/>
  <c r="L125" i="9"/>
  <c r="H717" i="16"/>
  <c r="P717" i="16" s="1"/>
  <c r="H717" i="20"/>
  <c r="F717" i="19"/>
  <c r="J491" i="20"/>
  <c r="M491" i="20"/>
  <c r="A505" i="16"/>
  <c r="A505" i="20"/>
  <c r="A505" i="19"/>
  <c r="M343" i="20"/>
  <c r="J343" i="20"/>
  <c r="J169" i="20"/>
  <c r="M169" i="20"/>
  <c r="I298" i="19"/>
  <c r="M298" i="19"/>
  <c r="C813" i="16"/>
  <c r="F813" i="20"/>
  <c r="E813" i="19"/>
  <c r="B726" i="20"/>
  <c r="AL726" i="20" s="1"/>
  <c r="B726" i="19"/>
  <c r="C589" i="16"/>
  <c r="F589" i="20"/>
  <c r="E589" i="19"/>
  <c r="C509" i="16"/>
  <c r="F509" i="20"/>
  <c r="E509" i="19"/>
  <c r="B366" i="20"/>
  <c r="AL366" i="20" s="1"/>
  <c r="B366" i="19"/>
  <c r="B191" i="16"/>
  <c r="E191" i="20"/>
  <c r="AM191" i="20" s="1"/>
  <c r="K275" i="19"/>
  <c r="H275" i="19"/>
  <c r="L275" i="19"/>
  <c r="B675" i="16"/>
  <c r="E675" i="20"/>
  <c r="AM675" i="20" s="1"/>
  <c r="A308" i="16"/>
  <c r="A308" i="20"/>
  <c r="A308" i="19"/>
  <c r="M811" i="20"/>
  <c r="J811" i="20"/>
  <c r="J379" i="20"/>
  <c r="M379" i="20"/>
  <c r="I81" i="20"/>
  <c r="L81" i="20"/>
  <c r="B12" i="16"/>
  <c r="E12" i="20"/>
  <c r="AM12" i="20" s="1"/>
  <c r="M256" i="19"/>
  <c r="I256" i="19"/>
  <c r="M636" i="19"/>
  <c r="I636" i="19"/>
  <c r="A278" i="16"/>
  <c r="A278" i="20"/>
  <c r="A278" i="19"/>
  <c r="M706" i="20"/>
  <c r="J706" i="20"/>
  <c r="I562" i="19"/>
  <c r="M562" i="19"/>
  <c r="L604" i="9"/>
  <c r="B604" i="11"/>
  <c r="A176" i="16"/>
  <c r="A176" i="20"/>
  <c r="A176" i="19"/>
  <c r="I16" i="19"/>
  <c r="M16" i="19"/>
  <c r="K781" i="16"/>
  <c r="S781" i="16"/>
  <c r="O781" i="16"/>
  <c r="M478" i="20"/>
  <c r="J478" i="20"/>
  <c r="B528" i="20"/>
  <c r="AL528" i="20" s="1"/>
  <c r="B528" i="19"/>
  <c r="B301" i="20"/>
  <c r="AL301" i="20" s="1"/>
  <c r="B301" i="19"/>
  <c r="M294" i="19"/>
  <c r="I294" i="19"/>
  <c r="L778" i="9"/>
  <c r="B778" i="11"/>
  <c r="B229" i="19"/>
  <c r="B229" i="20"/>
  <c r="AL229" i="20" s="1"/>
  <c r="L338" i="9"/>
  <c r="B338" i="11"/>
  <c r="J335" i="20"/>
  <c r="M335" i="20"/>
  <c r="M198" i="19"/>
  <c r="I198" i="19"/>
  <c r="A471" i="16"/>
  <c r="A471" i="20"/>
  <c r="A471" i="19"/>
  <c r="A581" i="16"/>
  <c r="A581" i="19"/>
  <c r="A581" i="20"/>
  <c r="A30" i="16"/>
  <c r="A30" i="20"/>
  <c r="A30" i="19"/>
  <c r="U46" i="20"/>
  <c r="S46" i="20"/>
  <c r="I575" i="19"/>
  <c r="M575" i="19"/>
  <c r="M417" i="20"/>
  <c r="J417" i="20"/>
  <c r="H124" i="16"/>
  <c r="P124" i="16" s="1"/>
  <c r="H124" i="20"/>
  <c r="F124" i="19"/>
  <c r="B687" i="16"/>
  <c r="E687" i="20"/>
  <c r="AM687" i="20" s="1"/>
  <c r="A603" i="16"/>
  <c r="A603" i="20"/>
  <c r="A603" i="19"/>
  <c r="C348" i="16"/>
  <c r="F348" i="20"/>
  <c r="E348" i="19"/>
  <c r="H588" i="16"/>
  <c r="P588" i="16" s="1"/>
  <c r="H588" i="20"/>
  <c r="F588" i="19"/>
  <c r="L788" i="9"/>
  <c r="B788" i="11"/>
  <c r="L397" i="9"/>
  <c r="B397" i="11"/>
  <c r="C265" i="16"/>
  <c r="F265" i="20"/>
  <c r="E265" i="19"/>
  <c r="E125" i="20"/>
  <c r="AM125" i="20" s="1"/>
  <c r="B125" i="16"/>
  <c r="L184" i="9"/>
  <c r="B184" i="11"/>
  <c r="M624" i="20"/>
  <c r="J624" i="20"/>
  <c r="M413" i="20"/>
  <c r="J413" i="20"/>
  <c r="L190" i="20"/>
  <c r="I190" i="20"/>
  <c r="M29" i="20"/>
  <c r="J29" i="20"/>
  <c r="H5" i="16"/>
  <c r="P5" i="16" s="1"/>
  <c r="X5" i="16" s="1"/>
  <c r="H5" i="20"/>
  <c r="I5" i="9"/>
  <c r="J5" i="9" s="1"/>
  <c r="C5" i="19" s="1"/>
  <c r="F5" i="19"/>
  <c r="L496" i="9"/>
  <c r="B496" i="11"/>
  <c r="C417" i="16"/>
  <c r="F417" i="20"/>
  <c r="E417" i="19"/>
  <c r="M437" i="20"/>
  <c r="J437" i="20"/>
  <c r="H309" i="16"/>
  <c r="P309" i="16" s="1"/>
  <c r="H309" i="20"/>
  <c r="F309" i="19"/>
  <c r="A777" i="16"/>
  <c r="A777" i="20"/>
  <c r="A777" i="19"/>
  <c r="B133" i="16"/>
  <c r="E133" i="20"/>
  <c r="AM133" i="20" s="1"/>
  <c r="J740" i="20"/>
  <c r="M740" i="20"/>
  <c r="C122" i="16"/>
  <c r="F122" i="20"/>
  <c r="E122" i="19"/>
  <c r="B589" i="16"/>
  <c r="E589" i="20"/>
  <c r="AM589" i="20" s="1"/>
  <c r="H498" i="19"/>
  <c r="L498" i="19"/>
  <c r="K498" i="19"/>
  <c r="A524" i="16"/>
  <c r="A524" i="20"/>
  <c r="A524" i="19"/>
  <c r="H207" i="16"/>
  <c r="P207" i="16" s="1"/>
  <c r="H207" i="20"/>
  <c r="F207" i="19"/>
  <c r="C717" i="16"/>
  <c r="F717" i="20"/>
  <c r="E717" i="19"/>
  <c r="A657" i="16"/>
  <c r="A657" i="20"/>
  <c r="A657" i="19"/>
  <c r="L384" i="9"/>
  <c r="B384" i="11"/>
  <c r="A187" i="16"/>
  <c r="A187" i="20"/>
  <c r="A187" i="19"/>
  <c r="J359" i="20"/>
  <c r="M359" i="20"/>
  <c r="O32" i="10"/>
  <c r="AN32" i="10"/>
  <c r="Q32" i="20" s="1"/>
  <c r="AU32" i="10"/>
  <c r="C395" i="16"/>
  <c r="F395" i="20"/>
  <c r="E395" i="19"/>
  <c r="M105" i="20"/>
  <c r="J105" i="20"/>
  <c r="H733" i="16"/>
  <c r="P733" i="16" s="1"/>
  <c r="H733" i="20"/>
  <c r="F733" i="19"/>
  <c r="F698" i="20"/>
  <c r="C698" i="16"/>
  <c r="E698" i="19"/>
  <c r="A456" i="16"/>
  <c r="A456" i="20"/>
  <c r="A456" i="19"/>
  <c r="A301" i="16"/>
  <c r="A301" i="20"/>
  <c r="A301" i="19"/>
  <c r="L441" i="19"/>
  <c r="K441" i="19"/>
  <c r="H441" i="19"/>
  <c r="L554" i="9"/>
  <c r="B554" i="11"/>
  <c r="H726" i="16"/>
  <c r="P726" i="16" s="1"/>
  <c r="H726" i="20"/>
  <c r="F726" i="19"/>
  <c r="I35" i="19"/>
  <c r="M35" i="19"/>
  <c r="A776" i="16"/>
  <c r="A776" i="20"/>
  <c r="A776" i="19"/>
  <c r="A531" i="16"/>
  <c r="A531" i="20"/>
  <c r="A531" i="19"/>
  <c r="C433" i="16"/>
  <c r="F433" i="20"/>
  <c r="E433" i="19"/>
  <c r="B286" i="20"/>
  <c r="AL286" i="20" s="1"/>
  <c r="B286" i="19"/>
  <c r="C126" i="16"/>
  <c r="F126" i="20"/>
  <c r="E126" i="19"/>
  <c r="J539" i="20"/>
  <c r="M539" i="20"/>
  <c r="I366" i="19"/>
  <c r="M366" i="19"/>
  <c r="H125" i="16"/>
  <c r="P125" i="16" s="1"/>
  <c r="H125" i="20"/>
  <c r="F125" i="19"/>
  <c r="J321" i="20"/>
  <c r="M321" i="20"/>
  <c r="M408" i="19"/>
  <c r="I408" i="19"/>
  <c r="B775" i="16"/>
  <c r="E775" i="20"/>
  <c r="AM775" i="20" s="1"/>
  <c r="J432" i="20"/>
  <c r="M432" i="20"/>
  <c r="I236" i="19"/>
  <c r="M236" i="19"/>
  <c r="C392" i="16"/>
  <c r="F392" i="20"/>
  <c r="E392" i="19"/>
  <c r="A423" i="16"/>
  <c r="A423" i="20"/>
  <c r="A423" i="19"/>
  <c r="O190" i="16"/>
  <c r="K190" i="16"/>
  <c r="S190" i="16"/>
  <c r="H581" i="16"/>
  <c r="P581" i="16" s="1"/>
  <c r="H581" i="20"/>
  <c r="F581" i="19"/>
  <c r="K581" i="19" s="1"/>
  <c r="H468" i="16"/>
  <c r="P468" i="16" s="1"/>
  <c r="H468" i="20"/>
  <c r="F468" i="19"/>
  <c r="M540" i="20"/>
  <c r="J540" i="20"/>
  <c r="B243" i="16"/>
  <c r="E243" i="20"/>
  <c r="AM243" i="20" s="1"/>
  <c r="L78" i="9"/>
  <c r="B78" i="11"/>
  <c r="A816" i="16"/>
  <c r="A816" i="20"/>
  <c r="A816" i="19"/>
  <c r="C519" i="16"/>
  <c r="F519" i="20"/>
  <c r="E519" i="19"/>
  <c r="B330" i="16"/>
  <c r="E330" i="20"/>
  <c r="AM330" i="20" s="1"/>
  <c r="B518" i="11"/>
  <c r="L518" i="9"/>
  <c r="L399" i="20"/>
  <c r="I399" i="20"/>
  <c r="M207" i="20"/>
  <c r="J207" i="20"/>
  <c r="I498" i="20"/>
  <c r="L498" i="20"/>
  <c r="L707" i="19"/>
  <c r="K707" i="19"/>
  <c r="H707" i="19"/>
  <c r="B742" i="16"/>
  <c r="E742" i="20"/>
  <c r="AM742" i="20" s="1"/>
  <c r="E665" i="20"/>
  <c r="AM665" i="20" s="1"/>
  <c r="B665" i="16"/>
  <c r="B600" i="16"/>
  <c r="E600" i="20"/>
  <c r="AM600" i="20" s="1"/>
  <c r="B521" i="16"/>
  <c r="E521" i="20"/>
  <c r="AM521" i="20" s="1"/>
  <c r="L371" i="9"/>
  <c r="B371" i="11"/>
  <c r="F286" i="20"/>
  <c r="C286" i="16"/>
  <c r="E286" i="19"/>
  <c r="A743" i="16"/>
  <c r="A743" i="20"/>
  <c r="A743" i="19"/>
  <c r="A640" i="16"/>
  <c r="A640" i="20"/>
  <c r="A640" i="19"/>
  <c r="J700" i="20"/>
  <c r="M700" i="20"/>
  <c r="B18" i="16"/>
  <c r="E18" i="20"/>
  <c r="AM18" i="20" s="1"/>
  <c r="C139" i="16"/>
  <c r="F139" i="20"/>
  <c r="E139" i="19"/>
  <c r="E63" i="20"/>
  <c r="AM63" i="20" s="1"/>
  <c r="B63" i="16"/>
  <c r="I145" i="19"/>
  <c r="M145" i="19"/>
  <c r="M212" i="19"/>
  <c r="I212" i="19"/>
  <c r="M394" i="19"/>
  <c r="I394" i="19"/>
  <c r="J620" i="20"/>
  <c r="M620" i="20"/>
  <c r="I772" i="19"/>
  <c r="M772" i="19"/>
  <c r="B552" i="20"/>
  <c r="AL552" i="20" s="1"/>
  <c r="B552" i="19"/>
  <c r="M103" i="20"/>
  <c r="J103" i="20"/>
  <c r="C761" i="16"/>
  <c r="F761" i="20"/>
  <c r="E761" i="19"/>
  <c r="A755" i="16"/>
  <c r="A755" i="20"/>
  <c r="A755" i="19"/>
  <c r="A495" i="16"/>
  <c r="A495" i="20"/>
  <c r="A495" i="19"/>
  <c r="J701" i="20"/>
  <c r="M701" i="20"/>
  <c r="C118" i="16"/>
  <c r="F118" i="20"/>
  <c r="E118" i="19"/>
  <c r="H62" i="16"/>
  <c r="P62" i="16" s="1"/>
  <c r="H62" i="20"/>
  <c r="F62" i="19"/>
  <c r="C809" i="16"/>
  <c r="F809" i="20"/>
  <c r="E809" i="19"/>
  <c r="A668" i="16"/>
  <c r="A668" i="20"/>
  <c r="A668" i="19"/>
  <c r="B12" i="11"/>
  <c r="L12" i="9"/>
  <c r="A687" i="16"/>
  <c r="A687" i="20"/>
  <c r="A687" i="19"/>
  <c r="L141" i="9"/>
  <c r="B141" i="11"/>
  <c r="H744" i="19"/>
  <c r="L744" i="19"/>
  <c r="K744" i="19"/>
  <c r="A490" i="16"/>
  <c r="A490" i="20"/>
  <c r="A490" i="19"/>
  <c r="C228" i="16"/>
  <c r="F228" i="20"/>
  <c r="E228" i="19"/>
  <c r="M661" i="19"/>
  <c r="I661" i="19"/>
  <c r="A593" i="16"/>
  <c r="A593" i="20"/>
  <c r="A593" i="19"/>
  <c r="B275" i="16"/>
  <c r="E275" i="20"/>
  <c r="AM275" i="20" s="1"/>
  <c r="B263" i="16"/>
  <c r="E263" i="20"/>
  <c r="AM263" i="20" s="1"/>
  <c r="M757" i="20"/>
  <c r="J757" i="20"/>
  <c r="M73" i="20"/>
  <c r="J73" i="20"/>
  <c r="M191" i="19"/>
  <c r="I191" i="19"/>
  <c r="J650" i="20"/>
  <c r="M650" i="20"/>
  <c r="M327" i="20"/>
  <c r="J327" i="20"/>
  <c r="I91" i="20"/>
  <c r="L91" i="20"/>
  <c r="F558" i="20"/>
  <c r="C558" i="16"/>
  <c r="E558" i="19"/>
  <c r="B361" i="16"/>
  <c r="E361" i="20"/>
  <c r="AM361" i="20" s="1"/>
  <c r="I505" i="19"/>
  <c r="M505" i="19"/>
  <c r="L493" i="9"/>
  <c r="B493" i="11"/>
  <c r="B429" i="20"/>
  <c r="AL429" i="20" s="1"/>
  <c r="B429" i="19"/>
  <c r="F18" i="20"/>
  <c r="C18" i="16"/>
  <c r="E18" i="19"/>
  <c r="M130" i="20"/>
  <c r="J130" i="20"/>
  <c r="H529" i="16"/>
  <c r="P529" i="16" s="1"/>
  <c r="H529" i="20"/>
  <c r="F529" i="19"/>
  <c r="B766" i="11"/>
  <c r="L766" i="9"/>
  <c r="B543" i="16"/>
  <c r="E543" i="20"/>
  <c r="AM543" i="20" s="1"/>
  <c r="O130" i="16"/>
  <c r="K130" i="16"/>
  <c r="S130" i="16"/>
  <c r="C577" i="16"/>
  <c r="F577" i="20"/>
  <c r="E577" i="19"/>
  <c r="C396" i="16"/>
  <c r="E396" i="19"/>
  <c r="F396" i="20"/>
  <c r="H162" i="16"/>
  <c r="P162" i="16" s="1"/>
  <c r="H162" i="20"/>
  <c r="F162" i="19"/>
  <c r="A583" i="16"/>
  <c r="A583" i="20"/>
  <c r="A583" i="19"/>
  <c r="I472" i="19"/>
  <c r="M472" i="19"/>
  <c r="I610" i="19"/>
  <c r="M610" i="19"/>
  <c r="M761" i="20"/>
  <c r="J761" i="20"/>
  <c r="M545" i="20"/>
  <c r="J545" i="20"/>
  <c r="J766" i="20"/>
  <c r="M766" i="20"/>
  <c r="H713" i="16"/>
  <c r="P713" i="16" s="1"/>
  <c r="H713" i="20"/>
  <c r="F713" i="19"/>
  <c r="M662" i="20"/>
  <c r="J662" i="20"/>
  <c r="M606" i="20"/>
  <c r="J606" i="20"/>
  <c r="M550" i="20"/>
  <c r="J550" i="20"/>
  <c r="J414" i="20"/>
  <c r="M414" i="20"/>
  <c r="J334" i="20"/>
  <c r="M334" i="20"/>
  <c r="M622" i="19"/>
  <c r="I622" i="19"/>
  <c r="A819" i="16"/>
  <c r="A819" i="20"/>
  <c r="A819" i="19"/>
  <c r="A719" i="16"/>
  <c r="A719" i="20"/>
  <c r="A719" i="19"/>
  <c r="A629" i="16"/>
  <c r="A629" i="20"/>
  <c r="A629" i="19"/>
  <c r="A549" i="16"/>
  <c r="A549" i="20"/>
  <c r="A549" i="19"/>
  <c r="A389" i="16"/>
  <c r="A389" i="20"/>
  <c r="A389" i="19"/>
  <c r="A239" i="16"/>
  <c r="A239" i="20"/>
  <c r="A239" i="19"/>
  <c r="B432" i="20"/>
  <c r="AL432" i="20" s="1"/>
  <c r="B432" i="19"/>
  <c r="A105" i="16"/>
  <c r="A105" i="20"/>
  <c r="A105" i="19"/>
  <c r="O60" i="10"/>
  <c r="F21" i="18" s="1"/>
  <c r="H21" i="18" s="1"/>
  <c r="AU60" i="10"/>
  <c r="AN60" i="10"/>
  <c r="Q60" i="20" s="1"/>
  <c r="J386" i="20"/>
  <c r="M386" i="20"/>
  <c r="M606" i="19"/>
  <c r="I606" i="19"/>
  <c r="M692" i="20"/>
  <c r="J692" i="20"/>
  <c r="J389" i="20"/>
  <c r="M389" i="20"/>
  <c r="H278" i="16"/>
  <c r="P278" i="16" s="1"/>
  <c r="H278" i="20"/>
  <c r="F278" i="19"/>
  <c r="A172" i="20"/>
  <c r="A172" i="16"/>
  <c r="A172" i="19"/>
  <c r="B315" i="11"/>
  <c r="L315" i="9"/>
  <c r="M363" i="19"/>
  <c r="I363" i="19"/>
  <c r="M88" i="20"/>
  <c r="J88" i="20"/>
  <c r="M102" i="19"/>
  <c r="I102" i="19"/>
  <c r="B545" i="11"/>
  <c r="L545" i="9"/>
  <c r="C41" i="16"/>
  <c r="F41" i="20"/>
  <c r="E41" i="19"/>
  <c r="A65" i="16"/>
  <c r="A65" i="20"/>
  <c r="A65" i="19"/>
  <c r="A582" i="16"/>
  <c r="A582" i="19"/>
  <c r="A582" i="20"/>
  <c r="H706" i="16"/>
  <c r="P706" i="16" s="1"/>
  <c r="H706" i="20"/>
  <c r="F706" i="19"/>
  <c r="I553" i="19"/>
  <c r="M553" i="19"/>
  <c r="A745" i="16"/>
  <c r="A745" i="20"/>
  <c r="A745" i="19"/>
  <c r="A295" i="16"/>
  <c r="A295" i="20"/>
  <c r="A295" i="19"/>
  <c r="H406" i="16"/>
  <c r="P406" i="16" s="1"/>
  <c r="H406" i="20"/>
  <c r="F406" i="19"/>
  <c r="M53" i="20"/>
  <c r="J53" i="20"/>
  <c r="C664" i="16"/>
  <c r="F664" i="20"/>
  <c r="E664" i="19"/>
  <c r="M523" i="20"/>
  <c r="J523" i="20"/>
  <c r="K291" i="19"/>
  <c r="H291" i="19"/>
  <c r="L291" i="19"/>
  <c r="H275" i="16"/>
  <c r="P275" i="16" s="1"/>
  <c r="H275" i="20"/>
  <c r="F275" i="19"/>
  <c r="H56" i="16"/>
  <c r="P56" i="16" s="1"/>
  <c r="H56" i="20"/>
  <c r="F56" i="19"/>
  <c r="L501" i="20"/>
  <c r="I501" i="20"/>
  <c r="B210" i="20"/>
  <c r="AL210" i="20" s="1"/>
  <c r="B210" i="19"/>
  <c r="J220" i="19"/>
  <c r="M220" i="19"/>
  <c r="H447" i="16"/>
  <c r="P447" i="16" s="1"/>
  <c r="H447" i="20"/>
  <c r="F447" i="19"/>
  <c r="B577" i="11"/>
  <c r="L577" i="9"/>
  <c r="K744" i="16"/>
  <c r="S744" i="16"/>
  <c r="O744" i="16"/>
  <c r="F144" i="20"/>
  <c r="C144" i="16"/>
  <c r="E144" i="19"/>
  <c r="M683" i="20"/>
  <c r="J683" i="20"/>
  <c r="A324" i="16"/>
  <c r="A324" i="20"/>
  <c r="A324" i="19"/>
  <c r="C221" i="16"/>
  <c r="F221" i="20"/>
  <c r="E221" i="19"/>
  <c r="J58" i="20"/>
  <c r="M58" i="20"/>
  <c r="B767" i="11"/>
  <c r="L767" i="9"/>
  <c r="B441" i="16"/>
  <c r="E441" i="20"/>
  <c r="AM441" i="20" s="1"/>
  <c r="AN21" i="10"/>
  <c r="Q21" i="20" s="1"/>
  <c r="O21" i="10"/>
  <c r="AU21" i="10"/>
  <c r="C512" i="16"/>
  <c r="F512" i="20"/>
  <c r="E512" i="19"/>
  <c r="B463" i="16"/>
  <c r="E463" i="20"/>
  <c r="AM463" i="20" s="1"/>
  <c r="A373" i="16"/>
  <c r="A373" i="20"/>
  <c r="A373" i="19"/>
  <c r="L444" i="9"/>
  <c r="B444" i="11"/>
  <c r="J788" i="20"/>
  <c r="M788" i="20"/>
  <c r="J511" i="20"/>
  <c r="M511" i="20"/>
  <c r="J371" i="20"/>
  <c r="M371" i="20"/>
  <c r="M741" i="19"/>
  <c r="I741" i="19"/>
  <c r="M419" i="19"/>
  <c r="I419" i="19"/>
  <c r="S91" i="16"/>
  <c r="K91" i="16"/>
  <c r="O91" i="16"/>
  <c r="H730" i="16"/>
  <c r="P730" i="16" s="1"/>
  <c r="H730" i="20"/>
  <c r="F730" i="19"/>
  <c r="M514" i="19"/>
  <c r="I514" i="19"/>
  <c r="L694" i="20"/>
  <c r="I694" i="20"/>
  <c r="A290" i="16"/>
  <c r="A290" i="20"/>
  <c r="A290" i="19"/>
  <c r="B175" i="16"/>
  <c r="E175" i="20"/>
  <c r="AM175" i="20" s="1"/>
  <c r="L107" i="9"/>
  <c r="B107" i="11"/>
  <c r="L15" i="9"/>
  <c r="B15" i="11"/>
  <c r="M760" i="20"/>
  <c r="J760" i="20"/>
  <c r="O441" i="16"/>
  <c r="K441" i="16"/>
  <c r="S441" i="16"/>
  <c r="J235" i="20"/>
  <c r="M235" i="20"/>
  <c r="H752" i="16"/>
  <c r="P752" i="16" s="1"/>
  <c r="H752" i="20"/>
  <c r="F752" i="19"/>
  <c r="J25" i="20"/>
  <c r="M25" i="20"/>
  <c r="H348" i="16"/>
  <c r="P348" i="16" s="1"/>
  <c r="H348" i="20"/>
  <c r="F348" i="19"/>
  <c r="C598" i="16"/>
  <c r="F598" i="20"/>
  <c r="E598" i="19"/>
  <c r="E110" i="20"/>
  <c r="AM110" i="20" s="1"/>
  <c r="B110" i="16"/>
  <c r="J762" i="20"/>
  <c r="M762" i="20"/>
  <c r="I510" i="19"/>
  <c r="M510" i="19"/>
  <c r="I611" i="20"/>
  <c r="L611" i="20"/>
  <c r="I155" i="19"/>
  <c r="M155" i="19"/>
  <c r="M473" i="19"/>
  <c r="I473" i="19"/>
  <c r="M236" i="20"/>
  <c r="J236" i="20"/>
  <c r="C105" i="16"/>
  <c r="F105" i="20"/>
  <c r="E105" i="19"/>
  <c r="C765" i="16"/>
  <c r="F765" i="20"/>
  <c r="E765" i="19"/>
  <c r="B719" i="20"/>
  <c r="AL719" i="20" s="1"/>
  <c r="B719" i="19"/>
  <c r="A636" i="16"/>
  <c r="A636" i="20"/>
  <c r="A636" i="19"/>
  <c r="B389" i="20"/>
  <c r="AL389" i="20" s="1"/>
  <c r="B389" i="19"/>
  <c r="C214" i="16"/>
  <c r="F214" i="20"/>
  <c r="E214" i="19"/>
  <c r="B69" i="16"/>
  <c r="E69" i="20"/>
  <c r="AM69" i="20" s="1"/>
  <c r="B261" i="19"/>
  <c r="B261" i="20"/>
  <c r="AL261" i="20" s="1"/>
  <c r="B579" i="20"/>
  <c r="AL579" i="20" s="1"/>
  <c r="B579" i="19"/>
  <c r="C534" i="16"/>
  <c r="E534" i="19"/>
  <c r="F534" i="20"/>
  <c r="A300" i="16"/>
  <c r="A300" i="20"/>
  <c r="A300" i="19"/>
  <c r="B151" i="20"/>
  <c r="AL151" i="20" s="1"/>
  <c r="B151" i="19"/>
  <c r="C129" i="16"/>
  <c r="E129" i="19"/>
  <c r="F129" i="20"/>
  <c r="A223" i="16"/>
  <c r="A223" i="20"/>
  <c r="A223" i="19"/>
  <c r="A413" i="16"/>
  <c r="A413" i="20"/>
  <c r="A413" i="19"/>
  <c r="H241" i="19"/>
  <c r="L241" i="19"/>
  <c r="H504" i="19"/>
  <c r="L504" i="19"/>
  <c r="C819" i="16"/>
  <c r="F819" i="20"/>
  <c r="E819" i="19"/>
  <c r="A163" i="16"/>
  <c r="A163" i="20"/>
  <c r="A163" i="19"/>
  <c r="A591" i="16"/>
  <c r="A591" i="20"/>
  <c r="A591" i="19"/>
  <c r="M732" i="20"/>
  <c r="J732" i="20"/>
  <c r="L524" i="19"/>
  <c r="H524" i="19"/>
  <c r="M96" i="19"/>
  <c r="I96" i="19"/>
  <c r="I181" i="20"/>
  <c r="L181" i="20"/>
  <c r="A254" i="16"/>
  <c r="A254" i="20"/>
  <c r="A254" i="19"/>
  <c r="I156" i="20"/>
  <c r="L156" i="20"/>
  <c r="S707" i="16"/>
  <c r="O707" i="16"/>
  <c r="K707" i="16"/>
  <c r="B693" i="11"/>
  <c r="L693" i="9"/>
  <c r="A149" i="16"/>
  <c r="A149" i="20"/>
  <c r="A149" i="19"/>
  <c r="B92" i="20"/>
  <c r="AL92" i="20" s="1"/>
  <c r="B92" i="19"/>
  <c r="M739" i="20"/>
  <c r="J739" i="20"/>
  <c r="J249" i="20"/>
  <c r="M249" i="20"/>
  <c r="L555" i="9"/>
  <c r="B555" i="11"/>
  <c r="M723" i="20"/>
  <c r="J723" i="20"/>
  <c r="C668" i="16"/>
  <c r="F668" i="20"/>
  <c r="E668" i="19"/>
  <c r="B305" i="19"/>
  <c r="B305" i="20"/>
  <c r="AL305" i="20" s="1"/>
  <c r="O275" i="16"/>
  <c r="K275" i="16"/>
  <c r="S275" i="16"/>
  <c r="H456" i="16"/>
  <c r="P456" i="16" s="1"/>
  <c r="H456" i="20"/>
  <c r="F456" i="19"/>
  <c r="M208" i="19"/>
  <c r="I208" i="19"/>
  <c r="A597" i="16"/>
  <c r="A597" i="20"/>
  <c r="A597" i="19"/>
  <c r="A123" i="16"/>
  <c r="A123" i="20"/>
  <c r="A123" i="19"/>
  <c r="A771" i="16"/>
  <c r="A771" i="20"/>
  <c r="A771" i="19"/>
  <c r="L350" i="9"/>
  <c r="B350" i="11"/>
  <c r="B509" i="20"/>
  <c r="AL509" i="20" s="1"/>
  <c r="B509" i="19"/>
  <c r="B641" i="16"/>
  <c r="E641" i="20"/>
  <c r="AM641" i="20" s="1"/>
  <c r="B671" i="16"/>
  <c r="E671" i="20"/>
  <c r="AM671" i="20" s="1"/>
  <c r="M353" i="20"/>
  <c r="J353" i="20"/>
  <c r="C224" i="16"/>
  <c r="F224" i="20"/>
  <c r="E224" i="19"/>
  <c r="H524" i="16"/>
  <c r="P524" i="16" s="1"/>
  <c r="H524" i="20"/>
  <c r="F524" i="19"/>
  <c r="B297" i="11"/>
  <c r="L297" i="9"/>
  <c r="A111" i="16"/>
  <c r="A111" i="20"/>
  <c r="A111" i="19"/>
  <c r="C22" i="16"/>
  <c r="F22" i="20"/>
  <c r="E22" i="19"/>
  <c r="L441" i="20"/>
  <c r="I441" i="20"/>
  <c r="M86" i="20"/>
  <c r="J86" i="20"/>
  <c r="I486" i="19"/>
  <c r="M486" i="19"/>
  <c r="L10" i="18"/>
  <c r="O29" i="18"/>
  <c r="O24" i="18"/>
  <c r="O26" i="18" s="1"/>
  <c r="O27" i="18"/>
  <c r="M35" i="20"/>
  <c r="J35" i="20"/>
  <c r="J822" i="20"/>
  <c r="M822" i="20"/>
  <c r="J705" i="20"/>
  <c r="M705" i="20"/>
  <c r="M649" i="20"/>
  <c r="J649" i="20"/>
  <c r="O13" i="10"/>
  <c r="AU13" i="10"/>
  <c r="AN13" i="10"/>
  <c r="Q13" i="20" s="1"/>
  <c r="J254" i="20"/>
  <c r="M254" i="20"/>
  <c r="M114" i="20"/>
  <c r="J114" i="20"/>
  <c r="U23" i="20"/>
  <c r="S23" i="20"/>
  <c r="J648" i="20"/>
  <c r="M648" i="20"/>
  <c r="J512" i="20"/>
  <c r="M512" i="20"/>
  <c r="M290" i="20"/>
  <c r="J290" i="20"/>
  <c r="M112" i="20"/>
  <c r="J112" i="20"/>
  <c r="B305" i="16"/>
  <c r="E305" i="20"/>
  <c r="AM305" i="20" s="1"/>
  <c r="A139" i="16"/>
  <c r="A139" i="20"/>
  <c r="A139" i="19"/>
  <c r="B252" i="20"/>
  <c r="AL252" i="20" s="1"/>
  <c r="B252" i="19"/>
  <c r="B72" i="20"/>
  <c r="AL72" i="20" s="1"/>
  <c r="B72" i="19"/>
  <c r="AU44" i="10"/>
  <c r="O44" i="10"/>
  <c r="AN44" i="10"/>
  <c r="Q44" i="20" s="1"/>
  <c r="M483" i="19"/>
  <c r="I483" i="19"/>
  <c r="H507" i="16"/>
  <c r="P507" i="16" s="1"/>
  <c r="H507" i="20"/>
  <c r="F507" i="19"/>
  <c r="H107" i="16"/>
  <c r="P107" i="16" s="1"/>
  <c r="H107" i="20"/>
  <c r="F107" i="19"/>
  <c r="B772" i="20"/>
  <c r="AL772" i="20" s="1"/>
  <c r="B772" i="19"/>
  <c r="B672" i="19"/>
  <c r="B672" i="20"/>
  <c r="AL672" i="20" s="1"/>
  <c r="B532" i="20"/>
  <c r="AL532" i="20" s="1"/>
  <c r="B532" i="19"/>
  <c r="A215" i="16"/>
  <c r="A215" i="20"/>
  <c r="A215" i="19"/>
  <c r="J799" i="20"/>
  <c r="M799" i="20"/>
  <c r="H761" i="16"/>
  <c r="P761" i="16" s="1"/>
  <c r="H761" i="20"/>
  <c r="F761" i="19"/>
  <c r="H527" i="16"/>
  <c r="P527" i="16" s="1"/>
  <c r="H527" i="20"/>
  <c r="F527" i="19"/>
  <c r="A522" i="16"/>
  <c r="A522" i="20"/>
  <c r="A522" i="19"/>
  <c r="A422" i="16"/>
  <c r="A422" i="20"/>
  <c r="A422" i="19"/>
  <c r="A92" i="16"/>
  <c r="A92" i="20"/>
  <c r="A92" i="19"/>
  <c r="B255" i="11"/>
  <c r="L255" i="9"/>
  <c r="M717" i="20"/>
  <c r="J717" i="20"/>
  <c r="J503" i="20"/>
  <c r="M503" i="20"/>
  <c r="M199" i="20"/>
  <c r="J199" i="20"/>
  <c r="L755" i="9"/>
  <c r="B755" i="11"/>
  <c r="C31" i="16"/>
  <c r="F31" i="20"/>
  <c r="E31" i="19"/>
  <c r="A692" i="16"/>
  <c r="A692" i="20"/>
  <c r="A692" i="19"/>
  <c r="I563" i="19"/>
  <c r="M563" i="19"/>
  <c r="J476" i="20"/>
  <c r="M476" i="20"/>
  <c r="M202" i="20"/>
  <c r="J202" i="20"/>
  <c r="M50" i="20"/>
  <c r="J50" i="20"/>
  <c r="A665" i="16"/>
  <c r="A665" i="20"/>
  <c r="A665" i="19"/>
  <c r="A575" i="16"/>
  <c r="A575" i="20"/>
  <c r="A575" i="19"/>
  <c r="A485" i="16"/>
  <c r="A485" i="20"/>
  <c r="A485" i="19"/>
  <c r="J479" i="20"/>
  <c r="M479" i="20"/>
  <c r="M237" i="20"/>
  <c r="J237" i="20"/>
  <c r="H722" i="16"/>
  <c r="P722" i="16" s="1"/>
  <c r="H722" i="20"/>
  <c r="F722" i="19"/>
  <c r="M561" i="19"/>
  <c r="I561" i="19"/>
  <c r="L291" i="20"/>
  <c r="I291" i="20"/>
  <c r="M107" i="20"/>
  <c r="J107" i="20"/>
  <c r="C793" i="16"/>
  <c r="F793" i="20"/>
  <c r="E793" i="19"/>
  <c r="B650" i="20"/>
  <c r="AL650" i="20" s="1"/>
  <c r="B650" i="19"/>
  <c r="A567" i="16"/>
  <c r="A567" i="20"/>
  <c r="A567" i="19"/>
  <c r="B339" i="16"/>
  <c r="E339" i="20"/>
  <c r="AM339" i="20" s="1"/>
  <c r="C229" i="16"/>
  <c r="F229" i="20"/>
  <c r="E229" i="19"/>
  <c r="L108" i="9"/>
  <c r="B108" i="11"/>
  <c r="I631" i="20"/>
  <c r="L631" i="20"/>
  <c r="L630" i="9"/>
  <c r="B630" i="11"/>
  <c r="B278" i="16"/>
  <c r="E278" i="20"/>
  <c r="AM278" i="20" s="1"/>
  <c r="A596" i="16"/>
  <c r="A596" i="19"/>
  <c r="A596" i="20"/>
  <c r="L94" i="20"/>
  <c r="I94" i="20"/>
  <c r="H605" i="16"/>
  <c r="P605" i="16" s="1"/>
  <c r="H605" i="20"/>
  <c r="F605" i="19"/>
  <c r="S501" i="16"/>
  <c r="O501" i="16"/>
  <c r="K501" i="16"/>
  <c r="J372" i="20"/>
  <c r="M372" i="20"/>
  <c r="M302" i="20"/>
  <c r="J302" i="20"/>
  <c r="H188" i="16"/>
  <c r="P188" i="16" s="1"/>
  <c r="H188" i="20"/>
  <c r="F188" i="19"/>
  <c r="J55" i="20"/>
  <c r="M55" i="20"/>
  <c r="C585" i="16"/>
  <c r="F585" i="20"/>
  <c r="E585" i="19"/>
  <c r="A483" i="16"/>
  <c r="A483" i="20"/>
  <c r="A483" i="19"/>
  <c r="A366" i="16"/>
  <c r="A366" i="20"/>
  <c r="A366" i="19"/>
  <c r="A100" i="16"/>
  <c r="A100" i="20"/>
  <c r="A100" i="19"/>
  <c r="M220" i="20"/>
  <c r="J220" i="20"/>
  <c r="M320" i="20"/>
  <c r="J320" i="20"/>
  <c r="M683" i="19"/>
  <c r="I683" i="19"/>
  <c r="H320" i="16"/>
  <c r="P320" i="16" s="1"/>
  <c r="H320" i="20"/>
  <c r="F320" i="19"/>
  <c r="M195" i="20"/>
  <c r="J195" i="20"/>
  <c r="I58" i="19"/>
  <c r="M58" i="19"/>
  <c r="H307" i="16"/>
  <c r="P307" i="16" s="1"/>
  <c r="H307" i="20"/>
  <c r="F307" i="19"/>
  <c r="C713" i="16"/>
  <c r="F713" i="20"/>
  <c r="E713" i="19"/>
  <c r="L460" i="9"/>
  <c r="B460" i="11"/>
  <c r="L164" i="9"/>
  <c r="B164" i="11"/>
  <c r="H643" i="16"/>
  <c r="P643" i="16" s="1"/>
  <c r="H643" i="20"/>
  <c r="F643" i="19"/>
  <c r="M139" i="20"/>
  <c r="J139" i="20"/>
  <c r="A323" i="16"/>
  <c r="A323" i="20"/>
  <c r="A323" i="19"/>
  <c r="A813" i="16"/>
  <c r="A813" i="20"/>
  <c r="A813" i="19"/>
  <c r="L694" i="19"/>
  <c r="H694" i="19"/>
  <c r="C261" i="16"/>
  <c r="F261" i="20"/>
  <c r="E261" i="19"/>
  <c r="A543" i="16"/>
  <c r="A543" i="20"/>
  <c r="A543" i="19"/>
  <c r="M517" i="20"/>
  <c r="J517" i="20"/>
  <c r="J469" i="20"/>
  <c r="M469" i="20"/>
  <c r="O111" i="16"/>
  <c r="S111" i="16"/>
  <c r="K111" i="16"/>
  <c r="S611" i="16"/>
  <c r="K611" i="16"/>
  <c r="O611" i="16"/>
  <c r="J751" i="20"/>
  <c r="M751" i="20"/>
  <c r="M525" i="20"/>
  <c r="J525" i="20"/>
  <c r="C167" i="16"/>
  <c r="F167" i="20"/>
  <c r="E167" i="19"/>
  <c r="B11" i="16"/>
  <c r="E11" i="20"/>
  <c r="AM11" i="20" s="1"/>
  <c r="B586" i="16"/>
  <c r="E586" i="20"/>
  <c r="AM586" i="20" s="1"/>
  <c r="A197" i="16"/>
  <c r="A197" i="20"/>
  <c r="A197" i="19"/>
  <c r="J391" i="20"/>
  <c r="M391" i="20"/>
  <c r="B783" i="16"/>
  <c r="E783" i="20"/>
  <c r="AM783" i="20" s="1"/>
  <c r="A731" i="20"/>
  <c r="A731" i="16"/>
  <c r="A731" i="19"/>
  <c r="B218" i="16"/>
  <c r="E218" i="20"/>
  <c r="AM218" i="20" s="1"/>
  <c r="C374" i="16"/>
  <c r="E374" i="19"/>
  <c r="F374" i="20"/>
  <c r="C98" i="16"/>
  <c r="F98" i="20"/>
  <c r="E98" i="19"/>
  <c r="I376" i="20"/>
  <c r="L376" i="20"/>
  <c r="H576" i="16"/>
  <c r="P576" i="16" s="1"/>
  <c r="H576" i="20"/>
  <c r="F576" i="19"/>
  <c r="B739" i="20"/>
  <c r="AL739" i="20" s="1"/>
  <c r="B739" i="19"/>
  <c r="A534" i="20"/>
  <c r="A534" i="16"/>
  <c r="A534" i="19"/>
  <c r="A113" i="16"/>
  <c r="A113" i="20"/>
  <c r="A113" i="19"/>
  <c r="A383" i="16"/>
  <c r="A383" i="20"/>
  <c r="A383" i="19"/>
  <c r="B362" i="16"/>
  <c r="E362" i="20"/>
  <c r="AM362" i="20" s="1"/>
  <c r="B239" i="20"/>
  <c r="AL239" i="20" s="1"/>
  <c r="B239" i="19"/>
  <c r="B379" i="20"/>
  <c r="AL379" i="20" s="1"/>
  <c r="B379" i="19"/>
  <c r="O181" i="16"/>
  <c r="K181" i="16"/>
  <c r="S181" i="16"/>
  <c r="K762" i="19"/>
  <c r="L762" i="19"/>
  <c r="H762" i="19"/>
  <c r="C517" i="16"/>
  <c r="F517" i="20"/>
  <c r="E517" i="19"/>
  <c r="C454" i="16"/>
  <c r="F454" i="20"/>
  <c r="E454" i="19"/>
  <c r="H305" i="16"/>
  <c r="P305" i="16" s="1"/>
  <c r="H305" i="20"/>
  <c r="F305" i="19"/>
  <c r="L712" i="20"/>
  <c r="I712" i="20"/>
  <c r="B806" i="16"/>
  <c r="E806" i="20"/>
  <c r="AM806" i="20" s="1"/>
  <c r="M601" i="20"/>
  <c r="J601" i="20"/>
  <c r="J264" i="20"/>
  <c r="M264" i="20"/>
  <c r="M661" i="20"/>
  <c r="J661" i="20"/>
  <c r="B272" i="20"/>
  <c r="AL272" i="20" s="1"/>
  <c r="B272" i="19"/>
  <c r="M500" i="20"/>
  <c r="J500" i="20"/>
  <c r="B682" i="20"/>
  <c r="AL682" i="20" s="1"/>
  <c r="B682" i="19"/>
  <c r="A532" i="16"/>
  <c r="A532" i="20"/>
  <c r="A532" i="19"/>
  <c r="B325" i="11"/>
  <c r="L325" i="9"/>
  <c r="J604" i="20"/>
  <c r="M604" i="20"/>
  <c r="A381" i="16"/>
  <c r="A381" i="20"/>
  <c r="A381" i="19"/>
  <c r="I590" i="19"/>
  <c r="M590" i="19"/>
  <c r="M710" i="20"/>
  <c r="J710" i="20"/>
  <c r="M598" i="20"/>
  <c r="J598" i="20"/>
  <c r="J474" i="20"/>
  <c r="M474" i="20"/>
  <c r="J404" i="20"/>
  <c r="M404" i="20"/>
  <c r="M184" i="20"/>
  <c r="J184" i="20"/>
  <c r="M44" i="20"/>
  <c r="J44" i="20"/>
  <c r="M594" i="19"/>
  <c r="I594" i="19"/>
  <c r="J401" i="20"/>
  <c r="M401" i="20"/>
  <c r="M810" i="19"/>
  <c r="I810" i="19"/>
  <c r="A799" i="16"/>
  <c r="A799" i="20"/>
  <c r="A799" i="19"/>
  <c r="A379" i="16"/>
  <c r="A379" i="20"/>
  <c r="A379" i="19"/>
  <c r="A29" i="16"/>
  <c r="A29" i="20"/>
  <c r="A29" i="19"/>
  <c r="B412" i="20"/>
  <c r="AL412" i="20" s="1"/>
  <c r="B412" i="19"/>
  <c r="A95" i="16"/>
  <c r="A95" i="20"/>
  <c r="A95" i="19"/>
  <c r="M733" i="20"/>
  <c r="J733" i="20"/>
  <c r="M77" i="20"/>
  <c r="J77" i="20"/>
  <c r="B342" i="20"/>
  <c r="AL342" i="20" s="1"/>
  <c r="B342" i="19"/>
  <c r="B102" i="20"/>
  <c r="AL102" i="20" s="1"/>
  <c r="B102" i="19"/>
  <c r="H386" i="16"/>
  <c r="P386" i="16" s="1"/>
  <c r="H386" i="20"/>
  <c r="F386" i="19"/>
  <c r="H255" i="16"/>
  <c r="P255" i="16" s="1"/>
  <c r="H255" i="20"/>
  <c r="F255" i="19"/>
  <c r="H753" i="16"/>
  <c r="P753" i="16" s="1"/>
  <c r="H753" i="20"/>
  <c r="F753" i="19"/>
  <c r="L735" i="9"/>
  <c r="B735" i="11"/>
  <c r="B535" i="11"/>
  <c r="L535" i="9"/>
  <c r="AU56" i="10"/>
  <c r="O56" i="10"/>
  <c r="F17" i="18" s="1"/>
  <c r="H17" i="18" s="1"/>
  <c r="AN56" i="10"/>
  <c r="Q56" i="20" s="1"/>
  <c r="J563" i="20"/>
  <c r="M563" i="20"/>
  <c r="H736" i="16"/>
  <c r="P736" i="16" s="1"/>
  <c r="H736" i="20"/>
  <c r="F736" i="19"/>
  <c r="H616" i="16"/>
  <c r="P616" i="16" s="1"/>
  <c r="H616" i="20"/>
  <c r="F616" i="19"/>
  <c r="M444" i="19"/>
  <c r="I444" i="19"/>
  <c r="L745" i="9"/>
  <c r="B745" i="11"/>
  <c r="B485" i="11"/>
  <c r="L485" i="9"/>
  <c r="M682" i="20"/>
  <c r="J682" i="20"/>
  <c r="H167" i="16"/>
  <c r="P167" i="16" s="1"/>
  <c r="H167" i="20"/>
  <c r="F167" i="19"/>
  <c r="A285" i="16"/>
  <c r="A285" i="20"/>
  <c r="A285" i="19"/>
  <c r="M688" i="20"/>
  <c r="J688" i="20"/>
  <c r="J383" i="20"/>
  <c r="M383" i="20"/>
  <c r="I8" i="19"/>
  <c r="M8" i="19"/>
  <c r="C710" i="16"/>
  <c r="F710" i="20"/>
  <c r="E710" i="19"/>
  <c r="L328" i="9"/>
  <c r="B328" i="11"/>
  <c r="S631" i="16"/>
  <c r="K631" i="16"/>
  <c r="O631" i="16"/>
  <c r="M253" i="20"/>
  <c r="J253" i="20"/>
  <c r="I395" i="19"/>
  <c r="M395" i="19"/>
  <c r="L611" i="9"/>
  <c r="B611" i="11"/>
  <c r="I396" i="19"/>
  <c r="M396" i="19"/>
  <c r="H94" i="19"/>
  <c r="L94" i="19"/>
  <c r="K94" i="19"/>
  <c r="F797" i="20"/>
  <c r="C797" i="16"/>
  <c r="E797" i="19"/>
  <c r="M457" i="20"/>
  <c r="J457" i="20"/>
  <c r="F368" i="20"/>
  <c r="C368" i="16"/>
  <c r="E368" i="19"/>
  <c r="I672" i="19"/>
  <c r="M672" i="19"/>
  <c r="L578" i="9"/>
  <c r="B578" i="11"/>
  <c r="B445" i="16"/>
  <c r="E445" i="20"/>
  <c r="AM445" i="20" s="1"/>
  <c r="B191" i="20"/>
  <c r="AL191" i="20" s="1"/>
  <c r="B191" i="19"/>
  <c r="M533" i="20"/>
  <c r="J533" i="20"/>
  <c r="J600" i="20"/>
  <c r="M600" i="20"/>
  <c r="M203" i="19"/>
  <c r="I203" i="19"/>
  <c r="L411" i="9"/>
  <c r="B411" i="11"/>
  <c r="C15" i="16"/>
  <c r="F15" i="20"/>
  <c r="E15" i="19"/>
  <c r="B490" i="20"/>
  <c r="AL490" i="20" s="1"/>
  <c r="B490" i="19"/>
  <c r="O335" i="16"/>
  <c r="K335" i="16"/>
  <c r="S335" i="16"/>
  <c r="B331" i="20"/>
  <c r="AL331" i="20" s="1"/>
  <c r="B331" i="19"/>
  <c r="J536" i="20"/>
  <c r="M536" i="20"/>
  <c r="M619" i="20"/>
  <c r="J619" i="20"/>
  <c r="M80" i="20"/>
  <c r="J80" i="20"/>
  <c r="A793" i="16"/>
  <c r="A793" i="19"/>
  <c r="A793" i="20"/>
  <c r="O694" i="16"/>
  <c r="K694" i="16"/>
  <c r="S694" i="16"/>
  <c r="B448" i="16"/>
  <c r="E448" i="20"/>
  <c r="AM448" i="20" s="1"/>
  <c r="B91" i="16"/>
  <c r="E91" i="20"/>
  <c r="AM91" i="20" s="1"/>
  <c r="M735" i="20"/>
  <c r="J735" i="20"/>
  <c r="J499" i="20"/>
  <c r="M499" i="20"/>
  <c r="H381" i="16"/>
  <c r="P381" i="16" s="1"/>
  <c r="H381" i="20"/>
  <c r="F381" i="19"/>
  <c r="H656" i="20"/>
  <c r="H656" i="16"/>
  <c r="P656" i="16" s="1"/>
  <c r="F656" i="19"/>
  <c r="L658" i="9"/>
  <c r="B658" i="11"/>
  <c r="M731" i="19"/>
  <c r="I731" i="19"/>
  <c r="M332" i="20"/>
  <c r="J332" i="20"/>
  <c r="A590" i="16"/>
  <c r="A590" i="19"/>
  <c r="A590" i="20"/>
  <c r="J306" i="20"/>
  <c r="M306" i="20"/>
  <c r="B809" i="16"/>
  <c r="E809" i="20"/>
  <c r="AM809" i="20" s="1"/>
  <c r="U20" i="20"/>
  <c r="S20" i="20"/>
  <c r="J326" i="20"/>
  <c r="M326" i="20"/>
  <c r="M90" i="20"/>
  <c r="J90" i="20"/>
  <c r="B745" i="16"/>
  <c r="E745" i="20"/>
  <c r="AM745" i="20" s="1"/>
  <c r="C375" i="16"/>
  <c r="F375" i="20"/>
  <c r="E375" i="19"/>
  <c r="B722" i="16"/>
  <c r="E722" i="20"/>
  <c r="AM722" i="20" s="1"/>
  <c r="B648" i="16"/>
  <c r="E648" i="20"/>
  <c r="AM648" i="20" s="1"/>
  <c r="B139" i="20"/>
  <c r="AL139" i="20" s="1"/>
  <c r="B139" i="19"/>
  <c r="S241" i="16"/>
  <c r="O241" i="16"/>
  <c r="K241" i="16"/>
  <c r="M365" i="20"/>
  <c r="J365" i="20"/>
  <c r="L64" i="20"/>
  <c r="I64" i="20"/>
  <c r="M410" i="19"/>
  <c r="I410" i="19"/>
  <c r="B810" i="20"/>
  <c r="AL810" i="20" s="1"/>
  <c r="B810" i="19"/>
  <c r="C569" i="16"/>
  <c r="E569" i="19"/>
  <c r="F569" i="20"/>
  <c r="C213" i="16"/>
  <c r="F213" i="20"/>
  <c r="E213" i="19"/>
  <c r="C669" i="16"/>
  <c r="F669" i="20"/>
  <c r="E669" i="19"/>
  <c r="H556" i="16"/>
  <c r="P556" i="16" s="1"/>
  <c r="H556" i="20"/>
  <c r="F556" i="19"/>
  <c r="M674" i="19"/>
  <c r="I674" i="19"/>
  <c r="J484" i="20"/>
  <c r="M484" i="20"/>
  <c r="J124" i="20"/>
  <c r="M124" i="20"/>
  <c r="M614" i="19"/>
  <c r="I614" i="19"/>
  <c r="A59" i="16"/>
  <c r="A59" i="20"/>
  <c r="A59" i="19"/>
  <c r="U65" i="20"/>
  <c r="S65" i="20"/>
  <c r="B782" i="19"/>
  <c r="B782" i="20"/>
  <c r="AL782" i="20" s="1"/>
  <c r="B362" i="20"/>
  <c r="AL362" i="20" s="1"/>
  <c r="B362" i="19"/>
  <c r="A245" i="16"/>
  <c r="A245" i="20"/>
  <c r="A245" i="19"/>
  <c r="J526" i="20"/>
  <c r="M526" i="20"/>
  <c r="M170" i="20"/>
  <c r="J170" i="20"/>
  <c r="A432" i="16"/>
  <c r="A432" i="20"/>
  <c r="A432" i="19"/>
  <c r="L795" i="9"/>
  <c r="B795" i="11"/>
  <c r="H240" i="16"/>
  <c r="P240" i="16" s="1"/>
  <c r="H240" i="20"/>
  <c r="F240" i="19"/>
  <c r="M313" i="20"/>
  <c r="J313" i="20"/>
  <c r="M76" i="20"/>
  <c r="J76" i="20"/>
  <c r="J541" i="20"/>
  <c r="M541" i="20"/>
  <c r="A287" i="16"/>
  <c r="A287" i="20"/>
  <c r="A287" i="19"/>
  <c r="H611" i="19"/>
  <c r="L611" i="19"/>
  <c r="K611" i="19"/>
  <c r="J803" i="20"/>
  <c r="M803" i="20"/>
  <c r="I332" i="19"/>
  <c r="M332" i="19"/>
  <c r="M593" i="20"/>
  <c r="J593" i="20"/>
  <c r="M612" i="19"/>
  <c r="I612" i="19"/>
  <c r="J813" i="20"/>
  <c r="M813" i="20"/>
  <c r="M654" i="20"/>
  <c r="J654" i="20"/>
  <c r="M22" i="20"/>
  <c r="J22" i="20"/>
  <c r="J808" i="20"/>
  <c r="M808" i="20"/>
  <c r="M816" i="20"/>
  <c r="J816" i="20"/>
  <c r="I452" i="19"/>
  <c r="M452" i="19"/>
  <c r="I12" i="19"/>
  <c r="M12" i="19"/>
  <c r="M753" i="20"/>
  <c r="J753" i="20"/>
  <c r="M641" i="20"/>
  <c r="J641" i="20"/>
  <c r="J537" i="20"/>
  <c r="M537" i="20"/>
  <c r="J758" i="20"/>
  <c r="M758" i="20"/>
  <c r="J324" i="20"/>
  <c r="M324" i="20"/>
  <c r="M244" i="20"/>
  <c r="J244" i="20"/>
  <c r="A752" i="16"/>
  <c r="A752" i="20"/>
  <c r="A752" i="19"/>
  <c r="A709" i="16"/>
  <c r="A709" i="19"/>
  <c r="A709" i="20"/>
  <c r="A619" i="16"/>
  <c r="A619" i="20"/>
  <c r="A619" i="19"/>
  <c r="A539" i="16"/>
  <c r="A539" i="20"/>
  <c r="A539" i="19"/>
  <c r="A459" i="16"/>
  <c r="A459" i="20"/>
  <c r="A459" i="19"/>
  <c r="B232" i="20"/>
  <c r="AL232" i="20" s="1"/>
  <c r="B232" i="19"/>
  <c r="B62" i="20"/>
  <c r="AL62" i="20" s="1"/>
  <c r="B62" i="19"/>
  <c r="M579" i="20"/>
  <c r="J579" i="20"/>
  <c r="M208" i="20"/>
  <c r="J208" i="20"/>
  <c r="I477" i="19"/>
  <c r="M477" i="19"/>
  <c r="B762" i="19"/>
  <c r="B762" i="20"/>
  <c r="AL762" i="20" s="1"/>
  <c r="B662" i="20"/>
  <c r="AL662" i="20" s="1"/>
  <c r="B662" i="19"/>
  <c r="B512" i="20"/>
  <c r="AL512" i="20" s="1"/>
  <c r="B512" i="19"/>
  <c r="A195" i="16"/>
  <c r="A195" i="20"/>
  <c r="A195" i="19"/>
  <c r="I243" i="19"/>
  <c r="M243" i="19"/>
  <c r="M651" i="20"/>
  <c r="J651" i="20"/>
  <c r="M147" i="20"/>
  <c r="J147" i="20"/>
  <c r="A512" i="16"/>
  <c r="A512" i="20"/>
  <c r="A512" i="19"/>
  <c r="A412" i="16"/>
  <c r="A412" i="20"/>
  <c r="A412" i="19"/>
  <c r="B725" i="11"/>
  <c r="L725" i="9"/>
  <c r="L525" i="9"/>
  <c r="B525" i="11"/>
  <c r="B175" i="11"/>
  <c r="L175" i="9"/>
  <c r="AN45" i="10"/>
  <c r="Q45" i="20" s="1"/>
  <c r="O45" i="10"/>
  <c r="F6" i="18" s="1"/>
  <c r="H6" i="18" s="1"/>
  <c r="AU45" i="10"/>
  <c r="J357" i="20"/>
  <c r="M357" i="20"/>
  <c r="C71" i="16"/>
  <c r="F71" i="20"/>
  <c r="E71" i="19"/>
  <c r="M728" i="19"/>
  <c r="I728" i="19"/>
  <c r="I721" i="20"/>
  <c r="L721" i="20"/>
  <c r="B475" i="11"/>
  <c r="L475" i="9"/>
  <c r="B22" i="11"/>
  <c r="L22" i="9"/>
  <c r="M450" i="20"/>
  <c r="J450" i="20"/>
  <c r="M298" i="20"/>
  <c r="J298" i="20"/>
  <c r="H662" i="16"/>
  <c r="P662" i="16" s="1"/>
  <c r="H662" i="20"/>
  <c r="F662" i="19"/>
  <c r="M522" i="19"/>
  <c r="I522" i="19"/>
  <c r="A655" i="16"/>
  <c r="A655" i="20"/>
  <c r="A655" i="19"/>
  <c r="A565" i="16"/>
  <c r="A565" i="20"/>
  <c r="A565" i="19"/>
  <c r="H99" i="16"/>
  <c r="P99" i="16" s="1"/>
  <c r="H99" i="20"/>
  <c r="F99" i="19"/>
  <c r="A620" i="16"/>
  <c r="A620" i="19"/>
  <c r="A620" i="20"/>
  <c r="A328" i="16"/>
  <c r="A328" i="20"/>
  <c r="A328" i="19"/>
  <c r="B279" i="16"/>
  <c r="E279" i="20"/>
  <c r="AM279" i="20" s="1"/>
  <c r="B164" i="16"/>
  <c r="E164" i="20"/>
  <c r="AM164" i="20" s="1"/>
  <c r="M589" i="20"/>
  <c r="J589" i="20"/>
  <c r="L361" i="20"/>
  <c r="I361" i="20"/>
  <c r="M177" i="20"/>
  <c r="J177" i="20"/>
  <c r="M20" i="20"/>
  <c r="J20" i="20"/>
  <c r="M65" i="19"/>
  <c r="I65" i="19"/>
  <c r="I671" i="20"/>
  <c r="L671" i="20"/>
  <c r="M113" i="20"/>
  <c r="J113" i="20"/>
  <c r="A464" i="16"/>
  <c r="A464" i="20"/>
  <c r="A464" i="19"/>
  <c r="A298" i="16"/>
  <c r="A298" i="20"/>
  <c r="A298" i="19"/>
  <c r="H55" i="20"/>
  <c r="H55" i="16"/>
  <c r="P55" i="16" s="1"/>
  <c r="F55" i="19"/>
  <c r="H755" i="16"/>
  <c r="P755" i="16" s="1"/>
  <c r="H755" i="20"/>
  <c r="F755" i="19"/>
  <c r="I100" i="19"/>
  <c r="M100" i="19"/>
  <c r="B396" i="11"/>
  <c r="L396" i="9"/>
  <c r="A57" i="16"/>
  <c r="A57" i="20"/>
  <c r="A57" i="19"/>
  <c r="B331" i="16"/>
  <c r="E331" i="20"/>
  <c r="AM331" i="20" s="1"/>
  <c r="C137" i="16"/>
  <c r="F137" i="20"/>
  <c r="E137" i="19"/>
  <c r="I805" i="19"/>
  <c r="M805" i="19"/>
  <c r="S11" i="20"/>
  <c r="U11" i="20"/>
  <c r="M552" i="20"/>
  <c r="J552" i="20"/>
  <c r="I283" i="19"/>
  <c r="M283" i="19"/>
  <c r="H664" i="16"/>
  <c r="P664" i="16" s="1"/>
  <c r="H664" i="20"/>
  <c r="F664" i="19"/>
  <c r="M304" i="19"/>
  <c r="I304" i="19"/>
  <c r="L763" i="9"/>
  <c r="B763" i="11"/>
  <c r="B699" i="20"/>
  <c r="AL699" i="20" s="1"/>
  <c r="B699" i="19"/>
  <c r="C357" i="16"/>
  <c r="F357" i="20"/>
  <c r="E357" i="19"/>
  <c r="J631" i="20"/>
  <c r="M631" i="20"/>
  <c r="M475" i="20"/>
  <c r="J475" i="20"/>
  <c r="I356" i="19"/>
  <c r="M356" i="19"/>
  <c r="M213" i="20"/>
  <c r="J213" i="20"/>
  <c r="C125" i="16"/>
  <c r="E125" i="19"/>
  <c r="F125" i="20"/>
  <c r="B691" i="20"/>
  <c r="AL691" i="20" s="1"/>
  <c r="B691" i="19"/>
  <c r="H197" i="16"/>
  <c r="P197" i="16" s="1"/>
  <c r="H197" i="20"/>
  <c r="F197" i="19"/>
  <c r="L68" i="9"/>
  <c r="B68" i="11"/>
  <c r="H791" i="19"/>
  <c r="L791" i="19"/>
  <c r="K791" i="19"/>
  <c r="M513" i="20"/>
  <c r="J513" i="20"/>
  <c r="M218" i="20"/>
  <c r="J218" i="20"/>
  <c r="M546" i="19"/>
  <c r="I546" i="19"/>
  <c r="J181" i="20"/>
  <c r="M181" i="20"/>
  <c r="AN66" i="10"/>
  <c r="Q66" i="20" s="1"/>
  <c r="AU66" i="10"/>
  <c r="O66" i="10"/>
  <c r="I747" i="19"/>
  <c r="M747" i="19"/>
  <c r="I376" i="19"/>
  <c r="M376" i="19"/>
  <c r="B758" i="16"/>
  <c r="E758" i="20"/>
  <c r="AM758" i="20" s="1"/>
  <c r="A658" i="16"/>
  <c r="A658" i="20"/>
  <c r="A658" i="19"/>
  <c r="B582" i="16"/>
  <c r="E582" i="20"/>
  <c r="AM582" i="20" s="1"/>
  <c r="A493" i="16"/>
  <c r="A493" i="20"/>
  <c r="A493" i="19"/>
  <c r="C407" i="16"/>
  <c r="F407" i="20"/>
  <c r="E407" i="19"/>
  <c r="A337" i="16"/>
  <c r="A337" i="20"/>
  <c r="A337" i="19"/>
  <c r="B193" i="16"/>
  <c r="E193" i="20"/>
  <c r="AM193" i="20" s="1"/>
  <c r="I495" i="19"/>
  <c r="M495" i="19"/>
  <c r="I130" i="19"/>
  <c r="M130" i="19"/>
  <c r="H362" i="16"/>
  <c r="P362" i="16" s="1"/>
  <c r="H362" i="20"/>
  <c r="F362" i="19"/>
  <c r="M212" i="20"/>
  <c r="J212" i="20"/>
  <c r="M693" i="20"/>
  <c r="J693" i="20"/>
  <c r="K376" i="16"/>
  <c r="S376" i="16"/>
  <c r="O376" i="16"/>
  <c r="F29" i="20"/>
  <c r="C29" i="16"/>
  <c r="E29" i="19"/>
  <c r="B7" i="16"/>
  <c r="E7" i="20"/>
  <c r="B349" i="20"/>
  <c r="AL349" i="20" s="1"/>
  <c r="B349" i="19"/>
  <c r="B678" i="16"/>
  <c r="E678" i="20"/>
  <c r="AM678" i="20" s="1"/>
  <c r="M746" i="19"/>
  <c r="I746" i="19"/>
  <c r="B407" i="20"/>
  <c r="AL407" i="20" s="1"/>
  <c r="B407" i="19"/>
  <c r="O762" i="16"/>
  <c r="K762" i="16"/>
  <c r="S762" i="16"/>
  <c r="B313" i="20"/>
  <c r="AL313" i="20" s="1"/>
  <c r="B313" i="19"/>
  <c r="H276" i="16"/>
  <c r="P276" i="16" s="1"/>
  <c r="H276" i="20"/>
  <c r="F276" i="19"/>
  <c r="A296" i="16"/>
  <c r="A296" i="20"/>
  <c r="A296" i="19"/>
  <c r="I238" i="19"/>
  <c r="M238" i="19"/>
  <c r="H161" i="16"/>
  <c r="P161" i="16" s="1"/>
  <c r="H161" i="20"/>
  <c r="F161" i="19"/>
  <c r="L168" i="20"/>
  <c r="I168" i="20"/>
  <c r="L787" i="19"/>
  <c r="K787" i="19"/>
  <c r="H787" i="19"/>
  <c r="H183" i="19"/>
  <c r="L183" i="19"/>
  <c r="K183" i="19"/>
  <c r="H584" i="16"/>
  <c r="P584" i="16" s="1"/>
  <c r="H584" i="20"/>
  <c r="F584" i="19"/>
  <c r="C715" i="16"/>
  <c r="E715" i="19"/>
  <c r="F715" i="20"/>
  <c r="A443" i="16"/>
  <c r="A443" i="20"/>
  <c r="A443" i="19"/>
  <c r="J201" i="20"/>
  <c r="M201" i="20"/>
  <c r="H12" i="19"/>
  <c r="L12" i="19"/>
  <c r="K12" i="19"/>
  <c r="H61" i="16"/>
  <c r="P61" i="16" s="1"/>
  <c r="H61" i="20"/>
  <c r="F61" i="19"/>
  <c r="A780" i="16"/>
  <c r="A780" i="19"/>
  <c r="A780" i="20"/>
  <c r="I680" i="19"/>
  <c r="M680" i="19"/>
  <c r="C557" i="16"/>
  <c r="F557" i="20"/>
  <c r="E557" i="19"/>
  <c r="S131" i="16"/>
  <c r="O131" i="16"/>
  <c r="K131" i="16"/>
  <c r="B546" i="16"/>
  <c r="E546" i="20"/>
  <c r="AM546" i="20" s="1"/>
  <c r="M89" i="20"/>
  <c r="J89" i="20"/>
  <c r="L818" i="20"/>
  <c r="I818" i="20"/>
  <c r="U42" i="20"/>
  <c r="S42" i="20"/>
  <c r="J299" i="20"/>
  <c r="M299" i="20"/>
  <c r="B184" i="16"/>
  <c r="E184" i="20"/>
  <c r="AM184" i="20" s="1"/>
  <c r="S64" i="16"/>
  <c r="O64" i="16"/>
  <c r="K64" i="16"/>
  <c r="M443" i="20"/>
  <c r="J443" i="20"/>
  <c r="H282" i="19"/>
  <c r="L282" i="19"/>
  <c r="O168" i="16"/>
  <c r="K168" i="16"/>
  <c r="S168" i="16"/>
  <c r="M49" i="19"/>
  <c r="I49" i="19"/>
  <c r="H21" i="16"/>
  <c r="P21" i="16" s="1"/>
  <c r="H21" i="20"/>
  <c r="F21" i="19"/>
  <c r="L181" i="19"/>
  <c r="K181" i="19"/>
  <c r="H181" i="19"/>
  <c r="U3" i="20"/>
  <c r="S3" i="20"/>
  <c r="J461" i="20"/>
  <c r="M461" i="20"/>
  <c r="A438" i="16"/>
  <c r="A438" i="20"/>
  <c r="A438" i="19"/>
  <c r="AN28" i="10"/>
  <c r="Q28" i="20" s="1"/>
  <c r="AU28" i="10"/>
  <c r="O28" i="10"/>
  <c r="A747" i="16"/>
  <c r="A747" i="19"/>
  <c r="A747" i="20"/>
  <c r="A14" i="16"/>
  <c r="A14" i="20"/>
  <c r="A14" i="19"/>
  <c r="B704" i="16"/>
  <c r="E704" i="20"/>
  <c r="AM704" i="20" s="1"/>
  <c r="C562" i="16"/>
  <c r="E562" i="19"/>
  <c r="F562" i="20"/>
  <c r="M358" i="20"/>
  <c r="J358" i="20"/>
  <c r="L186" i="9"/>
  <c r="B186" i="11"/>
  <c r="L344" i="19"/>
  <c r="K344" i="19"/>
  <c r="H344" i="19"/>
  <c r="M108" i="20"/>
  <c r="J108" i="20"/>
  <c r="A386" i="16"/>
  <c r="A386" i="20"/>
  <c r="A386" i="19"/>
  <c r="B619" i="16"/>
  <c r="E619" i="20"/>
  <c r="AM619" i="20" s="1"/>
  <c r="B319" i="16"/>
  <c r="E319" i="20"/>
  <c r="AM319" i="20" s="1"/>
  <c r="J818" i="20"/>
  <c r="M818" i="20"/>
  <c r="L804" i="9"/>
  <c r="B804" i="11"/>
  <c r="H585" i="16"/>
  <c r="P585" i="16" s="1"/>
  <c r="H585" i="20"/>
  <c r="F585" i="19"/>
  <c r="M72" i="20"/>
  <c r="J72" i="20"/>
  <c r="H116" i="20"/>
  <c r="H116" i="16"/>
  <c r="P116" i="16" s="1"/>
  <c r="F116" i="19"/>
  <c r="M148" i="20"/>
  <c r="J148" i="20"/>
  <c r="H688" i="16"/>
  <c r="P688" i="16" s="1"/>
  <c r="H688" i="20"/>
  <c r="F688" i="19"/>
  <c r="M439" i="19"/>
  <c r="I439" i="19"/>
  <c r="M420" i="20"/>
  <c r="J420" i="20"/>
  <c r="H792" i="16"/>
  <c r="P792" i="16" s="1"/>
  <c r="H792" i="20"/>
  <c r="F792" i="19"/>
  <c r="H257" i="16"/>
  <c r="P257" i="16" s="1"/>
  <c r="H257" i="20"/>
  <c r="F257" i="19"/>
  <c r="J473" i="20"/>
  <c r="M473" i="20"/>
  <c r="I291" i="19"/>
  <c r="M291" i="19"/>
  <c r="A641" i="16"/>
  <c r="A641" i="20"/>
  <c r="A641" i="19"/>
  <c r="A766" i="16"/>
  <c r="A766" i="20"/>
  <c r="A766" i="19"/>
  <c r="M787" i="19"/>
  <c r="I787" i="19"/>
  <c r="M721" i="19"/>
  <c r="I721" i="19"/>
  <c r="H244" i="20"/>
  <c r="F244" i="19"/>
  <c r="H244" i="16"/>
  <c r="P244" i="16" s="1"/>
  <c r="A231" i="16"/>
  <c r="A231" i="20"/>
  <c r="A231" i="19"/>
  <c r="L190" i="19"/>
  <c r="K190" i="19"/>
  <c r="H190" i="19"/>
  <c r="M254" i="19"/>
  <c r="I254" i="19"/>
  <c r="H376" i="19"/>
  <c r="L376" i="19"/>
  <c r="K376" i="19"/>
  <c r="I241" i="20"/>
  <c r="L241" i="20"/>
  <c r="J778" i="20"/>
  <c r="M778" i="20"/>
  <c r="L491" i="20"/>
  <c r="I491" i="20"/>
  <c r="M330" i="19"/>
  <c r="I330" i="19"/>
  <c r="B656" i="11"/>
  <c r="L656" i="9"/>
  <c r="L534" i="9"/>
  <c r="B534" i="11"/>
  <c r="B474" i="16"/>
  <c r="E474" i="20"/>
  <c r="AM474" i="20" s="1"/>
  <c r="B303" i="16"/>
  <c r="E303" i="20"/>
  <c r="AM303" i="20" s="1"/>
  <c r="B660" i="16"/>
  <c r="E660" i="20"/>
  <c r="AM660" i="20" s="1"/>
  <c r="O251" i="16"/>
  <c r="K251" i="16"/>
  <c r="S251" i="16"/>
  <c r="L470" i="9"/>
  <c r="B470" i="11"/>
  <c r="B129" i="20"/>
  <c r="AL129" i="20" s="1"/>
  <c r="B129" i="19"/>
  <c r="I436" i="19"/>
  <c r="M436" i="19"/>
  <c r="H754" i="16"/>
  <c r="P754" i="16" s="1"/>
  <c r="H754" i="20"/>
  <c r="F754" i="19"/>
  <c r="B667" i="16"/>
  <c r="E667" i="20"/>
  <c r="AM667" i="20" s="1"/>
  <c r="I588" i="20"/>
  <c r="L588" i="20"/>
  <c r="B189" i="16"/>
  <c r="E189" i="20"/>
  <c r="AM189" i="20" s="1"/>
  <c r="B658" i="16"/>
  <c r="E658" i="20"/>
  <c r="AM658" i="20" s="1"/>
  <c r="B210" i="16"/>
  <c r="E210" i="20"/>
  <c r="AM210" i="20" s="1"/>
  <c r="F77" i="20"/>
  <c r="C77" i="16"/>
  <c r="E77" i="19"/>
  <c r="K592" i="16"/>
  <c r="S592" i="16"/>
  <c r="O592" i="16"/>
  <c r="C537" i="16"/>
  <c r="E537" i="19"/>
  <c r="F537" i="20"/>
  <c r="M118" i="20"/>
  <c r="J118" i="20"/>
  <c r="L38" i="20"/>
  <c r="I38" i="20"/>
  <c r="M575" i="20"/>
  <c r="J575" i="20"/>
  <c r="L450" i="9"/>
  <c r="B450" i="11"/>
  <c r="A671" i="20"/>
  <c r="A671" i="16"/>
  <c r="A671" i="19"/>
  <c r="C222" i="16"/>
  <c r="F222" i="20"/>
  <c r="E222" i="19"/>
  <c r="A48" i="16"/>
  <c r="A48" i="20"/>
  <c r="A48" i="19"/>
  <c r="C783" i="16"/>
  <c r="F783" i="20"/>
  <c r="E783" i="19"/>
  <c r="B618" i="11"/>
  <c r="L618" i="9"/>
  <c r="C372" i="16"/>
  <c r="F372" i="20"/>
  <c r="E372" i="19"/>
  <c r="B740" i="20"/>
  <c r="AL740" i="20" s="1"/>
  <c r="B740" i="19"/>
  <c r="B132" i="20"/>
  <c r="AL132" i="20" s="1"/>
  <c r="B132" i="19"/>
  <c r="M281" i="20"/>
  <c r="J281" i="20"/>
  <c r="H569" i="16"/>
  <c r="P569" i="16" s="1"/>
  <c r="H569" i="20"/>
  <c r="F569" i="19"/>
  <c r="L801" i="19"/>
  <c r="K801" i="19"/>
  <c r="H801" i="19"/>
  <c r="C601" i="16"/>
  <c r="F601" i="20"/>
  <c r="E601" i="19"/>
  <c r="B395" i="11"/>
  <c r="L395" i="9"/>
  <c r="M770" i="20"/>
  <c r="J770" i="20"/>
  <c r="H459" i="16"/>
  <c r="P459" i="16" s="1"/>
  <c r="H459" i="20"/>
  <c r="F459" i="19"/>
  <c r="M132" i="20"/>
  <c r="J132" i="20"/>
  <c r="B605" i="11"/>
  <c r="L605" i="9"/>
  <c r="B295" i="11"/>
  <c r="L295" i="9"/>
  <c r="A205" i="16"/>
  <c r="A205" i="20"/>
  <c r="A205" i="19"/>
  <c r="M503" i="19"/>
  <c r="I503" i="19"/>
  <c r="M777" i="19"/>
  <c r="I777" i="19"/>
  <c r="H632" i="16"/>
  <c r="P632" i="16" s="1"/>
  <c r="H632" i="20"/>
  <c r="F632" i="19"/>
  <c r="A785" i="16"/>
  <c r="A785" i="19"/>
  <c r="A785" i="20"/>
  <c r="A705" i="16"/>
  <c r="A705" i="20"/>
  <c r="A705" i="19"/>
  <c r="A445" i="16"/>
  <c r="A445" i="20"/>
  <c r="A445" i="19"/>
  <c r="A632" i="16"/>
  <c r="A632" i="20"/>
  <c r="A632" i="19"/>
  <c r="M438" i="20"/>
  <c r="J438" i="20"/>
  <c r="J345" i="20"/>
  <c r="M345" i="20"/>
  <c r="H673" i="16"/>
  <c r="P673" i="16" s="1"/>
  <c r="H673" i="20"/>
  <c r="F673" i="19"/>
  <c r="M494" i="19"/>
  <c r="I494" i="19"/>
  <c r="M652" i="20"/>
  <c r="J652" i="20"/>
  <c r="C490" i="16"/>
  <c r="F490" i="20"/>
  <c r="E490" i="19"/>
  <c r="K291" i="16"/>
  <c r="S291" i="16"/>
  <c r="O291" i="16"/>
  <c r="H745" i="16"/>
  <c r="P745" i="16" s="1"/>
  <c r="H745" i="20"/>
  <c r="F745" i="19"/>
  <c r="H596" i="16"/>
  <c r="P596" i="16" s="1"/>
  <c r="H596" i="20"/>
  <c r="F596" i="19"/>
  <c r="M337" i="19"/>
  <c r="I337" i="19"/>
  <c r="C718" i="16"/>
  <c r="F718" i="20"/>
  <c r="E718" i="19"/>
  <c r="C437" i="16"/>
  <c r="F437" i="20"/>
  <c r="E437" i="19"/>
  <c r="B237" i="20"/>
  <c r="AL237" i="20" s="1"/>
  <c r="B237" i="19"/>
  <c r="B183" i="16"/>
  <c r="E183" i="20"/>
  <c r="AM183" i="20" s="1"/>
  <c r="C115" i="16"/>
  <c r="F115" i="20"/>
  <c r="E115" i="19"/>
  <c r="L631" i="19"/>
  <c r="K631" i="19"/>
  <c r="H631" i="19"/>
  <c r="B652" i="16"/>
  <c r="E652" i="20"/>
  <c r="AM652" i="20" s="1"/>
  <c r="M674" i="20"/>
  <c r="J674" i="20"/>
  <c r="C508" i="16"/>
  <c r="F508" i="20"/>
  <c r="E508" i="19"/>
  <c r="J309" i="20"/>
  <c r="M309" i="20"/>
  <c r="M203" i="20"/>
  <c r="J203" i="20"/>
  <c r="O81" i="16"/>
  <c r="K81" i="16"/>
  <c r="S81" i="16"/>
  <c r="L498" i="9"/>
  <c r="B498" i="11"/>
  <c r="A20" i="16"/>
  <c r="A20" i="20"/>
  <c r="A20" i="19"/>
  <c r="S741" i="16"/>
  <c r="O741" i="16"/>
  <c r="K741" i="16"/>
  <c r="A213" i="16"/>
  <c r="A213" i="20"/>
  <c r="A213" i="19"/>
  <c r="I4" i="19"/>
  <c r="M4" i="19"/>
  <c r="B695" i="16"/>
  <c r="E695" i="20"/>
  <c r="AM695" i="20" s="1"/>
  <c r="L430" i="9"/>
  <c r="B430" i="11"/>
  <c r="L256" i="9"/>
  <c r="B256" i="11"/>
  <c r="B69" i="20"/>
  <c r="AL69" i="20" s="1"/>
  <c r="B69" i="19"/>
  <c r="B145" i="16"/>
  <c r="E145" i="20"/>
  <c r="AM145" i="20" s="1"/>
  <c r="M818" i="19"/>
  <c r="I818" i="19"/>
  <c r="H629" i="16"/>
  <c r="P629" i="16" s="1"/>
  <c r="H629" i="20"/>
  <c r="F629" i="19"/>
  <c r="A797" i="16"/>
  <c r="A797" i="20"/>
  <c r="A797" i="19"/>
  <c r="H793" i="16"/>
  <c r="P793" i="16" s="1"/>
  <c r="H793" i="20"/>
  <c r="F793" i="19"/>
  <c r="M28" i="19"/>
  <c r="I28" i="19"/>
  <c r="B653" i="11"/>
  <c r="L653" i="9"/>
  <c r="E596" i="20"/>
  <c r="AM596" i="20" s="1"/>
  <c r="B596" i="16"/>
  <c r="B271" i="20"/>
  <c r="AL271" i="20" s="1"/>
  <c r="B271" i="19"/>
  <c r="J16" i="20"/>
  <c r="M16" i="20"/>
  <c r="L118" i="9"/>
  <c r="B118" i="11"/>
  <c r="L541" i="19"/>
  <c r="K541" i="19"/>
  <c r="H541" i="19"/>
  <c r="M51" i="20"/>
  <c r="J51" i="20"/>
  <c r="H678" i="16"/>
  <c r="P678" i="16" s="1"/>
  <c r="H678" i="20"/>
  <c r="F678" i="19"/>
  <c r="A551" i="16"/>
  <c r="A551" i="20"/>
  <c r="A551" i="19"/>
  <c r="C255" i="16"/>
  <c r="F255" i="20"/>
  <c r="E255" i="19"/>
  <c r="M749" i="20"/>
  <c r="J749" i="20"/>
  <c r="M627" i="19"/>
  <c r="I627" i="19"/>
  <c r="M564" i="20"/>
  <c r="J564" i="20"/>
  <c r="H91" i="19"/>
  <c r="L91" i="19"/>
  <c r="H578" i="16"/>
  <c r="P578" i="16" s="1"/>
  <c r="H578" i="20"/>
  <c r="F578" i="19"/>
  <c r="B755" i="16"/>
  <c r="E755" i="20"/>
  <c r="AM755" i="20" s="1"/>
  <c r="B619" i="20"/>
  <c r="AL619" i="20" s="1"/>
  <c r="B619" i="19"/>
  <c r="L418" i="9"/>
  <c r="B418" i="11"/>
  <c r="A316" i="16"/>
  <c r="A316" i="20"/>
  <c r="A316" i="19"/>
  <c r="B52" i="16"/>
  <c r="E52" i="20"/>
  <c r="AM52" i="20" s="1"/>
  <c r="H369" i="16"/>
  <c r="P369" i="16" s="1"/>
  <c r="H369" i="20"/>
  <c r="F369" i="19"/>
  <c r="L771" i="19"/>
  <c r="K771" i="19"/>
  <c r="H771" i="19"/>
  <c r="J498" i="20"/>
  <c r="M498" i="20"/>
  <c r="M555" i="20"/>
  <c r="J555" i="20"/>
  <c r="I308" i="19"/>
  <c r="M308" i="19"/>
  <c r="I111" i="20"/>
  <c r="L111" i="20"/>
  <c r="B403" i="16"/>
  <c r="E403" i="20"/>
  <c r="AM403" i="20" s="1"/>
  <c r="I731" i="20"/>
  <c r="L731" i="20"/>
  <c r="I271" i="20"/>
  <c r="L271" i="20"/>
  <c r="M621" i="20"/>
  <c r="J621" i="20"/>
  <c r="O425" i="16"/>
  <c r="K425" i="16"/>
  <c r="S425" i="16"/>
  <c r="A800" i="16"/>
  <c r="A800" i="20"/>
  <c r="A800" i="19"/>
  <c r="I751" i="20"/>
  <c r="L751" i="20"/>
  <c r="J487" i="20"/>
  <c r="M487" i="20"/>
  <c r="L321" i="20"/>
  <c r="I321" i="20"/>
  <c r="S175" i="16"/>
  <c r="K175" i="16"/>
  <c r="O175" i="16"/>
  <c r="H239" i="16"/>
  <c r="P239" i="16" s="1"/>
  <c r="H239" i="20"/>
  <c r="F239" i="19"/>
  <c r="M602" i="20"/>
  <c r="J602" i="20"/>
  <c r="H808" i="16"/>
  <c r="P808" i="16" s="1"/>
  <c r="F808" i="19"/>
  <c r="H808" i="20"/>
  <c r="A436" i="16"/>
  <c r="A436" i="20"/>
  <c r="A436" i="19"/>
  <c r="B375" i="16"/>
  <c r="E375" i="20"/>
  <c r="AM375" i="20" s="1"/>
  <c r="B231" i="16"/>
  <c r="E231" i="20"/>
  <c r="AM231" i="20" s="1"/>
  <c r="B94" i="16"/>
  <c r="E94" i="20"/>
  <c r="AM94" i="20" s="1"/>
  <c r="I245" i="19"/>
  <c r="M245" i="19"/>
  <c r="A291" i="16"/>
  <c r="A291" i="20"/>
  <c r="A291" i="19"/>
  <c r="B29" i="20"/>
  <c r="AL29" i="20" s="1"/>
  <c r="B29" i="19"/>
  <c r="C630" i="16"/>
  <c r="F630" i="20"/>
  <c r="E630" i="19"/>
  <c r="H342" i="16"/>
  <c r="P342" i="16" s="1"/>
  <c r="H342" i="20"/>
  <c r="F342" i="19"/>
  <c r="I90" i="19"/>
  <c r="M90" i="19"/>
  <c r="H347" i="16"/>
  <c r="P347" i="16" s="1"/>
  <c r="H347" i="20"/>
  <c r="F347" i="19"/>
  <c r="B370" i="16"/>
  <c r="E370" i="20"/>
  <c r="AM370" i="20" s="1"/>
  <c r="H639" i="16"/>
  <c r="P639" i="16" s="1"/>
  <c r="H639" i="20"/>
  <c r="F639" i="19"/>
  <c r="C726" i="16"/>
  <c r="F726" i="20"/>
  <c r="E726" i="19"/>
  <c r="C616" i="16"/>
  <c r="E616" i="19"/>
  <c r="F616" i="20"/>
  <c r="B480" i="20"/>
  <c r="AL480" i="20" s="1"/>
  <c r="B480" i="19"/>
  <c r="B523" i="11"/>
  <c r="L523" i="9"/>
  <c r="I762" i="20"/>
  <c r="L762" i="20"/>
  <c r="L204" i="9"/>
  <c r="B204" i="11"/>
  <c r="B368" i="16"/>
  <c r="E368" i="20"/>
  <c r="AM368" i="20" s="1"/>
  <c r="B71" i="11"/>
  <c r="L71" i="9"/>
  <c r="L576" i="9"/>
  <c r="B576" i="11"/>
  <c r="C816" i="16"/>
  <c r="F816" i="20"/>
  <c r="E816" i="19"/>
  <c r="C449" i="16"/>
  <c r="F449" i="20"/>
  <c r="E449" i="19"/>
  <c r="B162" i="16"/>
  <c r="E162" i="20"/>
  <c r="AM162" i="20" s="1"/>
  <c r="E37" i="20"/>
  <c r="AM37" i="20" s="1"/>
  <c r="B37" i="16"/>
  <c r="C309" i="16"/>
  <c r="F309" i="20"/>
  <c r="E309" i="19"/>
  <c r="A74" i="16"/>
  <c r="A74" i="20"/>
  <c r="A74" i="19"/>
  <c r="H784" i="16"/>
  <c r="P784" i="16" s="1"/>
  <c r="F784" i="19"/>
  <c r="H784" i="20"/>
  <c r="B523" i="16"/>
  <c r="E523" i="20"/>
  <c r="AM523" i="20" s="1"/>
  <c r="L599" i="19"/>
  <c r="K599" i="19"/>
  <c r="H599" i="19"/>
  <c r="I531" i="19"/>
  <c r="M531" i="19"/>
  <c r="A764" i="16"/>
  <c r="A764" i="19"/>
  <c r="A764" i="20"/>
  <c r="C237" i="16"/>
  <c r="F237" i="20"/>
  <c r="E237" i="19"/>
  <c r="C749" i="16"/>
  <c r="F749" i="20"/>
  <c r="E749" i="19"/>
  <c r="C702" i="16"/>
  <c r="F702" i="20"/>
  <c r="E702" i="19"/>
  <c r="C58" i="16"/>
  <c r="E58" i="19"/>
  <c r="F58" i="20"/>
  <c r="A618" i="16"/>
  <c r="A618" i="20"/>
  <c r="A618" i="19"/>
  <c r="B710" i="16"/>
  <c r="E710" i="20"/>
  <c r="AM710" i="20" s="1"/>
  <c r="H485" i="19"/>
  <c r="L485" i="19"/>
  <c r="K485" i="19"/>
  <c r="E685" i="20"/>
  <c r="AM685" i="20" s="1"/>
  <c r="B685" i="16"/>
  <c r="C398" i="16"/>
  <c r="F398" i="20"/>
  <c r="E398" i="19"/>
  <c r="A273" i="16"/>
  <c r="A273" i="20"/>
  <c r="A273" i="19"/>
  <c r="I660" i="20"/>
  <c r="L660" i="20"/>
  <c r="K50" i="16"/>
  <c r="S50" i="16"/>
  <c r="O50" i="16"/>
  <c r="A424" i="16"/>
  <c r="A424" i="20"/>
  <c r="A424" i="19"/>
  <c r="B24" i="16"/>
  <c r="E24" i="20"/>
  <c r="AM24" i="20" s="1"/>
  <c r="H445" i="16"/>
  <c r="P445" i="16" s="1"/>
  <c r="H445" i="20"/>
  <c r="F445" i="19"/>
  <c r="L491" i="9"/>
  <c r="B491" i="11"/>
  <c r="C422" i="16"/>
  <c r="F422" i="20"/>
  <c r="E422" i="19"/>
  <c r="B327" i="16"/>
  <c r="E327" i="20"/>
  <c r="AM327" i="20" s="1"/>
  <c r="B144" i="16"/>
  <c r="E144" i="20"/>
  <c r="AM144" i="20" s="1"/>
  <c r="H384" i="19"/>
  <c r="L384" i="19"/>
  <c r="K384" i="19"/>
  <c r="S599" i="16"/>
  <c r="O599" i="16"/>
  <c r="K599" i="16"/>
  <c r="I89" i="19"/>
  <c r="M89" i="19"/>
  <c r="A751" i="16"/>
  <c r="A751" i="19"/>
  <c r="A751" i="20"/>
  <c r="B727" i="20"/>
  <c r="AL727" i="20" s="1"/>
  <c r="B727" i="19"/>
  <c r="L53" i="9"/>
  <c r="B53" i="11"/>
  <c r="C804" i="16"/>
  <c r="F804" i="20"/>
  <c r="E804" i="19"/>
  <c r="A611" i="16"/>
  <c r="A611" i="20"/>
  <c r="A611" i="19"/>
  <c r="J198" i="19"/>
  <c r="L198" i="19"/>
  <c r="M612" i="20"/>
  <c r="J612" i="20"/>
  <c r="A767" i="16"/>
  <c r="A767" i="20"/>
  <c r="A767" i="19"/>
  <c r="B649" i="16"/>
  <c r="E649" i="20"/>
  <c r="AM649" i="20" s="1"/>
  <c r="M393" i="20"/>
  <c r="J393" i="20"/>
  <c r="I568" i="19"/>
  <c r="M568" i="19"/>
  <c r="H633" i="16"/>
  <c r="P633" i="16" s="1"/>
  <c r="H633" i="20"/>
  <c r="F633" i="19"/>
  <c r="B512" i="16"/>
  <c r="E512" i="20"/>
  <c r="AM512" i="20" s="1"/>
  <c r="B4" i="16"/>
  <c r="E4" i="20"/>
  <c r="J556" i="20"/>
  <c r="M556" i="20"/>
  <c r="B320" i="16"/>
  <c r="E320" i="20"/>
  <c r="AM320" i="20" s="1"/>
  <c r="M191" i="20"/>
  <c r="J191" i="20"/>
  <c r="B729" i="20"/>
  <c r="AL729" i="20" s="1"/>
  <c r="B729" i="19"/>
  <c r="L240" i="9"/>
  <c r="B240" i="11"/>
  <c r="A130" i="16"/>
  <c r="A130" i="20"/>
  <c r="A130" i="19"/>
  <c r="I415" i="19"/>
  <c r="M415" i="19"/>
  <c r="I297" i="19"/>
  <c r="M297" i="19"/>
  <c r="A141" i="16"/>
  <c r="A141" i="20"/>
  <c r="A141" i="19"/>
  <c r="H715" i="16"/>
  <c r="P715" i="16" s="1"/>
  <c r="H715" i="20"/>
  <c r="F715" i="19"/>
  <c r="S365" i="16"/>
  <c r="O365" i="16"/>
  <c r="K365" i="16"/>
  <c r="I9" i="19"/>
  <c r="M9" i="19"/>
  <c r="L209" i="20"/>
  <c r="I209" i="20"/>
  <c r="U18" i="20"/>
  <c r="S18" i="20"/>
  <c r="L194" i="20"/>
  <c r="I194" i="20"/>
  <c r="M227" i="20"/>
  <c r="J227" i="20"/>
  <c r="B593" i="16"/>
  <c r="E593" i="20"/>
  <c r="AM593" i="20" s="1"/>
  <c r="S414" i="16"/>
  <c r="O414" i="16"/>
  <c r="K414" i="16"/>
  <c r="M251" i="20"/>
  <c r="J251" i="20"/>
  <c r="L728" i="9"/>
  <c r="B728" i="11"/>
  <c r="B573" i="11"/>
  <c r="L573" i="9"/>
  <c r="L481" i="20"/>
  <c r="I481" i="20"/>
  <c r="M597" i="20"/>
  <c r="J597" i="20"/>
  <c r="A397" i="16"/>
  <c r="A397" i="20"/>
  <c r="A397" i="19"/>
  <c r="C764" i="16"/>
  <c r="F764" i="20"/>
  <c r="E764" i="19"/>
  <c r="C188" i="16"/>
  <c r="F188" i="20"/>
  <c r="E188" i="19"/>
  <c r="J640" i="20"/>
  <c r="M640" i="20"/>
  <c r="H50" i="16"/>
  <c r="P50" i="16" s="1"/>
  <c r="H50" i="20"/>
  <c r="F50" i="19"/>
  <c r="I504" i="20"/>
  <c r="L504" i="20"/>
  <c r="B431" i="16"/>
  <c r="E431" i="20"/>
  <c r="AM431" i="20" s="1"/>
  <c r="L86" i="9"/>
  <c r="B86" i="11"/>
  <c r="M85" i="20"/>
  <c r="J85" i="20"/>
  <c r="C734" i="16"/>
  <c r="F734" i="20"/>
  <c r="E734" i="19"/>
  <c r="B461" i="16"/>
  <c r="E461" i="20"/>
  <c r="AM461" i="20" s="1"/>
  <c r="I651" i="20"/>
  <c r="L651" i="20"/>
  <c r="M458" i="20"/>
  <c r="J458" i="20"/>
  <c r="C810" i="16"/>
  <c r="F810" i="20"/>
  <c r="E810" i="19"/>
  <c r="B602" i="16"/>
  <c r="E602" i="20"/>
  <c r="AM602" i="20" s="1"/>
  <c r="B243" i="11"/>
  <c r="L243" i="9"/>
  <c r="A243" i="16"/>
  <c r="A243" i="20"/>
  <c r="A243" i="19"/>
  <c r="L528" i="19"/>
  <c r="K528" i="19"/>
  <c r="H528" i="19"/>
  <c r="B488" i="16"/>
  <c r="E488" i="20"/>
  <c r="AM488" i="20" s="1"/>
  <c r="M743" i="19"/>
  <c r="I743" i="19"/>
  <c r="B379" i="16"/>
  <c r="E379" i="20"/>
  <c r="AM379" i="20" s="1"/>
  <c r="K660" i="16"/>
  <c r="S660" i="16"/>
  <c r="O660" i="16"/>
  <c r="L50" i="20"/>
  <c r="I50" i="20"/>
  <c r="B513" i="16"/>
  <c r="E513" i="20"/>
  <c r="AM513" i="20" s="1"/>
  <c r="B485" i="16"/>
  <c r="E485" i="20"/>
  <c r="AM485" i="20" s="1"/>
  <c r="L296" i="19"/>
  <c r="H296" i="19"/>
  <c r="L384" i="20"/>
  <c r="I384" i="20"/>
  <c r="A376" i="16"/>
  <c r="A376" i="20"/>
  <c r="A376" i="19"/>
  <c r="B222" i="16"/>
  <c r="E222" i="20"/>
  <c r="AM222" i="20" s="1"/>
  <c r="B651" i="16"/>
  <c r="E651" i="20"/>
  <c r="AM651" i="20" s="1"/>
  <c r="L296" i="9"/>
  <c r="B296" i="11"/>
  <c r="M405" i="19"/>
  <c r="I405" i="19"/>
  <c r="O209" i="16"/>
  <c r="K209" i="16"/>
  <c r="S209" i="16"/>
  <c r="A553" i="16"/>
  <c r="A553" i="19"/>
  <c r="A553" i="20"/>
  <c r="A391" i="16"/>
  <c r="A391" i="20"/>
  <c r="A391" i="19"/>
  <c r="C252" i="16"/>
  <c r="F252" i="20"/>
  <c r="E252" i="19"/>
  <c r="C74" i="16"/>
  <c r="F74" i="20"/>
  <c r="E74" i="19"/>
  <c r="M559" i="19"/>
  <c r="I559" i="19"/>
  <c r="M425" i="20"/>
  <c r="J425" i="20"/>
  <c r="H194" i="19"/>
  <c r="L194" i="19"/>
  <c r="K194" i="19"/>
  <c r="H725" i="16"/>
  <c r="P725" i="16" s="1"/>
  <c r="H725" i="20"/>
  <c r="F725" i="19"/>
  <c r="H266" i="16"/>
  <c r="P266" i="16" s="1"/>
  <c r="H266" i="20"/>
  <c r="F266" i="19"/>
  <c r="M140" i="20"/>
  <c r="J140" i="20"/>
  <c r="A573" i="16"/>
  <c r="A573" i="20"/>
  <c r="A573" i="19"/>
  <c r="K481" i="16"/>
  <c r="S481" i="16"/>
  <c r="O481" i="16"/>
  <c r="H488" i="20"/>
  <c r="H488" i="16"/>
  <c r="P488" i="16" s="1"/>
  <c r="F488" i="19"/>
  <c r="A508" i="16"/>
  <c r="A508" i="20"/>
  <c r="A508" i="19"/>
  <c r="J381" i="20"/>
  <c r="M381" i="20"/>
  <c r="C683" i="16"/>
  <c r="E683" i="19"/>
  <c r="F683" i="20"/>
  <c r="B587" i="20"/>
  <c r="AL587" i="20" s="1"/>
  <c r="B587" i="19"/>
  <c r="M502" i="20"/>
  <c r="J502" i="20"/>
  <c r="M330" i="20"/>
  <c r="J330" i="20"/>
  <c r="K504" i="16"/>
  <c r="S504" i="16"/>
  <c r="O504" i="16"/>
  <c r="A367" i="16"/>
  <c r="A367" i="20"/>
  <c r="A367" i="19"/>
  <c r="M693" i="19"/>
  <c r="I693" i="19"/>
  <c r="B440" i="11"/>
  <c r="L440" i="9"/>
  <c r="J49" i="20"/>
  <c r="M49" i="20"/>
  <c r="C85" i="16"/>
  <c r="F85" i="20"/>
  <c r="E85" i="19"/>
  <c r="H724" i="16"/>
  <c r="P724" i="16" s="1"/>
  <c r="F724" i="19"/>
  <c r="H724" i="20"/>
  <c r="F303" i="20"/>
  <c r="C303" i="16"/>
  <c r="E303" i="19"/>
  <c r="A571" i="16"/>
  <c r="A571" i="19"/>
  <c r="A571" i="20"/>
  <c r="H247" i="16"/>
  <c r="P247" i="16" s="1"/>
  <c r="H247" i="20"/>
  <c r="F247" i="19"/>
  <c r="C223" i="16"/>
  <c r="F223" i="20"/>
  <c r="E223" i="19"/>
  <c r="B707" i="20"/>
  <c r="AL707" i="20" s="1"/>
  <c r="B707" i="19"/>
  <c r="B316" i="16"/>
  <c r="E316" i="20"/>
  <c r="AM316" i="20" s="1"/>
  <c r="B133" i="11"/>
  <c r="L133" i="9"/>
  <c r="B733" i="16"/>
  <c r="E733" i="20"/>
  <c r="AM733" i="20" s="1"/>
  <c r="I258" i="19"/>
  <c r="M258" i="19"/>
  <c r="C337" i="16"/>
  <c r="F337" i="20"/>
  <c r="E337" i="19"/>
  <c r="I359" i="19"/>
  <c r="M359" i="19"/>
  <c r="I603" i="19"/>
  <c r="M603" i="19"/>
  <c r="O384" i="16"/>
  <c r="S384" i="16"/>
  <c r="K384" i="16"/>
  <c r="M166" i="20"/>
  <c r="J166" i="20"/>
  <c r="B579" i="16"/>
  <c r="E579" i="20"/>
  <c r="AM579" i="20" s="1"/>
  <c r="L376" i="9"/>
  <c r="B376" i="11"/>
  <c r="M691" i="20"/>
  <c r="J691" i="20"/>
  <c r="A503" i="16"/>
  <c r="A503" i="20"/>
  <c r="A503" i="19"/>
  <c r="B214" i="16"/>
  <c r="E214" i="20"/>
  <c r="AM214" i="20" s="1"/>
  <c r="C106" i="16"/>
  <c r="F106" i="20"/>
  <c r="E106" i="19"/>
  <c r="M608" i="20"/>
  <c r="J608" i="20"/>
  <c r="B508" i="16"/>
  <c r="E508" i="20"/>
  <c r="AM508" i="20" s="1"/>
  <c r="A350" i="16"/>
  <c r="A350" i="20"/>
  <c r="A350" i="19"/>
  <c r="M232" i="20"/>
  <c r="J232" i="20"/>
  <c r="H689" i="16"/>
  <c r="P689" i="16" s="1"/>
  <c r="H689" i="20"/>
  <c r="F689" i="19"/>
  <c r="A661" i="16"/>
  <c r="A661" i="20"/>
  <c r="A661" i="19"/>
  <c r="B540" i="11"/>
  <c r="L540" i="9"/>
  <c r="B373" i="11"/>
  <c r="L373" i="9"/>
  <c r="S45" i="16"/>
  <c r="K45" i="16"/>
  <c r="O45" i="16"/>
  <c r="B323" i="16"/>
  <c r="E323" i="20"/>
  <c r="AM323" i="20" s="1"/>
  <c r="C785" i="16"/>
  <c r="F785" i="20"/>
  <c r="E785" i="19"/>
  <c r="B497" i="11"/>
  <c r="L497" i="9"/>
  <c r="L558" i="9"/>
  <c r="B558" i="11"/>
  <c r="I781" i="20"/>
  <c r="L781" i="20"/>
  <c r="C584" i="16"/>
  <c r="F584" i="20"/>
  <c r="E584" i="19"/>
  <c r="J356" i="20"/>
  <c r="M356" i="20"/>
  <c r="M261" i="20"/>
  <c r="J261" i="20"/>
  <c r="M106" i="20"/>
  <c r="J106" i="20"/>
  <c r="C755" i="16"/>
  <c r="F755" i="20"/>
  <c r="E755" i="19"/>
  <c r="C645" i="16"/>
  <c r="F645" i="20"/>
  <c r="E645" i="19"/>
  <c r="B585" i="16"/>
  <c r="E585" i="20"/>
  <c r="AM585" i="20" s="1"/>
  <c r="B505" i="16"/>
  <c r="E505" i="20"/>
  <c r="AM505" i="20" s="1"/>
  <c r="L441" i="9"/>
  <c r="B441" i="11"/>
  <c r="A354" i="16"/>
  <c r="A354" i="20"/>
  <c r="A354" i="19"/>
  <c r="B581" i="16"/>
  <c r="E581" i="20"/>
  <c r="AM581" i="20" s="1"/>
  <c r="A221" i="16"/>
  <c r="A221" i="20"/>
  <c r="A221" i="19"/>
  <c r="J209" i="20"/>
  <c r="M209" i="20"/>
  <c r="L335" i="20"/>
  <c r="I335" i="20"/>
  <c r="A103" i="16"/>
  <c r="A103" i="20"/>
  <c r="A103" i="19"/>
  <c r="M405" i="20"/>
  <c r="J405" i="20"/>
  <c r="M10" i="20"/>
  <c r="J10" i="20"/>
  <c r="H511" i="16"/>
  <c r="P511" i="16" s="1"/>
  <c r="H511" i="20"/>
  <c r="F511" i="19"/>
  <c r="M312" i="20"/>
  <c r="J312" i="20"/>
  <c r="B600" i="11"/>
  <c r="L600" i="9"/>
  <c r="L126" i="9"/>
  <c r="B126" i="11"/>
  <c r="M522" i="20"/>
  <c r="J522" i="20"/>
  <c r="L361" i="9"/>
  <c r="B361" i="11"/>
  <c r="I479" i="19"/>
  <c r="M479" i="19"/>
  <c r="I274" i="20"/>
  <c r="L274" i="20"/>
  <c r="M498" i="19"/>
  <c r="I498" i="19"/>
  <c r="I200" i="19"/>
  <c r="M200" i="19"/>
  <c r="M67" i="20"/>
  <c r="J67" i="20"/>
  <c r="M580" i="19"/>
  <c r="I580" i="19"/>
  <c r="I779" i="19"/>
  <c r="M779" i="19"/>
  <c r="I653" i="19"/>
  <c r="M653" i="19"/>
  <c r="I444" i="20"/>
  <c r="L444" i="20"/>
  <c r="A708" i="16"/>
  <c r="A708" i="20"/>
  <c r="A708" i="19"/>
  <c r="B637" i="16"/>
  <c r="E637" i="20"/>
  <c r="AM637" i="20" s="1"/>
  <c r="L156" i="9"/>
  <c r="B156" i="11"/>
  <c r="I48" i="20"/>
  <c r="L48" i="20"/>
  <c r="H778" i="19"/>
  <c r="L778" i="19"/>
  <c r="K778" i="19"/>
  <c r="S194" i="16"/>
  <c r="K194" i="16"/>
  <c r="O194" i="16"/>
  <c r="M631" i="19"/>
  <c r="I631" i="19"/>
  <c r="M410" i="20"/>
  <c r="J410" i="20"/>
  <c r="M189" i="20"/>
  <c r="J189" i="20"/>
  <c r="B586" i="20"/>
  <c r="AL586" i="20" s="1"/>
  <c r="B586" i="19"/>
  <c r="M399" i="19"/>
  <c r="I399" i="19"/>
  <c r="H453" i="16"/>
  <c r="P453" i="16" s="1"/>
  <c r="H453" i="20"/>
  <c r="F453" i="19"/>
  <c r="B795" i="16"/>
  <c r="E795" i="20"/>
  <c r="AM795" i="20" s="1"/>
  <c r="M591" i="20"/>
  <c r="J591" i="20"/>
  <c r="B436" i="16"/>
  <c r="E436" i="20"/>
  <c r="AM436" i="20" s="1"/>
  <c r="B17" i="11"/>
  <c r="L17" i="9"/>
  <c r="B227" i="11"/>
  <c r="L227" i="9"/>
  <c r="L508" i="9"/>
  <c r="B508" i="11"/>
  <c r="B59" i="20"/>
  <c r="AL59" i="20" s="1"/>
  <c r="B59" i="19"/>
  <c r="H591" i="16"/>
  <c r="P591" i="16" s="1"/>
  <c r="H591" i="20"/>
  <c r="F591" i="19"/>
  <c r="B806" i="19"/>
  <c r="B806" i="20"/>
  <c r="AL806" i="20" s="1"/>
  <c r="C548" i="16"/>
  <c r="F548" i="20"/>
  <c r="E548" i="19"/>
  <c r="C234" i="16"/>
  <c r="F234" i="20"/>
  <c r="E234" i="19"/>
  <c r="A461" i="16"/>
  <c r="A461" i="20"/>
  <c r="A461" i="19"/>
  <c r="B765" i="16"/>
  <c r="E765" i="20"/>
  <c r="AM765" i="20" s="1"/>
  <c r="B595" i="16"/>
  <c r="E595" i="20"/>
  <c r="AM595" i="20" s="1"/>
  <c r="B274" i="16"/>
  <c r="E274" i="20"/>
  <c r="AM274" i="20" s="1"/>
  <c r="B73" i="20"/>
  <c r="AL73" i="20" s="1"/>
  <c r="B73" i="19"/>
  <c r="H277" i="16"/>
  <c r="P277" i="16" s="1"/>
  <c r="H277" i="20"/>
  <c r="F277" i="19"/>
  <c r="H209" i="16"/>
  <c r="P209" i="16" s="1"/>
  <c r="H209" i="20"/>
  <c r="F209" i="19"/>
  <c r="H607" i="19"/>
  <c r="L607" i="19"/>
  <c r="L448" i="19"/>
  <c r="K448" i="19"/>
  <c r="H448" i="19"/>
  <c r="M215" i="19"/>
  <c r="I215" i="19"/>
  <c r="B703" i="16"/>
  <c r="E703" i="20"/>
  <c r="AM703" i="20" s="1"/>
  <c r="A390" i="16"/>
  <c r="A390" i="20"/>
  <c r="A390" i="19"/>
  <c r="L44" i="9"/>
  <c r="B44" i="11"/>
  <c r="B272" i="16"/>
  <c r="E272" i="20"/>
  <c r="AM272" i="20" s="1"/>
  <c r="C609" i="16"/>
  <c r="E609" i="19"/>
  <c r="F609" i="20"/>
  <c r="L747" i="9"/>
  <c r="B747" i="11"/>
  <c r="A360" i="16"/>
  <c r="A360" i="19"/>
  <c r="A360" i="20"/>
  <c r="B14" i="11"/>
  <c r="L14" i="9"/>
  <c r="S296" i="16"/>
  <c r="O296" i="16"/>
  <c r="K296" i="16"/>
  <c r="B89" i="20"/>
  <c r="AL89" i="20" s="1"/>
  <c r="B89" i="19"/>
  <c r="B490" i="16"/>
  <c r="E490" i="20"/>
  <c r="AM490" i="20" s="1"/>
  <c r="L246" i="9"/>
  <c r="B246" i="11"/>
  <c r="C677" i="16"/>
  <c r="E677" i="19"/>
  <c r="F677" i="20"/>
  <c r="C158" i="16"/>
  <c r="F158" i="20"/>
  <c r="E158" i="19"/>
  <c r="L406" i="9"/>
  <c r="B406" i="11"/>
  <c r="M743" i="20"/>
  <c r="J743" i="20"/>
  <c r="A156" i="16"/>
  <c r="A156" i="20"/>
  <c r="A156" i="19"/>
  <c r="K48" i="19"/>
  <c r="L48" i="19"/>
  <c r="H48" i="19"/>
  <c r="L778" i="20"/>
  <c r="I778" i="20"/>
  <c r="M385" i="19"/>
  <c r="I385" i="19"/>
  <c r="H367" i="16"/>
  <c r="P367" i="16" s="1"/>
  <c r="H367" i="20"/>
  <c r="F367" i="19"/>
  <c r="I231" i="19"/>
  <c r="M231" i="19"/>
  <c r="B804" i="16"/>
  <c r="E804" i="20"/>
  <c r="AM804" i="20" s="1"/>
  <c r="J241" i="20"/>
  <c r="M241" i="20"/>
  <c r="L130" i="19"/>
  <c r="K130" i="19"/>
  <c r="H130" i="19"/>
  <c r="M288" i="20"/>
  <c r="J288" i="20"/>
  <c r="C815" i="16"/>
  <c r="F815" i="20"/>
  <c r="E815" i="19"/>
  <c r="C743" i="16"/>
  <c r="E743" i="19"/>
  <c r="F743" i="20"/>
  <c r="B423" i="11"/>
  <c r="L423" i="9"/>
  <c r="B249" i="16"/>
  <c r="E249" i="20"/>
  <c r="AM249" i="20" s="1"/>
  <c r="B151" i="16"/>
  <c r="E151" i="20"/>
  <c r="AM151" i="20" s="1"/>
  <c r="L8" i="9"/>
  <c r="B8" i="11"/>
  <c r="B155" i="16"/>
  <c r="E155" i="20"/>
  <c r="AM155" i="20" s="1"/>
  <c r="B223" i="11"/>
  <c r="L223" i="9"/>
  <c r="A121" i="16"/>
  <c r="A121" i="20"/>
  <c r="A121" i="19"/>
  <c r="A117" i="16"/>
  <c r="A117" i="19"/>
  <c r="A117" i="20"/>
  <c r="L678" i="9"/>
  <c r="B678" i="11"/>
  <c r="A24" i="16"/>
  <c r="A24" i="20"/>
  <c r="A24" i="19"/>
  <c r="M300" i="20"/>
  <c r="J300" i="20"/>
  <c r="H694" i="16"/>
  <c r="P694" i="16" s="1"/>
  <c r="H694" i="20"/>
  <c r="F694" i="19"/>
  <c r="B743" i="16"/>
  <c r="E743" i="20"/>
  <c r="AM743" i="20" s="1"/>
  <c r="B371" i="16"/>
  <c r="E371" i="20"/>
  <c r="AM371" i="20" s="1"/>
  <c r="A613" i="16"/>
  <c r="A613" i="20"/>
  <c r="A613" i="19"/>
  <c r="H315" i="19"/>
  <c r="L315" i="19"/>
  <c r="M354" i="19"/>
  <c r="I354" i="19"/>
  <c r="B761" i="11"/>
  <c r="L761" i="9"/>
  <c r="L648" i="9"/>
  <c r="B648" i="11"/>
  <c r="B548" i="16"/>
  <c r="E548" i="20"/>
  <c r="AM548" i="20" s="1"/>
  <c r="B496" i="16"/>
  <c r="E496" i="20"/>
  <c r="AM496" i="20" s="1"/>
  <c r="A427" i="16"/>
  <c r="A427" i="20"/>
  <c r="A427" i="19"/>
  <c r="B787" i="16"/>
  <c r="E787" i="20"/>
  <c r="AM787" i="20" s="1"/>
  <c r="B713" i="11"/>
  <c r="L713" i="9"/>
  <c r="B359" i="20"/>
  <c r="AL359" i="20" s="1"/>
  <c r="B359" i="19"/>
  <c r="L274" i="9"/>
  <c r="B274" i="11"/>
  <c r="C495" i="16"/>
  <c r="F495" i="20"/>
  <c r="E495" i="19"/>
  <c r="M292" i="20"/>
  <c r="J292" i="20"/>
  <c r="L607" i="20"/>
  <c r="I607" i="20"/>
  <c r="L448" i="20"/>
  <c r="I448" i="20"/>
  <c r="B566" i="16"/>
  <c r="E566" i="20"/>
  <c r="AM566" i="20" s="1"/>
  <c r="B594" i="16"/>
  <c r="E594" i="20"/>
  <c r="AM594" i="20" s="1"/>
  <c r="B819" i="16"/>
  <c r="E819" i="20"/>
  <c r="AM819" i="20" s="1"/>
  <c r="L560" i="9"/>
  <c r="B560" i="11"/>
  <c r="A450" i="16"/>
  <c r="A450" i="19"/>
  <c r="A450" i="20"/>
  <c r="L5" i="20"/>
  <c r="I5" i="20"/>
  <c r="B818" i="11"/>
  <c r="L818" i="9"/>
  <c r="L208" i="9"/>
  <c r="B208" i="11"/>
  <c r="L780" i="9"/>
  <c r="B780" i="11"/>
  <c r="H774" i="16"/>
  <c r="P774" i="16" s="1"/>
  <c r="F774" i="19"/>
  <c r="H774" i="20"/>
  <c r="L281" i="9"/>
  <c r="B281" i="11"/>
  <c r="B819" i="20"/>
  <c r="AL819" i="20" s="1"/>
  <c r="B819" i="19"/>
  <c r="C204" i="16"/>
  <c r="F204" i="20"/>
  <c r="E204" i="19"/>
  <c r="B789" i="16"/>
  <c r="E789" i="20"/>
  <c r="AM789" i="20" s="1"/>
  <c r="C408" i="16"/>
  <c r="F408" i="20"/>
  <c r="E408" i="19"/>
  <c r="A737" i="16"/>
  <c r="A737" i="20"/>
  <c r="A737" i="19"/>
  <c r="B657" i="11"/>
  <c r="L657" i="9"/>
  <c r="A513" i="16"/>
  <c r="A513" i="20"/>
  <c r="A513" i="19"/>
  <c r="B38" i="11"/>
  <c r="L38" i="9"/>
  <c r="A407" i="16"/>
  <c r="A407" i="20"/>
  <c r="A407" i="19"/>
  <c r="E45" i="20"/>
  <c r="AM45" i="20" s="1"/>
  <c r="B45" i="16"/>
  <c r="M572" i="20"/>
  <c r="J572" i="20"/>
  <c r="H460" i="16"/>
  <c r="P460" i="16" s="1"/>
  <c r="H460" i="20"/>
  <c r="F460" i="19"/>
  <c r="B228" i="16"/>
  <c r="E228" i="20"/>
  <c r="AM228" i="20" s="1"/>
  <c r="L638" i="9"/>
  <c r="B638" i="11"/>
  <c r="A153" i="16"/>
  <c r="A153" i="20"/>
  <c r="A153" i="19"/>
  <c r="I554" i="20"/>
  <c r="L554" i="20"/>
  <c r="B323" i="11"/>
  <c r="L323" i="9"/>
  <c r="C728" i="16"/>
  <c r="F728" i="20"/>
  <c r="E728" i="19"/>
  <c r="I135" i="19"/>
  <c r="M135" i="19"/>
  <c r="L478" i="9"/>
  <c r="B478" i="11"/>
  <c r="I235" i="19"/>
  <c r="M235" i="19"/>
  <c r="A801" i="16"/>
  <c r="A801" i="20"/>
  <c r="A801" i="19"/>
  <c r="I647" i="19"/>
  <c r="M647" i="19"/>
  <c r="M265" i="19"/>
  <c r="I265" i="19"/>
  <c r="I68" i="19"/>
  <c r="M68" i="19"/>
  <c r="B232" i="16"/>
  <c r="E232" i="20"/>
  <c r="AM232" i="20" s="1"/>
  <c r="M238" i="20"/>
  <c r="J238" i="20"/>
  <c r="C614" i="16"/>
  <c r="E614" i="19"/>
  <c r="F614" i="20"/>
  <c r="AU53" i="10"/>
  <c r="O53" i="10"/>
  <c r="F14" i="18" s="1"/>
  <c r="H14" i="18" s="1"/>
  <c r="AN53" i="10"/>
  <c r="Q53" i="20" s="1"/>
  <c r="J489" i="20"/>
  <c r="M489" i="20"/>
  <c r="J69" i="20"/>
  <c r="M69" i="20"/>
  <c r="B706" i="11"/>
  <c r="L706" i="9"/>
  <c r="A570" i="16"/>
  <c r="A570" i="20"/>
  <c r="A570" i="19"/>
  <c r="B369" i="20"/>
  <c r="AL369" i="20" s="1"/>
  <c r="B369" i="19"/>
  <c r="B30" i="11"/>
  <c r="L30" i="9"/>
  <c r="H511" i="19"/>
  <c r="L511" i="19"/>
  <c r="K511" i="19"/>
  <c r="H164" i="20"/>
  <c r="H164" i="16"/>
  <c r="P164" i="16" s="1"/>
  <c r="F164" i="19"/>
  <c r="A87" i="16"/>
  <c r="A87" i="20"/>
  <c r="A87" i="19"/>
  <c r="M270" i="20"/>
  <c r="J270" i="20"/>
  <c r="L145" i="20"/>
  <c r="I145" i="20"/>
  <c r="B796" i="16"/>
  <c r="E796" i="20"/>
  <c r="AM796" i="20" s="1"/>
  <c r="A633" i="16"/>
  <c r="A633" i="19"/>
  <c r="A633" i="20"/>
  <c r="B442" i="16"/>
  <c r="E442" i="20"/>
  <c r="AM442" i="20" s="1"/>
  <c r="B311" i="16"/>
  <c r="E311" i="20"/>
  <c r="AM311" i="20" s="1"/>
  <c r="O48" i="16"/>
  <c r="S48" i="16"/>
  <c r="K48" i="16"/>
  <c r="K778" i="16"/>
  <c r="O778" i="16"/>
  <c r="S778" i="16"/>
  <c r="M155" i="20"/>
  <c r="J155" i="20"/>
  <c r="H621" i="16"/>
  <c r="P621" i="16" s="1"/>
  <c r="H621" i="20"/>
  <c r="F621" i="19"/>
  <c r="B800" i="11"/>
  <c r="L800" i="9"/>
  <c r="C686" i="16"/>
  <c r="F686" i="20"/>
  <c r="E686" i="19"/>
  <c r="L130" i="20"/>
  <c r="I130" i="20"/>
  <c r="J586" i="20"/>
  <c r="M586" i="20"/>
  <c r="B692" i="16"/>
  <c r="E692" i="20"/>
  <c r="AM692" i="20" s="1"/>
  <c r="C648" i="16"/>
  <c r="F648" i="20"/>
  <c r="E648" i="19"/>
  <c r="C595" i="16"/>
  <c r="F595" i="20"/>
  <c r="E595" i="19"/>
  <c r="B414" i="20"/>
  <c r="AL414" i="20" s="1"/>
  <c r="B414" i="19"/>
  <c r="B147" i="11"/>
  <c r="L147" i="9"/>
  <c r="C320" i="16"/>
  <c r="F320" i="20"/>
  <c r="E320" i="19"/>
  <c r="A47" i="20"/>
  <c r="A47" i="16"/>
  <c r="A47" i="19"/>
  <c r="B117" i="11"/>
  <c r="L117" i="9"/>
  <c r="A94" i="16"/>
  <c r="A94" i="20"/>
  <c r="A94" i="19"/>
  <c r="B456" i="16"/>
  <c r="E456" i="20"/>
  <c r="AM456" i="20" s="1"/>
  <c r="H659" i="16"/>
  <c r="P659" i="16" s="1"/>
  <c r="H659" i="20"/>
  <c r="F659" i="19"/>
  <c r="B539" i="16"/>
  <c r="E539" i="20"/>
  <c r="AM539" i="20" s="1"/>
  <c r="C7" i="16"/>
  <c r="F7" i="20"/>
  <c r="E7" i="19"/>
  <c r="C556" i="16"/>
  <c r="F556" i="20"/>
  <c r="E556" i="19"/>
  <c r="E112" i="20"/>
  <c r="AM112" i="20" s="1"/>
  <c r="B112" i="16"/>
  <c r="B743" i="11"/>
  <c r="L743" i="9"/>
  <c r="C197" i="16"/>
  <c r="F197" i="20"/>
  <c r="E197" i="19"/>
  <c r="H542" i="16"/>
  <c r="P542" i="16" s="1"/>
  <c r="H542" i="20"/>
  <c r="F542" i="19"/>
  <c r="M562" i="20"/>
  <c r="J562" i="20"/>
  <c r="M215" i="20"/>
  <c r="J215" i="20"/>
  <c r="I822" i="19"/>
  <c r="M822" i="19"/>
  <c r="S607" i="16"/>
  <c r="O607" i="16"/>
  <c r="K607" i="16"/>
  <c r="K448" i="16"/>
  <c r="S448" i="16"/>
  <c r="O448" i="16"/>
  <c r="H648" i="16"/>
  <c r="P648" i="16" s="1"/>
  <c r="H648" i="20"/>
  <c r="F648" i="19"/>
  <c r="C6" i="16"/>
  <c r="F6" i="20"/>
  <c r="E6" i="19"/>
  <c r="C546" i="16"/>
  <c r="F546" i="20"/>
  <c r="E546" i="19"/>
  <c r="L254" i="9"/>
  <c r="B254" i="11"/>
  <c r="I571" i="20"/>
  <c r="L571" i="20"/>
  <c r="H329" i="16"/>
  <c r="P329" i="16" s="1"/>
  <c r="H329" i="20"/>
  <c r="F329" i="19"/>
  <c r="C459" i="16"/>
  <c r="F459" i="20"/>
  <c r="E459" i="19"/>
  <c r="A258" i="16"/>
  <c r="A258" i="20"/>
  <c r="A258" i="19"/>
  <c r="B701" i="16"/>
  <c r="E701" i="20"/>
  <c r="AM701" i="20" s="1"/>
  <c r="O5" i="16"/>
  <c r="K5" i="16"/>
  <c r="S5" i="16"/>
  <c r="A208" i="16"/>
  <c r="A208" i="20"/>
  <c r="A208" i="19"/>
  <c r="A481" i="16"/>
  <c r="A481" i="20"/>
  <c r="A481" i="19"/>
  <c r="A306" i="16"/>
  <c r="A306" i="20"/>
  <c r="A306" i="19"/>
  <c r="L178" i="9"/>
  <c r="B178" i="11"/>
  <c r="S57" i="20"/>
  <c r="U57" i="20"/>
  <c r="A637" i="16"/>
  <c r="A637" i="20"/>
  <c r="A637" i="19"/>
  <c r="A280" i="16"/>
  <c r="A280" i="20"/>
  <c r="A280" i="19"/>
  <c r="C117" i="16"/>
  <c r="F117" i="20"/>
  <c r="E117" i="19"/>
  <c r="C600" i="16"/>
  <c r="F600" i="20"/>
  <c r="E600" i="19"/>
  <c r="A43" i="16"/>
  <c r="A43" i="20"/>
  <c r="A43" i="19"/>
  <c r="C786" i="16"/>
  <c r="F786" i="20"/>
  <c r="E786" i="19"/>
  <c r="S381" i="16"/>
  <c r="K381" i="16"/>
  <c r="O381" i="16"/>
  <c r="M277" i="20"/>
  <c r="J277" i="20"/>
  <c r="L770" i="9"/>
  <c r="B770" i="11"/>
  <c r="B552" i="16"/>
  <c r="E552" i="20"/>
  <c r="AM552" i="20" s="1"/>
  <c r="L291" i="9"/>
  <c r="B291" i="11"/>
  <c r="B99" i="16"/>
  <c r="E99" i="20"/>
  <c r="AM99" i="20" s="1"/>
  <c r="AU54" i="10"/>
  <c r="AN54" i="10"/>
  <c r="Q54" i="20" s="1"/>
  <c r="O54" i="10"/>
  <c r="F15" i="18" s="1"/>
  <c r="H15" i="18" s="1"/>
  <c r="K64" i="19"/>
  <c r="L64" i="19"/>
  <c r="H64" i="19"/>
  <c r="A557" i="16"/>
  <c r="A557" i="20"/>
  <c r="A557" i="19"/>
  <c r="B189" i="20"/>
  <c r="AL189" i="20" s="1"/>
  <c r="B189" i="19"/>
  <c r="B209" i="16"/>
  <c r="E209" i="20"/>
  <c r="AM209" i="20" s="1"/>
  <c r="H390" i="16"/>
  <c r="P390" i="16" s="1"/>
  <c r="H390" i="20"/>
  <c r="F390" i="19"/>
  <c r="B682" i="16"/>
  <c r="E682" i="20"/>
  <c r="AM682" i="20" s="1"/>
  <c r="C482" i="16"/>
  <c r="F482" i="20"/>
  <c r="E482" i="19"/>
  <c r="M669" i="19"/>
  <c r="I669" i="19"/>
  <c r="J385" i="20"/>
  <c r="M385" i="20"/>
  <c r="S148" i="16"/>
  <c r="O148" i="16"/>
  <c r="K148" i="16"/>
  <c r="H151" i="16"/>
  <c r="P151" i="16" s="1"/>
  <c r="H151" i="20"/>
  <c r="F151" i="19"/>
  <c r="H719" i="16"/>
  <c r="P719" i="16" s="1"/>
  <c r="F719" i="19"/>
  <c r="H719" i="20"/>
  <c r="I767" i="19"/>
  <c r="M767" i="19"/>
  <c r="C676" i="16"/>
  <c r="F676" i="20"/>
  <c r="E676" i="19"/>
  <c r="A341" i="16"/>
  <c r="A341" i="20"/>
  <c r="A341" i="19"/>
  <c r="B607" i="16"/>
  <c r="E607" i="20"/>
  <c r="AM607" i="20" s="1"/>
  <c r="B50" i="16"/>
  <c r="E50" i="20"/>
  <c r="AM50" i="20" s="1"/>
  <c r="A186" i="16"/>
  <c r="A186" i="20"/>
  <c r="A186" i="19"/>
  <c r="B20" i="16"/>
  <c r="E20" i="20"/>
  <c r="AM20" i="20" s="1"/>
  <c r="L546" i="9"/>
  <c r="B546" i="11"/>
  <c r="L258" i="9"/>
  <c r="B258" i="11"/>
  <c r="L473" i="20"/>
  <c r="I473" i="20"/>
  <c r="L284" i="9"/>
  <c r="B284" i="11"/>
  <c r="B632" i="16"/>
  <c r="E632" i="20"/>
  <c r="AM632" i="20" s="1"/>
  <c r="M280" i="19"/>
  <c r="I280" i="19"/>
  <c r="B154" i="16"/>
  <c r="E154" i="20"/>
  <c r="AM154" i="20" s="1"/>
  <c r="H450" i="16"/>
  <c r="P450" i="16" s="1"/>
  <c r="H450" i="20"/>
  <c r="F450" i="19"/>
  <c r="C613" i="16"/>
  <c r="F613" i="20"/>
  <c r="E613" i="19"/>
  <c r="B363" i="16"/>
  <c r="E363" i="20"/>
  <c r="AM363" i="20" s="1"/>
  <c r="N16" i="8"/>
  <c r="J806" i="8" s="1"/>
  <c r="N15" i="8"/>
  <c r="D13" i="1" s="1"/>
  <c r="N27" i="8"/>
  <c r="N24" i="8"/>
  <c r="N17" i="8"/>
  <c r="E13" i="1" s="1"/>
  <c r="N13" i="1" s="1"/>
  <c r="N14" i="8"/>
  <c r="N26" i="8"/>
  <c r="N28" i="8"/>
  <c r="N25" i="8"/>
  <c r="B458" i="11"/>
  <c r="L458" i="9"/>
  <c r="M763" i="19"/>
  <c r="I763" i="19"/>
  <c r="I25" i="20"/>
  <c r="L25" i="20"/>
  <c r="L310" i="9"/>
  <c r="B310" i="11"/>
  <c r="F37" i="20"/>
  <c r="C37" i="16"/>
  <c r="E37" i="19"/>
  <c r="K19" i="16"/>
  <c r="S19" i="16"/>
  <c r="O19" i="16"/>
  <c r="M261" i="19"/>
  <c r="I261" i="19"/>
  <c r="H227" i="16"/>
  <c r="P227" i="16" s="1"/>
  <c r="H227" i="20"/>
  <c r="F227" i="19"/>
  <c r="L205" i="20"/>
  <c r="I205" i="20"/>
  <c r="E73" i="20"/>
  <c r="AM73" i="20" s="1"/>
  <c r="B73" i="16"/>
  <c r="L124" i="9"/>
  <c r="B124" i="11"/>
  <c r="C30" i="16"/>
  <c r="F30" i="20"/>
  <c r="E30" i="19"/>
  <c r="F80" i="20"/>
  <c r="C80" i="16"/>
  <c r="E80" i="19"/>
  <c r="I735" i="19"/>
  <c r="M735" i="19"/>
  <c r="L307" i="9"/>
  <c r="B307" i="11"/>
  <c r="B15" i="16"/>
  <c r="E15" i="20"/>
  <c r="AM15" i="20" s="1"/>
  <c r="C545" i="16"/>
  <c r="F545" i="20"/>
  <c r="E545" i="19"/>
  <c r="B173" i="11"/>
  <c r="L173" i="9"/>
  <c r="L368" i="9"/>
  <c r="B368" i="11"/>
  <c r="I25" i="19"/>
  <c r="M25" i="19"/>
  <c r="C279" i="16"/>
  <c r="F279" i="20"/>
  <c r="E279" i="19"/>
  <c r="I19" i="19"/>
  <c r="M19" i="19"/>
  <c r="B746" i="11"/>
  <c r="L746" i="9"/>
  <c r="C65" i="16"/>
  <c r="F65" i="20"/>
  <c r="E65" i="19"/>
  <c r="B417" i="20"/>
  <c r="AL417" i="20" s="1"/>
  <c r="B417" i="19"/>
  <c r="A514" i="16"/>
  <c r="A514" i="20"/>
  <c r="A514" i="19"/>
  <c r="E612" i="20"/>
  <c r="AM612" i="20" s="1"/>
  <c r="B612" i="16"/>
  <c r="B511" i="11"/>
  <c r="L511" i="9"/>
  <c r="L336" i="9"/>
  <c r="B336" i="11"/>
  <c r="A247" i="16"/>
  <c r="A247" i="20"/>
  <c r="A247" i="19"/>
  <c r="A533" i="16"/>
  <c r="A533" i="20"/>
  <c r="A533" i="19"/>
  <c r="C2" i="16"/>
  <c r="F2" i="20"/>
  <c r="E2" i="19"/>
  <c r="J411" i="20"/>
  <c r="M411" i="20"/>
  <c r="C267" i="16"/>
  <c r="F267" i="20"/>
  <c r="E267" i="19"/>
  <c r="H455" i="16"/>
  <c r="P455" i="16" s="1"/>
  <c r="H455" i="20"/>
  <c r="F455" i="19"/>
  <c r="L269" i="20"/>
  <c r="I269" i="20"/>
  <c r="L263" i="20"/>
  <c r="I263" i="20"/>
  <c r="L758" i="9"/>
  <c r="B758" i="11"/>
  <c r="C100" i="16"/>
  <c r="F100" i="20"/>
  <c r="E100" i="19"/>
  <c r="L355" i="20"/>
  <c r="I355" i="20"/>
  <c r="K388" i="16"/>
  <c r="S388" i="16"/>
  <c r="O388" i="16"/>
  <c r="B347" i="20"/>
  <c r="AL347" i="20" s="1"/>
  <c r="B347" i="19"/>
  <c r="B353" i="16"/>
  <c r="E353" i="20"/>
  <c r="AM353" i="20" s="1"/>
  <c r="B186" i="16"/>
  <c r="E186" i="20"/>
  <c r="AM186" i="20" s="1"/>
  <c r="B720" i="16"/>
  <c r="E720" i="20"/>
  <c r="AM720" i="20" s="1"/>
  <c r="H660" i="19"/>
  <c r="K660" i="19"/>
  <c r="L660" i="19"/>
  <c r="C333" i="16"/>
  <c r="F333" i="20"/>
  <c r="E333" i="19"/>
  <c r="M27" i="20"/>
  <c r="J27" i="20"/>
  <c r="S473" i="16"/>
  <c r="K473" i="16"/>
  <c r="O473" i="16"/>
  <c r="H290" i="16"/>
  <c r="P290" i="16" s="1"/>
  <c r="H290" i="20"/>
  <c r="F290" i="19"/>
  <c r="L38" i="19"/>
  <c r="K38" i="19"/>
  <c r="H38" i="19"/>
  <c r="A293" i="16"/>
  <c r="A293" i="20"/>
  <c r="A293" i="19"/>
  <c r="H241" i="20"/>
  <c r="H241" i="16"/>
  <c r="P241" i="16" s="1"/>
  <c r="F241" i="19"/>
  <c r="B637" i="11"/>
  <c r="L637" i="9"/>
  <c r="H506" i="16"/>
  <c r="P506" i="16" s="1"/>
  <c r="F506" i="19"/>
  <c r="H506" i="20"/>
  <c r="C593" i="16"/>
  <c r="F593" i="20"/>
  <c r="E593" i="19"/>
  <c r="B28" i="16"/>
  <c r="E28" i="20"/>
  <c r="AM28" i="20" s="1"/>
  <c r="S25" i="16"/>
  <c r="O25" i="16"/>
  <c r="K25" i="16"/>
  <c r="B530" i="16"/>
  <c r="E530" i="20"/>
  <c r="AM530" i="20" s="1"/>
  <c r="B220" i="20"/>
  <c r="AL220" i="20" s="1"/>
  <c r="B220" i="19"/>
  <c r="O205" i="16"/>
  <c r="K205" i="16"/>
  <c r="S205" i="16"/>
  <c r="A476" i="16"/>
  <c r="A476" i="20"/>
  <c r="A476" i="19"/>
  <c r="C353" i="16"/>
  <c r="F353" i="20"/>
  <c r="E353" i="19"/>
  <c r="L188" i="9"/>
  <c r="B188" i="11"/>
  <c r="I451" i="19"/>
  <c r="M451" i="19"/>
  <c r="H533" i="19"/>
  <c r="L533" i="19"/>
  <c r="K533" i="19"/>
  <c r="H47" i="16"/>
  <c r="P47" i="16" s="1"/>
  <c r="H47" i="20"/>
  <c r="F47" i="19"/>
  <c r="A281" i="16"/>
  <c r="A281" i="20"/>
  <c r="A281" i="19"/>
  <c r="B30" i="16"/>
  <c r="E30" i="20"/>
  <c r="AM30" i="20" s="1"/>
  <c r="L48" i="9"/>
  <c r="B48" i="11"/>
  <c r="F288" i="20"/>
  <c r="C288" i="16"/>
  <c r="E288" i="19"/>
  <c r="AN50" i="10"/>
  <c r="Q50" i="20" s="1"/>
  <c r="O50" i="10"/>
  <c r="F11" i="18" s="1"/>
  <c r="H11" i="18" s="1"/>
  <c r="AU50" i="10"/>
  <c r="J151" i="20"/>
  <c r="M151" i="20"/>
  <c r="F788" i="20"/>
  <c r="C788" i="16"/>
  <c r="E788" i="19"/>
  <c r="B663" i="16"/>
  <c r="E663" i="20"/>
  <c r="AM663" i="20" s="1"/>
  <c r="A454" i="16"/>
  <c r="A454" i="20"/>
  <c r="A454" i="19"/>
  <c r="B79" i="20"/>
  <c r="AL79" i="20" s="1"/>
  <c r="B79" i="19"/>
  <c r="F480" i="20"/>
  <c r="C480" i="16"/>
  <c r="E480" i="19"/>
  <c r="L443" i="19"/>
  <c r="K443" i="19"/>
  <c r="H443" i="19"/>
  <c r="L285" i="19"/>
  <c r="K285" i="19"/>
  <c r="H285" i="19"/>
  <c r="A746" i="16"/>
  <c r="A746" i="20"/>
  <c r="A746" i="19"/>
  <c r="B503" i="16"/>
  <c r="E503" i="20"/>
  <c r="AM503" i="20" s="1"/>
  <c r="H509" i="16"/>
  <c r="P509" i="16" s="1"/>
  <c r="H509" i="20"/>
  <c r="F509" i="19"/>
  <c r="I685" i="19"/>
  <c r="M685" i="19"/>
  <c r="A40" i="20"/>
  <c r="A40" i="16"/>
  <c r="A40" i="19"/>
  <c r="B584" i="20"/>
  <c r="AL584" i="20" s="1"/>
  <c r="B584" i="19"/>
  <c r="O244" i="16"/>
  <c r="S244" i="16"/>
  <c r="K244" i="16"/>
  <c r="B507" i="11"/>
  <c r="L507" i="9"/>
  <c r="L116" i="9"/>
  <c r="B116" i="11"/>
  <c r="B59" i="16"/>
  <c r="E59" i="20"/>
  <c r="AM59" i="20" s="1"/>
  <c r="B446" i="16"/>
  <c r="E446" i="20"/>
  <c r="AM446" i="20" s="1"/>
  <c r="J798" i="20"/>
  <c r="M798" i="20"/>
  <c r="H567" i="16"/>
  <c r="P567" i="16" s="1"/>
  <c r="H567" i="20"/>
  <c r="F567" i="19"/>
  <c r="A356" i="16"/>
  <c r="A356" i="20"/>
  <c r="A356" i="19"/>
  <c r="E395" i="20"/>
  <c r="AM395" i="20" s="1"/>
  <c r="B395" i="16"/>
  <c r="O269" i="16"/>
  <c r="K269" i="16"/>
  <c r="S269" i="16"/>
  <c r="H72" i="19"/>
  <c r="L72" i="19"/>
  <c r="K72" i="19"/>
  <c r="J262" i="20"/>
  <c r="M262" i="20"/>
  <c r="B86" i="16"/>
  <c r="E86" i="20"/>
  <c r="AM86" i="20" s="1"/>
  <c r="H748" i="19"/>
  <c r="L748" i="19"/>
  <c r="K748" i="19"/>
  <c r="A758" i="16"/>
  <c r="A758" i="20"/>
  <c r="A758" i="19"/>
  <c r="B285" i="16"/>
  <c r="E285" i="20"/>
  <c r="AM285" i="20" s="1"/>
  <c r="K608" i="16"/>
  <c r="O608" i="16"/>
  <c r="S608" i="16"/>
  <c r="S754" i="16"/>
  <c r="K754" i="16"/>
  <c r="O754" i="16"/>
  <c r="M697" i="19"/>
  <c r="I697" i="19"/>
  <c r="B326" i="16"/>
  <c r="E326" i="20"/>
  <c r="AM326" i="20" s="1"/>
  <c r="M615" i="20"/>
  <c r="J615" i="20"/>
  <c r="H520" i="16"/>
  <c r="P520" i="16" s="1"/>
  <c r="H520" i="20"/>
  <c r="F520" i="19"/>
  <c r="H7" i="16"/>
  <c r="P7" i="16" s="1"/>
  <c r="X7" i="16" s="1"/>
  <c r="H7" i="20"/>
  <c r="F7" i="19"/>
  <c r="I7" i="9"/>
  <c r="J7" i="9" s="1"/>
  <c r="C7" i="19" s="1"/>
  <c r="B429" i="16"/>
  <c r="E429" i="20"/>
  <c r="AM429" i="20" s="1"/>
  <c r="I587" i="19"/>
  <c r="M587" i="19"/>
  <c r="J644" i="20"/>
  <c r="M644" i="20"/>
  <c r="H504" i="16"/>
  <c r="P504" i="16" s="1"/>
  <c r="H504" i="20"/>
  <c r="F504" i="19"/>
  <c r="A417" i="16"/>
  <c r="A417" i="20"/>
  <c r="A417" i="19"/>
  <c r="C325" i="16"/>
  <c r="F325" i="20"/>
  <c r="E325" i="19"/>
  <c r="E54" i="20"/>
  <c r="AM54" i="20" s="1"/>
  <c r="B54" i="16"/>
  <c r="B188" i="16"/>
  <c r="E188" i="20"/>
  <c r="AM188" i="20" s="1"/>
  <c r="B707" i="16"/>
  <c r="E707" i="20"/>
  <c r="AM707" i="20" s="1"/>
  <c r="B502" i="16"/>
  <c r="E502" i="20"/>
  <c r="AM502" i="20" s="1"/>
  <c r="H248" i="19"/>
  <c r="L248" i="19"/>
  <c r="K248" i="19"/>
  <c r="F8" i="20"/>
  <c r="C8" i="16"/>
  <c r="E8" i="19"/>
  <c r="C405" i="16"/>
  <c r="F405" i="20"/>
  <c r="E405" i="19"/>
  <c r="B258" i="16"/>
  <c r="E258" i="20"/>
  <c r="AM258" i="20" s="1"/>
  <c r="L72" i="20"/>
  <c r="I72" i="20"/>
  <c r="H430" i="16"/>
  <c r="P430" i="16" s="1"/>
  <c r="F430" i="19"/>
  <c r="H430" i="20"/>
  <c r="B749" i="20"/>
  <c r="AL749" i="20" s="1"/>
  <c r="B749" i="19"/>
  <c r="E53" i="20"/>
  <c r="AM53" i="20" s="1"/>
  <c r="B53" i="16"/>
  <c r="K805" i="19"/>
  <c r="H805" i="19"/>
  <c r="L805" i="19"/>
  <c r="C544" i="16"/>
  <c r="F544" i="20"/>
  <c r="E544" i="19"/>
  <c r="A318" i="16"/>
  <c r="A318" i="19"/>
  <c r="A318" i="20"/>
  <c r="A784" i="16"/>
  <c r="A784" i="20"/>
  <c r="A784" i="19"/>
  <c r="C654" i="16"/>
  <c r="F654" i="20"/>
  <c r="E654" i="19"/>
  <c r="L712" i="19"/>
  <c r="K712" i="19"/>
  <c r="H712" i="19"/>
  <c r="B180" i="16"/>
  <c r="E180" i="20"/>
  <c r="AM180" i="20" s="1"/>
  <c r="A18" i="16"/>
  <c r="A18" i="20"/>
  <c r="A18" i="19"/>
  <c r="H368" i="16"/>
  <c r="P368" i="16" s="1"/>
  <c r="F368" i="19"/>
  <c r="H368" i="20"/>
  <c r="B449" i="16"/>
  <c r="E449" i="20"/>
  <c r="AM449" i="20" s="1"/>
  <c r="L37" i="9"/>
  <c r="B37" i="11"/>
  <c r="M738" i="20"/>
  <c r="J738" i="20"/>
  <c r="L594" i="20"/>
  <c r="I594" i="20"/>
  <c r="I791" i="19"/>
  <c r="M791" i="19"/>
  <c r="M331" i="19"/>
  <c r="I331" i="19"/>
  <c r="J428" i="20"/>
  <c r="M428" i="20"/>
  <c r="B773" i="16"/>
  <c r="E773" i="20"/>
  <c r="AM773" i="20" s="1"/>
  <c r="A116" i="16"/>
  <c r="A116" i="20"/>
  <c r="A116" i="19"/>
  <c r="I248" i="20"/>
  <c r="L248" i="20"/>
  <c r="B455" i="16"/>
  <c r="E455" i="20"/>
  <c r="AM455" i="20" s="1"/>
  <c r="B262" i="16"/>
  <c r="E262" i="20"/>
  <c r="AM262" i="20" s="1"/>
  <c r="A128" i="16"/>
  <c r="A128" i="20"/>
  <c r="A128" i="19"/>
  <c r="H29" i="20"/>
  <c r="H29" i="16"/>
  <c r="P29" i="16" s="1"/>
  <c r="F29" i="19"/>
  <c r="I499" i="19"/>
  <c r="M499" i="19"/>
  <c r="B796" i="11"/>
  <c r="L796" i="9"/>
  <c r="F730" i="20"/>
  <c r="E730" i="19"/>
  <c r="C730" i="16"/>
  <c r="A621" i="16"/>
  <c r="A621" i="20"/>
  <c r="A621" i="19"/>
  <c r="A511" i="16"/>
  <c r="A511" i="20"/>
  <c r="A511" i="19"/>
  <c r="B321" i="20"/>
  <c r="AL321" i="20" s="1"/>
  <c r="B321" i="19"/>
  <c r="L128" i="9"/>
  <c r="B128" i="11"/>
  <c r="E655" i="20"/>
  <c r="AM655" i="20" s="1"/>
  <c r="B655" i="16"/>
  <c r="C66" i="16"/>
  <c r="F66" i="20"/>
  <c r="E66" i="19"/>
  <c r="B5" i="20"/>
  <c r="B5" i="19"/>
  <c r="F67" i="20"/>
  <c r="C67" i="16"/>
  <c r="E67" i="19"/>
  <c r="K463" i="16"/>
  <c r="O463" i="16"/>
  <c r="S463" i="16"/>
  <c r="I123" i="19"/>
  <c r="M123" i="19"/>
  <c r="L571" i="19"/>
  <c r="K571" i="19"/>
  <c r="H571" i="19"/>
  <c r="B734" i="11"/>
  <c r="L734" i="9"/>
  <c r="C160" i="16"/>
  <c r="F160" i="20"/>
  <c r="E160" i="19"/>
  <c r="B794" i="11"/>
  <c r="L794" i="9"/>
  <c r="B213" i="19"/>
  <c r="B213" i="20"/>
  <c r="AL213" i="20" s="1"/>
  <c r="B364" i="16"/>
  <c r="E364" i="20"/>
  <c r="AM364" i="20" s="1"/>
  <c r="H642" i="16"/>
  <c r="P642" i="16" s="1"/>
  <c r="H642" i="20"/>
  <c r="F642" i="19"/>
  <c r="A541" i="16"/>
  <c r="A541" i="20"/>
  <c r="A541" i="19"/>
  <c r="A98" i="16"/>
  <c r="A98" i="20"/>
  <c r="A98" i="19"/>
  <c r="J156" i="20"/>
  <c r="M156" i="20"/>
  <c r="B599" i="16"/>
  <c r="E599" i="20"/>
  <c r="AM599" i="20" s="1"/>
  <c r="I333" i="19"/>
  <c r="M333" i="19"/>
  <c r="C503" i="16"/>
  <c r="F503" i="20"/>
  <c r="E503" i="19"/>
  <c r="B131" i="11"/>
  <c r="L131" i="9"/>
  <c r="B529" i="16"/>
  <c r="E529" i="20"/>
  <c r="AM529" i="20" s="1"/>
  <c r="A421" i="16"/>
  <c r="A421" i="20"/>
  <c r="A421" i="19"/>
  <c r="A428" i="16"/>
  <c r="A428" i="20"/>
  <c r="A428" i="19"/>
  <c r="B793" i="16"/>
  <c r="E793" i="20"/>
  <c r="AM793" i="20" s="1"/>
  <c r="B409" i="16"/>
  <c r="E409" i="20"/>
  <c r="AM409" i="20" s="1"/>
  <c r="L594" i="9"/>
  <c r="B594" i="11"/>
  <c r="L723" i="9"/>
  <c r="B723" i="11"/>
  <c r="F436" i="20"/>
  <c r="C436" i="16"/>
  <c r="E436" i="19"/>
  <c r="L33" i="9"/>
  <c r="B33" i="11"/>
  <c r="A158" i="16"/>
  <c r="A158" i="20"/>
  <c r="A158" i="19"/>
  <c r="J436" i="20"/>
  <c r="M436" i="20"/>
  <c r="A37" i="20"/>
  <c r="A37" i="16"/>
  <c r="A37" i="19"/>
  <c r="B674" i="16"/>
  <c r="E674" i="20"/>
  <c r="AM674" i="20" s="1"/>
  <c r="A340" i="16"/>
  <c r="A340" i="20"/>
  <c r="A340" i="19"/>
  <c r="O594" i="16"/>
  <c r="K594" i="16"/>
  <c r="S594" i="16"/>
  <c r="M666" i="19"/>
  <c r="I666" i="19"/>
  <c r="B823" i="20"/>
  <c r="B823" i="19"/>
  <c r="K44" i="19"/>
  <c r="H44" i="19"/>
  <c r="L44" i="19"/>
  <c r="AN62" i="10"/>
  <c r="Q62" i="20" s="1"/>
  <c r="AU62" i="10"/>
  <c r="O62" i="10"/>
  <c r="F23" i="18" s="1"/>
  <c r="H23" i="18" s="1"/>
  <c r="L578" i="20"/>
  <c r="I578" i="20"/>
  <c r="C380" i="16"/>
  <c r="F380" i="20"/>
  <c r="E380" i="19"/>
  <c r="B321" i="16"/>
  <c r="E321" i="20"/>
  <c r="AM321" i="20" s="1"/>
  <c r="B193" i="20"/>
  <c r="AL193" i="20" s="1"/>
  <c r="B193" i="19"/>
  <c r="B50" i="20"/>
  <c r="AL50" i="20" s="1"/>
  <c r="B50" i="19"/>
  <c r="B791" i="11"/>
  <c r="L791" i="9"/>
  <c r="A781" i="16"/>
  <c r="A781" i="20"/>
  <c r="A781" i="19"/>
  <c r="B526" i="16"/>
  <c r="E526" i="20"/>
  <c r="AM526" i="20" s="1"/>
  <c r="C327" i="16"/>
  <c r="E327" i="19"/>
  <c r="F327" i="20"/>
  <c r="M731" i="20"/>
  <c r="J731" i="20"/>
  <c r="H349" i="16"/>
  <c r="P349" i="16" s="1"/>
  <c r="H349" i="20"/>
  <c r="F349" i="19"/>
  <c r="B329" i="16"/>
  <c r="E329" i="20"/>
  <c r="AM329" i="20" s="1"/>
  <c r="J466" i="20"/>
  <c r="M466" i="20"/>
  <c r="I108" i="19"/>
  <c r="M108" i="19"/>
  <c r="O603" i="16"/>
  <c r="K603" i="16"/>
  <c r="S603" i="16"/>
  <c r="B760" i="16"/>
  <c r="E760" i="20"/>
  <c r="AM760" i="20" s="1"/>
  <c r="B584" i="16"/>
  <c r="E584" i="20"/>
  <c r="AM584" i="20" s="1"/>
  <c r="L144" i="9"/>
  <c r="B144" i="11"/>
  <c r="B686" i="19"/>
  <c r="B686" i="20"/>
  <c r="AL686" i="20" s="1"/>
  <c r="B525" i="16"/>
  <c r="E525" i="20"/>
  <c r="AM525" i="20" s="1"/>
  <c r="L615" i="19"/>
  <c r="K615" i="19"/>
  <c r="H615" i="19"/>
  <c r="O814" i="16"/>
  <c r="K814" i="16"/>
  <c r="S814" i="16"/>
  <c r="B716" i="11"/>
  <c r="L716" i="9"/>
  <c r="A170" i="16"/>
  <c r="A170" i="20"/>
  <c r="A170" i="19"/>
  <c r="C706" i="16"/>
  <c r="E706" i="19"/>
  <c r="F706" i="20"/>
  <c r="A110" i="16"/>
  <c r="A110" i="20"/>
  <c r="A110" i="19"/>
  <c r="M587" i="20"/>
  <c r="J587" i="20"/>
  <c r="B132" i="16"/>
  <c r="E132" i="20"/>
  <c r="AM132" i="20" s="1"/>
  <c r="M355" i="20"/>
  <c r="J355" i="20"/>
  <c r="L104" i="20"/>
  <c r="I104" i="20"/>
  <c r="B545" i="16"/>
  <c r="E545" i="20"/>
  <c r="AM545" i="20" s="1"/>
  <c r="M746" i="20"/>
  <c r="J746" i="20"/>
  <c r="H634" i="16"/>
  <c r="P634" i="16" s="1"/>
  <c r="H634" i="20"/>
  <c r="F634" i="19"/>
  <c r="H549" i="16"/>
  <c r="P549" i="16" s="1"/>
  <c r="H549" i="20"/>
  <c r="F549" i="19"/>
  <c r="L531" i="20"/>
  <c r="I531" i="20"/>
  <c r="L763" i="19"/>
  <c r="K763" i="19"/>
  <c r="H763" i="19"/>
  <c r="M402" i="20"/>
  <c r="J402" i="20"/>
  <c r="L212" i="19"/>
  <c r="K212" i="19"/>
  <c r="H212" i="19"/>
  <c r="B811" i="16"/>
  <c r="E811" i="20"/>
  <c r="AM811" i="20" s="1"/>
  <c r="L158" i="9"/>
  <c r="B158" i="11"/>
  <c r="C722" i="16"/>
  <c r="E722" i="19"/>
  <c r="F722" i="20"/>
  <c r="C412" i="16"/>
  <c r="F412" i="20"/>
  <c r="E412" i="19"/>
  <c r="A207" i="16"/>
  <c r="A207" i="20"/>
  <c r="A207" i="19"/>
  <c r="L75" i="19"/>
  <c r="K75" i="19"/>
  <c r="H75" i="19"/>
  <c r="H339" i="16"/>
  <c r="P339" i="16" s="1"/>
  <c r="H339" i="20"/>
  <c r="F339" i="19"/>
  <c r="M571" i="20"/>
  <c r="J571" i="20"/>
  <c r="I44" i="20"/>
  <c r="L44" i="20"/>
  <c r="J27" i="8"/>
  <c r="K578" i="16"/>
  <c r="S578" i="16"/>
  <c r="O578" i="16"/>
  <c r="J388" i="20"/>
  <c r="M388" i="20"/>
  <c r="M193" i="20"/>
  <c r="J193" i="20"/>
  <c r="B670" i="16"/>
  <c r="E670" i="20"/>
  <c r="AM670" i="20" s="1"/>
  <c r="J96" i="20"/>
  <c r="M96" i="20"/>
  <c r="H446" i="16"/>
  <c r="P446" i="16" s="1"/>
  <c r="H446" i="20"/>
  <c r="F446" i="19"/>
  <c r="A527" i="20"/>
  <c r="A527" i="16"/>
  <c r="A527" i="19"/>
  <c r="C723" i="16"/>
  <c r="F723" i="20"/>
  <c r="E723" i="19"/>
  <c r="C796" i="16"/>
  <c r="F796" i="20"/>
  <c r="E796" i="19"/>
  <c r="B635" i="16"/>
  <c r="E635" i="20"/>
  <c r="AM635" i="20" s="1"/>
  <c r="A526" i="16"/>
  <c r="A526" i="19"/>
  <c r="A526" i="20"/>
  <c r="B383" i="16"/>
  <c r="E383" i="20"/>
  <c r="AM383" i="20" s="1"/>
  <c r="B286" i="16"/>
  <c r="E286" i="20"/>
  <c r="AM286" i="20" s="1"/>
  <c r="A86" i="16"/>
  <c r="A86" i="20"/>
  <c r="A86" i="19"/>
  <c r="B569" i="16"/>
  <c r="E569" i="20"/>
  <c r="AM569" i="20" s="1"/>
  <c r="L218" i="9"/>
  <c r="B218" i="11"/>
  <c r="M480" i="20"/>
  <c r="J480" i="20"/>
  <c r="J271" i="20"/>
  <c r="M271" i="20"/>
  <c r="H327" i="16"/>
  <c r="P327" i="16" s="1"/>
  <c r="F327" i="19"/>
  <c r="H327" i="20"/>
  <c r="C673" i="16"/>
  <c r="F673" i="20"/>
  <c r="E673" i="19"/>
  <c r="B564" i="16"/>
  <c r="E564" i="20"/>
  <c r="AM564" i="20" s="1"/>
  <c r="M578" i="20"/>
  <c r="J578" i="20"/>
  <c r="C538" i="16"/>
  <c r="F538" i="20"/>
  <c r="E538" i="19"/>
  <c r="I615" i="19"/>
  <c r="M615" i="19"/>
  <c r="M87" i="20"/>
  <c r="J87" i="20"/>
  <c r="C769" i="16"/>
  <c r="F769" i="20"/>
  <c r="E769" i="19"/>
  <c r="C658" i="16"/>
  <c r="F658" i="20"/>
  <c r="E658" i="19"/>
  <c r="C143" i="16"/>
  <c r="F143" i="20"/>
  <c r="E143" i="19"/>
  <c r="B206" i="16"/>
  <c r="E206" i="20"/>
  <c r="AM206" i="20" s="1"/>
  <c r="A588" i="16"/>
  <c r="A588" i="19"/>
  <c r="A588" i="20"/>
  <c r="M791" i="20"/>
  <c r="J791" i="20"/>
  <c r="H115" i="16"/>
  <c r="P115" i="16" s="1"/>
  <c r="H115" i="20"/>
  <c r="F115" i="19"/>
  <c r="B532" i="16"/>
  <c r="E532" i="20"/>
  <c r="AM532" i="20" s="1"/>
  <c r="K583" i="19"/>
  <c r="H583" i="19"/>
  <c r="L583" i="19"/>
  <c r="S571" i="16"/>
  <c r="K571" i="16"/>
  <c r="O571" i="16"/>
  <c r="A734" i="16"/>
  <c r="A734" i="20"/>
  <c r="A734" i="19"/>
  <c r="C496" i="16"/>
  <c r="F496" i="20"/>
  <c r="E496" i="19"/>
  <c r="B757" i="20"/>
  <c r="AL757" i="20" s="1"/>
  <c r="B757" i="19"/>
  <c r="K5" i="19"/>
  <c r="H5" i="19"/>
  <c r="L5" i="19"/>
  <c r="L568" i="9"/>
  <c r="B568" i="11"/>
  <c r="C714" i="16"/>
  <c r="E714" i="19"/>
  <c r="F714" i="20"/>
  <c r="I12" i="20"/>
  <c r="L12" i="20"/>
  <c r="C23" i="16"/>
  <c r="F23" i="20"/>
  <c r="E23" i="19"/>
  <c r="J763" i="20"/>
  <c r="M763" i="20"/>
  <c r="M500" i="19"/>
  <c r="I500" i="19"/>
  <c r="L140" i="9"/>
  <c r="B140" i="11"/>
  <c r="B467" i="20"/>
  <c r="AL467" i="20" s="1"/>
  <c r="B467" i="19"/>
  <c r="A131" i="16"/>
  <c r="A131" i="20"/>
  <c r="A131" i="19"/>
  <c r="L615" i="20"/>
  <c r="I615" i="20"/>
  <c r="C149" i="16"/>
  <c r="E149" i="19"/>
  <c r="F149" i="20"/>
  <c r="A393" i="16"/>
  <c r="A393" i="20"/>
  <c r="A393" i="19"/>
  <c r="B161" i="16"/>
  <c r="E161" i="20"/>
  <c r="AM161" i="20" s="1"/>
  <c r="K814" i="19"/>
  <c r="H814" i="19"/>
  <c r="L814" i="19"/>
  <c r="M259" i="19"/>
  <c r="I259" i="19"/>
  <c r="L170" i="9"/>
  <c r="B170" i="11"/>
  <c r="J715" i="20"/>
  <c r="M715" i="20"/>
  <c r="H104" i="19"/>
  <c r="K104" i="19"/>
  <c r="L104" i="19"/>
  <c r="B686" i="16"/>
  <c r="E686" i="20"/>
  <c r="AM686" i="20" s="1"/>
  <c r="A33" i="16"/>
  <c r="A33" i="20"/>
  <c r="A33" i="19"/>
  <c r="L763" i="20"/>
  <c r="I763" i="20"/>
  <c r="L212" i="20"/>
  <c r="I212" i="20"/>
  <c r="L402" i="20"/>
  <c r="I402" i="20"/>
  <c r="H315" i="16"/>
  <c r="P315" i="16" s="1"/>
  <c r="H315" i="20"/>
  <c r="F315" i="19"/>
  <c r="B247" i="16"/>
  <c r="E247" i="20"/>
  <c r="AM247" i="20" s="1"/>
  <c r="B273" i="11"/>
  <c r="L273" i="9"/>
  <c r="B574" i="16"/>
  <c r="E574" i="20"/>
  <c r="AM574" i="20" s="1"/>
  <c r="S44" i="16"/>
  <c r="O44" i="16"/>
  <c r="K44" i="16"/>
  <c r="B27" i="16"/>
  <c r="E27" i="20"/>
  <c r="AM27" i="20" s="1"/>
  <c r="L547" i="19"/>
  <c r="K547" i="19"/>
  <c r="H547" i="19"/>
  <c r="H282" i="16"/>
  <c r="P282" i="16" s="1"/>
  <c r="F282" i="19"/>
  <c r="H282" i="20"/>
  <c r="B54" i="11"/>
  <c r="L54" i="9"/>
  <c r="B277" i="11"/>
  <c r="L277" i="9"/>
  <c r="H20" i="16"/>
  <c r="P20" i="16" s="1"/>
  <c r="H20" i="20"/>
  <c r="F20" i="19"/>
  <c r="B459" i="20"/>
  <c r="AL459" i="20" s="1"/>
  <c r="B459" i="19"/>
  <c r="S615" i="16"/>
  <c r="K615" i="16"/>
  <c r="O615" i="16"/>
  <c r="L131" i="19"/>
  <c r="H131" i="19"/>
  <c r="B519" i="16"/>
  <c r="E519" i="20"/>
  <c r="AM519" i="20" s="1"/>
  <c r="B417" i="16"/>
  <c r="E417" i="20"/>
  <c r="AM417" i="20" s="1"/>
  <c r="C582" i="16"/>
  <c r="F582" i="20"/>
  <c r="E582" i="19"/>
  <c r="L814" i="20"/>
  <c r="I814" i="20"/>
  <c r="B506" i="20"/>
  <c r="AL506" i="20" s="1"/>
  <c r="B506" i="19"/>
  <c r="C642" i="16"/>
  <c r="F642" i="20"/>
  <c r="E642" i="19"/>
  <c r="C766" i="16"/>
  <c r="F766" i="20"/>
  <c r="E766" i="19"/>
  <c r="B159" i="16"/>
  <c r="E159" i="20"/>
  <c r="AM159" i="20" s="1"/>
  <c r="J759" i="20"/>
  <c r="M759" i="20"/>
  <c r="S104" i="16"/>
  <c r="O104" i="16"/>
  <c r="K104" i="16"/>
  <c r="L818" i="19"/>
  <c r="K818" i="19"/>
  <c r="H818" i="19"/>
  <c r="S763" i="16"/>
  <c r="K763" i="16"/>
  <c r="O763" i="16"/>
  <c r="O212" i="16"/>
  <c r="S212" i="16"/>
  <c r="K212" i="16"/>
  <c r="H437" i="16"/>
  <c r="P437" i="16" s="1"/>
  <c r="H437" i="20"/>
  <c r="F437" i="19"/>
  <c r="L751" i="9"/>
  <c r="B751" i="11"/>
  <c r="B603" i="20"/>
  <c r="AL603" i="20" s="1"/>
  <c r="B603" i="19"/>
  <c r="B313" i="16"/>
  <c r="E313" i="20"/>
  <c r="AM313" i="20" s="1"/>
  <c r="H402" i="19"/>
  <c r="K402" i="19"/>
  <c r="L402" i="19"/>
  <c r="H702" i="20"/>
  <c r="H702" i="16"/>
  <c r="P702" i="16" s="1"/>
  <c r="F702" i="19"/>
  <c r="B174" i="16"/>
  <c r="E174" i="20"/>
  <c r="AM174" i="20" s="1"/>
  <c r="J565" i="20"/>
  <c r="M565" i="20"/>
  <c r="B281" i="16"/>
  <c r="E281" i="20"/>
  <c r="AM281" i="20" s="1"/>
  <c r="B799" i="19"/>
  <c r="B799" i="20"/>
  <c r="AL799" i="20" s="1"/>
  <c r="B454" i="16"/>
  <c r="E454" i="20"/>
  <c r="AM454" i="20" s="1"/>
  <c r="B381" i="16"/>
  <c r="E381" i="20"/>
  <c r="AM381" i="20" s="1"/>
  <c r="L547" i="20"/>
  <c r="I547" i="20"/>
  <c r="E493" i="20"/>
  <c r="AM493" i="20" s="1"/>
  <c r="B493" i="16"/>
  <c r="B366" i="16"/>
  <c r="E366" i="20"/>
  <c r="AM366" i="20" s="1"/>
  <c r="B101" i="16"/>
  <c r="E101" i="20"/>
  <c r="AM101" i="20" s="1"/>
  <c r="A711" i="16"/>
  <c r="A711" i="20"/>
  <c r="A711" i="19"/>
  <c r="M157" i="20"/>
  <c r="J157" i="20"/>
  <c r="I543" i="19"/>
  <c r="M543" i="19"/>
  <c r="B267" i="16"/>
  <c r="E267" i="20"/>
  <c r="AM267" i="20" s="1"/>
  <c r="C235" i="16"/>
  <c r="F235" i="20"/>
  <c r="E235" i="19"/>
  <c r="A310" i="16"/>
  <c r="A310" i="20"/>
  <c r="A310" i="19"/>
  <c r="C135" i="16"/>
  <c r="F135" i="20"/>
  <c r="E135" i="19"/>
  <c r="K402" i="16"/>
  <c r="S402" i="16"/>
  <c r="O402" i="16"/>
  <c r="B598" i="16"/>
  <c r="E598" i="20"/>
  <c r="AM598" i="20" s="1"/>
  <c r="C157" i="16"/>
  <c r="F157" i="20"/>
  <c r="E157" i="19"/>
  <c r="K547" i="16"/>
  <c r="O547" i="16"/>
  <c r="S547" i="16"/>
  <c r="M362" i="20"/>
  <c r="J362" i="20"/>
  <c r="M171" i="20"/>
  <c r="J171" i="20"/>
  <c r="C753" i="16"/>
  <c r="F753" i="20"/>
  <c r="E753" i="19"/>
  <c r="B489" i="20"/>
  <c r="AL489" i="20" s="1"/>
  <c r="B489" i="19"/>
  <c r="A317" i="16"/>
  <c r="A317" i="20"/>
  <c r="A317" i="19"/>
  <c r="L171" i="9"/>
  <c r="B171" i="11"/>
  <c r="L174" i="9"/>
  <c r="B174" i="11"/>
  <c r="C633" i="16"/>
  <c r="F633" i="20"/>
  <c r="E633" i="19"/>
  <c r="S340" i="16"/>
  <c r="O340" i="16"/>
  <c r="K340" i="16"/>
  <c r="M32" i="19"/>
  <c r="I32" i="19"/>
  <c r="B717" i="16"/>
  <c r="E717" i="20"/>
  <c r="AM717" i="20" s="1"/>
  <c r="B587" i="16"/>
  <c r="E587" i="20"/>
  <c r="AM587" i="20" s="1"/>
  <c r="B269" i="20"/>
  <c r="AL269" i="20" s="1"/>
  <c r="B269" i="19"/>
  <c r="H269" i="16"/>
  <c r="P269" i="16" s="1"/>
  <c r="H269" i="20"/>
  <c r="F269" i="19"/>
  <c r="B790" i="16"/>
  <c r="E790" i="20"/>
  <c r="AM790" i="20" s="1"/>
  <c r="B187" i="16"/>
  <c r="E187" i="20"/>
  <c r="AM187" i="20" s="1"/>
  <c r="J361" i="20"/>
  <c r="M361" i="20"/>
  <c r="B549" i="16"/>
  <c r="E549" i="20"/>
  <c r="AM549" i="20" s="1"/>
  <c r="H655" i="16"/>
  <c r="P655" i="16" s="1"/>
  <c r="H655" i="20"/>
  <c r="F655" i="19"/>
  <c r="A724" i="16"/>
  <c r="A724" i="20"/>
  <c r="A724" i="19"/>
  <c r="A727" i="16"/>
  <c r="A727" i="20"/>
  <c r="A727" i="19"/>
  <c r="C526" i="16"/>
  <c r="F526" i="20"/>
  <c r="E526" i="19"/>
  <c r="C3" i="16"/>
  <c r="F3" i="20"/>
  <c r="E3" i="19"/>
  <c r="E33" i="20"/>
  <c r="AM33" i="20" s="1"/>
  <c r="B33" i="16"/>
  <c r="A617" i="16"/>
  <c r="A617" i="20"/>
  <c r="A617" i="19"/>
  <c r="B213" i="16"/>
  <c r="E213" i="20"/>
  <c r="AM213" i="20" s="1"/>
  <c r="M127" i="20"/>
  <c r="J127" i="20"/>
  <c r="H91" i="16"/>
  <c r="P91" i="16" s="1"/>
  <c r="H91" i="20"/>
  <c r="F91" i="19"/>
  <c r="B779" i="16"/>
  <c r="E779" i="20"/>
  <c r="AM779" i="20" s="1"/>
  <c r="C99" i="16"/>
  <c r="F99" i="20"/>
  <c r="E99" i="19"/>
  <c r="M38" i="20"/>
  <c r="J38" i="20"/>
  <c r="M804" i="20"/>
  <c r="J804" i="20"/>
  <c r="M508" i="19"/>
  <c r="I508" i="19"/>
  <c r="B713" i="16"/>
  <c r="E713" i="20"/>
  <c r="AM713" i="20" s="1"/>
  <c r="L640" i="9"/>
  <c r="B640" i="11"/>
  <c r="A587" i="16"/>
  <c r="A587" i="20"/>
  <c r="A587" i="19"/>
  <c r="B539" i="20"/>
  <c r="AL539" i="20" s="1"/>
  <c r="B539" i="19"/>
  <c r="C413" i="16"/>
  <c r="F413" i="20"/>
  <c r="E413" i="19"/>
  <c r="B354" i="16"/>
  <c r="E354" i="20"/>
  <c r="AM354" i="20" s="1"/>
  <c r="M722" i="20"/>
  <c r="J722" i="20"/>
  <c r="M422" i="20"/>
  <c r="J422" i="20"/>
  <c r="M219" i="20"/>
  <c r="J219" i="20"/>
  <c r="H458" i="16"/>
  <c r="P458" i="16" s="1"/>
  <c r="H458" i="20"/>
  <c r="F458" i="19"/>
  <c r="H199" i="16"/>
  <c r="P199" i="16" s="1"/>
  <c r="H199" i="20"/>
  <c r="F199" i="19"/>
  <c r="C625" i="16"/>
  <c r="F625" i="20"/>
  <c r="E625" i="19"/>
  <c r="B521" i="20"/>
  <c r="AL521" i="20" s="1"/>
  <c r="B521" i="19"/>
  <c r="A371" i="16"/>
  <c r="A371" i="20"/>
  <c r="A371" i="19"/>
  <c r="B16" i="16"/>
  <c r="E16" i="20"/>
  <c r="AM16" i="20" s="1"/>
  <c r="B708" i="16"/>
  <c r="E708" i="20"/>
  <c r="AM708" i="20" s="1"/>
  <c r="M448" i="19"/>
  <c r="I448" i="19"/>
  <c r="L251" i="20"/>
  <c r="I251" i="20"/>
  <c r="C708" i="16"/>
  <c r="F708" i="20"/>
  <c r="E708" i="19"/>
  <c r="A538" i="16"/>
  <c r="A538" i="19"/>
  <c r="A538" i="20"/>
  <c r="S282" i="16"/>
  <c r="O282" i="16"/>
  <c r="K282" i="16"/>
  <c r="M159" i="20"/>
  <c r="J159" i="20"/>
  <c r="C555" i="16"/>
  <c r="F555" i="20"/>
  <c r="E555" i="19"/>
  <c r="I273" i="19"/>
  <c r="M273" i="19"/>
  <c r="J81" i="20"/>
  <c r="M81" i="20"/>
  <c r="H271" i="16"/>
  <c r="P271" i="16" s="1"/>
  <c r="H271" i="20"/>
  <c r="F271" i="19"/>
  <c r="C690" i="16"/>
  <c r="F690" i="20"/>
  <c r="E690" i="19"/>
  <c r="L390" i="9"/>
  <c r="B390" i="11"/>
  <c r="B398" i="16"/>
  <c r="E398" i="20"/>
  <c r="AM398" i="20" s="1"/>
  <c r="C247" i="16"/>
  <c r="E247" i="19"/>
  <c r="F247" i="20"/>
  <c r="L167" i="9"/>
  <c r="B167" i="11"/>
  <c r="B36" i="16"/>
  <c r="E36" i="20"/>
  <c r="AM36" i="20" s="1"/>
  <c r="C649" i="16"/>
  <c r="F649" i="20"/>
  <c r="E649" i="19"/>
  <c r="M583" i="20"/>
  <c r="J583" i="20"/>
  <c r="O16" i="16"/>
  <c r="S16" i="16"/>
  <c r="K16" i="16"/>
  <c r="A518" i="16"/>
  <c r="A518" i="20"/>
  <c r="A518" i="19"/>
  <c r="A44" i="20"/>
  <c r="A44" i="16"/>
  <c r="A44" i="19"/>
  <c r="B766" i="16"/>
  <c r="E766" i="20"/>
  <c r="AM766" i="20" s="1"/>
  <c r="B450" i="16"/>
  <c r="E450" i="20"/>
  <c r="AM450" i="20" s="1"/>
  <c r="B10" i="16"/>
  <c r="E10" i="20"/>
  <c r="AM10" i="20" s="1"/>
  <c r="H670" i="16"/>
  <c r="P670" i="16" s="1"/>
  <c r="H670" i="20"/>
  <c r="F670" i="19"/>
  <c r="H13" i="16"/>
  <c r="P13" i="16" s="1"/>
  <c r="H13" i="20"/>
  <c r="F13" i="19"/>
  <c r="L481" i="9"/>
  <c r="B481" i="11"/>
  <c r="I759" i="20"/>
  <c r="L759" i="20"/>
  <c r="M156" i="19"/>
  <c r="I156" i="19"/>
  <c r="L296" i="20"/>
  <c r="I296" i="20"/>
  <c r="L156" i="19"/>
  <c r="K156" i="19"/>
  <c r="H156" i="19"/>
  <c r="B158" i="16"/>
  <c r="E158" i="20"/>
  <c r="AM158" i="20" s="1"/>
  <c r="A234" i="16"/>
  <c r="A234" i="20"/>
  <c r="A234" i="19"/>
  <c r="C317" i="16"/>
  <c r="F317" i="20"/>
  <c r="E317" i="19"/>
  <c r="B131" i="16"/>
  <c r="E131" i="20"/>
  <c r="AM131" i="20" s="1"/>
  <c r="C662" i="16"/>
  <c r="F662" i="20"/>
  <c r="E662" i="19"/>
  <c r="A394" i="16"/>
  <c r="A394" i="20"/>
  <c r="A394" i="19"/>
  <c r="C107" i="16"/>
  <c r="F107" i="20"/>
  <c r="E107" i="19"/>
  <c r="B689" i="20"/>
  <c r="AL689" i="20" s="1"/>
  <c r="B689" i="19"/>
  <c r="C415" i="16"/>
  <c r="F415" i="20"/>
  <c r="E415" i="19"/>
  <c r="E146" i="20"/>
  <c r="AM146" i="20" s="1"/>
  <c r="B146" i="16"/>
  <c r="L684" i="19"/>
  <c r="K684" i="19"/>
  <c r="H684" i="19"/>
  <c r="C550" i="16"/>
  <c r="F550" i="20"/>
  <c r="E550" i="19"/>
  <c r="B610" i="20"/>
  <c r="AL610" i="20" s="1"/>
  <c r="B610" i="19"/>
  <c r="L344" i="20"/>
  <c r="I344" i="20"/>
  <c r="H45" i="20"/>
  <c r="H45" i="16"/>
  <c r="P45" i="16" s="1"/>
  <c r="F45" i="19"/>
  <c r="B495" i="16"/>
  <c r="E495" i="20"/>
  <c r="AM495" i="20" s="1"/>
  <c r="E172" i="20"/>
  <c r="AM172" i="20" s="1"/>
  <c r="B172" i="16"/>
  <c r="C622" i="16"/>
  <c r="F622" i="20"/>
  <c r="E622" i="19"/>
  <c r="B83" i="16"/>
  <c r="E83" i="20"/>
  <c r="AM83" i="20" s="1"/>
  <c r="M178" i="19"/>
  <c r="I178" i="19"/>
  <c r="L580" i="9"/>
  <c r="B580" i="11"/>
  <c r="L370" i="19"/>
  <c r="K370" i="19"/>
  <c r="H370" i="19"/>
  <c r="B816" i="16"/>
  <c r="E816" i="20"/>
  <c r="AM816" i="20" s="1"/>
  <c r="B489" i="16"/>
  <c r="E489" i="20"/>
  <c r="AM489" i="20" s="1"/>
  <c r="M492" i="20"/>
  <c r="J492" i="20"/>
  <c r="C159" i="16"/>
  <c r="E159" i="19"/>
  <c r="F159" i="20"/>
  <c r="I150" i="19"/>
  <c r="M150" i="19"/>
  <c r="H105" i="16"/>
  <c r="P105" i="16" s="1"/>
  <c r="H105" i="20"/>
  <c r="F105" i="19"/>
  <c r="M281" i="19"/>
  <c r="I281" i="19"/>
  <c r="B777" i="16"/>
  <c r="E777" i="20"/>
  <c r="AM777" i="20" s="1"/>
  <c r="B439" i="20"/>
  <c r="AL439" i="20" s="1"/>
  <c r="B439" i="19"/>
  <c r="L120" i="9"/>
  <c r="B120" i="11"/>
  <c r="C720" i="16"/>
  <c r="F720" i="20"/>
  <c r="E720" i="19"/>
  <c r="A174" i="16"/>
  <c r="A174" i="20"/>
  <c r="A174" i="19"/>
  <c r="B85" i="16"/>
  <c r="E85" i="20"/>
  <c r="AM85" i="20" s="1"/>
  <c r="L340" i="20"/>
  <c r="I340" i="20"/>
  <c r="M2" i="19"/>
  <c r="I2" i="19"/>
  <c r="L403" i="19"/>
  <c r="K403" i="19"/>
  <c r="H403" i="19"/>
  <c r="C768" i="16"/>
  <c r="F768" i="20"/>
  <c r="E768" i="19"/>
  <c r="B529" i="20"/>
  <c r="AL529" i="20" s="1"/>
  <c r="B529" i="19"/>
  <c r="B393" i="11"/>
  <c r="L393" i="9"/>
  <c r="A357" i="20"/>
  <c r="A357" i="16"/>
  <c r="A357" i="19"/>
  <c r="B241" i="20"/>
  <c r="AL241" i="20" s="1"/>
  <c r="B241" i="19"/>
  <c r="C789" i="16"/>
  <c r="F789" i="20"/>
  <c r="E789" i="19"/>
  <c r="L403" i="20"/>
  <c r="I403" i="20"/>
  <c r="L211" i="19"/>
  <c r="K211" i="19"/>
  <c r="H211" i="19"/>
  <c r="M233" i="20"/>
  <c r="J233" i="20"/>
  <c r="A106" i="16"/>
  <c r="A106" i="20"/>
  <c r="A106" i="19"/>
  <c r="F305" i="20"/>
  <c r="C305" i="16"/>
  <c r="E305" i="19"/>
  <c r="L268" i="9"/>
  <c r="B268" i="11"/>
  <c r="A226" i="16"/>
  <c r="A226" i="20"/>
  <c r="A226" i="19"/>
  <c r="C34" i="16"/>
  <c r="F34" i="20"/>
  <c r="E34" i="19"/>
  <c r="M619" i="19"/>
  <c r="I619" i="19"/>
  <c r="M242" i="20"/>
  <c r="J242" i="20"/>
  <c r="L516" i="9"/>
  <c r="B516" i="11"/>
  <c r="S94" i="16"/>
  <c r="O94" i="16"/>
  <c r="K94" i="16"/>
  <c r="M801" i="20"/>
  <c r="J801" i="20"/>
  <c r="H501" i="19"/>
  <c r="L501" i="19"/>
  <c r="M211" i="19"/>
  <c r="I211" i="19"/>
  <c r="M126" i="19"/>
  <c r="I126" i="19"/>
  <c r="A741" i="16"/>
  <c r="A741" i="20"/>
  <c r="A741" i="19"/>
  <c r="B627" i="20"/>
  <c r="AL627" i="20" s="1"/>
  <c r="B627" i="19"/>
  <c r="A517" i="16"/>
  <c r="A517" i="20"/>
  <c r="A517" i="19"/>
  <c r="I741" i="20"/>
  <c r="L741" i="20"/>
  <c r="J289" i="20"/>
  <c r="M289" i="20"/>
  <c r="M801" i="19"/>
  <c r="I801" i="19"/>
  <c r="M663" i="20"/>
  <c r="J663" i="20"/>
  <c r="I581" i="20"/>
  <c r="L581" i="20"/>
  <c r="J449" i="20"/>
  <c r="M449" i="20"/>
  <c r="M283" i="20"/>
  <c r="J283" i="20"/>
  <c r="I515" i="19"/>
  <c r="M515" i="19"/>
  <c r="A627" i="16"/>
  <c r="A627" i="20"/>
  <c r="A627" i="19"/>
  <c r="B312" i="16"/>
  <c r="E312" i="20"/>
  <c r="AM312" i="20" s="1"/>
  <c r="B183" i="11"/>
  <c r="L183" i="9"/>
  <c r="A53" i="16"/>
  <c r="A53" i="20"/>
  <c r="A53" i="19"/>
  <c r="B698" i="16"/>
  <c r="E698" i="20"/>
  <c r="AM698" i="20" s="1"/>
  <c r="L91" i="9"/>
  <c r="B91" i="11"/>
  <c r="B792" i="16"/>
  <c r="E792" i="20"/>
  <c r="AM792" i="20" s="1"/>
  <c r="M449" i="19"/>
  <c r="I449" i="19"/>
  <c r="H249" i="16"/>
  <c r="P249" i="16" s="1"/>
  <c r="H249" i="20"/>
  <c r="F249" i="19"/>
  <c r="A430" i="16"/>
  <c r="A430" i="20"/>
  <c r="A430" i="19"/>
  <c r="L554" i="19"/>
  <c r="K554" i="19"/>
  <c r="H554" i="19"/>
  <c r="L335" i="19"/>
  <c r="H335" i="19"/>
  <c r="H537" i="16"/>
  <c r="P537" i="16" s="1"/>
  <c r="H537" i="20"/>
  <c r="F537" i="19"/>
  <c r="A577" i="16"/>
  <c r="A577" i="20"/>
  <c r="A577" i="19"/>
  <c r="I530" i="19"/>
  <c r="M530" i="19"/>
  <c r="M470" i="20"/>
  <c r="J470" i="20"/>
  <c r="H765" i="16"/>
  <c r="P765" i="16" s="1"/>
  <c r="H765" i="20"/>
  <c r="F765" i="19"/>
  <c r="M441" i="19"/>
  <c r="I441" i="19"/>
  <c r="A206" i="16"/>
  <c r="A206" i="19"/>
  <c r="A206" i="20"/>
  <c r="M98" i="20"/>
  <c r="J98" i="20"/>
  <c r="H421" i="16"/>
  <c r="P421" i="16" s="1"/>
  <c r="F421" i="19"/>
  <c r="H421" i="20"/>
  <c r="A774" i="16"/>
  <c r="A774" i="20"/>
  <c r="A774" i="19"/>
  <c r="M452" i="20"/>
  <c r="J452" i="20"/>
  <c r="L41" i="9"/>
  <c r="B41" i="11"/>
  <c r="M61" i="20"/>
  <c r="J61" i="20"/>
  <c r="E22" i="20"/>
  <c r="AM22" i="20" s="1"/>
  <c r="B22" i="16"/>
  <c r="I233" i="19"/>
  <c r="M233" i="19"/>
  <c r="M752" i="20"/>
  <c r="J752" i="20"/>
  <c r="H111" i="19"/>
  <c r="L111" i="19"/>
  <c r="H471" i="16"/>
  <c r="P471" i="16" s="1"/>
  <c r="H471" i="20"/>
  <c r="F471" i="19"/>
  <c r="I11" i="19"/>
  <c r="M11" i="19"/>
  <c r="C678" i="16"/>
  <c r="E678" i="19"/>
  <c r="F678" i="20"/>
  <c r="A270" i="16"/>
  <c r="A270" i="20"/>
  <c r="A270" i="19"/>
  <c r="M334" i="19"/>
  <c r="I334" i="19"/>
  <c r="M709" i="20"/>
  <c r="J709" i="20"/>
  <c r="M274" i="19"/>
  <c r="I274" i="19"/>
  <c r="A823" i="16"/>
  <c r="A823" i="20"/>
  <c r="A823" i="19"/>
  <c r="B628" i="16"/>
  <c r="E628" i="20"/>
  <c r="AM628" i="20" s="1"/>
  <c r="B501" i="19"/>
  <c r="B501" i="20"/>
  <c r="AL501" i="20" s="1"/>
  <c r="M448" i="20"/>
  <c r="J448" i="20"/>
  <c r="J311" i="20"/>
  <c r="M311" i="20"/>
  <c r="M121" i="19"/>
  <c r="I121" i="19"/>
  <c r="A787" i="16"/>
  <c r="A787" i="19"/>
  <c r="A787" i="20"/>
  <c r="L751" i="19"/>
  <c r="K751" i="19"/>
  <c r="H751" i="19"/>
  <c r="J376" i="20"/>
  <c r="M376" i="20"/>
  <c r="F670" i="20"/>
  <c r="C670" i="16"/>
  <c r="E670" i="19"/>
  <c r="B509" i="16"/>
  <c r="E509" i="20"/>
  <c r="AM509" i="20" s="1"/>
  <c r="A401" i="16"/>
  <c r="A401" i="20"/>
  <c r="A401" i="19"/>
  <c r="B121" i="16"/>
  <c r="E121" i="20"/>
  <c r="AM121" i="20" s="1"/>
  <c r="I288" i="19"/>
  <c r="M288" i="19"/>
  <c r="M234" i="19"/>
  <c r="I234" i="19"/>
  <c r="C574" i="16"/>
  <c r="F574" i="20"/>
  <c r="E574" i="19"/>
  <c r="B81" i="16"/>
  <c r="E81" i="20"/>
  <c r="AM81" i="20" s="1"/>
  <c r="C154" i="16"/>
  <c r="F154" i="20"/>
  <c r="E154" i="19"/>
  <c r="A530" i="16"/>
  <c r="A530" i="20"/>
  <c r="A530" i="19"/>
  <c r="F470" i="20"/>
  <c r="C470" i="16"/>
  <c r="E470" i="19"/>
  <c r="L315" i="20"/>
  <c r="I315" i="20"/>
  <c r="B815" i="16"/>
  <c r="E815" i="20"/>
  <c r="AM815" i="20" s="1"/>
  <c r="A261" i="16"/>
  <c r="A261" i="19"/>
  <c r="A261" i="20"/>
  <c r="B591" i="11"/>
  <c r="L591" i="9"/>
  <c r="L431" i="9"/>
  <c r="B431" i="11"/>
  <c r="C682" i="16"/>
  <c r="E682" i="19"/>
  <c r="F682" i="20"/>
  <c r="B192" i="16"/>
  <c r="E192" i="20"/>
  <c r="AM192" i="20" s="1"/>
  <c r="L634" i="20"/>
  <c r="I634" i="20"/>
  <c r="M245" i="20"/>
  <c r="J245" i="20"/>
  <c r="M131" i="20"/>
  <c r="J131" i="20"/>
  <c r="A704" i="16"/>
  <c r="A704" i="20"/>
  <c r="A704" i="19"/>
  <c r="L651" i="19"/>
  <c r="K651" i="19"/>
  <c r="H651" i="19"/>
  <c r="J276" i="20"/>
  <c r="M276" i="20"/>
  <c r="O52" i="10"/>
  <c r="F13" i="18" s="1"/>
  <c r="H13" i="18" s="1"/>
  <c r="AU52" i="10"/>
  <c r="AN52" i="10"/>
  <c r="Q52" i="20" s="1"/>
  <c r="M495" i="20"/>
  <c r="J495" i="20"/>
  <c r="B764" i="16"/>
  <c r="E764" i="20"/>
  <c r="AM764" i="20" s="1"/>
  <c r="C653" i="16"/>
  <c r="F653" i="20"/>
  <c r="E653" i="19"/>
  <c r="C385" i="16"/>
  <c r="F385" i="20"/>
  <c r="E385" i="19"/>
  <c r="B139" i="16"/>
  <c r="E139" i="20"/>
  <c r="AM139" i="20" s="1"/>
  <c r="F73" i="20"/>
  <c r="C73" i="16"/>
  <c r="E73" i="19"/>
  <c r="L238" i="9"/>
  <c r="B238" i="11"/>
  <c r="A167" i="16"/>
  <c r="A167" i="20"/>
  <c r="A167" i="19"/>
  <c r="B385" i="16"/>
  <c r="E385" i="20"/>
  <c r="AM385" i="20" s="1"/>
  <c r="B767" i="16"/>
  <c r="E767" i="20"/>
  <c r="AM767" i="20" s="1"/>
  <c r="L399" i="19"/>
  <c r="K399" i="19"/>
  <c r="H399" i="19"/>
  <c r="A133" i="16"/>
  <c r="A133" i="20"/>
  <c r="A133" i="19"/>
  <c r="B647" i="16"/>
  <c r="E647" i="20"/>
  <c r="AM647" i="20" s="1"/>
  <c r="A410" i="16"/>
  <c r="A410" i="20"/>
  <c r="A410" i="19"/>
  <c r="O225" i="16"/>
  <c r="K225" i="16"/>
  <c r="S225" i="16"/>
  <c r="A701" i="16"/>
  <c r="A701" i="20"/>
  <c r="A701" i="19"/>
  <c r="C226" i="16"/>
  <c r="F226" i="20"/>
  <c r="E226" i="19"/>
  <c r="M82" i="20"/>
  <c r="J82" i="20"/>
  <c r="A807" i="16"/>
  <c r="A807" i="20"/>
  <c r="A807" i="19"/>
  <c r="B176" i="16"/>
  <c r="E176" i="20"/>
  <c r="AM176" i="20" s="1"/>
  <c r="S156" i="16"/>
  <c r="K156" i="16"/>
  <c r="O156" i="16"/>
  <c r="B567" i="20"/>
  <c r="AL567" i="20" s="1"/>
  <c r="B567" i="19"/>
  <c r="M183" i="20"/>
  <c r="J183" i="20"/>
  <c r="B741" i="16"/>
  <c r="E741" i="20"/>
  <c r="AM741" i="20" s="1"/>
  <c r="A576" i="16"/>
  <c r="A576" i="20"/>
  <c r="A576" i="19"/>
  <c r="C112" i="16"/>
  <c r="F112" i="20"/>
  <c r="E112" i="19"/>
  <c r="M119" i="19"/>
  <c r="I119" i="19"/>
  <c r="C328" i="16"/>
  <c r="F328" i="20"/>
  <c r="E328" i="19"/>
  <c r="L599" i="20"/>
  <c r="I599" i="20"/>
  <c r="E71" i="20"/>
  <c r="AM71" i="20" s="1"/>
  <c r="B71" i="16"/>
  <c r="S485" i="16"/>
  <c r="O485" i="16"/>
  <c r="K485" i="16"/>
  <c r="L454" i="9"/>
  <c r="B454" i="11"/>
  <c r="J802" i="8"/>
  <c r="M297" i="20"/>
  <c r="J297" i="20"/>
  <c r="L56" i="9"/>
  <c r="B56" i="11"/>
  <c r="L707" i="20"/>
  <c r="I707" i="20"/>
  <c r="C483" i="16"/>
  <c r="F483" i="20"/>
  <c r="E483" i="19"/>
  <c r="A446" i="16"/>
  <c r="A446" i="20"/>
  <c r="A446" i="19"/>
  <c r="H681" i="16"/>
  <c r="P681" i="16" s="1"/>
  <c r="H681" i="20"/>
  <c r="F681" i="19"/>
  <c r="L358" i="20"/>
  <c r="I358" i="20"/>
  <c r="J136" i="20"/>
  <c r="M136" i="20"/>
  <c r="B730" i="20"/>
  <c r="AL730" i="20" s="1"/>
  <c r="B730" i="19"/>
  <c r="B406" i="16"/>
  <c r="E406" i="20"/>
  <c r="AM406" i="20" s="1"/>
  <c r="I516" i="19"/>
  <c r="M516" i="19"/>
  <c r="H365" i="16"/>
  <c r="P365" i="16" s="1"/>
  <c r="H365" i="20"/>
  <c r="F365" i="19"/>
  <c r="C568" i="16"/>
  <c r="F568" i="20"/>
  <c r="E568" i="19"/>
  <c r="B369" i="16"/>
  <c r="E369" i="20"/>
  <c r="AM369" i="20" s="1"/>
  <c r="L461" i="19"/>
  <c r="H461" i="19"/>
  <c r="M299" i="19"/>
  <c r="I299" i="19"/>
  <c r="O403" i="16"/>
  <c r="K403" i="16"/>
  <c r="S403" i="16"/>
  <c r="I211" i="20"/>
  <c r="L211" i="20"/>
  <c r="H407" i="16"/>
  <c r="P407" i="16" s="1"/>
  <c r="H407" i="20"/>
  <c r="F407" i="19"/>
  <c r="A251" i="16"/>
  <c r="A251" i="20"/>
  <c r="A251" i="19"/>
  <c r="C339" i="16"/>
  <c r="F339" i="20"/>
  <c r="E339" i="19"/>
  <c r="L228" i="9"/>
  <c r="B228" i="11"/>
  <c r="B90" i="16"/>
  <c r="E90" i="20"/>
  <c r="AM90" i="20" s="1"/>
  <c r="M101" i="19"/>
  <c r="I101" i="19"/>
  <c r="J506" i="20"/>
  <c r="M506" i="20"/>
  <c r="M222" i="20"/>
  <c r="J222" i="20"/>
  <c r="E428" i="20"/>
  <c r="AM428" i="20" s="1"/>
  <c r="B428" i="16"/>
  <c r="B387" i="16"/>
  <c r="E387" i="20"/>
  <c r="AM387" i="20" s="1"/>
  <c r="C775" i="16"/>
  <c r="F775" i="20"/>
  <c r="E775" i="19"/>
  <c r="K358" i="16"/>
  <c r="S358" i="16"/>
  <c r="O358" i="16"/>
  <c r="M513" i="19"/>
  <c r="I513" i="19"/>
  <c r="M118" i="19"/>
  <c r="I118" i="19"/>
  <c r="C643" i="16"/>
  <c r="F643" i="20"/>
  <c r="E643" i="19"/>
  <c r="B223" i="16"/>
  <c r="E223" i="20"/>
  <c r="AM223" i="20" s="1"/>
  <c r="L461" i="20"/>
  <c r="I461" i="20"/>
  <c r="F52" i="20"/>
  <c r="C52" i="16"/>
  <c r="E52" i="19"/>
  <c r="A473" i="16"/>
  <c r="A473" i="20"/>
  <c r="A473" i="19"/>
  <c r="M701" i="19"/>
  <c r="I701" i="19"/>
  <c r="B749" i="16"/>
  <c r="E749" i="20"/>
  <c r="AM749" i="20" s="1"/>
  <c r="F53" i="20"/>
  <c r="C53" i="16"/>
  <c r="E53" i="19"/>
  <c r="B347" i="16"/>
  <c r="E347" i="20"/>
  <c r="AM347" i="20" s="1"/>
  <c r="C790" i="16"/>
  <c r="E790" i="19"/>
  <c r="F790" i="20"/>
  <c r="S751" i="16"/>
  <c r="O751" i="16"/>
  <c r="K751" i="16"/>
  <c r="M795" i="19"/>
  <c r="I795" i="19"/>
  <c r="B261" i="16"/>
  <c r="E261" i="20"/>
  <c r="AM261" i="20" s="1"/>
  <c r="A253" i="16"/>
  <c r="A253" i="20"/>
  <c r="A253" i="19"/>
  <c r="B163" i="11"/>
  <c r="L163" i="9"/>
  <c r="B167" i="16"/>
  <c r="E167" i="20"/>
  <c r="AM167" i="20" s="1"/>
  <c r="B570" i="16"/>
  <c r="E570" i="20"/>
  <c r="AM570" i="20" s="1"/>
  <c r="B270" i="16"/>
  <c r="E270" i="20"/>
  <c r="AM270" i="20" s="1"/>
  <c r="L133" i="20"/>
  <c r="I133" i="20"/>
  <c r="M613" i="20"/>
  <c r="J613" i="20"/>
  <c r="M391" i="19"/>
  <c r="I391" i="19"/>
  <c r="H95" i="16"/>
  <c r="P95" i="16" s="1"/>
  <c r="H95" i="20"/>
  <c r="F95" i="19"/>
  <c r="A806" i="16"/>
  <c r="A806" i="20"/>
  <c r="A806" i="19"/>
  <c r="L670" i="9"/>
  <c r="B670" i="11"/>
  <c r="A626" i="16"/>
  <c r="A626" i="20"/>
  <c r="A626" i="19"/>
  <c r="B565" i="16"/>
  <c r="E565" i="20"/>
  <c r="AM565" i="20" s="1"/>
  <c r="A457" i="16"/>
  <c r="A457" i="20"/>
  <c r="A457" i="19"/>
  <c r="L121" i="9"/>
  <c r="B121" i="11"/>
  <c r="A713" i="16"/>
  <c r="A713" i="19"/>
  <c r="A713" i="20"/>
  <c r="C426" i="16"/>
  <c r="F426" i="20"/>
  <c r="E426" i="19"/>
  <c r="J673" i="8"/>
  <c r="J435" i="8"/>
  <c r="L618" i="20"/>
  <c r="I618" i="20"/>
  <c r="M350" i="20"/>
  <c r="J350" i="20"/>
  <c r="S651" i="16"/>
  <c r="O651" i="16"/>
  <c r="K651" i="16"/>
  <c r="I524" i="20"/>
  <c r="L524" i="20"/>
  <c r="M38" i="19"/>
  <c r="I38" i="19"/>
  <c r="H438" i="16"/>
  <c r="P438" i="16" s="1"/>
  <c r="H438" i="20"/>
  <c r="F438" i="19"/>
  <c r="S787" i="16"/>
  <c r="O787" i="16"/>
  <c r="K787" i="16"/>
  <c r="L183" i="20"/>
  <c r="I183" i="20"/>
  <c r="H260" i="16"/>
  <c r="P260" i="16" s="1"/>
  <c r="H260" i="20"/>
  <c r="F260" i="19"/>
  <c r="B731" i="16"/>
  <c r="E731" i="20"/>
  <c r="AM731" i="20" s="1"/>
  <c r="E616" i="20"/>
  <c r="AM616" i="20" s="1"/>
  <c r="B616" i="16"/>
  <c r="C179" i="16"/>
  <c r="E179" i="19"/>
  <c r="F179" i="20"/>
  <c r="J330" i="8"/>
  <c r="L528" i="20"/>
  <c r="I528" i="20"/>
  <c r="B416" i="16"/>
  <c r="E416" i="20"/>
  <c r="AM416" i="20" s="1"/>
  <c r="L142" i="19"/>
  <c r="K142" i="19"/>
  <c r="H142" i="19"/>
  <c r="M367" i="20"/>
  <c r="J367" i="20"/>
  <c r="M114" i="19"/>
  <c r="I114" i="19"/>
  <c r="C410" i="16"/>
  <c r="F410" i="20"/>
  <c r="E410" i="19"/>
  <c r="A624" i="16"/>
  <c r="A624" i="20"/>
  <c r="A624" i="19"/>
  <c r="A347" i="16"/>
  <c r="A347" i="20"/>
  <c r="A347" i="19"/>
  <c r="A546" i="16"/>
  <c r="A546" i="20"/>
  <c r="A546" i="19"/>
  <c r="L311" i="9"/>
  <c r="B311" i="11"/>
  <c r="L364" i="9"/>
  <c r="B364" i="11"/>
  <c r="B98" i="16"/>
  <c r="E98" i="20"/>
  <c r="AM98" i="20" s="1"/>
  <c r="H427" i="16"/>
  <c r="P427" i="16" s="1"/>
  <c r="F427" i="19"/>
  <c r="H427" i="20"/>
  <c r="C700" i="16"/>
  <c r="E700" i="19"/>
  <c r="F700" i="20"/>
  <c r="J647" i="8"/>
  <c r="B472" i="16"/>
  <c r="E472" i="20"/>
  <c r="AM472" i="20" s="1"/>
  <c r="J19" i="20"/>
  <c r="M19" i="20"/>
  <c r="B190" i="16"/>
  <c r="E190" i="20"/>
  <c r="AM190" i="20" s="1"/>
  <c r="B56" i="16"/>
  <c r="E56" i="20"/>
  <c r="AM56" i="20" s="1"/>
  <c r="J220" i="8"/>
  <c r="L189" i="20"/>
  <c r="I189" i="20"/>
  <c r="H493" i="19"/>
  <c r="L493" i="19"/>
  <c r="C116" i="16"/>
  <c r="F116" i="20"/>
  <c r="E116" i="19"/>
  <c r="B325" i="16"/>
  <c r="E325" i="20"/>
  <c r="AM325" i="20" s="1"/>
  <c r="B299" i="20"/>
  <c r="AL299" i="20" s="1"/>
  <c r="B299" i="19"/>
  <c r="C487" i="16"/>
  <c r="F487" i="20"/>
  <c r="E487" i="19"/>
  <c r="B105" i="16"/>
  <c r="E105" i="20"/>
  <c r="AM105" i="20" s="1"/>
  <c r="I78" i="19"/>
  <c r="M78" i="19"/>
  <c r="B541" i="16"/>
  <c r="E541" i="20"/>
  <c r="AM541" i="20" s="1"/>
  <c r="M599" i="19"/>
  <c r="I599" i="19"/>
  <c r="C811" i="16"/>
  <c r="F811" i="20"/>
  <c r="E811" i="19"/>
  <c r="I263" i="19"/>
  <c r="M263" i="19"/>
  <c r="B477" i="11"/>
  <c r="L477" i="9"/>
  <c r="H393" i="16"/>
  <c r="P393" i="16" s="1"/>
  <c r="H393" i="20"/>
  <c r="F393" i="19"/>
  <c r="B802" i="16"/>
  <c r="E802" i="20"/>
  <c r="AM802" i="20" s="1"/>
  <c r="B599" i="20"/>
  <c r="AL599" i="20" s="1"/>
  <c r="B599" i="19"/>
  <c r="B337" i="16"/>
  <c r="E337" i="20"/>
  <c r="AM337" i="20" s="1"/>
  <c r="L216" i="9"/>
  <c r="B216" i="11"/>
  <c r="L314" i="19"/>
  <c r="K314" i="19"/>
  <c r="H314" i="19"/>
  <c r="B571" i="16"/>
  <c r="E571" i="20"/>
  <c r="AM571" i="20" s="1"/>
  <c r="L234" i="9"/>
  <c r="B234" i="11"/>
  <c r="M273" i="20"/>
  <c r="J273" i="20"/>
  <c r="H519" i="16"/>
  <c r="P519" i="16" s="1"/>
  <c r="H519" i="20"/>
  <c r="F519" i="19"/>
  <c r="C740" i="16"/>
  <c r="F740" i="20"/>
  <c r="E740" i="19"/>
  <c r="B430" i="16"/>
  <c r="E430" i="20"/>
  <c r="AM430" i="20" s="1"/>
  <c r="B714" i="16"/>
  <c r="E714" i="20"/>
  <c r="AM714" i="20" s="1"/>
  <c r="B230" i="20"/>
  <c r="AL230" i="20" s="1"/>
  <c r="B230" i="19"/>
  <c r="L738" i="19"/>
  <c r="H738" i="19"/>
  <c r="J481" i="20"/>
  <c r="M481" i="20"/>
  <c r="L106" i="9"/>
  <c r="B106" i="11"/>
  <c r="B40" i="11"/>
  <c r="L40" i="9"/>
  <c r="E57" i="20"/>
  <c r="AM57" i="20" s="1"/>
  <c r="B57" i="16"/>
  <c r="O461" i="16"/>
  <c r="K461" i="16"/>
  <c r="S461" i="16"/>
  <c r="C424" i="16"/>
  <c r="F424" i="20"/>
  <c r="E424" i="19"/>
  <c r="I286" i="19"/>
  <c r="M286" i="19"/>
  <c r="C696" i="16"/>
  <c r="E696" i="19"/>
  <c r="F696" i="20"/>
  <c r="C628" i="16"/>
  <c r="F628" i="20"/>
  <c r="E628" i="19"/>
  <c r="B651" i="20"/>
  <c r="AL651" i="20" s="1"/>
  <c r="B651" i="19"/>
  <c r="B226" i="16"/>
  <c r="E226" i="20"/>
  <c r="AM226" i="20" s="1"/>
  <c r="J809" i="8"/>
  <c r="L488" i="9"/>
  <c r="B488" i="11"/>
  <c r="L425" i="20"/>
  <c r="I425" i="20"/>
  <c r="M306" i="19"/>
  <c r="I306" i="19"/>
  <c r="I645" i="19"/>
  <c r="M645" i="19"/>
  <c r="H98" i="16"/>
  <c r="P98" i="16" s="1"/>
  <c r="H98" i="20"/>
  <c r="F98" i="19"/>
  <c r="A783" i="16"/>
  <c r="A783" i="20"/>
  <c r="A783" i="19"/>
  <c r="A628" i="16"/>
  <c r="A628" i="20"/>
  <c r="A628" i="19"/>
  <c r="J366" i="20"/>
  <c r="M366" i="20"/>
  <c r="J226" i="20"/>
  <c r="M226" i="20"/>
  <c r="J375" i="8"/>
  <c r="H176" i="20"/>
  <c r="H176" i="16"/>
  <c r="P176" i="16" s="1"/>
  <c r="F176" i="19"/>
  <c r="C665" i="16"/>
  <c r="F665" i="20"/>
  <c r="E665" i="19"/>
  <c r="B483" i="16"/>
  <c r="E483" i="20"/>
  <c r="AM483" i="20" s="1"/>
  <c r="L257" i="9"/>
  <c r="B257" i="11"/>
  <c r="B51" i="16"/>
  <c r="E51" i="20"/>
  <c r="AM51" i="20" s="1"/>
  <c r="B3" i="16"/>
  <c r="E3" i="20"/>
  <c r="I60" i="19"/>
  <c r="M60" i="19"/>
  <c r="C704" i="16"/>
  <c r="E704" i="19"/>
  <c r="F704" i="20"/>
  <c r="B51" i="20"/>
  <c r="AL51" i="20" s="1"/>
  <c r="B51" i="19"/>
  <c r="S133" i="16"/>
  <c r="O133" i="16"/>
  <c r="K133" i="16"/>
  <c r="A333" i="16"/>
  <c r="A333" i="20"/>
  <c r="A333" i="19"/>
  <c r="I300" i="19"/>
  <c r="M300" i="19"/>
  <c r="M70" i="20"/>
  <c r="J70" i="20"/>
  <c r="B534" i="16"/>
  <c r="E534" i="20"/>
  <c r="AM534" i="20" s="1"/>
  <c r="C383" i="16"/>
  <c r="F383" i="20"/>
  <c r="E383" i="19"/>
  <c r="B235" i="20"/>
  <c r="AL235" i="20" s="1"/>
  <c r="B235" i="19"/>
  <c r="L113" i="9"/>
  <c r="B113" i="11"/>
  <c r="C24" i="16"/>
  <c r="F24" i="20"/>
  <c r="E24" i="19"/>
  <c r="L391" i="19"/>
  <c r="K391" i="19"/>
  <c r="H391" i="19"/>
  <c r="I70" i="19"/>
  <c r="M70" i="19"/>
  <c r="H76" i="16"/>
  <c r="P76" i="16" s="1"/>
  <c r="H76" i="20"/>
  <c r="F76" i="19"/>
  <c r="C782" i="16"/>
  <c r="F782" i="20"/>
  <c r="E782" i="19"/>
  <c r="L704" i="9"/>
  <c r="B704" i="11"/>
  <c r="A227" i="16"/>
  <c r="A227" i="20"/>
  <c r="A227" i="19"/>
  <c r="H618" i="19"/>
  <c r="L618" i="19"/>
  <c r="M225" i="20"/>
  <c r="J225" i="20"/>
  <c r="B700" i="20"/>
  <c r="AL700" i="20" s="1"/>
  <c r="B700" i="19"/>
  <c r="C307" i="16"/>
  <c r="F307" i="20"/>
  <c r="E307" i="19"/>
  <c r="O674" i="16"/>
  <c r="K674" i="16"/>
  <c r="S674" i="16"/>
  <c r="K524" i="16"/>
  <c r="S524" i="16"/>
  <c r="O524" i="16"/>
  <c r="J416" i="20"/>
  <c r="M416" i="20"/>
  <c r="M152" i="20"/>
  <c r="J152" i="20"/>
  <c r="H267" i="16"/>
  <c r="P267" i="16" s="1"/>
  <c r="H267" i="20"/>
  <c r="F267" i="19"/>
  <c r="L787" i="20"/>
  <c r="I787" i="20"/>
  <c r="S183" i="16"/>
  <c r="O183" i="16"/>
  <c r="K183" i="16"/>
  <c r="M41" i="20"/>
  <c r="J41" i="20"/>
  <c r="A686" i="16"/>
  <c r="A686" i="19"/>
  <c r="A686" i="20"/>
  <c r="C602" i="16"/>
  <c r="F602" i="20"/>
  <c r="E602" i="19"/>
  <c r="J557" i="8"/>
  <c r="L341" i="9"/>
  <c r="B341" i="11"/>
  <c r="B107" i="16"/>
  <c r="E107" i="20"/>
  <c r="AM107" i="20" s="1"/>
  <c r="A70" i="20"/>
  <c r="A70" i="16"/>
  <c r="A70" i="19"/>
  <c r="B769" i="16"/>
  <c r="E769" i="20"/>
  <c r="AM769" i="20" s="1"/>
  <c r="B694" i="16"/>
  <c r="E694" i="20"/>
  <c r="AM694" i="20" s="1"/>
  <c r="B726" i="16"/>
  <c r="E726" i="20"/>
  <c r="AM726" i="20" s="1"/>
  <c r="B511" i="16"/>
  <c r="E511" i="20"/>
  <c r="AM511" i="20" s="1"/>
  <c r="C366" i="16"/>
  <c r="F366" i="20"/>
  <c r="E366" i="19"/>
  <c r="S528" i="16"/>
  <c r="K528" i="16"/>
  <c r="O528" i="16"/>
  <c r="B49" i="16"/>
  <c r="E49" i="20"/>
  <c r="AM49" i="20" s="1"/>
  <c r="L142" i="20"/>
  <c r="I142" i="20"/>
  <c r="M703" i="20"/>
  <c r="J703" i="20"/>
  <c r="B94" i="20"/>
  <c r="AL94" i="20" s="1"/>
  <c r="B94" i="19"/>
  <c r="L334" i="19"/>
  <c r="K334" i="19"/>
  <c r="H334" i="19"/>
  <c r="B427" i="16"/>
  <c r="E427" i="20"/>
  <c r="AM427" i="20" s="1"/>
  <c r="J700" i="8"/>
  <c r="L446" i="9"/>
  <c r="B446" i="11"/>
  <c r="B79" i="16"/>
  <c r="E79" i="20"/>
  <c r="AM79" i="20" s="1"/>
  <c r="L701" i="19"/>
  <c r="K701" i="19"/>
  <c r="H701" i="19"/>
  <c r="S43" i="20"/>
  <c r="U43" i="20"/>
  <c r="K93" i="19"/>
  <c r="H93" i="19"/>
  <c r="L93" i="19"/>
  <c r="B788" i="16"/>
  <c r="E788" i="20"/>
  <c r="AM788" i="20" s="1"/>
  <c r="C494" i="16"/>
  <c r="F494" i="20"/>
  <c r="E494" i="19"/>
  <c r="L66" i="9"/>
  <c r="B66" i="11"/>
  <c r="J787" i="20"/>
  <c r="M787" i="20"/>
  <c r="B480" i="16"/>
  <c r="E480" i="20"/>
  <c r="AM480" i="20" s="1"/>
  <c r="H189" i="19"/>
  <c r="L189" i="19"/>
  <c r="K189" i="19"/>
  <c r="M775" i="20"/>
  <c r="J775" i="20"/>
  <c r="C113" i="16"/>
  <c r="F113" i="20"/>
  <c r="E113" i="19"/>
  <c r="I493" i="20"/>
  <c r="L493" i="20"/>
  <c r="A594" i="16"/>
  <c r="A594" i="20"/>
  <c r="A594" i="19"/>
  <c r="A58" i="16"/>
  <c r="A58" i="20"/>
  <c r="A58" i="19"/>
  <c r="C298" i="16"/>
  <c r="F298" i="20"/>
  <c r="E298" i="19"/>
  <c r="H461" i="16"/>
  <c r="P461" i="16" s="1"/>
  <c r="H461" i="20"/>
  <c r="F461" i="19"/>
  <c r="C382" i="16"/>
  <c r="F382" i="20"/>
  <c r="E382" i="19"/>
  <c r="E62" i="20"/>
  <c r="AM62" i="20" s="1"/>
  <c r="B62" i="16"/>
  <c r="A307" i="16"/>
  <c r="A307" i="20"/>
  <c r="A307" i="19"/>
  <c r="M543" i="20"/>
  <c r="J543" i="20"/>
  <c r="B346" i="16"/>
  <c r="E346" i="20"/>
  <c r="AM346" i="20" s="1"/>
  <c r="M490" i="19"/>
  <c r="I490" i="19"/>
  <c r="L280" i="9"/>
  <c r="B280" i="11"/>
  <c r="A798" i="16"/>
  <c r="A798" i="20"/>
  <c r="A798" i="19"/>
  <c r="B613" i="19"/>
  <c r="B613" i="20"/>
  <c r="AL613" i="20" s="1"/>
  <c r="C97" i="16"/>
  <c r="F97" i="20"/>
  <c r="E97" i="19"/>
  <c r="M751" i="19"/>
  <c r="I751" i="19"/>
  <c r="S38" i="20"/>
  <c r="U38" i="20"/>
  <c r="M166" i="19"/>
  <c r="I166" i="19"/>
  <c r="J430" i="8"/>
  <c r="E219" i="20"/>
  <c r="AM219" i="20" s="1"/>
  <c r="B219" i="16"/>
  <c r="C624" i="16"/>
  <c r="F624" i="20"/>
  <c r="E624" i="19"/>
  <c r="A677" i="16"/>
  <c r="A677" i="20"/>
  <c r="A677" i="19"/>
  <c r="I738" i="20"/>
  <c r="L738" i="20"/>
  <c r="L717" i="9"/>
  <c r="B717" i="11"/>
  <c r="A54" i="16"/>
  <c r="A54" i="20"/>
  <c r="A54" i="19"/>
  <c r="M724" i="20"/>
  <c r="J724" i="20"/>
  <c r="C182" i="16"/>
  <c r="F182" i="20"/>
  <c r="E182" i="19"/>
  <c r="B729" i="16"/>
  <c r="E729" i="20"/>
  <c r="AM729" i="20" s="1"/>
  <c r="B536" i="16"/>
  <c r="E536" i="20"/>
  <c r="AM536" i="20" s="1"/>
  <c r="J334" i="8"/>
  <c r="L329" i="20"/>
  <c r="I329" i="20"/>
  <c r="L410" i="9"/>
  <c r="B410" i="11"/>
  <c r="B382" i="16"/>
  <c r="E382" i="20"/>
  <c r="AM382" i="20" s="1"/>
  <c r="B606" i="11"/>
  <c r="L606" i="9"/>
  <c r="L201" i="9"/>
  <c r="B201" i="11"/>
  <c r="B109" i="16"/>
  <c r="E109" i="20"/>
  <c r="AM109" i="20" s="1"/>
  <c r="B626" i="16"/>
  <c r="E626" i="20"/>
  <c r="AM626" i="20" s="1"/>
  <c r="J730" i="20"/>
  <c r="M730" i="20"/>
  <c r="B820" i="16"/>
  <c r="E820" i="20"/>
  <c r="AM820" i="20" s="1"/>
  <c r="A757" i="16"/>
  <c r="A757" i="20"/>
  <c r="A757" i="19"/>
  <c r="C652" i="16"/>
  <c r="F652" i="20"/>
  <c r="E652" i="19"/>
  <c r="B466" i="11"/>
  <c r="L466" i="9"/>
  <c r="B253" i="11"/>
  <c r="L253" i="9"/>
  <c r="B47" i="11"/>
  <c r="L47" i="9"/>
  <c r="B392" i="16"/>
  <c r="E392" i="20"/>
  <c r="AM392" i="20" s="1"/>
  <c r="B256" i="16"/>
  <c r="E256" i="20"/>
  <c r="AM256" i="20" s="1"/>
  <c r="B159" i="20"/>
  <c r="AL159" i="20" s="1"/>
  <c r="B159" i="19"/>
  <c r="A3" i="16"/>
  <c r="A3" i="20"/>
  <c r="A3" i="19"/>
  <c r="M226" i="19"/>
  <c r="I226" i="19"/>
  <c r="C552" i="16"/>
  <c r="E552" i="19"/>
  <c r="F552" i="20"/>
  <c r="A77" i="16"/>
  <c r="A77" i="20"/>
  <c r="A77" i="19"/>
  <c r="B687" i="20"/>
  <c r="AL687" i="20" s="1"/>
  <c r="B687" i="19"/>
  <c r="A504" i="16"/>
  <c r="A504" i="20"/>
  <c r="A504" i="19"/>
  <c r="L591" i="19"/>
  <c r="K591" i="19"/>
  <c r="H591" i="19"/>
  <c r="H493" i="16"/>
  <c r="P493" i="16" s="1"/>
  <c r="H493" i="20"/>
  <c r="F493" i="19"/>
  <c r="A670" i="20"/>
  <c r="A670" i="16"/>
  <c r="A670" i="19"/>
  <c r="L526" i="9"/>
  <c r="B526" i="11"/>
  <c r="B440" i="16"/>
  <c r="E440" i="20"/>
  <c r="AM440" i="20" s="1"/>
  <c r="I391" i="20"/>
  <c r="L391" i="20"/>
  <c r="C687" i="16"/>
  <c r="F687" i="20"/>
  <c r="E687" i="19"/>
  <c r="B435" i="16"/>
  <c r="E435" i="20"/>
  <c r="AM435" i="20" s="1"/>
  <c r="K618" i="16"/>
  <c r="S618" i="16"/>
  <c r="O618" i="16"/>
  <c r="L345" i="19"/>
  <c r="H345" i="19"/>
  <c r="B265" i="20"/>
  <c r="AL265" i="20" s="1"/>
  <c r="B265" i="19"/>
  <c r="L674" i="19"/>
  <c r="K674" i="19"/>
  <c r="H674" i="19"/>
  <c r="L732" i="19"/>
  <c r="K732" i="19"/>
  <c r="H732" i="19"/>
  <c r="B178" i="16"/>
  <c r="E178" i="20"/>
  <c r="AM178" i="20" s="1"/>
  <c r="B24" i="20"/>
  <c r="AL24" i="20" s="1"/>
  <c r="B24" i="19"/>
  <c r="H608" i="16"/>
  <c r="P608" i="16" s="1"/>
  <c r="H608" i="20"/>
  <c r="F608" i="19"/>
  <c r="A220" i="16"/>
  <c r="A220" i="20"/>
  <c r="A220" i="19"/>
  <c r="F219" i="20"/>
  <c r="E219" i="19"/>
  <c r="C219" i="16"/>
  <c r="B143" i="16"/>
  <c r="E143" i="20"/>
  <c r="AM143" i="20" s="1"/>
  <c r="B503" i="20"/>
  <c r="AL503" i="20" s="1"/>
  <c r="B503" i="19"/>
  <c r="A224" i="16"/>
  <c r="A224" i="20"/>
  <c r="A224" i="19"/>
  <c r="J370" i="8"/>
  <c r="S142" i="16"/>
  <c r="K142" i="16"/>
  <c r="O142" i="16"/>
  <c r="B643" i="11"/>
  <c r="L643" i="9"/>
  <c r="M78" i="20"/>
  <c r="J78" i="20"/>
  <c r="H302" i="20"/>
  <c r="F302" i="19"/>
  <c r="H302" i="16"/>
  <c r="P302" i="16" s="1"/>
  <c r="A250" i="16"/>
  <c r="A250" i="20"/>
  <c r="A250" i="19"/>
  <c r="C150" i="16"/>
  <c r="F150" i="20"/>
  <c r="E150" i="19"/>
  <c r="L334" i="20"/>
  <c r="I334" i="20"/>
  <c r="H335" i="16"/>
  <c r="P335" i="16" s="1"/>
  <c r="H335" i="20"/>
  <c r="F335" i="19"/>
  <c r="K335" i="19" s="1"/>
  <c r="J404" i="8"/>
  <c r="I701" i="20"/>
  <c r="L701" i="20"/>
  <c r="C636" i="16"/>
  <c r="F636" i="20"/>
  <c r="E636" i="19"/>
  <c r="F462" i="20"/>
  <c r="C462" i="16"/>
  <c r="E462" i="19"/>
  <c r="L51" i="19"/>
  <c r="K51" i="19"/>
  <c r="H51" i="19"/>
  <c r="L93" i="20"/>
  <c r="I93" i="20"/>
  <c r="J329" i="8"/>
  <c r="B220" i="16"/>
  <c r="E220" i="20"/>
  <c r="AM220" i="20" s="1"/>
  <c r="O189" i="16"/>
  <c r="S189" i="16"/>
  <c r="K189" i="16"/>
  <c r="C597" i="16"/>
  <c r="E597" i="19"/>
  <c r="F597" i="20"/>
  <c r="S493" i="16"/>
  <c r="O493" i="16"/>
  <c r="K493" i="16"/>
  <c r="H186" i="16"/>
  <c r="P186" i="16" s="1"/>
  <c r="H186" i="20"/>
  <c r="F186" i="19"/>
  <c r="J259" i="8"/>
  <c r="H141" i="16"/>
  <c r="P141" i="16" s="1"/>
  <c r="H141" i="20"/>
  <c r="F141" i="19"/>
  <c r="B58" i="11"/>
  <c r="L58" i="9"/>
  <c r="L570" i="19"/>
  <c r="K570" i="19"/>
  <c r="H570" i="19"/>
  <c r="B623" i="16"/>
  <c r="E623" i="20"/>
  <c r="AM623" i="20" s="1"/>
  <c r="J32" i="20"/>
  <c r="M32" i="20"/>
  <c r="M43" i="19"/>
  <c r="I43" i="19"/>
  <c r="H144" i="16"/>
  <c r="P144" i="16" s="1"/>
  <c r="H144" i="20"/>
  <c r="F144" i="19"/>
  <c r="B798" i="11"/>
  <c r="L798" i="9"/>
  <c r="A673" i="16"/>
  <c r="A673" i="19"/>
  <c r="A673" i="20"/>
  <c r="L136" i="9"/>
  <c r="B136" i="11"/>
  <c r="M145" i="20"/>
  <c r="J145" i="20"/>
  <c r="O314" i="16"/>
  <c r="K314" i="16"/>
  <c r="S314" i="16"/>
  <c r="K108" i="19"/>
  <c r="H108" i="19"/>
  <c r="L108" i="19"/>
  <c r="M435" i="20"/>
  <c r="J435" i="20"/>
  <c r="L148" i="9"/>
  <c r="B148" i="11"/>
  <c r="H501" i="16"/>
  <c r="P501" i="16" s="1"/>
  <c r="H501" i="20"/>
  <c r="F501" i="19"/>
  <c r="K501" i="19" s="1"/>
  <c r="J126" i="8"/>
  <c r="B533" i="16"/>
  <c r="E533" i="20"/>
  <c r="AM533" i="20" s="1"/>
  <c r="B229" i="16"/>
  <c r="E229" i="20"/>
  <c r="AM229" i="20" s="1"/>
  <c r="L251" i="9"/>
  <c r="B251" i="11"/>
  <c r="A773" i="16"/>
  <c r="A773" i="20"/>
  <c r="A773" i="19"/>
  <c r="B547" i="16"/>
  <c r="E547" i="20"/>
  <c r="AM547" i="20" s="1"/>
  <c r="H242" i="16"/>
  <c r="P242" i="16" s="1"/>
  <c r="H242" i="20"/>
  <c r="F242" i="19"/>
  <c r="C379" i="16"/>
  <c r="E379" i="19"/>
  <c r="F379" i="20"/>
  <c r="B560" i="16"/>
  <c r="E560" i="20"/>
  <c r="AM560" i="20" s="1"/>
  <c r="B734" i="16"/>
  <c r="E734" i="20"/>
  <c r="AM734" i="20" s="1"/>
  <c r="A537" i="16"/>
  <c r="A537" i="20"/>
  <c r="A537" i="19"/>
  <c r="A277" i="16"/>
  <c r="A277" i="20"/>
  <c r="A277" i="19"/>
  <c r="H279" i="16"/>
  <c r="P279" i="16" s="1"/>
  <c r="H279" i="20"/>
  <c r="F279" i="19"/>
  <c r="H85" i="16"/>
  <c r="P85" i="16" s="1"/>
  <c r="H85" i="20"/>
  <c r="F85" i="19"/>
  <c r="C596" i="16"/>
  <c r="E596" i="19"/>
  <c r="F596" i="20"/>
  <c r="C186" i="16"/>
  <c r="F186" i="20"/>
  <c r="E186" i="19"/>
  <c r="M677" i="20"/>
  <c r="J677" i="20"/>
  <c r="H308" i="19"/>
  <c r="K308" i="19"/>
  <c r="L308" i="19"/>
  <c r="K444" i="19"/>
  <c r="H444" i="19"/>
  <c r="L444" i="19"/>
  <c r="J101" i="20"/>
  <c r="M101" i="20"/>
  <c r="H716" i="16"/>
  <c r="P716" i="16" s="1"/>
  <c r="H716" i="20"/>
  <c r="F716" i="19"/>
  <c r="I205" i="19"/>
  <c r="M205" i="19"/>
  <c r="C467" i="16"/>
  <c r="E467" i="19"/>
  <c r="F467" i="20"/>
  <c r="L391" i="9"/>
  <c r="B391" i="11"/>
  <c r="C256" i="16"/>
  <c r="F256" i="20"/>
  <c r="E256" i="19"/>
  <c r="M469" i="19"/>
  <c r="I469" i="19"/>
  <c r="J296" i="20"/>
  <c r="M296" i="20"/>
  <c r="M668" i="20"/>
  <c r="J668" i="20"/>
  <c r="M160" i="20"/>
  <c r="J160" i="20"/>
  <c r="L724" i="9"/>
  <c r="B724" i="11"/>
  <c r="L590" i="9"/>
  <c r="B590" i="11"/>
  <c r="A480" i="16"/>
  <c r="A480" i="20"/>
  <c r="A480" i="19"/>
  <c r="K414" i="19"/>
  <c r="L414" i="19"/>
  <c r="H414" i="19"/>
  <c r="I160" i="19"/>
  <c r="M160" i="19"/>
  <c r="H804" i="16"/>
  <c r="P804" i="16" s="1"/>
  <c r="H804" i="20"/>
  <c r="F804" i="19"/>
  <c r="L770" i="20"/>
  <c r="I770" i="20"/>
  <c r="A697" i="16"/>
  <c r="A697" i="20"/>
  <c r="A697" i="19"/>
  <c r="C176" i="16"/>
  <c r="F176" i="20"/>
  <c r="E176" i="19"/>
  <c r="B43" i="11"/>
  <c r="L43" i="9"/>
  <c r="C184" i="16"/>
  <c r="F184" i="20"/>
  <c r="E184" i="19"/>
  <c r="J256" i="8"/>
  <c r="B142" i="16"/>
  <c r="E142" i="20"/>
  <c r="AM142" i="20" s="1"/>
  <c r="C124" i="16"/>
  <c r="F124" i="20"/>
  <c r="E124" i="19"/>
  <c r="C103" i="16"/>
  <c r="F103" i="20"/>
  <c r="E103" i="19"/>
  <c r="J439" i="20"/>
  <c r="M439" i="20"/>
  <c r="E42" i="20"/>
  <c r="AM42" i="20" s="1"/>
  <c r="B42" i="16"/>
  <c r="M716" i="20"/>
  <c r="J716" i="20"/>
  <c r="I591" i="20"/>
  <c r="L591" i="20"/>
  <c r="L381" i="19"/>
  <c r="K381" i="19"/>
  <c r="H381" i="19"/>
  <c r="B561" i="16"/>
  <c r="E561" i="20"/>
  <c r="AM561" i="20" s="1"/>
  <c r="C299" i="16"/>
  <c r="F299" i="20"/>
  <c r="E299" i="19"/>
  <c r="J231" i="8"/>
  <c r="S391" i="16"/>
  <c r="K391" i="16"/>
  <c r="O391" i="16"/>
  <c r="H400" i="16"/>
  <c r="P400" i="16" s="1"/>
  <c r="H400" i="20"/>
  <c r="F400" i="19"/>
  <c r="A561" i="16"/>
  <c r="A561" i="20"/>
  <c r="A561" i="19"/>
  <c r="B197" i="16"/>
  <c r="E197" i="20"/>
  <c r="AM197" i="20" s="1"/>
  <c r="B673" i="16"/>
  <c r="E673" i="20"/>
  <c r="AM673" i="20" s="1"/>
  <c r="C430" i="16"/>
  <c r="F430" i="20"/>
  <c r="E430" i="19"/>
  <c r="C63" i="16"/>
  <c r="F63" i="20"/>
  <c r="E63" i="19"/>
  <c r="O345" i="16"/>
  <c r="K345" i="16"/>
  <c r="S345" i="16"/>
  <c r="M219" i="19"/>
  <c r="I219" i="19"/>
  <c r="H17" i="20"/>
  <c r="H17" i="16"/>
  <c r="P17" i="16" s="1"/>
  <c r="F17" i="19"/>
  <c r="B621" i="16"/>
  <c r="E621" i="20"/>
  <c r="AM621" i="20" s="1"/>
  <c r="A431" i="16"/>
  <c r="A431" i="20"/>
  <c r="A431" i="19"/>
  <c r="C564" i="16"/>
  <c r="F564" i="20"/>
  <c r="E564" i="19"/>
  <c r="L674" i="20"/>
  <c r="I674" i="20"/>
  <c r="B400" i="16"/>
  <c r="E400" i="20"/>
  <c r="AM400" i="20" s="1"/>
  <c r="B260" i="16"/>
  <c r="E260" i="20"/>
  <c r="AM260" i="20" s="1"/>
  <c r="L148" i="19"/>
  <c r="K148" i="19"/>
  <c r="H148" i="19"/>
  <c r="M17" i="20"/>
  <c r="J17" i="20"/>
  <c r="L732" i="20"/>
  <c r="I732" i="20"/>
  <c r="A458" i="16"/>
  <c r="A458" i="20"/>
  <c r="A458" i="19"/>
  <c r="H149" i="16"/>
  <c r="P149" i="16" s="1"/>
  <c r="H149" i="20"/>
  <c r="F149" i="19"/>
  <c r="B750" i="16"/>
  <c r="E750" i="20"/>
  <c r="AM750" i="20" s="1"/>
  <c r="L681" i="9"/>
  <c r="B681" i="11"/>
  <c r="B557" i="16"/>
  <c r="E557" i="20"/>
  <c r="AM557" i="20" s="1"/>
  <c r="J92" i="8"/>
  <c r="L764" i="9"/>
  <c r="B764" i="11"/>
  <c r="C820" i="16"/>
  <c r="F820" i="20"/>
  <c r="E820" i="19"/>
  <c r="M505" i="20"/>
  <c r="J505" i="20"/>
  <c r="A768" i="16"/>
  <c r="A768" i="20"/>
  <c r="A768" i="19"/>
  <c r="B31" i="20"/>
  <c r="AL31" i="20" s="1"/>
  <c r="B31" i="19"/>
  <c r="B500" i="16"/>
  <c r="E500" i="20"/>
  <c r="AM500" i="20" s="1"/>
  <c r="B374" i="20"/>
  <c r="AL374" i="20" s="1"/>
  <c r="B374" i="19"/>
  <c r="B527" i="11"/>
  <c r="L527" i="9"/>
  <c r="A720" i="16"/>
  <c r="A720" i="20"/>
  <c r="A720" i="19"/>
  <c r="C61" i="16"/>
  <c r="F61" i="20"/>
  <c r="E61" i="19"/>
  <c r="K334" i="16"/>
  <c r="O334" i="16"/>
  <c r="S334" i="16"/>
  <c r="B404" i="16"/>
  <c r="E404" i="20"/>
  <c r="AM404" i="20" s="1"/>
  <c r="B700" i="16"/>
  <c r="E700" i="20"/>
  <c r="AM700" i="20" s="1"/>
  <c r="J363" i="8"/>
  <c r="F28" i="20"/>
  <c r="C28" i="16"/>
  <c r="E28" i="19"/>
  <c r="S701" i="16"/>
  <c r="K701" i="16"/>
  <c r="O701" i="16"/>
  <c r="J190" i="8"/>
  <c r="L51" i="20"/>
  <c r="I51" i="20"/>
  <c r="M443" i="19"/>
  <c r="I443" i="19"/>
  <c r="O93" i="16"/>
  <c r="K93" i="16"/>
  <c r="S93" i="16"/>
  <c r="L19" i="19"/>
  <c r="H19" i="19"/>
  <c r="K19" i="19"/>
  <c r="B677" i="11"/>
  <c r="L677" i="9"/>
  <c r="B553" i="19"/>
  <c r="B553" i="20"/>
  <c r="AL553" i="20" s="1"/>
  <c r="A484" i="16"/>
  <c r="A484" i="20"/>
  <c r="A484" i="19"/>
  <c r="C716" i="16"/>
  <c r="E716" i="19"/>
  <c r="F716" i="20"/>
  <c r="A166" i="16"/>
  <c r="A166" i="20"/>
  <c r="A166" i="19"/>
  <c r="M571" i="19"/>
  <c r="I571" i="19"/>
  <c r="A416" i="16"/>
  <c r="A416" i="20"/>
  <c r="A416" i="19"/>
  <c r="I15" i="19"/>
  <c r="M15" i="19"/>
  <c r="I570" i="20"/>
  <c r="L570" i="20"/>
  <c r="A404" i="16"/>
  <c r="A404" i="20"/>
  <c r="A404" i="19"/>
  <c r="B23" i="16"/>
  <c r="E23" i="20"/>
  <c r="AM23" i="20" s="1"/>
  <c r="J48" i="20"/>
  <c r="M48" i="20"/>
  <c r="B322" i="16"/>
  <c r="E322" i="20"/>
  <c r="AM322" i="20" s="1"/>
  <c r="C83" i="16"/>
  <c r="F83" i="20"/>
  <c r="E83" i="19"/>
  <c r="C760" i="16"/>
  <c r="F760" i="20"/>
  <c r="E760" i="19"/>
  <c r="B504" i="20"/>
  <c r="AL504" i="20" s="1"/>
  <c r="B504" i="19"/>
  <c r="C153" i="16"/>
  <c r="F153" i="20"/>
  <c r="E153" i="19"/>
  <c r="L108" i="20"/>
  <c r="I108" i="20"/>
  <c r="B453" i="16"/>
  <c r="E453" i="20"/>
  <c r="AM453" i="20" s="1"/>
  <c r="B207" i="11"/>
  <c r="L207" i="9"/>
  <c r="C750" i="16"/>
  <c r="F750" i="20"/>
  <c r="E750" i="19"/>
  <c r="C243" i="16"/>
  <c r="F243" i="20"/>
  <c r="E243" i="19"/>
  <c r="M181" i="19"/>
  <c r="I181" i="19"/>
  <c r="B58" i="16"/>
  <c r="E58" i="20"/>
  <c r="AM58" i="20" s="1"/>
  <c r="A351" i="20"/>
  <c r="A351" i="16"/>
  <c r="A351" i="19"/>
  <c r="A67" i="20"/>
  <c r="A67" i="16"/>
  <c r="A67" i="19"/>
  <c r="B639" i="16"/>
  <c r="E639" i="20"/>
  <c r="AM639" i="20" s="1"/>
  <c r="K505" i="16"/>
  <c r="O505" i="16"/>
  <c r="S505" i="16"/>
  <c r="I303" i="19"/>
  <c r="M303" i="19"/>
  <c r="H355" i="19"/>
  <c r="L355" i="19"/>
  <c r="K355" i="19"/>
  <c r="L308" i="20"/>
  <c r="I308" i="20"/>
  <c r="L388" i="19"/>
  <c r="K388" i="19"/>
  <c r="H388" i="19"/>
  <c r="I414" i="20"/>
  <c r="L414" i="20"/>
  <c r="K770" i="16"/>
  <c r="S770" i="16"/>
  <c r="O770" i="16"/>
  <c r="J719" i="20"/>
  <c r="M719" i="20"/>
  <c r="I326" i="19"/>
  <c r="M326" i="19"/>
  <c r="I190" i="19"/>
  <c r="M190" i="19"/>
  <c r="M344" i="19"/>
  <c r="I344" i="19"/>
  <c r="J692" i="8"/>
  <c r="B605" i="16"/>
  <c r="E605" i="20"/>
  <c r="AM605" i="20" s="1"/>
  <c r="B355" i="16"/>
  <c r="E355" i="20"/>
  <c r="AM355" i="20" s="1"/>
  <c r="L21" i="9"/>
  <c r="B21" i="11"/>
  <c r="B367" i="20"/>
  <c r="AL367" i="20" s="1"/>
  <c r="B367" i="19"/>
  <c r="B55" i="16"/>
  <c r="E55" i="20"/>
  <c r="AM55" i="20" s="1"/>
  <c r="A678" i="16"/>
  <c r="A678" i="20"/>
  <c r="A678" i="19"/>
  <c r="B427" i="20"/>
  <c r="AL427" i="20" s="1"/>
  <c r="B427" i="19"/>
  <c r="B761" i="16"/>
  <c r="E761" i="20"/>
  <c r="AM761" i="20" s="1"/>
  <c r="B688" i="16"/>
  <c r="E688" i="20"/>
  <c r="AM688" i="20" s="1"/>
  <c r="B631" i="16"/>
  <c r="E631" i="20"/>
  <c r="AM631" i="20" s="1"/>
  <c r="A257" i="16"/>
  <c r="A257" i="20"/>
  <c r="A257" i="19"/>
  <c r="C294" i="16"/>
  <c r="F294" i="20"/>
  <c r="E294" i="19"/>
  <c r="S591" i="16"/>
  <c r="K591" i="16"/>
  <c r="O591" i="16"/>
  <c r="I381" i="20"/>
  <c r="L381" i="20"/>
  <c r="M54" i="19"/>
  <c r="I54" i="19"/>
  <c r="B604" i="16"/>
  <c r="E604" i="20"/>
  <c r="AM604" i="20" s="1"/>
  <c r="B557" i="11"/>
  <c r="L557" i="9"/>
  <c r="J618" i="20"/>
  <c r="M618" i="20"/>
  <c r="M617" i="19"/>
  <c r="I617" i="19"/>
  <c r="A761" i="16"/>
  <c r="A761" i="20"/>
  <c r="A761" i="19"/>
  <c r="C500" i="16"/>
  <c r="F500" i="20"/>
  <c r="E500" i="19"/>
  <c r="C404" i="16"/>
  <c r="F404" i="20"/>
  <c r="E404" i="19"/>
  <c r="B307" i="16"/>
  <c r="E307" i="20"/>
  <c r="AM307" i="20" s="1"/>
  <c r="L345" i="20"/>
  <c r="I345" i="20"/>
  <c r="B409" i="20"/>
  <c r="AL409" i="20" s="1"/>
  <c r="B409" i="19"/>
  <c r="C260" i="16"/>
  <c r="F260" i="20"/>
  <c r="E260" i="19"/>
  <c r="L148" i="20"/>
  <c r="I148" i="20"/>
  <c r="H433" i="16"/>
  <c r="P433" i="16" s="1"/>
  <c r="H433" i="20"/>
  <c r="F433" i="19"/>
  <c r="S732" i="16"/>
  <c r="O732" i="16"/>
  <c r="K732" i="16"/>
  <c r="M447" i="20"/>
  <c r="J447" i="20"/>
  <c r="L598" i="9"/>
  <c r="B598" i="11"/>
  <c r="B499" i="20"/>
  <c r="AL499" i="20" s="1"/>
  <c r="B499" i="19"/>
  <c r="C206" i="16"/>
  <c r="F206" i="20"/>
  <c r="E206" i="19"/>
  <c r="B92" i="16"/>
  <c r="E92" i="20"/>
  <c r="AM92" i="20" s="1"/>
  <c r="B60" i="16"/>
  <c r="E60" i="20"/>
  <c r="AM60" i="20" s="1"/>
  <c r="A36" i="16"/>
  <c r="A36" i="20"/>
  <c r="A36" i="19"/>
  <c r="H264" i="20"/>
  <c r="H264" i="16"/>
  <c r="P264" i="16" s="1"/>
  <c r="F264" i="19"/>
  <c r="B768" i="11"/>
  <c r="L768" i="9"/>
  <c r="J299" i="8"/>
  <c r="M123" i="20"/>
  <c r="J123" i="20"/>
  <c r="M684" i="20"/>
  <c r="J684" i="20"/>
  <c r="B620" i="19"/>
  <c r="B620" i="20"/>
  <c r="AL620" i="20" s="1"/>
  <c r="A564" i="16"/>
  <c r="A564" i="20"/>
  <c r="A564" i="19"/>
  <c r="B289" i="16"/>
  <c r="E289" i="20"/>
  <c r="AM289" i="20" s="1"/>
  <c r="L473" i="19"/>
  <c r="K473" i="19"/>
  <c r="H473" i="19"/>
  <c r="M197" i="20"/>
  <c r="J197" i="20"/>
  <c r="B333" i="16"/>
  <c r="E333" i="20"/>
  <c r="AM333" i="20" s="1"/>
  <c r="L293" i="9"/>
  <c r="B293" i="11"/>
  <c r="C626" i="16"/>
  <c r="F626" i="20"/>
  <c r="E626" i="19"/>
  <c r="J646" i="8"/>
  <c r="B181" i="16"/>
  <c r="E181" i="20"/>
  <c r="AM181" i="20" s="1"/>
  <c r="AE63" i="16"/>
  <c r="AD63" i="16"/>
  <c r="AE60" i="16"/>
  <c r="AC63" i="16"/>
  <c r="AD60" i="16"/>
  <c r="AB60" i="16"/>
  <c r="AB62" i="16"/>
  <c r="AE65" i="16"/>
  <c r="AD65" i="16"/>
  <c r="AB65" i="16"/>
  <c r="AD64" i="16"/>
  <c r="AB63" i="16"/>
  <c r="AD62" i="16"/>
  <c r="AE61" i="16"/>
  <c r="AC62" i="16"/>
  <c r="AD61" i="16"/>
  <c r="AC61" i="16"/>
  <c r="AB61" i="16"/>
  <c r="AE64" i="16"/>
  <c r="AC64" i="16"/>
  <c r="AB64" i="16"/>
  <c r="F9" i="20"/>
  <c r="AC60" i="16"/>
  <c r="C9" i="16"/>
  <c r="AC65" i="16"/>
  <c r="AE62" i="16"/>
  <c r="N18" i="9"/>
  <c r="N29" i="9"/>
  <c r="E15" i="1" s="1"/>
  <c r="P21" i="11"/>
  <c r="F16" i="1" s="1"/>
  <c r="N27" i="9"/>
  <c r="N16" i="9"/>
  <c r="AE8" i="16" s="1"/>
  <c r="N17" i="9"/>
  <c r="N15" i="9"/>
  <c r="N30" i="9"/>
  <c r="F15" i="1" s="1"/>
  <c r="AX33" i="19"/>
  <c r="N28" i="9"/>
  <c r="I15" i="1" s="1"/>
  <c r="N25" i="9"/>
  <c r="D15" i="1" s="1"/>
  <c r="E9" i="19"/>
  <c r="N22" i="9"/>
  <c r="F14" i="1" s="1"/>
  <c r="N26" i="9"/>
  <c r="N14" i="9"/>
  <c r="I648" i="9" s="1"/>
  <c r="J648" i="9" s="1"/>
  <c r="C648" i="19" s="1"/>
  <c r="A154" i="16"/>
  <c r="A154" i="20"/>
  <c r="A154" i="19"/>
  <c r="S51" i="16"/>
  <c r="O51" i="16"/>
  <c r="K51" i="16"/>
  <c r="K25" i="19"/>
  <c r="H25" i="19"/>
  <c r="L25" i="19"/>
  <c r="B677" i="16"/>
  <c r="E677" i="20"/>
  <c r="AM677" i="20" s="1"/>
  <c r="C445" i="16"/>
  <c r="F445" i="20"/>
  <c r="E445" i="19"/>
  <c r="L19" i="20"/>
  <c r="I19" i="20"/>
  <c r="A93" i="16"/>
  <c r="A93" i="20"/>
  <c r="A93" i="19"/>
  <c r="S452" i="16"/>
  <c r="O452" i="16"/>
  <c r="K452" i="16"/>
  <c r="L205" i="19"/>
  <c r="K205" i="19"/>
  <c r="H205" i="19"/>
  <c r="B484" i="11"/>
  <c r="L484" i="9"/>
  <c r="J523" i="8"/>
  <c r="E259" i="20"/>
  <c r="AM259" i="20" s="1"/>
  <c r="B259" i="16"/>
  <c r="L351" i="9"/>
  <c r="B351" i="11"/>
  <c r="S570" i="16"/>
  <c r="K570" i="16"/>
  <c r="O570" i="16"/>
  <c r="I521" i="19"/>
  <c r="M521" i="19"/>
  <c r="B822" i="16"/>
  <c r="E822" i="20"/>
  <c r="B319" i="20"/>
  <c r="AL319" i="20" s="1"/>
  <c r="B319" i="19"/>
  <c r="C817" i="16"/>
  <c r="F817" i="20"/>
  <c r="E817" i="19"/>
  <c r="A651" i="16"/>
  <c r="A651" i="20"/>
  <c r="A651" i="19"/>
  <c r="A368" i="16"/>
  <c r="A368" i="20"/>
  <c r="A368" i="19"/>
  <c r="J23" i="8"/>
  <c r="B494" i="16"/>
  <c r="E494" i="20"/>
  <c r="AM494" i="20" s="1"/>
  <c r="J501" i="20"/>
  <c r="M501" i="20"/>
  <c r="M303" i="20"/>
  <c r="J303" i="20"/>
  <c r="S108" i="16"/>
  <c r="K108" i="16"/>
  <c r="O108" i="16"/>
  <c r="H708" i="16"/>
  <c r="P708" i="16" s="1"/>
  <c r="H708" i="20"/>
  <c r="F708" i="19"/>
  <c r="J503" i="8"/>
  <c r="G503" i="8"/>
  <c r="B690" i="20"/>
  <c r="AL690" i="20" s="1"/>
  <c r="B690" i="19"/>
  <c r="C92" i="16"/>
  <c r="F92" i="20"/>
  <c r="E92" i="19"/>
  <c r="B524" i="20"/>
  <c r="AL524" i="20" s="1"/>
  <c r="B524" i="19"/>
  <c r="B421" i="16"/>
  <c r="E421" i="20"/>
  <c r="AM421" i="20" s="1"/>
  <c r="B348" i="16"/>
  <c r="E348" i="20"/>
  <c r="AM348" i="20" s="1"/>
  <c r="B224" i="16"/>
  <c r="E224" i="20"/>
  <c r="AM224" i="20" s="1"/>
  <c r="C147" i="16"/>
  <c r="F147" i="20"/>
  <c r="E147" i="19"/>
  <c r="J59" i="8"/>
  <c r="H196" i="20"/>
  <c r="H196" i="16"/>
  <c r="P196" i="16" s="1"/>
  <c r="F196" i="19"/>
  <c r="B768" i="16"/>
  <c r="E768" i="20"/>
  <c r="AM768" i="20" s="1"/>
  <c r="A717" i="16"/>
  <c r="A717" i="20"/>
  <c r="A717" i="19"/>
  <c r="J559" i="20"/>
  <c r="M559" i="20"/>
  <c r="M153" i="19"/>
  <c r="I153" i="19"/>
  <c r="AU10" i="10"/>
  <c r="O10" i="10"/>
  <c r="AN10" i="10"/>
  <c r="Q10" i="20" s="1"/>
  <c r="A560" i="16"/>
  <c r="A560" i="20"/>
  <c r="A560" i="19"/>
  <c r="J440" i="8"/>
  <c r="J812" i="20"/>
  <c r="M812" i="20"/>
  <c r="C742" i="16"/>
  <c r="F742" i="20"/>
  <c r="E742" i="19"/>
  <c r="L269" i="19"/>
  <c r="H269" i="19"/>
  <c r="K269" i="19"/>
  <c r="O263" i="16"/>
  <c r="S263" i="16"/>
  <c r="K263" i="16"/>
  <c r="B31" i="16"/>
  <c r="E31" i="20"/>
  <c r="AM31" i="20" s="1"/>
  <c r="I700" i="19"/>
  <c r="M700" i="19"/>
  <c r="B137" i="11"/>
  <c r="L137" i="9"/>
  <c r="B468" i="16"/>
  <c r="E468" i="20"/>
  <c r="AM468" i="20" s="1"/>
  <c r="C216" i="16"/>
  <c r="F216" i="20"/>
  <c r="E216" i="19"/>
  <c r="O355" i="16"/>
  <c r="K355" i="16"/>
  <c r="S355" i="16"/>
  <c r="S308" i="16"/>
  <c r="K308" i="16"/>
  <c r="O308" i="16"/>
  <c r="I388" i="20"/>
  <c r="L388" i="20"/>
  <c r="B273" i="16"/>
  <c r="E273" i="20"/>
  <c r="AM273" i="20" s="1"/>
  <c r="C777" i="16"/>
  <c r="F777" i="20"/>
  <c r="E777" i="19"/>
  <c r="B730" i="16"/>
  <c r="E730" i="20"/>
  <c r="AM730" i="20" s="1"/>
  <c r="B492" i="16"/>
  <c r="E492" i="20"/>
  <c r="AM492" i="20" s="1"/>
  <c r="M36" i="19"/>
  <c r="I36" i="19"/>
  <c r="E76" i="20"/>
  <c r="AM76" i="20" s="1"/>
  <c r="B76" i="16"/>
  <c r="J329" i="20"/>
  <c r="M329" i="20"/>
  <c r="C610" i="16"/>
  <c r="F610" i="20"/>
  <c r="E610" i="19"/>
  <c r="B6" i="11"/>
  <c r="L6" i="9"/>
  <c r="B25" i="10"/>
  <c r="G8" i="7"/>
  <c r="D42" i="6"/>
  <c r="B64" i="6"/>
  <c r="B66" i="10"/>
  <c r="G44" i="7"/>
  <c r="B42" i="6"/>
  <c r="C30" i="10"/>
  <c r="AM30" i="16" s="1"/>
  <c r="H14" i="7"/>
  <c r="C19" i="6"/>
  <c r="C47" i="10"/>
  <c r="AM47" i="16" s="1"/>
  <c r="B67" i="6"/>
  <c r="E53" i="6"/>
  <c r="D30" i="10"/>
  <c r="D53" i="6"/>
  <c r="E29" i="6"/>
  <c r="B52" i="6"/>
  <c r="D29" i="6"/>
  <c r="B28" i="10"/>
  <c r="D19" i="6"/>
  <c r="I64" i="7"/>
  <c r="AN64" i="16" s="1"/>
  <c r="C42" i="6"/>
  <c r="I22" i="7"/>
  <c r="AN22" i="16" s="1"/>
  <c r="B20" i="6"/>
  <c r="J521" i="20"/>
  <c r="M521" i="20"/>
  <c r="M403" i="20"/>
  <c r="J403" i="20"/>
  <c r="S201" i="16"/>
  <c r="O201" i="16"/>
  <c r="K201" i="16"/>
  <c r="O163" i="16"/>
  <c r="S163" i="16"/>
  <c r="K163" i="16"/>
  <c r="G681" i="8"/>
  <c r="J369" i="20"/>
  <c r="M369" i="20"/>
  <c r="I75" i="19"/>
  <c r="M75" i="19"/>
  <c r="H80" i="16"/>
  <c r="P80" i="16" s="1"/>
  <c r="H80" i="20"/>
  <c r="F80" i="19"/>
  <c r="B753" i="16"/>
  <c r="E753" i="20"/>
  <c r="AM753" i="20" s="1"/>
  <c r="B519" i="20"/>
  <c r="AL519" i="20" s="1"/>
  <c r="B519" i="19"/>
  <c r="C120" i="16"/>
  <c r="F120" i="20"/>
  <c r="E120" i="19"/>
  <c r="H401" i="16"/>
  <c r="P401" i="16" s="1"/>
  <c r="H401" i="20"/>
  <c r="F401" i="19"/>
  <c r="B357" i="16"/>
  <c r="E357" i="20"/>
  <c r="AM357" i="20" s="1"/>
  <c r="I583" i="19"/>
  <c r="M583" i="19"/>
  <c r="H618" i="16"/>
  <c r="P618" i="16" s="1"/>
  <c r="H618" i="20"/>
  <c r="F618" i="19"/>
  <c r="K618" i="19" s="1"/>
  <c r="J424" i="8"/>
  <c r="C128" i="16"/>
  <c r="F128" i="20"/>
  <c r="E128" i="19"/>
  <c r="G34" i="8"/>
  <c r="J34" i="8"/>
  <c r="AN6" i="10"/>
  <c r="AU6" i="10"/>
  <c r="O6" i="10"/>
  <c r="O520" i="16"/>
  <c r="S520" i="16"/>
  <c r="K520" i="16"/>
  <c r="C220" i="16"/>
  <c r="F220" i="20"/>
  <c r="E220" i="19"/>
  <c r="B571" i="20"/>
  <c r="AL571" i="20" s="1"/>
  <c r="B571" i="19"/>
  <c r="J317" i="8"/>
  <c r="M352" i="20"/>
  <c r="J352" i="20"/>
  <c r="J63" i="20"/>
  <c r="M63" i="20"/>
  <c r="F802" i="20"/>
  <c r="C802" i="16"/>
  <c r="E802" i="19"/>
  <c r="B469" i="16"/>
  <c r="E469" i="20"/>
  <c r="AM469" i="20" s="1"/>
  <c r="C196" i="16"/>
  <c r="F196" i="20"/>
  <c r="E196" i="19"/>
  <c r="L295" i="20"/>
  <c r="I295" i="20"/>
  <c r="B807" i="16"/>
  <c r="E807" i="20"/>
  <c r="AM807" i="20" s="1"/>
  <c r="C397" i="16"/>
  <c r="F397" i="20"/>
  <c r="E397" i="19"/>
  <c r="E580" i="20"/>
  <c r="AM580" i="20" s="1"/>
  <c r="B580" i="16"/>
  <c r="C246" i="16"/>
  <c r="F246" i="20"/>
  <c r="E246" i="19"/>
  <c r="F199" i="20"/>
  <c r="E199" i="19"/>
  <c r="C199" i="16"/>
  <c r="C697" i="16"/>
  <c r="F697" i="20"/>
  <c r="E697" i="19"/>
  <c r="B803" i="16"/>
  <c r="E803" i="20"/>
  <c r="AM803" i="20" s="1"/>
  <c r="B253" i="16"/>
  <c r="E253" i="20"/>
  <c r="AM253" i="20" s="1"/>
  <c r="U14" i="19"/>
  <c r="X17" i="19"/>
  <c r="N7" i="19"/>
  <c r="Y18" i="19"/>
  <c r="R11" i="19"/>
  <c r="P9" i="19"/>
  <c r="T13" i="19"/>
  <c r="S12" i="19"/>
  <c r="Q10" i="19"/>
  <c r="V15" i="19"/>
  <c r="O8" i="19"/>
  <c r="W16" i="19"/>
  <c r="B522" i="16"/>
  <c r="E522" i="20"/>
  <c r="AM522" i="20" s="1"/>
  <c r="C43" i="16"/>
  <c r="F43" i="20"/>
  <c r="E43" i="19"/>
  <c r="B553" i="16"/>
  <c r="E553" i="20"/>
  <c r="AM553" i="20" s="1"/>
  <c r="B169" i="16"/>
  <c r="E169" i="20"/>
  <c r="AM169" i="20" s="1"/>
  <c r="B537" i="16"/>
  <c r="E537" i="20"/>
  <c r="AM537" i="20" s="1"/>
  <c r="B799" i="16"/>
  <c r="E799" i="20"/>
  <c r="AM799" i="20" s="1"/>
  <c r="I429" i="20"/>
  <c r="L429" i="20"/>
  <c r="B177" i="16"/>
  <c r="E177" i="20"/>
  <c r="AM177" i="20" s="1"/>
  <c r="A303" i="16"/>
  <c r="A303" i="20"/>
  <c r="A303" i="19"/>
  <c r="L711" i="9"/>
  <c r="B711" i="11"/>
  <c r="B105" i="20"/>
  <c r="AL105" i="20" s="1"/>
  <c r="B105" i="19"/>
  <c r="J432" i="8"/>
  <c r="B293" i="16"/>
  <c r="E293" i="20"/>
  <c r="AM293" i="20" s="1"/>
  <c r="C195" i="16"/>
  <c r="F195" i="20"/>
  <c r="E195" i="19"/>
  <c r="B458" i="16"/>
  <c r="E458" i="20"/>
  <c r="AM458" i="20" s="1"/>
  <c r="M507" i="20"/>
  <c r="J507" i="20"/>
  <c r="B681" i="16"/>
  <c r="E681" i="20"/>
  <c r="AM681" i="20" s="1"/>
  <c r="M800" i="19"/>
  <c r="I800" i="19"/>
  <c r="A750" i="16"/>
  <c r="A750" i="20"/>
  <c r="A750" i="19"/>
  <c r="B357" i="11"/>
  <c r="L357" i="9"/>
  <c r="C187" i="16"/>
  <c r="F187" i="20"/>
  <c r="E187" i="19"/>
  <c r="B772" i="16"/>
  <c r="E772" i="20"/>
  <c r="AM772" i="20" s="1"/>
  <c r="F258" i="20"/>
  <c r="C258" i="16"/>
  <c r="E258" i="19"/>
  <c r="B487" i="16"/>
  <c r="E487" i="20"/>
  <c r="AM487" i="20" s="1"/>
  <c r="B424" i="16"/>
  <c r="E424" i="20"/>
  <c r="AM424" i="20" s="1"/>
  <c r="A643" i="16"/>
  <c r="A643" i="19"/>
  <c r="A643" i="20"/>
  <c r="H478" i="16"/>
  <c r="P478" i="16" s="1"/>
  <c r="H478" i="20"/>
  <c r="F478" i="19"/>
  <c r="C208" i="16"/>
  <c r="F208" i="20"/>
  <c r="E208" i="19"/>
  <c r="C590" i="16"/>
  <c r="F590" i="20"/>
  <c r="E590" i="19"/>
  <c r="M263" i="20"/>
  <c r="J263" i="20"/>
  <c r="G288" i="8"/>
  <c r="J288" i="8"/>
  <c r="H465" i="16"/>
  <c r="P465" i="16" s="1"/>
  <c r="H465" i="20"/>
  <c r="F465" i="19"/>
  <c r="E636" i="20"/>
  <c r="AM636" i="20" s="1"/>
  <c r="B636" i="16"/>
  <c r="B367" i="16"/>
  <c r="E367" i="20"/>
  <c r="AM367" i="20" s="1"/>
  <c r="C55" i="16"/>
  <c r="F55" i="20"/>
  <c r="E55" i="19"/>
  <c r="J429" i="20"/>
  <c r="M429" i="20"/>
  <c r="B499" i="16"/>
  <c r="E499" i="20"/>
  <c r="AM499" i="20" s="1"/>
  <c r="C262" i="16"/>
  <c r="F262" i="20"/>
  <c r="E262" i="19"/>
  <c r="S295" i="16"/>
  <c r="K295" i="16"/>
  <c r="O295" i="16"/>
  <c r="C377" i="16"/>
  <c r="F377" i="20"/>
  <c r="E377" i="19"/>
  <c r="B684" i="16"/>
  <c r="E684" i="20"/>
  <c r="AM684" i="20" s="1"/>
  <c r="J784" i="8"/>
  <c r="B807" i="20"/>
  <c r="AL807" i="20" s="1"/>
  <c r="B807" i="19"/>
  <c r="C352" i="16"/>
  <c r="F352" i="20"/>
  <c r="E352" i="19"/>
  <c r="B21" i="16"/>
  <c r="E21" i="20"/>
  <c r="AM21" i="20" s="1"/>
  <c r="F360" i="20"/>
  <c r="C360" i="16"/>
  <c r="E360" i="19"/>
  <c r="C746" i="16"/>
  <c r="F746" i="20"/>
  <c r="E746" i="19"/>
  <c r="J266" i="8"/>
  <c r="C780" i="16"/>
  <c r="F780" i="20"/>
  <c r="E780" i="19"/>
  <c r="L215" i="19"/>
  <c r="H215" i="19"/>
  <c r="K215" i="19"/>
  <c r="F39" i="20"/>
  <c r="C39" i="16"/>
  <c r="E39" i="19"/>
  <c r="J25" i="6"/>
  <c r="D12" i="1"/>
  <c r="K429" i="16"/>
  <c r="O429" i="16"/>
  <c r="S429" i="16"/>
  <c r="L166" i="19"/>
  <c r="K166" i="19"/>
  <c r="H166" i="19"/>
  <c r="B43" i="16"/>
  <c r="E43" i="20"/>
  <c r="AM43" i="20" s="1"/>
  <c r="C283" i="16"/>
  <c r="F283" i="20"/>
  <c r="E283" i="19"/>
  <c r="C420" i="16"/>
  <c r="F420" i="20"/>
  <c r="E420" i="19"/>
  <c r="J660" i="20"/>
  <c r="M660" i="20"/>
  <c r="J374" i="8"/>
  <c r="J35" i="8"/>
  <c r="C90" i="16"/>
  <c r="F90" i="20"/>
  <c r="E90" i="19"/>
  <c r="C586" i="16"/>
  <c r="E586" i="19"/>
  <c r="F586" i="20"/>
  <c r="G369" i="8"/>
  <c r="M611" i="20"/>
  <c r="J611" i="20"/>
  <c r="B432" i="16"/>
  <c r="E432" i="20"/>
  <c r="AM432" i="20" s="1"/>
  <c r="K340" i="19"/>
  <c r="H340" i="19"/>
  <c r="L340" i="19"/>
  <c r="I163" i="19"/>
  <c r="M163" i="19"/>
  <c r="M133" i="20"/>
  <c r="J133" i="20"/>
  <c r="B811" i="20"/>
  <c r="AL811" i="20" s="1"/>
  <c r="B811" i="19"/>
  <c r="M528" i="20"/>
  <c r="J528" i="20"/>
  <c r="G413" i="8"/>
  <c r="B657" i="16"/>
  <c r="E657" i="20"/>
  <c r="AM657" i="20" s="1"/>
  <c r="C514" i="16"/>
  <c r="F514" i="20"/>
  <c r="E514" i="19"/>
  <c r="F330" i="20"/>
  <c r="C330" i="16"/>
  <c r="E330" i="19"/>
  <c r="D59" i="6"/>
  <c r="A228" i="16"/>
  <c r="A228" i="19"/>
  <c r="A228" i="20"/>
  <c r="M411" i="19"/>
  <c r="I411" i="19"/>
  <c r="M175" i="20"/>
  <c r="J175" i="20"/>
  <c r="C284" i="16"/>
  <c r="F284" i="20"/>
  <c r="E284" i="19"/>
  <c r="B706" i="16"/>
  <c r="E706" i="20"/>
  <c r="AM706" i="20" s="1"/>
  <c r="H735" i="19"/>
  <c r="L735" i="19"/>
  <c r="K735" i="19"/>
  <c r="C737" i="16"/>
  <c r="F737" i="20"/>
  <c r="E737" i="19"/>
  <c r="A491" i="16"/>
  <c r="A491" i="19"/>
  <c r="A491" i="20"/>
  <c r="A276" i="16"/>
  <c r="A276" i="19"/>
  <c r="A276" i="20"/>
  <c r="M409" i="19"/>
  <c r="I409" i="19"/>
  <c r="J185" i="8"/>
  <c r="H4" i="11"/>
  <c r="H5" i="11" s="1"/>
  <c r="H6" i="11" s="1"/>
  <c r="H7" i="11" s="1"/>
  <c r="H8" i="11" s="1"/>
  <c r="H9" i="11" s="1"/>
  <c r="M604" i="19"/>
  <c r="I604" i="19"/>
  <c r="B520" i="16"/>
  <c r="E520" i="20"/>
  <c r="AM520" i="20" s="1"/>
  <c r="B317" i="16"/>
  <c r="E317" i="20"/>
  <c r="AM317" i="20" s="1"/>
  <c r="M528" i="19"/>
  <c r="I528" i="19"/>
  <c r="E318" i="20"/>
  <c r="AM318" i="20" s="1"/>
  <c r="B318" i="16"/>
  <c r="B166" i="16"/>
  <c r="E166" i="20"/>
  <c r="AM166" i="20" s="1"/>
  <c r="B784" i="16"/>
  <c r="E784" i="20"/>
  <c r="AM784" i="20" s="1"/>
  <c r="J306" i="8"/>
  <c r="C513" i="16"/>
  <c r="F513" i="20"/>
  <c r="E513" i="19"/>
  <c r="D10" i="10"/>
  <c r="G226" i="8"/>
  <c r="C457" i="16"/>
  <c r="F457" i="20"/>
  <c r="E457" i="19"/>
  <c r="L215" i="20"/>
  <c r="I215" i="20"/>
  <c r="AB67" i="16"/>
  <c r="AE67" i="16"/>
  <c r="B9" i="16"/>
  <c r="E9" i="20"/>
  <c r="AM9" i="20" s="1"/>
  <c r="N31" i="9"/>
  <c r="C572" i="16"/>
  <c r="E572" i="19"/>
  <c r="F572" i="20"/>
  <c r="E590" i="20"/>
  <c r="AM590" i="20" s="1"/>
  <c r="B590" i="16"/>
  <c r="B667" i="20"/>
  <c r="AL667" i="20" s="1"/>
  <c r="B667" i="19"/>
  <c r="C356" i="16"/>
  <c r="F356" i="20"/>
  <c r="E356" i="19"/>
  <c r="B154" i="20"/>
  <c r="AL154" i="20" s="1"/>
  <c r="B154" i="19"/>
  <c r="B123" i="16"/>
  <c r="E123" i="20"/>
  <c r="AM123" i="20" s="1"/>
  <c r="C173" i="16"/>
  <c r="F173" i="20"/>
  <c r="E173" i="19"/>
  <c r="I166" i="20"/>
  <c r="L166" i="20"/>
  <c r="F32" i="20"/>
  <c r="C32" i="16"/>
  <c r="E32" i="19"/>
  <c r="I759" i="19"/>
  <c r="M759" i="19"/>
  <c r="M88" i="19"/>
  <c r="I88" i="19"/>
  <c r="F42" i="20"/>
  <c r="C42" i="16"/>
  <c r="E42" i="19"/>
  <c r="E46" i="20"/>
  <c r="AM46" i="20" s="1"/>
  <c r="B46" i="16"/>
  <c r="B621" i="11"/>
  <c r="L621" i="9"/>
  <c r="H625" i="16"/>
  <c r="P625" i="16" s="1"/>
  <c r="H625" i="20"/>
  <c r="F625" i="19"/>
  <c r="J516" i="20"/>
  <c r="M516" i="20"/>
  <c r="B434" i="19"/>
  <c r="B434" i="20"/>
  <c r="AL434" i="20" s="1"/>
  <c r="C438" i="16"/>
  <c r="F438" i="20"/>
  <c r="E438" i="19"/>
  <c r="H573" i="16"/>
  <c r="P573" i="16" s="1"/>
  <c r="H573" i="20"/>
  <c r="F573" i="19"/>
  <c r="C559" i="16"/>
  <c r="F559" i="20"/>
  <c r="E559" i="19"/>
  <c r="M510" i="20"/>
  <c r="J510" i="20"/>
  <c r="C400" i="16"/>
  <c r="F400" i="20"/>
  <c r="E400" i="19"/>
  <c r="L735" i="20"/>
  <c r="I735" i="20"/>
  <c r="C297" i="16"/>
  <c r="E297" i="19"/>
  <c r="F297" i="20"/>
  <c r="I8" i="11"/>
  <c r="A173" i="16"/>
  <c r="A173" i="20"/>
  <c r="A173" i="19"/>
  <c r="G468" i="8"/>
  <c r="H608" i="19"/>
  <c r="L608" i="19"/>
  <c r="K608" i="19"/>
  <c r="J359" i="8"/>
  <c r="B185" i="16"/>
  <c r="E185" i="20"/>
  <c r="AM185" i="20" s="1"/>
  <c r="B211" i="11"/>
  <c r="L211" i="9"/>
  <c r="J46" i="8"/>
  <c r="G46" i="8"/>
  <c r="J97" i="8"/>
  <c r="J166" i="8"/>
  <c r="L463" i="19"/>
  <c r="K463" i="19"/>
  <c r="H463" i="19"/>
  <c r="B224" i="20"/>
  <c r="AL224" i="20" s="1"/>
  <c r="B224" i="19"/>
  <c r="B701" i="20"/>
  <c r="AL701" i="20" s="1"/>
  <c r="B701" i="19"/>
  <c r="S47" i="20"/>
  <c r="U47" i="20"/>
  <c r="C472" i="16"/>
  <c r="F472" i="20"/>
  <c r="E472" i="19"/>
  <c r="B776" i="16"/>
  <c r="E776" i="20"/>
  <c r="AM776" i="20" s="1"/>
  <c r="L754" i="20"/>
  <c r="I754" i="20"/>
  <c r="J563" i="8"/>
  <c r="B443" i="20"/>
  <c r="AL443" i="20" s="1"/>
  <c r="B443" i="19"/>
  <c r="G549" i="8"/>
  <c r="B567" i="16"/>
  <c r="E567" i="20"/>
  <c r="AM567" i="20" s="1"/>
  <c r="B394" i="20"/>
  <c r="AL394" i="20" s="1"/>
  <c r="B394" i="19"/>
  <c r="C177" i="16"/>
  <c r="F177" i="20"/>
  <c r="E177" i="19"/>
  <c r="M193" i="19"/>
  <c r="I193" i="19"/>
  <c r="L362" i="20"/>
  <c r="I362" i="20"/>
  <c r="J246" i="8"/>
  <c r="S215" i="16"/>
  <c r="K215" i="16"/>
  <c r="O215" i="16"/>
  <c r="N22" i="8"/>
  <c r="F13" i="1" s="1"/>
  <c r="J9" i="8"/>
  <c r="B389" i="16"/>
  <c r="E389" i="20"/>
  <c r="AM389" i="20" s="1"/>
  <c r="J464" i="8"/>
  <c r="B659" i="16"/>
  <c r="E659" i="20"/>
  <c r="AM659" i="20" s="1"/>
  <c r="C169" i="16"/>
  <c r="F169" i="20"/>
  <c r="E169" i="19"/>
  <c r="J477" i="8"/>
  <c r="B773" i="19"/>
  <c r="B773" i="20"/>
  <c r="AL773" i="20" s="1"/>
  <c r="C393" i="16"/>
  <c r="F393" i="20"/>
  <c r="E393" i="19"/>
  <c r="S166" i="16"/>
  <c r="O166" i="16"/>
  <c r="K166" i="16"/>
  <c r="B576" i="16"/>
  <c r="E576" i="20"/>
  <c r="AM576" i="20" s="1"/>
  <c r="A6" i="20"/>
  <c r="A6" i="16"/>
  <c r="A6" i="19"/>
  <c r="C619" i="16"/>
  <c r="F619" i="20"/>
  <c r="E619" i="19"/>
  <c r="S735" i="16"/>
  <c r="K735" i="16"/>
  <c r="O735" i="16"/>
  <c r="M122" i="20"/>
  <c r="J122" i="20"/>
  <c r="E328" i="20"/>
  <c r="AM328" i="20" s="1"/>
  <c r="B328" i="16"/>
  <c r="H375" i="16"/>
  <c r="P375" i="16" s="1"/>
  <c r="H375" i="20"/>
  <c r="F375" i="19"/>
  <c r="L608" i="20"/>
  <c r="I608" i="20"/>
  <c r="B359" i="16"/>
  <c r="E359" i="20"/>
  <c r="AM359" i="20" s="1"/>
  <c r="G520" i="8"/>
  <c r="B97" i="16"/>
  <c r="E97" i="20"/>
  <c r="AM97" i="20" s="1"/>
  <c r="I248" i="19"/>
  <c r="M248" i="19"/>
  <c r="M57" i="20"/>
  <c r="J57" i="20"/>
  <c r="C776" i="16"/>
  <c r="F776" i="20"/>
  <c r="E776" i="19"/>
  <c r="C363" i="16"/>
  <c r="F363" i="20"/>
  <c r="E363" i="19"/>
  <c r="L463" i="20"/>
  <c r="I463" i="20"/>
  <c r="C659" i="16"/>
  <c r="E659" i="19"/>
  <c r="F659" i="20"/>
  <c r="L754" i="19"/>
  <c r="K754" i="19"/>
  <c r="H754" i="19"/>
  <c r="J397" i="8"/>
  <c r="C13" i="16"/>
  <c r="F13" i="20"/>
  <c r="E13" i="19"/>
  <c r="B310" i="16"/>
  <c r="E310" i="20"/>
  <c r="AM310" i="20" s="1"/>
  <c r="H362" i="19"/>
  <c r="L362" i="19"/>
  <c r="K362" i="19"/>
  <c r="B720" i="20"/>
  <c r="AL720" i="20" s="1"/>
  <c r="B720" i="19"/>
  <c r="L798" i="19"/>
  <c r="H798" i="19"/>
  <c r="K798" i="19"/>
  <c r="B447" i="16"/>
  <c r="E447" i="20"/>
  <c r="AM447" i="20" s="1"/>
  <c r="B477" i="16"/>
  <c r="E477" i="20"/>
  <c r="AM477" i="20" s="1"/>
  <c r="C757" i="16"/>
  <c r="F757" i="20"/>
  <c r="E757" i="19"/>
  <c r="C576" i="16"/>
  <c r="F576" i="20"/>
  <c r="E576" i="19"/>
  <c r="J697" i="8"/>
  <c r="S362" i="16"/>
  <c r="O362" i="16"/>
  <c r="K362" i="16"/>
  <c r="B246" i="16"/>
  <c r="E246" i="20"/>
  <c r="AM246" i="20" s="1"/>
  <c r="E170" i="20"/>
  <c r="AM170" i="20" s="1"/>
  <c r="B170" i="16"/>
  <c r="J590" i="8"/>
  <c r="B420" i="16"/>
  <c r="E420" i="20"/>
  <c r="AM420" i="20" s="1"/>
  <c r="L798" i="20"/>
  <c r="I798" i="20"/>
  <c r="B464" i="16"/>
  <c r="E464" i="20"/>
  <c r="AM464" i="20" s="1"/>
  <c r="E446" i="19"/>
  <c r="C446" i="16"/>
  <c r="F446" i="20"/>
  <c r="E66" i="20"/>
  <c r="AM66" i="20" s="1"/>
  <c r="B66" i="16"/>
  <c r="B671" i="20"/>
  <c r="AL671" i="20" s="1"/>
  <c r="B671" i="19"/>
  <c r="B563" i="16"/>
  <c r="E563" i="20"/>
  <c r="AM563" i="20" s="1"/>
  <c r="C794" i="16"/>
  <c r="F794" i="20"/>
  <c r="E794" i="19"/>
  <c r="B280" i="16"/>
  <c r="E280" i="20"/>
  <c r="AM280" i="20" s="1"/>
  <c r="C292" i="16"/>
  <c r="F292" i="20"/>
  <c r="E292" i="19"/>
  <c r="B336" i="16"/>
  <c r="E336" i="20"/>
  <c r="AM336" i="20" s="1"/>
  <c r="B506" i="16"/>
  <c r="E506" i="20"/>
  <c r="AM506" i="20" s="1"/>
  <c r="K798" i="16"/>
  <c r="S798" i="16"/>
  <c r="O798" i="16"/>
  <c r="C253" i="16"/>
  <c r="F253" i="20"/>
  <c r="E253" i="19"/>
  <c r="B614" i="20"/>
  <c r="AL614" i="20" s="1"/>
  <c r="B614" i="19"/>
  <c r="G296" i="8"/>
  <c r="H779" i="19"/>
  <c r="K779" i="19"/>
  <c r="L779" i="19"/>
  <c r="B356" i="16"/>
  <c r="E356" i="20"/>
  <c r="AM356" i="20" s="1"/>
  <c r="C506" i="16"/>
  <c r="F506" i="20"/>
  <c r="E506" i="19"/>
  <c r="B541" i="20"/>
  <c r="AL541" i="20" s="1"/>
  <c r="B541" i="19"/>
  <c r="C242" i="16"/>
  <c r="F242" i="20"/>
  <c r="E242" i="19"/>
  <c r="H540" i="19"/>
  <c r="L540" i="19"/>
  <c r="K540" i="19"/>
  <c r="C313" i="16"/>
  <c r="F313" i="20"/>
  <c r="E313" i="19"/>
  <c r="B424" i="20"/>
  <c r="AL424" i="20" s="1"/>
  <c r="B424" i="19"/>
  <c r="C727" i="16"/>
  <c r="F727" i="20"/>
  <c r="E727" i="19"/>
  <c r="J780" i="8"/>
  <c r="F453" i="20"/>
  <c r="C453" i="16"/>
  <c r="E453" i="19"/>
  <c r="B397" i="16"/>
  <c r="E397" i="20"/>
  <c r="AM397" i="20" s="1"/>
  <c r="B93" i="20"/>
  <c r="AL93" i="20" s="1"/>
  <c r="B93" i="19"/>
  <c r="C127" i="16"/>
  <c r="F127" i="20"/>
  <c r="E127" i="19"/>
  <c r="B624" i="16"/>
  <c r="E624" i="20"/>
  <c r="AM624" i="20" s="1"/>
  <c r="J170" i="8"/>
  <c r="J473" i="8"/>
  <c r="B314" i="16"/>
  <c r="E314" i="20"/>
  <c r="AM314" i="20" s="1"/>
  <c r="H800" i="19"/>
  <c r="L800" i="19"/>
  <c r="K800" i="19"/>
  <c r="B296" i="16"/>
  <c r="E296" i="20"/>
  <c r="AM296" i="20" s="1"/>
  <c r="B67" i="20"/>
  <c r="AL67" i="20" s="1"/>
  <c r="B67" i="19"/>
  <c r="L779" i="20"/>
  <c r="I779" i="20"/>
  <c r="G356" i="8"/>
  <c r="J356" i="8"/>
  <c r="C799" i="16"/>
  <c r="F799" i="20"/>
  <c r="E799" i="19"/>
  <c r="F82" i="20"/>
  <c r="C82" i="16"/>
  <c r="E82" i="19"/>
  <c r="B510" i="16"/>
  <c r="E510" i="20"/>
  <c r="AM510" i="20" s="1"/>
  <c r="B147" i="16"/>
  <c r="E147" i="20"/>
  <c r="AM147" i="20" s="1"/>
  <c r="B18" i="20"/>
  <c r="AL18" i="20" s="1"/>
  <c r="B18" i="19"/>
  <c r="K505" i="19"/>
  <c r="H505" i="19"/>
  <c r="L505" i="19"/>
  <c r="H202" i="16"/>
  <c r="P202" i="16" s="1"/>
  <c r="F202" i="19"/>
  <c r="H202" i="20"/>
  <c r="B596" i="20"/>
  <c r="AL596" i="20" s="1"/>
  <c r="B596" i="19"/>
  <c r="J223" i="8"/>
  <c r="H551" i="16"/>
  <c r="P551" i="16" s="1"/>
  <c r="H551" i="20"/>
  <c r="F551" i="19"/>
  <c r="C692" i="16"/>
  <c r="E692" i="19"/>
  <c r="F692" i="20"/>
  <c r="B334" i="16"/>
  <c r="E334" i="20"/>
  <c r="AM334" i="20" s="1"/>
  <c r="L329" i="19"/>
  <c r="K329" i="19"/>
  <c r="H329" i="19"/>
  <c r="B697" i="20"/>
  <c r="AL697" i="20" s="1"/>
  <c r="B697" i="19"/>
  <c r="M201" i="19"/>
  <c r="I201" i="19"/>
  <c r="M355" i="19"/>
  <c r="I355" i="19"/>
  <c r="B784" i="11"/>
  <c r="L784" i="9"/>
  <c r="A288" i="16"/>
  <c r="A288" i="20"/>
  <c r="A288" i="19"/>
  <c r="C773" i="16"/>
  <c r="F773" i="20"/>
  <c r="E773" i="19"/>
  <c r="H435" i="19"/>
  <c r="L435" i="19"/>
  <c r="K435" i="19"/>
  <c r="J248" i="20"/>
  <c r="M248" i="20"/>
  <c r="C49" i="16"/>
  <c r="F49" i="20"/>
  <c r="E49" i="19"/>
  <c r="B268" i="16"/>
  <c r="E268" i="20"/>
  <c r="AM268" i="20" s="1"/>
  <c r="L11" i="9"/>
  <c r="AU23" i="16" s="1"/>
  <c r="B11" i="11"/>
  <c r="L259" i="19"/>
  <c r="K259" i="19"/>
  <c r="H259" i="19"/>
  <c r="D22" i="6"/>
  <c r="J39" i="8"/>
  <c r="B204" i="16"/>
  <c r="E204" i="20"/>
  <c r="AM204" i="20" s="1"/>
  <c r="M455" i="20"/>
  <c r="J455" i="20"/>
  <c r="H173" i="16"/>
  <c r="P173" i="16" s="1"/>
  <c r="H173" i="20"/>
  <c r="F173" i="19"/>
  <c r="B568" i="16"/>
  <c r="E568" i="20"/>
  <c r="AM568" i="20" s="1"/>
  <c r="J419" i="8"/>
  <c r="A196" i="16"/>
  <c r="A196" i="20"/>
  <c r="A196" i="19"/>
  <c r="L805" i="20"/>
  <c r="I805" i="20"/>
  <c r="M134" i="19"/>
  <c r="I134" i="19"/>
  <c r="J195" i="8"/>
  <c r="E32" i="20"/>
  <c r="AM32" i="20" s="1"/>
  <c r="B32" i="16"/>
  <c r="L318" i="9"/>
  <c r="B318" i="11"/>
  <c r="B149" i="16"/>
  <c r="E149" i="20"/>
  <c r="AM149" i="20" s="1"/>
  <c r="I183" i="19"/>
  <c r="M183" i="19"/>
  <c r="C507" i="16"/>
  <c r="F507" i="20"/>
  <c r="E507" i="19"/>
  <c r="C17" i="16"/>
  <c r="F17" i="20"/>
  <c r="E17" i="19"/>
  <c r="D13" i="10"/>
  <c r="I17" i="7"/>
  <c r="AN17" i="16" s="1"/>
  <c r="L540" i="20"/>
  <c r="I540" i="20"/>
  <c r="F136" i="20"/>
  <c r="C136" i="16"/>
  <c r="E136" i="19"/>
  <c r="C257" i="16"/>
  <c r="E257" i="19"/>
  <c r="F257" i="20"/>
  <c r="C620" i="16"/>
  <c r="F620" i="20"/>
  <c r="E620" i="19"/>
  <c r="B387" i="20"/>
  <c r="AL387" i="20" s="1"/>
  <c r="B387" i="19"/>
  <c r="C693" i="16"/>
  <c r="F693" i="20"/>
  <c r="E693" i="19"/>
  <c r="C233" i="16"/>
  <c r="E233" i="19"/>
  <c r="F233" i="20"/>
  <c r="B254" i="16"/>
  <c r="E254" i="20"/>
  <c r="AM254" i="20" s="1"/>
  <c r="J203" i="8"/>
  <c r="B101" i="20"/>
  <c r="AL101" i="20" s="1"/>
  <c r="B101" i="19"/>
  <c r="B697" i="16"/>
  <c r="E697" i="20"/>
  <c r="AM697" i="20" s="1"/>
  <c r="B127" i="16"/>
  <c r="E127" i="20"/>
  <c r="AM127" i="20" s="1"/>
  <c r="G336" i="8"/>
  <c r="J336" i="8"/>
  <c r="B451" i="20"/>
  <c r="AL451" i="20" s="1"/>
  <c r="B451" i="19"/>
  <c r="I800" i="20"/>
  <c r="L800" i="20"/>
  <c r="B564" i="20"/>
  <c r="AL564" i="20" s="1"/>
  <c r="B564" i="19"/>
  <c r="K779" i="16"/>
  <c r="S779" i="16"/>
  <c r="O779" i="16"/>
  <c r="C38" i="1"/>
  <c r="N12" i="1"/>
  <c r="C343" i="16"/>
  <c r="F343" i="20"/>
  <c r="E343" i="19"/>
  <c r="L505" i="20"/>
  <c r="I505" i="20"/>
  <c r="H69" i="16"/>
  <c r="P69" i="16" s="1"/>
  <c r="H69" i="20"/>
  <c r="F69" i="19"/>
  <c r="H496" i="16"/>
  <c r="P496" i="16" s="1"/>
  <c r="F496" i="19"/>
  <c r="H496" i="20"/>
  <c r="L420" i="9"/>
  <c r="B420" i="11"/>
  <c r="S329" i="16"/>
  <c r="K329" i="16"/>
  <c r="O329" i="16"/>
  <c r="C109" i="16"/>
  <c r="F109" i="20"/>
  <c r="E109" i="19"/>
  <c r="L747" i="20"/>
  <c r="I747" i="20"/>
  <c r="H296" i="16"/>
  <c r="P296" i="16" s="1"/>
  <c r="H296" i="20"/>
  <c r="F296" i="19"/>
  <c r="H178" i="19"/>
  <c r="L178" i="19"/>
  <c r="K178" i="19"/>
  <c r="L644" i="19"/>
  <c r="K644" i="19"/>
  <c r="H644" i="19"/>
  <c r="O435" i="16"/>
  <c r="K435" i="16"/>
  <c r="S435" i="16"/>
  <c r="A796" i="16"/>
  <c r="A796" i="20"/>
  <c r="A796" i="19"/>
  <c r="C312" i="16"/>
  <c r="E312" i="19"/>
  <c r="F312" i="20"/>
  <c r="H607" i="16"/>
  <c r="P607" i="16" s="1"/>
  <c r="H607" i="20"/>
  <c r="F607" i="19"/>
  <c r="C542" i="16"/>
  <c r="E542" i="19"/>
  <c r="F542" i="20"/>
  <c r="H491" i="16"/>
  <c r="P491" i="16" s="1"/>
  <c r="H491" i="20"/>
  <c r="F491" i="19"/>
  <c r="J259" i="20"/>
  <c r="M259" i="20"/>
  <c r="B639" i="20"/>
  <c r="AL639" i="20" s="1"/>
  <c r="B639" i="19"/>
  <c r="J268" i="8"/>
  <c r="A11" i="16"/>
  <c r="A11" i="20"/>
  <c r="A11" i="19"/>
  <c r="S259" i="16"/>
  <c r="O259" i="16"/>
  <c r="K259" i="16"/>
  <c r="E39" i="20"/>
  <c r="AM39" i="20" s="1"/>
  <c r="B39" i="16"/>
  <c r="L411" i="19"/>
  <c r="K411" i="19"/>
  <c r="H411" i="19"/>
  <c r="G204" i="8"/>
  <c r="J204" i="8"/>
  <c r="B813" i="16"/>
  <c r="E813" i="20"/>
  <c r="AM813" i="20" s="1"/>
  <c r="S805" i="16"/>
  <c r="O805" i="16"/>
  <c r="K805" i="16"/>
  <c r="J75" i="8"/>
  <c r="G75" i="8"/>
  <c r="B195" i="16"/>
  <c r="E195" i="20"/>
  <c r="AM195" i="20" s="1"/>
  <c r="J285" i="20"/>
  <c r="M285" i="20"/>
  <c r="B476" i="16"/>
  <c r="E476" i="20"/>
  <c r="AM476" i="20" s="1"/>
  <c r="A136" i="16"/>
  <c r="A136" i="20"/>
  <c r="A136" i="19"/>
  <c r="M378" i="19"/>
  <c r="I378" i="19"/>
  <c r="S540" i="16"/>
  <c r="O540" i="16"/>
  <c r="K540" i="16"/>
  <c r="E716" i="20"/>
  <c r="AM716" i="20" s="1"/>
  <c r="B716" i="16"/>
  <c r="B780" i="16"/>
  <c r="E780" i="20"/>
  <c r="AM780" i="20" s="1"/>
  <c r="B654" i="16"/>
  <c r="E654" i="20"/>
  <c r="AM654" i="20" s="1"/>
  <c r="C650" i="16"/>
  <c r="F650" i="20"/>
  <c r="E650" i="19"/>
  <c r="B63" i="20"/>
  <c r="AL63" i="20" s="1"/>
  <c r="B63" i="19"/>
  <c r="B181" i="20"/>
  <c r="AL181" i="20" s="1"/>
  <c r="B181" i="19"/>
  <c r="C806" i="16"/>
  <c r="F806" i="20"/>
  <c r="E806" i="19"/>
  <c r="E140" i="20"/>
  <c r="AM140" i="20" s="1"/>
  <c r="B140" i="16"/>
  <c r="B473" i="16"/>
  <c r="E473" i="20"/>
  <c r="AM473" i="20" s="1"/>
  <c r="B360" i="16"/>
  <c r="E360" i="20"/>
  <c r="AM360" i="20" s="1"/>
  <c r="B203" i="20"/>
  <c r="AL203" i="20" s="1"/>
  <c r="B203" i="19"/>
  <c r="S800" i="16"/>
  <c r="K800" i="16"/>
  <c r="O800" i="16"/>
  <c r="J276" i="8"/>
  <c r="C629" i="16"/>
  <c r="F629" i="20"/>
  <c r="E629" i="19"/>
  <c r="C306" i="16"/>
  <c r="F306" i="20"/>
  <c r="E306" i="19"/>
  <c r="B753" i="20"/>
  <c r="AL753" i="20" s="1"/>
  <c r="B753" i="19"/>
  <c r="B421" i="20"/>
  <c r="AL421" i="20" s="1"/>
  <c r="B421" i="19"/>
  <c r="B610" i="16"/>
  <c r="E610" i="20"/>
  <c r="AM610" i="20" s="1"/>
  <c r="C469" i="16"/>
  <c r="F469" i="20"/>
  <c r="E469" i="19"/>
  <c r="L747" i="19"/>
  <c r="K747" i="19"/>
  <c r="H747" i="19"/>
  <c r="M280" i="20"/>
  <c r="J280" i="20"/>
  <c r="B491" i="16"/>
  <c r="E491" i="20"/>
  <c r="AM491" i="20" s="1"/>
  <c r="L178" i="20"/>
  <c r="I178" i="20"/>
  <c r="L644" i="20"/>
  <c r="I644" i="20"/>
  <c r="L435" i="20"/>
  <c r="I435" i="20"/>
  <c r="C606" i="16"/>
  <c r="F606" i="20"/>
  <c r="E606" i="19"/>
  <c r="A507" i="16"/>
  <c r="A507" i="20"/>
  <c r="A507" i="19"/>
  <c r="B290" i="16"/>
  <c r="E290" i="20"/>
  <c r="AM290" i="20" s="1"/>
  <c r="L259" i="20"/>
  <c r="I259" i="20"/>
  <c r="J757" i="8"/>
  <c r="C236" i="16"/>
  <c r="F236" i="20"/>
  <c r="E236" i="19"/>
  <c r="I411" i="20"/>
  <c r="L411" i="20"/>
  <c r="G451" i="8"/>
  <c r="F319" i="20"/>
  <c r="C319" i="16"/>
  <c r="E319" i="19"/>
  <c r="A137" i="16"/>
  <c r="A137" i="20"/>
  <c r="A137" i="19"/>
  <c r="M466" i="19"/>
  <c r="I466" i="19"/>
  <c r="B419" i="16"/>
  <c r="E419" i="20"/>
  <c r="AM419" i="20" s="1"/>
  <c r="B75" i="16"/>
  <c r="E75" i="20"/>
  <c r="AM75" i="20" s="1"/>
  <c r="B153" i="16"/>
  <c r="E153" i="20"/>
  <c r="AM153" i="20" s="1"/>
  <c r="C667" i="16"/>
  <c r="F667" i="20"/>
  <c r="E667" i="19"/>
  <c r="C484" i="16"/>
  <c r="F484" i="20"/>
  <c r="E484" i="19"/>
  <c r="M821" i="20"/>
  <c r="J821" i="20"/>
  <c r="B257" i="16"/>
  <c r="E257" i="20"/>
  <c r="AM257" i="20" s="1"/>
  <c r="C276" i="16"/>
  <c r="F276" i="20"/>
  <c r="E276" i="19"/>
  <c r="C567" i="16"/>
  <c r="F567" i="20"/>
  <c r="E567" i="19"/>
  <c r="J93" i="8"/>
  <c r="B203" i="16"/>
  <c r="E203" i="20"/>
  <c r="AM203" i="20" s="1"/>
  <c r="L79" i="20"/>
  <c r="I79" i="20"/>
  <c r="C510" i="16"/>
  <c r="F510" i="20"/>
  <c r="E510" i="19"/>
  <c r="J140" i="8"/>
  <c r="G140" i="8"/>
  <c r="B360" i="20"/>
  <c r="AL360" i="20" s="1"/>
  <c r="B360" i="19"/>
  <c r="J314" i="8"/>
  <c r="B794" i="16"/>
  <c r="E794" i="20"/>
  <c r="AM794" i="20" s="1"/>
  <c r="C390" i="16"/>
  <c r="F390" i="20"/>
  <c r="E390" i="19"/>
  <c r="J610" i="8"/>
  <c r="J510" i="8"/>
  <c r="L289" i="19"/>
  <c r="H289" i="19"/>
  <c r="C575" i="16"/>
  <c r="F575" i="20"/>
  <c r="E575" i="19"/>
  <c r="I131" i="20"/>
  <c r="L131" i="20"/>
  <c r="H475" i="16"/>
  <c r="P475" i="16" s="1"/>
  <c r="H475" i="20"/>
  <c r="F475" i="19"/>
  <c r="B690" i="16"/>
  <c r="E690" i="20"/>
  <c r="AM690" i="20" s="1"/>
  <c r="B233" i="16"/>
  <c r="E233" i="20"/>
  <c r="AM233" i="20" s="1"/>
  <c r="J77" i="8"/>
  <c r="K498" i="16"/>
  <c r="O498" i="16"/>
  <c r="S498" i="16"/>
  <c r="A716" i="16"/>
  <c r="A716" i="20"/>
  <c r="A716" i="19"/>
  <c r="B137" i="16"/>
  <c r="E137" i="20"/>
  <c r="AM137" i="20" s="1"/>
  <c r="J132" i="8"/>
  <c r="G132" i="8"/>
  <c r="B715" i="16"/>
  <c r="E715" i="20"/>
  <c r="AM715" i="20" s="1"/>
  <c r="M490" i="20"/>
  <c r="J490" i="20"/>
  <c r="J230" i="20"/>
  <c r="M230" i="20"/>
  <c r="J696" i="8"/>
  <c r="L485" i="20"/>
  <c r="I485" i="20"/>
  <c r="B332" i="16"/>
  <c r="E332" i="20"/>
  <c r="AM332" i="20" s="1"/>
  <c r="M539" i="19"/>
  <c r="I539" i="19"/>
  <c r="B266" i="19"/>
  <c r="B266" i="20"/>
  <c r="AL266" i="20" s="1"/>
  <c r="L314" i="20"/>
  <c r="I314" i="20"/>
  <c r="H250" i="16"/>
  <c r="P250" i="16" s="1"/>
  <c r="H250" i="20"/>
  <c r="F250" i="19"/>
  <c r="K370" i="16"/>
  <c r="S370" i="16"/>
  <c r="O370" i="16"/>
  <c r="M358" i="19"/>
  <c r="I358" i="19"/>
  <c r="J812" i="8"/>
  <c r="B120" i="16"/>
  <c r="E120" i="20"/>
  <c r="AM120" i="20" s="1"/>
  <c r="H382" i="16"/>
  <c r="P382" i="16" s="1"/>
  <c r="F382" i="19"/>
  <c r="H382" i="20"/>
  <c r="G15" i="8"/>
  <c r="J612" i="8"/>
  <c r="B126" i="16"/>
  <c r="E126" i="20"/>
  <c r="AM126" i="20" s="1"/>
  <c r="C518" i="16"/>
  <c r="F518" i="20"/>
  <c r="E518" i="19"/>
  <c r="H358" i="19"/>
  <c r="L358" i="19"/>
  <c r="K358" i="19"/>
  <c r="C657" i="16"/>
  <c r="F657" i="20"/>
  <c r="E657" i="19"/>
  <c r="C758" i="16"/>
  <c r="F758" i="20"/>
  <c r="E758" i="19"/>
  <c r="A406" i="16"/>
  <c r="A406" i="20"/>
  <c r="A406" i="19"/>
  <c r="C560" i="16"/>
  <c r="F560" i="20"/>
  <c r="E560" i="19"/>
  <c r="L330" i="9"/>
  <c r="B330" i="11"/>
  <c r="G59" i="7"/>
  <c r="D14" i="6"/>
  <c r="B47" i="10"/>
  <c r="G40" i="7"/>
  <c r="E45" i="6"/>
  <c r="C13" i="6"/>
  <c r="I54" i="7"/>
  <c r="AN54" i="16" s="1"/>
  <c r="D54" i="6"/>
  <c r="E34" i="6"/>
  <c r="D49" i="10"/>
  <c r="H49" i="7"/>
  <c r="H43" i="7"/>
  <c r="I63" i="7"/>
  <c r="AN63" i="16" s="1"/>
  <c r="D65" i="10"/>
  <c r="D25" i="10"/>
  <c r="B16" i="10"/>
  <c r="B68" i="10"/>
  <c r="B59" i="6"/>
  <c r="C647" i="16"/>
  <c r="F647" i="20"/>
  <c r="E647" i="19"/>
  <c r="B527" i="16"/>
  <c r="E527" i="20"/>
  <c r="AM527" i="20" s="1"/>
  <c r="B298" i="16"/>
  <c r="E298" i="20"/>
  <c r="AM298" i="20" s="1"/>
  <c r="A90" i="16"/>
  <c r="A90" i="20"/>
  <c r="A90" i="19"/>
  <c r="B459" i="16"/>
  <c r="E459" i="20"/>
  <c r="AM459" i="20" s="1"/>
  <c r="L90" i="9"/>
  <c r="B90" i="11"/>
  <c r="B642" i="16"/>
  <c r="E642" i="20"/>
  <c r="AM642" i="20" s="1"/>
  <c r="B373" i="16"/>
  <c r="E373" i="20"/>
  <c r="AM373" i="20" s="1"/>
  <c r="K747" i="16"/>
  <c r="O747" i="16"/>
  <c r="S747" i="16"/>
  <c r="E43" i="6"/>
  <c r="H263" i="19"/>
  <c r="L263" i="19"/>
  <c r="K263" i="19"/>
  <c r="C663" i="16"/>
  <c r="F663" i="20"/>
  <c r="E663" i="19"/>
  <c r="L288" i="9"/>
  <c r="B288" i="11"/>
  <c r="S178" i="16"/>
  <c r="O178" i="16"/>
  <c r="K178" i="16"/>
  <c r="S644" i="16"/>
  <c r="O644" i="16"/>
  <c r="K644" i="16"/>
  <c r="I760" i="19"/>
  <c r="M760" i="19"/>
  <c r="B786" i="16"/>
  <c r="E786" i="20"/>
  <c r="AM786" i="20" s="1"/>
  <c r="J717" i="8"/>
  <c r="C434" i="16"/>
  <c r="F434" i="20"/>
  <c r="E434" i="19"/>
  <c r="A606" i="16"/>
  <c r="A606" i="20"/>
  <c r="A606" i="19"/>
  <c r="C729" i="16"/>
  <c r="E729" i="19"/>
  <c r="F729" i="20"/>
  <c r="B401" i="16"/>
  <c r="E401" i="20"/>
  <c r="AM401" i="20" s="1"/>
  <c r="A201" i="16"/>
  <c r="A201" i="20"/>
  <c r="A201" i="19"/>
  <c r="S411" i="16"/>
  <c r="O411" i="16"/>
  <c r="K411" i="16"/>
  <c r="H179" i="16"/>
  <c r="P179" i="16" s="1"/>
  <c r="F179" i="19"/>
  <c r="H179" i="20"/>
  <c r="M340" i="20"/>
  <c r="J340" i="20"/>
  <c r="A738" i="16"/>
  <c r="A738" i="19"/>
  <c r="A738" i="20"/>
  <c r="E29" i="20"/>
  <c r="AM29" i="20" s="1"/>
  <c r="B29" i="16"/>
  <c r="M771" i="20"/>
  <c r="J771" i="20"/>
  <c r="L114" i="20"/>
  <c r="I114" i="20"/>
  <c r="G462" i="8"/>
  <c r="J462" i="8"/>
  <c r="J234" i="8"/>
  <c r="H345" i="16"/>
  <c r="P345" i="16" s="1"/>
  <c r="H345" i="20"/>
  <c r="F345" i="19"/>
  <c r="B514" i="16"/>
  <c r="E514" i="20"/>
  <c r="AM514" i="20" s="1"/>
  <c r="J283" i="8"/>
  <c r="C347" i="16"/>
  <c r="F347" i="20"/>
  <c r="E347" i="19"/>
  <c r="E196" i="20"/>
  <c r="AM196" i="20" s="1"/>
  <c r="B196" i="16"/>
  <c r="I533" i="19"/>
  <c r="M533" i="19"/>
  <c r="L428" i="19"/>
  <c r="K428" i="19"/>
  <c r="H428" i="19"/>
  <c r="C719" i="16"/>
  <c r="E719" i="19"/>
  <c r="F719" i="20"/>
  <c r="B624" i="19"/>
  <c r="B624" i="20"/>
  <c r="AL624" i="20" s="1"/>
  <c r="B629" i="16"/>
  <c r="E629" i="20"/>
  <c r="AM629" i="20" s="1"/>
  <c r="J443" i="8"/>
  <c r="C62" i="16"/>
  <c r="F62" i="20"/>
  <c r="E62" i="19"/>
  <c r="J254" i="8"/>
  <c r="H79" i="19"/>
  <c r="L79" i="19"/>
  <c r="C170" i="16"/>
  <c r="F170" i="20"/>
  <c r="E170" i="19"/>
  <c r="B250" i="16"/>
  <c r="E250" i="20"/>
  <c r="AM250" i="20" s="1"/>
  <c r="C310" i="16"/>
  <c r="F310" i="20"/>
  <c r="E310" i="19"/>
  <c r="C40" i="16"/>
  <c r="F40" i="20"/>
  <c r="E40" i="19"/>
  <c r="B390" i="16"/>
  <c r="E390" i="20"/>
  <c r="AM390" i="20" s="1"/>
  <c r="J439" i="8"/>
  <c r="I289" i="20"/>
  <c r="L289" i="20"/>
  <c r="M388" i="19"/>
  <c r="I388" i="19"/>
  <c r="C207" i="16"/>
  <c r="F207" i="20"/>
  <c r="E207" i="19"/>
  <c r="M712" i="20"/>
  <c r="J712" i="20"/>
  <c r="M794" i="19"/>
  <c r="I794" i="19"/>
  <c r="M637" i="20"/>
  <c r="J637" i="20"/>
  <c r="M428" i="19"/>
  <c r="I428" i="19"/>
  <c r="H237" i="16"/>
  <c r="P237" i="16" s="1"/>
  <c r="F237" i="19"/>
  <c r="H237" i="20"/>
  <c r="J786" i="8"/>
  <c r="C439" i="16"/>
  <c r="F439" i="20"/>
  <c r="E439" i="19"/>
  <c r="F268" i="20"/>
  <c r="C268" i="16"/>
  <c r="E268" i="19"/>
  <c r="C35" i="16"/>
  <c r="F35" i="20"/>
  <c r="E35" i="19"/>
  <c r="G187" i="8"/>
  <c r="G324" i="8"/>
  <c r="J324" i="8"/>
  <c r="M192" i="20"/>
  <c r="J192" i="20"/>
  <c r="B757" i="16"/>
  <c r="E757" i="20"/>
  <c r="AM757" i="20" s="1"/>
  <c r="C10" i="16"/>
  <c r="F10" i="20"/>
  <c r="E10" i="19"/>
  <c r="J165" i="8"/>
  <c r="H146" i="20"/>
  <c r="H146" i="16"/>
  <c r="P146" i="16" s="1"/>
  <c r="F146" i="19"/>
  <c r="B550" i="16"/>
  <c r="E550" i="20"/>
  <c r="AM550" i="20" s="1"/>
  <c r="B538" i="16"/>
  <c r="E538" i="20"/>
  <c r="AM538" i="20" s="1"/>
  <c r="H206" i="16"/>
  <c r="P206" i="16" s="1"/>
  <c r="H206" i="20"/>
  <c r="F206" i="19"/>
  <c r="B297" i="16"/>
  <c r="E297" i="20"/>
  <c r="AM297" i="20" s="1"/>
  <c r="H114" i="19"/>
  <c r="L114" i="19"/>
  <c r="K114" i="19"/>
  <c r="L409" i="19"/>
  <c r="H409" i="19"/>
  <c r="K409" i="19"/>
  <c r="B462" i="16"/>
  <c r="E462" i="20"/>
  <c r="AM462" i="20" s="1"/>
  <c r="B234" i="16"/>
  <c r="E234" i="20"/>
  <c r="AM234" i="20" s="1"/>
  <c r="C70" i="16"/>
  <c r="F70" i="20"/>
  <c r="E70" i="19"/>
  <c r="J117" i="8"/>
  <c r="A211" i="16"/>
  <c r="A211" i="20"/>
  <c r="A211" i="19"/>
  <c r="M373" i="19"/>
  <c r="I373" i="19"/>
  <c r="H193" i="19"/>
  <c r="L193" i="19"/>
  <c r="K193" i="19"/>
  <c r="J514" i="8"/>
  <c r="J14" i="8"/>
  <c r="I428" i="20"/>
  <c r="L428" i="20"/>
  <c r="C210" i="16"/>
  <c r="F210" i="20"/>
  <c r="E210" i="19"/>
  <c r="C627" i="16"/>
  <c r="E627" i="19"/>
  <c r="F627" i="20"/>
  <c r="J620" i="8"/>
  <c r="B443" i="16"/>
  <c r="E443" i="20"/>
  <c r="AM443" i="20" s="1"/>
  <c r="O79" i="16"/>
  <c r="K79" i="16"/>
  <c r="S79" i="16"/>
  <c r="B17" i="16"/>
  <c r="E17" i="20"/>
  <c r="AM17" i="20" s="1"/>
  <c r="C287" i="16"/>
  <c r="E287" i="19"/>
  <c r="F287" i="20"/>
  <c r="C442" i="16"/>
  <c r="F442" i="20"/>
  <c r="E442" i="19"/>
  <c r="H119" i="19"/>
  <c r="L119" i="19"/>
  <c r="K119" i="19"/>
  <c r="L254" i="19"/>
  <c r="K254" i="19"/>
  <c r="H254" i="19"/>
  <c r="M420" i="19"/>
  <c r="I420" i="19"/>
  <c r="B340" i="20"/>
  <c r="AL340" i="20" s="1"/>
  <c r="B340" i="19"/>
  <c r="C132" i="16"/>
  <c r="F132" i="20"/>
  <c r="E132" i="19"/>
  <c r="C553" i="16"/>
  <c r="F553" i="20"/>
  <c r="E553" i="19"/>
  <c r="B276" i="16"/>
  <c r="E276" i="20"/>
  <c r="AM276" i="20" s="1"/>
  <c r="J723" i="8"/>
  <c r="K289" i="16"/>
  <c r="S289" i="16"/>
  <c r="O289" i="16"/>
  <c r="B100" i="16"/>
  <c r="E100" i="20"/>
  <c r="AM100" i="20" s="1"/>
  <c r="B116" i="16"/>
  <c r="E116" i="20"/>
  <c r="AM116" i="20" s="1"/>
  <c r="B601" i="20"/>
  <c r="AL601" i="20" s="1"/>
  <c r="B601" i="19"/>
  <c r="H120" i="16"/>
  <c r="P120" i="16" s="1"/>
  <c r="H120" i="20"/>
  <c r="F120" i="19"/>
  <c r="B451" i="16"/>
  <c r="E451" i="20"/>
  <c r="AM451" i="20" s="1"/>
  <c r="B165" i="16"/>
  <c r="E165" i="20"/>
  <c r="AM165" i="20" s="1"/>
  <c r="M747" i="20"/>
  <c r="J747" i="20"/>
  <c r="L311" i="20"/>
  <c r="I311" i="20"/>
  <c r="J550" i="8"/>
  <c r="G550" i="8"/>
  <c r="L378" i="9"/>
  <c r="B378" i="11"/>
  <c r="A550" i="16"/>
  <c r="A550" i="20"/>
  <c r="A550" i="19"/>
  <c r="H73" i="16"/>
  <c r="P73" i="16" s="1"/>
  <c r="H73" i="20"/>
  <c r="F73" i="19"/>
  <c r="B437" i="16"/>
  <c r="E437" i="20"/>
  <c r="AM437" i="20" s="1"/>
  <c r="J756" i="8"/>
  <c r="H24" i="16"/>
  <c r="P24" i="16" s="1"/>
  <c r="H24" i="20"/>
  <c r="F24" i="19"/>
  <c r="O114" i="16"/>
  <c r="S114" i="16"/>
  <c r="K114" i="16"/>
  <c r="I409" i="20"/>
  <c r="L409" i="20"/>
  <c r="H526" i="16"/>
  <c r="P526" i="16" s="1"/>
  <c r="F526" i="19"/>
  <c r="H526" i="20"/>
  <c r="A408" i="16"/>
  <c r="A408" i="20"/>
  <c r="A408" i="19"/>
  <c r="M779" i="20"/>
  <c r="J779" i="20"/>
  <c r="L193" i="20"/>
  <c r="I193" i="20"/>
  <c r="U31" i="20"/>
  <c r="S31" i="20"/>
  <c r="B283" i="16"/>
  <c r="E283" i="20"/>
  <c r="AM283" i="20" s="1"/>
  <c r="B89" i="16"/>
  <c r="E89" i="20"/>
  <c r="AM89" i="20" s="1"/>
  <c r="S428" i="16"/>
  <c r="O428" i="16"/>
  <c r="K428" i="16"/>
  <c r="C579" i="16"/>
  <c r="F579" i="20"/>
  <c r="E579" i="19"/>
  <c r="C502" i="16"/>
  <c r="E502" i="19"/>
  <c r="F502" i="20"/>
  <c r="C57" i="16"/>
  <c r="F57" i="20"/>
  <c r="E57" i="19"/>
  <c r="C367" i="16"/>
  <c r="F367" i="20"/>
  <c r="E367" i="19"/>
  <c r="B93" i="16"/>
  <c r="E93" i="20"/>
  <c r="AM93" i="20" s="1"/>
  <c r="C419" i="16"/>
  <c r="F419" i="20"/>
  <c r="E419" i="19"/>
  <c r="C549" i="16"/>
  <c r="F549" i="20"/>
  <c r="E549" i="19"/>
  <c r="C140" i="16"/>
  <c r="F140" i="20"/>
  <c r="E140" i="19"/>
  <c r="L119" i="20"/>
  <c r="I119" i="20"/>
  <c r="I254" i="20"/>
  <c r="L254" i="20"/>
  <c r="B284" i="16"/>
  <c r="E284" i="20"/>
  <c r="AM284" i="20" s="1"/>
  <c r="B439" i="16"/>
  <c r="E439" i="20"/>
  <c r="AM439" i="20" s="1"/>
  <c r="G100" i="8"/>
  <c r="J100" i="8"/>
  <c r="J116" i="8"/>
  <c r="C165" i="16"/>
  <c r="F165" i="20"/>
  <c r="E165" i="19"/>
  <c r="L152" i="19"/>
  <c r="K152" i="19"/>
  <c r="H152" i="19"/>
  <c r="I311" i="19"/>
  <c r="M311" i="19"/>
  <c r="B383" i="20"/>
  <c r="AL383" i="20" s="1"/>
  <c r="B383" i="19"/>
  <c r="K311" i="19"/>
  <c r="H311" i="19"/>
  <c r="L311" i="19"/>
  <c r="B302" i="16"/>
  <c r="E302" i="20"/>
  <c r="AM302" i="20" s="1"/>
  <c r="I340" i="19"/>
  <c r="M340" i="19"/>
  <c r="L738" i="9"/>
  <c r="B738" i="11"/>
  <c r="A378" i="16"/>
  <c r="A378" i="20"/>
  <c r="A378" i="19"/>
  <c r="B756" i="16"/>
  <c r="E756" i="20"/>
  <c r="AM756" i="20" s="1"/>
  <c r="C332" i="16"/>
  <c r="E332" i="19"/>
  <c r="F332" i="20"/>
  <c r="F56" i="20"/>
  <c r="C56" i="16"/>
  <c r="E56" i="19"/>
  <c r="O409" i="16"/>
  <c r="K409" i="16"/>
  <c r="S409" i="16"/>
  <c r="B117" i="16"/>
  <c r="E117" i="20"/>
  <c r="AM117" i="20" s="1"/>
  <c r="C162" i="16"/>
  <c r="F162" i="20"/>
  <c r="E162" i="19"/>
  <c r="S193" i="16"/>
  <c r="O193" i="16"/>
  <c r="K193" i="16"/>
  <c r="C499" i="16"/>
  <c r="F499" i="20"/>
  <c r="E499" i="19"/>
  <c r="B14" i="16"/>
  <c r="E14" i="20"/>
  <c r="AM14" i="20" s="1"/>
  <c r="J423" i="8"/>
  <c r="B673" i="19"/>
  <c r="B673" i="20"/>
  <c r="AL673" i="20" s="1"/>
  <c r="C203" i="16"/>
  <c r="F203" i="20"/>
  <c r="E203" i="19"/>
  <c r="G277" i="8"/>
  <c r="O119" i="16"/>
  <c r="K119" i="16"/>
  <c r="S119" i="16"/>
  <c r="C123" i="16"/>
  <c r="F123" i="20"/>
  <c r="E123" i="19"/>
  <c r="K254" i="16"/>
  <c r="O254" i="16"/>
  <c r="S254" i="16"/>
  <c r="J601" i="8"/>
  <c r="E230" i="20"/>
  <c r="AM230" i="20" s="1"/>
  <c r="B230" i="16"/>
  <c r="F563" i="20"/>
  <c r="C563" i="16"/>
  <c r="E563" i="19"/>
  <c r="B723" i="16"/>
  <c r="E723" i="20"/>
  <c r="AM723" i="20" s="1"/>
  <c r="B306" i="20"/>
  <c r="AL306" i="20" s="1"/>
  <c r="B306" i="19"/>
  <c r="B106" i="16"/>
  <c r="E106" i="20"/>
  <c r="AM106" i="20" s="1"/>
  <c r="B777" i="20"/>
  <c r="AL777" i="20" s="1"/>
  <c r="B777" i="19"/>
  <c r="J343" i="8"/>
  <c r="G343" i="8"/>
  <c r="C464" i="16"/>
  <c r="F464" i="20"/>
  <c r="E464" i="19"/>
  <c r="C20" i="16"/>
  <c r="F20" i="20"/>
  <c r="E20" i="19"/>
  <c r="S399" i="16"/>
  <c r="K399" i="16"/>
  <c r="O399" i="16"/>
  <c r="J711" i="8"/>
  <c r="J99" i="20"/>
  <c r="M99" i="20"/>
  <c r="B647" i="11"/>
  <c r="L647" i="9"/>
  <c r="L334" i="9"/>
  <c r="B334" i="11"/>
  <c r="B208" i="16"/>
  <c r="E208" i="20"/>
  <c r="AM208" i="20" s="1"/>
  <c r="M398" i="20"/>
  <c r="J398" i="20"/>
  <c r="B150" i="16"/>
  <c r="E150" i="20"/>
  <c r="AM150" i="20" s="1"/>
  <c r="S12" i="16"/>
  <c r="O12" i="16"/>
  <c r="K12" i="16"/>
  <c r="L314" i="9"/>
  <c r="B314" i="11"/>
  <c r="C580" i="16"/>
  <c r="F580" i="20"/>
  <c r="E580" i="19"/>
  <c r="H289" i="16"/>
  <c r="P289" i="16" s="1"/>
  <c r="H289" i="20"/>
  <c r="F289" i="19"/>
  <c r="K289" i="19" s="1"/>
  <c r="A190" i="16"/>
  <c r="A190" i="20"/>
  <c r="A190" i="19"/>
  <c r="B467" i="16"/>
  <c r="E467" i="20"/>
  <c r="AM467" i="20" s="1"/>
  <c r="A66" i="20"/>
  <c r="A66" i="16"/>
  <c r="A66" i="19"/>
  <c r="B676" i="16"/>
  <c r="E676" i="20"/>
  <c r="AM676" i="20" s="1"/>
  <c r="B814" i="16"/>
  <c r="E814" i="20"/>
  <c r="AM814" i="20" s="1"/>
  <c r="C146" i="16"/>
  <c r="F146" i="20"/>
  <c r="E146" i="19"/>
  <c r="C14" i="16"/>
  <c r="F14" i="20"/>
  <c r="E14" i="19"/>
  <c r="B776" i="20"/>
  <c r="AL776" i="20" s="1"/>
  <c r="B776" i="19"/>
  <c r="L200" i="9"/>
  <c r="B200" i="11"/>
  <c r="J431" i="20"/>
  <c r="M431" i="20"/>
  <c r="H738" i="16"/>
  <c r="P738" i="16" s="1"/>
  <c r="H738" i="20"/>
  <c r="F738" i="19"/>
  <c r="K738" i="19" s="1"/>
  <c r="C822" i="16"/>
  <c r="F822" i="20"/>
  <c r="E822" i="19"/>
  <c r="C468" i="16"/>
  <c r="F468" i="20"/>
  <c r="E468" i="19"/>
  <c r="A200" i="16"/>
  <c r="A200" i="20"/>
  <c r="A200" i="19"/>
  <c r="A477" i="16"/>
  <c r="A477" i="20"/>
  <c r="A477" i="19"/>
  <c r="K818" i="16"/>
  <c r="S818" i="16"/>
  <c r="O818" i="16"/>
  <c r="S712" i="16"/>
  <c r="O712" i="16"/>
  <c r="K712" i="16"/>
  <c r="H749" i="16"/>
  <c r="P749" i="16" s="1"/>
  <c r="F749" i="19"/>
  <c r="H749" i="20"/>
  <c r="I139" i="19"/>
  <c r="M139" i="19"/>
  <c r="C699" i="16"/>
  <c r="F699" i="20"/>
  <c r="E699" i="19"/>
  <c r="A580" i="16"/>
  <c r="A580" i="20"/>
  <c r="A580" i="19"/>
  <c r="A144" i="16"/>
  <c r="A144" i="20"/>
  <c r="A144" i="19"/>
  <c r="M81" i="19"/>
  <c r="I81" i="19"/>
  <c r="C378" i="16"/>
  <c r="F378" i="20"/>
  <c r="E378" i="19"/>
  <c r="H37" i="7"/>
  <c r="G574" i="8"/>
  <c r="J574" i="8"/>
  <c r="K245" i="19"/>
  <c r="L245" i="19"/>
  <c r="H245" i="19"/>
  <c r="O738" i="16"/>
  <c r="K738" i="16"/>
  <c r="S738" i="16"/>
  <c r="I318" i="19"/>
  <c r="M318" i="19"/>
  <c r="M75" i="20"/>
  <c r="J75" i="20"/>
  <c r="B607" i="11"/>
  <c r="L607" i="9"/>
  <c r="L353" i="9"/>
  <c r="B353" i="11"/>
  <c r="B3" i="20"/>
  <c r="B3" i="19"/>
  <c r="C488" i="16"/>
  <c r="F488" i="20"/>
  <c r="E488" i="19"/>
  <c r="O55" i="10"/>
  <c r="F16" i="18" s="1"/>
  <c r="H16" i="18" s="1"/>
  <c r="AU55" i="10"/>
  <c r="AN55" i="10"/>
  <c r="Q55" i="20" s="1"/>
  <c r="C277" i="16"/>
  <c r="F277" i="20"/>
  <c r="E277" i="19"/>
  <c r="H724" i="19"/>
  <c r="K724" i="19"/>
  <c r="L724" i="19"/>
  <c r="H79" i="16"/>
  <c r="P79" i="16" s="1"/>
  <c r="H79" i="20"/>
  <c r="F79" i="19"/>
  <c r="D66" i="6"/>
  <c r="B18" i="6"/>
  <c r="H64" i="7"/>
  <c r="G64" i="7"/>
  <c r="C62" i="10"/>
  <c r="AM62" i="16" s="1"/>
  <c r="C2" i="6"/>
  <c r="D32" i="10"/>
  <c r="I30" i="7"/>
  <c r="AN30" i="16" s="1"/>
  <c r="I35" i="7"/>
  <c r="AN35" i="16" s="1"/>
  <c r="C61" i="6"/>
  <c r="C14" i="6"/>
  <c r="C50" i="10"/>
  <c r="AM50" i="16" s="1"/>
  <c r="E49" i="6"/>
  <c r="C18" i="6"/>
  <c r="G65" i="7"/>
  <c r="E65" i="6"/>
  <c r="D31" i="6"/>
  <c r="C3" i="10"/>
  <c r="AM3" i="16" s="1"/>
  <c r="I24" i="7"/>
  <c r="AN24" i="16" s="1"/>
  <c r="E54" i="6"/>
  <c r="E8" i="6"/>
  <c r="D38" i="10"/>
  <c r="H63" i="7"/>
  <c r="B67" i="10"/>
  <c r="C18" i="10"/>
  <c r="AM18" i="16" s="1"/>
  <c r="D59" i="10"/>
  <c r="B33" i="10"/>
  <c r="J734" i="8"/>
  <c r="C369" i="16"/>
  <c r="F369" i="20"/>
  <c r="E369" i="19"/>
  <c r="B241" i="16"/>
  <c r="E241" i="20"/>
  <c r="AM241" i="20" s="1"/>
  <c r="B823" i="16"/>
  <c r="E823" i="20"/>
  <c r="L709" i="19"/>
  <c r="K709" i="19"/>
  <c r="H709" i="19"/>
  <c r="J567" i="8"/>
  <c r="C795" i="16"/>
  <c r="F795" i="20"/>
  <c r="E795" i="19"/>
  <c r="C78" i="16"/>
  <c r="F78" i="20"/>
  <c r="E78" i="19"/>
  <c r="B163" i="16"/>
  <c r="E163" i="20"/>
  <c r="AM163" i="20" s="1"/>
  <c r="I677" i="19"/>
  <c r="M677" i="19"/>
  <c r="B484" i="16"/>
  <c r="E484" i="20"/>
  <c r="AM484" i="20" s="1"/>
  <c r="K543" i="19"/>
  <c r="H543" i="19"/>
  <c r="L543" i="19"/>
  <c r="M230" i="19"/>
  <c r="I230" i="19"/>
  <c r="L500" i="9"/>
  <c r="B500" i="11"/>
  <c r="O211" i="16"/>
  <c r="S211" i="16"/>
  <c r="K211" i="16"/>
  <c r="J628" i="20"/>
  <c r="M628" i="20"/>
  <c r="C394" i="16"/>
  <c r="F394" i="20"/>
  <c r="E394" i="19"/>
  <c r="M171" i="19"/>
  <c r="I171" i="19"/>
  <c r="B242" i="16"/>
  <c r="E242" i="20"/>
  <c r="AM242" i="20" s="1"/>
  <c r="C406" i="16"/>
  <c r="F406" i="20"/>
  <c r="E406" i="19"/>
  <c r="J269" i="8"/>
  <c r="L748" i="20"/>
  <c r="I748" i="20"/>
  <c r="J790" i="8"/>
  <c r="J156" i="8"/>
  <c r="H613" i="16"/>
  <c r="P613" i="16" s="1"/>
  <c r="H613" i="20"/>
  <c r="F613" i="19"/>
  <c r="L516" i="20"/>
  <c r="I516" i="20"/>
  <c r="L152" i="20"/>
  <c r="I152" i="20"/>
  <c r="B12" i="6"/>
  <c r="O311" i="16"/>
  <c r="K311" i="16"/>
  <c r="S311" i="16"/>
  <c r="C486" i="16"/>
  <c r="E486" i="19"/>
  <c r="F486" i="20"/>
  <c r="C681" i="16"/>
  <c r="E681" i="19"/>
  <c r="F681" i="20"/>
  <c r="A284" i="16"/>
  <c r="A284" i="20"/>
  <c r="A284" i="19"/>
  <c r="G53" i="7"/>
  <c r="L752" i="19"/>
  <c r="K752" i="19"/>
  <c r="H752" i="19"/>
  <c r="H359" i="19"/>
  <c r="L359" i="19"/>
  <c r="K359" i="19"/>
  <c r="I154" i="19"/>
  <c r="M154" i="19"/>
  <c r="C102" i="16"/>
  <c r="F102" i="20"/>
  <c r="E102" i="19"/>
  <c r="K656" i="19"/>
  <c r="H656" i="19"/>
  <c r="L656" i="19"/>
  <c r="A654" i="16"/>
  <c r="A654" i="20"/>
  <c r="A654" i="19"/>
  <c r="L408" i="9"/>
  <c r="B408" i="11"/>
  <c r="L171" i="19"/>
  <c r="K171" i="19"/>
  <c r="H171" i="19"/>
  <c r="C322" i="16"/>
  <c r="F322" i="20"/>
  <c r="E322" i="19"/>
  <c r="B166" i="19"/>
  <c r="B166" i="20"/>
  <c r="AL166" i="20" s="1"/>
  <c r="C423" i="16"/>
  <c r="F423" i="20"/>
  <c r="E423" i="19"/>
  <c r="C21" i="16"/>
  <c r="F21" i="20"/>
  <c r="E21" i="19"/>
  <c r="F689" i="20"/>
  <c r="C689" i="16"/>
  <c r="E689" i="19"/>
  <c r="B620" i="16"/>
  <c r="E620" i="20"/>
  <c r="AM620" i="20" s="1"/>
  <c r="B650" i="16"/>
  <c r="E650" i="20"/>
  <c r="AM650" i="20" s="1"/>
  <c r="B507" i="16"/>
  <c r="E507" i="20"/>
  <c r="AM507" i="20" s="1"/>
  <c r="B173" i="16"/>
  <c r="E173" i="20"/>
  <c r="AM173" i="20" s="1"/>
  <c r="C460" i="16"/>
  <c r="F460" i="20"/>
  <c r="E460" i="19"/>
  <c r="H238" i="19"/>
  <c r="L238" i="19"/>
  <c r="K238" i="19"/>
  <c r="G727" i="8"/>
  <c r="J727" i="8"/>
  <c r="B719" i="16"/>
  <c r="E719" i="20"/>
  <c r="AM719" i="20" s="1"/>
  <c r="J517" i="8"/>
  <c r="C280" i="16"/>
  <c r="F280" i="20"/>
  <c r="E280" i="19"/>
  <c r="B746" i="16"/>
  <c r="E746" i="20"/>
  <c r="AM746" i="20" s="1"/>
  <c r="J40" i="8"/>
  <c r="A330" i="16"/>
  <c r="A330" i="20"/>
  <c r="A330" i="19"/>
  <c r="C249" i="16"/>
  <c r="F249" i="20"/>
  <c r="E249" i="19"/>
  <c r="L245" i="20"/>
  <c r="I245" i="20"/>
  <c r="C60" i="16"/>
  <c r="F60" i="20"/>
  <c r="E60" i="19"/>
  <c r="B680" i="16"/>
  <c r="E680" i="20"/>
  <c r="AM680" i="20" s="1"/>
  <c r="J446" i="20"/>
  <c r="M446" i="20"/>
  <c r="B750" i="11"/>
  <c r="L750" i="9"/>
  <c r="C479" i="16"/>
  <c r="F479" i="20"/>
  <c r="E479" i="19"/>
  <c r="A171" i="16"/>
  <c r="A171" i="20"/>
  <c r="A171" i="19"/>
  <c r="C26" i="16"/>
  <c r="F26" i="20"/>
  <c r="E26" i="19"/>
  <c r="C639" i="16"/>
  <c r="E639" i="19"/>
  <c r="F639" i="20"/>
  <c r="B461" i="20"/>
  <c r="AL461" i="20" s="1"/>
  <c r="B461" i="19"/>
  <c r="C532" i="16"/>
  <c r="F532" i="20"/>
  <c r="E532" i="19"/>
  <c r="L724" i="20"/>
  <c r="I724" i="20"/>
  <c r="B537" i="11"/>
  <c r="L537" i="9"/>
  <c r="G39" i="7"/>
  <c r="G2" i="7"/>
  <c r="B29" i="6"/>
  <c r="C65" i="10"/>
  <c r="AM65" i="16" s="1"/>
  <c r="C53" i="6"/>
  <c r="C28" i="6"/>
  <c r="B2" i="20"/>
  <c r="B2" i="19"/>
  <c r="D68" i="6"/>
  <c r="C34" i="6"/>
  <c r="D16" i="10"/>
  <c r="H32" i="7"/>
  <c r="D57" i="6"/>
  <c r="C16" i="6"/>
  <c r="C48" i="10"/>
  <c r="AM48" i="16" s="1"/>
  <c r="D11" i="10"/>
  <c r="C68" i="10"/>
  <c r="AM68" i="16" s="1"/>
  <c r="C21" i="10"/>
  <c r="AM21" i="16" s="1"/>
  <c r="D63" i="10"/>
  <c r="B40" i="10"/>
  <c r="C155" i="16"/>
  <c r="F155" i="20"/>
  <c r="E155" i="19"/>
  <c r="B433" i="16"/>
  <c r="E433" i="20"/>
  <c r="AM433" i="20" s="1"/>
  <c r="L250" i="9"/>
  <c r="AU28" i="16" s="1"/>
  <c r="B250" i="11"/>
  <c r="L709" i="20"/>
  <c r="I709" i="20"/>
  <c r="G95" i="8"/>
  <c r="M258" i="20"/>
  <c r="J258" i="20"/>
  <c r="G66" i="7"/>
  <c r="M133" i="19"/>
  <c r="I133" i="19"/>
  <c r="L543" i="20"/>
  <c r="I543" i="20"/>
  <c r="H387" i="16"/>
  <c r="P387" i="16" s="1"/>
  <c r="H387" i="20"/>
  <c r="F387" i="19"/>
  <c r="C230" i="16"/>
  <c r="F230" i="20"/>
  <c r="E230" i="19"/>
  <c r="H729" i="16"/>
  <c r="P729" i="16" s="1"/>
  <c r="H729" i="20"/>
  <c r="F729" i="19"/>
  <c r="C523" i="16"/>
  <c r="F523" i="20"/>
  <c r="E523" i="19"/>
  <c r="K748" i="16"/>
  <c r="S748" i="16"/>
  <c r="O748" i="16"/>
  <c r="B156" i="16"/>
  <c r="E156" i="20"/>
  <c r="AM156" i="20" s="1"/>
  <c r="B643" i="16"/>
  <c r="E643" i="20"/>
  <c r="AM643" i="20" s="1"/>
  <c r="H516" i="19"/>
  <c r="L516" i="19"/>
  <c r="K516" i="19"/>
  <c r="K152" i="16"/>
  <c r="O152" i="16"/>
  <c r="S152" i="16"/>
  <c r="H270" i="19"/>
  <c r="L270" i="19"/>
  <c r="K270" i="19"/>
  <c r="B128" i="16"/>
  <c r="E128" i="20"/>
  <c r="AM128" i="20" s="1"/>
  <c r="B738" i="16"/>
  <c r="E738" i="20"/>
  <c r="AM738" i="20" s="1"/>
  <c r="C323" i="16"/>
  <c r="F323" i="20"/>
  <c r="E323" i="19"/>
  <c r="L752" i="20"/>
  <c r="I752" i="20"/>
  <c r="I359" i="20"/>
  <c r="L359" i="20"/>
  <c r="I656" i="20"/>
  <c r="L656" i="20"/>
  <c r="M685" i="20"/>
  <c r="J685" i="20"/>
  <c r="I171" i="20"/>
  <c r="L171" i="20"/>
  <c r="M136" i="19"/>
  <c r="I136" i="19"/>
  <c r="B533" i="20"/>
  <c r="AL533" i="20" s="1"/>
  <c r="B533" i="19"/>
  <c r="B423" i="16"/>
  <c r="E423" i="20"/>
  <c r="AM423" i="20" s="1"/>
  <c r="C47" i="16"/>
  <c r="F47" i="20"/>
  <c r="E47" i="19"/>
  <c r="C302" i="16"/>
  <c r="E302" i="19"/>
  <c r="F302" i="20"/>
  <c r="I481" i="19"/>
  <c r="M481" i="19"/>
  <c r="B62" i="10"/>
  <c r="C96" i="16"/>
  <c r="F96" i="20"/>
  <c r="E96" i="19"/>
  <c r="C803" i="16"/>
  <c r="F803" i="20"/>
  <c r="E803" i="19"/>
  <c r="B6" i="16"/>
  <c r="E6" i="20"/>
  <c r="C427" i="16"/>
  <c r="F427" i="20"/>
  <c r="E427" i="19"/>
  <c r="L46" i="19"/>
  <c r="K46" i="19"/>
  <c r="H46" i="19"/>
  <c r="I238" i="20"/>
  <c r="L238" i="20"/>
  <c r="C772" i="16"/>
  <c r="F772" i="20"/>
  <c r="E772" i="19"/>
  <c r="B601" i="16"/>
  <c r="E601" i="20"/>
  <c r="AM601" i="20" s="1"/>
  <c r="B727" i="16"/>
  <c r="E727" i="20"/>
  <c r="AM727" i="20" s="1"/>
  <c r="B70" i="16"/>
  <c r="E70" i="20"/>
  <c r="AM70" i="20" s="1"/>
  <c r="B84" i="16"/>
  <c r="E84" i="20"/>
  <c r="AM84" i="20" s="1"/>
  <c r="B517" i="16"/>
  <c r="E517" i="20"/>
  <c r="AM517" i="20" s="1"/>
  <c r="J693" i="8"/>
  <c r="C250" i="16"/>
  <c r="F250" i="20"/>
  <c r="E250" i="19"/>
  <c r="B663" i="19"/>
  <c r="B663" i="20"/>
  <c r="AL663" i="20" s="1"/>
  <c r="B434" i="16"/>
  <c r="E434" i="20"/>
  <c r="AM434" i="20" s="1"/>
  <c r="B237" i="16"/>
  <c r="E237" i="20"/>
  <c r="AM237" i="20" s="1"/>
  <c r="B343" i="16"/>
  <c r="E343" i="20"/>
  <c r="AM343" i="20" s="1"/>
  <c r="I323" i="19"/>
  <c r="M323" i="19"/>
  <c r="H325" i="16"/>
  <c r="P325" i="16" s="1"/>
  <c r="H325" i="20"/>
  <c r="F325" i="19"/>
  <c r="A753" i="16"/>
  <c r="A753" i="20"/>
  <c r="A753" i="19"/>
  <c r="M377" i="20"/>
  <c r="J377" i="20"/>
  <c r="B711" i="16"/>
  <c r="E711" i="20"/>
  <c r="AM711" i="20" s="1"/>
  <c r="A63" i="16"/>
  <c r="A63" i="20"/>
  <c r="A63" i="19"/>
  <c r="H319" i="16"/>
  <c r="P319" i="16" s="1"/>
  <c r="H319" i="20"/>
  <c r="F319" i="19"/>
  <c r="I319" i="9"/>
  <c r="J319" i="9" s="1"/>
  <c r="C319" i="19" s="1"/>
  <c r="J572" i="8"/>
  <c r="A334" i="16"/>
  <c r="A334" i="20"/>
  <c r="A334" i="19"/>
  <c r="J208" i="8"/>
  <c r="L225" i="19"/>
  <c r="H225" i="19"/>
  <c r="K225" i="19"/>
  <c r="J594" i="8"/>
  <c r="B481" i="16"/>
  <c r="E481" i="20"/>
  <c r="AM481" i="20" s="1"/>
  <c r="B540" i="16"/>
  <c r="E540" i="20"/>
  <c r="AM540" i="20" s="1"/>
  <c r="B231" i="20"/>
  <c r="AL231" i="20" s="1"/>
  <c r="B231" i="19"/>
  <c r="M333" i="20"/>
  <c r="J333" i="20"/>
  <c r="G485" i="8"/>
  <c r="I228" i="19"/>
  <c r="M228" i="19"/>
  <c r="L190" i="9"/>
  <c r="B190" i="11"/>
  <c r="H603" i="19"/>
  <c r="L603" i="19"/>
  <c r="K603" i="19"/>
  <c r="A663" i="16"/>
  <c r="A663" i="19"/>
  <c r="A663" i="20"/>
  <c r="A203" i="16"/>
  <c r="A203" i="20"/>
  <c r="A203" i="19"/>
  <c r="C566" i="16"/>
  <c r="F566" i="20"/>
  <c r="E566" i="19"/>
  <c r="H452" i="19"/>
  <c r="L452" i="19"/>
  <c r="K452" i="19"/>
  <c r="M229" i="20"/>
  <c r="J229" i="20"/>
  <c r="I41" i="19"/>
  <c r="M41" i="19"/>
  <c r="B640" i="16"/>
  <c r="E640" i="20"/>
  <c r="AM640" i="20" s="1"/>
  <c r="B393" i="16"/>
  <c r="E393" i="20"/>
  <c r="AM393" i="20" s="1"/>
  <c r="B352" i="16"/>
  <c r="E352" i="20"/>
  <c r="AM352" i="20" s="1"/>
  <c r="L416" i="9"/>
  <c r="B416" i="11"/>
  <c r="L684" i="20"/>
  <c r="I684" i="20"/>
  <c r="L264" i="19"/>
  <c r="H264" i="19"/>
  <c r="K264" i="19"/>
  <c r="L114" i="9"/>
  <c r="B114" i="11"/>
  <c r="L428" i="9"/>
  <c r="B428" i="11"/>
  <c r="B177" i="11"/>
  <c r="L177" i="9"/>
  <c r="M403" i="19"/>
  <c r="I403" i="19"/>
  <c r="I140" i="19"/>
  <c r="M140" i="19"/>
  <c r="L458" i="19"/>
  <c r="K458" i="19"/>
  <c r="H458" i="19"/>
  <c r="L404" i="9"/>
  <c r="B404" i="11"/>
  <c r="J686" i="8"/>
  <c r="G686" i="8"/>
  <c r="A181" i="16"/>
  <c r="A181" i="20"/>
  <c r="A181" i="19"/>
  <c r="H531" i="19"/>
  <c r="L531" i="19"/>
  <c r="K531" i="19"/>
  <c r="A723" i="16"/>
  <c r="A723" i="19"/>
  <c r="A723" i="20"/>
  <c r="B399" i="16"/>
  <c r="E399" i="20"/>
  <c r="AM399" i="20" s="1"/>
  <c r="L443" i="20"/>
  <c r="I443" i="20"/>
  <c r="L285" i="20"/>
  <c r="I285" i="20"/>
  <c r="B659" i="20"/>
  <c r="AL659" i="20" s="1"/>
  <c r="B659" i="19"/>
  <c r="B194" i="16"/>
  <c r="E194" i="20"/>
  <c r="AM194" i="20" s="1"/>
  <c r="C27" i="16"/>
  <c r="F27" i="20"/>
  <c r="E27" i="19"/>
  <c r="B102" i="16"/>
  <c r="E102" i="20"/>
  <c r="AM102" i="20" s="1"/>
  <c r="J318" i="20"/>
  <c r="M318" i="20"/>
  <c r="M323" i="20"/>
  <c r="J323" i="20"/>
  <c r="B486" i="16"/>
  <c r="E486" i="20"/>
  <c r="AM486" i="20" s="1"/>
  <c r="K245" i="16"/>
  <c r="O245" i="16"/>
  <c r="S245" i="16"/>
  <c r="A607" i="16"/>
  <c r="A607" i="20"/>
  <c r="A607" i="19"/>
  <c r="B269" i="16"/>
  <c r="E269" i="20"/>
  <c r="AM269" i="20" s="1"/>
  <c r="A97" i="16"/>
  <c r="A97" i="20"/>
  <c r="A97" i="19"/>
  <c r="L344" i="9"/>
  <c r="B344" i="11"/>
  <c r="A791" i="16"/>
  <c r="A791" i="20"/>
  <c r="A791" i="19"/>
  <c r="C739" i="16"/>
  <c r="E739" i="19"/>
  <c r="F739" i="20"/>
  <c r="S724" i="16"/>
  <c r="K724" i="16"/>
  <c r="O724" i="16"/>
  <c r="E16" i="6"/>
  <c r="D33" i="6"/>
  <c r="B57" i="10"/>
  <c r="D41" i="10"/>
  <c r="B51" i="10"/>
  <c r="C17" i="6"/>
  <c r="C64" i="6"/>
  <c r="C6" i="6"/>
  <c r="G47" i="7"/>
  <c r="G16" i="7"/>
  <c r="E36" i="6"/>
  <c r="D9" i="6"/>
  <c r="E61" i="6"/>
  <c r="B31" i="6"/>
  <c r="C24" i="10"/>
  <c r="AM24" i="16" s="1"/>
  <c r="H6" i="7"/>
  <c r="B37" i="6"/>
  <c r="D39" i="10"/>
  <c r="H46" i="7"/>
  <c r="C60" i="6"/>
  <c r="C21" i="6"/>
  <c r="C54" i="10"/>
  <c r="AM54" i="16" s="1"/>
  <c r="D15" i="10"/>
  <c r="C28" i="10"/>
  <c r="AM28" i="16" s="1"/>
  <c r="D67" i="10"/>
  <c r="C43" i="10"/>
  <c r="AM43" i="16" s="1"/>
  <c r="M798" i="19"/>
  <c r="I798" i="19"/>
  <c r="C447" i="16"/>
  <c r="F447" i="20"/>
  <c r="E447" i="19"/>
  <c r="A124" i="20"/>
  <c r="A124" i="16"/>
  <c r="A124" i="19"/>
  <c r="B633" i="16"/>
  <c r="E633" i="20"/>
  <c r="AM633" i="20" s="1"/>
  <c r="O709" i="16"/>
  <c r="S709" i="16"/>
  <c r="K709" i="16"/>
  <c r="C632" i="16"/>
  <c r="F632" i="20"/>
  <c r="E632" i="19"/>
  <c r="A311" i="16"/>
  <c r="A311" i="20"/>
  <c r="A311" i="19"/>
  <c r="D55" i="6"/>
  <c r="C350" i="16"/>
  <c r="F350" i="20"/>
  <c r="E350" i="19"/>
  <c r="O543" i="16"/>
  <c r="K543" i="16"/>
  <c r="S543" i="16"/>
  <c r="C185" i="16"/>
  <c r="F185" i="20"/>
  <c r="E185" i="19"/>
  <c r="L218" i="19"/>
  <c r="K218" i="19"/>
  <c r="H218" i="19"/>
  <c r="M373" i="20"/>
  <c r="J373" i="20"/>
  <c r="B676" i="20"/>
  <c r="AL676" i="20" s="1"/>
  <c r="B676" i="19"/>
  <c r="L348" i="9"/>
  <c r="B348" i="11"/>
  <c r="C174" i="16"/>
  <c r="E174" i="19"/>
  <c r="F174" i="20"/>
  <c r="H131" i="20"/>
  <c r="H131" i="16"/>
  <c r="P131" i="16" s="1"/>
  <c r="F131" i="19"/>
  <c r="K131" i="19" s="1"/>
  <c r="C497" i="16"/>
  <c r="F497" i="20"/>
  <c r="E497" i="19"/>
  <c r="H685" i="19"/>
  <c r="L685" i="19"/>
  <c r="K685" i="19"/>
  <c r="J25" i="8"/>
  <c r="S516" i="16"/>
  <c r="O516" i="16"/>
  <c r="K516" i="16"/>
  <c r="C527" i="16"/>
  <c r="F527" i="20"/>
  <c r="E527" i="19"/>
  <c r="C227" i="16"/>
  <c r="F227" i="20"/>
  <c r="E227" i="19"/>
  <c r="L270" i="20"/>
  <c r="I270" i="20"/>
  <c r="J351" i="8"/>
  <c r="I175" i="19"/>
  <c r="M175" i="19"/>
  <c r="B289" i="20"/>
  <c r="AL289" i="20" s="1"/>
  <c r="B289" i="19"/>
  <c r="L466" i="19"/>
  <c r="H466" i="19"/>
  <c r="K466" i="19"/>
  <c r="H15" i="7"/>
  <c r="G705" i="8"/>
  <c r="S752" i="16"/>
  <c r="O752" i="16"/>
  <c r="K752" i="16"/>
  <c r="K359" i="16"/>
  <c r="S359" i="16"/>
  <c r="O359" i="16"/>
  <c r="B413" i="16"/>
  <c r="E413" i="20"/>
  <c r="AM413" i="20" s="1"/>
  <c r="L28" i="9"/>
  <c r="AV11" i="16" s="1"/>
  <c r="B28" i="11"/>
  <c r="S656" i="16"/>
  <c r="O656" i="16"/>
  <c r="K656" i="16"/>
  <c r="G617" i="8"/>
  <c r="J617" i="8"/>
  <c r="C336" i="16"/>
  <c r="F336" i="20"/>
  <c r="E336" i="19"/>
  <c r="O171" i="16"/>
  <c r="K171" i="16"/>
  <c r="S171" i="16"/>
  <c r="B207" i="16"/>
  <c r="E207" i="20"/>
  <c r="AM207" i="20" s="1"/>
  <c r="E136" i="20"/>
  <c r="AM136" i="20" s="1"/>
  <c r="B136" i="16"/>
  <c r="C477" i="16"/>
  <c r="E477" i="19"/>
  <c r="F477" i="20"/>
  <c r="C200" i="16"/>
  <c r="F200" i="20"/>
  <c r="E200" i="19"/>
  <c r="C529" i="16"/>
  <c r="F529" i="20"/>
  <c r="E529" i="19"/>
  <c r="B47" i="16"/>
  <c r="E47" i="20"/>
  <c r="AM47" i="20" s="1"/>
  <c r="B447" i="20"/>
  <c r="AL447" i="20" s="1"/>
  <c r="B447" i="19"/>
  <c r="C587" i="16"/>
  <c r="E587" i="19"/>
  <c r="F587" i="20"/>
  <c r="B544" i="16"/>
  <c r="E544" i="20"/>
  <c r="AM544" i="20" s="1"/>
  <c r="B277" i="16"/>
  <c r="E277" i="20"/>
  <c r="AM277" i="20" s="1"/>
  <c r="J386" i="8"/>
  <c r="I46" i="20"/>
  <c r="L46" i="20"/>
  <c r="K238" i="16"/>
  <c r="O238" i="16"/>
  <c r="S238" i="16"/>
  <c r="G553" i="8"/>
  <c r="J553" i="8"/>
  <c r="AB80" i="16"/>
  <c r="AC80" i="16"/>
  <c r="AB79" i="16"/>
  <c r="B2" i="16"/>
  <c r="AC79" i="16"/>
  <c r="E2" i="20"/>
  <c r="G434" i="8"/>
  <c r="J434" i="8"/>
  <c r="G177" i="8"/>
  <c r="B74" i="16"/>
  <c r="E74" i="20"/>
  <c r="AM74" i="20" s="1"/>
  <c r="H318" i="19"/>
  <c r="K318" i="19"/>
  <c r="L318" i="19"/>
  <c r="C89" i="16"/>
  <c r="E89" i="19"/>
  <c r="F89" i="20"/>
  <c r="L276" i="9"/>
  <c r="B276" i="11"/>
  <c r="J176" i="8"/>
  <c r="H759" i="19"/>
  <c r="L759" i="19"/>
  <c r="K759" i="19"/>
  <c r="H66" i="16"/>
  <c r="P66" i="16" s="1"/>
  <c r="H66" i="20"/>
  <c r="F66" i="19"/>
  <c r="G327" i="8"/>
  <c r="B103" i="16"/>
  <c r="E103" i="20"/>
  <c r="AM103" i="20" s="1"/>
  <c r="B479" i="16"/>
  <c r="E479" i="20"/>
  <c r="AM479" i="20" s="1"/>
  <c r="B603" i="16"/>
  <c r="E603" i="20"/>
  <c r="AM603" i="20" s="1"/>
  <c r="L603" i="20"/>
  <c r="I603" i="20"/>
  <c r="L654" i="9"/>
  <c r="B654" i="11"/>
  <c r="J530" i="8"/>
  <c r="J457" i="8"/>
  <c r="L452" i="20"/>
  <c r="I452" i="20"/>
  <c r="I397" i="19"/>
  <c r="M397" i="19"/>
  <c r="J640" i="8"/>
  <c r="B515" i="16"/>
  <c r="E515" i="20"/>
  <c r="AM515" i="20" s="1"/>
  <c r="B376" i="16"/>
  <c r="E376" i="20"/>
  <c r="AM376" i="20" s="1"/>
  <c r="C59" i="16"/>
  <c r="F59" i="20"/>
  <c r="E59" i="19"/>
  <c r="C373" i="16"/>
  <c r="F373" i="20"/>
  <c r="E373" i="19"/>
  <c r="C767" i="16"/>
  <c r="F767" i="20"/>
  <c r="E767" i="19"/>
  <c r="K684" i="16"/>
  <c r="O684" i="16"/>
  <c r="S684" i="16"/>
  <c r="I264" i="20"/>
  <c r="L264" i="20"/>
  <c r="A114" i="16"/>
  <c r="A114" i="20"/>
  <c r="A114" i="19"/>
  <c r="M771" i="19"/>
  <c r="I771" i="19"/>
  <c r="I458" i="20"/>
  <c r="L458" i="20"/>
  <c r="A177" i="16"/>
  <c r="A177" i="20"/>
  <c r="A177" i="19"/>
  <c r="M727" i="20"/>
  <c r="J727" i="20"/>
  <c r="M93" i="19"/>
  <c r="I93" i="19"/>
  <c r="H222" i="16"/>
  <c r="P222" i="16" s="1"/>
  <c r="H222" i="20"/>
  <c r="F222" i="19"/>
  <c r="E386" i="19"/>
  <c r="C386" i="16"/>
  <c r="F386" i="20"/>
  <c r="O531" i="16"/>
  <c r="K531" i="16"/>
  <c r="S531" i="16"/>
  <c r="L98" i="9"/>
  <c r="B98" i="11"/>
  <c r="O443" i="16"/>
  <c r="K443" i="16"/>
  <c r="S443" i="16"/>
  <c r="S285" i="16"/>
  <c r="O285" i="16"/>
  <c r="K285" i="16"/>
  <c r="J194" i="8"/>
  <c r="M547" i="19"/>
  <c r="I547" i="19"/>
  <c r="B300" i="16"/>
  <c r="E300" i="20"/>
  <c r="AM300" i="20" s="1"/>
  <c r="D26" i="6"/>
  <c r="B40" i="16"/>
  <c r="E40" i="20"/>
  <c r="AM40" i="20" s="1"/>
  <c r="G739" i="8"/>
  <c r="J739" i="8"/>
  <c r="C110" i="16"/>
  <c r="F110" i="20"/>
  <c r="E110" i="19"/>
  <c r="C101" i="16"/>
  <c r="F101" i="20"/>
  <c r="E101" i="19"/>
  <c r="C515" i="16"/>
  <c r="F515" i="20"/>
  <c r="E515" i="19"/>
  <c r="L244" i="19"/>
  <c r="H244" i="19"/>
  <c r="K244" i="19"/>
  <c r="G724" i="8"/>
  <c r="G533" i="8"/>
  <c r="B247" i="11"/>
  <c r="L247" i="9"/>
  <c r="C86" i="16"/>
  <c r="F86" i="20"/>
  <c r="E86" i="19"/>
  <c r="J273" i="8"/>
  <c r="M821" i="19"/>
  <c r="I821" i="19"/>
  <c r="B800" i="16"/>
  <c r="E800" i="20"/>
  <c r="AM800" i="20" s="1"/>
  <c r="G518" i="8"/>
  <c r="B39" i="6"/>
  <c r="B50" i="6"/>
  <c r="B63" i="10"/>
  <c r="D54" i="10"/>
  <c r="C30" i="6"/>
  <c r="E20" i="6"/>
  <c r="G50" i="7"/>
  <c r="E27" i="6"/>
  <c r="G55" i="7"/>
  <c r="G20" i="7"/>
  <c r="B41" i="6"/>
  <c r="D27" i="6"/>
  <c r="C65" i="6"/>
  <c r="E42" i="6"/>
  <c r="D34" i="10"/>
  <c r="H11" i="7"/>
  <c r="E48" i="6"/>
  <c r="D44" i="10"/>
  <c r="H57" i="7"/>
  <c r="B63" i="6"/>
  <c r="B26" i="6"/>
  <c r="D55" i="10"/>
  <c r="D18" i="10"/>
  <c r="D21" i="10"/>
  <c r="C35" i="10"/>
  <c r="AM35" i="16" s="1"/>
  <c r="C2" i="10"/>
  <c r="D46" i="10"/>
  <c r="C61" i="10"/>
  <c r="AM61" i="16" s="1"/>
  <c r="B303" i="11"/>
  <c r="L303" i="9"/>
  <c r="A420" i="16"/>
  <c r="A420" i="19"/>
  <c r="A420" i="20"/>
  <c r="A246" i="16"/>
  <c r="A246" i="20"/>
  <c r="A246" i="19"/>
  <c r="J212" i="8"/>
  <c r="C812" i="16"/>
  <c r="F812" i="20"/>
  <c r="E812" i="19"/>
  <c r="L550" i="9"/>
  <c r="B550" i="11"/>
  <c r="J293" i="8"/>
  <c r="B95" i="16"/>
  <c r="E95" i="20"/>
  <c r="AM95" i="20" s="1"/>
  <c r="H201" i="19"/>
  <c r="L201" i="19"/>
  <c r="K201" i="19"/>
  <c r="A500" i="16"/>
  <c r="A500" i="20"/>
  <c r="A500" i="19"/>
  <c r="L218" i="20"/>
  <c r="I218" i="20"/>
  <c r="I555" i="19"/>
  <c r="M555" i="19"/>
  <c r="H714" i="16"/>
  <c r="P714" i="16" s="1"/>
  <c r="F714" i="19"/>
  <c r="H714" i="20"/>
  <c r="L685" i="20"/>
  <c r="I685" i="20"/>
  <c r="A523" i="16"/>
  <c r="A523" i="19"/>
  <c r="A523" i="20"/>
  <c r="J613" i="8"/>
  <c r="I671" i="19"/>
  <c r="M671" i="19"/>
  <c r="O270" i="16"/>
  <c r="K270" i="16"/>
  <c r="S270" i="16"/>
  <c r="B724" i="16"/>
  <c r="E724" i="20"/>
  <c r="AM724" i="20" s="1"/>
  <c r="M599" i="20"/>
  <c r="J599" i="20"/>
  <c r="B26" i="16"/>
  <c r="E26" i="20"/>
  <c r="AM26" i="20" s="1"/>
  <c r="J12" i="20"/>
  <c r="M12" i="20"/>
  <c r="L466" i="20"/>
  <c r="I466" i="20"/>
  <c r="D30" i="6"/>
  <c r="C266" i="16"/>
  <c r="F266" i="20"/>
  <c r="E266" i="19"/>
  <c r="J292" i="8"/>
  <c r="G292" i="8"/>
  <c r="K520" i="19"/>
  <c r="H520" i="19"/>
  <c r="L520" i="19"/>
  <c r="I285" i="19"/>
  <c r="M285" i="19"/>
  <c r="G367" i="8"/>
  <c r="A28" i="16"/>
  <c r="A28" i="20"/>
  <c r="A28" i="19"/>
  <c r="L74" i="9"/>
  <c r="AU32" i="16" s="1"/>
  <c r="B74" i="11"/>
  <c r="A140" i="16"/>
  <c r="A140" i="20"/>
  <c r="A140" i="19"/>
  <c r="L75" i="20"/>
  <c r="I75" i="20"/>
  <c r="C272" i="16"/>
  <c r="F272" i="20"/>
  <c r="E272" i="19"/>
  <c r="G136" i="8"/>
  <c r="J684" i="8"/>
  <c r="C522" i="16"/>
  <c r="F522" i="20"/>
  <c r="E522" i="19"/>
  <c r="B356" i="20"/>
  <c r="AL356" i="20" s="1"/>
  <c r="B356" i="19"/>
  <c r="J253" i="8"/>
  <c r="B110" i="20"/>
  <c r="AL110" i="20" s="1"/>
  <c r="B110" i="19"/>
  <c r="O46" i="16"/>
  <c r="K46" i="16"/>
  <c r="S46" i="16"/>
  <c r="J522" i="8"/>
  <c r="J70" i="8"/>
  <c r="C416" i="16"/>
  <c r="F416" i="20"/>
  <c r="E416" i="19"/>
  <c r="B200" i="16"/>
  <c r="E200" i="20"/>
  <c r="AM200" i="20" s="1"/>
  <c r="B693" i="16"/>
  <c r="E693" i="20"/>
  <c r="AM693" i="20" s="1"/>
  <c r="B199" i="16"/>
  <c r="E199" i="20"/>
  <c r="AM199" i="20" s="1"/>
  <c r="C666" i="16"/>
  <c r="F666" i="20"/>
  <c r="E666" i="19"/>
  <c r="J43" i="8"/>
  <c r="G43" i="8"/>
  <c r="S318" i="16"/>
  <c r="O318" i="16"/>
  <c r="K318" i="16"/>
  <c r="B48" i="16"/>
  <c r="E48" i="20"/>
  <c r="AM48" i="20" s="1"/>
  <c r="O264" i="16"/>
  <c r="K264" i="16"/>
  <c r="S264" i="16"/>
  <c r="G669" i="8"/>
  <c r="J669" i="8"/>
  <c r="S458" i="16"/>
  <c r="K458" i="16"/>
  <c r="O458" i="16"/>
  <c r="M781" i="19"/>
  <c r="I781" i="19"/>
  <c r="A71" i="16"/>
  <c r="A71" i="20"/>
  <c r="A71" i="19"/>
  <c r="B613" i="16"/>
  <c r="E613" i="20"/>
  <c r="AM613" i="20" s="1"/>
  <c r="C808" i="16"/>
  <c r="E808" i="19"/>
  <c r="F808" i="20"/>
  <c r="B413" i="20"/>
  <c r="AL413" i="20" s="1"/>
  <c r="B413" i="19"/>
  <c r="H111" i="20"/>
  <c r="H111" i="16"/>
  <c r="P111" i="16" s="1"/>
  <c r="F111" i="19"/>
  <c r="B408" i="16"/>
  <c r="E408" i="20"/>
  <c r="AM408" i="20" s="1"/>
  <c r="B530" i="20"/>
  <c r="AL530" i="20" s="1"/>
  <c r="B530" i="19"/>
  <c r="D52" i="10"/>
  <c r="H295" i="20"/>
  <c r="H295" i="16"/>
  <c r="P295" i="16" s="1"/>
  <c r="F295" i="19"/>
  <c r="B583" i="16"/>
  <c r="E583" i="20"/>
  <c r="AM583" i="20" s="1"/>
  <c r="C492" i="16"/>
  <c r="F492" i="20"/>
  <c r="E492" i="19"/>
  <c r="C26" i="6"/>
  <c r="B739" i="16"/>
  <c r="E739" i="20"/>
  <c r="AM739" i="20" s="1"/>
  <c r="A204" i="16"/>
  <c r="A204" i="20"/>
  <c r="A204" i="19"/>
  <c r="H316" i="20"/>
  <c r="H316" i="16"/>
  <c r="P316" i="16" s="1"/>
  <c r="F316" i="19"/>
  <c r="M435" i="19"/>
  <c r="I435" i="19"/>
  <c r="L244" i="20"/>
  <c r="I244" i="20"/>
  <c r="A353" i="16"/>
  <c r="A353" i="20"/>
  <c r="A353" i="19"/>
  <c r="G229" i="8"/>
  <c r="B556" i="16"/>
  <c r="E556" i="20"/>
  <c r="AM556" i="20" s="1"/>
  <c r="C192" i="16"/>
  <c r="F192" i="20"/>
  <c r="E192" i="19"/>
  <c r="J492" i="8"/>
  <c r="B518" i="16"/>
  <c r="E518" i="20"/>
  <c r="AM518" i="20" s="1"/>
  <c r="B11" i="6"/>
  <c r="E58" i="6"/>
  <c r="D7" i="6"/>
  <c r="B61" i="10"/>
  <c r="E50" i="6"/>
  <c r="D24" i="6"/>
  <c r="C63" i="10"/>
  <c r="AM63" i="16" s="1"/>
  <c r="B56" i="6"/>
  <c r="G63" i="7"/>
  <c r="H31" i="7"/>
  <c r="D49" i="6"/>
  <c r="H8" i="7"/>
  <c r="I2" i="7"/>
  <c r="D45" i="6"/>
  <c r="B39" i="10"/>
  <c r="I16" i="7"/>
  <c r="AN16" i="16" s="1"/>
  <c r="D51" i="6"/>
  <c r="B49" i="10"/>
  <c r="D3" i="10"/>
  <c r="G9" i="7"/>
  <c r="E37" i="6"/>
  <c r="D20" i="10"/>
  <c r="D23" i="10"/>
  <c r="C42" i="10"/>
  <c r="AM42" i="16" s="1"/>
  <c r="B6" i="10"/>
  <c r="B53" i="10"/>
  <c r="C672" i="16"/>
  <c r="F672" i="20"/>
  <c r="E672" i="19"/>
  <c r="A693" i="16"/>
  <c r="A693" i="20"/>
  <c r="A693" i="19"/>
  <c r="C733" i="16"/>
  <c r="F733" i="20"/>
  <c r="E733" i="19"/>
  <c r="B212" i="16"/>
  <c r="E212" i="20"/>
  <c r="AM212" i="20" s="1"/>
  <c r="B473" i="11"/>
  <c r="L473" i="9"/>
  <c r="I201" i="20"/>
  <c r="L201" i="20"/>
  <c r="C784" i="16"/>
  <c r="E784" i="19"/>
  <c r="F784" i="20"/>
  <c r="B333" i="20"/>
  <c r="AL333" i="20" s="1"/>
  <c r="B333" i="19"/>
  <c r="L163" i="20"/>
  <c r="I163" i="20"/>
  <c r="M472" i="20"/>
  <c r="J472" i="20"/>
  <c r="M93" i="20"/>
  <c r="J93" i="20"/>
  <c r="I251" i="19"/>
  <c r="M251" i="19"/>
  <c r="S218" i="16"/>
  <c r="O218" i="16"/>
  <c r="K218" i="16"/>
  <c r="B36" i="10"/>
  <c r="J753" i="8"/>
  <c r="A336" i="16"/>
  <c r="A336" i="20"/>
  <c r="A336" i="19"/>
  <c r="J401" i="8"/>
  <c r="O685" i="16"/>
  <c r="S685" i="16"/>
  <c r="K685" i="16"/>
  <c r="J772" i="8"/>
  <c r="M360" i="19"/>
  <c r="I360" i="19"/>
  <c r="C605" i="16"/>
  <c r="F605" i="20"/>
  <c r="E605" i="19"/>
  <c r="B510" i="11"/>
  <c r="L510" i="9"/>
  <c r="E351" i="20"/>
  <c r="AM351" i="20" s="1"/>
  <c r="B351" i="16"/>
  <c r="B34" i="16"/>
  <c r="E34" i="20"/>
  <c r="AM34" i="20" s="1"/>
  <c r="G428" i="8"/>
  <c r="J428" i="8"/>
  <c r="K466" i="16"/>
  <c r="O466" i="16"/>
  <c r="S466" i="16"/>
  <c r="B803" i="11"/>
  <c r="L803" i="9"/>
  <c r="C342" i="16"/>
  <c r="F342" i="20"/>
  <c r="E342" i="19"/>
  <c r="B288" i="16"/>
  <c r="E288" i="20"/>
  <c r="AM288" i="20" s="1"/>
  <c r="B705" i="16"/>
  <c r="E705" i="20"/>
  <c r="AM705" i="20" s="1"/>
  <c r="B292" i="16"/>
  <c r="E292" i="20"/>
  <c r="AM292" i="20" s="1"/>
  <c r="L520" i="20"/>
  <c r="I520" i="20"/>
  <c r="C4" i="16"/>
  <c r="E4" i="19"/>
  <c r="F4" i="20"/>
  <c r="H663" i="16"/>
  <c r="P663" i="16" s="1"/>
  <c r="H663" i="20"/>
  <c r="F663" i="19"/>
  <c r="B617" i="16"/>
  <c r="E617" i="20"/>
  <c r="AM617" i="20" s="1"/>
  <c r="O75" i="16"/>
  <c r="S75" i="16"/>
  <c r="K75" i="16"/>
  <c r="L295" i="19"/>
  <c r="K295" i="19"/>
  <c r="H295" i="19"/>
  <c r="J807" i="8"/>
  <c r="B287" i="16"/>
  <c r="E287" i="20"/>
  <c r="AM287" i="20" s="1"/>
  <c r="B306" i="16"/>
  <c r="E306" i="20"/>
  <c r="AM306" i="20" s="1"/>
  <c r="J580" i="8"/>
  <c r="C36" i="16"/>
  <c r="F36" i="20"/>
  <c r="E36" i="19"/>
  <c r="C476" i="16"/>
  <c r="F476" i="20"/>
  <c r="E476" i="19"/>
  <c r="B266" i="16"/>
  <c r="E266" i="20"/>
  <c r="AM266" i="20" s="1"/>
  <c r="B386" i="16"/>
  <c r="E386" i="20"/>
  <c r="AM386" i="20" s="1"/>
  <c r="B36" i="20"/>
  <c r="AL36" i="20" s="1"/>
  <c r="B36" i="19"/>
  <c r="C536" i="16"/>
  <c r="F536" i="20"/>
  <c r="E536" i="19"/>
  <c r="C450" i="16"/>
  <c r="F450" i="20"/>
  <c r="E450" i="19"/>
  <c r="B689" i="16"/>
  <c r="E689" i="20"/>
  <c r="AM689" i="20" s="1"/>
  <c r="J200" i="8"/>
  <c r="J123" i="8"/>
  <c r="G123" i="8"/>
  <c r="N5" i="8"/>
  <c r="N6" i="8"/>
  <c r="N4" i="8"/>
  <c r="G647" i="8" s="1"/>
  <c r="H429" i="19"/>
  <c r="L429" i="19"/>
  <c r="K429" i="19"/>
  <c r="C646" i="16"/>
  <c r="E646" i="19"/>
  <c r="F646" i="20"/>
  <c r="I318" i="20"/>
  <c r="L318" i="20"/>
  <c r="G253" i="8" l="1"/>
  <c r="G40" i="8"/>
  <c r="G538" i="8"/>
  <c r="G258" i="8"/>
  <c r="B664" i="20"/>
  <c r="AL664" i="20" s="1"/>
  <c r="B664" i="19"/>
  <c r="B176" i="19"/>
  <c r="B176" i="20"/>
  <c r="AL176" i="20" s="1"/>
  <c r="B517" i="20"/>
  <c r="AL517" i="20" s="1"/>
  <c r="B517" i="19"/>
  <c r="B456" i="20"/>
  <c r="AL456" i="20" s="1"/>
  <c r="B456" i="19"/>
  <c r="B13" i="20"/>
  <c r="AL13" i="20" s="1"/>
  <c r="B13" i="19"/>
  <c r="G77" i="8"/>
  <c r="G269" i="8"/>
  <c r="G165" i="8"/>
  <c r="G789" i="8"/>
  <c r="G417" i="8"/>
  <c r="G280" i="8"/>
  <c r="G803" i="8"/>
  <c r="AV65" i="16"/>
  <c r="G287" i="8"/>
  <c r="G351" i="8"/>
  <c r="G237" i="8"/>
  <c r="G786" i="8"/>
  <c r="G439" i="8"/>
  <c r="G568" i="8"/>
  <c r="G290" i="8"/>
  <c r="G66" i="8"/>
  <c r="G424" i="8"/>
  <c r="G78" i="8"/>
  <c r="G159" i="8"/>
  <c r="G199" i="8"/>
  <c r="G746" i="8"/>
  <c r="G116" i="8"/>
  <c r="G14" i="8"/>
  <c r="I250" i="9"/>
  <c r="J250" i="9" s="1"/>
  <c r="C250" i="19" s="1"/>
  <c r="G314" i="8"/>
  <c r="G419" i="8"/>
  <c r="G317" i="8"/>
  <c r="B249" i="20"/>
  <c r="AL249" i="20" s="1"/>
  <c r="B249" i="19"/>
  <c r="B20" i="20"/>
  <c r="AL20" i="20" s="1"/>
  <c r="B20" i="19"/>
  <c r="B217" i="20"/>
  <c r="AL217" i="20" s="1"/>
  <c r="B217" i="19"/>
  <c r="G696" i="8"/>
  <c r="G310" i="8"/>
  <c r="G799" i="8"/>
  <c r="G273" i="8"/>
  <c r="G651" i="8"/>
  <c r="G386" i="8"/>
  <c r="G613" i="8"/>
  <c r="G390" i="8"/>
  <c r="G507" i="8"/>
  <c r="G89" i="8"/>
  <c r="G464" i="8"/>
  <c r="G685" i="8"/>
  <c r="G23" i="8"/>
  <c r="U68" i="20"/>
  <c r="S68" i="20"/>
  <c r="B185" i="20"/>
  <c r="AL185" i="20" s="1"/>
  <c r="B185" i="19"/>
  <c r="B320" i="20"/>
  <c r="AL320" i="20" s="1"/>
  <c r="B320" i="19"/>
  <c r="B649" i="20"/>
  <c r="AL649" i="20" s="1"/>
  <c r="B649" i="19"/>
  <c r="B513" i="20"/>
  <c r="AL513" i="20" s="1"/>
  <c r="B513" i="19"/>
  <c r="B464" i="20"/>
  <c r="AL464" i="20" s="1"/>
  <c r="B464" i="19"/>
  <c r="B563" i="20"/>
  <c r="AL563" i="20" s="1"/>
  <c r="B563" i="19"/>
  <c r="B661" i="20"/>
  <c r="AL661" i="20" s="1"/>
  <c r="B661" i="19"/>
  <c r="U22" i="20"/>
  <c r="S22" i="20"/>
  <c r="B283" i="20"/>
  <c r="AL283" i="20" s="1"/>
  <c r="B283" i="19"/>
  <c r="B290" i="20"/>
  <c r="AL290" i="20" s="1"/>
  <c r="B290" i="19"/>
  <c r="B260" i="20"/>
  <c r="AL260" i="20" s="1"/>
  <c r="B260" i="19"/>
  <c r="B570" i="20"/>
  <c r="AL570" i="20" s="1"/>
  <c r="B570" i="19"/>
  <c r="G200" i="8"/>
  <c r="G541" i="8"/>
  <c r="G684" i="8"/>
  <c r="G594" i="8"/>
  <c r="G719" i="8"/>
  <c r="G284" i="8"/>
  <c r="G61" i="8"/>
  <c r="G9" i="8"/>
  <c r="G567" i="8"/>
  <c r="G458" i="8"/>
  <c r="G523" i="8"/>
  <c r="G580" i="8"/>
  <c r="G753" i="8"/>
  <c r="G234" i="8"/>
  <c r="G612" i="8"/>
  <c r="G17" i="8"/>
  <c r="G590" i="8"/>
  <c r="G636" i="8"/>
  <c r="B123" i="20"/>
  <c r="AL123" i="20" s="1"/>
  <c r="B123" i="19"/>
  <c r="B16" i="20"/>
  <c r="AL16" i="20" s="1"/>
  <c r="B16" i="19"/>
  <c r="B631" i="19"/>
  <c r="B631" i="20"/>
  <c r="AL631" i="20" s="1"/>
  <c r="B737" i="20"/>
  <c r="AL737" i="20" s="1"/>
  <c r="B737" i="19"/>
  <c r="U36" i="20"/>
  <c r="S36" i="20"/>
  <c r="B134" i="20"/>
  <c r="AL134" i="20" s="1"/>
  <c r="B134" i="19"/>
  <c r="B329" i="20"/>
  <c r="AL329" i="20" s="1"/>
  <c r="B329" i="19"/>
  <c r="S67" i="20"/>
  <c r="U67" i="20"/>
  <c r="B593" i="20"/>
  <c r="AL593" i="20" s="1"/>
  <c r="B593" i="19"/>
  <c r="B815" i="19"/>
  <c r="B815" i="20"/>
  <c r="AL815" i="20" s="1"/>
  <c r="B769" i="20"/>
  <c r="AL769" i="20" s="1"/>
  <c r="B769" i="19"/>
  <c r="B609" i="20"/>
  <c r="AL609" i="20" s="1"/>
  <c r="B609" i="19"/>
  <c r="B436" i="20"/>
  <c r="AL436" i="20" s="1"/>
  <c r="B436" i="19"/>
  <c r="B27" i="20"/>
  <c r="AL27" i="20" s="1"/>
  <c r="B27" i="19"/>
  <c r="G624" i="8"/>
  <c r="G491" i="8"/>
  <c r="G457" i="8"/>
  <c r="G47" i="8"/>
  <c r="G620" i="8"/>
  <c r="G395" i="8"/>
  <c r="G39" i="8"/>
  <c r="G487" i="8"/>
  <c r="G522" i="8"/>
  <c r="G293" i="8"/>
  <c r="G510" i="8"/>
  <c r="G757" i="8"/>
  <c r="G276" i="8"/>
  <c r="G401" i="8"/>
  <c r="G373" i="8"/>
  <c r="G203" i="8"/>
  <c r="G195" i="8"/>
  <c r="G127" i="8"/>
  <c r="G659" i="8"/>
  <c r="B759" i="20"/>
  <c r="AL759" i="20" s="1"/>
  <c r="B759" i="19"/>
  <c r="B32" i="20"/>
  <c r="AL32" i="20" s="1"/>
  <c r="B32" i="19"/>
  <c r="B339" i="19"/>
  <c r="B339" i="20"/>
  <c r="AL339" i="20" s="1"/>
  <c r="G70" i="8"/>
  <c r="B199" i="20"/>
  <c r="AL199" i="20" s="1"/>
  <c r="B199" i="19"/>
  <c r="B789" i="19"/>
  <c r="B789" i="20"/>
  <c r="AL789" i="20" s="1"/>
  <c r="B377" i="20"/>
  <c r="AL377" i="20" s="1"/>
  <c r="B377" i="19"/>
  <c r="G208" i="8"/>
  <c r="G506" i="8"/>
  <c r="G469" i="8"/>
  <c r="G194" i="8"/>
  <c r="G530" i="8"/>
  <c r="G176" i="8"/>
  <c r="G537" i="8"/>
  <c r="G393" i="8"/>
  <c r="G650" i="8"/>
  <c r="G302" i="8"/>
  <c r="G169" i="8"/>
  <c r="G25" i="8"/>
  <c r="G108" i="8"/>
  <c r="G250" i="8"/>
  <c r="G374" i="8"/>
  <c r="G729" i="8"/>
  <c r="G26" i="8"/>
  <c r="G633" i="8"/>
  <c r="G178" i="8"/>
  <c r="G128" i="8"/>
  <c r="G734" i="8"/>
  <c r="G601" i="8"/>
  <c r="G101" i="8"/>
  <c r="G161" i="8"/>
  <c r="G147" i="8"/>
  <c r="G306" i="8"/>
  <c r="B797" i="20"/>
  <c r="AL797" i="20" s="1"/>
  <c r="B797" i="19"/>
  <c r="B536" i="20"/>
  <c r="AL536" i="20" s="1"/>
  <c r="B536" i="19"/>
  <c r="B46" i="20"/>
  <c r="AL46" i="20" s="1"/>
  <c r="B46" i="19"/>
  <c r="U64" i="20"/>
  <c r="S64" i="20"/>
  <c r="S24" i="20"/>
  <c r="U24" i="20"/>
  <c r="B808" i="20"/>
  <c r="AL808" i="20" s="1"/>
  <c r="B808" i="19"/>
  <c r="B95" i="20"/>
  <c r="AL95" i="20" s="1"/>
  <c r="B95" i="19"/>
  <c r="U25" i="20"/>
  <c r="S25" i="20"/>
  <c r="U19" i="20"/>
  <c r="S19" i="20"/>
  <c r="B589" i="20"/>
  <c r="AL589" i="20" s="1"/>
  <c r="B589" i="19"/>
  <c r="G268" i="8"/>
  <c r="B146" i="20"/>
  <c r="AL146" i="20" s="1"/>
  <c r="B146" i="19"/>
  <c r="B809" i="19"/>
  <c r="B809" i="20"/>
  <c r="AL809" i="20" s="1"/>
  <c r="G212" i="8"/>
  <c r="G207" i="8"/>
  <c r="G254" i="8"/>
  <c r="G347" i="8"/>
  <c r="U15" i="20"/>
  <c r="S15" i="20"/>
  <c r="B244" i="20"/>
  <c r="AL244" i="20" s="1"/>
  <c r="B244" i="19"/>
  <c r="AV37" i="16"/>
  <c r="L146" i="19"/>
  <c r="K146" i="19"/>
  <c r="H146" i="19"/>
  <c r="AU46" i="16"/>
  <c r="AV47" i="16"/>
  <c r="L468" i="19"/>
  <c r="K468" i="19"/>
  <c r="H468" i="19"/>
  <c r="D319" i="19"/>
  <c r="S155" i="16"/>
  <c r="K155" i="16"/>
  <c r="O155" i="16"/>
  <c r="K666" i="19"/>
  <c r="H666" i="19"/>
  <c r="L666" i="19"/>
  <c r="AW46" i="10"/>
  <c r="AS46" i="10"/>
  <c r="AO46" i="10"/>
  <c r="R46" i="20" s="1"/>
  <c r="Y46" i="20" s="1"/>
  <c r="I387" i="19"/>
  <c r="M387" i="19"/>
  <c r="AV14" i="16"/>
  <c r="H460" i="19"/>
  <c r="L460" i="19"/>
  <c r="K460" i="19"/>
  <c r="I468" i="20"/>
  <c r="L468" i="20"/>
  <c r="O203" i="16"/>
  <c r="S203" i="16"/>
  <c r="K203" i="16"/>
  <c r="M401" i="19"/>
  <c r="I401" i="19"/>
  <c r="H476" i="19"/>
  <c r="L476" i="19"/>
  <c r="K476" i="19"/>
  <c r="I666" i="20"/>
  <c r="L666" i="20"/>
  <c r="AM2" i="16"/>
  <c r="T4" i="10"/>
  <c r="T41" i="10"/>
  <c r="AV25" i="16"/>
  <c r="K563" i="16"/>
  <c r="S563" i="16"/>
  <c r="O563" i="16"/>
  <c r="AW13" i="10"/>
  <c r="AS13" i="10"/>
  <c r="AO13" i="10"/>
  <c r="R13" i="20" s="1"/>
  <c r="Y13" i="20" s="1"/>
  <c r="K127" i="16"/>
  <c r="S127" i="16"/>
  <c r="O127" i="16"/>
  <c r="S187" i="16"/>
  <c r="O187" i="16"/>
  <c r="K187" i="16"/>
  <c r="S280" i="16"/>
  <c r="O280" i="16"/>
  <c r="K280" i="16"/>
  <c r="AQ20" i="19"/>
  <c r="AR20" i="19" s="1"/>
  <c r="L322" i="19"/>
  <c r="K322" i="19"/>
  <c r="H322" i="19"/>
  <c r="L20" i="20"/>
  <c r="I20" i="20"/>
  <c r="AV24" i="16"/>
  <c r="AU35" i="16"/>
  <c r="H719" i="19"/>
  <c r="L719" i="19"/>
  <c r="K719" i="19"/>
  <c r="AK16" i="16"/>
  <c r="P16" i="20"/>
  <c r="BF16" i="10"/>
  <c r="K560" i="16"/>
  <c r="S560" i="16"/>
  <c r="O560" i="16"/>
  <c r="O233" i="16"/>
  <c r="K233" i="16"/>
  <c r="S233" i="16"/>
  <c r="H169" i="19"/>
  <c r="L169" i="19"/>
  <c r="K169" i="19"/>
  <c r="H147" i="19"/>
  <c r="L147" i="19"/>
  <c r="K147" i="19"/>
  <c r="L110" i="19"/>
  <c r="K110" i="19"/>
  <c r="H110" i="19"/>
  <c r="S4" i="16"/>
  <c r="O4" i="16"/>
  <c r="K4" i="16"/>
  <c r="M316" i="19"/>
  <c r="I316" i="19"/>
  <c r="L527" i="19"/>
  <c r="K527" i="19"/>
  <c r="H527" i="19"/>
  <c r="AU40" i="16"/>
  <c r="L502" i="19"/>
  <c r="K502" i="19"/>
  <c r="H502" i="19"/>
  <c r="I575" i="20"/>
  <c r="L575" i="20"/>
  <c r="I202" i="19"/>
  <c r="M202" i="19"/>
  <c r="L438" i="19"/>
  <c r="K438" i="19"/>
  <c r="H438" i="19"/>
  <c r="B607" i="19"/>
  <c r="B607" i="20"/>
  <c r="AL607" i="20" s="1"/>
  <c r="B348" i="20"/>
  <c r="AL348" i="20" s="1"/>
  <c r="B348" i="19"/>
  <c r="AO11" i="10"/>
  <c r="R11" i="20" s="1"/>
  <c r="Y11" i="20" s="1"/>
  <c r="AW11" i="10"/>
  <c r="AS11" i="10"/>
  <c r="AV26" i="16"/>
  <c r="K378" i="19"/>
  <c r="L378" i="19"/>
  <c r="H378" i="19"/>
  <c r="AS38" i="10"/>
  <c r="AO38" i="10"/>
  <c r="R38" i="20" s="1"/>
  <c r="Y38" i="20" s="1"/>
  <c r="AW38" i="10"/>
  <c r="H373" i="19"/>
  <c r="K373" i="19"/>
  <c r="L373" i="19"/>
  <c r="B344" i="20"/>
  <c r="AL344" i="20" s="1"/>
  <c r="B344" i="19"/>
  <c r="AU42" i="16"/>
  <c r="I378" i="20"/>
  <c r="L378" i="20"/>
  <c r="S464" i="16"/>
  <c r="O464" i="16"/>
  <c r="K464" i="16"/>
  <c r="L140" i="20"/>
  <c r="I140" i="20"/>
  <c r="S806" i="16"/>
  <c r="O806" i="16"/>
  <c r="K806" i="16"/>
  <c r="AQ27" i="19"/>
  <c r="AR27" i="19" s="1"/>
  <c r="L767" i="20"/>
  <c r="I767" i="20"/>
  <c r="B750" i="20"/>
  <c r="AL750" i="20" s="1"/>
  <c r="B750" i="19"/>
  <c r="L627" i="19"/>
  <c r="K627" i="19"/>
  <c r="H627" i="19"/>
  <c r="L619" i="20"/>
  <c r="I619" i="20"/>
  <c r="U10" i="20"/>
  <c r="S10" i="20"/>
  <c r="S579" i="16"/>
  <c r="O579" i="16"/>
  <c r="K579" i="16"/>
  <c r="L170" i="20"/>
  <c r="I170" i="20"/>
  <c r="L629" i="19"/>
  <c r="K629" i="19"/>
  <c r="H629" i="19"/>
  <c r="M69" i="19"/>
  <c r="I69" i="19"/>
  <c r="D648" i="19"/>
  <c r="O795" i="16"/>
  <c r="S795" i="16"/>
  <c r="K795" i="16"/>
  <c r="B353" i="20"/>
  <c r="AL353" i="20" s="1"/>
  <c r="B353" i="19"/>
  <c r="L165" i="19"/>
  <c r="K165" i="19"/>
  <c r="H165" i="19"/>
  <c r="I549" i="20"/>
  <c r="L549" i="20"/>
  <c r="K207" i="16"/>
  <c r="O207" i="16"/>
  <c r="S207" i="16"/>
  <c r="I296" i="19"/>
  <c r="M296" i="19"/>
  <c r="K296" i="19"/>
  <c r="K292" i="19"/>
  <c r="H292" i="19"/>
  <c r="L292" i="19"/>
  <c r="H442" i="19"/>
  <c r="L442" i="19"/>
  <c r="K442" i="19"/>
  <c r="L268" i="20"/>
  <c r="I268" i="20"/>
  <c r="S729" i="16"/>
  <c r="O729" i="16"/>
  <c r="K729" i="16"/>
  <c r="B98" i="20"/>
  <c r="AL98" i="20" s="1"/>
  <c r="B98" i="19"/>
  <c r="AV56" i="16"/>
  <c r="AU41" i="16"/>
  <c r="AV55" i="16"/>
  <c r="K532" i="16"/>
  <c r="O532" i="16"/>
  <c r="S532" i="16"/>
  <c r="L727" i="20"/>
  <c r="I727" i="20"/>
  <c r="K737" i="16"/>
  <c r="O737" i="16"/>
  <c r="S737" i="16"/>
  <c r="I377" i="20"/>
  <c r="L377" i="20"/>
  <c r="AK25" i="16"/>
  <c r="P25" i="20"/>
  <c r="BF25" i="10"/>
  <c r="L200" i="20"/>
  <c r="I200" i="20"/>
  <c r="H739" i="19"/>
  <c r="L739" i="19"/>
  <c r="K739" i="19"/>
  <c r="AU68" i="16"/>
  <c r="AV7" i="16"/>
  <c r="S200" i="16"/>
  <c r="O200" i="16"/>
  <c r="K200" i="16"/>
  <c r="B177" i="20"/>
  <c r="AL177" i="20" s="1"/>
  <c r="B177" i="19"/>
  <c r="L803" i="19"/>
  <c r="K803" i="19"/>
  <c r="H803" i="19"/>
  <c r="AV16" i="16"/>
  <c r="AU59" i="16"/>
  <c r="M289" i="19"/>
  <c r="I289" i="19"/>
  <c r="K162" i="19"/>
  <c r="H162" i="19"/>
  <c r="L162" i="19"/>
  <c r="B738" i="20"/>
  <c r="AL738" i="20" s="1"/>
  <c r="B738" i="19"/>
  <c r="S567" i="16"/>
  <c r="O567" i="16"/>
  <c r="K567" i="16"/>
  <c r="AK39" i="16"/>
  <c r="P39" i="20"/>
  <c r="BF39" i="10"/>
  <c r="L672" i="19"/>
  <c r="K672" i="19"/>
  <c r="H672" i="19"/>
  <c r="L803" i="20"/>
  <c r="I803" i="20"/>
  <c r="AU58" i="16"/>
  <c r="AU2" i="16"/>
  <c r="S767" i="16"/>
  <c r="O767" i="16"/>
  <c r="K767" i="16"/>
  <c r="I532" i="20"/>
  <c r="L532" i="20"/>
  <c r="L672" i="20"/>
  <c r="I672" i="20"/>
  <c r="K86" i="16"/>
  <c r="S86" i="16"/>
  <c r="O86" i="16"/>
  <c r="AU64" i="16"/>
  <c r="K803" i="16"/>
  <c r="S803" i="16"/>
  <c r="O803" i="16"/>
  <c r="AV53" i="16"/>
  <c r="AV62" i="16"/>
  <c r="H486" i="19"/>
  <c r="L486" i="19"/>
  <c r="K486" i="19"/>
  <c r="I10" i="20"/>
  <c r="L10" i="20"/>
  <c r="K312" i="16"/>
  <c r="O312" i="16"/>
  <c r="S312" i="16"/>
  <c r="O746" i="16"/>
  <c r="S746" i="16"/>
  <c r="K746" i="16"/>
  <c r="L336" i="20"/>
  <c r="I336" i="20"/>
  <c r="H529" i="19"/>
  <c r="L529" i="19"/>
  <c r="K529" i="19"/>
  <c r="O733" i="16"/>
  <c r="K733" i="16"/>
  <c r="S733" i="16"/>
  <c r="L280" i="20"/>
  <c r="I280" i="20"/>
  <c r="B303" i="20"/>
  <c r="AL303" i="20" s="1"/>
  <c r="B303" i="19"/>
  <c r="B247" i="20"/>
  <c r="AL247" i="20" s="1"/>
  <c r="B247" i="19"/>
  <c r="AV36" i="16"/>
  <c r="AV34" i="16"/>
  <c r="L423" i="19"/>
  <c r="K423" i="19"/>
  <c r="H423" i="19"/>
  <c r="L102" i="19"/>
  <c r="K102" i="19"/>
  <c r="H102" i="19"/>
  <c r="D250" i="19"/>
  <c r="I136" i="20"/>
  <c r="L136" i="20"/>
  <c r="K162" i="16"/>
  <c r="O162" i="16"/>
  <c r="S162" i="16"/>
  <c r="I758" i="20"/>
  <c r="L758" i="20"/>
  <c r="O629" i="16"/>
  <c r="K629" i="16"/>
  <c r="S629" i="16"/>
  <c r="H343" i="19"/>
  <c r="K343" i="19"/>
  <c r="L343" i="19"/>
  <c r="I17" i="20"/>
  <c r="L17" i="20"/>
  <c r="L773" i="20"/>
  <c r="I773" i="20"/>
  <c r="L692" i="20"/>
  <c r="I692" i="20"/>
  <c r="H313" i="19"/>
  <c r="L313" i="19"/>
  <c r="K313" i="19"/>
  <c r="I794" i="20"/>
  <c r="L794" i="20"/>
  <c r="K400" i="19"/>
  <c r="L400" i="19"/>
  <c r="H400" i="19"/>
  <c r="S32" i="16"/>
  <c r="O32" i="16"/>
  <c r="K32" i="16"/>
  <c r="S513" i="16"/>
  <c r="O513" i="16"/>
  <c r="K513" i="16"/>
  <c r="H10" i="11"/>
  <c r="H11" i="11" s="1"/>
  <c r="H12" i="11" s="1"/>
  <c r="H13" i="11" s="1"/>
  <c r="H14" i="11" s="1"/>
  <c r="H15" i="11" s="1"/>
  <c r="H16" i="11" s="1"/>
  <c r="H17" i="11" s="1"/>
  <c r="H18" i="11" s="1"/>
  <c r="H19" i="11" s="1"/>
  <c r="H20" i="11" s="1"/>
  <c r="H21" i="11" s="1"/>
  <c r="H22" i="11" s="1"/>
  <c r="H23" i="11" s="1"/>
  <c r="H24" i="11" s="1"/>
  <c r="H25" i="11" s="1"/>
  <c r="H26" i="11" s="1"/>
  <c r="H27" i="11" s="1"/>
  <c r="H28" i="11" s="1"/>
  <c r="H29" i="11" s="1"/>
  <c r="H30" i="11" s="1"/>
  <c r="H31" i="11" s="1"/>
  <c r="H32" i="11" s="1"/>
  <c r="H33" i="11" s="1"/>
  <c r="H34" i="11" s="1"/>
  <c r="H35" i="11" s="1"/>
  <c r="H36" i="11" s="1"/>
  <c r="H37" i="11" s="1"/>
  <c r="H38" i="11" s="1"/>
  <c r="H39" i="11" s="1"/>
  <c r="H40" i="11" s="1"/>
  <c r="H41" i="11" s="1"/>
  <c r="H42" i="11" s="1"/>
  <c r="H43" i="11" s="1"/>
  <c r="H44" i="11" s="1"/>
  <c r="H45" i="11" s="1"/>
  <c r="H46" i="11" s="1"/>
  <c r="H47" i="11" s="1"/>
  <c r="H48" i="11" s="1"/>
  <c r="H49" i="11" s="1"/>
  <c r="H50" i="11" s="1"/>
  <c r="H51" i="11" s="1"/>
  <c r="H52" i="11" s="1"/>
  <c r="H53" i="11" s="1"/>
  <c r="H54" i="11" s="1"/>
  <c r="H55" i="11" s="1"/>
  <c r="H56" i="11" s="1"/>
  <c r="H57" i="11" s="1"/>
  <c r="H58" i="11" s="1"/>
  <c r="H59" i="11" s="1"/>
  <c r="H60" i="11" s="1"/>
  <c r="H61" i="11" s="1"/>
  <c r="H62" i="11" s="1"/>
  <c r="H63" i="11" s="1"/>
  <c r="H64" i="11" s="1"/>
  <c r="H65" i="11" s="1"/>
  <c r="H66" i="11" s="1"/>
  <c r="H67" i="11" s="1"/>
  <c r="H68" i="11" s="1"/>
  <c r="H69" i="11" s="1"/>
  <c r="H70" i="11" s="1"/>
  <c r="H71" i="11" s="1"/>
  <c r="H72" i="11" s="1"/>
  <c r="H73" i="11" s="1"/>
  <c r="H74" i="11" s="1"/>
  <c r="H75" i="11" s="1"/>
  <c r="H76" i="11" s="1"/>
  <c r="H77" i="11" s="1"/>
  <c r="H78" i="11" s="1"/>
  <c r="H79" i="11" s="1"/>
  <c r="H80" i="11" s="1"/>
  <c r="H81" i="11" s="1"/>
  <c r="H82" i="11" s="1"/>
  <c r="H83" i="11" s="1"/>
  <c r="H84" i="11" s="1"/>
  <c r="H85" i="11" s="1"/>
  <c r="H86" i="11" s="1"/>
  <c r="H87" i="11" s="1"/>
  <c r="H88" i="11" s="1"/>
  <c r="H89" i="11" s="1"/>
  <c r="H90" i="11" s="1"/>
  <c r="H91" i="11" s="1"/>
  <c r="H92" i="11" s="1"/>
  <c r="H93" i="11" s="1"/>
  <c r="H94" i="11" s="1"/>
  <c r="H95" i="11" s="1"/>
  <c r="H96" i="11" s="1"/>
  <c r="H97" i="11" s="1"/>
  <c r="H98" i="11" s="1"/>
  <c r="H99" i="11" s="1"/>
  <c r="H100" i="11" s="1"/>
  <c r="H101" i="11" s="1"/>
  <c r="H102" i="11" s="1"/>
  <c r="H103" i="11" s="1"/>
  <c r="H104" i="11" s="1"/>
  <c r="H105" i="11" s="1"/>
  <c r="H106" i="11" s="1"/>
  <c r="H107" i="11" s="1"/>
  <c r="H108" i="11" s="1"/>
  <c r="H109" i="11" s="1"/>
  <c r="H110" i="11" s="1"/>
  <c r="H111" i="11" s="1"/>
  <c r="H112" i="11" s="1"/>
  <c r="H113" i="11" s="1"/>
  <c r="H114" i="11" s="1"/>
  <c r="H115" i="11" s="1"/>
  <c r="H116" i="11" s="1"/>
  <c r="H117" i="11" s="1"/>
  <c r="H118" i="11" s="1"/>
  <c r="H119" i="11" s="1"/>
  <c r="H120" i="11" s="1"/>
  <c r="H121" i="11" s="1"/>
  <c r="H122" i="11" s="1"/>
  <c r="H123" i="11" s="1"/>
  <c r="H124" i="11" s="1"/>
  <c r="H125" i="11" s="1"/>
  <c r="H126" i="11" s="1"/>
  <c r="H127" i="11" s="1"/>
  <c r="H128" i="11" s="1"/>
  <c r="H129" i="11" s="1"/>
  <c r="H130" i="11" s="1"/>
  <c r="H131" i="11" s="1"/>
  <c r="H132" i="11" s="1"/>
  <c r="H133" i="11" s="1"/>
  <c r="H134" i="11" s="1"/>
  <c r="H135" i="11" s="1"/>
  <c r="H136" i="11" s="1"/>
  <c r="H137" i="11" s="1"/>
  <c r="H138" i="11" s="1"/>
  <c r="H139" i="11" s="1"/>
  <c r="H140" i="11" s="1"/>
  <c r="H141" i="11" s="1"/>
  <c r="H142" i="11" s="1"/>
  <c r="H143" i="11" s="1"/>
  <c r="H144" i="11" s="1"/>
  <c r="H145" i="11" s="1"/>
  <c r="H146" i="11" s="1"/>
  <c r="H147" i="11" s="1"/>
  <c r="H148" i="11" s="1"/>
  <c r="H149" i="11" s="1"/>
  <c r="H150" i="11" s="1"/>
  <c r="H151" i="11" s="1"/>
  <c r="H152" i="11" s="1"/>
  <c r="H153" i="11" s="1"/>
  <c r="H154" i="11" s="1"/>
  <c r="H155" i="11" s="1"/>
  <c r="H156" i="11" s="1"/>
  <c r="H157" i="11" s="1"/>
  <c r="H158" i="11" s="1"/>
  <c r="H159" i="11" s="1"/>
  <c r="H160" i="11" s="1"/>
  <c r="H161" i="11" s="1"/>
  <c r="H162" i="11" s="1"/>
  <c r="H163" i="11" s="1"/>
  <c r="H164" i="11" s="1"/>
  <c r="H165" i="11" s="1"/>
  <c r="H166" i="11" s="1"/>
  <c r="H167" i="11" s="1"/>
  <c r="H168" i="11" s="1"/>
  <c r="H169" i="11" s="1"/>
  <c r="H170" i="11" s="1"/>
  <c r="H171" i="11" s="1"/>
  <c r="H172" i="11" s="1"/>
  <c r="H173" i="11" s="1"/>
  <c r="H174" i="11" s="1"/>
  <c r="H175" i="11" s="1"/>
  <c r="H176" i="11" s="1"/>
  <c r="H177" i="11" s="1"/>
  <c r="H178" i="11" s="1"/>
  <c r="H179" i="11" s="1"/>
  <c r="H180" i="11" s="1"/>
  <c r="H181" i="11" s="1"/>
  <c r="H182" i="11" s="1"/>
  <c r="H183" i="11" s="1"/>
  <c r="H184" i="11" s="1"/>
  <c r="H185" i="11" s="1"/>
  <c r="H186" i="11" s="1"/>
  <c r="H187" i="11" s="1"/>
  <c r="H188" i="11" s="1"/>
  <c r="H189" i="11" s="1"/>
  <c r="H190" i="11" s="1"/>
  <c r="H191" i="11" s="1"/>
  <c r="H192" i="11" s="1"/>
  <c r="H193" i="11" s="1"/>
  <c r="H194" i="11" s="1"/>
  <c r="H195" i="11" s="1"/>
  <c r="H196" i="11" s="1"/>
  <c r="H197" i="11" s="1"/>
  <c r="H198" i="11" s="1"/>
  <c r="H199" i="11" s="1"/>
  <c r="H200" i="11" s="1"/>
  <c r="H201" i="11" s="1"/>
  <c r="H202" i="11" s="1"/>
  <c r="H203" i="11" s="1"/>
  <c r="H204" i="11" s="1"/>
  <c r="H205" i="11" s="1"/>
  <c r="H206" i="11" s="1"/>
  <c r="H207" i="11" s="1"/>
  <c r="H208" i="11" s="1"/>
  <c r="H209" i="11" s="1"/>
  <c r="H210" i="11" s="1"/>
  <c r="H211" i="11" s="1"/>
  <c r="H212" i="11" s="1"/>
  <c r="H213" i="11" s="1"/>
  <c r="H214" i="11" s="1"/>
  <c r="H215" i="11" s="1"/>
  <c r="H216" i="11" s="1"/>
  <c r="H217" i="11" s="1"/>
  <c r="H218" i="11" s="1"/>
  <c r="H219" i="11" s="1"/>
  <c r="H220" i="11" s="1"/>
  <c r="H221" i="11" s="1"/>
  <c r="H222" i="11" s="1"/>
  <c r="H223" i="11" s="1"/>
  <c r="H224" i="11" s="1"/>
  <c r="H225" i="11" s="1"/>
  <c r="H226" i="11" s="1"/>
  <c r="H227" i="11" s="1"/>
  <c r="H228" i="11" s="1"/>
  <c r="H229" i="11" s="1"/>
  <c r="H230" i="11" s="1"/>
  <c r="H231" i="11" s="1"/>
  <c r="H232" i="11" s="1"/>
  <c r="H233" i="11" s="1"/>
  <c r="H234" i="11" s="1"/>
  <c r="H235" i="11" s="1"/>
  <c r="H236" i="11" s="1"/>
  <c r="H237" i="11" s="1"/>
  <c r="H238" i="11" s="1"/>
  <c r="H239" i="11" s="1"/>
  <c r="H240" i="11" s="1"/>
  <c r="H241" i="11" s="1"/>
  <c r="H242" i="11" s="1"/>
  <c r="H243" i="11" s="1"/>
  <c r="H244" i="11" s="1"/>
  <c r="H245" i="11" s="1"/>
  <c r="H246" i="11" s="1"/>
  <c r="H247" i="11" s="1"/>
  <c r="H248" i="11" s="1"/>
  <c r="H249" i="11" s="1"/>
  <c r="H250" i="11" s="1"/>
  <c r="H251" i="11" s="1"/>
  <c r="H252" i="11" s="1"/>
  <c r="H253" i="11" s="1"/>
  <c r="H254" i="11" s="1"/>
  <c r="H255" i="11" s="1"/>
  <c r="H256" i="11" s="1"/>
  <c r="H257" i="11" s="1"/>
  <c r="H258" i="11" s="1"/>
  <c r="H259" i="11" s="1"/>
  <c r="H260" i="11" s="1"/>
  <c r="H261" i="11" s="1"/>
  <c r="H262" i="11" s="1"/>
  <c r="H263" i="11" s="1"/>
  <c r="H264" i="11" s="1"/>
  <c r="H265" i="11" s="1"/>
  <c r="H266" i="11" s="1"/>
  <c r="H267" i="11" s="1"/>
  <c r="H268" i="11" s="1"/>
  <c r="H269" i="11" s="1"/>
  <c r="H270" i="11" s="1"/>
  <c r="H271" i="11" s="1"/>
  <c r="H272" i="11" s="1"/>
  <c r="H273" i="11" s="1"/>
  <c r="H274" i="11" s="1"/>
  <c r="H275" i="11" s="1"/>
  <c r="H276" i="11" s="1"/>
  <c r="H277" i="11" s="1"/>
  <c r="H278" i="11" s="1"/>
  <c r="H279" i="11" s="1"/>
  <c r="H280" i="11" s="1"/>
  <c r="H281" i="11" s="1"/>
  <c r="H282" i="11" s="1"/>
  <c r="H283" i="11" s="1"/>
  <c r="H284" i="11" s="1"/>
  <c r="H285" i="11" s="1"/>
  <c r="H286" i="11" s="1"/>
  <c r="H287" i="11" s="1"/>
  <c r="H288" i="11" s="1"/>
  <c r="H289" i="11" s="1"/>
  <c r="H290" i="11" s="1"/>
  <c r="H291" i="11" s="1"/>
  <c r="H292" i="11" s="1"/>
  <c r="H293" i="11" s="1"/>
  <c r="H294" i="11" s="1"/>
  <c r="H295" i="11" s="1"/>
  <c r="H296" i="11" s="1"/>
  <c r="H297" i="11" s="1"/>
  <c r="H298" i="11" s="1"/>
  <c r="H299" i="11" s="1"/>
  <c r="H300" i="11" s="1"/>
  <c r="H301" i="11" s="1"/>
  <c r="H302" i="11" s="1"/>
  <c r="H303" i="11" s="1"/>
  <c r="H304" i="11" s="1"/>
  <c r="H305" i="11" s="1"/>
  <c r="H306" i="11" s="1"/>
  <c r="H307" i="11" s="1"/>
  <c r="H308" i="11" s="1"/>
  <c r="H309" i="11" s="1"/>
  <c r="H310" i="11" s="1"/>
  <c r="H311" i="11" s="1"/>
  <c r="H312" i="11" s="1"/>
  <c r="H313" i="11" s="1"/>
  <c r="H314" i="11" s="1"/>
  <c r="H315" i="11" s="1"/>
  <c r="H316" i="11" s="1"/>
  <c r="H317" i="11" s="1"/>
  <c r="H318" i="11" s="1"/>
  <c r="H319" i="11" s="1"/>
  <c r="H320" i="11" s="1"/>
  <c r="H321" i="11" s="1"/>
  <c r="H322" i="11" s="1"/>
  <c r="H323" i="11" s="1"/>
  <c r="H324" i="11" s="1"/>
  <c r="H325" i="11" s="1"/>
  <c r="H326" i="11" s="1"/>
  <c r="H327" i="11" s="1"/>
  <c r="H328" i="11" s="1"/>
  <c r="H329" i="11" s="1"/>
  <c r="H330" i="11" s="1"/>
  <c r="H331" i="11" s="1"/>
  <c r="H332" i="11" s="1"/>
  <c r="H333" i="11" s="1"/>
  <c r="H334" i="11" s="1"/>
  <c r="H335" i="11" s="1"/>
  <c r="H336" i="11" s="1"/>
  <c r="H337" i="11" s="1"/>
  <c r="H338" i="11" s="1"/>
  <c r="H339" i="11" s="1"/>
  <c r="H340" i="11" s="1"/>
  <c r="H341" i="11" s="1"/>
  <c r="H342" i="11" s="1"/>
  <c r="H343" i="11" s="1"/>
  <c r="H344" i="11" s="1"/>
  <c r="H345" i="11" s="1"/>
  <c r="H346" i="11" s="1"/>
  <c r="H347" i="11" s="1"/>
  <c r="H348" i="11" s="1"/>
  <c r="H349" i="11" s="1"/>
  <c r="H350" i="11" s="1"/>
  <c r="H351" i="11" s="1"/>
  <c r="H352" i="11" s="1"/>
  <c r="H353" i="11" s="1"/>
  <c r="H354" i="11" s="1"/>
  <c r="H355" i="11" s="1"/>
  <c r="H356" i="11" s="1"/>
  <c r="H357" i="11" s="1"/>
  <c r="H358" i="11" s="1"/>
  <c r="H359" i="11" s="1"/>
  <c r="H360" i="11" s="1"/>
  <c r="H361" i="11" s="1"/>
  <c r="H362" i="11" s="1"/>
  <c r="H363" i="11" s="1"/>
  <c r="H364" i="11" s="1"/>
  <c r="H365" i="11" s="1"/>
  <c r="H366" i="11" s="1"/>
  <c r="H367" i="11" s="1"/>
  <c r="H368" i="11" s="1"/>
  <c r="H369" i="11" s="1"/>
  <c r="H370" i="11" s="1"/>
  <c r="H371" i="11" s="1"/>
  <c r="H372" i="11" s="1"/>
  <c r="H373" i="11" s="1"/>
  <c r="H374" i="11" s="1"/>
  <c r="H375" i="11" s="1"/>
  <c r="H376" i="11" s="1"/>
  <c r="H377" i="11" s="1"/>
  <c r="H378" i="11" s="1"/>
  <c r="H379" i="11" s="1"/>
  <c r="H380" i="11" s="1"/>
  <c r="H381" i="11" s="1"/>
  <c r="H382" i="11" s="1"/>
  <c r="H383" i="11" s="1"/>
  <c r="H384" i="11" s="1"/>
  <c r="H385" i="11" s="1"/>
  <c r="H386" i="11" s="1"/>
  <c r="H387" i="11" s="1"/>
  <c r="H388" i="11" s="1"/>
  <c r="H389" i="11" s="1"/>
  <c r="H390" i="11" s="1"/>
  <c r="H391" i="11" s="1"/>
  <c r="H392" i="11" s="1"/>
  <c r="H393" i="11" s="1"/>
  <c r="H394" i="11" s="1"/>
  <c r="H395" i="11" s="1"/>
  <c r="H396" i="11" s="1"/>
  <c r="H397" i="11" s="1"/>
  <c r="H398" i="11" s="1"/>
  <c r="H399" i="11" s="1"/>
  <c r="H400" i="11" s="1"/>
  <c r="H401" i="11" s="1"/>
  <c r="H402" i="11" s="1"/>
  <c r="H403" i="11" s="1"/>
  <c r="H404" i="11" s="1"/>
  <c r="H405" i="11" s="1"/>
  <c r="H406" i="11" s="1"/>
  <c r="H407" i="11" s="1"/>
  <c r="H408" i="11" s="1"/>
  <c r="H409" i="11" s="1"/>
  <c r="H410" i="11" s="1"/>
  <c r="H411" i="11" s="1"/>
  <c r="H412" i="11" s="1"/>
  <c r="H413" i="11" s="1"/>
  <c r="H414" i="11" s="1"/>
  <c r="H415" i="11" s="1"/>
  <c r="H416" i="11" s="1"/>
  <c r="H417" i="11" s="1"/>
  <c r="H418" i="11" s="1"/>
  <c r="H419" i="11" s="1"/>
  <c r="H420" i="11" s="1"/>
  <c r="H421" i="11" s="1"/>
  <c r="H422" i="11" s="1"/>
  <c r="H423" i="11" s="1"/>
  <c r="H424" i="11" s="1"/>
  <c r="H425" i="11" s="1"/>
  <c r="H426" i="11" s="1"/>
  <c r="H427" i="11" s="1"/>
  <c r="H428" i="11" s="1"/>
  <c r="H429" i="11" s="1"/>
  <c r="H430" i="11" s="1"/>
  <c r="H431" i="11" s="1"/>
  <c r="H432" i="11" s="1"/>
  <c r="H433" i="11" s="1"/>
  <c r="H434" i="11" s="1"/>
  <c r="H435" i="11" s="1"/>
  <c r="H436" i="11" s="1"/>
  <c r="H437" i="11" s="1"/>
  <c r="H438" i="11" s="1"/>
  <c r="H439" i="11" s="1"/>
  <c r="H440" i="11" s="1"/>
  <c r="H441" i="11" s="1"/>
  <c r="H442" i="11" s="1"/>
  <c r="H443" i="11" s="1"/>
  <c r="H444" i="11" s="1"/>
  <c r="H445" i="11" s="1"/>
  <c r="H446" i="11" s="1"/>
  <c r="H447" i="11" s="1"/>
  <c r="H448" i="11" s="1"/>
  <c r="H449" i="11" s="1"/>
  <c r="H450" i="11" s="1"/>
  <c r="H451" i="11" s="1"/>
  <c r="H452" i="11" s="1"/>
  <c r="H453" i="11" s="1"/>
  <c r="H454" i="11" s="1"/>
  <c r="H455" i="11" s="1"/>
  <c r="H456" i="11" s="1"/>
  <c r="L514" i="19"/>
  <c r="K514" i="19"/>
  <c r="H514" i="19"/>
  <c r="L262" i="20"/>
  <c r="I262" i="20"/>
  <c r="L43" i="19"/>
  <c r="K43" i="19"/>
  <c r="H43" i="19"/>
  <c r="M708" i="19"/>
  <c r="I708" i="19"/>
  <c r="L445" i="19"/>
  <c r="K445" i="19"/>
  <c r="H445" i="19"/>
  <c r="L626" i="19"/>
  <c r="K626" i="19"/>
  <c r="H626" i="19"/>
  <c r="G73" i="8"/>
  <c r="B681" i="20"/>
  <c r="AL681" i="20" s="1"/>
  <c r="B681" i="19"/>
  <c r="I176" i="20"/>
  <c r="L176" i="20"/>
  <c r="M493" i="19"/>
  <c r="I493" i="19"/>
  <c r="K493" i="19"/>
  <c r="L97" i="19"/>
  <c r="K97" i="19"/>
  <c r="H97" i="19"/>
  <c r="J788" i="8"/>
  <c r="J143" i="8"/>
  <c r="B163" i="20"/>
  <c r="AL163" i="20" s="1"/>
  <c r="B163" i="19"/>
  <c r="I407" i="9"/>
  <c r="J407" i="9" s="1"/>
  <c r="C407" i="19" s="1"/>
  <c r="K568" i="16"/>
  <c r="S568" i="16"/>
  <c r="O568" i="16"/>
  <c r="J337" i="8"/>
  <c r="S112" i="16"/>
  <c r="K112" i="16"/>
  <c r="O112" i="16"/>
  <c r="G51" i="8"/>
  <c r="L789" i="20"/>
  <c r="I789" i="20"/>
  <c r="B481" i="20"/>
  <c r="AL481" i="20" s="1"/>
  <c r="B481" i="19"/>
  <c r="G381" i="8"/>
  <c r="H538" i="19"/>
  <c r="L538" i="19"/>
  <c r="K538" i="19"/>
  <c r="L723" i="20"/>
  <c r="I723" i="20"/>
  <c r="J103" i="8"/>
  <c r="G24" i="8"/>
  <c r="O654" i="16"/>
  <c r="K654" i="16"/>
  <c r="S654" i="16"/>
  <c r="L788" i="20"/>
  <c r="I788" i="20"/>
  <c r="J211" i="8"/>
  <c r="G224" i="8"/>
  <c r="AV42" i="16"/>
  <c r="AV28" i="16"/>
  <c r="AU12" i="16"/>
  <c r="AU19" i="16"/>
  <c r="AU55" i="16"/>
  <c r="L60" i="20"/>
  <c r="I60" i="20"/>
  <c r="K322" i="16"/>
  <c r="O322" i="16"/>
  <c r="S322" i="16"/>
  <c r="L406" i="20"/>
  <c r="I406" i="20"/>
  <c r="K822" i="19"/>
  <c r="H822" i="19"/>
  <c r="L822" i="19"/>
  <c r="S146" i="16"/>
  <c r="O146" i="16"/>
  <c r="K146" i="16"/>
  <c r="I419" i="20"/>
  <c r="L419" i="20"/>
  <c r="L553" i="20"/>
  <c r="I553" i="20"/>
  <c r="L210" i="20"/>
  <c r="I210" i="20"/>
  <c r="I206" i="19"/>
  <c r="M206" i="19"/>
  <c r="AQ34" i="19"/>
  <c r="AR34" i="19" s="1"/>
  <c r="K758" i="16"/>
  <c r="S758" i="16"/>
  <c r="O758" i="16"/>
  <c r="I382" i="9"/>
  <c r="J382" i="9" s="1"/>
  <c r="C382" i="19" s="1"/>
  <c r="H109" i="19"/>
  <c r="L109" i="19"/>
  <c r="K109" i="19"/>
  <c r="L343" i="20"/>
  <c r="I343" i="20"/>
  <c r="O17" i="16"/>
  <c r="K17" i="16"/>
  <c r="S17" i="16"/>
  <c r="S773" i="16"/>
  <c r="K773" i="16"/>
  <c r="O773" i="16"/>
  <c r="L692" i="19"/>
  <c r="K692" i="19"/>
  <c r="H692" i="19"/>
  <c r="I313" i="20"/>
  <c r="L313" i="20"/>
  <c r="S794" i="16"/>
  <c r="O794" i="16"/>
  <c r="K794" i="16"/>
  <c r="L757" i="19"/>
  <c r="K757" i="19"/>
  <c r="H757" i="19"/>
  <c r="L400" i="20"/>
  <c r="I400" i="20"/>
  <c r="I625" i="9"/>
  <c r="J625" i="9" s="1"/>
  <c r="C625" i="19" s="1"/>
  <c r="L32" i="20"/>
  <c r="I32" i="20"/>
  <c r="I572" i="20"/>
  <c r="L572" i="20"/>
  <c r="I514" i="20"/>
  <c r="L514" i="20"/>
  <c r="L420" i="19"/>
  <c r="K420" i="19"/>
  <c r="H420" i="19"/>
  <c r="L39" i="19"/>
  <c r="K39" i="19"/>
  <c r="H39" i="19"/>
  <c r="S262" i="16"/>
  <c r="K262" i="16"/>
  <c r="O262" i="16"/>
  <c r="B711" i="20"/>
  <c r="AL711" i="20" s="1"/>
  <c r="B711" i="19"/>
  <c r="I43" i="20"/>
  <c r="L43" i="20"/>
  <c r="L220" i="19"/>
  <c r="K220" i="19"/>
  <c r="H220" i="19"/>
  <c r="AW30" i="10"/>
  <c r="AO30" i="10"/>
  <c r="R30" i="20" s="1"/>
  <c r="Y30" i="20" s="1"/>
  <c r="AS30" i="10"/>
  <c r="L445" i="20"/>
  <c r="I445" i="20"/>
  <c r="I626" i="20"/>
  <c r="L626" i="20"/>
  <c r="L294" i="19"/>
  <c r="K294" i="19"/>
  <c r="H294" i="19"/>
  <c r="L153" i="20"/>
  <c r="I153" i="20"/>
  <c r="G822" i="8"/>
  <c r="H63" i="19"/>
  <c r="K63" i="19"/>
  <c r="L63" i="19"/>
  <c r="I186" i="20"/>
  <c r="L186" i="20"/>
  <c r="L97" i="20"/>
  <c r="I97" i="20"/>
  <c r="H366" i="19"/>
  <c r="L366" i="19"/>
  <c r="K366" i="19"/>
  <c r="G375" i="8"/>
  <c r="B477" i="20"/>
  <c r="AL477" i="20" s="1"/>
  <c r="B477" i="19"/>
  <c r="L487" i="19"/>
  <c r="K487" i="19"/>
  <c r="H487" i="19"/>
  <c r="G788" i="8"/>
  <c r="G143" i="8"/>
  <c r="I407" i="19"/>
  <c r="M407" i="19"/>
  <c r="I365" i="9"/>
  <c r="J365" i="9" s="1"/>
  <c r="C365" i="19" s="1"/>
  <c r="H154" i="19"/>
  <c r="L154" i="19"/>
  <c r="K154" i="19"/>
  <c r="J51" i="8"/>
  <c r="O678" i="16"/>
  <c r="K678" i="16"/>
  <c r="S678" i="16"/>
  <c r="J497" i="8"/>
  <c r="O789" i="16"/>
  <c r="S789" i="16"/>
  <c r="K789" i="16"/>
  <c r="M13" i="19"/>
  <c r="I13" i="19"/>
  <c r="AX46" i="19"/>
  <c r="AX47" i="19"/>
  <c r="G703" i="8"/>
  <c r="S723" i="16"/>
  <c r="O723" i="16"/>
  <c r="K723" i="16"/>
  <c r="L722" i="19"/>
  <c r="K722" i="19"/>
  <c r="H722" i="19"/>
  <c r="G773" i="8"/>
  <c r="G211" i="8"/>
  <c r="I455" i="9"/>
  <c r="J455" i="9" s="1"/>
  <c r="C455" i="19" s="1"/>
  <c r="L80" i="20"/>
  <c r="I80" i="20"/>
  <c r="G227" i="8"/>
  <c r="H406" i="19"/>
  <c r="L406" i="19"/>
  <c r="K406" i="19"/>
  <c r="O378" i="16"/>
  <c r="K378" i="16"/>
  <c r="S378" i="16"/>
  <c r="I714" i="9"/>
  <c r="J714" i="9" s="1"/>
  <c r="C714" i="19" s="1"/>
  <c r="L523" i="20"/>
  <c r="I523" i="20"/>
  <c r="K696" i="16"/>
  <c r="O696" i="16"/>
  <c r="S696" i="16"/>
  <c r="G3" i="8"/>
  <c r="L53" i="19"/>
  <c r="H53" i="19"/>
  <c r="K53" i="19"/>
  <c r="L643" i="20"/>
  <c r="I643" i="20"/>
  <c r="M365" i="19"/>
  <c r="I365" i="19"/>
  <c r="K365" i="19"/>
  <c r="L154" i="20"/>
  <c r="I154" i="20"/>
  <c r="G418" i="8"/>
  <c r="G577" i="8"/>
  <c r="B268" i="19"/>
  <c r="B268" i="20"/>
  <c r="AL268" i="20" s="1"/>
  <c r="G139" i="8"/>
  <c r="L526" i="20"/>
  <c r="I526" i="20"/>
  <c r="G454" i="8"/>
  <c r="L23" i="19"/>
  <c r="K23" i="19"/>
  <c r="H23" i="19"/>
  <c r="K327" i="16"/>
  <c r="O327" i="16"/>
  <c r="S327" i="16"/>
  <c r="G103" i="8"/>
  <c r="G53" i="8"/>
  <c r="I13" i="1"/>
  <c r="J638" i="8"/>
  <c r="J460" i="8"/>
  <c r="J528" i="8"/>
  <c r="J228" i="8"/>
  <c r="J12" i="8"/>
  <c r="J721" i="8"/>
  <c r="J645" i="8"/>
  <c r="J350" i="8"/>
  <c r="J235" i="8"/>
  <c r="J425" i="8"/>
  <c r="J708" i="8"/>
  <c r="J131" i="8"/>
  <c r="J763" i="8"/>
  <c r="J79" i="8"/>
  <c r="J436" i="8"/>
  <c r="J702" i="8"/>
  <c r="J560" i="8"/>
  <c r="J285" i="8"/>
  <c r="J66" i="8"/>
  <c r="J446" i="8"/>
  <c r="J323" i="8"/>
  <c r="J387" i="8"/>
  <c r="J365" i="8"/>
  <c r="J774" i="8"/>
  <c r="J455" i="8"/>
  <c r="J88" i="8"/>
  <c r="J163" i="8"/>
  <c r="J191" i="8"/>
  <c r="J526" i="8"/>
  <c r="J607" i="8"/>
  <c r="J206" i="8"/>
  <c r="J237" i="8"/>
  <c r="J57" i="8"/>
  <c r="J196" i="8"/>
  <c r="J345" i="8"/>
  <c r="J146" i="8"/>
  <c r="J179" i="8"/>
  <c r="J29" i="8"/>
  <c r="J134" i="8"/>
  <c r="J360" i="8"/>
  <c r="J10" i="8"/>
  <c r="J279" i="8"/>
  <c r="J478" i="8"/>
  <c r="J573" i="8"/>
  <c r="J48" i="8"/>
  <c r="J465" i="8"/>
  <c r="J30" i="8"/>
  <c r="J391" i="8"/>
  <c r="J622" i="8"/>
  <c r="J335" i="8"/>
  <c r="J151" i="8"/>
  <c r="J390" i="8"/>
  <c r="J746" i="8"/>
  <c r="J771" i="8"/>
  <c r="J519" i="8"/>
  <c r="J450" i="8"/>
  <c r="J533" i="8"/>
  <c r="J15" i="8"/>
  <c r="J260" i="8"/>
  <c r="J433" i="8"/>
  <c r="J687" i="8"/>
  <c r="J591" i="8"/>
  <c r="J98" i="8"/>
  <c r="J683" i="8"/>
  <c r="J250" i="8"/>
  <c r="J17" i="8"/>
  <c r="J95" i="8"/>
  <c r="J364" i="8"/>
  <c r="J781" i="8"/>
  <c r="J242" i="8"/>
  <c r="J393" i="8"/>
  <c r="J186" i="8"/>
  <c r="J302" i="8"/>
  <c r="J325" i="8"/>
  <c r="J608" i="8"/>
  <c r="J751" i="8"/>
  <c r="J493" i="8"/>
  <c r="J72" i="8"/>
  <c r="J659" i="8"/>
  <c r="J403" i="8"/>
  <c r="J309" i="8"/>
  <c r="J267" i="8"/>
  <c r="J76" i="8"/>
  <c r="J800" i="8"/>
  <c r="J181" i="8"/>
  <c r="J653" i="8"/>
  <c r="J189" i="8"/>
  <c r="J388" i="8"/>
  <c r="J161" i="8"/>
  <c r="J458" i="8"/>
  <c r="J229" i="8"/>
  <c r="J740" i="8"/>
  <c r="J799" i="8"/>
  <c r="J310" i="8"/>
  <c r="J408" i="8"/>
  <c r="J109" i="8"/>
  <c r="J568" i="8"/>
  <c r="J737" i="8"/>
  <c r="J407" i="8"/>
  <c r="J202" i="8"/>
  <c r="J295" i="8"/>
  <c r="J315" i="8"/>
  <c r="J159" i="8"/>
  <c r="J347" i="8"/>
  <c r="J694" i="8"/>
  <c r="J666" i="8"/>
  <c r="J154" i="8"/>
  <c r="J475" i="8"/>
  <c r="J280" i="8"/>
  <c r="J719" i="8"/>
  <c r="J437" i="8"/>
  <c r="J549" i="8"/>
  <c r="J101" i="8"/>
  <c r="J61" i="8"/>
  <c r="J600" i="8"/>
  <c r="J541" i="8"/>
  <c r="J368" i="8"/>
  <c r="J634" i="8"/>
  <c r="J496" i="8"/>
  <c r="J289" i="8"/>
  <c r="J556" i="8"/>
  <c r="J820" i="8"/>
  <c r="J111" i="8"/>
  <c r="J749" i="8"/>
  <c r="J173" i="8"/>
  <c r="J481" i="8"/>
  <c r="J382" i="8"/>
  <c r="J520" i="8"/>
  <c r="J738" i="8"/>
  <c r="J305" i="8"/>
  <c r="J796" i="8"/>
  <c r="J474" i="8"/>
  <c r="J47" i="8"/>
  <c r="J506" i="8"/>
  <c r="J290" i="8"/>
  <c r="J136" i="8"/>
  <c r="J705" i="8"/>
  <c r="J584" i="8"/>
  <c r="J114" i="8"/>
  <c r="J216" i="8"/>
  <c r="J255" i="8"/>
  <c r="J605" i="8"/>
  <c r="J106" i="8"/>
  <c r="J744" i="8"/>
  <c r="J300" i="8"/>
  <c r="J499" i="8"/>
  <c r="J21" i="8"/>
  <c r="J209" i="8"/>
  <c r="J49" i="8"/>
  <c r="J367" i="8"/>
  <c r="J417" i="8"/>
  <c r="J656" i="8"/>
  <c r="J313" i="8"/>
  <c r="J524" i="8"/>
  <c r="J274" i="8"/>
  <c r="J453" i="8"/>
  <c r="J509" i="8"/>
  <c r="J709" i="8"/>
  <c r="J247" i="8"/>
  <c r="J327" i="8"/>
  <c r="J277" i="8"/>
  <c r="J426" i="8"/>
  <c r="J643" i="8"/>
  <c r="J730" i="8"/>
  <c r="J537" i="8"/>
  <c r="J236" i="8"/>
  <c r="J589" i="8"/>
  <c r="J45" i="8"/>
  <c r="J777" i="8"/>
  <c r="J413" i="8"/>
  <c r="J615" i="8"/>
  <c r="J733" i="8"/>
  <c r="J297" i="8"/>
  <c r="J657" i="8"/>
  <c r="J107" i="8"/>
  <c r="J583" i="8"/>
  <c r="J26" i="8"/>
  <c r="J576" i="8"/>
  <c r="J420" i="8"/>
  <c r="J681" i="8"/>
  <c r="J94" i="8"/>
  <c r="J381" i="8"/>
  <c r="J333" i="8"/>
  <c r="J411" i="8"/>
  <c r="J505" i="8"/>
  <c r="J187" i="8"/>
  <c r="J58" i="8"/>
  <c r="J736" i="8"/>
  <c r="J447" i="8"/>
  <c r="J602" i="8"/>
  <c r="J142" i="8"/>
  <c r="J427" i="8"/>
  <c r="J128" i="8"/>
  <c r="J362" i="8"/>
  <c r="J743" i="8"/>
  <c r="J164" i="8"/>
  <c r="J197" i="8"/>
  <c r="J664" i="8"/>
  <c r="J629" i="8"/>
  <c r="J518" i="8"/>
  <c r="J650" i="8"/>
  <c r="J508" i="8"/>
  <c r="J389" i="8"/>
  <c r="J677" i="8"/>
  <c r="J357" i="8"/>
  <c r="J52" i="8"/>
  <c r="J348" i="8"/>
  <c r="J90" i="8"/>
  <c r="J340" i="8"/>
  <c r="J745" i="8"/>
  <c r="J167" i="8"/>
  <c r="J555" i="8"/>
  <c r="J278" i="8"/>
  <c r="J396" i="8"/>
  <c r="J616" i="8"/>
  <c r="J624" i="8"/>
  <c r="J108" i="8"/>
  <c r="J529" i="8"/>
  <c r="J716" i="8"/>
  <c r="J55" i="8"/>
  <c r="J307" i="8"/>
  <c r="J395" i="8"/>
  <c r="J722" i="8"/>
  <c r="J527" i="8"/>
  <c r="J761" i="8"/>
  <c r="J507" i="8"/>
  <c r="J701" i="8"/>
  <c r="J655" i="8"/>
  <c r="J752" i="8"/>
  <c r="J544" i="8"/>
  <c r="J373" i="8"/>
  <c r="J706" i="8"/>
  <c r="J766" i="8"/>
  <c r="J504" i="8"/>
  <c r="J604" i="8"/>
  <c r="J463" i="8"/>
  <c r="J754" i="8"/>
  <c r="J369" i="8"/>
  <c r="J122" i="8"/>
  <c r="J468" i="8"/>
  <c r="J38" i="8"/>
  <c r="J169" i="8"/>
  <c r="J726" i="8"/>
  <c r="J207" i="8"/>
  <c r="J418" i="8"/>
  <c r="J675" i="8"/>
  <c r="J635" i="8"/>
  <c r="J36" i="8"/>
  <c r="J516" i="8"/>
  <c r="J78" i="8"/>
  <c r="J554" i="8"/>
  <c r="J124" i="8"/>
  <c r="J198" i="8"/>
  <c r="J511" i="8"/>
  <c r="J257" i="8"/>
  <c r="J585" i="8"/>
  <c r="J296" i="8"/>
  <c r="J319" i="8"/>
  <c r="J445" i="8"/>
  <c r="J217" i="8"/>
  <c r="J210" i="8"/>
  <c r="J31" i="8"/>
  <c r="J467" i="8"/>
  <c r="J817" i="8"/>
  <c r="J89" i="8"/>
  <c r="J91" i="8"/>
  <c r="J226" i="8"/>
  <c r="J498" i="8"/>
  <c r="J431" i="8"/>
  <c r="J476" i="8"/>
  <c r="J11" i="8"/>
  <c r="J579" i="8"/>
  <c r="J558" i="8"/>
  <c r="J750" i="8"/>
  <c r="J105" i="8"/>
  <c r="J171" i="8"/>
  <c r="J42" i="8"/>
  <c r="J639" i="8"/>
  <c r="J685" i="8"/>
  <c r="J747" i="8"/>
  <c r="J485" i="8"/>
  <c r="J178" i="8"/>
  <c r="J547" i="8"/>
  <c r="J177" i="8"/>
  <c r="J127" i="8"/>
  <c r="J731" i="8"/>
  <c r="J487" i="8"/>
  <c r="J355" i="8"/>
  <c r="J129" i="8"/>
  <c r="J632" i="8"/>
  <c r="J695" i="8"/>
  <c r="J249" i="8"/>
  <c r="J818" i="8"/>
  <c r="J416" i="8"/>
  <c r="J157" i="8"/>
  <c r="J642" i="8"/>
  <c r="J378" i="8"/>
  <c r="J138" i="8"/>
  <c r="J67" i="8"/>
  <c r="J626" i="8"/>
  <c r="J322" i="8"/>
  <c r="J670" i="8"/>
  <c r="J342" i="8"/>
  <c r="J633" i="8"/>
  <c r="J469" i="8"/>
  <c r="J598" i="8"/>
  <c r="J566" i="8"/>
  <c r="J538" i="8"/>
  <c r="J699" i="8"/>
  <c r="J609" i="8"/>
  <c r="J139" i="8"/>
  <c r="J284" i="8"/>
  <c r="J798" i="8"/>
  <c r="J471" i="8"/>
  <c r="J353" i="8"/>
  <c r="J238" i="8"/>
  <c r="J328" i="8"/>
  <c r="J821" i="8"/>
  <c r="J18" i="8"/>
  <c r="J398" i="8"/>
  <c r="J421" i="8"/>
  <c r="J456" i="8"/>
  <c r="J627" i="8"/>
  <c r="J662" i="8"/>
  <c r="J225" i="8"/>
  <c r="J490" i="8"/>
  <c r="J782" i="8"/>
  <c r="J429" i="8"/>
  <c r="J308" i="8"/>
  <c r="J488" i="8"/>
  <c r="J689" i="8"/>
  <c r="J803" i="8"/>
  <c r="J621" i="8"/>
  <c r="J571" i="8"/>
  <c r="J230" i="8"/>
  <c r="J703" i="8"/>
  <c r="J813" i="8"/>
  <c r="J380" i="8"/>
  <c r="J479" i="8"/>
  <c r="J565" i="8"/>
  <c r="J651" i="8"/>
  <c r="J86" i="8"/>
  <c r="J451" i="8"/>
  <c r="J338" i="8"/>
  <c r="J794" i="8"/>
  <c r="J822" i="8"/>
  <c r="J484" i="8"/>
  <c r="J770" i="8"/>
  <c r="J199" i="8"/>
  <c r="J239" i="8"/>
  <c r="J578" i="8"/>
  <c r="J489" i="8"/>
  <c r="J318" i="8"/>
  <c r="J148" i="8"/>
  <c r="J676" i="8"/>
  <c r="J74" i="8"/>
  <c r="J184" i="8"/>
  <c r="J654" i="8"/>
  <c r="J33" i="8"/>
  <c r="J258" i="8"/>
  <c r="J358" i="8"/>
  <c r="J118" i="8"/>
  <c r="J678" i="8"/>
  <c r="J486" i="8"/>
  <c r="J287" i="8"/>
  <c r="J376" i="8"/>
  <c r="J320" i="8"/>
  <c r="J245" i="8"/>
  <c r="J561" i="8"/>
  <c r="J64" i="8"/>
  <c r="J773" i="8"/>
  <c r="J691" i="8"/>
  <c r="J270" i="8"/>
  <c r="J147" i="8"/>
  <c r="J769" i="8"/>
  <c r="J99" i="8"/>
  <c r="J768" i="8"/>
  <c r="J545" i="8"/>
  <c r="J84" i="8"/>
  <c r="J758" i="8"/>
  <c r="J724" i="8"/>
  <c r="J804" i="8"/>
  <c r="J789" i="8"/>
  <c r="J62" i="8"/>
  <c r="J569" i="8"/>
  <c r="J587" i="8"/>
  <c r="J87" i="8"/>
  <c r="J636" i="8"/>
  <c r="J823" i="8"/>
  <c r="J241" i="8"/>
  <c r="J182" i="8"/>
  <c r="J787" i="8"/>
  <c r="J810" i="8"/>
  <c r="J661" i="8"/>
  <c r="J482" i="8"/>
  <c r="J732" i="8"/>
  <c r="J688" i="8"/>
  <c r="J597" i="8"/>
  <c r="J115" i="8"/>
  <c r="J80" i="8"/>
  <c r="J50" i="8"/>
  <c r="J113" i="8"/>
  <c r="J44" i="8"/>
  <c r="J525" i="8"/>
  <c r="J592" i="8"/>
  <c r="J294" i="8"/>
  <c r="J793" i="8"/>
  <c r="J275" i="8"/>
  <c r="J341" i="8"/>
  <c r="J65" i="8"/>
  <c r="J735" i="8"/>
  <c r="J304" i="8"/>
  <c r="J271" i="8"/>
  <c r="J466" i="8"/>
  <c r="J102" i="8"/>
  <c r="J22" i="8"/>
  <c r="J668" i="8"/>
  <c r="J581" i="8"/>
  <c r="J611" i="8"/>
  <c r="J614" i="8"/>
  <c r="J82" i="8"/>
  <c r="J791" i="8"/>
  <c r="J422" i="8"/>
  <c r="J644" i="8"/>
  <c r="J384" i="8"/>
  <c r="J244" i="8"/>
  <c r="J698" i="8"/>
  <c r="J71" i="8"/>
  <c r="J119" i="8"/>
  <c r="J232" i="8"/>
  <c r="J291" i="8"/>
  <c r="J135" i="8"/>
  <c r="J596" i="8"/>
  <c r="J41" i="8"/>
  <c r="J715" i="8"/>
  <c r="J298" i="8"/>
  <c r="J409" i="8"/>
  <c r="J215" i="8"/>
  <c r="J252" i="8"/>
  <c r="J713" i="8"/>
  <c r="J725" i="8"/>
  <c r="J405" i="8"/>
  <c r="J251" i="8"/>
  <c r="J679" i="8"/>
  <c r="J759" i="8"/>
  <c r="J512" i="8"/>
  <c r="J785" i="8"/>
  <c r="J755" i="8"/>
  <c r="J625" i="8"/>
  <c r="J130" i="8"/>
  <c r="J808" i="8"/>
  <c r="J779" i="8"/>
  <c r="J630" i="8"/>
  <c r="J180" i="8"/>
  <c r="J263" i="8"/>
  <c r="J37" i="8"/>
  <c r="J628" i="8"/>
  <c r="J648" i="8"/>
  <c r="J742" i="8"/>
  <c r="J551" i="8"/>
  <c r="J150" i="8"/>
  <c r="J331" i="8"/>
  <c r="J152" i="8"/>
  <c r="J658" i="8"/>
  <c r="J783" i="8"/>
  <c r="J652" i="8"/>
  <c r="J354" i="8"/>
  <c r="J377" i="8"/>
  <c r="J562" i="8"/>
  <c r="J671" i="8"/>
  <c r="J815" i="8"/>
  <c r="J172" i="8"/>
  <c r="J559" i="8"/>
  <c r="J805" i="8"/>
  <c r="J243" i="8"/>
  <c r="J472" i="8"/>
  <c r="J145" i="8"/>
  <c r="J402" i="8"/>
  <c r="J660" i="8"/>
  <c r="J718" i="8"/>
  <c r="J582" i="8"/>
  <c r="J168" i="8"/>
  <c r="J183" i="8"/>
  <c r="J797" i="8"/>
  <c r="J141" i="8"/>
  <c r="J19" i="8"/>
  <c r="J531" i="8"/>
  <c r="J595" i="8"/>
  <c r="J564" i="8"/>
  <c r="J352" i="8"/>
  <c r="J361" i="8"/>
  <c r="J218" i="8"/>
  <c r="J110" i="8"/>
  <c r="J321" i="8"/>
  <c r="J385" i="8"/>
  <c r="J20" i="8"/>
  <c r="J144" i="8"/>
  <c r="J69" i="8"/>
  <c r="J515" i="8"/>
  <c r="J552" i="8"/>
  <c r="J542" i="8"/>
  <c r="J248" i="8"/>
  <c r="J121" i="8"/>
  <c r="J588" i="8"/>
  <c r="J414" i="8"/>
  <c r="J213" i="8"/>
  <c r="J461" i="8"/>
  <c r="J762" i="8"/>
  <c r="J160" i="8"/>
  <c r="J502" i="8"/>
  <c r="J603" i="8"/>
  <c r="J438" i="8"/>
  <c r="J240" i="8"/>
  <c r="J641" i="8"/>
  <c r="J60" i="8"/>
  <c r="J792" i="8"/>
  <c r="J672" i="8"/>
  <c r="J175" i="8"/>
  <c r="J125" i="8"/>
  <c r="J767" i="8"/>
  <c r="J449" i="8"/>
  <c r="J682" i="8"/>
  <c r="J158" i="8"/>
  <c r="J543" i="8"/>
  <c r="J765" i="8"/>
  <c r="J282" i="8"/>
  <c r="J775" i="8"/>
  <c r="J649" i="8"/>
  <c r="J326" i="8"/>
  <c r="J162" i="8"/>
  <c r="J521" i="8"/>
  <c r="J81" i="8"/>
  <c r="J312" i="8"/>
  <c r="J667" i="8"/>
  <c r="J412" i="8"/>
  <c r="J303" i="8"/>
  <c r="J265" i="8"/>
  <c r="J637" i="8"/>
  <c r="J619" i="8"/>
  <c r="J13" i="8"/>
  <c r="J674" i="8"/>
  <c r="J495" i="8"/>
  <c r="J332" i="8"/>
  <c r="J264" i="8"/>
  <c r="J54" i="8"/>
  <c r="J663" i="8"/>
  <c r="J540" i="8"/>
  <c r="J606" i="8"/>
  <c r="J535" i="8"/>
  <c r="J73" i="8"/>
  <c r="J500" i="8"/>
  <c r="J399" i="8"/>
  <c r="J301" i="8"/>
  <c r="J63" i="8"/>
  <c r="J392" i="8"/>
  <c r="J714" i="8"/>
  <c r="J748" i="8"/>
  <c r="J28" i="8"/>
  <c r="J690" i="8"/>
  <c r="J366" i="8"/>
  <c r="J764" i="8"/>
  <c r="J205" i="8"/>
  <c r="J219" i="8"/>
  <c r="J586" i="8"/>
  <c r="J188" i="8"/>
  <c r="J444" i="8"/>
  <c r="J814" i="8"/>
  <c r="J133" i="8"/>
  <c r="J441" i="8"/>
  <c r="J339" i="8"/>
  <c r="J442" i="8"/>
  <c r="J112" i="8"/>
  <c r="J410" i="8"/>
  <c r="J149" i="8"/>
  <c r="J137" i="8"/>
  <c r="J272" i="8"/>
  <c r="J599" i="8"/>
  <c r="J665" i="8"/>
  <c r="J224" i="8"/>
  <c r="J349" i="8"/>
  <c r="J532" i="8"/>
  <c r="J501" i="8"/>
  <c r="J811" i="8"/>
  <c r="J470" i="8"/>
  <c r="J155" i="8"/>
  <c r="J233" i="8"/>
  <c r="J227" i="8"/>
  <c r="J778" i="8"/>
  <c r="J383" i="8"/>
  <c r="J311" i="8"/>
  <c r="J379" i="8"/>
  <c r="J316" i="8"/>
  <c r="J16" i="8"/>
  <c r="J459" i="8"/>
  <c r="J680" i="8"/>
  <c r="J214" i="8"/>
  <c r="J454" i="8"/>
  <c r="J577" i="8"/>
  <c r="J712" i="8"/>
  <c r="J704" i="8"/>
  <c r="J400" i="8"/>
  <c r="J795" i="8"/>
  <c r="J53" i="8"/>
  <c r="J85" i="8"/>
  <c r="J153" i="8"/>
  <c r="J710" i="8"/>
  <c r="J193" i="8"/>
  <c r="J776" i="8"/>
  <c r="J741" i="8"/>
  <c r="J631" i="8"/>
  <c r="J261" i="8"/>
  <c r="J83" i="8"/>
  <c r="J760" i="8"/>
  <c r="J406" i="8"/>
  <c r="J415" i="8"/>
  <c r="J539" i="8"/>
  <c r="J618" i="8"/>
  <c r="J536" i="8"/>
  <c r="J201" i="8"/>
  <c r="J68" i="8"/>
  <c r="J192" i="8"/>
  <c r="J221" i="8"/>
  <c r="J513" i="8"/>
  <c r="J448" i="8"/>
  <c r="J371" i="8"/>
  <c r="J286" i="8"/>
  <c r="J801" i="8"/>
  <c r="J372" i="8"/>
  <c r="J548" i="8"/>
  <c r="J819" i="8"/>
  <c r="J546" i="8"/>
  <c r="H600" i="19"/>
  <c r="K600" i="19"/>
  <c r="L600" i="19"/>
  <c r="G225" i="8"/>
  <c r="AE7" i="16"/>
  <c r="D14" i="1"/>
  <c r="K626" i="16"/>
  <c r="S626" i="16"/>
  <c r="O626" i="16"/>
  <c r="L260" i="19"/>
  <c r="K260" i="19"/>
  <c r="H260" i="19"/>
  <c r="L294" i="20"/>
  <c r="I294" i="20"/>
  <c r="S153" i="16"/>
  <c r="O153" i="16"/>
  <c r="K153" i="16"/>
  <c r="I63" i="20"/>
  <c r="L63" i="20"/>
  <c r="G99" i="8"/>
  <c r="B590" i="20"/>
  <c r="AL590" i="20" s="1"/>
  <c r="B590" i="19"/>
  <c r="S186" i="16"/>
  <c r="O186" i="16"/>
  <c r="K186" i="16"/>
  <c r="G334" i="8"/>
  <c r="O97" i="16"/>
  <c r="K97" i="16"/>
  <c r="S97" i="16"/>
  <c r="H494" i="19"/>
  <c r="L494" i="19"/>
  <c r="K494" i="19"/>
  <c r="L366" i="20"/>
  <c r="I366" i="20"/>
  <c r="G557" i="8"/>
  <c r="L36" i="19"/>
  <c r="K36" i="19"/>
  <c r="H36" i="19"/>
  <c r="B510" i="20"/>
  <c r="AL510" i="20" s="1"/>
  <c r="B510" i="19"/>
  <c r="L784" i="20"/>
  <c r="I784" i="20"/>
  <c r="AK6" i="16"/>
  <c r="P6" i="20"/>
  <c r="BF6" i="10"/>
  <c r="M111" i="19"/>
  <c r="I111" i="19"/>
  <c r="L272" i="19"/>
  <c r="K272" i="19"/>
  <c r="H272" i="19"/>
  <c r="M714" i="19"/>
  <c r="I714" i="19"/>
  <c r="I812" i="20"/>
  <c r="L812" i="20"/>
  <c r="AW18" i="10"/>
  <c r="AS18" i="10"/>
  <c r="AO18" i="10"/>
  <c r="R18" i="20" s="1"/>
  <c r="Y18" i="20" s="1"/>
  <c r="G24" i="18"/>
  <c r="AK63" i="16"/>
  <c r="P63" i="20"/>
  <c r="BF63" i="10"/>
  <c r="L386" i="20"/>
  <c r="I386" i="20"/>
  <c r="H59" i="19"/>
  <c r="L59" i="19"/>
  <c r="K59" i="19"/>
  <c r="L477" i="19"/>
  <c r="K477" i="19"/>
  <c r="H477" i="19"/>
  <c r="K632" i="19"/>
  <c r="H632" i="19"/>
  <c r="L632" i="19"/>
  <c r="G12" i="18"/>
  <c r="AK51" i="16"/>
  <c r="P51" i="20"/>
  <c r="BF51" i="10"/>
  <c r="B428" i="20"/>
  <c r="AL428" i="20" s="1"/>
  <c r="B428" i="19"/>
  <c r="L772" i="19"/>
  <c r="K772" i="19"/>
  <c r="H772" i="19"/>
  <c r="K96" i="16"/>
  <c r="S96" i="16"/>
  <c r="O96" i="16"/>
  <c r="K523" i="16"/>
  <c r="S523" i="16"/>
  <c r="O523" i="16"/>
  <c r="AU60" i="16"/>
  <c r="AU18" i="16"/>
  <c r="AV10" i="16"/>
  <c r="AV41" i="16"/>
  <c r="AU31" i="16"/>
  <c r="AV27" i="16"/>
  <c r="AU57" i="16"/>
  <c r="L639" i="19"/>
  <c r="K639" i="19"/>
  <c r="H639" i="19"/>
  <c r="G517" i="8"/>
  <c r="H369" i="19"/>
  <c r="L369" i="19"/>
  <c r="K369" i="19"/>
  <c r="AQ49" i="19"/>
  <c r="AR49" i="19" s="1"/>
  <c r="L277" i="19"/>
  <c r="K277" i="19"/>
  <c r="H277" i="19"/>
  <c r="K822" i="16"/>
  <c r="S822" i="16"/>
  <c r="O822" i="16"/>
  <c r="I580" i="20"/>
  <c r="L580" i="20"/>
  <c r="B647" i="20"/>
  <c r="AL647" i="20" s="1"/>
  <c r="B647" i="19"/>
  <c r="G423" i="8"/>
  <c r="G173" i="8"/>
  <c r="G794" i="8"/>
  <c r="L287" i="19"/>
  <c r="K287" i="19"/>
  <c r="H287" i="19"/>
  <c r="G117" i="8"/>
  <c r="L62" i="19"/>
  <c r="K62" i="19"/>
  <c r="H62" i="19"/>
  <c r="G31" i="8"/>
  <c r="B288" i="20"/>
  <c r="AL288" i="20" s="1"/>
  <c r="B288" i="19"/>
  <c r="G493" i="8"/>
  <c r="G610" i="8"/>
  <c r="H510" i="19"/>
  <c r="L510" i="19"/>
  <c r="K510" i="19"/>
  <c r="S109" i="16"/>
  <c r="K109" i="16"/>
  <c r="O109" i="16"/>
  <c r="G654" i="8"/>
  <c r="I507" i="20"/>
  <c r="L507" i="20"/>
  <c r="I551" i="9"/>
  <c r="J551" i="9" s="1"/>
  <c r="C551" i="19" s="1"/>
  <c r="K757" i="16"/>
  <c r="S757" i="16"/>
  <c r="O757" i="16"/>
  <c r="I363" i="20"/>
  <c r="L363" i="20"/>
  <c r="I375" i="19"/>
  <c r="M375" i="19"/>
  <c r="G359" i="8"/>
  <c r="S572" i="16"/>
  <c r="O572" i="16"/>
  <c r="K572" i="16"/>
  <c r="G185" i="8"/>
  <c r="L284" i="19"/>
  <c r="K284" i="19"/>
  <c r="H284" i="19"/>
  <c r="S420" i="16"/>
  <c r="O420" i="16"/>
  <c r="K420" i="16"/>
  <c r="I39" i="20"/>
  <c r="L39" i="20"/>
  <c r="G499" i="8"/>
  <c r="S220" i="16"/>
  <c r="O220" i="16"/>
  <c r="K220" i="16"/>
  <c r="I618" i="9"/>
  <c r="J618" i="9" s="1"/>
  <c r="C618" i="19" s="1"/>
  <c r="G657" i="8"/>
  <c r="H817" i="19"/>
  <c r="L817" i="19"/>
  <c r="K817" i="19"/>
  <c r="AE9" i="16"/>
  <c r="N36" i="9"/>
  <c r="N33" i="9"/>
  <c r="N34" i="9"/>
  <c r="N35" i="9"/>
  <c r="AE13" i="16" s="1"/>
  <c r="I14" i="1"/>
  <c r="L260" i="20"/>
  <c r="I260" i="20"/>
  <c r="S294" i="16"/>
  <c r="K294" i="16"/>
  <c r="O294" i="16"/>
  <c r="G632" i="8"/>
  <c r="G353" i="8"/>
  <c r="G587" i="8"/>
  <c r="O63" i="16"/>
  <c r="K63" i="16"/>
  <c r="S63" i="16"/>
  <c r="G259" i="8"/>
  <c r="L150" i="19"/>
  <c r="K150" i="19"/>
  <c r="H150" i="19"/>
  <c r="G376" i="8"/>
  <c r="I494" i="20"/>
  <c r="L494" i="20"/>
  <c r="K366" i="16"/>
  <c r="O366" i="16"/>
  <c r="S366" i="16"/>
  <c r="L602" i="19"/>
  <c r="K602" i="19"/>
  <c r="H602" i="19"/>
  <c r="I24" i="20"/>
  <c r="L24" i="20"/>
  <c r="G392" i="8"/>
  <c r="S487" i="16"/>
  <c r="O487" i="16"/>
  <c r="K487" i="16"/>
  <c r="G694" i="8"/>
  <c r="S53" i="16"/>
  <c r="O53" i="16"/>
  <c r="K53" i="16"/>
  <c r="S643" i="16"/>
  <c r="O643" i="16"/>
  <c r="K643" i="16"/>
  <c r="G536" i="8"/>
  <c r="L385" i="20"/>
  <c r="I385" i="20"/>
  <c r="K154" i="16"/>
  <c r="O154" i="16"/>
  <c r="S154" i="16"/>
  <c r="G558" i="8"/>
  <c r="L305" i="19"/>
  <c r="K305" i="19"/>
  <c r="H305" i="19"/>
  <c r="S317" i="16"/>
  <c r="O317" i="16"/>
  <c r="K317" i="16"/>
  <c r="G664" i="8"/>
  <c r="M269" i="19"/>
  <c r="I269" i="19"/>
  <c r="B174" i="20"/>
  <c r="AL174" i="20" s="1"/>
  <c r="B174" i="19"/>
  <c r="G642" i="8"/>
  <c r="B511" i="20"/>
  <c r="AL511" i="20" s="1"/>
  <c r="B511" i="19"/>
  <c r="L419" i="19"/>
  <c r="K419" i="19"/>
  <c r="H419" i="19"/>
  <c r="I111" i="9"/>
  <c r="J111" i="9" s="1"/>
  <c r="C111" i="19" s="1"/>
  <c r="AU50" i="16"/>
  <c r="I822" i="20"/>
  <c r="L822" i="20"/>
  <c r="L109" i="20"/>
  <c r="I109" i="20"/>
  <c r="I375" i="9"/>
  <c r="J375" i="9" s="1"/>
  <c r="C375" i="19" s="1"/>
  <c r="S400" i="16"/>
  <c r="K400" i="16"/>
  <c r="O400" i="16"/>
  <c r="K43" i="16"/>
  <c r="O43" i="16"/>
  <c r="S43" i="16"/>
  <c r="I646" i="20"/>
  <c r="L646" i="20"/>
  <c r="L59" i="20"/>
  <c r="I59" i="20"/>
  <c r="B190" i="20"/>
  <c r="AL190" i="20" s="1"/>
  <c r="B190" i="19"/>
  <c r="S639" i="16"/>
  <c r="K639" i="16"/>
  <c r="O639" i="16"/>
  <c r="I369" i="20"/>
  <c r="L369" i="20"/>
  <c r="L277" i="20"/>
  <c r="I277" i="20"/>
  <c r="I738" i="9"/>
  <c r="J738" i="9" s="1"/>
  <c r="C738" i="19" s="1"/>
  <c r="S580" i="16"/>
  <c r="O580" i="16"/>
  <c r="K580" i="16"/>
  <c r="B378" i="20"/>
  <c r="AL378" i="20" s="1"/>
  <c r="B378" i="19"/>
  <c r="K132" i="19"/>
  <c r="H132" i="19"/>
  <c r="L132" i="19"/>
  <c r="K287" i="16"/>
  <c r="S287" i="16"/>
  <c r="O287" i="16"/>
  <c r="L70" i="19"/>
  <c r="K70" i="19"/>
  <c r="H70" i="19"/>
  <c r="H40" i="19"/>
  <c r="K40" i="19"/>
  <c r="L40" i="19"/>
  <c r="I62" i="20"/>
  <c r="L62" i="20"/>
  <c r="L434" i="19"/>
  <c r="K434" i="19"/>
  <c r="H434" i="19"/>
  <c r="H663" i="19"/>
  <c r="L663" i="19"/>
  <c r="K663" i="19"/>
  <c r="K657" i="19"/>
  <c r="H657" i="19"/>
  <c r="L657" i="19"/>
  <c r="L510" i="20"/>
  <c r="I510" i="20"/>
  <c r="K507" i="16"/>
  <c r="O507" i="16"/>
  <c r="S507" i="16"/>
  <c r="M551" i="19"/>
  <c r="I551" i="19"/>
  <c r="H253" i="19"/>
  <c r="L253" i="19"/>
  <c r="K253" i="19"/>
  <c r="O363" i="16"/>
  <c r="S363" i="16"/>
  <c r="K363" i="16"/>
  <c r="L173" i="19"/>
  <c r="K173" i="19"/>
  <c r="H173" i="19"/>
  <c r="I284" i="20"/>
  <c r="L284" i="20"/>
  <c r="H352" i="19"/>
  <c r="L352" i="19"/>
  <c r="K352" i="19"/>
  <c r="L697" i="19"/>
  <c r="K697" i="19"/>
  <c r="H697" i="19"/>
  <c r="L196" i="19"/>
  <c r="K196" i="19"/>
  <c r="H196" i="19"/>
  <c r="I618" i="19"/>
  <c r="M618" i="19"/>
  <c r="L817" i="20"/>
  <c r="I817" i="20"/>
  <c r="B484" i="20"/>
  <c r="AL484" i="20" s="1"/>
  <c r="B484" i="19"/>
  <c r="B293" i="19"/>
  <c r="B293" i="20"/>
  <c r="AL293" i="20" s="1"/>
  <c r="G500" i="8"/>
  <c r="H206" i="19"/>
  <c r="L206" i="19"/>
  <c r="K206" i="19"/>
  <c r="S260" i="16"/>
  <c r="K260" i="16"/>
  <c r="O260" i="16"/>
  <c r="G190" i="8"/>
  <c r="H61" i="19"/>
  <c r="L61" i="19"/>
  <c r="K61" i="19"/>
  <c r="L820" i="19"/>
  <c r="K820" i="19"/>
  <c r="H820" i="19"/>
  <c r="I149" i="9"/>
  <c r="J149" i="9" s="1"/>
  <c r="C149" i="19" s="1"/>
  <c r="L564" i="19"/>
  <c r="K564" i="19"/>
  <c r="H564" i="19"/>
  <c r="L103" i="19"/>
  <c r="H103" i="19"/>
  <c r="K103" i="19"/>
  <c r="B724" i="20"/>
  <c r="AL724" i="20" s="1"/>
  <c r="B724" i="19"/>
  <c r="I596" i="20"/>
  <c r="L596" i="20"/>
  <c r="M186" i="19"/>
  <c r="I186" i="19"/>
  <c r="K494" i="16"/>
  <c r="O494" i="16"/>
  <c r="S494" i="16"/>
  <c r="O24" i="16"/>
  <c r="S24" i="16"/>
  <c r="K24" i="16"/>
  <c r="G107" i="8"/>
  <c r="L53" i="20"/>
  <c r="I53" i="20"/>
  <c r="G219" i="8"/>
  <c r="J534" i="8"/>
  <c r="I249" i="9"/>
  <c r="J249" i="9" s="1"/>
  <c r="C249" i="19" s="1"/>
  <c r="I670" i="19"/>
  <c r="M670" i="19"/>
  <c r="B390" i="20"/>
  <c r="AL390" i="20" s="1"/>
  <c r="B390" i="19"/>
  <c r="J174" i="8"/>
  <c r="L582" i="20"/>
  <c r="I582" i="20"/>
  <c r="O23" i="16"/>
  <c r="K23" i="16"/>
  <c r="S23" i="16"/>
  <c r="S62" i="20"/>
  <c r="U62" i="20"/>
  <c r="J262" i="8"/>
  <c r="K60" i="19"/>
  <c r="H60" i="19"/>
  <c r="L60" i="19"/>
  <c r="I749" i="9"/>
  <c r="J749" i="9" s="1"/>
  <c r="C749" i="19" s="1"/>
  <c r="H210" i="19"/>
  <c r="L210" i="19"/>
  <c r="K210" i="19"/>
  <c r="AW49" i="10"/>
  <c r="AS49" i="10"/>
  <c r="AO49" i="10"/>
  <c r="R49" i="20" s="1"/>
  <c r="Y49" i="20" s="1"/>
  <c r="I476" i="20"/>
  <c r="L476" i="20"/>
  <c r="AU44" i="16"/>
  <c r="K60" i="16"/>
  <c r="S60" i="16"/>
  <c r="O60" i="16"/>
  <c r="S419" i="16"/>
  <c r="O419" i="16"/>
  <c r="K419" i="16"/>
  <c r="H572" i="19"/>
  <c r="L572" i="19"/>
  <c r="K572" i="19"/>
  <c r="K514" i="16"/>
  <c r="O514" i="16"/>
  <c r="S514" i="16"/>
  <c r="L36" i="20"/>
  <c r="I36" i="20"/>
  <c r="K386" i="16"/>
  <c r="O386" i="16"/>
  <c r="S386" i="16"/>
  <c r="B28" i="20"/>
  <c r="AL28" i="20" s="1"/>
  <c r="B28" i="19"/>
  <c r="AU45" i="16"/>
  <c r="AS16" i="10"/>
  <c r="AW16" i="10"/>
  <c r="AO16" i="10"/>
  <c r="R16" i="20" s="1"/>
  <c r="Y16" i="20" s="1"/>
  <c r="AV66" i="16"/>
  <c r="S277" i="16"/>
  <c r="O277" i="16"/>
  <c r="K277" i="16"/>
  <c r="I738" i="19"/>
  <c r="M738" i="19"/>
  <c r="L132" i="20"/>
  <c r="I132" i="20"/>
  <c r="L70" i="20"/>
  <c r="I70" i="20"/>
  <c r="L40" i="20"/>
  <c r="I40" i="20"/>
  <c r="K62" i="16"/>
  <c r="O62" i="16"/>
  <c r="S62" i="16"/>
  <c r="I179" i="9"/>
  <c r="J179" i="9" s="1"/>
  <c r="C179" i="19" s="1"/>
  <c r="I434" i="20"/>
  <c r="L434" i="20"/>
  <c r="L663" i="20"/>
  <c r="I663" i="20"/>
  <c r="AQ45" i="19"/>
  <c r="AR45" i="19" s="1"/>
  <c r="L657" i="20"/>
  <c r="I657" i="20"/>
  <c r="O510" i="16"/>
  <c r="S510" i="16"/>
  <c r="K510" i="16"/>
  <c r="H484" i="19"/>
  <c r="L484" i="19"/>
  <c r="K484" i="19"/>
  <c r="L319" i="19"/>
  <c r="K319" i="19"/>
  <c r="H319" i="19"/>
  <c r="I491" i="9"/>
  <c r="J491" i="9" s="1"/>
  <c r="C491" i="19" s="1"/>
  <c r="B784" i="20"/>
  <c r="AL784" i="20" s="1"/>
  <c r="B784" i="19"/>
  <c r="L453" i="19"/>
  <c r="K453" i="19"/>
  <c r="H453" i="19"/>
  <c r="L253" i="20"/>
  <c r="I253" i="20"/>
  <c r="L13" i="19"/>
  <c r="K13" i="19"/>
  <c r="H13" i="19"/>
  <c r="L776" i="19"/>
  <c r="K776" i="19"/>
  <c r="H776" i="19"/>
  <c r="L393" i="19"/>
  <c r="K393" i="19"/>
  <c r="H393" i="19"/>
  <c r="K559" i="19"/>
  <c r="H559" i="19"/>
  <c r="L559" i="19"/>
  <c r="L173" i="20"/>
  <c r="I173" i="20"/>
  <c r="AC14" i="20"/>
  <c r="AB14" i="20"/>
  <c r="O284" i="16"/>
  <c r="K284" i="16"/>
  <c r="S284" i="16"/>
  <c r="H283" i="19"/>
  <c r="L283" i="19"/>
  <c r="K283" i="19"/>
  <c r="L352" i="20"/>
  <c r="I352" i="20"/>
  <c r="H590" i="19"/>
  <c r="L590" i="19"/>
  <c r="K590" i="19"/>
  <c r="H258" i="19"/>
  <c r="K258" i="19"/>
  <c r="L258" i="19"/>
  <c r="L697" i="20"/>
  <c r="I697" i="20"/>
  <c r="I196" i="20"/>
  <c r="L196" i="20"/>
  <c r="H216" i="19"/>
  <c r="L216" i="19"/>
  <c r="K216" i="19"/>
  <c r="H742" i="19"/>
  <c r="L742" i="19"/>
  <c r="K742" i="19"/>
  <c r="S817" i="16"/>
  <c r="O817" i="16"/>
  <c r="K817" i="16"/>
  <c r="I206" i="20"/>
  <c r="L206" i="20"/>
  <c r="B21" i="20"/>
  <c r="AL21" i="20" s="1"/>
  <c r="B21" i="19"/>
  <c r="H760" i="19"/>
  <c r="L760" i="19"/>
  <c r="K760" i="19"/>
  <c r="L61" i="20"/>
  <c r="I61" i="20"/>
  <c r="I820" i="20"/>
  <c r="L820" i="20"/>
  <c r="I149" i="19"/>
  <c r="M149" i="19"/>
  <c r="L564" i="20"/>
  <c r="I564" i="20"/>
  <c r="L430" i="20"/>
  <c r="I430" i="20"/>
  <c r="L299" i="19"/>
  <c r="K299" i="19"/>
  <c r="H299" i="19"/>
  <c r="L103" i="20"/>
  <c r="I103" i="20"/>
  <c r="G752" i="8"/>
  <c r="I716" i="9"/>
  <c r="J716" i="9" s="1"/>
  <c r="C716" i="19" s="1"/>
  <c r="H596" i="19"/>
  <c r="K596" i="19"/>
  <c r="L596" i="19"/>
  <c r="L379" i="20"/>
  <c r="I379" i="20"/>
  <c r="I186" i="9"/>
  <c r="J186" i="9" s="1"/>
  <c r="C186" i="19" s="1"/>
  <c r="O150" i="16"/>
  <c r="K150" i="16"/>
  <c r="S150" i="16"/>
  <c r="L624" i="19"/>
  <c r="K624" i="19"/>
  <c r="H624" i="19"/>
  <c r="S602" i="16"/>
  <c r="K602" i="16"/>
  <c r="O602" i="16"/>
  <c r="J593" i="8"/>
  <c r="K424" i="19"/>
  <c r="H424" i="19"/>
  <c r="L424" i="19"/>
  <c r="K226" i="16"/>
  <c r="S226" i="16"/>
  <c r="O226" i="16"/>
  <c r="H653" i="19"/>
  <c r="L653" i="19"/>
  <c r="K653" i="19"/>
  <c r="G534" i="8"/>
  <c r="K670" i="16"/>
  <c r="S670" i="16"/>
  <c r="O670" i="16"/>
  <c r="M249" i="19"/>
  <c r="I249" i="19"/>
  <c r="G452" i="8"/>
  <c r="H159" i="19"/>
  <c r="K159" i="19"/>
  <c r="L159" i="19"/>
  <c r="H415" i="19"/>
  <c r="L415" i="19"/>
  <c r="K415" i="19"/>
  <c r="M91" i="19"/>
  <c r="I91" i="19"/>
  <c r="K91" i="19"/>
  <c r="B171" i="20"/>
  <c r="AL171" i="20" s="1"/>
  <c r="B171" i="19"/>
  <c r="G174" i="8"/>
  <c r="S235" i="16"/>
  <c r="O235" i="16"/>
  <c r="K235" i="16"/>
  <c r="G737" i="8"/>
  <c r="L67" i="20"/>
  <c r="I67" i="20"/>
  <c r="G262" i="8"/>
  <c r="I520" i="9"/>
  <c r="J520" i="9" s="1"/>
  <c r="C520" i="19" s="1"/>
  <c r="H613" i="19"/>
  <c r="L613" i="19"/>
  <c r="K613" i="19"/>
  <c r="L117" i="19"/>
  <c r="H117" i="19"/>
  <c r="K117" i="19"/>
  <c r="O672" i="16"/>
  <c r="K672" i="16"/>
  <c r="S672" i="16"/>
  <c r="AW67" i="10"/>
  <c r="AS67" i="10"/>
  <c r="AO67" i="10"/>
  <c r="R67" i="20" s="1"/>
  <c r="Y67" i="20" s="1"/>
  <c r="L812" i="19"/>
  <c r="K812" i="19"/>
  <c r="H812" i="19"/>
  <c r="AQ53" i="19"/>
  <c r="AR53" i="19" s="1"/>
  <c r="K445" i="16"/>
  <c r="S445" i="16"/>
  <c r="O445" i="16"/>
  <c r="I272" i="20"/>
  <c r="L272" i="20"/>
  <c r="L632" i="20"/>
  <c r="I632" i="20"/>
  <c r="AU66" i="16"/>
  <c r="L386" i="19"/>
  <c r="K386" i="19"/>
  <c r="H386" i="19"/>
  <c r="O59" i="16"/>
  <c r="K59" i="16"/>
  <c r="S59" i="16"/>
  <c r="L587" i="20"/>
  <c r="I587" i="20"/>
  <c r="S632" i="16"/>
  <c r="K632" i="16"/>
  <c r="O632" i="16"/>
  <c r="L27" i="20"/>
  <c r="I27" i="20"/>
  <c r="K250" i="19"/>
  <c r="L250" i="19"/>
  <c r="H250" i="19"/>
  <c r="AV45" i="16"/>
  <c r="AU38" i="16"/>
  <c r="I559" i="20"/>
  <c r="L559" i="20"/>
  <c r="B621" i="20"/>
  <c r="AL621" i="20" s="1"/>
  <c r="B621" i="19"/>
  <c r="O173" i="16"/>
  <c r="K173" i="16"/>
  <c r="S173" i="16"/>
  <c r="L283" i="20"/>
  <c r="I283" i="20"/>
  <c r="S352" i="16"/>
  <c r="K352" i="16"/>
  <c r="O352" i="16"/>
  <c r="I590" i="20"/>
  <c r="L590" i="20"/>
  <c r="S258" i="16"/>
  <c r="O258" i="16"/>
  <c r="K258" i="16"/>
  <c r="K697" i="16"/>
  <c r="O697" i="16"/>
  <c r="S697" i="16"/>
  <c r="O196" i="16"/>
  <c r="K196" i="16"/>
  <c r="S196" i="16"/>
  <c r="I80" i="9"/>
  <c r="J80" i="9" s="1"/>
  <c r="C80" i="19" s="1"/>
  <c r="I216" i="20"/>
  <c r="L216" i="20"/>
  <c r="L742" i="20"/>
  <c r="I742" i="20"/>
  <c r="L92" i="19"/>
  <c r="K92" i="19"/>
  <c r="H92" i="19"/>
  <c r="K206" i="16"/>
  <c r="S206" i="16"/>
  <c r="O206" i="16"/>
  <c r="H243" i="19"/>
  <c r="L243" i="19"/>
  <c r="K243" i="19"/>
  <c r="I760" i="20"/>
  <c r="L760" i="20"/>
  <c r="S61" i="16"/>
  <c r="K61" i="16"/>
  <c r="O61" i="16"/>
  <c r="S820" i="16"/>
  <c r="O820" i="16"/>
  <c r="K820" i="16"/>
  <c r="O564" i="16"/>
  <c r="K564" i="16"/>
  <c r="S564" i="16"/>
  <c r="K430" i="16"/>
  <c r="O430" i="16"/>
  <c r="S430" i="16"/>
  <c r="L299" i="20"/>
  <c r="I299" i="20"/>
  <c r="S103" i="16"/>
  <c r="K103" i="16"/>
  <c r="O103" i="16"/>
  <c r="M716" i="19"/>
  <c r="I716" i="19"/>
  <c r="O596" i="16"/>
  <c r="K596" i="16"/>
  <c r="S596" i="16"/>
  <c r="L379" i="19"/>
  <c r="K379" i="19"/>
  <c r="H379" i="19"/>
  <c r="G126" i="8"/>
  <c r="L687" i="20"/>
  <c r="I687" i="20"/>
  <c r="L113" i="19"/>
  <c r="H113" i="19"/>
  <c r="K113" i="19"/>
  <c r="G616" i="8"/>
  <c r="G307" i="8"/>
  <c r="I424" i="20"/>
  <c r="L424" i="20"/>
  <c r="I811" i="20"/>
  <c r="L811" i="20"/>
  <c r="B311" i="20"/>
  <c r="AL311" i="20" s="1"/>
  <c r="B311" i="19"/>
  <c r="L653" i="20"/>
  <c r="I653" i="20"/>
  <c r="L670" i="20"/>
  <c r="I670" i="20"/>
  <c r="J452" i="8"/>
  <c r="K159" i="16"/>
  <c r="S159" i="16"/>
  <c r="O159" i="16"/>
  <c r="B277" i="20"/>
  <c r="AL277" i="20" s="1"/>
  <c r="B277" i="19"/>
  <c r="J281" i="8"/>
  <c r="O149" i="16"/>
  <c r="K149" i="16"/>
  <c r="S149" i="16"/>
  <c r="L143" i="19"/>
  <c r="K143" i="19"/>
  <c r="H143" i="19"/>
  <c r="G129" i="8"/>
  <c r="I567" i="9"/>
  <c r="J567" i="9" s="1"/>
  <c r="C567" i="19" s="1"/>
  <c r="H288" i="19"/>
  <c r="L288" i="19"/>
  <c r="K288" i="19"/>
  <c r="L267" i="20"/>
  <c r="I267" i="20"/>
  <c r="S468" i="16"/>
  <c r="O468" i="16"/>
  <c r="K468" i="16"/>
  <c r="I237" i="9"/>
  <c r="J237" i="9" s="1"/>
  <c r="C237" i="19" s="1"/>
  <c r="S476" i="16"/>
  <c r="O476" i="16"/>
  <c r="K476" i="16"/>
  <c r="AW21" i="10"/>
  <c r="AO21" i="10"/>
  <c r="R21" i="20" s="1"/>
  <c r="Y21" i="20" s="1"/>
  <c r="AS21" i="10"/>
  <c r="I477" i="20"/>
  <c r="L477" i="20"/>
  <c r="AV46" i="16"/>
  <c r="I287" i="20"/>
  <c r="L287" i="20"/>
  <c r="G299" i="8"/>
  <c r="G249" i="8"/>
  <c r="I243" i="20"/>
  <c r="L243" i="20"/>
  <c r="O760" i="16"/>
  <c r="K760" i="16"/>
  <c r="S760" i="16"/>
  <c r="G344" i="8"/>
  <c r="K299" i="16"/>
  <c r="S299" i="16"/>
  <c r="O299" i="16"/>
  <c r="H124" i="19"/>
  <c r="L124" i="19"/>
  <c r="K124" i="19"/>
  <c r="I85" i="19"/>
  <c r="M85" i="19"/>
  <c r="S379" i="16"/>
  <c r="O379" i="16"/>
  <c r="K379" i="16"/>
  <c r="J346" i="8"/>
  <c r="H462" i="19"/>
  <c r="L462" i="19"/>
  <c r="K462" i="19"/>
  <c r="O687" i="16"/>
  <c r="S687" i="16"/>
  <c r="K687" i="16"/>
  <c r="K182" i="19"/>
  <c r="H182" i="19"/>
  <c r="L182" i="19"/>
  <c r="O624" i="16"/>
  <c r="K624" i="16"/>
  <c r="S624" i="16"/>
  <c r="G322" i="8"/>
  <c r="H382" i="19"/>
  <c r="L382" i="19"/>
  <c r="K382" i="19"/>
  <c r="L113" i="20"/>
  <c r="I113" i="20"/>
  <c r="G593" i="8"/>
  <c r="K811" i="16"/>
  <c r="S811" i="16"/>
  <c r="O811" i="16"/>
  <c r="I260" i="9"/>
  <c r="J260" i="9" s="1"/>
  <c r="C260" i="19" s="1"/>
  <c r="G406" i="8"/>
  <c r="K653" i="16"/>
  <c r="O653" i="16"/>
  <c r="S653" i="16"/>
  <c r="L574" i="20"/>
  <c r="I574" i="20"/>
  <c r="B393" i="20"/>
  <c r="AL393" i="20" s="1"/>
  <c r="B393" i="19"/>
  <c r="S690" i="16"/>
  <c r="K690" i="16"/>
  <c r="O690" i="16"/>
  <c r="M199" i="19"/>
  <c r="I199" i="19"/>
  <c r="H157" i="19"/>
  <c r="L157" i="19"/>
  <c r="K157" i="19"/>
  <c r="L143" i="20"/>
  <c r="I143" i="20"/>
  <c r="I339" i="9"/>
  <c r="J339" i="9" s="1"/>
  <c r="C339" i="19" s="1"/>
  <c r="M368" i="19"/>
  <c r="I368" i="19"/>
  <c r="G319" i="8"/>
  <c r="L593" i="19"/>
  <c r="K593" i="19"/>
  <c r="H593" i="19"/>
  <c r="G798" i="8"/>
  <c r="B124" i="20"/>
  <c r="AL124" i="20" s="1"/>
  <c r="B124" i="19"/>
  <c r="B546" i="20"/>
  <c r="AL546" i="20" s="1"/>
  <c r="B546" i="19"/>
  <c r="B706" i="20"/>
  <c r="AL706" i="20" s="1"/>
  <c r="B706" i="19"/>
  <c r="AU8" i="16"/>
  <c r="AS55" i="10"/>
  <c r="AW55" i="10"/>
  <c r="AO55" i="10"/>
  <c r="R55" i="20" s="1"/>
  <c r="Y55" i="20" s="1"/>
  <c r="I772" i="20"/>
  <c r="L772" i="20"/>
  <c r="AU11" i="16"/>
  <c r="H646" i="19"/>
  <c r="L646" i="19"/>
  <c r="K646" i="19"/>
  <c r="L342" i="19"/>
  <c r="K342" i="19"/>
  <c r="H342" i="19"/>
  <c r="O784" i="16"/>
  <c r="K784" i="16"/>
  <c r="S784" i="16"/>
  <c r="L492" i="20"/>
  <c r="I492" i="20"/>
  <c r="AV44" i="16"/>
  <c r="L249" i="19"/>
  <c r="H249" i="19"/>
  <c r="K249" i="19"/>
  <c r="AU5" i="16"/>
  <c r="AV50" i="16"/>
  <c r="L249" i="20"/>
  <c r="I249" i="20"/>
  <c r="H123" i="19"/>
  <c r="L123" i="19"/>
  <c r="K123" i="19"/>
  <c r="K663" i="16"/>
  <c r="S663" i="16"/>
  <c r="O663" i="16"/>
  <c r="K657" i="16"/>
  <c r="S657" i="16"/>
  <c r="O657" i="16"/>
  <c r="AU27" i="16"/>
  <c r="AU7" i="16"/>
  <c r="B408" i="20"/>
  <c r="AL408" i="20" s="1"/>
  <c r="B408" i="19"/>
  <c r="I613" i="19"/>
  <c r="M613" i="19"/>
  <c r="I24" i="19"/>
  <c r="M24" i="19"/>
  <c r="K390" i="19"/>
  <c r="H390" i="19"/>
  <c r="L390" i="19"/>
  <c r="I319" i="20"/>
  <c r="L319" i="20"/>
  <c r="L242" i="20"/>
  <c r="I242" i="20"/>
  <c r="O13" i="16"/>
  <c r="S13" i="16"/>
  <c r="K13" i="16"/>
  <c r="O283" i="16"/>
  <c r="K283" i="16"/>
  <c r="S283" i="16"/>
  <c r="S742" i="16"/>
  <c r="O742" i="16"/>
  <c r="K742" i="16"/>
  <c r="H536" i="19"/>
  <c r="L536" i="19"/>
  <c r="K536" i="19"/>
  <c r="AS44" i="10"/>
  <c r="AW44" i="10"/>
  <c r="AO44" i="10"/>
  <c r="R44" i="20" s="1"/>
  <c r="Y44" i="20" s="1"/>
  <c r="L497" i="19"/>
  <c r="K497" i="19"/>
  <c r="H497" i="19"/>
  <c r="K302" i="19"/>
  <c r="H302" i="19"/>
  <c r="L302" i="19"/>
  <c r="AV39" i="16"/>
  <c r="AU36" i="16"/>
  <c r="K123" i="16"/>
  <c r="O123" i="16"/>
  <c r="S123" i="16"/>
  <c r="L310" i="19"/>
  <c r="K310" i="19"/>
  <c r="H310" i="19"/>
  <c r="I475" i="19"/>
  <c r="M475" i="19"/>
  <c r="K475" i="19"/>
  <c r="L390" i="20"/>
  <c r="I390" i="20"/>
  <c r="H667" i="19"/>
  <c r="K667" i="19"/>
  <c r="L667" i="19"/>
  <c r="I606" i="20"/>
  <c r="L606" i="20"/>
  <c r="O469" i="16"/>
  <c r="S469" i="16"/>
  <c r="K469" i="16"/>
  <c r="K650" i="16"/>
  <c r="O650" i="16"/>
  <c r="S650" i="16"/>
  <c r="S620" i="16"/>
  <c r="K620" i="16"/>
  <c r="O620" i="16"/>
  <c r="K82" i="19"/>
  <c r="L82" i="19"/>
  <c r="H82" i="19"/>
  <c r="O242" i="16"/>
  <c r="K242" i="16"/>
  <c r="S242" i="16"/>
  <c r="G563" i="8"/>
  <c r="K586" i="19"/>
  <c r="H586" i="19"/>
  <c r="L586" i="19"/>
  <c r="G576" i="8"/>
  <c r="L780" i="20"/>
  <c r="I780" i="20"/>
  <c r="H55" i="19"/>
  <c r="L55" i="19"/>
  <c r="K55" i="19"/>
  <c r="L208" i="19"/>
  <c r="K208" i="19"/>
  <c r="H208" i="19"/>
  <c r="H199" i="19"/>
  <c r="L199" i="19"/>
  <c r="K199" i="19"/>
  <c r="M196" i="19"/>
  <c r="I196" i="19"/>
  <c r="S92" i="16"/>
  <c r="O92" i="16"/>
  <c r="K92" i="16"/>
  <c r="AE10" i="16"/>
  <c r="E14" i="1"/>
  <c r="N14" i="1" s="1"/>
  <c r="O243" i="16"/>
  <c r="S243" i="16"/>
  <c r="K243" i="16"/>
  <c r="L124" i="20"/>
  <c r="I124" i="20"/>
  <c r="I85" i="9"/>
  <c r="J85" i="9" s="1"/>
  <c r="C85" i="19" s="1"/>
  <c r="I242" i="9"/>
  <c r="J242" i="9" s="1"/>
  <c r="C242" i="19" s="1"/>
  <c r="I501" i="9"/>
  <c r="J501" i="9" s="1"/>
  <c r="C501" i="19" s="1"/>
  <c r="B136" i="20"/>
  <c r="AL136" i="20" s="1"/>
  <c r="B136" i="19"/>
  <c r="O462" i="16"/>
  <c r="S462" i="16"/>
  <c r="K462" i="16"/>
  <c r="G726" i="8"/>
  <c r="L182" i="20"/>
  <c r="I182" i="20"/>
  <c r="I382" i="20"/>
  <c r="L382" i="20"/>
  <c r="G270" i="8"/>
  <c r="J728" i="8"/>
  <c r="L116" i="19"/>
  <c r="K116" i="19"/>
  <c r="H116" i="19"/>
  <c r="J483" i="8"/>
  <c r="G565" i="8"/>
  <c r="O574" i="16"/>
  <c r="S574" i="16"/>
  <c r="K574" i="16"/>
  <c r="I537" i="9"/>
  <c r="J537" i="9" s="1"/>
  <c r="C537" i="19" s="1"/>
  <c r="L714" i="19"/>
  <c r="H714" i="19"/>
  <c r="K714" i="19"/>
  <c r="S143" i="16"/>
  <c r="O143" i="16"/>
  <c r="K143" i="16"/>
  <c r="G241" i="8"/>
  <c r="I544" i="20"/>
  <c r="L544" i="20"/>
  <c r="L405" i="19"/>
  <c r="K405" i="19"/>
  <c r="H405" i="19"/>
  <c r="B173" i="20"/>
  <c r="AL173" i="20" s="1"/>
  <c r="B173" i="19"/>
  <c r="I450" i="9"/>
  <c r="J450" i="9" s="1"/>
  <c r="C450" i="19" s="1"/>
  <c r="G665" i="8"/>
  <c r="H595" i="19"/>
  <c r="L595" i="19"/>
  <c r="K595" i="19"/>
  <c r="L234" i="19"/>
  <c r="H234" i="19"/>
  <c r="K234" i="19"/>
  <c r="B550" i="20"/>
  <c r="AL550" i="20" s="1"/>
  <c r="B550" i="19"/>
  <c r="G14" i="18"/>
  <c r="AK53" i="16"/>
  <c r="P53" i="20"/>
  <c r="BF53" i="10"/>
  <c r="AV23" i="16"/>
  <c r="L580" i="19"/>
  <c r="K580" i="19"/>
  <c r="H580" i="19"/>
  <c r="O553" i="16"/>
  <c r="S553" i="16"/>
  <c r="K553" i="16"/>
  <c r="M237" i="19"/>
  <c r="I237" i="19"/>
  <c r="I382" i="19"/>
  <c r="M382" i="19"/>
  <c r="AS41" i="10"/>
  <c r="AW41" i="10"/>
  <c r="AO41" i="10"/>
  <c r="R41" i="20" s="1"/>
  <c r="Y41" i="20" s="1"/>
  <c r="AV40" i="16"/>
  <c r="AW23" i="10"/>
  <c r="AS23" i="10"/>
  <c r="AO23" i="10"/>
  <c r="R23" i="20" s="1"/>
  <c r="Y23" i="20" s="1"/>
  <c r="S772" i="16"/>
  <c r="O772" i="16"/>
  <c r="K772" i="16"/>
  <c r="L450" i="20"/>
  <c r="I450" i="20"/>
  <c r="L605" i="19"/>
  <c r="H605" i="19"/>
  <c r="K605" i="19"/>
  <c r="I729" i="9"/>
  <c r="J729" i="9" s="1"/>
  <c r="C729" i="19" s="1"/>
  <c r="AV21" i="16"/>
  <c r="K56" i="19"/>
  <c r="L56" i="19"/>
  <c r="H56" i="19"/>
  <c r="K132" i="16"/>
  <c r="S132" i="16"/>
  <c r="O132" i="16"/>
  <c r="O70" i="16"/>
  <c r="K70" i="16"/>
  <c r="S70" i="16"/>
  <c r="I491" i="19"/>
  <c r="M491" i="19"/>
  <c r="K491" i="19"/>
  <c r="K253" i="16"/>
  <c r="S253" i="16"/>
  <c r="O253" i="16"/>
  <c r="L393" i="20"/>
  <c r="I393" i="20"/>
  <c r="K450" i="16"/>
  <c r="O450" i="16"/>
  <c r="S450" i="16"/>
  <c r="O342" i="16"/>
  <c r="S342" i="16"/>
  <c r="K342" i="16"/>
  <c r="I605" i="20"/>
  <c r="L605" i="20"/>
  <c r="L515" i="20"/>
  <c r="I515" i="20"/>
  <c r="M222" i="19"/>
  <c r="I222" i="19"/>
  <c r="K250" i="16"/>
  <c r="O250" i="16"/>
  <c r="S250" i="16"/>
  <c r="AU63" i="16"/>
  <c r="O776" i="16"/>
  <c r="K776" i="16"/>
  <c r="S776" i="16"/>
  <c r="I586" i="20"/>
  <c r="L586" i="20"/>
  <c r="H780" i="19"/>
  <c r="K780" i="19"/>
  <c r="L780" i="19"/>
  <c r="O590" i="16"/>
  <c r="S590" i="16"/>
  <c r="K590" i="16"/>
  <c r="I80" i="19"/>
  <c r="M80" i="19"/>
  <c r="O216" i="16"/>
  <c r="S216" i="16"/>
  <c r="K216" i="16"/>
  <c r="L92" i="20"/>
  <c r="I92" i="20"/>
  <c r="AQ37" i="19"/>
  <c r="AR37" i="19" s="1"/>
  <c r="L185" i="19"/>
  <c r="K185" i="19"/>
  <c r="H185" i="19"/>
  <c r="AU65" i="16"/>
  <c r="AQ48" i="19"/>
  <c r="AR48" i="19" s="1"/>
  <c r="K89" i="16"/>
  <c r="S89" i="16"/>
  <c r="O89" i="16"/>
  <c r="I497" i="20"/>
  <c r="L497" i="20"/>
  <c r="I325" i="9"/>
  <c r="J325" i="9" s="1"/>
  <c r="C325" i="19" s="1"/>
  <c r="G693" i="8"/>
  <c r="S302" i="16"/>
  <c r="O302" i="16"/>
  <c r="K302" i="16"/>
  <c r="B250" i="20"/>
  <c r="AL250" i="20" s="1"/>
  <c r="B250" i="19"/>
  <c r="AU48" i="16"/>
  <c r="AV58" i="16"/>
  <c r="AV8" i="16"/>
  <c r="AU17" i="16"/>
  <c r="AU39" i="16"/>
  <c r="AV19" i="16"/>
  <c r="K689" i="16"/>
  <c r="S689" i="16"/>
  <c r="O689" i="16"/>
  <c r="L394" i="20"/>
  <c r="I394" i="20"/>
  <c r="H78" i="19"/>
  <c r="L78" i="19"/>
  <c r="K78" i="19"/>
  <c r="AK33" i="16"/>
  <c r="P33" i="20"/>
  <c r="BF33" i="10"/>
  <c r="AW32" i="10"/>
  <c r="AO32" i="10"/>
  <c r="R32" i="20" s="1"/>
  <c r="Y32" i="20" s="1"/>
  <c r="AS32" i="10"/>
  <c r="G481" i="8"/>
  <c r="G711" i="8"/>
  <c r="I332" i="20"/>
  <c r="L332" i="20"/>
  <c r="K367" i="16"/>
  <c r="S367" i="16"/>
  <c r="O367" i="16"/>
  <c r="H35" i="19"/>
  <c r="L35" i="19"/>
  <c r="K35" i="19"/>
  <c r="L310" i="20"/>
  <c r="I310" i="20"/>
  <c r="G443" i="8"/>
  <c r="K347" i="16"/>
  <c r="O347" i="16"/>
  <c r="S347" i="16"/>
  <c r="H647" i="19"/>
  <c r="L647" i="19"/>
  <c r="K647" i="19"/>
  <c r="G812" i="8"/>
  <c r="S390" i="16"/>
  <c r="K390" i="16"/>
  <c r="O390" i="16"/>
  <c r="L667" i="20"/>
  <c r="I667" i="20"/>
  <c r="O606" i="16"/>
  <c r="S606" i="16"/>
  <c r="K606" i="16"/>
  <c r="G629" i="8"/>
  <c r="L542" i="20"/>
  <c r="I542" i="20"/>
  <c r="B420" i="20"/>
  <c r="AL420" i="20" s="1"/>
  <c r="B420" i="19"/>
  <c r="L257" i="20"/>
  <c r="I257" i="20"/>
  <c r="M173" i="19"/>
  <c r="I173" i="19"/>
  <c r="G223" i="8"/>
  <c r="S82" i="16"/>
  <c r="O82" i="16"/>
  <c r="K82" i="16"/>
  <c r="G473" i="8"/>
  <c r="G780" i="8"/>
  <c r="G397" i="8"/>
  <c r="G166" i="8"/>
  <c r="I573" i="9"/>
  <c r="J573" i="9" s="1"/>
  <c r="C573" i="19" s="1"/>
  <c r="O586" i="16"/>
  <c r="S586" i="16"/>
  <c r="K586" i="16"/>
  <c r="K780" i="16"/>
  <c r="S780" i="16"/>
  <c r="O780" i="16"/>
  <c r="G784" i="8"/>
  <c r="I55" i="20"/>
  <c r="L55" i="20"/>
  <c r="I208" i="20"/>
  <c r="L208" i="20"/>
  <c r="L195" i="19"/>
  <c r="K195" i="19"/>
  <c r="H195" i="19"/>
  <c r="L199" i="20"/>
  <c r="I199" i="20"/>
  <c r="L802" i="19"/>
  <c r="H802" i="19"/>
  <c r="K802" i="19"/>
  <c r="G521" i="8"/>
  <c r="H750" i="19"/>
  <c r="L750" i="19"/>
  <c r="K750" i="19"/>
  <c r="L83" i="19"/>
  <c r="K83" i="19"/>
  <c r="H83" i="19"/>
  <c r="H28" i="19"/>
  <c r="L28" i="19"/>
  <c r="K28" i="19"/>
  <c r="J344" i="8"/>
  <c r="G209" i="8"/>
  <c r="G440" i="8"/>
  <c r="S124" i="16"/>
  <c r="O124" i="16"/>
  <c r="K124" i="16"/>
  <c r="I804" i="9"/>
  <c r="J804" i="9" s="1"/>
  <c r="C804" i="19" s="1"/>
  <c r="J494" i="8"/>
  <c r="L462" i="20"/>
  <c r="I462" i="20"/>
  <c r="B47" i="20"/>
  <c r="AL47" i="20" s="1"/>
  <c r="B47" i="19"/>
  <c r="S182" i="16"/>
  <c r="K182" i="16"/>
  <c r="O182" i="16"/>
  <c r="S382" i="16"/>
  <c r="O382" i="16"/>
  <c r="K382" i="16"/>
  <c r="G333" i="8"/>
  <c r="H782" i="19"/>
  <c r="K782" i="19"/>
  <c r="L782" i="19"/>
  <c r="B257" i="20"/>
  <c r="AL257" i="20" s="1"/>
  <c r="B257" i="19"/>
  <c r="J623" i="8"/>
  <c r="I116" i="20"/>
  <c r="L116" i="20"/>
  <c r="G483" i="8"/>
  <c r="K111" i="19"/>
  <c r="G744" i="8"/>
  <c r="M537" i="19"/>
  <c r="I537" i="19"/>
  <c r="L720" i="20"/>
  <c r="I720" i="20"/>
  <c r="I45" i="9"/>
  <c r="J45" i="9" s="1"/>
  <c r="C45" i="19" s="1"/>
  <c r="K708" i="16"/>
  <c r="O708" i="16"/>
  <c r="S708" i="16"/>
  <c r="O714" i="16"/>
  <c r="S714" i="16"/>
  <c r="K714" i="16"/>
  <c r="B791" i="20"/>
  <c r="AL791" i="20" s="1"/>
  <c r="B791" i="19"/>
  <c r="G811" i="8"/>
  <c r="G214" i="8"/>
  <c r="S544" i="16"/>
  <c r="O544" i="16"/>
  <c r="K544" i="16"/>
  <c r="K353" i="16"/>
  <c r="S353" i="16"/>
  <c r="O353" i="16"/>
  <c r="I322" i="20"/>
  <c r="L322" i="20"/>
  <c r="L553" i="19"/>
  <c r="K553" i="19"/>
  <c r="H553" i="19"/>
  <c r="O442" i="16"/>
  <c r="K442" i="16"/>
  <c r="S442" i="16"/>
  <c r="O666" i="16"/>
  <c r="S666" i="16"/>
  <c r="K666" i="16"/>
  <c r="K96" i="19"/>
  <c r="H96" i="19"/>
  <c r="L96" i="19"/>
  <c r="H523" i="19"/>
  <c r="L523" i="19"/>
  <c r="K523" i="19"/>
  <c r="AS54" i="10"/>
  <c r="AO54" i="10"/>
  <c r="R54" i="20" s="1"/>
  <c r="Y54" i="20" s="1"/>
  <c r="AW54" i="10"/>
  <c r="O373" i="16"/>
  <c r="K373" i="16"/>
  <c r="S373" i="16"/>
  <c r="AV32" i="16"/>
  <c r="I749" i="19"/>
  <c r="M749" i="19"/>
  <c r="O692" i="16"/>
  <c r="K692" i="16"/>
  <c r="S692" i="16"/>
  <c r="L757" i="20"/>
  <c r="I757" i="20"/>
  <c r="L420" i="20"/>
  <c r="I420" i="20"/>
  <c r="L492" i="19"/>
  <c r="K492" i="19"/>
  <c r="H492" i="19"/>
  <c r="S812" i="16"/>
  <c r="O812" i="16"/>
  <c r="K812" i="16"/>
  <c r="AU16" i="16"/>
  <c r="G22" i="18"/>
  <c r="AK61" i="16"/>
  <c r="P61" i="20"/>
  <c r="BF61" i="10"/>
  <c r="S272" i="16"/>
  <c r="O272" i="16"/>
  <c r="K272" i="16"/>
  <c r="AS15" i="10"/>
  <c r="AW15" i="10"/>
  <c r="AO15" i="10"/>
  <c r="R15" i="20" s="1"/>
  <c r="Y15" i="20" s="1"/>
  <c r="AV52" i="16"/>
  <c r="AU62" i="16"/>
  <c r="S369" i="16"/>
  <c r="O369" i="16"/>
  <c r="K369" i="16"/>
  <c r="K646" i="16"/>
  <c r="O646" i="16"/>
  <c r="S646" i="16"/>
  <c r="I342" i="20"/>
  <c r="L342" i="20"/>
  <c r="B114" i="20"/>
  <c r="AL114" i="20" s="1"/>
  <c r="B114" i="19"/>
  <c r="L250" i="20"/>
  <c r="I250" i="20"/>
  <c r="AU30" i="16"/>
  <c r="I26" i="20"/>
  <c r="L26" i="20"/>
  <c r="I613" i="9"/>
  <c r="J613" i="9" s="1"/>
  <c r="C613" i="19" s="1"/>
  <c r="I24" i="9"/>
  <c r="J24" i="9" s="1"/>
  <c r="C24" i="19" s="1"/>
  <c r="K40" i="16"/>
  <c r="S40" i="16"/>
  <c r="O40" i="16"/>
  <c r="M179" i="19"/>
  <c r="I179" i="19"/>
  <c r="I484" i="20"/>
  <c r="L484" i="20"/>
  <c r="S319" i="16"/>
  <c r="O319" i="16"/>
  <c r="K319" i="16"/>
  <c r="L302" i="20"/>
  <c r="I302" i="20"/>
  <c r="AU4" i="16"/>
  <c r="K347" i="19"/>
  <c r="L347" i="19"/>
  <c r="H347" i="19"/>
  <c r="L689" i="19"/>
  <c r="K689" i="19"/>
  <c r="H689" i="19"/>
  <c r="H394" i="19"/>
  <c r="L394" i="19"/>
  <c r="K394" i="19"/>
  <c r="L367" i="20"/>
  <c r="I367" i="20"/>
  <c r="I536" i="20"/>
  <c r="L536" i="20"/>
  <c r="I663" i="19"/>
  <c r="M663" i="19"/>
  <c r="I295" i="9"/>
  <c r="J295" i="9" s="1"/>
  <c r="C295" i="19" s="1"/>
  <c r="I266" i="20"/>
  <c r="L266" i="20"/>
  <c r="AS786" i="16"/>
  <c r="AS766" i="16"/>
  <c r="AS785" i="16"/>
  <c r="AS765" i="16"/>
  <c r="AS798" i="16"/>
  <c r="AS778" i="16"/>
  <c r="AS758" i="16"/>
  <c r="AS776" i="16"/>
  <c r="AS754" i="16"/>
  <c r="AS744" i="16"/>
  <c r="AS724" i="16"/>
  <c r="AS704" i="16"/>
  <c r="AS684" i="16"/>
  <c r="AS664" i="16"/>
  <c r="AS644" i="16"/>
  <c r="AS624" i="16"/>
  <c r="AS604" i="16"/>
  <c r="AS584" i="16"/>
  <c r="AS564" i="16"/>
  <c r="AS544" i="16"/>
  <c r="AS787" i="16"/>
  <c r="AS755" i="16"/>
  <c r="AS743" i="16"/>
  <c r="AS723" i="16"/>
  <c r="AS703" i="16"/>
  <c r="AS683" i="16"/>
  <c r="AS777" i="16"/>
  <c r="AS791" i="16"/>
  <c r="AS780" i="16"/>
  <c r="AS735" i="16"/>
  <c r="AS715" i="16"/>
  <c r="AS695" i="16"/>
  <c r="AS675" i="16"/>
  <c r="AS655" i="16"/>
  <c r="AS635" i="16"/>
  <c r="AS615" i="16"/>
  <c r="AS595" i="16"/>
  <c r="AS575" i="16"/>
  <c r="AS555" i="16"/>
  <c r="AS779" i="16"/>
  <c r="AS775" i="16"/>
  <c r="AS741" i="16"/>
  <c r="AS740" i="16"/>
  <c r="AS738" i="16"/>
  <c r="AS727" i="16"/>
  <c r="AS682" i="16"/>
  <c r="AS665" i="16"/>
  <c r="AS642" i="16"/>
  <c r="AS640" i="16"/>
  <c r="AS638" i="16"/>
  <c r="AS589" i="16"/>
  <c r="AS565" i="16"/>
  <c r="AS530" i="16"/>
  <c r="AS510" i="16"/>
  <c r="AS490" i="16"/>
  <c r="AS470" i="16"/>
  <c r="AS796" i="16"/>
  <c r="AS759" i="16"/>
  <c r="AS797" i="16"/>
  <c r="AS781" i="16"/>
  <c r="AS760" i="16"/>
  <c r="AS752" i="16"/>
  <c r="AS733" i="16"/>
  <c r="AS674" i="16"/>
  <c r="AS652" i="16"/>
  <c r="AS651" i="16"/>
  <c r="AS650" i="16"/>
  <c r="AS626" i="16"/>
  <c r="AS603" i="16"/>
  <c r="AS599" i="16"/>
  <c r="AS521" i="16"/>
  <c r="AS501" i="16"/>
  <c r="AS481" i="16"/>
  <c r="AS803" i="16"/>
  <c r="AS747" i="16"/>
  <c r="AS742" i="16"/>
  <c r="AS729" i="16"/>
  <c r="AS717" i="16"/>
  <c r="AS698" i="16"/>
  <c r="AS681" i="16"/>
  <c r="AS609" i="16"/>
  <c r="AS543" i="16"/>
  <c r="AS520" i="16"/>
  <c r="AS494" i="16"/>
  <c r="AS782" i="16"/>
  <c r="AS712" i="16"/>
  <c r="AS700" i="16"/>
  <c r="AS693" i="16"/>
  <c r="AS667" i="16"/>
  <c r="AS659" i="16"/>
  <c r="AS627" i="16"/>
  <c r="AS602" i="16"/>
  <c r="AS586" i="16"/>
  <c r="AS577" i="16"/>
  <c r="AS562" i="16"/>
  <c r="AS553" i="16"/>
  <c r="AS495" i="16"/>
  <c r="AS471" i="16"/>
  <c r="AS447" i="16"/>
  <c r="AS427" i="16"/>
  <c r="AS788" i="16"/>
  <c r="AS770" i="16"/>
  <c r="AS767" i="16"/>
  <c r="AS748" i="16"/>
  <c r="AS736" i="16"/>
  <c r="AS730" i="16"/>
  <c r="AS718" i="16"/>
  <c r="AS687" i="16"/>
  <c r="AS661" i="16"/>
  <c r="AS636" i="16"/>
  <c r="AS801" i="16"/>
  <c r="AS768" i="16"/>
  <c r="AS726" i="16"/>
  <c r="AS721" i="16"/>
  <c r="AS708" i="16"/>
  <c r="AS670" i="16"/>
  <c r="AS663" i="16"/>
  <c r="AS623" i="16"/>
  <c r="AS573" i="16"/>
  <c r="AS547" i="16"/>
  <c r="AS531" i="16"/>
  <c r="AS800" i="16"/>
  <c r="AS761" i="16"/>
  <c r="AS716" i="16"/>
  <c r="AS713" i="16"/>
  <c r="AS669" i="16"/>
  <c r="AS658" i="16"/>
  <c r="AS625" i="16"/>
  <c r="AS612" i="16"/>
  <c r="AS598" i="16"/>
  <c r="AS518" i="16"/>
  <c r="AS414" i="16"/>
  <c r="AS394" i="16"/>
  <c r="AS374" i="16"/>
  <c r="AS354" i="16"/>
  <c r="AS764" i="16"/>
  <c r="AS756" i="16"/>
  <c r="AS749" i="16"/>
  <c r="AS746" i="16"/>
  <c r="AS696" i="16"/>
  <c r="AS686" i="16"/>
  <c r="AS676" i="16"/>
  <c r="AS673" i="16"/>
  <c r="AS594" i="16"/>
  <c r="AS559" i="16"/>
  <c r="AS546" i="16"/>
  <c r="AS534" i="16"/>
  <c r="AS529" i="16"/>
  <c r="AS511" i="16"/>
  <c r="AS503" i="16"/>
  <c r="AS461" i="16"/>
  <c r="AS413" i="16"/>
  <c r="AS393" i="16"/>
  <c r="AS373" i="16"/>
  <c r="AS353" i="16"/>
  <c r="AS648" i="16"/>
  <c r="AS641" i="16"/>
  <c r="AS637" i="16"/>
  <c r="AS608" i="16"/>
  <c r="AS590" i="16"/>
  <c r="AS582" i="16"/>
  <c r="AS568" i="16"/>
  <c r="AS519" i="16"/>
  <c r="AS462" i="16"/>
  <c r="AS711" i="16"/>
  <c r="AS671" i="16"/>
  <c r="AS660" i="16"/>
  <c r="AS656" i="16"/>
  <c r="AS649" i="16"/>
  <c r="AS596" i="16"/>
  <c r="AS552" i="16"/>
  <c r="AS537" i="16"/>
  <c r="AS783" i="16"/>
  <c r="AS722" i="16"/>
  <c r="AS657" i="16"/>
  <c r="AS634" i="16"/>
  <c r="AS631" i="16"/>
  <c r="AS614" i="16"/>
  <c r="AS505" i="16"/>
  <c r="AS497" i="16"/>
  <c r="AS489" i="16"/>
  <c r="AS476" i="16"/>
  <c r="AS415" i="16"/>
  <c r="AS351" i="16"/>
  <c r="AS350" i="16"/>
  <c r="AS347" i="16"/>
  <c r="AS334" i="16"/>
  <c r="AS314" i="16"/>
  <c r="AS294" i="16"/>
  <c r="AS274" i="16"/>
  <c r="AS254" i="16"/>
  <c r="AS234" i="16"/>
  <c r="AS214" i="16"/>
  <c r="AS194" i="16"/>
  <c r="AS707" i="16"/>
  <c r="AS697" i="16"/>
  <c r="AS628" i="16"/>
  <c r="AS611" i="16"/>
  <c r="AS548" i="16"/>
  <c r="AS545" i="16"/>
  <c r="AS472" i="16"/>
  <c r="AS430" i="16"/>
  <c r="AS416" i="16"/>
  <c r="AS352" i="16"/>
  <c r="AS349" i="16"/>
  <c r="AS348" i="16"/>
  <c r="AS333" i="16"/>
  <c r="AS313" i="16"/>
  <c r="AS293" i="16"/>
  <c r="AS273" i="16"/>
  <c r="AS253" i="16"/>
  <c r="AS233" i="16"/>
  <c r="AS213" i="16"/>
  <c r="AS193" i="16"/>
  <c r="AS734" i="16"/>
  <c r="AS690" i="16"/>
  <c r="AS647" i="16"/>
  <c r="AS620" i="16"/>
  <c r="AS617" i="16"/>
  <c r="AS600" i="16"/>
  <c r="AS574" i="16"/>
  <c r="AS571" i="16"/>
  <c r="AS524" i="16"/>
  <c r="AS502" i="16"/>
  <c r="AS477" i="16"/>
  <c r="AS431" i="16"/>
  <c r="AS418" i="16"/>
  <c r="AS396" i="16"/>
  <c r="AS331" i="16"/>
  <c r="AS311" i="16"/>
  <c r="AS291" i="16"/>
  <c r="AS271" i="16"/>
  <c r="AS784" i="16"/>
  <c r="AS725" i="16"/>
  <c r="AS701" i="16"/>
  <c r="AS691" i="16"/>
  <c r="AS666" i="16"/>
  <c r="AS645" i="16"/>
  <c r="AS581" i="16"/>
  <c r="AS536" i="16"/>
  <c r="AS514" i="16"/>
  <c r="AS465" i="16"/>
  <c r="AS434" i="16"/>
  <c r="AS424" i="16"/>
  <c r="AS402" i="16"/>
  <c r="AS632" i="16"/>
  <c r="AS601" i="16"/>
  <c r="AS592" i="16"/>
  <c r="AS585" i="16"/>
  <c r="AS576" i="16"/>
  <c r="AS572" i="16"/>
  <c r="AS506" i="16"/>
  <c r="AS484" i="16"/>
  <c r="AS479" i="16"/>
  <c r="AS473" i="16"/>
  <c r="AS450" i="16"/>
  <c r="AS419" i="16"/>
  <c r="AS395" i="16"/>
  <c r="AS391" i="16"/>
  <c r="AS357" i="16"/>
  <c r="AS328" i="16"/>
  <c r="AS317" i="16"/>
  <c r="AS284" i="16"/>
  <c r="AS241" i="16"/>
  <c r="AS771" i="16"/>
  <c r="AS739" i="16"/>
  <c r="AS714" i="16"/>
  <c r="AS702" i="16"/>
  <c r="AS668" i="16"/>
  <c r="AS556" i="16"/>
  <c r="AS516" i="16"/>
  <c r="AS498" i="16"/>
  <c r="AS468" i="16"/>
  <c r="AS453" i="16"/>
  <c r="AS428" i="16"/>
  <c r="AS411" i="16"/>
  <c r="AS405" i="16"/>
  <c r="AS339" i="16"/>
  <c r="AS330" i="16"/>
  <c r="AS329" i="16"/>
  <c r="AS306" i="16"/>
  <c r="AS296" i="16"/>
  <c r="AS263" i="16"/>
  <c r="AS242" i="16"/>
  <c r="AS220" i="16"/>
  <c r="AS198" i="16"/>
  <c r="AS179" i="16"/>
  <c r="AS159" i="16"/>
  <c r="AS139" i="16"/>
  <c r="AS762" i="16"/>
  <c r="AS737" i="16"/>
  <c r="AS731" i="16"/>
  <c r="AS802" i="16"/>
  <c r="AS793" i="16"/>
  <c r="AS773" i="16"/>
  <c r="AS751" i="16"/>
  <c r="AS662" i="16"/>
  <c r="AS610" i="16"/>
  <c r="AS554" i="16"/>
  <c r="AS538" i="16"/>
  <c r="AS535" i="16"/>
  <c r="AS509" i="16"/>
  <c r="AS482" i="16"/>
  <c r="AS444" i="16"/>
  <c r="AS425" i="16"/>
  <c r="AS401" i="16"/>
  <c r="AS386" i="16"/>
  <c r="AS381" i="16"/>
  <c r="AS368" i="16"/>
  <c r="AS363" i="16"/>
  <c r="AS358" i="16"/>
  <c r="AS340" i="16"/>
  <c r="AS308" i="16"/>
  <c r="AS297" i="16"/>
  <c r="AS264" i="16"/>
  <c r="AS244" i="16"/>
  <c r="AS792" i="16"/>
  <c r="AS763" i="16"/>
  <c r="AS719" i="16"/>
  <c r="AS639" i="16"/>
  <c r="AS499" i="16"/>
  <c r="AS491" i="16"/>
  <c r="AS457" i="16"/>
  <c r="AS448" i="16"/>
  <c r="AS426" i="16"/>
  <c r="AS397" i="16"/>
  <c r="AS300" i="16"/>
  <c r="AS268" i="16"/>
  <c r="AS232" i="16"/>
  <c r="AS229" i="16"/>
  <c r="AS228" i="16"/>
  <c r="AS206" i="16"/>
  <c r="AS795" i="16"/>
  <c r="AS619" i="16"/>
  <c r="AS563" i="16"/>
  <c r="AS449" i="16"/>
  <c r="AS417" i="16"/>
  <c r="AS387" i="16"/>
  <c r="AS303" i="16"/>
  <c r="AS295" i="16"/>
  <c r="AS275" i="16"/>
  <c r="AS249" i="16"/>
  <c r="AS235" i="16"/>
  <c r="AS231" i="16"/>
  <c r="AS225" i="16"/>
  <c r="AS211" i="16"/>
  <c r="AS202" i="16"/>
  <c r="AS195" i="16"/>
  <c r="AS769" i="16"/>
  <c r="AS460" i="16"/>
  <c r="AS420" i="16"/>
  <c r="AS336" i="16"/>
  <c r="AS307" i="16"/>
  <c r="AS292" i="16"/>
  <c r="AS287" i="16"/>
  <c r="AS267" i="16"/>
  <c r="AS218" i="16"/>
  <c r="AS789" i="16"/>
  <c r="AS720" i="16"/>
  <c r="AS588" i="16"/>
  <c r="AS487" i="16"/>
  <c r="AS408" i="16"/>
  <c r="AS375" i="16"/>
  <c r="AS346" i="16"/>
  <c r="AS320" i="16"/>
  <c r="AS316" i="16"/>
  <c r="AS283" i="16"/>
  <c r="AS272" i="16"/>
  <c r="AS250" i="16"/>
  <c r="AS203" i="16"/>
  <c r="AS772" i="16"/>
  <c r="AS654" i="16"/>
  <c r="AS606" i="16"/>
  <c r="AS523" i="16"/>
  <c r="AS692" i="16"/>
  <c r="AS685" i="16"/>
  <c r="AS629" i="16"/>
  <c r="AS616" i="16"/>
  <c r="AS517" i="16"/>
  <c r="AS513" i="16"/>
  <c r="AS463" i="16"/>
  <c r="AS440" i="16"/>
  <c r="AS392" i="16"/>
  <c r="AS344" i="16"/>
  <c r="AS341" i="16"/>
  <c r="AS301" i="16"/>
  <c r="AS252" i="16"/>
  <c r="AS237" i="16"/>
  <c r="AS221" i="16"/>
  <c r="AS192" i="16"/>
  <c r="AS679" i="16"/>
  <c r="AS613" i="16"/>
  <c r="AS540" i="16"/>
  <c r="AS452" i="16"/>
  <c r="AS376" i="16"/>
  <c r="AS366" i="16"/>
  <c r="AS326" i="16"/>
  <c r="AS238" i="16"/>
  <c r="AS209" i="16"/>
  <c r="AS182" i="16"/>
  <c r="AS161" i="16"/>
  <c r="AS117" i="16"/>
  <c r="AS97" i="16"/>
  <c r="AS527" i="16"/>
  <c r="AS454" i="16"/>
  <c r="AS442" i="16"/>
  <c r="AS423" i="16"/>
  <c r="AS412" i="16"/>
  <c r="AS335" i="16"/>
  <c r="AS305" i="16"/>
  <c r="AS281" i="16"/>
  <c r="AS259" i="16"/>
  <c r="AS256" i="16"/>
  <c r="AS230" i="16"/>
  <c r="AS183" i="16"/>
  <c r="AS162" i="16"/>
  <c r="AS550" i="16"/>
  <c r="AS500" i="16"/>
  <c r="AS475" i="16"/>
  <c r="AS458" i="16"/>
  <c r="AS456" i="16"/>
  <c r="AS364" i="16"/>
  <c r="AS324" i="16"/>
  <c r="AS286" i="16"/>
  <c r="AS247" i="16"/>
  <c r="AS199" i="16"/>
  <c r="AS184" i="16"/>
  <c r="AS163" i="16"/>
  <c r="AS557" i="16"/>
  <c r="AS542" i="16"/>
  <c r="AS508" i="16"/>
  <c r="AS504" i="16"/>
  <c r="AS496" i="16"/>
  <c r="AS464" i="16"/>
  <c r="AS438" i="16"/>
  <c r="AS432" i="16"/>
  <c r="AS410" i="16"/>
  <c r="AS369" i="16"/>
  <c r="AS360" i="16"/>
  <c r="AS345" i="16"/>
  <c r="AS319" i="16"/>
  <c r="AS790" i="16"/>
  <c r="AS774" i="16"/>
  <c r="AS618" i="16"/>
  <c r="AS579" i="16"/>
  <c r="AS515" i="16"/>
  <c r="AS485" i="16"/>
  <c r="AS384" i="16"/>
  <c r="AS367" i="16"/>
  <c r="AS750" i="16"/>
  <c r="AS512" i="16"/>
  <c r="AS422" i="16"/>
  <c r="AS399" i="16"/>
  <c r="AS389" i="16"/>
  <c r="AS325" i="16"/>
  <c r="AS315" i="16"/>
  <c r="AS304" i="16"/>
  <c r="AS265" i="16"/>
  <c r="AS246" i="16"/>
  <c r="AS239" i="16"/>
  <c r="AS219" i="16"/>
  <c r="AS205" i="16"/>
  <c r="AS200" i="16"/>
  <c r="AS166" i="16"/>
  <c r="AS146" i="16"/>
  <c r="AS621" i="16"/>
  <c r="AS591" i="16"/>
  <c r="AS560" i="16"/>
  <c r="AS380" i="16"/>
  <c r="AS355" i="16"/>
  <c r="AS327" i="16"/>
  <c r="AS323" i="16"/>
  <c r="AS321" i="16"/>
  <c r="AS172" i="16"/>
  <c r="AS147" i="16"/>
  <c r="AS70" i="16"/>
  <c r="AS705" i="16"/>
  <c r="AS680" i="16"/>
  <c r="AS433" i="16"/>
  <c r="AS409" i="16"/>
  <c r="AS407" i="16"/>
  <c r="AS378" i="16"/>
  <c r="AS359" i="16"/>
  <c r="AS332" i="16"/>
  <c r="AS309" i="16"/>
  <c r="AS302" i="16"/>
  <c r="AS208" i="16"/>
  <c r="AS189" i="16"/>
  <c r="AS178" i="16"/>
  <c r="AS167" i="16"/>
  <c r="AS160" i="16"/>
  <c r="AS148" i="16"/>
  <c r="AS74" i="16"/>
  <c r="AS66" i="16"/>
  <c r="AS753" i="16"/>
  <c r="AS728" i="16"/>
  <c r="AS699" i="16"/>
  <c r="AS677" i="16"/>
  <c r="AS633" i="16"/>
  <c r="AS607" i="16"/>
  <c r="AS492" i="16"/>
  <c r="AS459" i="16"/>
  <c r="AS435" i="16"/>
  <c r="AS390" i="16"/>
  <c r="AS150" i="16"/>
  <c r="AS121" i="16"/>
  <c r="AS120" i="16"/>
  <c r="AS119" i="16"/>
  <c r="AS118" i="16"/>
  <c r="AS113" i="16"/>
  <c r="AS96" i="16"/>
  <c r="AS95" i="16"/>
  <c r="AS94" i="16"/>
  <c r="AS689" i="16"/>
  <c r="AS528" i="16"/>
  <c r="AS526" i="16"/>
  <c r="AS451" i="16"/>
  <c r="AS365" i="16"/>
  <c r="AS322" i="16"/>
  <c r="AS269" i="16"/>
  <c r="AS266" i="16"/>
  <c r="AS257" i="16"/>
  <c r="AS215" i="16"/>
  <c r="AS212" i="16"/>
  <c r="AS185" i="16"/>
  <c r="AS551" i="16"/>
  <c r="AS445" i="16"/>
  <c r="AS361" i="16"/>
  <c r="AS318" i="16"/>
  <c r="AS285" i="16"/>
  <c r="AS278" i="16"/>
  <c r="AS222" i="16"/>
  <c r="AS180" i="16"/>
  <c r="AS157" i="16"/>
  <c r="AS152" i="16"/>
  <c r="AS136" i="16"/>
  <c r="AS125" i="16"/>
  <c r="AS91" i="16"/>
  <c r="AS81" i="16"/>
  <c r="AS65" i="16"/>
  <c r="AS51" i="16"/>
  <c r="AS44" i="16"/>
  <c r="AS31" i="16"/>
  <c r="AS706" i="16"/>
  <c r="AS630" i="16"/>
  <c r="AS622" i="16"/>
  <c r="AS569" i="16"/>
  <c r="AS245" i="16"/>
  <c r="AS112" i="16"/>
  <c r="AS102" i="16"/>
  <c r="AS55" i="16"/>
  <c r="AS653" i="16"/>
  <c r="AS646" i="16"/>
  <c r="AS421" i="16"/>
  <c r="AS371" i="16"/>
  <c r="AS224" i="16"/>
  <c r="AS216" i="16"/>
  <c r="AS143" i="16"/>
  <c r="AS130" i="16"/>
  <c r="AS92" i="16"/>
  <c r="AS82" i="16"/>
  <c r="AS47" i="16"/>
  <c r="AS37" i="16"/>
  <c r="AS34" i="16"/>
  <c r="AS22" i="16"/>
  <c r="AS299" i="16"/>
  <c r="AS643" i="16"/>
  <c r="AS437" i="16"/>
  <c r="AS406" i="16"/>
  <c r="AS196" i="16"/>
  <c r="AS175" i="16"/>
  <c r="AS126" i="16"/>
  <c r="AS83" i="16"/>
  <c r="AS50" i="16"/>
  <c r="AS40" i="16"/>
  <c r="AS27" i="16"/>
  <c r="AS24" i="16"/>
  <c r="AS580" i="16"/>
  <c r="AS474" i="16"/>
  <c r="AS439" i="16"/>
  <c r="AS227" i="16"/>
  <c r="AS149" i="16"/>
  <c r="AS106" i="16"/>
  <c r="AS73" i="16"/>
  <c r="AS58" i="16"/>
  <c r="AS154" i="16"/>
  <c r="AS151" i="16"/>
  <c r="AS115" i="16"/>
  <c r="AS111" i="16"/>
  <c r="AS107" i="16"/>
  <c r="AS103" i="16"/>
  <c r="AS79" i="16"/>
  <c r="AS72" i="16"/>
  <c r="AS67" i="16"/>
  <c r="AS54" i="16"/>
  <c r="AS52" i="16"/>
  <c r="AS35" i="16"/>
  <c r="AS33" i="16"/>
  <c r="AS32" i="16"/>
  <c r="AS28" i="16"/>
  <c r="AS25" i="16"/>
  <c r="AS488" i="16"/>
  <c r="AS478" i="16"/>
  <c r="AS289" i="16"/>
  <c r="AS207" i="16"/>
  <c r="AS165" i="16"/>
  <c r="AS87" i="16"/>
  <c r="AS64" i="16"/>
  <c r="AS12" i="16"/>
  <c r="AS710" i="16"/>
  <c r="AS672" i="16"/>
  <c r="AS593" i="16"/>
  <c r="AS507" i="16"/>
  <c r="AS404" i="16"/>
  <c r="AS342" i="16"/>
  <c r="AS236" i="16"/>
  <c r="AS226" i="16"/>
  <c r="AS187" i="16"/>
  <c r="AS68" i="16"/>
  <c r="AS23" i="16"/>
  <c r="AS455" i="16"/>
  <c r="AS441" i="16"/>
  <c r="AS383" i="16"/>
  <c r="AS270" i="16"/>
  <c r="AS174" i="16"/>
  <c r="AS128" i="16"/>
  <c r="AS100" i="16"/>
  <c r="AS757" i="16"/>
  <c r="AS398" i="16"/>
  <c r="AS261" i="16"/>
  <c r="AS251" i="16"/>
  <c r="AS170" i="16"/>
  <c r="AS168" i="16"/>
  <c r="AS144" i="16"/>
  <c r="AS141" i="16"/>
  <c r="AS134" i="16"/>
  <c r="AS131" i="16"/>
  <c r="AS108" i="16"/>
  <c r="AS104" i="16"/>
  <c r="AS63" i="16"/>
  <c r="AS62" i="16"/>
  <c r="AS57" i="16"/>
  <c r="AS11" i="16"/>
  <c r="AS605" i="16"/>
  <c r="AS567" i="16"/>
  <c r="AS480" i="16"/>
  <c r="AS403" i="16"/>
  <c r="AS400" i="16"/>
  <c r="AS288" i="16"/>
  <c r="AS277" i="16"/>
  <c r="AS223" i="16"/>
  <c r="AS204" i="16"/>
  <c r="AS109" i="16"/>
  <c r="AS101" i="16"/>
  <c r="AS89" i="16"/>
  <c r="AS60" i="16"/>
  <c r="AS486" i="16"/>
  <c r="AS362" i="16"/>
  <c r="AS248" i="16"/>
  <c r="AS171" i="16"/>
  <c r="AS137" i="16"/>
  <c r="AS36" i="16"/>
  <c r="AS16" i="16"/>
  <c r="AS587" i="16"/>
  <c r="AS436" i="16"/>
  <c r="AS379" i="16"/>
  <c r="AS280" i="16"/>
  <c r="AS260" i="16"/>
  <c r="AS217" i="16"/>
  <c r="AS135" i="16"/>
  <c r="AS98" i="16"/>
  <c r="AS85" i="16"/>
  <c r="AS446" i="16"/>
  <c r="AS173" i="16"/>
  <c r="AS158" i="16"/>
  <c r="AS45" i="16"/>
  <c r="AS532" i="16"/>
  <c r="AS466" i="16"/>
  <c r="AS372" i="16"/>
  <c r="AS197" i="16"/>
  <c r="AS93" i="16"/>
  <c r="AS88" i="16"/>
  <c r="AS80" i="16"/>
  <c r="AS41" i="16"/>
  <c r="AS17" i="16"/>
  <c r="AS279" i="16"/>
  <c r="AS86" i="16"/>
  <c r="AS76" i="16"/>
  <c r="AS745" i="16"/>
  <c r="AS597" i="16"/>
  <c r="AS210" i="16"/>
  <c r="AS59" i="16"/>
  <c r="AS9" i="16"/>
  <c r="AS533" i="16"/>
  <c r="AS429" i="16"/>
  <c r="AS382" i="16"/>
  <c r="AS156" i="16"/>
  <c r="AS116" i="16"/>
  <c r="AS69" i="16"/>
  <c r="AS30" i="16"/>
  <c r="AS558" i="16"/>
  <c r="AS522" i="16"/>
  <c r="AS84" i="16"/>
  <c r="AS71" i="16"/>
  <c r="AS549" i="16"/>
  <c r="AS140" i="16"/>
  <c r="AS129" i="16"/>
  <c r="AS90" i="16"/>
  <c r="AS570" i="16"/>
  <c r="AS525" i="16"/>
  <c r="AS467" i="16"/>
  <c r="AS343" i="16"/>
  <c r="AS201" i="16"/>
  <c r="AS177" i="16"/>
  <c r="AS142" i="16"/>
  <c r="AS78" i="16"/>
  <c r="AS42" i="16"/>
  <c r="AS26" i="16"/>
  <c r="AS578" i="16"/>
  <c r="AS377" i="16"/>
  <c r="AS255" i="16"/>
  <c r="AS190" i="16"/>
  <c r="AS20" i="16"/>
  <c r="AS10" i="16"/>
  <c r="AS539" i="16"/>
  <c r="AS240" i="16"/>
  <c r="AS370" i="16"/>
  <c r="AS123" i="16"/>
  <c r="AS48" i="16"/>
  <c r="AS13" i="16"/>
  <c r="AS356" i="16"/>
  <c r="AS186" i="16"/>
  <c r="AS61" i="16"/>
  <c r="AS191" i="16"/>
  <c r="AS110" i="16"/>
  <c r="AS77" i="16"/>
  <c r="AS43" i="16"/>
  <c r="AS290" i="16"/>
  <c r="AS133" i="16"/>
  <c r="AS258" i="16"/>
  <c r="AS122" i="16"/>
  <c r="AS38" i="16"/>
  <c r="AS145" i="16"/>
  <c r="AS243" i="16"/>
  <c r="AS56" i="16"/>
  <c r="AS46" i="16"/>
  <c r="AS14" i="16"/>
  <c r="AS262" i="16"/>
  <c r="AS127" i="16"/>
  <c r="AS732" i="16"/>
  <c r="AS298" i="16"/>
  <c r="AS276" i="16"/>
  <c r="AS105" i="16"/>
  <c r="AS678" i="16"/>
  <c r="AS49" i="16"/>
  <c r="AS561" i="16"/>
  <c r="AS124" i="16"/>
  <c r="AS15" i="16"/>
  <c r="AS583" i="16"/>
  <c r="AS310" i="16"/>
  <c r="AS469" i="16"/>
  <c r="AS282" i="16"/>
  <c r="AS21" i="16"/>
  <c r="AS709" i="16"/>
  <c r="AS385" i="16"/>
  <c r="AS138" i="16"/>
  <c r="AS483" i="16"/>
  <c r="AS443" i="16"/>
  <c r="AS338" i="16"/>
  <c r="AS312" i="16"/>
  <c r="AS75" i="16"/>
  <c r="AS29" i="16"/>
  <c r="AS493" i="16"/>
  <c r="AS188" i="16"/>
  <c r="AS694" i="16"/>
  <c r="AS153" i="16"/>
  <c r="AS114" i="16"/>
  <c r="AS99" i="16"/>
  <c r="AS18" i="16"/>
  <c r="AS176" i="16"/>
  <c r="AS53" i="16"/>
  <c r="AS688" i="16"/>
  <c r="AS541" i="16"/>
  <c r="AS181" i="16"/>
  <c r="AS39" i="16"/>
  <c r="AS19" i="16"/>
  <c r="AS155" i="16"/>
  <c r="AS566" i="16"/>
  <c r="AS388" i="16"/>
  <c r="AS169" i="16"/>
  <c r="AS794" i="16"/>
  <c r="AS799" i="16"/>
  <c r="AS337" i="16"/>
  <c r="AS132" i="16"/>
  <c r="AS164" i="16"/>
  <c r="B768" i="20"/>
  <c r="AL768" i="20" s="1"/>
  <c r="B768" i="19"/>
  <c r="B598" i="20"/>
  <c r="AL598" i="20" s="1"/>
  <c r="B598" i="19"/>
  <c r="B557" i="20"/>
  <c r="AL557" i="20" s="1"/>
  <c r="B557" i="19"/>
  <c r="L750" i="20"/>
  <c r="I750" i="20"/>
  <c r="L83" i="20"/>
  <c r="I83" i="20"/>
  <c r="B677" i="20"/>
  <c r="AL677" i="20" s="1"/>
  <c r="B677" i="19"/>
  <c r="K28" i="16"/>
  <c r="S28" i="16"/>
  <c r="O28" i="16"/>
  <c r="B527" i="20"/>
  <c r="AL527" i="20" s="1"/>
  <c r="B527" i="19"/>
  <c r="J575" i="8"/>
  <c r="G494" i="8"/>
  <c r="I302" i="19"/>
  <c r="M302" i="19"/>
  <c r="B201" i="20"/>
  <c r="AL201" i="20" s="1"/>
  <c r="B201" i="19"/>
  <c r="I461" i="9"/>
  <c r="J461" i="9" s="1"/>
  <c r="C461" i="19" s="1"/>
  <c r="I782" i="20"/>
  <c r="L782" i="20"/>
  <c r="L383" i="19"/>
  <c r="H383" i="19"/>
  <c r="K383" i="19"/>
  <c r="J570" i="8"/>
  <c r="G809" i="8"/>
  <c r="J120" i="8"/>
  <c r="G623" i="8"/>
  <c r="O116" i="16"/>
  <c r="S116" i="16"/>
  <c r="K116" i="16"/>
  <c r="M45" i="19"/>
  <c r="I45" i="19"/>
  <c r="K45" i="19"/>
  <c r="L107" i="19"/>
  <c r="K107" i="19"/>
  <c r="H107" i="19"/>
  <c r="I655" i="9"/>
  <c r="J655" i="9" s="1"/>
  <c r="C655" i="19" s="1"/>
  <c r="H658" i="19"/>
  <c r="L658" i="19"/>
  <c r="K658" i="19"/>
  <c r="O66" i="16"/>
  <c r="K66" i="16"/>
  <c r="S66" i="16"/>
  <c r="B48" i="20"/>
  <c r="AL48" i="20" s="1"/>
  <c r="B48" i="19"/>
  <c r="I506" i="9"/>
  <c r="J506" i="9" s="1"/>
  <c r="C506" i="19" s="1"/>
  <c r="AQ65" i="19"/>
  <c r="AR65" i="19" s="1"/>
  <c r="I146" i="20"/>
  <c r="L146" i="20"/>
  <c r="I206" i="9"/>
  <c r="J206" i="9" s="1"/>
  <c r="C206" i="19" s="1"/>
  <c r="B334" i="19"/>
  <c r="B334" i="20"/>
  <c r="AL334" i="20" s="1"/>
  <c r="O210" i="16"/>
  <c r="K210" i="16"/>
  <c r="S210" i="16"/>
  <c r="S313" i="16"/>
  <c r="O313" i="16"/>
  <c r="K313" i="16"/>
  <c r="I625" i="19"/>
  <c r="M625" i="19"/>
  <c r="K784" i="19"/>
  <c r="L784" i="19"/>
  <c r="H784" i="19"/>
  <c r="S477" i="16"/>
  <c r="K477" i="16"/>
  <c r="O477" i="16"/>
  <c r="G23" i="18"/>
  <c r="P62" i="20"/>
  <c r="AK62" i="16"/>
  <c r="BF62" i="10"/>
  <c r="L450" i="19"/>
  <c r="K450" i="19"/>
  <c r="H450" i="19"/>
  <c r="AV18" i="16"/>
  <c r="L650" i="19"/>
  <c r="K650" i="19"/>
  <c r="H650" i="19"/>
  <c r="K587" i="16"/>
  <c r="S587" i="16"/>
  <c r="O587" i="16"/>
  <c r="AU51" i="16"/>
  <c r="S26" i="16"/>
  <c r="O26" i="16"/>
  <c r="K26" i="16"/>
  <c r="G8" i="18"/>
  <c r="AK47" i="16"/>
  <c r="P47" i="20"/>
  <c r="BF47" i="10"/>
  <c r="S484" i="16"/>
  <c r="K484" i="16"/>
  <c r="O484" i="16"/>
  <c r="S393" i="16"/>
  <c r="O393" i="16"/>
  <c r="K393" i="16"/>
  <c r="K559" i="16"/>
  <c r="S559" i="16"/>
  <c r="O559" i="16"/>
  <c r="K199" i="16"/>
  <c r="S199" i="16"/>
  <c r="O199" i="16"/>
  <c r="I663" i="9"/>
  <c r="J663" i="9" s="1"/>
  <c r="C663" i="19" s="1"/>
  <c r="B803" i="20"/>
  <c r="AL803" i="20" s="1"/>
  <c r="B803" i="19"/>
  <c r="O605" i="16"/>
  <c r="K605" i="16"/>
  <c r="S605" i="16"/>
  <c r="B473" i="20"/>
  <c r="AL473" i="20" s="1"/>
  <c r="B473" i="19"/>
  <c r="H89" i="19"/>
  <c r="L89" i="19"/>
  <c r="K89" i="19"/>
  <c r="AV61" i="16"/>
  <c r="AU10" i="16"/>
  <c r="I347" i="20"/>
  <c r="L347" i="20"/>
  <c r="L808" i="19"/>
  <c r="K808" i="19"/>
  <c r="H808" i="19"/>
  <c r="L416" i="19"/>
  <c r="K416" i="19"/>
  <c r="H416" i="19"/>
  <c r="L185" i="20"/>
  <c r="I185" i="20"/>
  <c r="G228" i="8"/>
  <c r="G622" i="8"/>
  <c r="G721" i="8"/>
  <c r="G708" i="8"/>
  <c r="G796" i="8"/>
  <c r="G634" i="8"/>
  <c r="G604" i="8"/>
  <c r="G91" i="8"/>
  <c r="G403" i="8"/>
  <c r="G475" i="8"/>
  <c r="G478" i="8"/>
  <c r="G555" i="8"/>
  <c r="G471" i="8"/>
  <c r="G380" i="8"/>
  <c r="G335" i="8"/>
  <c r="G645" i="8"/>
  <c r="G30" i="8"/>
  <c r="G702" i="8"/>
  <c r="G436" i="8"/>
  <c r="G511" i="8"/>
  <c r="G560" i="8"/>
  <c r="G365" i="8"/>
  <c r="G670" i="8"/>
  <c r="G33" i="8"/>
  <c r="G496" i="8"/>
  <c r="G747" i="8"/>
  <c r="G817" i="8"/>
  <c r="G749" i="8"/>
  <c r="G387" i="8"/>
  <c r="G274" i="8"/>
  <c r="G766" i="8"/>
  <c r="G79" i="8"/>
  <c r="G666" i="8"/>
  <c r="G98" i="8"/>
  <c r="G342" i="8"/>
  <c r="G88" i="8"/>
  <c r="G42" i="8"/>
  <c r="G573" i="8"/>
  <c r="G206" i="8"/>
  <c r="G455" i="8"/>
  <c r="G771" i="8"/>
  <c r="G163" i="8"/>
  <c r="G131" i="8"/>
  <c r="G154" i="8"/>
  <c r="G182" i="8"/>
  <c r="G453" i="8"/>
  <c r="G607" i="8"/>
  <c r="G134" i="8"/>
  <c r="G446" i="8"/>
  <c r="G781" i="8"/>
  <c r="G368" i="8"/>
  <c r="G820" i="8"/>
  <c r="G653" i="8"/>
  <c r="G484" i="8"/>
  <c r="G179" i="8"/>
  <c r="G519" i="8"/>
  <c r="G309" i="8"/>
  <c r="G355" i="8"/>
  <c r="G407" i="8"/>
  <c r="G247" i="8"/>
  <c r="G7" i="8"/>
  <c r="G770" i="8"/>
  <c r="G48" i="8"/>
  <c r="G124" i="8"/>
  <c r="G378" i="8"/>
  <c r="G509" i="8"/>
  <c r="G191" i="8"/>
  <c r="G57" i="8"/>
  <c r="G315" i="8"/>
  <c r="G202" i="8"/>
  <c r="G425" i="8"/>
  <c r="G456" i="8"/>
  <c r="G516" i="8"/>
  <c r="G687" i="8"/>
  <c r="G171" i="8"/>
  <c r="G578" i="8"/>
  <c r="G683" i="8"/>
  <c r="G300" i="8"/>
  <c r="G743" i="8"/>
  <c r="G774" i="8"/>
  <c r="G323" i="8"/>
  <c r="G235" i="8"/>
  <c r="G777" i="8"/>
  <c r="G460" i="8"/>
  <c r="G157" i="8"/>
  <c r="G675" i="8"/>
  <c r="G260" i="8"/>
  <c r="G709" i="8"/>
  <c r="G295" i="8"/>
  <c r="G5" i="8"/>
  <c r="G615" i="8"/>
  <c r="G526" i="8"/>
  <c r="G662" i="8"/>
  <c r="G350" i="8"/>
  <c r="G90" i="8"/>
  <c r="G94" i="8"/>
  <c r="G821" i="8"/>
  <c r="G591" i="8"/>
  <c r="G242" i="8"/>
  <c r="G427" i="8"/>
  <c r="G583" i="8"/>
  <c r="G164" i="8"/>
  <c r="G528" i="8"/>
  <c r="G358" i="8"/>
  <c r="G189" i="8"/>
  <c r="G285" i="8"/>
  <c r="G691" i="8"/>
  <c r="G699" i="8"/>
  <c r="G267" i="8"/>
  <c r="G722" i="8"/>
  <c r="G474" i="8"/>
  <c r="G433" i="8"/>
  <c r="G10" i="8"/>
  <c r="G751" i="8"/>
  <c r="G305" i="8"/>
  <c r="G338" i="8"/>
  <c r="G391" i="8"/>
  <c r="G465" i="8"/>
  <c r="G325" i="8"/>
  <c r="G118" i="8"/>
  <c r="G29" i="8"/>
  <c r="G411" i="8"/>
  <c r="G111" i="8"/>
  <c r="G308" i="8"/>
  <c r="G445" i="8"/>
  <c r="G608" i="8"/>
  <c r="G362" i="8"/>
  <c r="G245" i="8"/>
  <c r="G12" i="8"/>
  <c r="G463" i="8"/>
  <c r="G763" i="8"/>
  <c r="G498" i="8"/>
  <c r="G52" i="8"/>
  <c r="G787" i="8"/>
  <c r="G138" i="8"/>
  <c r="G524" i="8"/>
  <c r="G38" i="8"/>
  <c r="G554" i="8"/>
  <c r="G184" i="8"/>
  <c r="G255" i="8"/>
  <c r="G151" i="8"/>
  <c r="G167" i="8"/>
  <c r="G398" i="8"/>
  <c r="G279" i="8"/>
  <c r="G508" i="8"/>
  <c r="G600" i="8"/>
  <c r="G505" i="8"/>
  <c r="G345" i="8"/>
  <c r="G782" i="8"/>
  <c r="G638" i="8"/>
  <c r="G114" i="8"/>
  <c r="G45" i="8"/>
  <c r="G740" i="8"/>
  <c r="G72" i="8"/>
  <c r="G388" i="8"/>
  <c r="G122" i="8"/>
  <c r="G426" i="8"/>
  <c r="G236" i="8"/>
  <c r="G115" i="8"/>
  <c r="G688" i="8"/>
  <c r="G597" i="8"/>
  <c r="G80" i="8"/>
  <c r="G44" i="8"/>
  <c r="G50" i="8"/>
  <c r="G525" i="8"/>
  <c r="G81" i="8"/>
  <c r="G793" i="8"/>
  <c r="G275" i="8"/>
  <c r="G732" i="8"/>
  <c r="G592" i="8"/>
  <c r="G294" i="8"/>
  <c r="G271" i="8"/>
  <c r="G341" i="8"/>
  <c r="G65" i="8"/>
  <c r="G22" i="8"/>
  <c r="G735" i="8"/>
  <c r="G304" i="8"/>
  <c r="G668" i="8"/>
  <c r="G113" i="8"/>
  <c r="G611" i="8"/>
  <c r="G244" i="8"/>
  <c r="G298" i="8"/>
  <c r="G614" i="8"/>
  <c r="G82" i="8"/>
  <c r="G791" i="8"/>
  <c r="G698" i="8"/>
  <c r="G792" i="8"/>
  <c r="G71" i="8"/>
  <c r="G119" i="8"/>
  <c r="G644" i="8"/>
  <c r="G135" i="8"/>
  <c r="G545" i="8"/>
  <c r="G588" i="8"/>
  <c r="G609" i="8"/>
  <c r="G384" i="8"/>
  <c r="G596" i="8"/>
  <c r="G215" i="8"/>
  <c r="G405" i="8"/>
  <c r="G409" i="8"/>
  <c r="G232" i="8"/>
  <c r="G291" i="8"/>
  <c r="G251" i="8"/>
  <c r="G183" i="8"/>
  <c r="G67" i="8"/>
  <c r="G679" i="8"/>
  <c r="G759" i="8"/>
  <c r="G713" i="8"/>
  <c r="G198" i="8"/>
  <c r="G512" i="8"/>
  <c r="G252" i="8"/>
  <c r="G785" i="8"/>
  <c r="G755" i="8"/>
  <c r="G4" i="8"/>
  <c r="G60" i="8"/>
  <c r="G625" i="8"/>
  <c r="G810" i="8"/>
  <c r="G661" i="8"/>
  <c r="G758" i="8"/>
  <c r="G630" i="8"/>
  <c r="G180" i="8"/>
  <c r="G639" i="8"/>
  <c r="G263" i="8"/>
  <c r="G37" i="8"/>
  <c r="G731" i="8"/>
  <c r="G648" i="8"/>
  <c r="G742" i="8"/>
  <c r="G551" i="8"/>
  <c r="G150" i="8"/>
  <c r="G667" i="8"/>
  <c r="G130" i="8"/>
  <c r="G331" i="8"/>
  <c r="G303" i="8"/>
  <c r="G783" i="8"/>
  <c r="G201" i="8"/>
  <c r="G658" i="8"/>
  <c r="G105" i="8"/>
  <c r="G562" i="8"/>
  <c r="G581" i="8"/>
  <c r="G354" i="8"/>
  <c r="G377" i="8"/>
  <c r="G243" i="8"/>
  <c r="G278" i="8"/>
  <c r="G559" i="8"/>
  <c r="G805" i="8"/>
  <c r="G472" i="8"/>
  <c r="G718" i="8"/>
  <c r="G145" i="8"/>
  <c r="G482" i="8"/>
  <c r="G652" i="8"/>
  <c r="G402" i="8"/>
  <c r="G745" i="8"/>
  <c r="G582" i="8"/>
  <c r="G815" i="8"/>
  <c r="G172" i="8"/>
  <c r="G320" i="8"/>
  <c r="G671" i="8"/>
  <c r="G125" i="8"/>
  <c r="G431" i="8"/>
  <c r="G19" i="8"/>
  <c r="G678" i="8"/>
  <c r="G141" i="8"/>
  <c r="G41" i="8"/>
  <c r="G239" i="8"/>
  <c r="G210" i="8"/>
  <c r="G531" i="8"/>
  <c r="G595" i="8"/>
  <c r="G155" i="8"/>
  <c r="G449" i="8"/>
  <c r="G660" i="8"/>
  <c r="G361" i="8"/>
  <c r="G218" i="8"/>
  <c r="G321" i="8"/>
  <c r="G68" i="8"/>
  <c r="G112" i="8"/>
  <c r="G301" i="8"/>
  <c r="G819" i="8"/>
  <c r="G797" i="8"/>
  <c r="G385" i="8"/>
  <c r="G69" i="8"/>
  <c r="G133" i="8"/>
  <c r="G488" i="8"/>
  <c r="G444" i="8"/>
  <c r="G102" i="8"/>
  <c r="G564" i="8"/>
  <c r="G144" i="8"/>
  <c r="G515" i="8"/>
  <c r="G552" i="8"/>
  <c r="G542" i="8"/>
  <c r="G248" i="8"/>
  <c r="G121" i="8"/>
  <c r="G715" i="8"/>
  <c r="G422" i="8"/>
  <c r="G414" i="8"/>
  <c r="G352" i="8"/>
  <c r="G110" i="8"/>
  <c r="G461" i="8"/>
  <c r="G778" i="8"/>
  <c r="G502" i="8"/>
  <c r="G438" i="8"/>
  <c r="G240" i="8"/>
  <c r="G641" i="8"/>
  <c r="G339" i="8"/>
  <c r="G83" i="8"/>
  <c r="G272" i="8"/>
  <c r="G372" i="8"/>
  <c r="G213" i="8"/>
  <c r="G603" i="8"/>
  <c r="G775" i="8"/>
  <c r="G158" i="8"/>
  <c r="G379" i="8"/>
  <c r="G672" i="8"/>
  <c r="G282" i="8"/>
  <c r="G808" i="8"/>
  <c r="G649" i="8"/>
  <c r="G261" i="8"/>
  <c r="G569" i="8"/>
  <c r="G326" i="8"/>
  <c r="G162" i="8"/>
  <c r="G676" i="8"/>
  <c r="G767" i="8"/>
  <c r="G441" i="8"/>
  <c r="G585" i="8"/>
  <c r="G543" i="8"/>
  <c r="G396" i="8"/>
  <c r="G264" i="8"/>
  <c r="G86" i="8"/>
  <c r="G216" i="8"/>
  <c r="G429" i="8"/>
  <c r="G656" i="8"/>
  <c r="G637" i="8"/>
  <c r="G677" i="8"/>
  <c r="G539" i="8"/>
  <c r="G16" i="8"/>
  <c r="G312" i="8"/>
  <c r="G412" i="8"/>
  <c r="G695" i="8"/>
  <c r="G628" i="8"/>
  <c r="G779" i="8"/>
  <c r="G399" i="8"/>
  <c r="G54" i="8"/>
  <c r="G733" i="8"/>
  <c r="G801" i="8"/>
  <c r="G192" i="8"/>
  <c r="G313" i="8"/>
  <c r="G606" i="8"/>
  <c r="G535" i="8"/>
  <c r="G28" i="8"/>
  <c r="G63" i="8"/>
  <c r="G104" i="8"/>
  <c r="G823" i="8"/>
  <c r="G813" i="8"/>
  <c r="G546" i="8"/>
  <c r="G730" i="8"/>
  <c r="G152" i="8"/>
  <c r="G714" i="8"/>
  <c r="G748" i="8"/>
  <c r="G64" i="8"/>
  <c r="G149" i="8"/>
  <c r="G690" i="8"/>
  <c r="G366" i="8"/>
  <c r="G764" i="8"/>
  <c r="G205" i="8"/>
  <c r="G332" i="8"/>
  <c r="G586" i="8"/>
  <c r="G754" i="8"/>
  <c r="G547" i="8"/>
  <c r="G289" i="8"/>
  <c r="G188" i="8"/>
  <c r="G814" i="8"/>
  <c r="G643" i="8"/>
  <c r="G27" i="8"/>
  <c r="G602" i="8"/>
  <c r="G765" i="8"/>
  <c r="G504" i="8"/>
  <c r="G725" i="8"/>
  <c r="G364" i="8"/>
  <c r="G281" i="8"/>
  <c r="G410" i="8"/>
  <c r="G137" i="8"/>
  <c r="G318" i="8"/>
  <c r="G527" i="8"/>
  <c r="G32" i="8"/>
  <c r="G806" i="8"/>
  <c r="G489" i="8"/>
  <c r="G802" i="8"/>
  <c r="G769" i="8"/>
  <c r="G605" i="8"/>
  <c r="G346" i="8"/>
  <c r="G160" i="8"/>
  <c r="G442" i="8"/>
  <c r="G501" i="8"/>
  <c r="G599" i="8"/>
  <c r="G349" i="8"/>
  <c r="G8" i="8"/>
  <c r="G635" i="8"/>
  <c r="G579" i="8"/>
  <c r="G736" i="8"/>
  <c r="G470" i="8"/>
  <c r="G804" i="8"/>
  <c r="G87" i="8"/>
  <c r="G627" i="8"/>
  <c r="G168" i="8"/>
  <c r="G532" i="8"/>
  <c r="G311" i="8"/>
  <c r="G175" i="8"/>
  <c r="G36" i="8"/>
  <c r="G316" i="8"/>
  <c r="G459" i="8"/>
  <c r="G233" i="8"/>
  <c r="G85" i="8"/>
  <c r="G153" i="8"/>
  <c r="G479" i="8"/>
  <c r="G710" i="8"/>
  <c r="G193" i="8"/>
  <c r="G626" i="8"/>
  <c r="G700" i="8"/>
  <c r="G621" i="8"/>
  <c r="G682" i="8"/>
  <c r="G18" i="8"/>
  <c r="G383" i="8"/>
  <c r="G529" i="8"/>
  <c r="G776" i="8"/>
  <c r="G148" i="8"/>
  <c r="G741" i="8"/>
  <c r="G712" i="8"/>
  <c r="G566" i="8"/>
  <c r="G416" i="8"/>
  <c r="G760" i="8"/>
  <c r="G720" i="8"/>
  <c r="G222" i="8"/>
  <c r="G680" i="8"/>
  <c r="G497" i="8"/>
  <c r="G49" i="8"/>
  <c r="G480" i="8"/>
  <c r="G728" i="8"/>
  <c r="G55" i="8"/>
  <c r="G231" i="8"/>
  <c r="G571" i="8"/>
  <c r="G415" i="8"/>
  <c r="G795" i="8"/>
  <c r="G466" i="8"/>
  <c r="G286" i="8"/>
  <c r="G221" i="8"/>
  <c r="G707" i="8"/>
  <c r="G217" i="8"/>
  <c r="G818" i="8"/>
  <c r="G816" i="8"/>
  <c r="G490" i="8"/>
  <c r="G11" i="8"/>
  <c r="G220" i="8"/>
  <c r="G513" i="8"/>
  <c r="G762" i="8"/>
  <c r="G448" i="8"/>
  <c r="G371" i="8"/>
  <c r="G238" i="8"/>
  <c r="G548" i="8"/>
  <c r="G750" i="8"/>
  <c r="G265" i="8"/>
  <c r="G663" i="8"/>
  <c r="G619" i="8"/>
  <c r="G13" i="8"/>
  <c r="G674" i="8"/>
  <c r="G584" i="8"/>
  <c r="G540" i="8"/>
  <c r="G495" i="8"/>
  <c r="S536" i="16"/>
  <c r="O536" i="16"/>
  <c r="K536" i="16"/>
  <c r="AW3" i="10"/>
  <c r="AO3" i="10"/>
  <c r="R3" i="20" s="1"/>
  <c r="Y3" i="20" s="1"/>
  <c r="AS3" i="10"/>
  <c r="M295" i="19"/>
  <c r="I295" i="19"/>
  <c r="O808" i="16"/>
  <c r="S808" i="16"/>
  <c r="K808" i="16"/>
  <c r="I416" i="20"/>
  <c r="L416" i="20"/>
  <c r="K266" i="16"/>
  <c r="O266" i="16"/>
  <c r="S266" i="16"/>
  <c r="G486" i="8"/>
  <c r="G408" i="8"/>
  <c r="G640" i="8"/>
  <c r="G689" i="8"/>
  <c r="S497" i="16"/>
  <c r="O497" i="16"/>
  <c r="K497" i="16"/>
  <c r="K185" i="16"/>
  <c r="S185" i="16"/>
  <c r="O185" i="16"/>
  <c r="AS39" i="10"/>
  <c r="AO39" i="10"/>
  <c r="R39" i="20" s="1"/>
  <c r="Y39" i="20" s="1"/>
  <c r="AW39" i="10"/>
  <c r="I325" i="19"/>
  <c r="M325" i="19"/>
  <c r="K47" i="19"/>
  <c r="H47" i="19"/>
  <c r="L47" i="19"/>
  <c r="L230" i="19"/>
  <c r="H230" i="19"/>
  <c r="K230" i="19"/>
  <c r="AV48" i="16"/>
  <c r="AV60" i="16"/>
  <c r="AU21" i="16"/>
  <c r="AU9" i="16"/>
  <c r="AV4" i="16"/>
  <c r="AU49" i="16"/>
  <c r="AU22" i="16"/>
  <c r="O7" i="7"/>
  <c r="O11" i="7"/>
  <c r="O13" i="7"/>
  <c r="L689" i="20"/>
  <c r="I689" i="20"/>
  <c r="I681" i="20"/>
  <c r="L681" i="20"/>
  <c r="O394" i="16"/>
  <c r="S394" i="16"/>
  <c r="K394" i="16"/>
  <c r="L78" i="20"/>
  <c r="I78" i="20"/>
  <c r="AW59" i="10"/>
  <c r="AO59" i="10"/>
  <c r="R59" i="20" s="1"/>
  <c r="Y59" i="20" s="1"/>
  <c r="AS59" i="10"/>
  <c r="L488" i="19"/>
  <c r="K488" i="19"/>
  <c r="H488" i="19"/>
  <c r="K499" i="19"/>
  <c r="H499" i="19"/>
  <c r="L499" i="19"/>
  <c r="H332" i="19"/>
  <c r="L332" i="19"/>
  <c r="K332" i="19"/>
  <c r="L57" i="19"/>
  <c r="K57" i="19"/>
  <c r="H57" i="19"/>
  <c r="G756" i="8"/>
  <c r="I146" i="9"/>
  <c r="J146" i="9" s="1"/>
  <c r="C146" i="19" s="1"/>
  <c r="I35" i="20"/>
  <c r="L35" i="20"/>
  <c r="K310" i="16"/>
  <c r="O310" i="16"/>
  <c r="S310" i="16"/>
  <c r="G717" i="8"/>
  <c r="AQ43" i="19"/>
  <c r="AR43" i="19" s="1"/>
  <c r="L647" i="20"/>
  <c r="I647" i="20"/>
  <c r="O667" i="16"/>
  <c r="S667" i="16"/>
  <c r="K667" i="16"/>
  <c r="L542" i="19"/>
  <c r="K542" i="19"/>
  <c r="H542" i="19"/>
  <c r="I496" i="9"/>
  <c r="J496" i="9" s="1"/>
  <c r="C496" i="19" s="1"/>
  <c r="L257" i="19"/>
  <c r="K257" i="19"/>
  <c r="H257" i="19"/>
  <c r="B318" i="19"/>
  <c r="B318" i="20"/>
  <c r="AL318" i="20" s="1"/>
  <c r="I173" i="9"/>
  <c r="J173" i="9" s="1"/>
  <c r="C173" i="19" s="1"/>
  <c r="L82" i="20"/>
  <c r="I82" i="20"/>
  <c r="G477" i="8"/>
  <c r="I573" i="19"/>
  <c r="M573" i="19"/>
  <c r="K573" i="19"/>
  <c r="L90" i="19"/>
  <c r="K90" i="19"/>
  <c r="H90" i="19"/>
  <c r="G266" i="8"/>
  <c r="S55" i="16"/>
  <c r="O55" i="16"/>
  <c r="K55" i="16"/>
  <c r="O208" i="16"/>
  <c r="S208" i="16"/>
  <c r="K208" i="16"/>
  <c r="L195" i="20"/>
  <c r="I195" i="20"/>
  <c r="K246" i="19"/>
  <c r="H246" i="19"/>
  <c r="L246" i="19"/>
  <c r="O802" i="16"/>
  <c r="K802" i="16"/>
  <c r="S802" i="16"/>
  <c r="G27" i="18"/>
  <c r="AK66" i="16"/>
  <c r="P66" i="20"/>
  <c r="BF66" i="10"/>
  <c r="B137" i="20"/>
  <c r="AL137" i="20" s="1"/>
  <c r="B137" i="19"/>
  <c r="G58" i="8"/>
  <c r="G2" i="8"/>
  <c r="G772" i="8"/>
  <c r="G10" i="18"/>
  <c r="AK49" i="16"/>
  <c r="P49" i="20"/>
  <c r="BF49" i="10"/>
  <c r="O416" i="16"/>
  <c r="K416" i="16"/>
  <c r="S416" i="16"/>
  <c r="G21" i="8"/>
  <c r="AS34" i="10"/>
  <c r="AO34" i="10"/>
  <c r="R34" i="20" s="1"/>
  <c r="Y34" i="20" s="1"/>
  <c r="AW34" i="10"/>
  <c r="G556" i="8"/>
  <c r="L101" i="19"/>
  <c r="K101" i="19"/>
  <c r="H101" i="19"/>
  <c r="G84" i="8"/>
  <c r="L227" i="19"/>
  <c r="K227" i="19"/>
  <c r="H227" i="19"/>
  <c r="I131" i="9"/>
  <c r="J131" i="9" s="1"/>
  <c r="C131" i="19" s="1"/>
  <c r="G800" i="8"/>
  <c r="L566" i="19"/>
  <c r="K566" i="19"/>
  <c r="H566" i="19"/>
  <c r="H427" i="19"/>
  <c r="K427" i="19"/>
  <c r="L427" i="19"/>
  <c r="L47" i="20"/>
  <c r="I47" i="20"/>
  <c r="L230" i="20"/>
  <c r="I230" i="20"/>
  <c r="AU13" i="16"/>
  <c r="AU15" i="16"/>
  <c r="AV31" i="16"/>
  <c r="AV38" i="16"/>
  <c r="AV5" i="16"/>
  <c r="AU53" i="16"/>
  <c r="AU34" i="16"/>
  <c r="H479" i="19"/>
  <c r="L479" i="19"/>
  <c r="K479" i="19"/>
  <c r="H21" i="19"/>
  <c r="K21" i="19"/>
  <c r="L21" i="19"/>
  <c r="L681" i="19"/>
  <c r="K681" i="19"/>
  <c r="H681" i="19"/>
  <c r="G156" i="8"/>
  <c r="O78" i="16"/>
  <c r="K78" i="16"/>
  <c r="S78" i="16"/>
  <c r="I488" i="20"/>
  <c r="L488" i="20"/>
  <c r="H699" i="19"/>
  <c r="L699" i="19"/>
  <c r="K699" i="19"/>
  <c r="I499" i="20"/>
  <c r="L499" i="20"/>
  <c r="K332" i="16"/>
  <c r="S332" i="16"/>
  <c r="O332" i="16"/>
  <c r="I57" i="20"/>
  <c r="L57" i="20"/>
  <c r="G514" i="8"/>
  <c r="M146" i="19"/>
  <c r="I146" i="19"/>
  <c r="O35" i="16"/>
  <c r="K35" i="16"/>
  <c r="S35" i="16"/>
  <c r="G283" i="8"/>
  <c r="G437" i="8"/>
  <c r="K647" i="16"/>
  <c r="S647" i="16"/>
  <c r="O647" i="16"/>
  <c r="B330" i="20"/>
  <c r="AL330" i="20" s="1"/>
  <c r="B330" i="19"/>
  <c r="L518" i="19"/>
  <c r="K518" i="19"/>
  <c r="H518" i="19"/>
  <c r="G93" i="8"/>
  <c r="H236" i="19"/>
  <c r="L236" i="19"/>
  <c r="K236" i="19"/>
  <c r="S542" i="16"/>
  <c r="O542" i="16"/>
  <c r="K542" i="16"/>
  <c r="O257" i="16"/>
  <c r="K257" i="16"/>
  <c r="S257" i="16"/>
  <c r="L49" i="19"/>
  <c r="K49" i="19"/>
  <c r="H49" i="19"/>
  <c r="K799" i="19"/>
  <c r="L799" i="19"/>
  <c r="H799" i="19"/>
  <c r="H506" i="19"/>
  <c r="L506" i="19"/>
  <c r="K506" i="19"/>
  <c r="L446" i="20"/>
  <c r="I446" i="20"/>
  <c r="G328" i="8"/>
  <c r="L42" i="19"/>
  <c r="H42" i="19"/>
  <c r="K42" i="19"/>
  <c r="L356" i="19"/>
  <c r="K356" i="19"/>
  <c r="H356" i="19"/>
  <c r="H457" i="19"/>
  <c r="L457" i="19"/>
  <c r="K457" i="19"/>
  <c r="L90" i="20"/>
  <c r="I90" i="20"/>
  <c r="G706" i="8"/>
  <c r="K195" i="16"/>
  <c r="S195" i="16"/>
  <c r="O195" i="16"/>
  <c r="I246" i="20"/>
  <c r="L246" i="20"/>
  <c r="I802" i="20"/>
  <c r="L802" i="20"/>
  <c r="L777" i="19"/>
  <c r="K777" i="19"/>
  <c r="H777" i="19"/>
  <c r="G59" i="8"/>
  <c r="O9" i="16"/>
  <c r="K9" i="16"/>
  <c r="S9" i="16"/>
  <c r="S750" i="16"/>
  <c r="K750" i="16"/>
  <c r="O750" i="16"/>
  <c r="O83" i="16"/>
  <c r="K83" i="16"/>
  <c r="S83" i="16"/>
  <c r="L28" i="20"/>
  <c r="I28" i="20"/>
  <c r="G575" i="8"/>
  <c r="I279" i="9"/>
  <c r="J279" i="9" s="1"/>
  <c r="C279" i="19" s="1"/>
  <c r="S219" i="16"/>
  <c r="O219" i="16"/>
  <c r="K219" i="16"/>
  <c r="B253" i="20"/>
  <c r="AL253" i="20" s="1"/>
  <c r="B253" i="19"/>
  <c r="B606" i="20"/>
  <c r="AL606" i="20" s="1"/>
  <c r="B606" i="19"/>
  <c r="I461" i="19"/>
  <c r="M461" i="19"/>
  <c r="K461" i="19"/>
  <c r="H307" i="19"/>
  <c r="K307" i="19"/>
  <c r="L307" i="19"/>
  <c r="K782" i="16"/>
  <c r="O782" i="16"/>
  <c r="S782" i="16"/>
  <c r="I383" i="20"/>
  <c r="L383" i="20"/>
  <c r="G570" i="8"/>
  <c r="G120" i="8"/>
  <c r="B216" i="20"/>
  <c r="AL216" i="20" s="1"/>
  <c r="B216" i="19"/>
  <c r="J104" i="8"/>
  <c r="L107" i="20"/>
  <c r="I107" i="20"/>
  <c r="I655" i="19"/>
  <c r="M655" i="19"/>
  <c r="I315" i="19"/>
  <c r="M315" i="19"/>
  <c r="K315" i="19"/>
  <c r="B568" i="20"/>
  <c r="AL568" i="20" s="1"/>
  <c r="B568" i="19"/>
  <c r="O673" i="16"/>
  <c r="S673" i="16"/>
  <c r="K673" i="16"/>
  <c r="H8" i="19"/>
  <c r="L8" i="19"/>
  <c r="K8" i="19"/>
  <c r="I504" i="9"/>
  <c r="J504" i="9" s="1"/>
  <c r="C504" i="19" s="1"/>
  <c r="J222" i="8"/>
  <c r="L2" i="20"/>
  <c r="I2" i="20"/>
  <c r="L545" i="20"/>
  <c r="I545" i="20"/>
  <c r="L6" i="20"/>
  <c r="I6" i="20"/>
  <c r="H648" i="19"/>
  <c r="K648" i="19"/>
  <c r="L648" i="19"/>
  <c r="AV33" i="16"/>
  <c r="I96" i="20"/>
  <c r="L96" i="20"/>
  <c r="L639" i="20"/>
  <c r="I639" i="20"/>
  <c r="O343" i="16"/>
  <c r="S343" i="16"/>
  <c r="K343" i="16"/>
  <c r="L507" i="19"/>
  <c r="K507" i="19"/>
  <c r="H507" i="19"/>
  <c r="L363" i="19"/>
  <c r="K363" i="19"/>
  <c r="H363" i="19"/>
  <c r="S39" i="16"/>
  <c r="K39" i="16"/>
  <c r="O39" i="16"/>
  <c r="L220" i="20"/>
  <c r="I220" i="20"/>
  <c r="AQ50" i="19"/>
  <c r="AR50" i="19" s="1"/>
  <c r="L27" i="19"/>
  <c r="K27" i="19"/>
  <c r="H27" i="19"/>
  <c r="G18" i="18"/>
  <c r="AK57" i="16"/>
  <c r="P57" i="20"/>
  <c r="BF57" i="10"/>
  <c r="I222" i="9"/>
  <c r="J222" i="9" s="1"/>
  <c r="C222" i="19" s="1"/>
  <c r="B654" i="20"/>
  <c r="AL654" i="20" s="1"/>
  <c r="B654" i="19"/>
  <c r="AV2" i="16"/>
  <c r="H620" i="19"/>
  <c r="L620" i="19"/>
  <c r="K620" i="19"/>
  <c r="O453" i="16"/>
  <c r="K453" i="16"/>
  <c r="S453" i="16"/>
  <c r="I776" i="20"/>
  <c r="L776" i="20"/>
  <c r="AQ58" i="19"/>
  <c r="AR58" i="19" s="1"/>
  <c r="L89" i="20"/>
  <c r="I89" i="20"/>
  <c r="AQ16" i="19"/>
  <c r="AR16" i="19" s="1"/>
  <c r="M729" i="19"/>
  <c r="I729" i="19"/>
  <c r="B314" i="20"/>
  <c r="AL314" i="20" s="1"/>
  <c r="B314" i="19"/>
  <c r="L123" i="20"/>
  <c r="I123" i="20"/>
  <c r="O56" i="16"/>
  <c r="S56" i="16"/>
  <c r="K56" i="16"/>
  <c r="L367" i="19"/>
  <c r="K367" i="19"/>
  <c r="H367" i="19"/>
  <c r="L453" i="20"/>
  <c r="I453" i="20"/>
  <c r="L258" i="20"/>
  <c r="I258" i="20"/>
  <c r="I4" i="20"/>
  <c r="L4" i="20"/>
  <c r="K733" i="19"/>
  <c r="H733" i="19"/>
  <c r="L733" i="19"/>
  <c r="AV9" i="16"/>
  <c r="AR820" i="16"/>
  <c r="AR821" i="16"/>
  <c r="AR787" i="16"/>
  <c r="AR767" i="16"/>
  <c r="AR822" i="16"/>
  <c r="AR786" i="16"/>
  <c r="AR766" i="16"/>
  <c r="AR809" i="16"/>
  <c r="AR799" i="16"/>
  <c r="AR779" i="16"/>
  <c r="AR759" i="16"/>
  <c r="AR807" i="16"/>
  <c r="AR797" i="16"/>
  <c r="AR753" i="16"/>
  <c r="AR745" i="16"/>
  <c r="AR725" i="16"/>
  <c r="AR705" i="16"/>
  <c r="AR685" i="16"/>
  <c r="AR665" i="16"/>
  <c r="AR645" i="16"/>
  <c r="AR625" i="16"/>
  <c r="AR605" i="16"/>
  <c r="AR585" i="16"/>
  <c r="AR565" i="16"/>
  <c r="AR545" i="16"/>
  <c r="AR776" i="16"/>
  <c r="AR754" i="16"/>
  <c r="AR744" i="16"/>
  <c r="AR724" i="16"/>
  <c r="AR704" i="16"/>
  <c r="AR684" i="16"/>
  <c r="AR818" i="16"/>
  <c r="AR813" i="16"/>
  <c r="AR798" i="16"/>
  <c r="AR755" i="16"/>
  <c r="AR803" i="16"/>
  <c r="AR769" i="16"/>
  <c r="AR736" i="16"/>
  <c r="AR716" i="16"/>
  <c r="AR696" i="16"/>
  <c r="AR676" i="16"/>
  <c r="AR656" i="16"/>
  <c r="AR636" i="16"/>
  <c r="AR616" i="16"/>
  <c r="AR596" i="16"/>
  <c r="AR576" i="16"/>
  <c r="AR556" i="16"/>
  <c r="AR715" i="16"/>
  <c r="AR692" i="16"/>
  <c r="AR679" i="16"/>
  <c r="AR641" i="16"/>
  <c r="AR637" i="16"/>
  <c r="AR614" i="16"/>
  <c r="AR588" i="16"/>
  <c r="AR531" i="16"/>
  <c r="AR511" i="16"/>
  <c r="AR491" i="16"/>
  <c r="AR471" i="16"/>
  <c r="AR451" i="16"/>
  <c r="AR814" i="16"/>
  <c r="AR811" i="16"/>
  <c r="AR756" i="16"/>
  <c r="AR722" i="16"/>
  <c r="AR708" i="16"/>
  <c r="AR649" i="16"/>
  <c r="AR602" i="16"/>
  <c r="AR600" i="16"/>
  <c r="AR598" i="16"/>
  <c r="AR575" i="16"/>
  <c r="AR522" i="16"/>
  <c r="AR502" i="16"/>
  <c r="AR482" i="16"/>
  <c r="AR772" i="16"/>
  <c r="AR764" i="16"/>
  <c r="AR735" i="16"/>
  <c r="AR686" i="16"/>
  <c r="AR643" i="16"/>
  <c r="AR635" i="16"/>
  <c r="AR593" i="16"/>
  <c r="AR568" i="16"/>
  <c r="AR552" i="16"/>
  <c r="AR519" i="16"/>
  <c r="AR493" i="16"/>
  <c r="AR470" i="16"/>
  <c r="AR785" i="16"/>
  <c r="AR747" i="16"/>
  <c r="AR742" i="16"/>
  <c r="AR729" i="16"/>
  <c r="AR717" i="16"/>
  <c r="AR698" i="16"/>
  <c r="AR681" i="16"/>
  <c r="AR651" i="16"/>
  <c r="AR609" i="16"/>
  <c r="AR543" i="16"/>
  <c r="AR520" i="16"/>
  <c r="AR494" i="16"/>
  <c r="AR448" i="16"/>
  <c r="AR428" i="16"/>
  <c r="AR752" i="16"/>
  <c r="AR706" i="16"/>
  <c r="AR701" i="16"/>
  <c r="AR699" i="16"/>
  <c r="AR675" i="16"/>
  <c r="AR660" i="16"/>
  <c r="AR644" i="16"/>
  <c r="AR795" i="16"/>
  <c r="AR732" i="16"/>
  <c r="AR714" i="16"/>
  <c r="AR695" i="16"/>
  <c r="AR646" i="16"/>
  <c r="AR638" i="16"/>
  <c r="AR793" i="16"/>
  <c r="AR791" i="16"/>
  <c r="AR780" i="16"/>
  <c r="AR775" i="16"/>
  <c r="AR739" i="16"/>
  <c r="AR726" i="16"/>
  <c r="AR683" i="16"/>
  <c r="AR662" i="16"/>
  <c r="AR633" i="16"/>
  <c r="AR607" i="16"/>
  <c r="AR550" i="16"/>
  <c r="AR541" i="16"/>
  <c r="AR487" i="16"/>
  <c r="AR479" i="16"/>
  <c r="AR460" i="16"/>
  <c r="AR415" i="16"/>
  <c r="AR395" i="16"/>
  <c r="AR375" i="16"/>
  <c r="AR355" i="16"/>
  <c r="AR819" i="16"/>
  <c r="AR800" i="16"/>
  <c r="AR761" i="16"/>
  <c r="AR743" i="16"/>
  <c r="AR723" i="16"/>
  <c r="AR713" i="16"/>
  <c r="AR700" i="16"/>
  <c r="AR693" i="16"/>
  <c r="AR669" i="16"/>
  <c r="AR658" i="16"/>
  <c r="AR612" i="16"/>
  <c r="AR603" i="16"/>
  <c r="AR518" i="16"/>
  <c r="AR414" i="16"/>
  <c r="AR394" i="16"/>
  <c r="AR374" i="16"/>
  <c r="AR354" i="16"/>
  <c r="AR789" i="16"/>
  <c r="AR773" i="16"/>
  <c r="AR740" i="16"/>
  <c r="AR720" i="16"/>
  <c r="AR680" i="16"/>
  <c r="AR655" i="16"/>
  <c r="AR629" i="16"/>
  <c r="AR622" i="16"/>
  <c r="AR586" i="16"/>
  <c r="AR577" i="16"/>
  <c r="AR495" i="16"/>
  <c r="AR488" i="16"/>
  <c r="AR480" i="16"/>
  <c r="AR792" i="16"/>
  <c r="AR741" i="16"/>
  <c r="AR737" i="16"/>
  <c r="AR734" i="16"/>
  <c r="AR674" i="16"/>
  <c r="AR587" i="16"/>
  <c r="AR583" i="16"/>
  <c r="AR578" i="16"/>
  <c r="AR536" i="16"/>
  <c r="AR507" i="16"/>
  <c r="AR506" i="16"/>
  <c r="AR806" i="16"/>
  <c r="AR750" i="16"/>
  <c r="AR719" i="16"/>
  <c r="AR709" i="16"/>
  <c r="AR623" i="16"/>
  <c r="AR591" i="16"/>
  <c r="AR570" i="16"/>
  <c r="AR562" i="16"/>
  <c r="AR542" i="16"/>
  <c r="AR509" i="16"/>
  <c r="AR484" i="16"/>
  <c r="AR439" i="16"/>
  <c r="AR429" i="16"/>
  <c r="AR372" i="16"/>
  <c r="AR369" i="16"/>
  <c r="AR368" i="16"/>
  <c r="AR346" i="16"/>
  <c r="AR335" i="16"/>
  <c r="AR315" i="16"/>
  <c r="AR295" i="16"/>
  <c r="AR275" i="16"/>
  <c r="AR255" i="16"/>
  <c r="AR235" i="16"/>
  <c r="AR215" i="16"/>
  <c r="AR195" i="16"/>
  <c r="AR817" i="16"/>
  <c r="AR783" i="16"/>
  <c r="AR760" i="16"/>
  <c r="AR748" i="16"/>
  <c r="AR657" i="16"/>
  <c r="AR634" i="16"/>
  <c r="AR631" i="16"/>
  <c r="AR505" i="16"/>
  <c r="AR497" i="16"/>
  <c r="AR489" i="16"/>
  <c r="AR476" i="16"/>
  <c r="AR447" i="16"/>
  <c r="AR373" i="16"/>
  <c r="AR351" i="16"/>
  <c r="AR350" i="16"/>
  <c r="AR347" i="16"/>
  <c r="AR334" i="16"/>
  <c r="AR314" i="16"/>
  <c r="AR294" i="16"/>
  <c r="AR274" i="16"/>
  <c r="AR254" i="16"/>
  <c r="AR234" i="16"/>
  <c r="AR214" i="16"/>
  <c r="AR194" i="16"/>
  <c r="AR781" i="16"/>
  <c r="AR746" i="16"/>
  <c r="AR673" i="16"/>
  <c r="AR652" i="16"/>
  <c r="AR639" i="16"/>
  <c r="AR597" i="16"/>
  <c r="AR580" i="16"/>
  <c r="AR516" i="16"/>
  <c r="AR468" i="16"/>
  <c r="AR463" i="16"/>
  <c r="AR458" i="16"/>
  <c r="AR453" i="16"/>
  <c r="AR440" i="16"/>
  <c r="AR417" i="16"/>
  <c r="AR353" i="16"/>
  <c r="AR332" i="16"/>
  <c r="AR312" i="16"/>
  <c r="AR292" i="16"/>
  <c r="AR272" i="16"/>
  <c r="AR801" i="16"/>
  <c r="AR678" i="16"/>
  <c r="AR624" i="16"/>
  <c r="AR604" i="16"/>
  <c r="AR563" i="16"/>
  <c r="AR503" i="16"/>
  <c r="AR469" i="16"/>
  <c r="AR442" i="16"/>
  <c r="AR423" i="16"/>
  <c r="AR401" i="16"/>
  <c r="AR788" i="16"/>
  <c r="AR718" i="16"/>
  <c r="AR670" i="16"/>
  <c r="AR653" i="16"/>
  <c r="AR594" i="16"/>
  <c r="AR574" i="16"/>
  <c r="AR558" i="16"/>
  <c r="AR527" i="16"/>
  <c r="AR492" i="16"/>
  <c r="AR443" i="16"/>
  <c r="AR400" i="16"/>
  <c r="AR385" i="16"/>
  <c r="AR380" i="16"/>
  <c r="AR367" i="16"/>
  <c r="AR362" i="16"/>
  <c r="AR338" i="16"/>
  <c r="AR327" i="16"/>
  <c r="AR305" i="16"/>
  <c r="AR262" i="16"/>
  <c r="AR240" i="16"/>
  <c r="AR733" i="16"/>
  <c r="AR687" i="16"/>
  <c r="AR666" i="16"/>
  <c r="AR664" i="16"/>
  <c r="AR632" i="16"/>
  <c r="AR601" i="16"/>
  <c r="AR592" i="16"/>
  <c r="AR581" i="16"/>
  <c r="AR572" i="16"/>
  <c r="AR530" i="16"/>
  <c r="AR524" i="16"/>
  <c r="AR501" i="16"/>
  <c r="AR490" i="16"/>
  <c r="AR473" i="16"/>
  <c r="AR465" i="16"/>
  <c r="AR450" i="16"/>
  <c r="AR419" i="16"/>
  <c r="AR391" i="16"/>
  <c r="AR357" i="16"/>
  <c r="AR328" i="16"/>
  <c r="AR317" i="16"/>
  <c r="AR284" i="16"/>
  <c r="AR241" i="16"/>
  <c r="AR219" i="16"/>
  <c r="AR197" i="16"/>
  <c r="AR180" i="16"/>
  <c r="AR160" i="16"/>
  <c r="AR140" i="16"/>
  <c r="AR815" i="16"/>
  <c r="AR778" i="16"/>
  <c r="AR771" i="16"/>
  <c r="AR758" i="16"/>
  <c r="AR702" i="16"/>
  <c r="AR668" i="16"/>
  <c r="AR647" i="16"/>
  <c r="AR812" i="16"/>
  <c r="AR762" i="16"/>
  <c r="AR731" i="16"/>
  <c r="AR721" i="16"/>
  <c r="AR567" i="16"/>
  <c r="AR514" i="16"/>
  <c r="AR459" i="16"/>
  <c r="AR456" i="16"/>
  <c r="AR436" i="16"/>
  <c r="AR432" i="16"/>
  <c r="AR345" i="16"/>
  <c r="AR331" i="16"/>
  <c r="AR318" i="16"/>
  <c r="AR307" i="16"/>
  <c r="AR285" i="16"/>
  <c r="AR243" i="16"/>
  <c r="AR690" i="16"/>
  <c r="AR606" i="16"/>
  <c r="AR525" i="16"/>
  <c r="AR517" i="16"/>
  <c r="AR512" i="16"/>
  <c r="AR496" i="16"/>
  <c r="AR474" i="16"/>
  <c r="AR466" i="16"/>
  <c r="AR454" i="16"/>
  <c r="AR376" i="16"/>
  <c r="AR321" i="16"/>
  <c r="AR291" i="16"/>
  <c r="AR278" i="16"/>
  <c r="AR267" i="16"/>
  <c r="AR253" i="16"/>
  <c r="AR231" i="16"/>
  <c r="AR230" i="16"/>
  <c r="AR227" i="16"/>
  <c r="AR205" i="16"/>
  <c r="AR757" i="16"/>
  <c r="AR661" i="16"/>
  <c r="AR630" i="16"/>
  <c r="AR590" i="16"/>
  <c r="AR561" i="16"/>
  <c r="AR559" i="16"/>
  <c r="AR546" i="16"/>
  <c r="AR478" i="16"/>
  <c r="AR467" i="16"/>
  <c r="AR431" i="16"/>
  <c r="AR396" i="16"/>
  <c r="AR384" i="16"/>
  <c r="AR378" i="16"/>
  <c r="AR356" i="16"/>
  <c r="AR299" i="16"/>
  <c r="AR279" i="16"/>
  <c r="AR239" i="16"/>
  <c r="AR808" i="16"/>
  <c r="AR619" i="16"/>
  <c r="AR462" i="16"/>
  <c r="AR449" i="16"/>
  <c r="AR434" i="16"/>
  <c r="AR405" i="16"/>
  <c r="AR387" i="16"/>
  <c r="AR349" i="16"/>
  <c r="AR303" i="16"/>
  <c r="AR249" i="16"/>
  <c r="AR225" i="16"/>
  <c r="AR211" i="16"/>
  <c r="AR202" i="16"/>
  <c r="AR751" i="16"/>
  <c r="AR663" i="16"/>
  <c r="AR538" i="16"/>
  <c r="AR420" i="16"/>
  <c r="AR336" i="16"/>
  <c r="AR287" i="16"/>
  <c r="AR244" i="16"/>
  <c r="AR218" i="16"/>
  <c r="AR777" i="16"/>
  <c r="AR727" i="16"/>
  <c r="AR677" i="16"/>
  <c r="AR608" i="16"/>
  <c r="AR406" i="16"/>
  <c r="AR325" i="16"/>
  <c r="AR310" i="16"/>
  <c r="AR289" i="16"/>
  <c r="AR273" i="16"/>
  <c r="AR269" i="16"/>
  <c r="AR260" i="16"/>
  <c r="AR198" i="16"/>
  <c r="AR626" i="16"/>
  <c r="AR611" i="16"/>
  <c r="AR553" i="16"/>
  <c r="AR534" i="16"/>
  <c r="AR477" i="16"/>
  <c r="AR446" i="16"/>
  <c r="AR316" i="16"/>
  <c r="AR311" i="16"/>
  <c r="AR264" i="16"/>
  <c r="AR223" i="16"/>
  <c r="AR192" i="16"/>
  <c r="AR181" i="16"/>
  <c r="AR118" i="16"/>
  <c r="AR98" i="16"/>
  <c r="AR613" i="16"/>
  <c r="AR540" i="16"/>
  <c r="AR452" i="16"/>
  <c r="AR416" i="16"/>
  <c r="AR393" i="16"/>
  <c r="AR381" i="16"/>
  <c r="AR366" i="16"/>
  <c r="AR326" i="16"/>
  <c r="AR300" i="16"/>
  <c r="AR238" i="16"/>
  <c r="AR233" i="16"/>
  <c r="AR209" i="16"/>
  <c r="AR182" i="16"/>
  <c r="AR161" i="16"/>
  <c r="AR711" i="16"/>
  <c r="AR650" i="16"/>
  <c r="AR642" i="16"/>
  <c r="AR582" i="16"/>
  <c r="AR412" i="16"/>
  <c r="AR281" i="16"/>
  <c r="AR259" i="16"/>
  <c r="AR256" i="16"/>
  <c r="AR220" i="16"/>
  <c r="AR183" i="16"/>
  <c r="AR162" i="16"/>
  <c r="AR765" i="16"/>
  <c r="AR560" i="16"/>
  <c r="AR555" i="16"/>
  <c r="AR513" i="16"/>
  <c r="AR498" i="16"/>
  <c r="AR421" i="16"/>
  <c r="AR407" i="16"/>
  <c r="AR388" i="16"/>
  <c r="AR379" i="16"/>
  <c r="AR333" i="16"/>
  <c r="AR728" i="16"/>
  <c r="AR689" i="16"/>
  <c r="AR654" i="16"/>
  <c r="AR620" i="16"/>
  <c r="AR589" i="16"/>
  <c r="AR528" i="16"/>
  <c r="AR398" i="16"/>
  <c r="AR796" i="16"/>
  <c r="AR712" i="16"/>
  <c r="AR610" i="16"/>
  <c r="AR438" i="16"/>
  <c r="AR418" i="16"/>
  <c r="AR413" i="16"/>
  <c r="AR403" i="16"/>
  <c r="AR397" i="16"/>
  <c r="AR313" i="16"/>
  <c r="AR224" i="16"/>
  <c r="AR188" i="16"/>
  <c r="AR145" i="16"/>
  <c r="AR770" i="16"/>
  <c r="AR763" i="16"/>
  <c r="AR738" i="16"/>
  <c r="AR648" i="16"/>
  <c r="AR627" i="16"/>
  <c r="AR571" i="16"/>
  <c r="AR426" i="16"/>
  <c r="AR422" i="16"/>
  <c r="AR399" i="16"/>
  <c r="AR392" i="16"/>
  <c r="AR389" i="16"/>
  <c r="AR319" i="16"/>
  <c r="AR304" i="16"/>
  <c r="AR268" i="16"/>
  <c r="AR265" i="16"/>
  <c r="AR263" i="16"/>
  <c r="AR246" i="16"/>
  <c r="AR237" i="16"/>
  <c r="AR200" i="16"/>
  <c r="AR166" i="16"/>
  <c r="AR146" i="16"/>
  <c r="AR621" i="16"/>
  <c r="AR504" i="16"/>
  <c r="AR424" i="16"/>
  <c r="AR323" i="16"/>
  <c r="AR271" i="16"/>
  <c r="AR252" i="16"/>
  <c r="AR172" i="16"/>
  <c r="AR147" i="16"/>
  <c r="AR70" i="16"/>
  <c r="AR64" i="16"/>
  <c r="AR62" i="16"/>
  <c r="AR60" i="16"/>
  <c r="AR804" i="16"/>
  <c r="AR671" i="16"/>
  <c r="AR659" i="16"/>
  <c r="AR615" i="16"/>
  <c r="AR579" i="16"/>
  <c r="AR551" i="16"/>
  <c r="AR548" i="16"/>
  <c r="AR535" i="16"/>
  <c r="AR532" i="16"/>
  <c r="AR464" i="16"/>
  <c r="AR382" i="16"/>
  <c r="AR361" i="16"/>
  <c r="AR340" i="16"/>
  <c r="AR330" i="16"/>
  <c r="AR298" i="16"/>
  <c r="AR286" i="16"/>
  <c r="AR222" i="16"/>
  <c r="AR203" i="16"/>
  <c r="AR149" i="16"/>
  <c r="AR117" i="16"/>
  <c r="AR116" i="16"/>
  <c r="AR115" i="16"/>
  <c r="AR114" i="16"/>
  <c r="AR57" i="16"/>
  <c r="AR618" i="16"/>
  <c r="AR539" i="16"/>
  <c r="AR358" i="16"/>
  <c r="AR344" i="16"/>
  <c r="AR280" i="16"/>
  <c r="AR250" i="16"/>
  <c r="AR784" i="16"/>
  <c r="AR710" i="16"/>
  <c r="AR672" i="16"/>
  <c r="AR566" i="16"/>
  <c r="AR557" i="16"/>
  <c r="AR481" i="16"/>
  <c r="AR461" i="16"/>
  <c r="AR455" i="16"/>
  <c r="AR364" i="16"/>
  <c r="AR341" i="16"/>
  <c r="AR297" i="16"/>
  <c r="AR212" i="16"/>
  <c r="AR177" i="16"/>
  <c r="AR169" i="16"/>
  <c r="AR163" i="16"/>
  <c r="AR142" i="16"/>
  <c r="AR111" i="16"/>
  <c r="AR101" i="16"/>
  <c r="AR17" i="16"/>
  <c r="AR14" i="16"/>
  <c r="AR472" i="16"/>
  <c r="AR445" i="16"/>
  <c r="AR257" i="16"/>
  <c r="AR247" i="16"/>
  <c r="AR232" i="16"/>
  <c r="AR189" i="16"/>
  <c r="AR157" i="16"/>
  <c r="AR152" i="16"/>
  <c r="AR136" i="16"/>
  <c r="AR125" i="16"/>
  <c r="AR119" i="16"/>
  <c r="AR91" i="16"/>
  <c r="AR81" i="16"/>
  <c r="AR65" i="16"/>
  <c r="AR51" i="16"/>
  <c r="AR44" i="16"/>
  <c r="AR31" i="16"/>
  <c r="AR640" i="16"/>
  <c r="AR584" i="16"/>
  <c r="AR569" i="16"/>
  <c r="AR554" i="16"/>
  <c r="AR320" i="16"/>
  <c r="AR245" i="16"/>
  <c r="AR112" i="16"/>
  <c r="AR102" i="16"/>
  <c r="AR55" i="16"/>
  <c r="AR544" i="16"/>
  <c r="AR529" i="16"/>
  <c r="AR475" i="16"/>
  <c r="AR371" i="16"/>
  <c r="AR301" i="16"/>
  <c r="AR547" i="16"/>
  <c r="AR521" i="16"/>
  <c r="AR236" i="16"/>
  <c r="AR210" i="16"/>
  <c r="AR186" i="16"/>
  <c r="AR153" i="16"/>
  <c r="AR137" i="16"/>
  <c r="AR120" i="16"/>
  <c r="AR103" i="16"/>
  <c r="AR93" i="16"/>
  <c r="AR19" i="16"/>
  <c r="AR730" i="16"/>
  <c r="AR348" i="16"/>
  <c r="AR277" i="16"/>
  <c r="AR229" i="16"/>
  <c r="AR221" i="16"/>
  <c r="AR187" i="16"/>
  <c r="AR170" i="16"/>
  <c r="AR164" i="16"/>
  <c r="AR127" i="16"/>
  <c r="AR96" i="16"/>
  <c r="AR85" i="16"/>
  <c r="AR74" i="16"/>
  <c r="AR46" i="16"/>
  <c r="AR33" i="16"/>
  <c r="AR515" i="16"/>
  <c r="AR435" i="16"/>
  <c r="AR377" i="16"/>
  <c r="AR359" i="16"/>
  <c r="AR339" i="16"/>
  <c r="AR178" i="16"/>
  <c r="AR133" i="16"/>
  <c r="AR99" i="16"/>
  <c r="AR95" i="16"/>
  <c r="AR76" i="16"/>
  <c r="AR53" i="16"/>
  <c r="AR30" i="16"/>
  <c r="AR29" i="16"/>
  <c r="AR24" i="16"/>
  <c r="AR749" i="16"/>
  <c r="AR154" i="16"/>
  <c r="AR151" i="16"/>
  <c r="AR107" i="16"/>
  <c r="AR83" i="16"/>
  <c r="AR79" i="16"/>
  <c r="AR72" i="16"/>
  <c r="AR67" i="16"/>
  <c r="AR54" i="16"/>
  <c r="AR52" i="16"/>
  <c r="AR35" i="16"/>
  <c r="AR32" i="16"/>
  <c r="AR28" i="16"/>
  <c r="AR25" i="16"/>
  <c r="AR768" i="16"/>
  <c r="AR207" i="16"/>
  <c r="AR193" i="16"/>
  <c r="AR165" i="16"/>
  <c r="AR159" i="16"/>
  <c r="AR87" i="16"/>
  <c r="AR12" i="16"/>
  <c r="AR404" i="16"/>
  <c r="AR342" i="16"/>
  <c r="AR226" i="16"/>
  <c r="AR816" i="16"/>
  <c r="AR485" i="16"/>
  <c r="AR441" i="16"/>
  <c r="AR383" i="16"/>
  <c r="AR322" i="16"/>
  <c r="AR308" i="16"/>
  <c r="AR270" i="16"/>
  <c r="AR174" i="16"/>
  <c r="AR128" i="16"/>
  <c r="AR100" i="16"/>
  <c r="AR56" i="16"/>
  <c r="AR22" i="16"/>
  <c r="AR810" i="16"/>
  <c r="AR667" i="16"/>
  <c r="AR430" i="16"/>
  <c r="AR409" i="16"/>
  <c r="AR290" i="16"/>
  <c r="AR199" i="16"/>
  <c r="AR190" i="16"/>
  <c r="AR179" i="16"/>
  <c r="AR135" i="16"/>
  <c r="AR126" i="16"/>
  <c r="AR69" i="16"/>
  <c r="AR599" i="16"/>
  <c r="AR595" i="16"/>
  <c r="AR352" i="16"/>
  <c r="AR329" i="16"/>
  <c r="AR266" i="16"/>
  <c r="AR191" i="16"/>
  <c r="AR156" i="16"/>
  <c r="AR122" i="16"/>
  <c r="AR113" i="16"/>
  <c r="AR90" i="16"/>
  <c r="AR15" i="16"/>
  <c r="AR790" i="16"/>
  <c r="AR486" i="16"/>
  <c r="AR296" i="16"/>
  <c r="AR248" i="16"/>
  <c r="AR242" i="16"/>
  <c r="AR171" i="16"/>
  <c r="AR63" i="16"/>
  <c r="AR50" i="16"/>
  <c r="AR36" i="16"/>
  <c r="AR16" i="16"/>
  <c r="AR500" i="16"/>
  <c r="AR386" i="16"/>
  <c r="AR309" i="16"/>
  <c r="AR217" i="16"/>
  <c r="AR175" i="16"/>
  <c r="AR168" i="16"/>
  <c r="AR144" i="16"/>
  <c r="AR73" i="16"/>
  <c r="AR697" i="16"/>
  <c r="AR306" i="16"/>
  <c r="AR173" i="16"/>
  <c r="AR158" i="16"/>
  <c r="AR45" i="16"/>
  <c r="AR703" i="16"/>
  <c r="AR628" i="16"/>
  <c r="AR499" i="16"/>
  <c r="AR196" i="16"/>
  <c r="AR123" i="16"/>
  <c r="AR104" i="16"/>
  <c r="AR78" i="16"/>
  <c r="AR71" i="16"/>
  <c r="AR42" i="16"/>
  <c r="AR707" i="16"/>
  <c r="AR573" i="16"/>
  <c r="AR86" i="16"/>
  <c r="AR47" i="16"/>
  <c r="AR802" i="16"/>
  <c r="AR138" i="16"/>
  <c r="AR94" i="16"/>
  <c r="AR533" i="16"/>
  <c r="AR433" i="16"/>
  <c r="AR363" i="16"/>
  <c r="AR88" i="16"/>
  <c r="AR537" i="16"/>
  <c r="AR437" i="16"/>
  <c r="AR213" i="16"/>
  <c r="AR92" i="16"/>
  <c r="AR84" i="16"/>
  <c r="AR23" i="16"/>
  <c r="AR549" i="16"/>
  <c r="AR444" i="16"/>
  <c r="AR293" i="16"/>
  <c r="AR204" i="16"/>
  <c r="AR131" i="16"/>
  <c r="AR129" i="16"/>
  <c r="AR82" i="16"/>
  <c r="AR59" i="16"/>
  <c r="AR782" i="16"/>
  <c r="AR774" i="16"/>
  <c r="AR343" i="16"/>
  <c r="AR283" i="16"/>
  <c r="AR216" i="16"/>
  <c r="AR201" i="16"/>
  <c r="AR80" i="16"/>
  <c r="AR40" i="16"/>
  <c r="AR26" i="16"/>
  <c r="AR282" i="16"/>
  <c r="AR155" i="16"/>
  <c r="AR89" i="16"/>
  <c r="AR38" i="16"/>
  <c r="AR688" i="16"/>
  <c r="AR370" i="16"/>
  <c r="AR360" i="16"/>
  <c r="AR141" i="16"/>
  <c r="AR108" i="16"/>
  <c r="AR48" i="16"/>
  <c r="AR41" i="16"/>
  <c r="AR13" i="16"/>
  <c r="AR805" i="16"/>
  <c r="AR61" i="16"/>
  <c r="AR20" i="16"/>
  <c r="AR11" i="16"/>
  <c r="AR523" i="16"/>
  <c r="AR410" i="16"/>
  <c r="AR34" i="16"/>
  <c r="AR510" i="16"/>
  <c r="AR402" i="16"/>
  <c r="AR390" i="16"/>
  <c r="AR110" i="16"/>
  <c r="AR77" i="16"/>
  <c r="AR43" i="16"/>
  <c r="AR148" i="16"/>
  <c r="AR66" i="16"/>
  <c r="AR427" i="16"/>
  <c r="AR365" i="16"/>
  <c r="AR258" i="16"/>
  <c r="AR206" i="16"/>
  <c r="AR617" i="16"/>
  <c r="AR68" i="16"/>
  <c r="AR10" i="16"/>
  <c r="AR261" i="16"/>
  <c r="AR228" i="16"/>
  <c r="AR134" i="16"/>
  <c r="AR37" i="16"/>
  <c r="AR49" i="16"/>
  <c r="AR682" i="16"/>
  <c r="AR124" i="16"/>
  <c r="AR508" i="16"/>
  <c r="AR143" i="16"/>
  <c r="AR121" i="16"/>
  <c r="AR302" i="16"/>
  <c r="AR109" i="16"/>
  <c r="AR58" i="16"/>
  <c r="AR276" i="16"/>
  <c r="AR408" i="16"/>
  <c r="AR106" i="16"/>
  <c r="AR27" i="16"/>
  <c r="AR21" i="16"/>
  <c r="AR150" i="16"/>
  <c r="AR185" i="16"/>
  <c r="AR39" i="16"/>
  <c r="AR9" i="16"/>
  <c r="AR457" i="16"/>
  <c r="AR130" i="16"/>
  <c r="AR526" i="16"/>
  <c r="AR288" i="16"/>
  <c r="AR75" i="16"/>
  <c r="AR251" i="16"/>
  <c r="AR564" i="16"/>
  <c r="AR176" i="16"/>
  <c r="AR694" i="16"/>
  <c r="AR105" i="16"/>
  <c r="AR425" i="16"/>
  <c r="AR167" i="16"/>
  <c r="AR411" i="16"/>
  <c r="AR184" i="16"/>
  <c r="AR132" i="16"/>
  <c r="AR208" i="16"/>
  <c r="AR691" i="16"/>
  <c r="AR139" i="16"/>
  <c r="AR794" i="16"/>
  <c r="AR97" i="16"/>
  <c r="AR18" i="16"/>
  <c r="AR324" i="16"/>
  <c r="AR337" i="16"/>
  <c r="AR483" i="16"/>
  <c r="I264" i="9"/>
  <c r="J264" i="9" s="1"/>
  <c r="C264" i="19" s="1"/>
  <c r="L404" i="19"/>
  <c r="K404" i="19"/>
  <c r="H404" i="19"/>
  <c r="G768" i="8"/>
  <c r="G363" i="8"/>
  <c r="I17" i="9"/>
  <c r="J17" i="9" s="1"/>
  <c r="C17" i="19" s="1"/>
  <c r="M279" i="19"/>
  <c r="I279" i="19"/>
  <c r="K636" i="16"/>
  <c r="S636" i="16"/>
  <c r="O636" i="16"/>
  <c r="H219" i="19"/>
  <c r="L219" i="19"/>
  <c r="K219" i="19"/>
  <c r="G430" i="8"/>
  <c r="L307" i="20"/>
  <c r="I307" i="20"/>
  <c r="I76" i="9"/>
  <c r="J76" i="9" s="1"/>
  <c r="C76" i="19" s="1"/>
  <c r="O383" i="16"/>
  <c r="K383" i="16"/>
  <c r="S383" i="16"/>
  <c r="G330" i="8"/>
  <c r="J729" i="8"/>
  <c r="H328" i="19"/>
  <c r="L328" i="19"/>
  <c r="K328" i="19"/>
  <c r="O107" i="16"/>
  <c r="S107" i="16"/>
  <c r="K107" i="16"/>
  <c r="J816" i="8"/>
  <c r="L436" i="19"/>
  <c r="K436" i="19"/>
  <c r="H436" i="19"/>
  <c r="B131" i="20"/>
  <c r="AL131" i="20" s="1"/>
  <c r="B131" i="19"/>
  <c r="I373" i="20"/>
  <c r="L373" i="20"/>
  <c r="AU29" i="16"/>
  <c r="K406" i="16"/>
  <c r="S406" i="16"/>
  <c r="O406" i="16"/>
  <c r="AU52" i="16"/>
  <c r="S36" i="16"/>
  <c r="O36" i="16"/>
  <c r="K36" i="16"/>
  <c r="AV20" i="16"/>
  <c r="L26" i="19"/>
  <c r="K26" i="19"/>
  <c r="H26" i="19"/>
  <c r="AS20" i="10"/>
  <c r="AW20" i="10"/>
  <c r="AO20" i="10"/>
  <c r="R20" i="20" s="1"/>
  <c r="Y20" i="20" s="1"/>
  <c r="O492" i="16"/>
  <c r="S492" i="16"/>
  <c r="K492" i="16"/>
  <c r="H515" i="19"/>
  <c r="L515" i="19"/>
  <c r="K515" i="19"/>
  <c r="B276" i="20"/>
  <c r="AL276" i="20" s="1"/>
  <c r="B276" i="19"/>
  <c r="H587" i="19"/>
  <c r="L587" i="19"/>
  <c r="K587" i="19"/>
  <c r="K27" i="16"/>
  <c r="O27" i="16"/>
  <c r="S27" i="16"/>
  <c r="S434" i="16"/>
  <c r="K434" i="16"/>
  <c r="O434" i="16"/>
  <c r="K469" i="19"/>
  <c r="H469" i="19"/>
  <c r="L469" i="19"/>
  <c r="B11" i="20"/>
  <c r="AL11" i="20" s="1"/>
  <c r="B11" i="19"/>
  <c r="H242" i="19"/>
  <c r="L242" i="19"/>
  <c r="K242" i="19"/>
  <c r="L13" i="20"/>
  <c r="I13" i="20"/>
  <c r="AK36" i="16"/>
  <c r="P36" i="20"/>
  <c r="BF36" i="10"/>
  <c r="AU26" i="16"/>
  <c r="K249" i="16"/>
  <c r="O249" i="16"/>
  <c r="S249" i="16"/>
  <c r="U55" i="20"/>
  <c r="S55" i="20"/>
  <c r="I475" i="9"/>
  <c r="J475" i="9" s="1"/>
  <c r="C475" i="19" s="1"/>
  <c r="L606" i="19"/>
  <c r="K606" i="19"/>
  <c r="H606" i="19"/>
  <c r="I469" i="20"/>
  <c r="L469" i="20"/>
  <c r="I650" i="20"/>
  <c r="L650" i="20"/>
  <c r="I620" i="20"/>
  <c r="L620" i="20"/>
  <c r="I196" i="9"/>
  <c r="J196" i="9" s="1"/>
  <c r="C196" i="19" s="1"/>
  <c r="L808" i="20"/>
  <c r="I808" i="20"/>
  <c r="K266" i="19"/>
  <c r="H266" i="19"/>
  <c r="L266" i="19"/>
  <c r="O515" i="16"/>
  <c r="K515" i="16"/>
  <c r="S515" i="16"/>
  <c r="L56" i="20"/>
  <c r="I56" i="20"/>
  <c r="AQ42" i="19"/>
  <c r="AR42" i="19" s="1"/>
  <c r="I101" i="20"/>
  <c r="L101" i="20"/>
  <c r="L227" i="20"/>
  <c r="I227" i="20"/>
  <c r="M131" i="19"/>
  <c r="I131" i="19"/>
  <c r="B404" i="20"/>
  <c r="AL404" i="20" s="1"/>
  <c r="B404" i="19"/>
  <c r="I566" i="20"/>
  <c r="L566" i="20"/>
  <c r="G230" i="8"/>
  <c r="L427" i="20"/>
  <c r="I427" i="20"/>
  <c r="S47" i="16"/>
  <c r="O47" i="16"/>
  <c r="K47" i="16"/>
  <c r="K230" i="16"/>
  <c r="S230" i="16"/>
  <c r="O230" i="16"/>
  <c r="L155" i="19"/>
  <c r="K155" i="19"/>
  <c r="H155" i="19"/>
  <c r="AV12" i="16"/>
  <c r="AU43" i="16"/>
  <c r="AV51" i="16"/>
  <c r="AV3" i="16"/>
  <c r="AU61" i="16"/>
  <c r="AU37" i="16"/>
  <c r="B537" i="20"/>
  <c r="AL537" i="20" s="1"/>
  <c r="B537" i="19"/>
  <c r="I479" i="20"/>
  <c r="L479" i="20"/>
  <c r="G544" i="8"/>
  <c r="I21" i="20"/>
  <c r="L21" i="20"/>
  <c r="O681" i="16"/>
  <c r="S681" i="16"/>
  <c r="K681" i="16"/>
  <c r="G790" i="8"/>
  <c r="L795" i="19"/>
  <c r="K795" i="19"/>
  <c r="H795" i="19"/>
  <c r="G28" i="18"/>
  <c r="AK67" i="16"/>
  <c r="P67" i="20"/>
  <c r="BF67" i="10"/>
  <c r="S488" i="16"/>
  <c r="O488" i="16"/>
  <c r="K488" i="16"/>
  <c r="L699" i="20"/>
  <c r="I699" i="20"/>
  <c r="B200" i="20"/>
  <c r="AL200" i="20" s="1"/>
  <c r="B200" i="19"/>
  <c r="O499" i="16"/>
  <c r="K499" i="16"/>
  <c r="S499" i="16"/>
  <c r="S57" i="16"/>
  <c r="O57" i="16"/>
  <c r="K57" i="16"/>
  <c r="G106" i="8"/>
  <c r="H268" i="19"/>
  <c r="L268" i="19"/>
  <c r="K268" i="19"/>
  <c r="H207" i="19"/>
  <c r="L207" i="19"/>
  <c r="K207" i="19"/>
  <c r="L560" i="19"/>
  <c r="K560" i="19"/>
  <c r="H560" i="19"/>
  <c r="L518" i="20"/>
  <c r="I518" i="20"/>
  <c r="G598" i="8"/>
  <c r="H567" i="19"/>
  <c r="L567" i="19"/>
  <c r="K567" i="19"/>
  <c r="I236" i="20"/>
  <c r="L236" i="20"/>
  <c r="I607" i="9"/>
  <c r="J607" i="9" s="1"/>
  <c r="C607" i="19" s="1"/>
  <c r="I496" i="19"/>
  <c r="M496" i="19"/>
  <c r="L233" i="20"/>
  <c r="I233" i="20"/>
  <c r="H136" i="19"/>
  <c r="L136" i="19"/>
  <c r="K136" i="19"/>
  <c r="L49" i="20"/>
  <c r="I49" i="20"/>
  <c r="I202" i="9"/>
  <c r="J202" i="9" s="1"/>
  <c r="C202" i="19" s="1"/>
  <c r="L799" i="20"/>
  <c r="I799" i="20"/>
  <c r="G170" i="8"/>
  <c r="G257" i="8"/>
  <c r="L506" i="20"/>
  <c r="I506" i="20"/>
  <c r="K446" i="16"/>
  <c r="S446" i="16"/>
  <c r="O446" i="16"/>
  <c r="G697" i="8"/>
  <c r="G246" i="8"/>
  <c r="G97" i="8"/>
  <c r="S42" i="16"/>
  <c r="K42" i="16"/>
  <c r="O42" i="16"/>
  <c r="L356" i="20"/>
  <c r="I356" i="20"/>
  <c r="L457" i="20"/>
  <c r="I457" i="20"/>
  <c r="L737" i="19"/>
  <c r="K737" i="19"/>
  <c r="H737" i="19"/>
  <c r="K90" i="16"/>
  <c r="O90" i="16"/>
  <c r="S90" i="16"/>
  <c r="L746" i="19"/>
  <c r="K746" i="19"/>
  <c r="H746" i="19"/>
  <c r="I478" i="9"/>
  <c r="J478" i="9" s="1"/>
  <c r="C478" i="19" s="1"/>
  <c r="L187" i="19"/>
  <c r="K187" i="19"/>
  <c r="H187" i="19"/>
  <c r="K246" i="16"/>
  <c r="S246" i="16"/>
  <c r="O246" i="16"/>
  <c r="Q6" i="20"/>
  <c r="I777" i="20"/>
  <c r="L777" i="20"/>
  <c r="H4" i="19"/>
  <c r="K4" i="19"/>
  <c r="L4" i="19"/>
  <c r="L733" i="20"/>
  <c r="I733" i="20"/>
  <c r="G492" i="8"/>
  <c r="I316" i="9"/>
  <c r="J316" i="9" s="1"/>
  <c r="C316" i="19" s="1"/>
  <c r="AW52" i="10"/>
  <c r="AS52" i="10"/>
  <c r="AO52" i="10"/>
  <c r="R52" i="20" s="1"/>
  <c r="Y52" i="20" s="1"/>
  <c r="O101" i="16"/>
  <c r="S101" i="16"/>
  <c r="K101" i="16"/>
  <c r="L336" i="19"/>
  <c r="H336" i="19"/>
  <c r="K336" i="19"/>
  <c r="K227" i="16"/>
  <c r="S227" i="16"/>
  <c r="O227" i="16"/>
  <c r="L739" i="20"/>
  <c r="I739" i="20"/>
  <c r="G146" i="8"/>
  <c r="O566" i="16"/>
  <c r="K566" i="16"/>
  <c r="S566" i="16"/>
  <c r="G572" i="8"/>
  <c r="S427" i="16"/>
  <c r="O427" i="16"/>
  <c r="K427" i="16"/>
  <c r="I387" i="9"/>
  <c r="J387" i="9" s="1"/>
  <c r="C387" i="19" s="1"/>
  <c r="L155" i="20"/>
  <c r="I155" i="20"/>
  <c r="AV13" i="16"/>
  <c r="AV15" i="16"/>
  <c r="AV57" i="16"/>
  <c r="AV59" i="16"/>
  <c r="AU6" i="16"/>
  <c r="AV67" i="16"/>
  <c r="AU47" i="16"/>
  <c r="K479" i="16"/>
  <c r="S479" i="16"/>
  <c r="O479" i="16"/>
  <c r="G6" i="8"/>
  <c r="S21" i="16"/>
  <c r="O21" i="16"/>
  <c r="K21" i="16"/>
  <c r="L486" i="20"/>
  <c r="I486" i="20"/>
  <c r="L795" i="20"/>
  <c r="I795" i="20"/>
  <c r="S699" i="16"/>
  <c r="K699" i="16"/>
  <c r="O699" i="16"/>
  <c r="L20" i="19"/>
  <c r="K20" i="19"/>
  <c r="H20" i="19"/>
  <c r="L563" i="19"/>
  <c r="K563" i="19"/>
  <c r="H563" i="19"/>
  <c r="L140" i="19"/>
  <c r="K140" i="19"/>
  <c r="H140" i="19"/>
  <c r="L502" i="20"/>
  <c r="I502" i="20"/>
  <c r="G723" i="8"/>
  <c r="S268" i="16"/>
  <c r="O268" i="16"/>
  <c r="K268" i="16"/>
  <c r="L207" i="20"/>
  <c r="I207" i="20"/>
  <c r="L170" i="19"/>
  <c r="K170" i="19"/>
  <c r="H170" i="19"/>
  <c r="G29" i="18"/>
  <c r="AK68" i="16"/>
  <c r="P68" i="20"/>
  <c r="BF68" i="10"/>
  <c r="U55" i="10" s="1"/>
  <c r="L560" i="20"/>
  <c r="I560" i="20"/>
  <c r="S518" i="16"/>
  <c r="O518" i="16"/>
  <c r="K518" i="16"/>
  <c r="K575" i="19"/>
  <c r="H575" i="19"/>
  <c r="L575" i="19"/>
  <c r="I567" i="20"/>
  <c r="L567" i="20"/>
  <c r="G476" i="8"/>
  <c r="S236" i="16"/>
  <c r="O236" i="16"/>
  <c r="K236" i="16"/>
  <c r="G450" i="8"/>
  <c r="I607" i="19"/>
  <c r="M607" i="19"/>
  <c r="K607" i="19"/>
  <c r="I296" i="9"/>
  <c r="J296" i="9" s="1"/>
  <c r="C296" i="19" s="1"/>
  <c r="H233" i="19"/>
  <c r="L233" i="19"/>
  <c r="K233" i="19"/>
  <c r="S136" i="16"/>
  <c r="K136" i="16"/>
  <c r="O136" i="16"/>
  <c r="S49" i="16"/>
  <c r="O49" i="16"/>
  <c r="K49" i="16"/>
  <c r="K799" i="16"/>
  <c r="S799" i="16"/>
  <c r="O799" i="16"/>
  <c r="L727" i="19"/>
  <c r="K727" i="19"/>
  <c r="H727" i="19"/>
  <c r="O506" i="16"/>
  <c r="K506" i="16"/>
  <c r="S506" i="16"/>
  <c r="H446" i="19"/>
  <c r="L446" i="19"/>
  <c r="K446" i="19"/>
  <c r="G420" i="8"/>
  <c r="L619" i="19"/>
  <c r="K619" i="19"/>
  <c r="H619" i="19"/>
  <c r="G447" i="8"/>
  <c r="I9" i="11"/>
  <c r="I42" i="20"/>
  <c r="L42" i="20"/>
  <c r="K356" i="16"/>
  <c r="S356" i="16"/>
  <c r="O356" i="16"/>
  <c r="S457" i="16"/>
  <c r="O457" i="16"/>
  <c r="K457" i="16"/>
  <c r="L737" i="20"/>
  <c r="I737" i="20"/>
  <c r="G35" i="8"/>
  <c r="I746" i="20"/>
  <c r="L746" i="20"/>
  <c r="L377" i="19"/>
  <c r="K377" i="19"/>
  <c r="H377" i="19"/>
  <c r="I478" i="19"/>
  <c r="M478" i="19"/>
  <c r="L187" i="20"/>
  <c r="I187" i="20"/>
  <c r="I401" i="9"/>
  <c r="J401" i="9" s="1"/>
  <c r="C401" i="19" s="1"/>
  <c r="S777" i="16"/>
  <c r="O777" i="16"/>
  <c r="K777" i="16"/>
  <c r="I9" i="20"/>
  <c r="AG17" i="20"/>
  <c r="AB17" i="20"/>
  <c r="AF17" i="20"/>
  <c r="L9" i="20"/>
  <c r="AE17" i="20"/>
  <c r="AC17" i="20"/>
  <c r="AD17" i="20"/>
  <c r="M264" i="19"/>
  <c r="I264" i="19"/>
  <c r="I404" i="20"/>
  <c r="L404" i="20"/>
  <c r="G348" i="8"/>
  <c r="B207" i="20"/>
  <c r="AL207" i="20" s="1"/>
  <c r="B207" i="19"/>
  <c r="B764" i="20"/>
  <c r="AL764" i="20" s="1"/>
  <c r="B764" i="19"/>
  <c r="G256" i="8"/>
  <c r="L597" i="19"/>
  <c r="K597" i="19"/>
  <c r="H597" i="19"/>
  <c r="B466" i="20"/>
  <c r="AL466" i="20" s="1"/>
  <c r="B466" i="19"/>
  <c r="B280" i="20"/>
  <c r="AL280" i="20" s="1"/>
  <c r="B280" i="19"/>
  <c r="K307" i="16"/>
  <c r="S307" i="16"/>
  <c r="O307" i="16"/>
  <c r="M76" i="19"/>
  <c r="I76" i="19"/>
  <c r="K76" i="19"/>
  <c r="G631" i="8"/>
  <c r="I98" i="9"/>
  <c r="J98" i="9" s="1"/>
  <c r="C98" i="19" s="1"/>
  <c r="G62" i="8"/>
  <c r="G435" i="8"/>
  <c r="B228" i="19"/>
  <c r="B228" i="20"/>
  <c r="AL228" i="20" s="1"/>
  <c r="G382" i="8"/>
  <c r="I328" i="20"/>
  <c r="L328" i="20"/>
  <c r="J56" i="8"/>
  <c r="L766" i="19"/>
  <c r="K766" i="19"/>
  <c r="H766" i="19"/>
  <c r="L769" i="19"/>
  <c r="H769" i="19"/>
  <c r="K769" i="19"/>
  <c r="G618" i="8"/>
  <c r="I8" i="20"/>
  <c r="L8" i="20"/>
  <c r="I509" i="9"/>
  <c r="J509" i="9" s="1"/>
  <c r="C509" i="19" s="1"/>
  <c r="L100" i="20"/>
  <c r="I100" i="20"/>
  <c r="L65" i="20"/>
  <c r="I65" i="20"/>
  <c r="I227" i="9"/>
  <c r="J227" i="9" s="1"/>
  <c r="C227" i="19" s="1"/>
  <c r="J720" i="8"/>
  <c r="AE6" i="16"/>
  <c r="I820" i="9"/>
  <c r="J820" i="9" s="1"/>
  <c r="C820" i="19" s="1"/>
  <c r="I392" i="9"/>
  <c r="J392" i="9" s="1"/>
  <c r="C392" i="19" s="1"/>
  <c r="I3" i="9"/>
  <c r="J3" i="9" s="1"/>
  <c r="C3" i="19" s="1"/>
  <c r="I816" i="9"/>
  <c r="J816" i="9" s="1"/>
  <c r="I748" i="9"/>
  <c r="J748" i="9" s="1"/>
  <c r="C748" i="19" s="1"/>
  <c r="I594" i="9"/>
  <c r="J594" i="9" s="1"/>
  <c r="C594" i="19" s="1"/>
  <c r="I412" i="9"/>
  <c r="J412" i="9" s="1"/>
  <c r="C412" i="19" s="1"/>
  <c r="I550" i="9"/>
  <c r="J550" i="9" s="1"/>
  <c r="C550" i="19" s="1"/>
  <c r="I811" i="9"/>
  <c r="J811" i="9" s="1"/>
  <c r="C811" i="19" s="1"/>
  <c r="I442" i="9"/>
  <c r="J442" i="9" s="1"/>
  <c r="C442" i="19" s="1"/>
  <c r="I232" i="9"/>
  <c r="J232" i="9" s="1"/>
  <c r="C232" i="19" s="1"/>
  <c r="I4" i="9"/>
  <c r="J4" i="9" s="1"/>
  <c r="C4" i="19" s="1"/>
  <c r="I815" i="9"/>
  <c r="J815" i="9" s="1"/>
  <c r="C815" i="19" s="1"/>
  <c r="I796" i="9"/>
  <c r="J796" i="9" s="1"/>
  <c r="C796" i="19" s="1"/>
  <c r="I548" i="9"/>
  <c r="J548" i="9" s="1"/>
  <c r="C548" i="19" s="1"/>
  <c r="I667" i="9"/>
  <c r="J667" i="9" s="1"/>
  <c r="C667" i="19" s="1"/>
  <c r="I77" i="9"/>
  <c r="J77" i="9" s="1"/>
  <c r="C77" i="19" s="1"/>
  <c r="I630" i="9"/>
  <c r="J630" i="9" s="1"/>
  <c r="C630" i="19" s="1"/>
  <c r="I474" i="9"/>
  <c r="J474" i="9" s="1"/>
  <c r="C474" i="19" s="1"/>
  <c r="I404" i="9"/>
  <c r="J404" i="9" s="1"/>
  <c r="C404" i="19" s="1"/>
  <c r="I39" i="9"/>
  <c r="J39" i="9" s="1"/>
  <c r="C39" i="19" s="1"/>
  <c r="I780" i="9"/>
  <c r="J780" i="9" s="1"/>
  <c r="I646" i="9"/>
  <c r="J646" i="9" s="1"/>
  <c r="C646" i="19" s="1"/>
  <c r="I194" i="9"/>
  <c r="J194" i="9" s="1"/>
  <c r="C194" i="19" s="1"/>
  <c r="I686" i="9"/>
  <c r="J686" i="9" s="1"/>
  <c r="C686" i="19" s="1"/>
  <c r="I464" i="9"/>
  <c r="J464" i="9" s="1"/>
  <c r="C464" i="19" s="1"/>
  <c r="I284" i="9"/>
  <c r="J284" i="9" s="1"/>
  <c r="C284" i="19" s="1"/>
  <c r="I214" i="9"/>
  <c r="J214" i="9" s="1"/>
  <c r="C214" i="19" s="1"/>
  <c r="I790" i="9"/>
  <c r="J790" i="9" s="1"/>
  <c r="C790" i="19" s="1"/>
  <c r="I454" i="9"/>
  <c r="J454" i="9" s="1"/>
  <c r="C454" i="19" s="1"/>
  <c r="I337" i="9"/>
  <c r="J337" i="9" s="1"/>
  <c r="C337" i="19" s="1"/>
  <c r="I802" i="9"/>
  <c r="J802" i="9" s="1"/>
  <c r="C802" i="19" s="1"/>
  <c r="I758" i="9"/>
  <c r="J758" i="9" s="1"/>
  <c r="C758" i="19" s="1"/>
  <c r="I626" i="9"/>
  <c r="J626" i="9" s="1"/>
  <c r="C626" i="19" s="1"/>
  <c r="I595" i="9"/>
  <c r="J595" i="9" s="1"/>
  <c r="C595" i="19" s="1"/>
  <c r="I590" i="9"/>
  <c r="J590" i="9" s="1"/>
  <c r="C590" i="19" s="1"/>
  <c r="I534" i="9"/>
  <c r="J534" i="9" s="1"/>
  <c r="C534" i="19" s="1"/>
  <c r="I434" i="9"/>
  <c r="J434" i="9" s="1"/>
  <c r="C434" i="19" s="1"/>
  <c r="I174" i="9"/>
  <c r="J174" i="9" s="1"/>
  <c r="C174" i="19" s="1"/>
  <c r="I203" i="9"/>
  <c r="J203" i="9" s="1"/>
  <c r="C203" i="19" s="1"/>
  <c r="I110" i="9"/>
  <c r="J110" i="9" s="1"/>
  <c r="C110" i="19" s="1"/>
  <c r="I100" i="9"/>
  <c r="J100" i="9" s="1"/>
  <c r="C100" i="19" s="1"/>
  <c r="I652" i="9"/>
  <c r="J652" i="9" s="1"/>
  <c r="C652" i="19" s="1"/>
  <c r="I636" i="9"/>
  <c r="J636" i="9" s="1"/>
  <c r="C636" i="19" s="1"/>
  <c r="I498" i="9"/>
  <c r="J498" i="9" s="1"/>
  <c r="C498" i="19" s="1"/>
  <c r="I384" i="9"/>
  <c r="J384" i="9" s="1"/>
  <c r="C384" i="19" s="1"/>
  <c r="I71" i="9"/>
  <c r="J71" i="9" s="1"/>
  <c r="C71" i="19" s="1"/>
  <c r="I711" i="9"/>
  <c r="J711" i="9" s="1"/>
  <c r="C711" i="19" s="1"/>
  <c r="I204" i="9"/>
  <c r="J204" i="9" s="1"/>
  <c r="C204" i="19" s="1"/>
  <c r="I185" i="9"/>
  <c r="J185" i="9" s="1"/>
  <c r="C185" i="19" s="1"/>
  <c r="I64" i="9"/>
  <c r="J64" i="9" s="1"/>
  <c r="C64" i="19" s="1"/>
  <c r="I568" i="9"/>
  <c r="J568" i="9" s="1"/>
  <c r="C568" i="19" s="1"/>
  <c r="I486" i="9"/>
  <c r="J486" i="9" s="1"/>
  <c r="C486" i="19" s="1"/>
  <c r="I739" i="9"/>
  <c r="J739" i="9" s="1"/>
  <c r="C739" i="19" s="1"/>
  <c r="I314" i="9"/>
  <c r="J314" i="9" s="1"/>
  <c r="C314" i="19" s="1"/>
  <c r="I34" i="9"/>
  <c r="J34" i="9" s="1"/>
  <c r="C34" i="19" s="1"/>
  <c r="I370" i="9"/>
  <c r="J370" i="9" s="1"/>
  <c r="C370" i="19" s="1"/>
  <c r="I344" i="9"/>
  <c r="J344" i="9" s="1"/>
  <c r="C344" i="19" s="1"/>
  <c r="I602" i="9"/>
  <c r="J602" i="9" s="1"/>
  <c r="C602" i="19" s="1"/>
  <c r="I343" i="9"/>
  <c r="J343" i="9" s="1"/>
  <c r="C343" i="19" s="1"/>
  <c r="I366" i="9"/>
  <c r="J366" i="9" s="1"/>
  <c r="C366" i="19" s="1"/>
  <c r="I376" i="9"/>
  <c r="J376" i="9" s="1"/>
  <c r="C376" i="19" s="1"/>
  <c r="I83" i="9"/>
  <c r="J83" i="9" s="1"/>
  <c r="C83" i="19" s="1"/>
  <c r="I321" i="9"/>
  <c r="J321" i="9" s="1"/>
  <c r="C321" i="19" s="1"/>
  <c r="I525" i="9"/>
  <c r="J525" i="9" s="1"/>
  <c r="C525" i="19" s="1"/>
  <c r="I477" i="9"/>
  <c r="J477" i="9" s="1"/>
  <c r="C477" i="19" s="1"/>
  <c r="I354" i="9"/>
  <c r="J354" i="9" s="1"/>
  <c r="C354" i="19" s="1"/>
  <c r="I223" i="9"/>
  <c r="J223" i="9" s="1"/>
  <c r="C223" i="19" s="1"/>
  <c r="I495" i="9"/>
  <c r="J495" i="9" s="1"/>
  <c r="C495" i="19" s="1"/>
  <c r="I358" i="9"/>
  <c r="J358" i="9" s="1"/>
  <c r="C358" i="19" s="1"/>
  <c r="I668" i="9"/>
  <c r="J668" i="9" s="1"/>
  <c r="C668" i="19" s="1"/>
  <c r="I554" i="9"/>
  <c r="J554" i="9" s="1"/>
  <c r="C554" i="19" s="1"/>
  <c r="I86" i="9"/>
  <c r="J86" i="9" s="1"/>
  <c r="C86" i="19" s="1"/>
  <c r="I208" i="9"/>
  <c r="J208" i="9" s="1"/>
  <c r="C208" i="19" s="1"/>
  <c r="I484" i="9"/>
  <c r="J484" i="9" s="1"/>
  <c r="C484" i="19" s="1"/>
  <c r="I410" i="9"/>
  <c r="J410" i="9" s="1"/>
  <c r="C410" i="19" s="1"/>
  <c r="I334" i="9"/>
  <c r="J334" i="9" s="1"/>
  <c r="C334" i="19" s="1"/>
  <c r="I60" i="9"/>
  <c r="J60" i="9" s="1"/>
  <c r="C60" i="19" s="1"/>
  <c r="I391" i="9"/>
  <c r="J391" i="9" s="1"/>
  <c r="C391" i="19" s="1"/>
  <c r="I483" i="9"/>
  <c r="J483" i="9" s="1"/>
  <c r="C483" i="19" s="1"/>
  <c r="I781" i="9"/>
  <c r="J781" i="9" s="1"/>
  <c r="C781" i="19" s="1"/>
  <c r="I700" i="9"/>
  <c r="J700" i="9" s="1"/>
  <c r="C700" i="19" s="1"/>
  <c r="I14" i="9"/>
  <c r="J14" i="9" s="1"/>
  <c r="C14" i="19" s="1"/>
  <c r="I92" i="9"/>
  <c r="J92" i="9" s="1"/>
  <c r="C92" i="19" s="1"/>
  <c r="I800" i="9"/>
  <c r="J800" i="9" s="1"/>
  <c r="C800" i="19" s="1"/>
  <c r="I786" i="9"/>
  <c r="J786" i="9" s="1"/>
  <c r="C786" i="19" s="1"/>
  <c r="I731" i="9"/>
  <c r="J731" i="9" s="1"/>
  <c r="C731" i="19" s="1"/>
  <c r="I718" i="9"/>
  <c r="J718" i="9" s="1"/>
  <c r="C718" i="19" s="1"/>
  <c r="I637" i="9"/>
  <c r="J637" i="9" s="1"/>
  <c r="C637" i="19" s="1"/>
  <c r="I614" i="9"/>
  <c r="J614" i="9" s="1"/>
  <c r="C614" i="19" s="1"/>
  <c r="I512" i="9"/>
  <c r="J512" i="9" s="1"/>
  <c r="C512" i="19" s="1"/>
  <c r="I233" i="9"/>
  <c r="J233" i="9" s="1"/>
  <c r="C233" i="19" s="1"/>
  <c r="I306" i="9"/>
  <c r="J306" i="9" s="1"/>
  <c r="C306" i="19" s="1"/>
  <c r="I221" i="9"/>
  <c r="J221" i="9" s="1"/>
  <c r="C221" i="19" s="1"/>
  <c r="I112" i="9"/>
  <c r="J112" i="9" s="1"/>
  <c r="C112" i="19" s="1"/>
  <c r="I68" i="9"/>
  <c r="J68" i="9" s="1"/>
  <c r="C68" i="19" s="1"/>
  <c r="I372" i="9"/>
  <c r="J372" i="9" s="1"/>
  <c r="C372" i="19" s="1"/>
  <c r="I317" i="9"/>
  <c r="J317" i="9" s="1"/>
  <c r="C317" i="19" s="1"/>
  <c r="I653" i="9"/>
  <c r="J653" i="9" s="1"/>
  <c r="C653" i="19" s="1"/>
  <c r="I252" i="9"/>
  <c r="J252" i="9" s="1"/>
  <c r="C252" i="19" s="1"/>
  <c r="I720" i="9"/>
  <c r="J720" i="9" s="1"/>
  <c r="C720" i="19" s="1"/>
  <c r="I586" i="9"/>
  <c r="J586" i="9" s="1"/>
  <c r="C586" i="19" s="1"/>
  <c r="I574" i="9"/>
  <c r="J574" i="9" s="1"/>
  <c r="C574" i="19" s="1"/>
  <c r="I661" i="9"/>
  <c r="J661" i="9" s="1"/>
  <c r="C661" i="19" s="1"/>
  <c r="I457" i="9"/>
  <c r="J457" i="9" s="1"/>
  <c r="C457" i="19" s="1"/>
  <c r="I294" i="9"/>
  <c r="J294" i="9" s="1"/>
  <c r="C294" i="19" s="1"/>
  <c r="I606" i="9"/>
  <c r="J606" i="9" s="1"/>
  <c r="C606" i="19" s="1"/>
  <c r="I84" i="9"/>
  <c r="J84" i="9" s="1"/>
  <c r="C84" i="19" s="1"/>
  <c r="I432" i="9"/>
  <c r="J432" i="9" s="1"/>
  <c r="C432" i="19" s="1"/>
  <c r="I414" i="9"/>
  <c r="J414" i="9" s="1"/>
  <c r="C414" i="19" s="1"/>
  <c r="I734" i="9"/>
  <c r="J734" i="9" s="1"/>
  <c r="C734" i="19" s="1"/>
  <c r="I200" i="9"/>
  <c r="J200" i="9" s="1"/>
  <c r="C200" i="19" s="1"/>
  <c r="I11" i="9"/>
  <c r="J11" i="9" s="1"/>
  <c r="C11" i="19" s="1"/>
  <c r="I166" i="9"/>
  <c r="J166" i="9" s="1"/>
  <c r="C166" i="19" s="1"/>
  <c r="I346" i="9"/>
  <c r="J346" i="9" s="1"/>
  <c r="C346" i="19" s="1"/>
  <c r="I133" i="9"/>
  <c r="J133" i="9" s="1"/>
  <c r="C133" i="19" s="1"/>
  <c r="I75" i="9"/>
  <c r="J75" i="9" s="1"/>
  <c r="C75" i="19" s="1"/>
  <c r="I759" i="9"/>
  <c r="J759" i="9" s="1"/>
  <c r="C759" i="19" s="1"/>
  <c r="I36" i="9"/>
  <c r="J36" i="9" s="1"/>
  <c r="C36" i="19" s="1"/>
  <c r="I192" i="9"/>
  <c r="J192" i="9" s="1"/>
  <c r="C192" i="19" s="1"/>
  <c r="I436" i="9"/>
  <c r="J436" i="9" s="1"/>
  <c r="C436" i="19" s="1"/>
  <c r="I599" i="9"/>
  <c r="J599" i="9" s="1"/>
  <c r="C599" i="19" s="1"/>
  <c r="I352" i="9"/>
  <c r="J352" i="9" s="1"/>
  <c r="C352" i="19" s="1"/>
  <c r="I510" i="9"/>
  <c r="J510" i="9" s="1"/>
  <c r="C510" i="19" s="1"/>
  <c r="I101" i="9"/>
  <c r="J101" i="9" s="1"/>
  <c r="C101" i="19" s="1"/>
  <c r="I472" i="9"/>
  <c r="J472" i="9" s="1"/>
  <c r="C472" i="19" s="1"/>
  <c r="I435" i="9"/>
  <c r="J435" i="9" s="1"/>
  <c r="C435" i="19" s="1"/>
  <c r="I697" i="9"/>
  <c r="J697" i="9" s="1"/>
  <c r="C697" i="19" s="1"/>
  <c r="I41" i="9"/>
  <c r="J41" i="9" s="1"/>
  <c r="C41" i="19" s="1"/>
  <c r="I228" i="9"/>
  <c r="J228" i="9" s="1"/>
  <c r="C228" i="19" s="1"/>
  <c r="I258" i="9"/>
  <c r="J258" i="9" s="1"/>
  <c r="C258" i="19" s="1"/>
  <c r="I93" i="9"/>
  <c r="J93" i="9" s="1"/>
  <c r="C93" i="19" s="1"/>
  <c r="I671" i="9"/>
  <c r="J671" i="9" s="1"/>
  <c r="C671" i="19" s="1"/>
  <c r="I583" i="9"/>
  <c r="J583" i="9" s="1"/>
  <c r="C583" i="19" s="1"/>
  <c r="I251" i="9"/>
  <c r="J251" i="9" s="1"/>
  <c r="C251" i="19" s="1"/>
  <c r="I821" i="9"/>
  <c r="J821" i="9" s="1"/>
  <c r="C821" i="19" s="1"/>
  <c r="I63" i="9"/>
  <c r="J63" i="9" s="1"/>
  <c r="C63" i="19" s="1"/>
  <c r="I547" i="9"/>
  <c r="J547" i="9" s="1"/>
  <c r="C547" i="19" s="1"/>
  <c r="I771" i="9"/>
  <c r="J771" i="9" s="1"/>
  <c r="C771" i="19" s="1"/>
  <c r="I397" i="9"/>
  <c r="J397" i="9" s="1"/>
  <c r="C397" i="19" s="1"/>
  <c r="I680" i="9"/>
  <c r="J680" i="9" s="1"/>
  <c r="C680" i="19" s="1"/>
  <c r="I262" i="9"/>
  <c r="J262" i="9" s="1"/>
  <c r="C262" i="19" s="1"/>
  <c r="I175" i="9"/>
  <c r="J175" i="9" s="1"/>
  <c r="C175" i="19" s="1"/>
  <c r="I481" i="9"/>
  <c r="J481" i="9" s="1"/>
  <c r="C481" i="19" s="1"/>
  <c r="I136" i="9"/>
  <c r="J136" i="9" s="1"/>
  <c r="C136" i="19" s="1"/>
  <c r="I48" i="9"/>
  <c r="J48" i="9" s="1"/>
  <c r="C48" i="19" s="1"/>
  <c r="I798" i="9"/>
  <c r="J798" i="9" s="1"/>
  <c r="C798" i="19" s="1"/>
  <c r="I361" i="9"/>
  <c r="J361" i="9" s="1"/>
  <c r="C361" i="19" s="1"/>
  <c r="I43" i="9"/>
  <c r="J43" i="9" s="1"/>
  <c r="C43" i="19" s="1"/>
  <c r="I114" i="9"/>
  <c r="J114" i="9" s="1"/>
  <c r="C114" i="19" s="1"/>
  <c r="I403" i="9"/>
  <c r="J403" i="9" s="1"/>
  <c r="C403" i="19" s="1"/>
  <c r="I340" i="9"/>
  <c r="J340" i="9" s="1"/>
  <c r="C340" i="19" s="1"/>
  <c r="I505" i="9"/>
  <c r="J505" i="9" s="1"/>
  <c r="C505" i="19" s="1"/>
  <c r="I696" i="9"/>
  <c r="J696" i="9" s="1"/>
  <c r="C696" i="19" s="1"/>
  <c r="I311" i="9"/>
  <c r="J311" i="9" s="1"/>
  <c r="C311" i="19" s="1"/>
  <c r="I420" i="9"/>
  <c r="J420" i="9" s="1"/>
  <c r="C420" i="19" s="1"/>
  <c r="I428" i="9"/>
  <c r="J428" i="9" s="1"/>
  <c r="C428" i="19" s="1"/>
  <c r="I712" i="9"/>
  <c r="J712" i="9" s="1"/>
  <c r="C712" i="19" s="1"/>
  <c r="I543" i="9"/>
  <c r="J543" i="9" s="1"/>
  <c r="C543" i="19" s="1"/>
  <c r="I157" i="9"/>
  <c r="J157" i="9" s="1"/>
  <c r="C157" i="19" s="1"/>
  <c r="I89" i="9"/>
  <c r="J89" i="9" s="1"/>
  <c r="C89" i="19" s="1"/>
  <c r="I388" i="9"/>
  <c r="J388" i="9" s="1"/>
  <c r="C388" i="19" s="1"/>
  <c r="I521" i="9"/>
  <c r="J521" i="9" s="1"/>
  <c r="C521" i="19" s="1"/>
  <c r="I533" i="9"/>
  <c r="J533" i="9" s="1"/>
  <c r="C533" i="19" s="1"/>
  <c r="I760" i="9"/>
  <c r="J760" i="9" s="1"/>
  <c r="C760" i="19" s="1"/>
  <c r="I794" i="9"/>
  <c r="J794" i="9" s="1"/>
  <c r="C794" i="19" s="1"/>
  <c r="I145" i="9"/>
  <c r="J145" i="9" s="1"/>
  <c r="C145" i="19" s="1"/>
  <c r="I183" i="9"/>
  <c r="J183" i="9" s="1"/>
  <c r="C183" i="19" s="1"/>
  <c r="I466" i="9"/>
  <c r="J466" i="9" s="1"/>
  <c r="C466" i="19" s="1"/>
  <c r="I740" i="9"/>
  <c r="J740" i="9" s="1"/>
  <c r="C740" i="19" s="1"/>
  <c r="I378" i="9"/>
  <c r="J378" i="9" s="1"/>
  <c r="C378" i="19" s="1"/>
  <c r="I559" i="9"/>
  <c r="J559" i="9" s="1"/>
  <c r="C559" i="19" s="1"/>
  <c r="I743" i="9"/>
  <c r="J743" i="9" s="1"/>
  <c r="C743" i="19" s="1"/>
  <c r="I108" i="9"/>
  <c r="J108" i="9" s="1"/>
  <c r="C108" i="19" s="1"/>
  <c r="I394" i="9"/>
  <c r="J394" i="9" s="1"/>
  <c r="C394" i="19" s="1"/>
  <c r="I118" i="9"/>
  <c r="J118" i="9" s="1"/>
  <c r="C118" i="19" s="1"/>
  <c r="I248" i="9"/>
  <c r="J248" i="9" s="1"/>
  <c r="C248" i="19" s="1"/>
  <c r="I499" i="9"/>
  <c r="J499" i="9" s="1"/>
  <c r="C499" i="19" s="1"/>
  <c r="I32" i="9"/>
  <c r="J32" i="9" s="1"/>
  <c r="C32" i="19" s="1"/>
  <c r="I303" i="9"/>
  <c r="J303" i="9" s="1"/>
  <c r="C303" i="19" s="1"/>
  <c r="I193" i="9"/>
  <c r="J193" i="9" s="1"/>
  <c r="C193" i="19" s="1"/>
  <c r="I451" i="9"/>
  <c r="J451" i="9" s="1"/>
  <c r="C451" i="19" s="1"/>
  <c r="I763" i="9"/>
  <c r="J763" i="9" s="1"/>
  <c r="C763" i="19" s="1"/>
  <c r="I528" i="9"/>
  <c r="J528" i="9" s="1"/>
  <c r="C528" i="19" s="1"/>
  <c r="I604" i="9"/>
  <c r="J604" i="9" s="1"/>
  <c r="C604" i="19" s="1"/>
  <c r="I409" i="9"/>
  <c r="J409" i="9" s="1"/>
  <c r="C409" i="19" s="1"/>
  <c r="I805" i="9"/>
  <c r="J805" i="9" s="1"/>
  <c r="C805" i="19" s="1"/>
  <c r="I411" i="9"/>
  <c r="J411" i="9" s="1"/>
  <c r="C411" i="19" s="1"/>
  <c r="I818" i="9"/>
  <c r="J818" i="9" s="1"/>
  <c r="C818" i="19" s="1"/>
  <c r="I163" i="9"/>
  <c r="J163" i="9" s="1"/>
  <c r="C163" i="19" s="1"/>
  <c r="I360" i="9"/>
  <c r="J360" i="9" s="1"/>
  <c r="C360" i="19" s="1"/>
  <c r="I660" i="9"/>
  <c r="J660" i="9" s="1"/>
  <c r="C660" i="19" s="1"/>
  <c r="I281" i="9"/>
  <c r="J281" i="9" s="1"/>
  <c r="C281" i="19" s="1"/>
  <c r="I513" i="9"/>
  <c r="J513" i="9" s="1"/>
  <c r="C513" i="19" s="1"/>
  <c r="I122" i="9"/>
  <c r="J122" i="9" s="1"/>
  <c r="C122" i="19" s="1"/>
  <c r="I139" i="9"/>
  <c r="J139" i="9" s="1"/>
  <c r="C139" i="19" s="1"/>
  <c r="I19" i="9"/>
  <c r="J19" i="9" s="1"/>
  <c r="C19" i="19" s="1"/>
  <c r="I15" i="9"/>
  <c r="J15" i="9" s="1"/>
  <c r="C15" i="19" s="1"/>
  <c r="I261" i="9"/>
  <c r="J261" i="9" s="1"/>
  <c r="C261" i="19" s="1"/>
  <c r="I280" i="9"/>
  <c r="J280" i="9" s="1"/>
  <c r="C280" i="19" s="1"/>
  <c r="I27" i="9"/>
  <c r="J27" i="9" s="1"/>
  <c r="C27" i="19" s="1"/>
  <c r="I253" i="9"/>
  <c r="J253" i="9" s="1"/>
  <c r="C253" i="19" s="1"/>
  <c r="I767" i="9"/>
  <c r="J767" i="9" s="1"/>
  <c r="C767" i="19" s="1"/>
  <c r="I113" i="9"/>
  <c r="J113" i="9" s="1"/>
  <c r="C113" i="19" s="1"/>
  <c r="I245" i="9"/>
  <c r="J245" i="9" s="1"/>
  <c r="C245" i="19" s="1"/>
  <c r="I219" i="9"/>
  <c r="J219" i="9" s="1"/>
  <c r="C219" i="19" s="1"/>
  <c r="I385" i="9"/>
  <c r="J385" i="9" s="1"/>
  <c r="C385" i="19" s="1"/>
  <c r="I517" i="9"/>
  <c r="J517" i="9" s="1"/>
  <c r="C517" i="19" s="1"/>
  <c r="I153" i="9"/>
  <c r="J153" i="9" s="1"/>
  <c r="C153" i="19" s="1"/>
  <c r="I728" i="9"/>
  <c r="J728" i="9" s="1"/>
  <c r="C728" i="19" s="1"/>
  <c r="I735" i="9"/>
  <c r="J735" i="9" s="1"/>
  <c r="C735" i="19" s="1"/>
  <c r="I323" i="9"/>
  <c r="J323" i="9" s="1"/>
  <c r="C323" i="19" s="1"/>
  <c r="I617" i="9"/>
  <c r="J617" i="9" s="1"/>
  <c r="C617" i="19" s="1"/>
  <c r="I54" i="9"/>
  <c r="J54" i="9" s="1"/>
  <c r="C54" i="19" s="1"/>
  <c r="I210" i="9"/>
  <c r="J210" i="9" s="1"/>
  <c r="C210" i="19" s="1"/>
  <c r="I326" i="9"/>
  <c r="J326" i="9" s="1"/>
  <c r="C326" i="19" s="1"/>
  <c r="I650" i="9"/>
  <c r="J650" i="9" s="1"/>
  <c r="C650" i="19" s="1"/>
  <c r="I699" i="9"/>
  <c r="J699" i="9" s="1"/>
  <c r="C699" i="19" s="1"/>
  <c r="I181" i="9"/>
  <c r="J181" i="9" s="1"/>
  <c r="C181" i="19" s="1"/>
  <c r="I81" i="9"/>
  <c r="J81" i="9" s="1"/>
  <c r="C81" i="19" s="1"/>
  <c r="I571" i="9"/>
  <c r="J571" i="9" s="1"/>
  <c r="C571" i="19" s="1"/>
  <c r="I443" i="9"/>
  <c r="J443" i="9" s="1"/>
  <c r="C443" i="19" s="1"/>
  <c r="I518" i="9"/>
  <c r="J518" i="9" s="1"/>
  <c r="C518" i="19" s="1"/>
  <c r="I622" i="9"/>
  <c r="J622" i="9" s="1"/>
  <c r="C622" i="19" s="1"/>
  <c r="I70" i="9"/>
  <c r="J70" i="9" s="1"/>
  <c r="C70" i="19" s="1"/>
  <c r="I226" i="9"/>
  <c r="J226" i="9" s="1"/>
  <c r="C226" i="19" s="1"/>
  <c r="I318" i="9"/>
  <c r="J318" i="9" s="1"/>
  <c r="C318" i="19" s="1"/>
  <c r="I751" i="9"/>
  <c r="J751" i="9" s="1"/>
  <c r="C751" i="19" s="1"/>
  <c r="I273" i="9"/>
  <c r="J273" i="9" s="1"/>
  <c r="C273" i="19" s="1"/>
  <c r="I490" i="9"/>
  <c r="J490" i="9" s="1"/>
  <c r="C490" i="19" s="1"/>
  <c r="I300" i="9"/>
  <c r="J300" i="9" s="1"/>
  <c r="C300" i="19" s="1"/>
  <c r="I286" i="9"/>
  <c r="J286" i="9" s="1"/>
  <c r="C286" i="19" s="1"/>
  <c r="I355" i="9"/>
  <c r="J355" i="9" s="1"/>
  <c r="C355" i="19" s="1"/>
  <c r="I701" i="9"/>
  <c r="J701" i="9" s="1"/>
  <c r="C701" i="19" s="1"/>
  <c r="I620" i="9"/>
  <c r="J620" i="9" s="1"/>
  <c r="C620" i="19" s="1"/>
  <c r="I285" i="9"/>
  <c r="J285" i="9" s="1"/>
  <c r="C285" i="19" s="1"/>
  <c r="I603" i="9"/>
  <c r="J603" i="9" s="1"/>
  <c r="C603" i="19" s="1"/>
  <c r="I52" i="9"/>
  <c r="J52" i="9" s="1"/>
  <c r="C52" i="19" s="1"/>
  <c r="I38" i="9"/>
  <c r="J38" i="9" s="1"/>
  <c r="C38" i="19" s="1"/>
  <c r="I693" i="9"/>
  <c r="J693" i="9" s="1"/>
  <c r="C693" i="19" s="1"/>
  <c r="I332" i="9"/>
  <c r="J332" i="9" s="1"/>
  <c r="C332" i="19" s="1"/>
  <c r="I690" i="9"/>
  <c r="J690" i="9" s="1"/>
  <c r="C690" i="19" s="1"/>
  <c r="I710" i="9"/>
  <c r="J710" i="9" s="1"/>
  <c r="C710" i="19" s="1"/>
  <c r="I647" i="9"/>
  <c r="J647" i="9" s="1"/>
  <c r="C647" i="19" s="1"/>
  <c r="I299" i="9"/>
  <c r="J299" i="9" s="1"/>
  <c r="C299" i="19" s="1"/>
  <c r="I516" i="9"/>
  <c r="J516" i="9" s="1"/>
  <c r="C516" i="19" s="1"/>
  <c r="I539" i="9"/>
  <c r="J539" i="9" s="1"/>
  <c r="C539" i="19" s="1"/>
  <c r="I546" i="9"/>
  <c r="J546" i="9" s="1"/>
  <c r="C546" i="19" s="1"/>
  <c r="I756" i="9"/>
  <c r="J756" i="9" s="1"/>
  <c r="C756" i="19" s="1"/>
  <c r="I236" i="9"/>
  <c r="J236" i="9" s="1"/>
  <c r="C236" i="19" s="1"/>
  <c r="I396" i="9"/>
  <c r="J396" i="9" s="1"/>
  <c r="C396" i="19" s="1"/>
  <c r="I150" i="9"/>
  <c r="J150" i="9" s="1"/>
  <c r="C150" i="19" s="1"/>
  <c r="I492" i="9"/>
  <c r="J492" i="9" s="1"/>
  <c r="C492" i="19" s="1"/>
  <c r="I565" i="9"/>
  <c r="J565" i="9" s="1"/>
  <c r="C565" i="19" s="1"/>
  <c r="I259" i="9"/>
  <c r="J259" i="9" s="1"/>
  <c r="C259" i="19" s="1"/>
  <c r="I154" i="9"/>
  <c r="J154" i="9" s="1"/>
  <c r="C154" i="19" s="1"/>
  <c r="I500" i="9"/>
  <c r="J500" i="9" s="1"/>
  <c r="C500" i="19" s="1"/>
  <c r="I2" i="9"/>
  <c r="J2" i="9" s="1"/>
  <c r="C2" i="19" s="1"/>
  <c r="D2" i="19" s="1"/>
  <c r="I134" i="9"/>
  <c r="J134" i="9" s="1"/>
  <c r="C134" i="19" s="1"/>
  <c r="I201" i="9"/>
  <c r="J201" i="9" s="1"/>
  <c r="C201" i="19" s="1"/>
  <c r="I16" i="9"/>
  <c r="J16" i="9" s="1"/>
  <c r="C16" i="19" s="1"/>
  <c r="I88" i="9"/>
  <c r="J88" i="9" s="1"/>
  <c r="C88" i="19" s="1"/>
  <c r="I238" i="9"/>
  <c r="J238" i="9" s="1"/>
  <c r="C238" i="19" s="1"/>
  <c r="I331" i="9"/>
  <c r="J331" i="9" s="1"/>
  <c r="C331" i="19" s="1"/>
  <c r="I373" i="9"/>
  <c r="J373" i="9" s="1"/>
  <c r="C373" i="19" s="1"/>
  <c r="I230" i="9"/>
  <c r="J230" i="9" s="1"/>
  <c r="C230" i="19" s="1"/>
  <c r="I25" i="9"/>
  <c r="J25" i="9" s="1"/>
  <c r="C25" i="19" s="1"/>
  <c r="I555" i="9"/>
  <c r="J555" i="9" s="1"/>
  <c r="C555" i="19" s="1"/>
  <c r="I685" i="9"/>
  <c r="J685" i="9" s="1"/>
  <c r="C685" i="19" s="1"/>
  <c r="I292" i="9"/>
  <c r="J292" i="9" s="1"/>
  <c r="C292" i="19" s="1"/>
  <c r="I666" i="9"/>
  <c r="J666" i="9" s="1"/>
  <c r="C666" i="19" s="1"/>
  <c r="I791" i="9"/>
  <c r="J791" i="9" s="1"/>
  <c r="C791" i="19" s="1"/>
  <c r="I137" i="9"/>
  <c r="J137" i="9" s="1"/>
  <c r="C137" i="19" s="1"/>
  <c r="I778" i="9"/>
  <c r="J778" i="9" s="1"/>
  <c r="C778" i="19" s="1"/>
  <c r="I473" i="9"/>
  <c r="J473" i="9" s="1"/>
  <c r="C473" i="19" s="1"/>
  <c r="I514" i="9"/>
  <c r="J514" i="9" s="1"/>
  <c r="C514" i="19" s="1"/>
  <c r="I402" i="9"/>
  <c r="J402" i="9" s="1"/>
  <c r="C402" i="19" s="1"/>
  <c r="I480" i="9"/>
  <c r="J480" i="9" s="1"/>
  <c r="C480" i="19" s="1"/>
  <c r="I231" i="9"/>
  <c r="J231" i="9" s="1"/>
  <c r="C231" i="19" s="1"/>
  <c r="I148" i="9"/>
  <c r="J148" i="9" s="1"/>
  <c r="C148" i="19" s="1"/>
  <c r="I399" i="9"/>
  <c r="J399" i="9" s="1"/>
  <c r="C399" i="19" s="1"/>
  <c r="I631" i="9"/>
  <c r="J631" i="9" s="1"/>
  <c r="C631" i="19" s="1"/>
  <c r="I779" i="9"/>
  <c r="J779" i="9" s="1"/>
  <c r="C779" i="19" s="1"/>
  <c r="I580" i="9"/>
  <c r="J580" i="9" s="1"/>
  <c r="C580" i="19" s="1"/>
  <c r="I677" i="9"/>
  <c r="J677" i="9" s="1"/>
  <c r="C677" i="19" s="1"/>
  <c r="I359" i="9"/>
  <c r="J359" i="9" s="1"/>
  <c r="C359" i="19" s="1"/>
  <c r="I156" i="9"/>
  <c r="J156" i="9" s="1"/>
  <c r="C156" i="19" s="1"/>
  <c r="I405" i="9"/>
  <c r="J405" i="9" s="1"/>
  <c r="C405" i="19" s="1"/>
  <c r="I171" i="9"/>
  <c r="J171" i="9" s="1"/>
  <c r="C171" i="19" s="1"/>
  <c r="I140" i="9"/>
  <c r="J140" i="9" s="1"/>
  <c r="C140" i="19" s="1"/>
  <c r="I508" i="9"/>
  <c r="J508" i="9" s="1"/>
  <c r="C508" i="19" s="1"/>
  <c r="I215" i="9"/>
  <c r="J215" i="9" s="1"/>
  <c r="C215" i="19" s="1"/>
  <c r="I341" i="9"/>
  <c r="J341" i="9" s="1"/>
  <c r="C341" i="19" s="1"/>
  <c r="I234" i="9"/>
  <c r="J234" i="9" s="1"/>
  <c r="C234" i="19" s="1"/>
  <c r="I274" i="9"/>
  <c r="J274" i="9" s="1"/>
  <c r="C274" i="19" s="1"/>
  <c r="I377" i="9"/>
  <c r="J377" i="9" s="1"/>
  <c r="C377" i="19" s="1"/>
  <c r="I611" i="9"/>
  <c r="J611" i="9" s="1"/>
  <c r="C611" i="19" s="1"/>
  <c r="I389" i="9"/>
  <c r="J389" i="9" s="1"/>
  <c r="C389" i="19" s="1"/>
  <c r="I379" i="9"/>
  <c r="J379" i="9" s="1"/>
  <c r="C379" i="19" s="1"/>
  <c r="I741" i="9"/>
  <c r="J741" i="9" s="1"/>
  <c r="C741" i="19" s="1"/>
  <c r="I806" i="9"/>
  <c r="J806" i="9" s="1"/>
  <c r="C806" i="19" s="1"/>
  <c r="I78" i="9"/>
  <c r="J78" i="9" s="1"/>
  <c r="C78" i="19" s="1"/>
  <c r="I96" i="9"/>
  <c r="J96" i="9" s="1"/>
  <c r="C96" i="19" s="1"/>
  <c r="I669" i="9"/>
  <c r="J669" i="9" s="1"/>
  <c r="C669" i="19" s="1"/>
  <c r="I46" i="9"/>
  <c r="J46" i="9" s="1"/>
  <c r="C46" i="19" s="1"/>
  <c r="I772" i="9"/>
  <c r="J772" i="9" s="1"/>
  <c r="C772" i="19" s="1"/>
  <c r="I469" i="9"/>
  <c r="J469" i="9" s="1"/>
  <c r="C469" i="19" s="1"/>
  <c r="I49" i="9"/>
  <c r="J49" i="9" s="1"/>
  <c r="C49" i="19" s="1"/>
  <c r="I168" i="9"/>
  <c r="J168" i="9" s="1"/>
  <c r="C168" i="19" s="1"/>
  <c r="I463" i="9"/>
  <c r="J463" i="9" s="1"/>
  <c r="C463" i="19" s="1"/>
  <c r="I709" i="9"/>
  <c r="J709" i="9" s="1"/>
  <c r="C709" i="19" s="1"/>
  <c r="I439" i="9"/>
  <c r="J439" i="9" s="1"/>
  <c r="C439" i="19" s="1"/>
  <c r="I415" i="9"/>
  <c r="J415" i="9" s="1"/>
  <c r="C415" i="19" s="1"/>
  <c r="I191" i="9"/>
  <c r="J191" i="9" s="1"/>
  <c r="C191" i="19" s="1"/>
  <c r="I679" i="9"/>
  <c r="J679" i="9" s="1"/>
  <c r="C679" i="19" s="1"/>
  <c r="I268" i="9"/>
  <c r="J268" i="9" s="1"/>
  <c r="C268" i="19" s="1"/>
  <c r="I619" i="9"/>
  <c r="J619" i="9" s="1"/>
  <c r="C619" i="19" s="1"/>
  <c r="I283" i="9"/>
  <c r="J283" i="9" s="1"/>
  <c r="C283" i="19" s="1"/>
  <c r="I243" i="9"/>
  <c r="J243" i="9" s="1"/>
  <c r="C243" i="19" s="1"/>
  <c r="I601" i="9"/>
  <c r="J601" i="9" s="1"/>
  <c r="C601" i="19" s="1"/>
  <c r="I809" i="9"/>
  <c r="J809" i="9" s="1"/>
  <c r="C809" i="19" s="1"/>
  <c r="I123" i="9"/>
  <c r="J123" i="9" s="1"/>
  <c r="C123" i="19" s="1"/>
  <c r="I746" i="9"/>
  <c r="J746" i="9" s="1"/>
  <c r="C746" i="19" s="1"/>
  <c r="I235" i="9"/>
  <c r="J235" i="9" s="1"/>
  <c r="C235" i="19" s="1"/>
  <c r="I356" i="9"/>
  <c r="J356" i="9" s="1"/>
  <c r="C356" i="19" s="1"/>
  <c r="I304" i="9"/>
  <c r="J304" i="9" s="1"/>
  <c r="C304" i="19" s="1"/>
  <c r="I312" i="9"/>
  <c r="J312" i="9" s="1"/>
  <c r="C312" i="19" s="1"/>
  <c r="I65" i="9"/>
  <c r="J65" i="9" s="1"/>
  <c r="C65" i="19" s="1"/>
  <c r="I497" i="9"/>
  <c r="J497" i="9" s="1"/>
  <c r="C497" i="19" s="1"/>
  <c r="I336" i="9"/>
  <c r="J336" i="9" s="1"/>
  <c r="C336" i="19" s="1"/>
  <c r="I119" i="9"/>
  <c r="J119" i="9" s="1"/>
  <c r="C119" i="19" s="1"/>
  <c r="I135" i="9"/>
  <c r="J135" i="9" s="1"/>
  <c r="C135" i="19" s="1"/>
  <c r="I564" i="9"/>
  <c r="J564" i="9" s="1"/>
  <c r="C564" i="19" s="1"/>
  <c r="I213" i="9"/>
  <c r="J213" i="9" s="1"/>
  <c r="C213" i="19" s="1"/>
  <c r="I672" i="9"/>
  <c r="J672" i="9" s="1"/>
  <c r="C672" i="19" s="1"/>
  <c r="I395" i="9"/>
  <c r="J395" i="9" s="1"/>
  <c r="C395" i="19" s="1"/>
  <c r="I272" i="9"/>
  <c r="J272" i="9" s="1"/>
  <c r="C272" i="19" s="1"/>
  <c r="I610" i="9"/>
  <c r="J610" i="9" s="1"/>
  <c r="C610" i="19" s="1"/>
  <c r="I102" i="9"/>
  <c r="J102" i="9" s="1"/>
  <c r="C102" i="19" s="1"/>
  <c r="I553" i="9"/>
  <c r="J553" i="9" s="1"/>
  <c r="C553" i="19" s="1"/>
  <c r="I727" i="9"/>
  <c r="J727" i="9" s="1"/>
  <c r="C727" i="19" s="1"/>
  <c r="I628" i="9"/>
  <c r="J628" i="9" s="1"/>
  <c r="C628" i="19" s="1"/>
  <c r="I645" i="9"/>
  <c r="J645" i="9" s="1"/>
  <c r="C645" i="19" s="1"/>
  <c r="I72" i="9"/>
  <c r="J72" i="9" s="1"/>
  <c r="C72" i="19" s="1"/>
  <c r="I482" i="9"/>
  <c r="J482" i="9" s="1"/>
  <c r="C482" i="19" s="1"/>
  <c r="I195" i="9"/>
  <c r="J195" i="9" s="1"/>
  <c r="C195" i="19" s="1"/>
  <c r="I612" i="9"/>
  <c r="J612" i="9" s="1"/>
  <c r="C612" i="19" s="1"/>
  <c r="I561" i="9"/>
  <c r="J561" i="9" s="1"/>
  <c r="C561" i="19" s="1"/>
  <c r="I810" i="9"/>
  <c r="J810" i="9" s="1"/>
  <c r="C810" i="19" s="1"/>
  <c r="I424" i="9"/>
  <c r="J424" i="9" s="1"/>
  <c r="C424" i="19" s="1"/>
  <c r="I795" i="9"/>
  <c r="J795" i="9" s="1"/>
  <c r="C795" i="19" s="1"/>
  <c r="I155" i="9"/>
  <c r="J155" i="9" s="1"/>
  <c r="C155" i="19" s="1"/>
  <c r="I762" i="9"/>
  <c r="J762" i="9" s="1"/>
  <c r="C762" i="19" s="1"/>
  <c r="I419" i="9"/>
  <c r="J419" i="9" s="1"/>
  <c r="C419" i="19" s="1"/>
  <c r="I449" i="9"/>
  <c r="J449" i="9" s="1"/>
  <c r="C449" i="19" s="1"/>
  <c r="I338" i="9"/>
  <c r="J338" i="9" s="1"/>
  <c r="C338" i="19" s="1"/>
  <c r="I687" i="9"/>
  <c r="J687" i="9" s="1"/>
  <c r="C687" i="19" s="1"/>
  <c r="I12" i="9"/>
  <c r="J12" i="9" s="1"/>
  <c r="I416" i="9"/>
  <c r="J416" i="9" s="1"/>
  <c r="C416" i="19" s="1"/>
  <c r="I747" i="9"/>
  <c r="J747" i="9" s="1"/>
  <c r="C747" i="19" s="1"/>
  <c r="I152" i="9"/>
  <c r="J152" i="9" s="1"/>
  <c r="C152" i="19" s="1"/>
  <c r="I732" i="9"/>
  <c r="J732" i="9" s="1"/>
  <c r="C732" i="19" s="1"/>
  <c r="I130" i="9"/>
  <c r="J130" i="9" s="1"/>
  <c r="C130" i="19" s="1"/>
  <c r="I522" i="9"/>
  <c r="J522" i="9" s="1"/>
  <c r="C522" i="19" s="1"/>
  <c r="I28" i="9"/>
  <c r="J28" i="9" s="1"/>
  <c r="C28" i="19" s="1"/>
  <c r="I35" i="9"/>
  <c r="J35" i="9" s="1"/>
  <c r="C35" i="19" s="1"/>
  <c r="I572" i="9"/>
  <c r="J572" i="9" s="1"/>
  <c r="C572" i="19" s="1"/>
  <c r="I515" i="9"/>
  <c r="J515" i="9" s="1"/>
  <c r="C515" i="19" s="1"/>
  <c r="I627" i="9"/>
  <c r="J627" i="9" s="1"/>
  <c r="C627" i="19" s="1"/>
  <c r="I82" i="9"/>
  <c r="J82" i="9" s="1"/>
  <c r="C82" i="19" s="1"/>
  <c r="I503" i="9"/>
  <c r="J503" i="9" s="1"/>
  <c r="C503" i="19" s="1"/>
  <c r="I540" i="9"/>
  <c r="J540" i="9" s="1"/>
  <c r="C540" i="19" s="1"/>
  <c r="I408" i="9"/>
  <c r="J408" i="9" s="1"/>
  <c r="C408" i="19" s="1"/>
  <c r="I575" i="9"/>
  <c r="J575" i="9" s="1"/>
  <c r="C575" i="19" s="1"/>
  <c r="I783" i="9"/>
  <c r="J783" i="9" s="1"/>
  <c r="C783" i="19" s="1"/>
  <c r="I178" i="9"/>
  <c r="J178" i="9" s="1"/>
  <c r="C178" i="19" s="1"/>
  <c r="I364" i="9"/>
  <c r="J364" i="9" s="1"/>
  <c r="C364" i="19" s="1"/>
  <c r="I220" i="9"/>
  <c r="J220" i="9" s="1"/>
  <c r="C220" i="19" s="1"/>
  <c r="I117" i="9"/>
  <c r="J117" i="9" s="1"/>
  <c r="C117" i="19" s="1"/>
  <c r="I291" i="9"/>
  <c r="J291" i="9" s="1"/>
  <c r="C291" i="19" s="1"/>
  <c r="I425" i="9"/>
  <c r="J425" i="9" s="1"/>
  <c r="C425" i="19" s="1"/>
  <c r="I441" i="9"/>
  <c r="J441" i="9" s="1"/>
  <c r="C441" i="19" s="1"/>
  <c r="I333" i="9"/>
  <c r="J333" i="9" s="1"/>
  <c r="C333" i="19" s="1"/>
  <c r="I570" i="9"/>
  <c r="J570" i="9" s="1"/>
  <c r="C570" i="19" s="1"/>
  <c r="I803" i="9"/>
  <c r="J803" i="9" s="1"/>
  <c r="C803" i="19" s="1"/>
  <c r="I37" i="9"/>
  <c r="J37" i="9" s="1"/>
  <c r="C37" i="19" s="1"/>
  <c r="I383" i="9"/>
  <c r="J383" i="9" s="1"/>
  <c r="C383" i="19" s="1"/>
  <c r="I523" i="9"/>
  <c r="J523" i="9" s="1"/>
  <c r="C523" i="19" s="1"/>
  <c r="I544" i="9"/>
  <c r="J544" i="9" s="1"/>
  <c r="C544" i="19" s="1"/>
  <c r="I489" i="9"/>
  <c r="J489" i="9" s="1"/>
  <c r="C489" i="19" s="1"/>
  <c r="I30" i="9"/>
  <c r="J30" i="9" s="1"/>
  <c r="C30" i="19" s="1"/>
  <c r="I577" i="9"/>
  <c r="J577" i="9" s="1"/>
  <c r="C577" i="19" s="1"/>
  <c r="I615" i="9"/>
  <c r="J615" i="9" s="1"/>
  <c r="C615" i="19" s="1"/>
  <c r="I674" i="9"/>
  <c r="J674" i="9" s="1"/>
  <c r="C674" i="19" s="1"/>
  <c r="I721" i="9"/>
  <c r="J721" i="9" s="1"/>
  <c r="C721" i="19" s="1"/>
  <c r="I190" i="9"/>
  <c r="J190" i="9" s="1"/>
  <c r="C190" i="19" s="1"/>
  <c r="I814" i="9"/>
  <c r="J814" i="9" s="1"/>
  <c r="C814" i="19" s="1"/>
  <c r="I557" i="9"/>
  <c r="J557" i="9" s="1"/>
  <c r="C557" i="19" s="1"/>
  <c r="I452" i="9"/>
  <c r="J452" i="9" s="1"/>
  <c r="C452" i="19" s="1"/>
  <c r="I198" i="9"/>
  <c r="J198" i="9" s="1"/>
  <c r="C198" i="19" s="1"/>
  <c r="I324" i="9"/>
  <c r="J324" i="9" s="1"/>
  <c r="C324" i="19" s="1"/>
  <c r="I224" i="9"/>
  <c r="J224" i="9" s="1"/>
  <c r="C224" i="19" s="1"/>
  <c r="I350" i="9"/>
  <c r="J350" i="9" s="1"/>
  <c r="C350" i="19" s="1"/>
  <c r="I562" i="9"/>
  <c r="J562" i="9" s="1"/>
  <c r="C562" i="19" s="1"/>
  <c r="I658" i="9"/>
  <c r="J658" i="9" s="1"/>
  <c r="C658" i="19" s="1"/>
  <c r="I560" i="9"/>
  <c r="J560" i="9" s="1"/>
  <c r="C560" i="19" s="1"/>
  <c r="I53" i="9"/>
  <c r="J53" i="9" s="1"/>
  <c r="C53" i="19" s="1"/>
  <c r="I819" i="9"/>
  <c r="J819" i="9" s="1"/>
  <c r="C819" i="19" s="1"/>
  <c r="I51" i="9"/>
  <c r="J51" i="9" s="1"/>
  <c r="C51" i="19" s="1"/>
  <c r="I592" i="9"/>
  <c r="J592" i="9" s="1"/>
  <c r="C592" i="19" s="1"/>
  <c r="I265" i="9"/>
  <c r="J265" i="9" s="1"/>
  <c r="C265" i="19" s="1"/>
  <c r="I649" i="9"/>
  <c r="J649" i="9" s="1"/>
  <c r="C649" i="19" s="1"/>
  <c r="I593" i="9"/>
  <c r="J593" i="9" s="1"/>
  <c r="C593" i="19" s="1"/>
  <c r="I363" i="9"/>
  <c r="J363" i="9" s="1"/>
  <c r="C363" i="19" s="1"/>
  <c r="I742" i="9"/>
  <c r="J742" i="9" s="1"/>
  <c r="C742" i="19" s="1"/>
  <c r="I587" i="9"/>
  <c r="J587" i="9" s="1"/>
  <c r="C587" i="19" s="1"/>
  <c r="I58" i="9"/>
  <c r="J58" i="9" s="1"/>
  <c r="C58" i="19" s="1"/>
  <c r="I143" i="9"/>
  <c r="J143" i="9" s="1"/>
  <c r="C143" i="19" s="1"/>
  <c r="I371" i="9"/>
  <c r="J371" i="9" s="1"/>
  <c r="C371" i="19" s="1"/>
  <c r="I353" i="9"/>
  <c r="J353" i="9" s="1"/>
  <c r="C353" i="19" s="1"/>
  <c r="I797" i="9"/>
  <c r="J797" i="9" s="1"/>
  <c r="C797" i="19" s="1"/>
  <c r="I787" i="9"/>
  <c r="J787" i="9" s="1"/>
  <c r="C787" i="19" s="1"/>
  <c r="I682" i="9"/>
  <c r="J682" i="9" s="1"/>
  <c r="C682" i="19" s="1"/>
  <c r="I97" i="9"/>
  <c r="J97" i="9" s="1"/>
  <c r="C97" i="19" s="1"/>
  <c r="I448" i="9"/>
  <c r="J448" i="9" s="1"/>
  <c r="C448" i="19" s="1"/>
  <c r="I308" i="9"/>
  <c r="J308" i="9" s="1"/>
  <c r="C308" i="19" s="1"/>
  <c r="I532" i="9"/>
  <c r="J532" i="9" s="1"/>
  <c r="C532" i="19" s="1"/>
  <c r="I654" i="9"/>
  <c r="J654" i="9" s="1"/>
  <c r="C654" i="19" s="1"/>
  <c r="I288" i="9"/>
  <c r="J288" i="9" s="1"/>
  <c r="C288" i="19" s="1"/>
  <c r="I470" i="9"/>
  <c r="J470" i="9" s="1"/>
  <c r="C470" i="19" s="1"/>
  <c r="I172" i="9"/>
  <c r="J172" i="9" s="1"/>
  <c r="C172" i="19" s="1"/>
  <c r="I422" i="9"/>
  <c r="J422" i="9" s="1"/>
  <c r="C422" i="19" s="1"/>
  <c r="I254" i="9"/>
  <c r="J254" i="9" s="1"/>
  <c r="C254" i="19" s="1"/>
  <c r="I444" i="9"/>
  <c r="J444" i="9" s="1"/>
  <c r="C444" i="19" s="1"/>
  <c r="I535" i="9"/>
  <c r="J535" i="9" s="1"/>
  <c r="C535" i="19" s="1"/>
  <c r="I698" i="9"/>
  <c r="J698" i="9" s="1"/>
  <c r="C698" i="19" s="1"/>
  <c r="I10" i="9"/>
  <c r="J10" i="9" s="1"/>
  <c r="C10" i="19" s="1"/>
  <c r="I165" i="9"/>
  <c r="J165" i="9" s="1"/>
  <c r="C165" i="19" s="1"/>
  <c r="I737" i="9"/>
  <c r="J737" i="9" s="1"/>
  <c r="C737" i="19" s="1"/>
  <c r="I683" i="9"/>
  <c r="J683" i="9" s="1"/>
  <c r="C683" i="19" s="1"/>
  <c r="I103" i="9"/>
  <c r="J103" i="9" s="1"/>
  <c r="C103" i="19" s="1"/>
  <c r="I330" i="9"/>
  <c r="J330" i="9" s="1"/>
  <c r="C330" i="19" s="1"/>
  <c r="I59" i="9"/>
  <c r="J59" i="9" s="1"/>
  <c r="C59" i="19" s="1"/>
  <c r="I695" i="9"/>
  <c r="J695" i="9" s="1"/>
  <c r="C695" i="19" s="1"/>
  <c r="I707" i="9"/>
  <c r="J707" i="9" s="1"/>
  <c r="C707" i="19" s="1"/>
  <c r="I502" i="9"/>
  <c r="J502" i="9" s="1"/>
  <c r="C502" i="19" s="1"/>
  <c r="I640" i="9"/>
  <c r="J640" i="9" s="1"/>
  <c r="C640" i="19" s="1"/>
  <c r="I9" i="9"/>
  <c r="J9" i="9" s="1"/>
  <c r="I246" i="9"/>
  <c r="J246" i="9" s="1"/>
  <c r="C246" i="19" s="1"/>
  <c r="I822" i="9"/>
  <c r="J822" i="9" s="1"/>
  <c r="C822" i="19" s="1"/>
  <c r="I665" i="9"/>
  <c r="J665" i="9" s="1"/>
  <c r="C665" i="19" s="1"/>
  <c r="I552" i="9"/>
  <c r="J552" i="9" s="1"/>
  <c r="C552" i="19" s="1"/>
  <c r="I776" i="9"/>
  <c r="J776" i="9" s="1"/>
  <c r="C776" i="19" s="1"/>
  <c r="I263" i="9"/>
  <c r="J263" i="9" s="1"/>
  <c r="C263" i="19" s="1"/>
  <c r="I121" i="9"/>
  <c r="J121" i="9" s="1"/>
  <c r="C121" i="19" s="1"/>
  <c r="I566" i="9"/>
  <c r="J566" i="9" s="1"/>
  <c r="C566" i="19" s="1"/>
  <c r="I530" i="9"/>
  <c r="J530" i="9" s="1"/>
  <c r="C530" i="19" s="1"/>
  <c r="I785" i="9"/>
  <c r="J785" i="9" s="1"/>
  <c r="C785" i="19" s="1"/>
  <c r="I132" i="9"/>
  <c r="J132" i="9" s="1"/>
  <c r="C132" i="19" s="1"/>
  <c r="I142" i="9"/>
  <c r="J142" i="9" s="1"/>
  <c r="C142" i="19" s="1"/>
  <c r="I205" i="9"/>
  <c r="J205" i="9" s="1"/>
  <c r="C205" i="19" s="1"/>
  <c r="I531" i="9"/>
  <c r="J531" i="9" s="1"/>
  <c r="C531" i="19" s="1"/>
  <c r="I788" i="9"/>
  <c r="J788" i="9" s="1"/>
  <c r="C788" i="19" s="1"/>
  <c r="I212" i="9"/>
  <c r="J212" i="9" s="1"/>
  <c r="C212" i="19" s="1"/>
  <c r="I423" i="9"/>
  <c r="J423" i="9" s="1"/>
  <c r="C423" i="19" s="1"/>
  <c r="I256" i="9"/>
  <c r="J256" i="9" s="1"/>
  <c r="C256" i="19" s="1"/>
  <c r="I211" i="9"/>
  <c r="J211" i="9" s="1"/>
  <c r="C211" i="19" s="1"/>
  <c r="I298" i="9"/>
  <c r="J298" i="9" s="1"/>
  <c r="C298" i="19" s="1"/>
  <c r="I638" i="9"/>
  <c r="J638" i="9" s="1"/>
  <c r="C638" i="19" s="1"/>
  <c r="I757" i="9"/>
  <c r="J757" i="9" s="1"/>
  <c r="C757" i="19" s="1"/>
  <c r="I297" i="9"/>
  <c r="J297" i="9" s="1"/>
  <c r="C297" i="19" s="1"/>
  <c r="I374" i="9"/>
  <c r="J374" i="9" s="1"/>
  <c r="C374" i="19" s="1"/>
  <c r="I563" i="9"/>
  <c r="J563" i="9" s="1"/>
  <c r="C563" i="19" s="1"/>
  <c r="I801" i="9"/>
  <c r="J801" i="9" s="1"/>
  <c r="C801" i="19" s="1"/>
  <c r="I462" i="9"/>
  <c r="J462" i="9" s="1"/>
  <c r="C462" i="19" s="1"/>
  <c r="I582" i="9"/>
  <c r="J582" i="9" s="1"/>
  <c r="C582" i="19" s="1"/>
  <c r="I723" i="9"/>
  <c r="J723" i="9" s="1"/>
  <c r="C723" i="19" s="1"/>
  <c r="I777" i="9"/>
  <c r="J777" i="9" s="1"/>
  <c r="C777" i="19" s="1"/>
  <c r="I90" i="9"/>
  <c r="J90" i="9" s="1"/>
  <c r="C90" i="19" s="1"/>
  <c r="I160" i="9"/>
  <c r="J160" i="9" s="1"/>
  <c r="C160" i="19" s="1"/>
  <c r="I494" i="9"/>
  <c r="J494" i="9" s="1"/>
  <c r="C494" i="19" s="1"/>
  <c r="I94" i="9"/>
  <c r="J94" i="9" s="1"/>
  <c r="C94" i="19" s="1"/>
  <c r="I479" i="9"/>
  <c r="J479" i="9" s="1"/>
  <c r="C479" i="19" s="1"/>
  <c r="I301" i="9"/>
  <c r="J301" i="9" s="1"/>
  <c r="C301" i="19" s="1"/>
  <c r="I180" i="9"/>
  <c r="J180" i="9" s="1"/>
  <c r="C180" i="19" s="1"/>
  <c r="I429" i="9"/>
  <c r="J429" i="9" s="1"/>
  <c r="C429" i="19" s="1"/>
  <c r="I225" i="9"/>
  <c r="J225" i="9" s="1"/>
  <c r="C225" i="19" s="1"/>
  <c r="I126" i="9"/>
  <c r="J126" i="9" s="1"/>
  <c r="C126" i="19" s="1"/>
  <c r="I623" i="9"/>
  <c r="J623" i="9" s="1"/>
  <c r="C623" i="19" s="1"/>
  <c r="I644" i="9"/>
  <c r="J644" i="9" s="1"/>
  <c r="C644" i="19" s="1"/>
  <c r="I106" i="9"/>
  <c r="J106" i="9" s="1"/>
  <c r="C106" i="19" s="1"/>
  <c r="I357" i="9"/>
  <c r="J357" i="9" s="1"/>
  <c r="C357" i="19" s="1"/>
  <c r="I782" i="9"/>
  <c r="J782" i="9" s="1"/>
  <c r="C782" i="19" s="1"/>
  <c r="I426" i="9"/>
  <c r="J426" i="9" s="1"/>
  <c r="C426" i="19" s="1"/>
  <c r="I476" i="9"/>
  <c r="J476" i="9" s="1"/>
  <c r="C476" i="19" s="1"/>
  <c r="I270" i="9"/>
  <c r="J270" i="9" s="1"/>
  <c r="C270" i="19" s="1"/>
  <c r="I813" i="9"/>
  <c r="J813" i="9" s="1"/>
  <c r="C813" i="19" s="1"/>
  <c r="I184" i="9"/>
  <c r="J184" i="9" s="1"/>
  <c r="C184" i="19" s="1"/>
  <c r="I541" i="9"/>
  <c r="J541" i="9" s="1"/>
  <c r="C541" i="19" s="1"/>
  <c r="I147" i="9"/>
  <c r="J147" i="9" s="1"/>
  <c r="C147" i="19" s="1"/>
  <c r="I487" i="9"/>
  <c r="J487" i="9" s="1"/>
  <c r="C487" i="19" s="1"/>
  <c r="I651" i="9"/>
  <c r="J651" i="9" s="1"/>
  <c r="C651" i="19" s="1"/>
  <c r="I812" i="9"/>
  <c r="J812" i="9" s="1"/>
  <c r="C812" i="19" s="1"/>
  <c r="I764" i="9"/>
  <c r="J764" i="9" s="1"/>
  <c r="C764" i="19" s="1"/>
  <c r="I177" i="9"/>
  <c r="J177" i="9" s="1"/>
  <c r="C177" i="19" s="1"/>
  <c r="I159" i="9"/>
  <c r="J159" i="9" s="1"/>
  <c r="C159" i="19" s="1"/>
  <c r="I170" i="9"/>
  <c r="J170" i="9" s="1"/>
  <c r="C170" i="19" s="1"/>
  <c r="I770" i="9"/>
  <c r="J770" i="9" s="1"/>
  <c r="C770" i="19" s="1"/>
  <c r="I538" i="9"/>
  <c r="J538" i="9" s="1"/>
  <c r="C538" i="19" s="1"/>
  <c r="I703" i="9"/>
  <c r="J703" i="9" s="1"/>
  <c r="C703" i="19" s="1"/>
  <c r="I817" i="9"/>
  <c r="J817" i="9" s="1"/>
  <c r="C817" i="19" s="1"/>
  <c r="I380" i="9"/>
  <c r="J380" i="9" s="1"/>
  <c r="C380" i="19" s="1"/>
  <c r="I536" i="9"/>
  <c r="J536" i="9" s="1"/>
  <c r="C536" i="19" s="1"/>
  <c r="I322" i="9"/>
  <c r="J322" i="9" s="1"/>
  <c r="C322" i="19" s="1"/>
  <c r="I413" i="9"/>
  <c r="J413" i="9" s="1"/>
  <c r="C413" i="19" s="1"/>
  <c r="I293" i="9"/>
  <c r="J293" i="9" s="1"/>
  <c r="C293" i="19" s="1"/>
  <c r="I807" i="9"/>
  <c r="J807" i="9" s="1"/>
  <c r="C807" i="19" s="1"/>
  <c r="I26" i="9"/>
  <c r="J26" i="9" s="1"/>
  <c r="C26" i="19" s="1"/>
  <c r="I22" i="9"/>
  <c r="J22" i="9" s="1"/>
  <c r="C22" i="19" s="1"/>
  <c r="I467" i="9"/>
  <c r="J467" i="9" s="1"/>
  <c r="C467" i="19" s="1"/>
  <c r="I418" i="9"/>
  <c r="J418" i="9" s="1"/>
  <c r="C418" i="19" s="1"/>
  <c r="I609" i="9"/>
  <c r="J609" i="9" s="1"/>
  <c r="C609" i="19" s="1"/>
  <c r="I187" i="9"/>
  <c r="J187" i="9" s="1"/>
  <c r="C187" i="19" s="1"/>
  <c r="I158" i="9"/>
  <c r="J158" i="9" s="1"/>
  <c r="C158" i="19" s="1"/>
  <c r="I684" i="9"/>
  <c r="J684" i="9" s="1"/>
  <c r="C684" i="19" s="1"/>
  <c r="I74" i="9"/>
  <c r="J74" i="9" s="1"/>
  <c r="C74" i="19" s="1"/>
  <c r="I624" i="9"/>
  <c r="J624" i="9" s="1"/>
  <c r="C624" i="19" s="1"/>
  <c r="I641" i="9"/>
  <c r="J641" i="9" s="1"/>
  <c r="C641" i="19" s="1"/>
  <c r="I775" i="9"/>
  <c r="J775" i="9" s="1"/>
  <c r="C775" i="19" s="1"/>
  <c r="I598" i="9"/>
  <c r="J598" i="9" s="1"/>
  <c r="C598" i="19" s="1"/>
  <c r="I600" i="9"/>
  <c r="J600" i="9" s="1"/>
  <c r="C600" i="19" s="1"/>
  <c r="I545" i="9"/>
  <c r="J545" i="9" s="1"/>
  <c r="C545" i="19" s="1"/>
  <c r="I398" i="9"/>
  <c r="J398" i="9" s="1"/>
  <c r="C398" i="19" s="1"/>
  <c r="I485" i="9"/>
  <c r="J485" i="9" s="1"/>
  <c r="C485" i="19" s="1"/>
  <c r="I657" i="9"/>
  <c r="J657" i="9" s="1"/>
  <c r="C657" i="19" s="1"/>
  <c r="I31" i="9"/>
  <c r="J31" i="9" s="1"/>
  <c r="C31" i="19" s="1"/>
  <c r="I128" i="9"/>
  <c r="J128" i="9" s="1"/>
  <c r="C128" i="19" s="1"/>
  <c r="I129" i="9"/>
  <c r="J129" i="9" s="1"/>
  <c r="C129" i="19" s="1"/>
  <c r="I216" i="9"/>
  <c r="J216" i="9" s="1"/>
  <c r="C216" i="19" s="1"/>
  <c r="I40" i="9"/>
  <c r="J40" i="9" s="1"/>
  <c r="C40" i="19" s="1"/>
  <c r="I768" i="9"/>
  <c r="J768" i="9" s="1"/>
  <c r="C768" i="19" s="1"/>
  <c r="I229" i="9"/>
  <c r="J229" i="9" s="1"/>
  <c r="C229" i="19" s="1"/>
  <c r="I87" i="9"/>
  <c r="J87" i="9" s="1"/>
  <c r="C87" i="19" s="1"/>
  <c r="I182" i="9"/>
  <c r="J182" i="9" s="1"/>
  <c r="C182" i="19" s="1"/>
  <c r="I109" i="9"/>
  <c r="J109" i="9" s="1"/>
  <c r="C109" i="19" s="1"/>
  <c r="I766" i="9"/>
  <c r="J766" i="9" s="1"/>
  <c r="C766" i="19" s="1"/>
  <c r="I351" i="9"/>
  <c r="J351" i="9" s="1"/>
  <c r="C351" i="19" s="1"/>
  <c r="I579" i="9"/>
  <c r="J579" i="9" s="1"/>
  <c r="C579" i="19" s="1"/>
  <c r="I750" i="9"/>
  <c r="J750" i="9" s="1"/>
  <c r="C750" i="19" s="1"/>
  <c r="I217" i="9"/>
  <c r="J217" i="9" s="1"/>
  <c r="C217" i="19" s="1"/>
  <c r="I18" i="9"/>
  <c r="J18" i="9" s="1"/>
  <c r="C18" i="19" s="1"/>
  <c r="I789" i="9"/>
  <c r="J789" i="9" s="1"/>
  <c r="C789" i="19" s="1"/>
  <c r="I169" i="9"/>
  <c r="J169" i="9" s="1"/>
  <c r="C169" i="19" s="1"/>
  <c r="I124" i="9"/>
  <c r="J124" i="9" s="1"/>
  <c r="C124" i="19" s="1"/>
  <c r="I278" i="9"/>
  <c r="J278" i="9" s="1"/>
  <c r="C278" i="19" s="1"/>
  <c r="I197" i="9"/>
  <c r="J197" i="9" s="1"/>
  <c r="C197" i="19" s="1"/>
  <c r="I691" i="9"/>
  <c r="J691" i="9" s="1"/>
  <c r="C691" i="19" s="1"/>
  <c r="I581" i="9"/>
  <c r="J581" i="9" s="1"/>
  <c r="C581" i="19" s="1"/>
  <c r="I320" i="9"/>
  <c r="J320" i="9" s="1"/>
  <c r="C320" i="19" s="1"/>
  <c r="I576" i="9"/>
  <c r="J576" i="9" s="1"/>
  <c r="C576" i="19" s="1"/>
  <c r="I305" i="9"/>
  <c r="J305" i="9" s="1"/>
  <c r="C305" i="19" s="1"/>
  <c r="I255" i="9"/>
  <c r="J255" i="9" s="1"/>
  <c r="C255" i="19" s="1"/>
  <c r="I656" i="9"/>
  <c r="J656" i="9" s="1"/>
  <c r="C656" i="19" s="1"/>
  <c r="I662" i="9"/>
  <c r="J662" i="9" s="1"/>
  <c r="C662" i="19" s="1"/>
  <c r="I276" i="9"/>
  <c r="J276" i="9" s="1"/>
  <c r="C276" i="19" s="1"/>
  <c r="I632" i="9"/>
  <c r="J632" i="9" s="1"/>
  <c r="C632" i="19" s="1"/>
  <c r="I42" i="9"/>
  <c r="J42" i="9" s="1"/>
  <c r="C42" i="19" s="1"/>
  <c r="I56" i="9"/>
  <c r="J56" i="9" s="1"/>
  <c r="C56" i="19" s="1"/>
  <c r="I597" i="9"/>
  <c r="J597" i="9" s="1"/>
  <c r="C597" i="19" s="1"/>
  <c r="I616" i="9"/>
  <c r="J616" i="9" s="1"/>
  <c r="C616" i="19" s="1"/>
  <c r="I769" i="9"/>
  <c r="J769" i="9" s="1"/>
  <c r="C769" i="19" s="1"/>
  <c r="I406" i="9"/>
  <c r="J406" i="9" s="1"/>
  <c r="C406" i="19" s="1"/>
  <c r="I456" i="9"/>
  <c r="J456" i="9" s="1"/>
  <c r="C456" i="19" s="1"/>
  <c r="I605" i="9"/>
  <c r="J605" i="9" s="1"/>
  <c r="C605" i="19" s="1"/>
  <c r="I676" i="9"/>
  <c r="J676" i="9" s="1"/>
  <c r="C676" i="19" s="1"/>
  <c r="I468" i="9"/>
  <c r="J468" i="9" s="1"/>
  <c r="C468" i="19" s="1"/>
  <c r="I753" i="9"/>
  <c r="J753" i="9" s="1"/>
  <c r="C753" i="19" s="1"/>
  <c r="I240" i="9"/>
  <c r="J240" i="9" s="1"/>
  <c r="C240" i="19" s="1"/>
  <c r="I799" i="9"/>
  <c r="J799" i="9" s="1"/>
  <c r="C799" i="19" s="1"/>
  <c r="I705" i="9"/>
  <c r="J705" i="9" s="1"/>
  <c r="C705" i="19" s="1"/>
  <c r="I726" i="9"/>
  <c r="J726" i="9" s="1"/>
  <c r="C726" i="19" s="1"/>
  <c r="I713" i="9"/>
  <c r="J713" i="9" s="1"/>
  <c r="C713" i="19" s="1"/>
  <c r="I717" i="9"/>
  <c r="J717" i="9" s="1"/>
  <c r="C717" i="19" s="1"/>
  <c r="I752" i="9"/>
  <c r="J752" i="9" s="1"/>
  <c r="C752" i="19" s="1"/>
  <c r="I793" i="9"/>
  <c r="J793" i="9" s="1"/>
  <c r="C793" i="19" s="1"/>
  <c r="I719" i="9"/>
  <c r="J719" i="9" s="1"/>
  <c r="C719" i="19" s="1"/>
  <c r="I558" i="9"/>
  <c r="J558" i="9" s="1"/>
  <c r="C558" i="19" s="1"/>
  <c r="I138" i="9"/>
  <c r="J138" i="9" s="1"/>
  <c r="C138" i="19" s="1"/>
  <c r="I23" i="9"/>
  <c r="J23" i="9" s="1"/>
  <c r="C23" i="19" s="1"/>
  <c r="I722" i="9"/>
  <c r="J722" i="9" s="1"/>
  <c r="C722" i="19" s="1"/>
  <c r="I116" i="9"/>
  <c r="J116" i="9" s="1"/>
  <c r="C116" i="19" s="1"/>
  <c r="I257" i="9"/>
  <c r="J257" i="9" s="1"/>
  <c r="C257" i="19" s="1"/>
  <c r="I569" i="9"/>
  <c r="J569" i="9" s="1"/>
  <c r="C569" i="19" s="1"/>
  <c r="I689" i="9"/>
  <c r="J689" i="9" s="1"/>
  <c r="C689" i="19" s="1"/>
  <c r="I209" i="9"/>
  <c r="J209" i="9" s="1"/>
  <c r="C209" i="19" s="1"/>
  <c r="I367" i="9"/>
  <c r="J367" i="9" s="1"/>
  <c r="C367" i="19" s="1"/>
  <c r="I44" i="9"/>
  <c r="J44" i="9" s="1"/>
  <c r="C44" i="19" s="1"/>
  <c r="I643" i="9"/>
  <c r="J643" i="9" s="1"/>
  <c r="C643" i="19" s="1"/>
  <c r="I244" i="9"/>
  <c r="J244" i="9" s="1"/>
  <c r="C244" i="19" s="1"/>
  <c r="I266" i="9"/>
  <c r="J266" i="9" s="1"/>
  <c r="C266" i="19" s="1"/>
  <c r="I589" i="9"/>
  <c r="J589" i="9" s="1"/>
  <c r="C589" i="19" s="1"/>
  <c r="I440" i="9"/>
  <c r="J440" i="9" s="1"/>
  <c r="C440" i="19" s="1"/>
  <c r="I706" i="9"/>
  <c r="J706" i="9" s="1"/>
  <c r="C706" i="19" s="1"/>
  <c r="I507" i="9"/>
  <c r="J507" i="9" s="1"/>
  <c r="C507" i="19" s="1"/>
  <c r="I307" i="9"/>
  <c r="J307" i="9" s="1"/>
  <c r="C307" i="19" s="1"/>
  <c r="I664" i="9"/>
  <c r="J664" i="9" s="1"/>
  <c r="C664" i="19" s="1"/>
  <c r="I57" i="9"/>
  <c r="J57" i="9" s="1"/>
  <c r="C57" i="19" s="1"/>
  <c r="I692" i="9"/>
  <c r="J692" i="9" s="1"/>
  <c r="C692" i="19" s="1"/>
  <c r="I313" i="9"/>
  <c r="J313" i="9" s="1"/>
  <c r="C313" i="19" s="1"/>
  <c r="I417" i="9"/>
  <c r="J417" i="9" s="1"/>
  <c r="C417" i="19" s="1"/>
  <c r="I761" i="9"/>
  <c r="J761" i="9" s="1"/>
  <c r="C761" i="19" s="1"/>
  <c r="I161" i="9"/>
  <c r="J161" i="9" s="1"/>
  <c r="C161" i="19" s="1"/>
  <c r="I639" i="9"/>
  <c r="J639" i="9" s="1"/>
  <c r="C639" i="19" s="1"/>
  <c r="I207" i="9"/>
  <c r="J207" i="9" s="1"/>
  <c r="C207" i="19" s="1"/>
  <c r="I125" i="9"/>
  <c r="J125" i="9" s="1"/>
  <c r="C125" i="19" s="1"/>
  <c r="I310" i="9"/>
  <c r="J310" i="9" s="1"/>
  <c r="C310" i="19" s="1"/>
  <c r="I67" i="9"/>
  <c r="J67" i="9" s="1"/>
  <c r="C67" i="19" s="1"/>
  <c r="I127" i="9"/>
  <c r="J127" i="9" s="1"/>
  <c r="C127" i="19" s="1"/>
  <c r="I189" i="9"/>
  <c r="J189" i="9" s="1"/>
  <c r="C189" i="19" s="1"/>
  <c r="I744" i="9"/>
  <c r="J744" i="9" s="1"/>
  <c r="C744" i="19" s="1"/>
  <c r="I588" i="9"/>
  <c r="J588" i="9" s="1"/>
  <c r="C588" i="19" s="1"/>
  <c r="I529" i="9"/>
  <c r="J529" i="9" s="1"/>
  <c r="C529" i="19" s="1"/>
  <c r="I431" i="9"/>
  <c r="J431" i="9" s="1"/>
  <c r="C431" i="19" s="1"/>
  <c r="I218" i="9"/>
  <c r="J218" i="9" s="1"/>
  <c r="C218" i="19" s="1"/>
  <c r="I107" i="9"/>
  <c r="J107" i="9" s="1"/>
  <c r="C107" i="19" s="1"/>
  <c r="I527" i="9"/>
  <c r="J527" i="9" s="1"/>
  <c r="C527" i="19" s="1"/>
  <c r="I188" i="9"/>
  <c r="J188" i="9" s="1"/>
  <c r="C188" i="19" s="1"/>
  <c r="I688" i="9"/>
  <c r="J688" i="9" s="1"/>
  <c r="C688" i="19" s="1"/>
  <c r="I635" i="9"/>
  <c r="J635" i="9" s="1"/>
  <c r="C635" i="19" s="1"/>
  <c r="I328" i="9"/>
  <c r="J328" i="9" s="1"/>
  <c r="C328" i="19" s="1"/>
  <c r="I447" i="9"/>
  <c r="J447" i="9" s="1"/>
  <c r="C447" i="19" s="1"/>
  <c r="I754" i="9"/>
  <c r="J754" i="9" s="1"/>
  <c r="C754" i="19" s="1"/>
  <c r="I578" i="9"/>
  <c r="J578" i="9" s="1"/>
  <c r="C578" i="19" s="1"/>
  <c r="I715" i="9"/>
  <c r="J715" i="9" s="1"/>
  <c r="C715" i="19" s="1"/>
  <c r="I675" i="9"/>
  <c r="J675" i="9" s="1"/>
  <c r="C675" i="19" s="1"/>
  <c r="I773" i="9"/>
  <c r="J773" i="9" s="1"/>
  <c r="C773" i="19" s="1"/>
  <c r="I104" i="9"/>
  <c r="J104" i="9" s="1"/>
  <c r="C104" i="19" s="1"/>
  <c r="I704" i="9"/>
  <c r="J704" i="9" s="1"/>
  <c r="C704" i="19" s="1"/>
  <c r="I386" i="9"/>
  <c r="J386" i="9" s="1"/>
  <c r="C386" i="19" s="1"/>
  <c r="I381" i="9"/>
  <c r="J381" i="9" s="1"/>
  <c r="C381" i="19" s="1"/>
  <c r="I755" i="9"/>
  <c r="J755" i="9" s="1"/>
  <c r="C755" i="19" s="1"/>
  <c r="I342" i="9"/>
  <c r="J342" i="9" s="1"/>
  <c r="C342" i="19" s="1"/>
  <c r="I591" i="9"/>
  <c r="J591" i="9" s="1"/>
  <c r="C591" i="19" s="1"/>
  <c r="I33" i="9"/>
  <c r="J33" i="9" s="1"/>
  <c r="C33" i="19" s="1"/>
  <c r="I309" i="9"/>
  <c r="J309" i="9" s="1"/>
  <c r="C309" i="19" s="1"/>
  <c r="I162" i="9"/>
  <c r="J162" i="9" s="1"/>
  <c r="C162" i="19" s="1"/>
  <c r="I275" i="9"/>
  <c r="J275" i="9" s="1"/>
  <c r="C275" i="19" s="1"/>
  <c r="I287" i="9"/>
  <c r="J287" i="9" s="1"/>
  <c r="C287" i="19" s="1"/>
  <c r="I733" i="9"/>
  <c r="J733" i="9" s="1"/>
  <c r="C733" i="19" s="1"/>
  <c r="I730" i="9"/>
  <c r="J730" i="9" s="1"/>
  <c r="C730" i="19" s="1"/>
  <c r="I524" i="9"/>
  <c r="J524" i="9" s="1"/>
  <c r="C524" i="19" s="1"/>
  <c r="I736" i="9"/>
  <c r="J736" i="9" s="1"/>
  <c r="C736" i="19" s="1"/>
  <c r="I167" i="9"/>
  <c r="J167" i="9" s="1"/>
  <c r="C167" i="19" s="1"/>
  <c r="I556" i="9"/>
  <c r="J556" i="9" s="1"/>
  <c r="C556" i="19" s="1"/>
  <c r="I241" i="9"/>
  <c r="J241" i="9" s="1"/>
  <c r="C241" i="19" s="1"/>
  <c r="I437" i="9"/>
  <c r="J437" i="9" s="1"/>
  <c r="C437" i="19" s="1"/>
  <c r="I21" i="9"/>
  <c r="J21" i="9" s="1"/>
  <c r="C21" i="19" s="1"/>
  <c r="I282" i="9"/>
  <c r="J282" i="9" s="1"/>
  <c r="C282" i="19" s="1"/>
  <c r="I271" i="9"/>
  <c r="J271" i="9" s="1"/>
  <c r="C271" i="19" s="1"/>
  <c r="I393" i="9"/>
  <c r="J393" i="9" s="1"/>
  <c r="C393" i="19" s="1"/>
  <c r="I302" i="9"/>
  <c r="J302" i="9" s="1"/>
  <c r="C302" i="19" s="1"/>
  <c r="I629" i="9"/>
  <c r="J629" i="9" s="1"/>
  <c r="C629" i="19" s="1"/>
  <c r="I50" i="9"/>
  <c r="J50" i="9" s="1"/>
  <c r="C50" i="19" s="1"/>
  <c r="I247" i="9"/>
  <c r="J247" i="9" s="1"/>
  <c r="C247" i="19" s="1"/>
  <c r="I634" i="9"/>
  <c r="J634" i="9" s="1"/>
  <c r="C634" i="19" s="1"/>
  <c r="I471" i="9"/>
  <c r="J471" i="9" s="1"/>
  <c r="C471" i="19" s="1"/>
  <c r="I95" i="9"/>
  <c r="J95" i="9" s="1"/>
  <c r="C95" i="19" s="1"/>
  <c r="I519" i="9"/>
  <c r="J519" i="9" s="1"/>
  <c r="C519" i="19" s="1"/>
  <c r="I327" i="9"/>
  <c r="J327" i="9" s="1"/>
  <c r="C327" i="19" s="1"/>
  <c r="I765" i="9"/>
  <c r="J765" i="9" s="1"/>
  <c r="C765" i="19" s="1"/>
  <c r="I584" i="9"/>
  <c r="J584" i="9" s="1"/>
  <c r="C584" i="19" s="1"/>
  <c r="I784" i="9"/>
  <c r="J784" i="9" s="1"/>
  <c r="C784" i="19" s="1"/>
  <c r="I369" i="9"/>
  <c r="J369" i="9" s="1"/>
  <c r="C369" i="19" s="1"/>
  <c r="I488" i="9"/>
  <c r="J488" i="9" s="1"/>
  <c r="C488" i="19" s="1"/>
  <c r="I549" i="9"/>
  <c r="J549" i="9" s="1"/>
  <c r="C549" i="19" s="1"/>
  <c r="I446" i="9"/>
  <c r="J446" i="9" s="1"/>
  <c r="C446" i="19" s="1"/>
  <c r="I105" i="9"/>
  <c r="J105" i="9" s="1"/>
  <c r="C105" i="19" s="1"/>
  <c r="I493" i="9"/>
  <c r="J493" i="9" s="1"/>
  <c r="C493" i="19" s="1"/>
  <c r="I55" i="9"/>
  <c r="J55" i="9" s="1"/>
  <c r="C55" i="19" s="1"/>
  <c r="I725" i="9"/>
  <c r="J725" i="9" s="1"/>
  <c r="C725" i="19" s="1"/>
  <c r="I277" i="9"/>
  <c r="J277" i="9" s="1"/>
  <c r="C277" i="19" s="1"/>
  <c r="I239" i="9"/>
  <c r="J239" i="9" s="1"/>
  <c r="C239" i="19" s="1"/>
  <c r="I445" i="9"/>
  <c r="J445" i="9" s="1"/>
  <c r="C445" i="19" s="1"/>
  <c r="I290" i="9"/>
  <c r="J290" i="9" s="1"/>
  <c r="C290" i="19" s="1"/>
  <c r="I47" i="9"/>
  <c r="J47" i="9" s="1"/>
  <c r="C47" i="19" s="1"/>
  <c r="I362" i="9"/>
  <c r="J362" i="9" s="1"/>
  <c r="C362" i="19" s="1"/>
  <c r="I724" i="9"/>
  <c r="J724" i="9" s="1"/>
  <c r="C724" i="19" s="1"/>
  <c r="I745" i="9"/>
  <c r="J745" i="9" s="1"/>
  <c r="C745" i="19" s="1"/>
  <c r="I62" i="9"/>
  <c r="J62" i="9" s="1"/>
  <c r="C62" i="19" s="1"/>
  <c r="I99" i="9"/>
  <c r="J99" i="9" s="1"/>
  <c r="C99" i="19" s="1"/>
  <c r="I678" i="9"/>
  <c r="J678" i="9" s="1"/>
  <c r="C678" i="19" s="1"/>
  <c r="I659" i="9"/>
  <c r="J659" i="9" s="1"/>
  <c r="C659" i="19" s="1"/>
  <c r="I151" i="9"/>
  <c r="J151" i="9" s="1"/>
  <c r="C151" i="19" s="1"/>
  <c r="I347" i="9"/>
  <c r="J347" i="9" s="1"/>
  <c r="C347" i="19" s="1"/>
  <c r="I511" i="9"/>
  <c r="J511" i="9" s="1"/>
  <c r="C511" i="19" s="1"/>
  <c r="I694" i="9"/>
  <c r="J694" i="9" s="1"/>
  <c r="C694" i="19" s="1"/>
  <c r="I774" i="9"/>
  <c r="J774" i="9" s="1"/>
  <c r="C774" i="19" s="1"/>
  <c r="I621" i="9"/>
  <c r="J621" i="9" s="1"/>
  <c r="C621" i="19" s="1"/>
  <c r="I368" i="9"/>
  <c r="J368" i="9" s="1"/>
  <c r="C368" i="19" s="1"/>
  <c r="I702" i="9"/>
  <c r="J702" i="9" s="1"/>
  <c r="C702" i="19" s="1"/>
  <c r="I269" i="9"/>
  <c r="J269" i="9" s="1"/>
  <c r="C269" i="19" s="1"/>
  <c r="I670" i="9"/>
  <c r="J670" i="9" s="1"/>
  <c r="C670" i="19" s="1"/>
  <c r="I335" i="9"/>
  <c r="J335" i="9" s="1"/>
  <c r="C335" i="19" s="1"/>
  <c r="I542" i="9"/>
  <c r="J542" i="9" s="1"/>
  <c r="C542" i="19" s="1"/>
  <c r="I390" i="9"/>
  <c r="J390" i="9" s="1"/>
  <c r="C390" i="19" s="1"/>
  <c r="I29" i="9"/>
  <c r="J29" i="9" s="1"/>
  <c r="C29" i="19" s="1"/>
  <c r="I673" i="9"/>
  <c r="J673" i="9" s="1"/>
  <c r="C673" i="19" s="1"/>
  <c r="I596" i="9"/>
  <c r="J596" i="9" s="1"/>
  <c r="C596" i="19" s="1"/>
  <c r="I808" i="9"/>
  <c r="J808" i="9" s="1"/>
  <c r="C808" i="19" s="1"/>
  <c r="I633" i="9"/>
  <c r="J633" i="9" s="1"/>
  <c r="C633" i="19" s="1"/>
  <c r="I458" i="9"/>
  <c r="J458" i="9" s="1"/>
  <c r="C458" i="19" s="1"/>
  <c r="I421" i="9"/>
  <c r="J421" i="9" s="1"/>
  <c r="C421" i="19" s="1"/>
  <c r="I585" i="9"/>
  <c r="J585" i="9" s="1"/>
  <c r="C585" i="19" s="1"/>
  <c r="I792" i="9"/>
  <c r="J792" i="9" s="1"/>
  <c r="C792" i="19" s="1"/>
  <c r="I91" i="9"/>
  <c r="J91" i="9" s="1"/>
  <c r="C91" i="19" s="1"/>
  <c r="I13" i="9"/>
  <c r="J13" i="9" s="1"/>
  <c r="C13" i="19" s="1"/>
  <c r="I348" i="9"/>
  <c r="J348" i="9" s="1"/>
  <c r="C348" i="19" s="1"/>
  <c r="I459" i="9"/>
  <c r="J459" i="9" s="1"/>
  <c r="C459" i="19" s="1"/>
  <c r="I460" i="9"/>
  <c r="J460" i="9" s="1"/>
  <c r="C460" i="19" s="1"/>
  <c r="I164" i="9"/>
  <c r="J164" i="9" s="1"/>
  <c r="C164" i="19" s="1"/>
  <c r="I61" i="9"/>
  <c r="J61" i="9" s="1"/>
  <c r="C61" i="19" s="1"/>
  <c r="I453" i="9"/>
  <c r="J453" i="9" s="1"/>
  <c r="C453" i="19" s="1"/>
  <c r="I315" i="9"/>
  <c r="J315" i="9" s="1"/>
  <c r="C315" i="19" s="1"/>
  <c r="I199" i="9"/>
  <c r="J199" i="9" s="1"/>
  <c r="C199" i="19" s="1"/>
  <c r="O404" i="16"/>
  <c r="S404" i="16"/>
  <c r="K404" i="16"/>
  <c r="G692" i="8"/>
  <c r="G421" i="8"/>
  <c r="B798" i="20"/>
  <c r="AL798" i="20" s="1"/>
  <c r="B798" i="19"/>
  <c r="B58" i="20"/>
  <c r="AL58" i="20" s="1"/>
  <c r="B58" i="19"/>
  <c r="K597" i="16"/>
  <c r="S597" i="16"/>
  <c r="O597" i="16"/>
  <c r="B526" i="19"/>
  <c r="B526" i="20"/>
  <c r="AL526" i="20" s="1"/>
  <c r="L552" i="20"/>
  <c r="I552" i="20"/>
  <c r="I665" i="20"/>
  <c r="L665" i="20"/>
  <c r="I98" i="19"/>
  <c r="M98" i="19"/>
  <c r="H700" i="19"/>
  <c r="L700" i="19"/>
  <c r="K700" i="19"/>
  <c r="H179" i="19"/>
  <c r="L179" i="19"/>
  <c r="K179" i="19"/>
  <c r="G673" i="8"/>
  <c r="K328" i="16"/>
  <c r="S328" i="16"/>
  <c r="O328" i="16"/>
  <c r="G56" i="8"/>
  <c r="G186" i="8"/>
  <c r="I766" i="20"/>
  <c r="L766" i="20"/>
  <c r="I115" i="9"/>
  <c r="J115" i="9" s="1"/>
  <c r="C115" i="19" s="1"/>
  <c r="I349" i="9"/>
  <c r="J349" i="9" s="1"/>
  <c r="C349" i="19" s="1"/>
  <c r="I642" i="9"/>
  <c r="J642" i="9" s="1"/>
  <c r="C642" i="19" s="1"/>
  <c r="J707" i="8"/>
  <c r="B74" i="20"/>
  <c r="AL74" i="20" s="1"/>
  <c r="B74" i="19"/>
  <c r="L110" i="20"/>
  <c r="I110" i="20"/>
  <c r="O336" i="16"/>
  <c r="S336" i="16"/>
  <c r="K336" i="16"/>
  <c r="H447" i="19"/>
  <c r="K447" i="19"/>
  <c r="L447" i="19"/>
  <c r="H323" i="19"/>
  <c r="L323" i="19"/>
  <c r="K323" i="19"/>
  <c r="AV49" i="16"/>
  <c r="AU3" i="16"/>
  <c r="L102" i="20"/>
  <c r="I102" i="20"/>
  <c r="S486" i="16"/>
  <c r="K486" i="16"/>
  <c r="O486" i="16"/>
  <c r="L14" i="19"/>
  <c r="K14" i="19"/>
  <c r="H14" i="19"/>
  <c r="L500" i="19"/>
  <c r="K500" i="19"/>
  <c r="H500" i="19"/>
  <c r="I400" i="9"/>
  <c r="J400" i="9" s="1"/>
  <c r="C400" i="19" s="1"/>
  <c r="O256" i="16"/>
  <c r="K256" i="16"/>
  <c r="S256" i="16"/>
  <c r="G561" i="8"/>
  <c r="K552" i="19"/>
  <c r="H552" i="19"/>
  <c r="L552" i="19"/>
  <c r="H652" i="19"/>
  <c r="L652" i="19"/>
  <c r="K652" i="19"/>
  <c r="L298" i="20"/>
  <c r="I298" i="20"/>
  <c r="L704" i="19"/>
  <c r="K704" i="19"/>
  <c r="H704" i="19"/>
  <c r="O665" i="16"/>
  <c r="S665" i="16"/>
  <c r="K665" i="16"/>
  <c r="I740" i="20"/>
  <c r="L740" i="20"/>
  <c r="J96" i="8"/>
  <c r="L339" i="20"/>
  <c r="I339" i="20"/>
  <c r="J491" i="8"/>
  <c r="K470" i="16"/>
  <c r="S470" i="16"/>
  <c r="O470" i="16"/>
  <c r="L247" i="20"/>
  <c r="I247" i="20"/>
  <c r="O766" i="16"/>
  <c r="S766" i="16"/>
  <c r="K766" i="16"/>
  <c r="B140" i="20"/>
  <c r="AL140" i="20" s="1"/>
  <c r="B140" i="19"/>
  <c r="G701" i="8"/>
  <c r="J32" i="8"/>
  <c r="S333" i="16"/>
  <c r="K333" i="16"/>
  <c r="O333" i="16"/>
  <c r="K197" i="16"/>
  <c r="S197" i="16"/>
  <c r="O197" i="16"/>
  <c r="I527" i="20"/>
  <c r="L527" i="20"/>
  <c r="H350" i="19"/>
  <c r="L350" i="19"/>
  <c r="K350" i="19"/>
  <c r="AU67" i="16"/>
  <c r="AU54" i="16"/>
  <c r="AV30" i="16"/>
  <c r="L460" i="20"/>
  <c r="I460" i="20"/>
  <c r="L423" i="20"/>
  <c r="I423" i="20"/>
  <c r="I563" i="20"/>
  <c r="L563" i="20"/>
  <c r="K502" i="16"/>
  <c r="O502" i="16"/>
  <c r="S502" i="16"/>
  <c r="AO25" i="10"/>
  <c r="R25" i="20" s="1"/>
  <c r="Y25" i="20" s="1"/>
  <c r="AW25" i="10"/>
  <c r="AS25" i="10"/>
  <c r="K575" i="16"/>
  <c r="S575" i="16"/>
  <c r="O575" i="16"/>
  <c r="L276" i="19"/>
  <c r="K276" i="19"/>
  <c r="H276" i="19"/>
  <c r="I69" i="9"/>
  <c r="J69" i="9" s="1"/>
  <c r="C69" i="19" s="1"/>
  <c r="H86" i="19"/>
  <c r="L86" i="19"/>
  <c r="K86" i="19"/>
  <c r="L323" i="20"/>
  <c r="I323" i="20"/>
  <c r="AV29" i="16"/>
  <c r="AV17" i="16"/>
  <c r="O460" i="16"/>
  <c r="S460" i="16"/>
  <c r="K460" i="16"/>
  <c r="O423" i="16"/>
  <c r="S423" i="16"/>
  <c r="K423" i="16"/>
  <c r="O102" i="16"/>
  <c r="K102" i="16"/>
  <c r="S102" i="16"/>
  <c r="I79" i="19"/>
  <c r="M79" i="19"/>
  <c r="AW65" i="10"/>
  <c r="AS65" i="10"/>
  <c r="AO65" i="10"/>
  <c r="R65" i="20" s="1"/>
  <c r="Y65" i="20" s="1"/>
  <c r="I433" i="9"/>
  <c r="J433" i="9" s="1"/>
  <c r="C433" i="19" s="1"/>
  <c r="L500" i="20"/>
  <c r="I500" i="20"/>
  <c r="I716" i="20"/>
  <c r="L716" i="20"/>
  <c r="G92" i="8"/>
  <c r="M400" i="19"/>
  <c r="I400" i="19"/>
  <c r="O184" i="16"/>
  <c r="K184" i="16"/>
  <c r="S184" i="16"/>
  <c r="I144" i="9"/>
  <c r="J144" i="9" s="1"/>
  <c r="C144" i="19" s="1"/>
  <c r="I141" i="9"/>
  <c r="J141" i="9" s="1"/>
  <c r="C141" i="19" s="1"/>
  <c r="G404" i="8"/>
  <c r="S552" i="16"/>
  <c r="O552" i="16"/>
  <c r="K552" i="16"/>
  <c r="L652" i="20"/>
  <c r="I652" i="20"/>
  <c r="S298" i="16"/>
  <c r="O298" i="16"/>
  <c r="K298" i="16"/>
  <c r="I267" i="9"/>
  <c r="J267" i="9" s="1"/>
  <c r="C267" i="19" s="1"/>
  <c r="O704" i="16"/>
  <c r="K704" i="16"/>
  <c r="S704" i="16"/>
  <c r="M176" i="19"/>
  <c r="I176" i="19"/>
  <c r="G109" i="8"/>
  <c r="S740" i="16"/>
  <c r="O740" i="16"/>
  <c r="K740" i="16"/>
  <c r="I427" i="9"/>
  <c r="J427" i="9" s="1"/>
  <c r="C427" i="19" s="1"/>
  <c r="L410" i="19"/>
  <c r="K410" i="19"/>
  <c r="H410" i="19"/>
  <c r="G96" i="8"/>
  <c r="L775" i="20"/>
  <c r="I775" i="20"/>
  <c r="B238" i="19"/>
  <c r="B238" i="20"/>
  <c r="AL238" i="20" s="1"/>
  <c r="L470" i="20"/>
  <c r="I470" i="20"/>
  <c r="L555" i="20"/>
  <c r="I555" i="20"/>
  <c r="I702" i="19"/>
  <c r="M702" i="19"/>
  <c r="L796" i="20"/>
  <c r="I796" i="20"/>
  <c r="G329" i="8"/>
  <c r="L192" i="19"/>
  <c r="K192" i="19"/>
  <c r="H192" i="19"/>
  <c r="L522" i="19"/>
  <c r="K522" i="19"/>
  <c r="H522" i="19"/>
  <c r="I529" i="20"/>
  <c r="L529" i="20"/>
  <c r="L174" i="20"/>
  <c r="I174" i="20"/>
  <c r="AQ61" i="19"/>
  <c r="AR61" i="19" s="1"/>
  <c r="O739" i="16"/>
  <c r="S739" i="16"/>
  <c r="K739" i="16"/>
  <c r="B416" i="20"/>
  <c r="AL416" i="20" s="1"/>
  <c r="B416" i="19"/>
  <c r="M319" i="19"/>
  <c r="I319" i="19"/>
  <c r="AU14" i="16"/>
  <c r="AU56" i="16"/>
  <c r="AQ8" i="19"/>
  <c r="AR8" i="19" s="1"/>
  <c r="K20" i="16"/>
  <c r="S20" i="16"/>
  <c r="O20" i="16"/>
  <c r="L165" i="20"/>
  <c r="I165" i="20"/>
  <c r="S140" i="16"/>
  <c r="K140" i="16"/>
  <c r="O140" i="16"/>
  <c r="I73" i="9"/>
  <c r="J73" i="9" s="1"/>
  <c r="C73" i="19" s="1"/>
  <c r="K439" i="19"/>
  <c r="H439" i="19"/>
  <c r="L439" i="19"/>
  <c r="K170" i="16"/>
  <c r="S170" i="16"/>
  <c r="O170" i="16"/>
  <c r="I345" i="9"/>
  <c r="J345" i="9" s="1"/>
  <c r="C345" i="19" s="1"/>
  <c r="L306" i="19"/>
  <c r="K306" i="19"/>
  <c r="H306" i="19"/>
  <c r="K693" i="19"/>
  <c r="L693" i="19"/>
  <c r="H693" i="19"/>
  <c r="O727" i="16"/>
  <c r="K727" i="16"/>
  <c r="S727" i="16"/>
  <c r="L292" i="20"/>
  <c r="I292" i="20"/>
  <c r="L659" i="20"/>
  <c r="I659" i="20"/>
  <c r="O619" i="16"/>
  <c r="K619" i="16"/>
  <c r="S619" i="16"/>
  <c r="L169" i="20"/>
  <c r="I169" i="20"/>
  <c r="L297" i="20"/>
  <c r="I297" i="20"/>
  <c r="L438" i="20"/>
  <c r="I438" i="20"/>
  <c r="K377" i="16"/>
  <c r="O377" i="16"/>
  <c r="S377" i="16"/>
  <c r="I465" i="9"/>
  <c r="J465" i="9" s="1"/>
  <c r="C465" i="19" s="1"/>
  <c r="B357" i="20"/>
  <c r="AL357" i="20" s="1"/>
  <c r="B357" i="19"/>
  <c r="H397" i="19"/>
  <c r="L397" i="19"/>
  <c r="K397" i="19"/>
  <c r="B6" i="20"/>
  <c r="B6" i="19"/>
  <c r="L147" i="20"/>
  <c r="I147" i="20"/>
  <c r="AN2" i="16"/>
  <c r="O8" i="7"/>
  <c r="O9" i="7"/>
  <c r="O23" i="7" s="1"/>
  <c r="O10" i="7"/>
  <c r="L192" i="20"/>
  <c r="I192" i="20"/>
  <c r="L522" i="20"/>
  <c r="I522" i="20"/>
  <c r="K110" i="16"/>
  <c r="S110" i="16"/>
  <c r="O110" i="16"/>
  <c r="I66" i="9"/>
  <c r="J66" i="9" s="1"/>
  <c r="C66" i="19" s="1"/>
  <c r="O529" i="16"/>
  <c r="K529" i="16"/>
  <c r="S529" i="16"/>
  <c r="S527" i="16"/>
  <c r="K527" i="16"/>
  <c r="O527" i="16"/>
  <c r="H174" i="19"/>
  <c r="L174" i="19"/>
  <c r="K174" i="19"/>
  <c r="L350" i="20"/>
  <c r="I350" i="20"/>
  <c r="L447" i="20"/>
  <c r="I447" i="20"/>
  <c r="AK40" i="16"/>
  <c r="P40" i="20"/>
  <c r="BF40" i="10"/>
  <c r="AU25" i="16"/>
  <c r="AU20" i="16"/>
  <c r="AV63" i="16"/>
  <c r="AV43" i="16"/>
  <c r="AQ54" i="19"/>
  <c r="AR54" i="19" s="1"/>
  <c r="I14" i="20"/>
  <c r="L14" i="20"/>
  <c r="L464" i="19"/>
  <c r="K464" i="19"/>
  <c r="H464" i="19"/>
  <c r="L203" i="19"/>
  <c r="K203" i="19"/>
  <c r="H203" i="19"/>
  <c r="S165" i="16"/>
  <c r="O165" i="16"/>
  <c r="K165" i="16"/>
  <c r="H579" i="19"/>
  <c r="L579" i="19"/>
  <c r="K579" i="19"/>
  <c r="I73" i="19"/>
  <c r="M73" i="19"/>
  <c r="I120" i="9"/>
  <c r="J120" i="9" s="1"/>
  <c r="C120" i="19" s="1"/>
  <c r="I439" i="20"/>
  <c r="L439" i="20"/>
  <c r="M345" i="19"/>
  <c r="I345" i="19"/>
  <c r="L729" i="20"/>
  <c r="I729" i="20"/>
  <c r="I276" i="20"/>
  <c r="L276" i="20"/>
  <c r="L306" i="20"/>
  <c r="I306" i="20"/>
  <c r="K806" i="19"/>
  <c r="H806" i="19"/>
  <c r="L806" i="19"/>
  <c r="I312" i="20"/>
  <c r="L312" i="20"/>
  <c r="L693" i="20"/>
  <c r="I693" i="20"/>
  <c r="L127" i="19"/>
  <c r="K127" i="19"/>
  <c r="H127" i="19"/>
  <c r="G716" i="8"/>
  <c r="O292" i="16"/>
  <c r="K292" i="16"/>
  <c r="S292" i="16"/>
  <c r="L659" i="19"/>
  <c r="K659" i="19"/>
  <c r="H659" i="19"/>
  <c r="O169" i="16"/>
  <c r="K169" i="16"/>
  <c r="S169" i="16"/>
  <c r="L472" i="19"/>
  <c r="K472" i="19"/>
  <c r="H472" i="19"/>
  <c r="L297" i="19"/>
  <c r="K297" i="19"/>
  <c r="H297" i="19"/>
  <c r="O438" i="16"/>
  <c r="K438" i="16"/>
  <c r="S438" i="16"/>
  <c r="G389" i="8"/>
  <c r="AS10" i="10"/>
  <c r="AO10" i="10"/>
  <c r="R10" i="20" s="1"/>
  <c r="Y10" i="20" s="1"/>
  <c r="AW10" i="10"/>
  <c r="G655" i="8"/>
  <c r="L360" i="19"/>
  <c r="K360" i="19"/>
  <c r="H360" i="19"/>
  <c r="I465" i="19"/>
  <c r="M465" i="19"/>
  <c r="L397" i="20"/>
  <c r="I397" i="20"/>
  <c r="L128" i="19"/>
  <c r="K128" i="19"/>
  <c r="H128" i="19"/>
  <c r="AK28" i="16"/>
  <c r="P28" i="20"/>
  <c r="BF28" i="10"/>
  <c r="S147" i="16"/>
  <c r="K147" i="16"/>
  <c r="O147" i="16"/>
  <c r="G467" i="8"/>
  <c r="G807" i="8"/>
  <c r="G738" i="8"/>
  <c r="G357" i="8"/>
  <c r="K192" i="16"/>
  <c r="S192" i="16"/>
  <c r="O192" i="16"/>
  <c r="O522" i="16"/>
  <c r="K522" i="16"/>
  <c r="S522" i="16"/>
  <c r="G76" i="8"/>
  <c r="I86" i="20"/>
  <c r="L86" i="20"/>
  <c r="L767" i="19"/>
  <c r="K767" i="19"/>
  <c r="H767" i="19"/>
  <c r="M66" i="19"/>
  <c r="I66" i="19"/>
  <c r="L200" i="19"/>
  <c r="K200" i="19"/>
  <c r="H200" i="19"/>
  <c r="S174" i="16"/>
  <c r="O174" i="16"/>
  <c r="K174" i="16"/>
  <c r="S350" i="16"/>
  <c r="K350" i="16"/>
  <c r="O350" i="16"/>
  <c r="K447" i="16"/>
  <c r="O447" i="16"/>
  <c r="S447" i="16"/>
  <c r="AQ36" i="19"/>
  <c r="AR36" i="19" s="1"/>
  <c r="G74" i="8"/>
  <c r="O323" i="16"/>
  <c r="K323" i="16"/>
  <c r="S323" i="16"/>
  <c r="AW63" i="10"/>
  <c r="AO63" i="10"/>
  <c r="R63" i="20" s="1"/>
  <c r="Y63" i="20" s="1"/>
  <c r="AS63" i="10"/>
  <c r="AV64" i="16"/>
  <c r="AU33" i="16"/>
  <c r="AV35" i="16"/>
  <c r="AU24" i="16"/>
  <c r="AV6" i="16"/>
  <c r="AV54" i="16"/>
  <c r="AV22" i="16"/>
  <c r="L532" i="19"/>
  <c r="K532" i="19"/>
  <c r="H532" i="19"/>
  <c r="L280" i="19"/>
  <c r="K280" i="19"/>
  <c r="H280" i="19"/>
  <c r="B500" i="20"/>
  <c r="AL500" i="20" s="1"/>
  <c r="B500" i="19"/>
  <c r="I79" i="9"/>
  <c r="J79" i="9" s="1"/>
  <c r="C79" i="19" s="1"/>
  <c r="S14" i="16"/>
  <c r="O14" i="16"/>
  <c r="K14" i="16"/>
  <c r="I289" i="9"/>
  <c r="J289" i="9" s="1"/>
  <c r="C289" i="19" s="1"/>
  <c r="I464" i="20"/>
  <c r="L464" i="20"/>
  <c r="L203" i="20"/>
  <c r="I203" i="20"/>
  <c r="L549" i="19"/>
  <c r="K549" i="19"/>
  <c r="H549" i="19"/>
  <c r="I579" i="20"/>
  <c r="L579" i="20"/>
  <c r="I526" i="9"/>
  <c r="J526" i="9" s="1"/>
  <c r="C526" i="19" s="1"/>
  <c r="I120" i="19"/>
  <c r="M120" i="19"/>
  <c r="L627" i="20"/>
  <c r="I627" i="20"/>
  <c r="L10" i="19"/>
  <c r="K10" i="19"/>
  <c r="H10" i="19"/>
  <c r="O439" i="16"/>
  <c r="K439" i="16"/>
  <c r="S439" i="16"/>
  <c r="K79" i="19"/>
  <c r="L719" i="20"/>
  <c r="I719" i="20"/>
  <c r="L729" i="19"/>
  <c r="K729" i="19"/>
  <c r="H729" i="19"/>
  <c r="M250" i="19"/>
  <c r="I250" i="19"/>
  <c r="S276" i="16"/>
  <c r="O276" i="16"/>
  <c r="K276" i="16"/>
  <c r="K306" i="16"/>
  <c r="S306" i="16"/>
  <c r="O306" i="16"/>
  <c r="L806" i="20"/>
  <c r="I806" i="20"/>
  <c r="G196" i="8"/>
  <c r="G297" i="8"/>
  <c r="L312" i="19"/>
  <c r="K312" i="19"/>
  <c r="H312" i="19"/>
  <c r="G360" i="8"/>
  <c r="O693" i="16"/>
  <c r="K693" i="16"/>
  <c r="S693" i="16"/>
  <c r="L127" i="20"/>
  <c r="I127" i="20"/>
  <c r="H576" i="19"/>
  <c r="K576" i="19"/>
  <c r="L576" i="19"/>
  <c r="K659" i="16"/>
  <c r="O659" i="16"/>
  <c r="S659" i="16"/>
  <c r="K177" i="19"/>
  <c r="H177" i="19"/>
  <c r="L177" i="19"/>
  <c r="I472" i="20"/>
  <c r="L472" i="20"/>
  <c r="B211" i="20"/>
  <c r="AL211" i="20" s="1"/>
  <c r="B211" i="19"/>
  <c r="S297" i="16"/>
  <c r="K297" i="16"/>
  <c r="O297" i="16"/>
  <c r="L330" i="19"/>
  <c r="K330" i="19"/>
  <c r="H330" i="19"/>
  <c r="S360" i="16"/>
  <c r="K360" i="16"/>
  <c r="O360" i="16"/>
  <c r="G432" i="8"/>
  <c r="S397" i="16"/>
  <c r="O397" i="16"/>
  <c r="K397" i="16"/>
  <c r="L128" i="20"/>
  <c r="I128" i="20"/>
  <c r="L120" i="19"/>
  <c r="K120" i="19"/>
  <c r="H120" i="19"/>
  <c r="H610" i="19"/>
  <c r="L610" i="19"/>
  <c r="K610" i="19"/>
  <c r="K9" i="19"/>
  <c r="H9" i="19"/>
  <c r="L9" i="19"/>
  <c r="M433" i="19"/>
  <c r="I433" i="19"/>
  <c r="O500" i="16"/>
  <c r="S500" i="16"/>
  <c r="K500" i="16"/>
  <c r="L716" i="19"/>
  <c r="K716" i="19"/>
  <c r="H716" i="19"/>
  <c r="G181" i="8"/>
  <c r="B43" i="20"/>
  <c r="AL43" i="20" s="1"/>
  <c r="B43" i="19"/>
  <c r="B391" i="20"/>
  <c r="AL391" i="20" s="1"/>
  <c r="B391" i="19"/>
  <c r="M144" i="19"/>
  <c r="I144" i="19"/>
  <c r="M141" i="19"/>
  <c r="I141" i="19"/>
  <c r="K345" i="19"/>
  <c r="G761" i="8"/>
  <c r="O652" i="16"/>
  <c r="S652" i="16"/>
  <c r="K652" i="16"/>
  <c r="G400" i="8"/>
  <c r="I176" i="9"/>
  <c r="J176" i="9" s="1"/>
  <c r="C176" i="19" s="1"/>
  <c r="H628" i="19"/>
  <c r="L628" i="19"/>
  <c r="K628" i="19"/>
  <c r="J480" i="8"/>
  <c r="I438" i="9"/>
  <c r="J438" i="9" s="1"/>
  <c r="C438" i="19" s="1"/>
  <c r="G197" i="8"/>
  <c r="I790" i="20"/>
  <c r="L790" i="20"/>
  <c r="I681" i="9"/>
  <c r="J681" i="9" s="1"/>
  <c r="C681" i="19" s="1"/>
  <c r="B580" i="20"/>
  <c r="AL580" i="20" s="1"/>
  <c r="B580" i="19"/>
  <c r="L550" i="19"/>
  <c r="K550" i="19"/>
  <c r="H550" i="19"/>
  <c r="L662" i="20"/>
  <c r="I662" i="20"/>
  <c r="O555" i="16"/>
  <c r="K555" i="16"/>
  <c r="S555" i="16"/>
  <c r="L135" i="20"/>
  <c r="I135" i="20"/>
  <c r="H412" i="19"/>
  <c r="K412" i="19"/>
  <c r="L412" i="19"/>
  <c r="I430" i="9"/>
  <c r="J430" i="9" s="1"/>
  <c r="C430" i="19" s="1"/>
  <c r="I576" i="20"/>
  <c r="L576" i="20"/>
  <c r="L177" i="20"/>
  <c r="I177" i="20"/>
  <c r="K472" i="16"/>
  <c r="S472" i="16"/>
  <c r="O472" i="16"/>
  <c r="L513" i="19"/>
  <c r="K513" i="19"/>
  <c r="H513" i="19"/>
  <c r="K330" i="16"/>
  <c r="S330" i="16"/>
  <c r="O330" i="16"/>
  <c r="L360" i="20"/>
  <c r="I360" i="20"/>
  <c r="K128" i="16"/>
  <c r="O128" i="16"/>
  <c r="S128" i="16"/>
  <c r="L120" i="20"/>
  <c r="I120" i="20"/>
  <c r="I610" i="20"/>
  <c r="L610" i="20"/>
  <c r="B351" i="20"/>
  <c r="AL351" i="20" s="1"/>
  <c r="B351" i="19"/>
  <c r="G646" i="8"/>
  <c r="G20" i="8"/>
  <c r="K716" i="16"/>
  <c r="S716" i="16"/>
  <c r="O716" i="16"/>
  <c r="I467" i="20"/>
  <c r="L467" i="20"/>
  <c r="B251" i="20"/>
  <c r="AL251" i="20" s="1"/>
  <c r="B251" i="19"/>
  <c r="I335" i="19"/>
  <c r="M335" i="19"/>
  <c r="I608" i="9"/>
  <c r="J608" i="9" s="1"/>
  <c r="C608" i="19" s="1"/>
  <c r="L628" i="20"/>
  <c r="I628" i="20"/>
  <c r="M393" i="19"/>
  <c r="I393" i="19"/>
  <c r="I427" i="19"/>
  <c r="M427" i="19"/>
  <c r="S410" i="16"/>
  <c r="K410" i="16"/>
  <c r="O410" i="16"/>
  <c r="M438" i="19"/>
  <c r="I438" i="19"/>
  <c r="L426" i="19"/>
  <c r="K426" i="19"/>
  <c r="H426" i="19"/>
  <c r="H790" i="19"/>
  <c r="L790" i="19"/>
  <c r="K790" i="19"/>
  <c r="L568" i="19"/>
  <c r="K568" i="19"/>
  <c r="H568" i="19"/>
  <c r="M681" i="19"/>
  <c r="I681" i="19"/>
  <c r="G337" i="8"/>
  <c r="B431" i="20"/>
  <c r="AL431" i="20" s="1"/>
  <c r="B431" i="19"/>
  <c r="K135" i="16"/>
  <c r="S135" i="16"/>
  <c r="O135" i="16"/>
  <c r="J394" i="8"/>
  <c r="S642" i="16"/>
  <c r="O642" i="16"/>
  <c r="K642" i="16"/>
  <c r="I412" i="20"/>
  <c r="L412" i="20"/>
  <c r="B594" i="19"/>
  <c r="B594" i="20"/>
  <c r="AL594" i="20" s="1"/>
  <c r="L788" i="19"/>
  <c r="K788" i="19"/>
  <c r="H788" i="19"/>
  <c r="L162" i="20"/>
  <c r="I162" i="20"/>
  <c r="O549" i="16"/>
  <c r="S549" i="16"/>
  <c r="K549" i="16"/>
  <c r="I526" i="19"/>
  <c r="M526" i="19"/>
  <c r="L442" i="20"/>
  <c r="I442" i="20"/>
  <c r="K627" i="16"/>
  <c r="O627" i="16"/>
  <c r="S627" i="16"/>
  <c r="S10" i="16"/>
  <c r="O10" i="16"/>
  <c r="K10" i="16"/>
  <c r="S719" i="16"/>
  <c r="K719" i="16"/>
  <c r="O719" i="16"/>
  <c r="B90" i="20"/>
  <c r="AL90" i="20" s="1"/>
  <c r="B90" i="19"/>
  <c r="K758" i="19"/>
  <c r="H758" i="19"/>
  <c r="L758" i="19"/>
  <c r="L629" i="20"/>
  <c r="I629" i="20"/>
  <c r="L17" i="19"/>
  <c r="K17" i="19"/>
  <c r="H17" i="19"/>
  <c r="H773" i="19"/>
  <c r="L773" i="19"/>
  <c r="K773" i="19"/>
  <c r="K794" i="19"/>
  <c r="L794" i="19"/>
  <c r="H794" i="19"/>
  <c r="S576" i="16"/>
  <c r="K576" i="16"/>
  <c r="O576" i="16"/>
  <c r="S177" i="16"/>
  <c r="K177" i="16"/>
  <c r="O177" i="16"/>
  <c r="L32" i="19"/>
  <c r="K32" i="19"/>
  <c r="H32" i="19"/>
  <c r="L513" i="20"/>
  <c r="I513" i="20"/>
  <c r="L330" i="20"/>
  <c r="I330" i="20"/>
  <c r="H262" i="19"/>
  <c r="L262" i="19"/>
  <c r="K262" i="19"/>
  <c r="S120" i="16"/>
  <c r="O120" i="16"/>
  <c r="K120" i="16"/>
  <c r="AQ29" i="19"/>
  <c r="AR29" i="19" s="1"/>
  <c r="K610" i="16"/>
  <c r="O610" i="16"/>
  <c r="S610" i="16"/>
  <c r="I708" i="9"/>
  <c r="J708" i="9" s="1"/>
  <c r="C708" i="19" s="1"/>
  <c r="L176" i="19"/>
  <c r="H176" i="19"/>
  <c r="K176" i="19"/>
  <c r="H467" i="19"/>
  <c r="L467" i="19"/>
  <c r="K467" i="19"/>
  <c r="G370" i="8"/>
  <c r="I608" i="19"/>
  <c r="M608" i="19"/>
  <c r="B446" i="20"/>
  <c r="AL446" i="20" s="1"/>
  <c r="B446" i="19"/>
  <c r="B341" i="20"/>
  <c r="AL341" i="20" s="1"/>
  <c r="B341" i="19"/>
  <c r="G142" i="8"/>
  <c r="K628" i="16"/>
  <c r="O628" i="16"/>
  <c r="S628" i="16"/>
  <c r="B106" i="20"/>
  <c r="AL106" i="20" s="1"/>
  <c r="B106" i="19"/>
  <c r="G704" i="8"/>
  <c r="L426" i="20"/>
  <c r="I426" i="20"/>
  <c r="K790" i="16"/>
  <c r="S790" i="16"/>
  <c r="O790" i="16"/>
  <c r="L568" i="20"/>
  <c r="I568" i="20"/>
  <c r="L112" i="20"/>
  <c r="I112" i="20"/>
  <c r="B591" i="20"/>
  <c r="AL591" i="20" s="1"/>
  <c r="B591" i="19"/>
  <c r="L678" i="20"/>
  <c r="I678" i="20"/>
  <c r="B41" i="20"/>
  <c r="AL41" i="20" s="1"/>
  <c r="B41" i="19"/>
  <c r="K789" i="19"/>
  <c r="H789" i="19"/>
  <c r="L789" i="19"/>
  <c r="G394" i="8"/>
  <c r="I20" i="9"/>
  <c r="J20" i="9" s="1"/>
  <c r="C20" i="19" s="1"/>
  <c r="G589" i="8"/>
  <c r="J24" i="8"/>
  <c r="M430" i="19"/>
  <c r="I430" i="19"/>
  <c r="B507" i="20"/>
  <c r="AL507" i="20" s="1"/>
  <c r="B507" i="19"/>
  <c r="L279" i="19"/>
  <c r="K279" i="19"/>
  <c r="H279" i="19"/>
  <c r="L80" i="19"/>
  <c r="K80" i="19"/>
  <c r="H80" i="19"/>
  <c r="G340" i="8"/>
  <c r="I329" i="9"/>
  <c r="J329" i="9" s="1"/>
  <c r="C329" i="19" s="1"/>
  <c r="L317" i="20"/>
  <c r="I317" i="20"/>
  <c r="L708" i="20"/>
  <c r="I708" i="20"/>
  <c r="H526" i="19"/>
  <c r="L526" i="19"/>
  <c r="K526" i="19"/>
  <c r="I437" i="19"/>
  <c r="M437" i="19"/>
  <c r="I282" i="19"/>
  <c r="M282" i="19"/>
  <c r="H149" i="19"/>
  <c r="K149" i="19"/>
  <c r="L149" i="19"/>
  <c r="K496" i="16"/>
  <c r="O496" i="16"/>
  <c r="S496" i="16"/>
  <c r="H796" i="19"/>
  <c r="L796" i="19"/>
  <c r="K796" i="19"/>
  <c r="S706" i="16"/>
  <c r="O706" i="16"/>
  <c r="K706" i="16"/>
  <c r="K327" i="19"/>
  <c r="H327" i="19"/>
  <c r="L327" i="19"/>
  <c r="L66" i="20"/>
  <c r="I66" i="20"/>
  <c r="B796" i="20"/>
  <c r="AL796" i="20" s="1"/>
  <c r="B796" i="19"/>
  <c r="L654" i="20"/>
  <c r="I654" i="20"/>
  <c r="S325" i="16"/>
  <c r="K325" i="16"/>
  <c r="O325" i="16"/>
  <c r="M7" i="19"/>
  <c r="I7" i="19"/>
  <c r="M241" i="19"/>
  <c r="I241" i="19"/>
  <c r="K241" i="19"/>
  <c r="L333" i="20"/>
  <c r="I333" i="20"/>
  <c r="L100" i="19"/>
  <c r="K100" i="19"/>
  <c r="H100" i="19"/>
  <c r="L2" i="19"/>
  <c r="K2" i="19"/>
  <c r="H2" i="19"/>
  <c r="K676" i="16"/>
  <c r="S676" i="16"/>
  <c r="O676" i="16"/>
  <c r="L482" i="19"/>
  <c r="K482" i="19"/>
  <c r="H482" i="19"/>
  <c r="H7" i="19"/>
  <c r="K7" i="19"/>
  <c r="L7" i="19"/>
  <c r="S815" i="16"/>
  <c r="K815" i="16"/>
  <c r="O815" i="16"/>
  <c r="L645" i="19"/>
  <c r="K645" i="19"/>
  <c r="H645" i="19"/>
  <c r="S337" i="16"/>
  <c r="O337" i="16"/>
  <c r="K337" i="16"/>
  <c r="L222" i="20"/>
  <c r="I222" i="20"/>
  <c r="I188" i="19"/>
  <c r="M188" i="19"/>
  <c r="L482" i="20"/>
  <c r="I482" i="20"/>
  <c r="S54" i="20"/>
  <c r="U54" i="20"/>
  <c r="L786" i="19"/>
  <c r="K786" i="19"/>
  <c r="H786" i="19"/>
  <c r="U53" i="20"/>
  <c r="S53" i="20"/>
  <c r="L645" i="20"/>
  <c r="I645" i="20"/>
  <c r="L309" i="19"/>
  <c r="K309" i="19"/>
  <c r="H309" i="19"/>
  <c r="M639" i="19"/>
  <c r="I639" i="19"/>
  <c r="K255" i="19"/>
  <c r="H255" i="19"/>
  <c r="L255" i="19"/>
  <c r="K222" i="16"/>
  <c r="O222" i="16"/>
  <c r="S222" i="16"/>
  <c r="I61" i="19"/>
  <c r="M61" i="19"/>
  <c r="L700" i="20"/>
  <c r="I700" i="20"/>
  <c r="L179" i="20"/>
  <c r="I179" i="20"/>
  <c r="B121" i="20"/>
  <c r="AL121" i="20" s="1"/>
  <c r="B121" i="19"/>
  <c r="H775" i="19"/>
  <c r="L775" i="19"/>
  <c r="K775" i="19"/>
  <c r="L339" i="19"/>
  <c r="K339" i="19"/>
  <c r="H339" i="19"/>
  <c r="L385" i="19"/>
  <c r="K385" i="19"/>
  <c r="H385" i="19"/>
  <c r="H720" i="19"/>
  <c r="K720" i="19"/>
  <c r="L720" i="19"/>
  <c r="B167" i="20"/>
  <c r="AL167" i="20" s="1"/>
  <c r="B167" i="19"/>
  <c r="K526" i="16"/>
  <c r="O526" i="16"/>
  <c r="S526" i="16"/>
  <c r="H582" i="19"/>
  <c r="K582" i="19"/>
  <c r="L582" i="19"/>
  <c r="L23" i="20"/>
  <c r="I23" i="20"/>
  <c r="O796" i="16"/>
  <c r="S796" i="16"/>
  <c r="K796" i="16"/>
  <c r="M339" i="19"/>
  <c r="I339" i="19"/>
  <c r="B37" i="20"/>
  <c r="AL37" i="20" s="1"/>
  <c r="B37" i="19"/>
  <c r="K8" i="16"/>
  <c r="O8" i="16"/>
  <c r="S8" i="16"/>
  <c r="I509" i="19"/>
  <c r="M509" i="19"/>
  <c r="K100" i="16"/>
  <c r="O100" i="16"/>
  <c r="S100" i="16"/>
  <c r="S2" i="16"/>
  <c r="O2" i="16"/>
  <c r="K2" i="16"/>
  <c r="K80" i="16"/>
  <c r="O80" i="16"/>
  <c r="S80" i="16"/>
  <c r="I686" i="20"/>
  <c r="L686" i="20"/>
  <c r="M164" i="19"/>
  <c r="I164" i="19"/>
  <c r="I460" i="19"/>
  <c r="M460" i="19"/>
  <c r="B281" i="20"/>
  <c r="AL281" i="20" s="1"/>
  <c r="B281" i="19"/>
  <c r="K495" i="19"/>
  <c r="H495" i="19"/>
  <c r="L495" i="19"/>
  <c r="L609" i="19"/>
  <c r="K609" i="19"/>
  <c r="H609" i="19"/>
  <c r="B600" i="20"/>
  <c r="AL600" i="20" s="1"/>
  <c r="B600" i="19"/>
  <c r="L237" i="20"/>
  <c r="I237" i="20"/>
  <c r="L309" i="20"/>
  <c r="I309" i="20"/>
  <c r="L255" i="20"/>
  <c r="I255" i="20"/>
  <c r="S139" i="16"/>
  <c r="K139" i="16"/>
  <c r="O139" i="16"/>
  <c r="L320" i="20"/>
  <c r="I320" i="20"/>
  <c r="K686" i="16"/>
  <c r="S686" i="16"/>
  <c r="O686" i="16"/>
  <c r="L495" i="20"/>
  <c r="I495" i="20"/>
  <c r="K609" i="16"/>
  <c r="O609" i="16"/>
  <c r="S609" i="16"/>
  <c r="I785" i="20"/>
  <c r="L785" i="20"/>
  <c r="B440" i="20"/>
  <c r="AL440" i="20" s="1"/>
  <c r="B440" i="19"/>
  <c r="H74" i="19"/>
  <c r="L74" i="19"/>
  <c r="K74" i="19"/>
  <c r="L734" i="19"/>
  <c r="K734" i="19"/>
  <c r="H734" i="19"/>
  <c r="S237" i="16"/>
  <c r="K237" i="16"/>
  <c r="O237" i="16"/>
  <c r="B418" i="20"/>
  <c r="AL418" i="20" s="1"/>
  <c r="B418" i="19"/>
  <c r="O255" i="16"/>
  <c r="K255" i="16"/>
  <c r="S255" i="16"/>
  <c r="M673" i="19"/>
  <c r="I673" i="19"/>
  <c r="H77" i="19"/>
  <c r="L77" i="19"/>
  <c r="K77" i="19"/>
  <c r="I792" i="19"/>
  <c r="M792" i="19"/>
  <c r="I585" i="19"/>
  <c r="M585" i="19"/>
  <c r="B763" i="20"/>
  <c r="AL763" i="20" s="1"/>
  <c r="B763" i="19"/>
  <c r="L98" i="20"/>
  <c r="I98" i="20"/>
  <c r="L430" i="19"/>
  <c r="K430" i="19"/>
  <c r="H430" i="19"/>
  <c r="S176" i="16"/>
  <c r="O176" i="16"/>
  <c r="K176" i="16"/>
  <c r="S467" i="16"/>
  <c r="K467" i="16"/>
  <c r="O467" i="16"/>
  <c r="L186" i="19"/>
  <c r="K186" i="19"/>
  <c r="H186" i="19"/>
  <c r="B643" i="19"/>
  <c r="B643" i="20"/>
  <c r="AL643" i="20" s="1"/>
  <c r="L219" i="20"/>
  <c r="I219" i="20"/>
  <c r="O424" i="16"/>
  <c r="K424" i="16"/>
  <c r="S424" i="16"/>
  <c r="B234" i="20"/>
  <c r="AL234" i="20" s="1"/>
  <c r="B234" i="19"/>
  <c r="L487" i="20"/>
  <c r="I487" i="20"/>
  <c r="O700" i="16"/>
  <c r="S700" i="16"/>
  <c r="K700" i="16"/>
  <c r="K179" i="16"/>
  <c r="S179" i="16"/>
  <c r="O179" i="16"/>
  <c r="O775" i="16"/>
  <c r="K775" i="16"/>
  <c r="S775" i="16"/>
  <c r="S339" i="16"/>
  <c r="K339" i="16"/>
  <c r="O339" i="16"/>
  <c r="S385" i="16"/>
  <c r="O385" i="16"/>
  <c r="K385" i="16"/>
  <c r="H34" i="19"/>
  <c r="L34" i="19"/>
  <c r="K34" i="19"/>
  <c r="H768" i="19"/>
  <c r="L768" i="19"/>
  <c r="K768" i="19"/>
  <c r="S720" i="16"/>
  <c r="O720" i="16"/>
  <c r="K720" i="16"/>
  <c r="L415" i="20"/>
  <c r="I415" i="20"/>
  <c r="L247" i="19"/>
  <c r="K247" i="19"/>
  <c r="H247" i="19"/>
  <c r="H633" i="19"/>
  <c r="L633" i="19"/>
  <c r="K633" i="19"/>
  <c r="S582" i="16"/>
  <c r="K582" i="16"/>
  <c r="O582" i="16"/>
  <c r="M20" i="19"/>
  <c r="I20" i="19"/>
  <c r="L538" i="20"/>
  <c r="I538" i="20"/>
  <c r="B716" i="20"/>
  <c r="AL716" i="20" s="1"/>
  <c r="B716" i="19"/>
  <c r="M642" i="19"/>
  <c r="I642" i="19"/>
  <c r="I520" i="19"/>
  <c r="M520" i="19"/>
  <c r="B188" i="20"/>
  <c r="AL188" i="20" s="1"/>
  <c r="B188" i="19"/>
  <c r="B758" i="19"/>
  <c r="B758" i="20"/>
  <c r="AL758" i="20" s="1"/>
  <c r="H30" i="19"/>
  <c r="L30" i="19"/>
  <c r="K30" i="19"/>
  <c r="L37" i="19"/>
  <c r="K37" i="19"/>
  <c r="H37" i="19"/>
  <c r="H815" i="8"/>
  <c r="I815" i="8" s="1"/>
  <c r="K815" i="9" s="1"/>
  <c r="H797" i="8"/>
  <c r="I797" i="8" s="1"/>
  <c r="K797" i="9" s="1"/>
  <c r="H778" i="8"/>
  <c r="I778" i="8" s="1"/>
  <c r="K778" i="9" s="1"/>
  <c r="H771" i="8"/>
  <c r="I771" i="8" s="1"/>
  <c r="K771" i="9" s="1"/>
  <c r="H764" i="8"/>
  <c r="I764" i="8" s="1"/>
  <c r="K764" i="9" s="1"/>
  <c r="H734" i="8"/>
  <c r="I734" i="8" s="1"/>
  <c r="K734" i="9" s="1"/>
  <c r="H697" i="8"/>
  <c r="I697" i="8" s="1"/>
  <c r="K697" i="9" s="1"/>
  <c r="H667" i="8"/>
  <c r="I667" i="8" s="1"/>
  <c r="K667" i="9" s="1"/>
  <c r="H660" i="8"/>
  <c r="I660" i="8" s="1"/>
  <c r="K660" i="9" s="1"/>
  <c r="H630" i="8"/>
  <c r="I630" i="8" s="1"/>
  <c r="K630" i="9" s="1"/>
  <c r="H623" i="8"/>
  <c r="I623" i="8" s="1"/>
  <c r="K623" i="9" s="1"/>
  <c r="H603" i="8"/>
  <c r="I603" i="8" s="1"/>
  <c r="K603" i="9" s="1"/>
  <c r="H583" i="8"/>
  <c r="I583" i="8" s="1"/>
  <c r="K583" i="9" s="1"/>
  <c r="H563" i="8"/>
  <c r="I563" i="8" s="1"/>
  <c r="K563" i="9" s="1"/>
  <c r="H543" i="8"/>
  <c r="I543" i="8" s="1"/>
  <c r="K543" i="9" s="1"/>
  <c r="H780" i="8"/>
  <c r="I780" i="8" s="1"/>
  <c r="H492" i="8"/>
  <c r="I492" i="8" s="1"/>
  <c r="K492" i="9" s="1"/>
  <c r="H434" i="8"/>
  <c r="I434" i="8" s="1"/>
  <c r="K434" i="9" s="1"/>
  <c r="H263" i="8"/>
  <c r="I263" i="8" s="1"/>
  <c r="K263" i="9" s="1"/>
  <c r="H92" i="8"/>
  <c r="I92" i="8" s="1"/>
  <c r="K92" i="9" s="1"/>
  <c r="H739" i="8"/>
  <c r="I739" i="8" s="1"/>
  <c r="K739" i="9" s="1"/>
  <c r="H646" i="8"/>
  <c r="I646" i="8" s="1"/>
  <c r="K646" i="9" s="1"/>
  <c r="H590" i="8"/>
  <c r="I590" i="8" s="1"/>
  <c r="K590" i="9" s="1"/>
  <c r="H574" i="8"/>
  <c r="I574" i="8" s="1"/>
  <c r="K574" i="9" s="1"/>
  <c r="H512" i="8"/>
  <c r="I512" i="8" s="1"/>
  <c r="K512" i="9" s="1"/>
  <c r="H454" i="8"/>
  <c r="I454" i="8" s="1"/>
  <c r="K454" i="9" s="1"/>
  <c r="H283" i="8"/>
  <c r="I283" i="8" s="1"/>
  <c r="K283" i="9" s="1"/>
  <c r="H112" i="8"/>
  <c r="I112" i="8" s="1"/>
  <c r="K112" i="9" s="1"/>
  <c r="H14" i="8"/>
  <c r="I14" i="8" s="1"/>
  <c r="K14" i="9" s="1"/>
  <c r="H12" i="8"/>
  <c r="I12" i="8" s="1"/>
  <c r="H10" i="8"/>
  <c r="I10" i="8" s="1"/>
  <c r="K10" i="9" s="1"/>
  <c r="H758" i="8"/>
  <c r="I758" i="8" s="1"/>
  <c r="K758" i="9" s="1"/>
  <c r="H747" i="8"/>
  <c r="I747" i="8" s="1"/>
  <c r="K747" i="9" s="1"/>
  <c r="H709" i="8"/>
  <c r="I709" i="8" s="1"/>
  <c r="K709" i="9" s="1"/>
  <c r="H684" i="8"/>
  <c r="I684" i="8" s="1"/>
  <c r="K684" i="9" s="1"/>
  <c r="H665" i="8"/>
  <c r="I665" i="8" s="1"/>
  <c r="K665" i="9" s="1"/>
  <c r="H654" i="8"/>
  <c r="I654" i="8" s="1"/>
  <c r="K654" i="9" s="1"/>
  <c r="H635" i="8"/>
  <c r="I635" i="8" s="1"/>
  <c r="K635" i="9" s="1"/>
  <c r="H566" i="8"/>
  <c r="I566" i="8" s="1"/>
  <c r="K566" i="9" s="1"/>
  <c r="H561" i="8"/>
  <c r="I561" i="8" s="1"/>
  <c r="K561" i="9" s="1"/>
  <c r="H558" i="8"/>
  <c r="I558" i="8" s="1"/>
  <c r="K558" i="9" s="1"/>
  <c r="H532" i="8"/>
  <c r="I532" i="8" s="1"/>
  <c r="K532" i="9" s="1"/>
  <c r="H489" i="8"/>
  <c r="I489" i="8" s="1"/>
  <c r="K489" i="9" s="1"/>
  <c r="H484" i="8"/>
  <c r="I484" i="8" s="1"/>
  <c r="K484" i="9" s="1"/>
  <c r="H474" i="8"/>
  <c r="I474" i="8" s="1"/>
  <c r="K474" i="9" s="1"/>
  <c r="H459" i="8"/>
  <c r="I459" i="8" s="1"/>
  <c r="K459" i="9" s="1"/>
  <c r="H406" i="8"/>
  <c r="I406" i="8" s="1"/>
  <c r="K406" i="9" s="1"/>
  <c r="H391" i="8"/>
  <c r="I391" i="8" s="1"/>
  <c r="K391" i="9" s="1"/>
  <c r="H361" i="8"/>
  <c r="I361" i="8" s="1"/>
  <c r="K361" i="9" s="1"/>
  <c r="H338" i="8"/>
  <c r="I338" i="8" s="1"/>
  <c r="K338" i="9" s="1"/>
  <c r="H313" i="8"/>
  <c r="I313" i="8" s="1"/>
  <c r="K313" i="9" s="1"/>
  <c r="H308" i="8"/>
  <c r="I308" i="8" s="1"/>
  <c r="K308" i="9" s="1"/>
  <c r="H303" i="8"/>
  <c r="I303" i="8" s="1"/>
  <c r="K303" i="9" s="1"/>
  <c r="H255" i="8"/>
  <c r="I255" i="8" s="1"/>
  <c r="K255" i="9" s="1"/>
  <c r="H240" i="8"/>
  <c r="I240" i="8" s="1"/>
  <c r="K240" i="9" s="1"/>
  <c r="H210" i="8"/>
  <c r="I210" i="8" s="1"/>
  <c r="K210" i="9" s="1"/>
  <c r="H157" i="8"/>
  <c r="I157" i="8" s="1"/>
  <c r="K157" i="9" s="1"/>
  <c r="H142" i="8"/>
  <c r="I142" i="8" s="1"/>
  <c r="K142" i="9" s="1"/>
  <c r="H132" i="8"/>
  <c r="I132" i="8" s="1"/>
  <c r="K132" i="9" s="1"/>
  <c r="H89" i="8"/>
  <c r="I89" i="8" s="1"/>
  <c r="K89" i="9" s="1"/>
  <c r="H84" i="8"/>
  <c r="I84" i="8" s="1"/>
  <c r="K84" i="9" s="1"/>
  <c r="H60" i="8"/>
  <c r="I60" i="8" s="1"/>
  <c r="K60" i="9" s="1"/>
  <c r="H48" i="8"/>
  <c r="I48" i="8" s="1"/>
  <c r="K48" i="9" s="1"/>
  <c r="H18" i="8"/>
  <c r="I18" i="8" s="1"/>
  <c r="K18" i="9" s="1"/>
  <c r="H809" i="8"/>
  <c r="I809" i="8" s="1"/>
  <c r="K809" i="9" s="1"/>
  <c r="H806" i="8"/>
  <c r="I806" i="8" s="1"/>
  <c r="K806" i="9" s="1"/>
  <c r="H803" i="8"/>
  <c r="I803" i="8" s="1"/>
  <c r="K803" i="9" s="1"/>
  <c r="H782" i="8"/>
  <c r="I782" i="8" s="1"/>
  <c r="K782" i="9" s="1"/>
  <c r="H695" i="8"/>
  <c r="I695" i="8" s="1"/>
  <c r="K695" i="9" s="1"/>
  <c r="H494" i="8"/>
  <c r="I494" i="8" s="1"/>
  <c r="K494" i="9" s="1"/>
  <c r="H323" i="8"/>
  <c r="I323" i="8" s="1"/>
  <c r="K323" i="9" s="1"/>
  <c r="H152" i="8"/>
  <c r="I152" i="8" s="1"/>
  <c r="K152" i="9" s="1"/>
  <c r="H94" i="8"/>
  <c r="I94" i="8" s="1"/>
  <c r="K94" i="9" s="1"/>
  <c r="H72" i="8"/>
  <c r="I72" i="8" s="1"/>
  <c r="K72" i="9" s="1"/>
  <c r="H43" i="8"/>
  <c r="I43" i="8" s="1"/>
  <c r="K43" i="9" s="1"/>
  <c r="H785" i="8"/>
  <c r="I785" i="8" s="1"/>
  <c r="K785" i="9" s="1"/>
  <c r="H514" i="8"/>
  <c r="I514" i="8" s="1"/>
  <c r="K514" i="9" s="1"/>
  <c r="H343" i="8"/>
  <c r="I343" i="8" s="1"/>
  <c r="K343" i="9" s="1"/>
  <c r="H172" i="8"/>
  <c r="I172" i="8" s="1"/>
  <c r="K172" i="9" s="1"/>
  <c r="H114" i="8"/>
  <c r="I114" i="8" s="1"/>
  <c r="K114" i="9" s="1"/>
  <c r="H640" i="8"/>
  <c r="I640" i="8" s="1"/>
  <c r="K640" i="9" s="1"/>
  <c r="H550" i="8"/>
  <c r="I550" i="8" s="1"/>
  <c r="K550" i="9" s="1"/>
  <c r="H534" i="8"/>
  <c r="I534" i="8" s="1"/>
  <c r="K534" i="9" s="1"/>
  <c r="H363" i="8"/>
  <c r="I363" i="8" s="1"/>
  <c r="K363" i="9" s="1"/>
  <c r="H192" i="8"/>
  <c r="I192" i="8" s="1"/>
  <c r="K192" i="9" s="1"/>
  <c r="H134" i="8"/>
  <c r="I134" i="8" s="1"/>
  <c r="K134" i="9" s="1"/>
  <c r="H818" i="8"/>
  <c r="I818" i="8" s="1"/>
  <c r="K818" i="9" s="1"/>
  <c r="H814" i="8"/>
  <c r="I814" i="8" s="1"/>
  <c r="K814" i="9" s="1"/>
  <c r="H802" i="8"/>
  <c r="I802" i="8" s="1"/>
  <c r="K802" i="9" s="1"/>
  <c r="H776" i="8"/>
  <c r="I776" i="8" s="1"/>
  <c r="K776" i="9" s="1"/>
  <c r="H103" i="8"/>
  <c r="I103" i="8" s="1"/>
  <c r="K103" i="9" s="1"/>
  <c r="H74" i="8"/>
  <c r="I74" i="8" s="1"/>
  <c r="K74" i="9" s="1"/>
  <c r="H274" i="8"/>
  <c r="I274" i="8" s="1"/>
  <c r="K274" i="9" s="1"/>
  <c r="H258" i="8"/>
  <c r="I258" i="8" s="1"/>
  <c r="K258" i="9" s="1"/>
  <c r="H813" i="8"/>
  <c r="I813" i="8" s="1"/>
  <c r="K813" i="9" s="1"/>
  <c r="H598" i="8"/>
  <c r="I598" i="8" s="1"/>
  <c r="K598" i="9" s="1"/>
  <c r="H443" i="8"/>
  <c r="I443" i="8" s="1"/>
  <c r="K443" i="9" s="1"/>
  <c r="H352" i="8"/>
  <c r="I352" i="8" s="1"/>
  <c r="K352" i="9" s="1"/>
  <c r="H30" i="8"/>
  <c r="I30" i="8" s="1"/>
  <c r="K30" i="9" s="1"/>
  <c r="H762" i="8"/>
  <c r="I762" i="8" s="1"/>
  <c r="K762" i="9" s="1"/>
  <c r="H644" i="8"/>
  <c r="I644" i="8" s="1"/>
  <c r="K644" i="9" s="1"/>
  <c r="H457" i="8"/>
  <c r="I457" i="8" s="1"/>
  <c r="K457" i="9" s="1"/>
  <c r="H412" i="8"/>
  <c r="I412" i="8" s="1"/>
  <c r="K412" i="9" s="1"/>
  <c r="H399" i="8"/>
  <c r="I399" i="8" s="1"/>
  <c r="K399" i="9" s="1"/>
  <c r="H243" i="8"/>
  <c r="I243" i="8" s="1"/>
  <c r="K243" i="9" s="1"/>
  <c r="H34" i="8"/>
  <c r="I34" i="8" s="1"/>
  <c r="K34" i="9" s="1"/>
  <c r="H554" i="8"/>
  <c r="I554" i="8" s="1"/>
  <c r="K554" i="9" s="1"/>
  <c r="H424" i="8"/>
  <c r="I424" i="8" s="1"/>
  <c r="K424" i="9" s="1"/>
  <c r="H213" i="8"/>
  <c r="I213" i="8" s="1"/>
  <c r="K213" i="9" s="1"/>
  <c r="H822" i="8"/>
  <c r="I822" i="8" s="1"/>
  <c r="K822" i="9" s="1"/>
  <c r="H772" i="8"/>
  <c r="I772" i="8" s="1"/>
  <c r="K772" i="9" s="1"/>
  <c r="H748" i="8"/>
  <c r="I748" i="8" s="1"/>
  <c r="K748" i="9" s="1"/>
  <c r="H720" i="8"/>
  <c r="I720" i="8" s="1"/>
  <c r="K720" i="9" s="1"/>
  <c r="H682" i="8"/>
  <c r="I682" i="8" s="1"/>
  <c r="K682" i="9" s="1"/>
  <c r="H592" i="8"/>
  <c r="I592" i="8" s="1"/>
  <c r="K592" i="9" s="1"/>
  <c r="H572" i="8"/>
  <c r="I572" i="8" s="1"/>
  <c r="K572" i="9" s="1"/>
  <c r="H463" i="8"/>
  <c r="I463" i="8" s="1"/>
  <c r="K463" i="9" s="1"/>
  <c r="H389" i="8"/>
  <c r="I389" i="8" s="1"/>
  <c r="K389" i="9" s="1"/>
  <c r="H301" i="8"/>
  <c r="I301" i="8" s="1"/>
  <c r="K301" i="9" s="1"/>
  <c r="H294" i="8"/>
  <c r="I294" i="8" s="1"/>
  <c r="K294" i="9" s="1"/>
  <c r="H291" i="8"/>
  <c r="I291" i="8" s="1"/>
  <c r="K291" i="9" s="1"/>
  <c r="H278" i="8"/>
  <c r="I278" i="8" s="1"/>
  <c r="K278" i="9" s="1"/>
  <c r="H194" i="8"/>
  <c r="I194" i="8" s="1"/>
  <c r="K194" i="9" s="1"/>
  <c r="H155" i="8"/>
  <c r="I155" i="8" s="1"/>
  <c r="K155" i="9" s="1"/>
  <c r="H25" i="8"/>
  <c r="I25" i="8" s="1"/>
  <c r="K25" i="9" s="1"/>
  <c r="H622" i="8"/>
  <c r="I622" i="8" s="1"/>
  <c r="K622" i="9" s="1"/>
  <c r="H810" i="8"/>
  <c r="I810" i="8" s="1"/>
  <c r="K810" i="9" s="1"/>
  <c r="H723" i="8"/>
  <c r="I723" i="8" s="1"/>
  <c r="K723" i="9" s="1"/>
  <c r="H346" i="8"/>
  <c r="I346" i="8" s="1"/>
  <c r="K346" i="9" s="1"/>
  <c r="H233" i="8"/>
  <c r="I233" i="8" s="1"/>
  <c r="K233" i="9" s="1"/>
  <c r="H52" i="8"/>
  <c r="I52" i="8" s="1"/>
  <c r="K52" i="9" s="1"/>
  <c r="H46" i="8"/>
  <c r="I46" i="8" s="1"/>
  <c r="K46" i="9" s="1"/>
  <c r="H805" i="8"/>
  <c r="I805" i="8" s="1"/>
  <c r="K805" i="9" s="1"/>
  <c r="H372" i="8"/>
  <c r="I372" i="8" s="1"/>
  <c r="K372" i="9" s="1"/>
  <c r="H154" i="8"/>
  <c r="I154" i="8" s="1"/>
  <c r="K154" i="9" s="1"/>
  <c r="H796" i="8"/>
  <c r="I796" i="8" s="1"/>
  <c r="K796" i="9" s="1"/>
  <c r="H740" i="8"/>
  <c r="I740" i="8" s="1"/>
  <c r="K740" i="9" s="1"/>
  <c r="H392" i="8"/>
  <c r="I392" i="8" s="1"/>
  <c r="K392" i="9" s="1"/>
  <c r="H379" i="8"/>
  <c r="I379" i="8" s="1"/>
  <c r="K379" i="9" s="1"/>
  <c r="H252" i="8"/>
  <c r="I252" i="8" s="1"/>
  <c r="K252" i="9" s="1"/>
  <c r="H174" i="8"/>
  <c r="I174" i="8" s="1"/>
  <c r="K174" i="9" s="1"/>
  <c r="H83" i="8"/>
  <c r="I83" i="8" s="1"/>
  <c r="K83" i="9" s="1"/>
  <c r="H821" i="8"/>
  <c r="I821" i="8" s="1"/>
  <c r="K821" i="9" s="1"/>
  <c r="H612" i="8"/>
  <c r="I612" i="8" s="1"/>
  <c r="K612" i="9" s="1"/>
  <c r="H359" i="8"/>
  <c r="I359" i="8" s="1"/>
  <c r="K359" i="9" s="1"/>
  <c r="H326" i="8"/>
  <c r="I326" i="8" s="1"/>
  <c r="K326" i="9" s="1"/>
  <c r="H281" i="8"/>
  <c r="I281" i="8" s="1"/>
  <c r="K281" i="9" s="1"/>
  <c r="H58" i="8"/>
  <c r="I58" i="8" s="1"/>
  <c r="K58" i="9" s="1"/>
  <c r="H801" i="8"/>
  <c r="I801" i="8" s="1"/>
  <c r="K801" i="9" s="1"/>
  <c r="H761" i="8"/>
  <c r="I761" i="8" s="1"/>
  <c r="K761" i="9" s="1"/>
  <c r="H482" i="8"/>
  <c r="I482" i="8" s="1"/>
  <c r="K482" i="9" s="1"/>
  <c r="H223" i="8"/>
  <c r="I223" i="8" s="1"/>
  <c r="K223" i="9" s="1"/>
  <c r="H823" i="8"/>
  <c r="I823" i="8" s="1"/>
  <c r="K823" i="9" s="1"/>
  <c r="H683" i="8"/>
  <c r="I683" i="8" s="1"/>
  <c r="K683" i="9" s="1"/>
  <c r="H620" i="8"/>
  <c r="I620" i="8" s="1"/>
  <c r="K620" i="9" s="1"/>
  <c r="H606" i="8"/>
  <c r="I606" i="8" s="1"/>
  <c r="K606" i="9" s="1"/>
  <c r="H448" i="8"/>
  <c r="I448" i="8" s="1"/>
  <c r="K448" i="9" s="1"/>
  <c r="H422" i="8"/>
  <c r="I422" i="8" s="1"/>
  <c r="K422" i="9" s="1"/>
  <c r="H383" i="8"/>
  <c r="I383" i="8" s="1"/>
  <c r="K383" i="9" s="1"/>
  <c r="H374" i="8"/>
  <c r="I374" i="8" s="1"/>
  <c r="K374" i="9" s="1"/>
  <c r="H39" i="8"/>
  <c r="I39" i="8" s="1"/>
  <c r="K39" i="9" s="1"/>
  <c r="H31" i="8"/>
  <c r="I31" i="8" s="1"/>
  <c r="K31" i="9" s="1"/>
  <c r="H652" i="8"/>
  <c r="I652" i="8" s="1"/>
  <c r="K652" i="9" s="1"/>
  <c r="H562" i="8"/>
  <c r="I562" i="8" s="1"/>
  <c r="K562" i="9" s="1"/>
  <c r="H811" i="8"/>
  <c r="I811" i="8" s="1"/>
  <c r="K811" i="9" s="1"/>
  <c r="H701" i="8"/>
  <c r="I701" i="8" s="1"/>
  <c r="K701" i="9" s="1"/>
  <c r="H503" i="8"/>
  <c r="I503" i="8" s="1"/>
  <c r="K503" i="9" s="1"/>
  <c r="H334" i="8"/>
  <c r="I334" i="8" s="1"/>
  <c r="K334" i="9" s="1"/>
  <c r="H311" i="8"/>
  <c r="I311" i="8" s="1"/>
  <c r="K311" i="9" s="1"/>
  <c r="H306" i="8"/>
  <c r="I306" i="8" s="1"/>
  <c r="K306" i="9" s="1"/>
  <c r="H212" i="8"/>
  <c r="I212" i="8" s="1"/>
  <c r="K212" i="9" s="1"/>
  <c r="H143" i="8"/>
  <c r="I143" i="8" s="1"/>
  <c r="K143" i="9" s="1"/>
  <c r="H130" i="8"/>
  <c r="I130" i="8" s="1"/>
  <c r="K130" i="9" s="1"/>
  <c r="H552" i="8"/>
  <c r="I552" i="8" s="1"/>
  <c r="K552" i="9" s="1"/>
  <c r="H195" i="8"/>
  <c r="I195" i="8" s="1"/>
  <c r="K195" i="9" s="1"/>
  <c r="H22" i="8"/>
  <c r="I22" i="8" s="1"/>
  <c r="K22" i="9" s="1"/>
  <c r="H798" i="8"/>
  <c r="I798" i="8" s="1"/>
  <c r="K798" i="9" s="1"/>
  <c r="H710" i="8"/>
  <c r="I710" i="8" s="1"/>
  <c r="K710" i="9" s="1"/>
  <c r="H700" i="8"/>
  <c r="I700" i="8" s="1"/>
  <c r="K700" i="9" s="1"/>
  <c r="H668" i="8"/>
  <c r="I668" i="8" s="1"/>
  <c r="K668" i="9" s="1"/>
  <c r="H601" i="8"/>
  <c r="I601" i="8" s="1"/>
  <c r="K601" i="9" s="1"/>
  <c r="H253" i="8"/>
  <c r="I253" i="8" s="1"/>
  <c r="K253" i="9" s="1"/>
  <c r="H248" i="8"/>
  <c r="I248" i="8" s="1"/>
  <c r="K248" i="9" s="1"/>
  <c r="H816" i="8"/>
  <c r="I816" i="8" s="1"/>
  <c r="K816" i="9" s="1"/>
  <c r="H610" i="8"/>
  <c r="I610" i="8" s="1"/>
  <c r="K610" i="9" s="1"/>
  <c r="H564" i="8"/>
  <c r="I564" i="8" s="1"/>
  <c r="K564" i="9" s="1"/>
  <c r="H515" i="8"/>
  <c r="I515" i="8" s="1"/>
  <c r="K515" i="9" s="1"/>
  <c r="H292" i="8"/>
  <c r="I292" i="8" s="1"/>
  <c r="K292" i="9" s="1"/>
  <c r="H261" i="8"/>
  <c r="I261" i="8" s="1"/>
  <c r="K261" i="9" s="1"/>
  <c r="H221" i="8"/>
  <c r="I221" i="8" s="1"/>
  <c r="K221" i="9" s="1"/>
  <c r="H208" i="8"/>
  <c r="I208" i="8" s="1"/>
  <c r="K208" i="9" s="1"/>
  <c r="H160" i="8"/>
  <c r="I160" i="8" s="1"/>
  <c r="K160" i="9" s="1"/>
  <c r="H783" i="8"/>
  <c r="I783" i="8" s="1"/>
  <c r="K783" i="9" s="1"/>
  <c r="H757" i="8"/>
  <c r="I757" i="8" s="1"/>
  <c r="K757" i="9" s="1"/>
  <c r="H731" i="8"/>
  <c r="I731" i="8" s="1"/>
  <c r="K731" i="9" s="1"/>
  <c r="H674" i="8"/>
  <c r="I674" i="8" s="1"/>
  <c r="K674" i="9" s="1"/>
  <c r="H628" i="8"/>
  <c r="I628" i="8" s="1"/>
  <c r="K628" i="9" s="1"/>
  <c r="H557" i="8"/>
  <c r="I557" i="8" s="1"/>
  <c r="K557" i="9" s="1"/>
  <c r="H354" i="8"/>
  <c r="I354" i="8" s="1"/>
  <c r="K354" i="9" s="1"/>
  <c r="H224" i="8"/>
  <c r="I224" i="8" s="1"/>
  <c r="K224" i="9" s="1"/>
  <c r="H100" i="8"/>
  <c r="I100" i="8" s="1"/>
  <c r="K100" i="9" s="1"/>
  <c r="H741" i="8"/>
  <c r="I741" i="8" s="1"/>
  <c r="K741" i="9" s="1"/>
  <c r="H586" i="8"/>
  <c r="I586" i="8" s="1"/>
  <c r="K586" i="9" s="1"/>
  <c r="H483" i="8"/>
  <c r="I483" i="8" s="1"/>
  <c r="K483" i="9" s="1"/>
  <c r="H312" i="8"/>
  <c r="I312" i="8" s="1"/>
  <c r="K312" i="9" s="1"/>
  <c r="H214" i="8"/>
  <c r="I214" i="8" s="1"/>
  <c r="K214" i="9" s="1"/>
  <c r="H180" i="8"/>
  <c r="I180" i="8" s="1"/>
  <c r="K180" i="9" s="1"/>
  <c r="H63" i="8"/>
  <c r="I63" i="8" s="1"/>
  <c r="K63" i="9" s="1"/>
  <c r="H429" i="8"/>
  <c r="I429" i="8" s="1"/>
  <c r="K429" i="9" s="1"/>
  <c r="H414" i="8"/>
  <c r="I414" i="8" s="1"/>
  <c r="K414" i="9" s="1"/>
  <c r="H332" i="8"/>
  <c r="I332" i="8" s="1"/>
  <c r="K332" i="9" s="1"/>
  <c r="H35" i="8"/>
  <c r="I35" i="8" s="1"/>
  <c r="K35" i="9" s="1"/>
  <c r="H689" i="8"/>
  <c r="I689" i="8" s="1"/>
  <c r="K689" i="9" s="1"/>
  <c r="H477" i="8"/>
  <c r="I477" i="8" s="1"/>
  <c r="K477" i="9" s="1"/>
  <c r="H337" i="8"/>
  <c r="I337" i="8" s="1"/>
  <c r="K337" i="9" s="1"/>
  <c r="H238" i="8"/>
  <c r="I238" i="8" s="1"/>
  <c r="K238" i="9" s="1"/>
  <c r="H123" i="8"/>
  <c r="I123" i="8" s="1"/>
  <c r="K123" i="9" s="1"/>
  <c r="H81" i="8"/>
  <c r="I81" i="8" s="1"/>
  <c r="K81" i="9" s="1"/>
  <c r="H767" i="8"/>
  <c r="I767" i="8" s="1"/>
  <c r="K767" i="9" s="1"/>
  <c r="H637" i="8"/>
  <c r="I637" i="8" s="1"/>
  <c r="K637" i="9" s="1"/>
  <c r="H594" i="8"/>
  <c r="I594" i="8" s="1"/>
  <c r="K594" i="9" s="1"/>
  <c r="H472" i="8"/>
  <c r="I472" i="8" s="1"/>
  <c r="K472" i="9" s="1"/>
  <c r="H423" i="8"/>
  <c r="I423" i="8" s="1"/>
  <c r="K423" i="9" s="1"/>
  <c r="H218" i="8"/>
  <c r="I218" i="8" s="1"/>
  <c r="K218" i="9" s="1"/>
  <c r="H113" i="8"/>
  <c r="I113" i="8" s="1"/>
  <c r="K113" i="9" s="1"/>
  <c r="H62" i="8"/>
  <c r="I62" i="8" s="1"/>
  <c r="K62" i="9" s="1"/>
  <c r="H799" i="8"/>
  <c r="I799" i="8" s="1"/>
  <c r="K799" i="9" s="1"/>
  <c r="H792" i="8"/>
  <c r="I792" i="8" s="1"/>
  <c r="K792" i="9" s="1"/>
  <c r="H580" i="8"/>
  <c r="I580" i="8" s="1"/>
  <c r="K580" i="9" s="1"/>
  <c r="H560" i="8"/>
  <c r="I560" i="8" s="1"/>
  <c r="K560" i="9" s="1"/>
  <c r="H546" i="8"/>
  <c r="I546" i="8" s="1"/>
  <c r="K546" i="9" s="1"/>
  <c r="H497" i="8"/>
  <c r="I497" i="8" s="1"/>
  <c r="K497" i="9" s="1"/>
  <c r="H409" i="8"/>
  <c r="I409" i="8" s="1"/>
  <c r="K409" i="9" s="1"/>
  <c r="H98" i="8"/>
  <c r="I98" i="8" s="1"/>
  <c r="K98" i="9" s="1"/>
  <c r="H742" i="8"/>
  <c r="I742" i="8" s="1"/>
  <c r="K742" i="9" s="1"/>
  <c r="H696" i="8"/>
  <c r="I696" i="8" s="1"/>
  <c r="K696" i="9" s="1"/>
  <c r="H645" i="8"/>
  <c r="I645" i="8" s="1"/>
  <c r="K645" i="9" s="1"/>
  <c r="H559" i="8"/>
  <c r="I559" i="8" s="1"/>
  <c r="K559" i="9" s="1"/>
  <c r="H413" i="8"/>
  <c r="I413" i="8" s="1"/>
  <c r="K413" i="9" s="1"/>
  <c r="H219" i="8"/>
  <c r="I219" i="8" s="1"/>
  <c r="K219" i="9" s="1"/>
  <c r="H661" i="8"/>
  <c r="I661" i="8" s="1"/>
  <c r="K661" i="9" s="1"/>
  <c r="H441" i="8"/>
  <c r="I441" i="8" s="1"/>
  <c r="K441" i="9" s="1"/>
  <c r="H745" i="8"/>
  <c r="I745" i="8" s="1"/>
  <c r="K745" i="9" s="1"/>
  <c r="H394" i="8"/>
  <c r="I394" i="8" s="1"/>
  <c r="K394" i="9" s="1"/>
  <c r="H490" i="8"/>
  <c r="I490" i="8" s="1"/>
  <c r="K490" i="9" s="1"/>
  <c r="H108" i="8"/>
  <c r="I108" i="8" s="1"/>
  <c r="K108" i="9" s="1"/>
  <c r="H78" i="8"/>
  <c r="I78" i="8" s="1"/>
  <c r="K78" i="9" s="1"/>
  <c r="H791" i="8"/>
  <c r="I791" i="8" s="1"/>
  <c r="K791" i="9" s="1"/>
  <c r="H727" i="8"/>
  <c r="I727" i="8" s="1"/>
  <c r="K727" i="9" s="1"/>
  <c r="H234" i="8"/>
  <c r="I234" i="8" s="1"/>
  <c r="K234" i="9" s="1"/>
  <c r="H577" i="8"/>
  <c r="I577" i="8" s="1"/>
  <c r="K577" i="9" s="1"/>
  <c r="H471" i="8"/>
  <c r="I471" i="8" s="1"/>
  <c r="K471" i="9" s="1"/>
  <c r="H415" i="8"/>
  <c r="I415" i="8" s="1"/>
  <c r="K415" i="9" s="1"/>
  <c r="H19" i="8"/>
  <c r="I19" i="8" s="1"/>
  <c r="K19" i="9" s="1"/>
  <c r="H272" i="8"/>
  <c r="I272" i="8" s="1"/>
  <c r="K272" i="9" s="1"/>
  <c r="H139" i="8"/>
  <c r="I139" i="8" s="1"/>
  <c r="K139" i="9" s="1"/>
  <c r="H380" i="8"/>
  <c r="I380" i="8" s="1"/>
  <c r="K380" i="9" s="1"/>
  <c r="H790" i="8"/>
  <c r="I790" i="8" s="1"/>
  <c r="K790" i="9" s="1"/>
  <c r="H510" i="8"/>
  <c r="I510" i="8" s="1"/>
  <c r="K510" i="9" s="1"/>
  <c r="H340" i="8"/>
  <c r="I340" i="8" s="1"/>
  <c r="K340" i="9" s="1"/>
  <c r="H198" i="8"/>
  <c r="I198" i="8" s="1"/>
  <c r="K198" i="9" s="1"/>
  <c r="H397" i="8"/>
  <c r="I397" i="8" s="1"/>
  <c r="K397" i="9" s="1"/>
  <c r="H133" i="8"/>
  <c r="I133" i="8" s="1"/>
  <c r="K133" i="9" s="1"/>
  <c r="H23" i="8"/>
  <c r="I23" i="8" s="1"/>
  <c r="K23" i="9" s="1"/>
  <c r="H760" i="8"/>
  <c r="I760" i="8" s="1"/>
  <c r="K760" i="9" s="1"/>
  <c r="H651" i="8"/>
  <c r="I651" i="8" s="1"/>
  <c r="K651" i="9" s="1"/>
  <c r="H140" i="8"/>
  <c r="I140" i="8" s="1"/>
  <c r="K140" i="9" s="1"/>
  <c r="H9" i="8"/>
  <c r="I9" i="8" s="1"/>
  <c r="H732" i="8"/>
  <c r="I732" i="8" s="1"/>
  <c r="K732" i="9" s="1"/>
  <c r="H756" i="8"/>
  <c r="I756" i="8" s="1"/>
  <c r="K756" i="9" s="1"/>
  <c r="H721" i="8"/>
  <c r="I721" i="8" s="1"/>
  <c r="K721" i="9" s="1"/>
  <c r="H97" i="8"/>
  <c r="I97" i="8" s="1"/>
  <c r="K97" i="9" s="1"/>
  <c r="H675" i="8"/>
  <c r="I675" i="8" s="1"/>
  <c r="K675" i="9" s="1"/>
  <c r="H680" i="8"/>
  <c r="I680" i="8" s="1"/>
  <c r="K680" i="9" s="1"/>
  <c r="H228" i="8"/>
  <c r="I228" i="8" s="1"/>
  <c r="K228" i="9" s="1"/>
  <c r="H704" i="8"/>
  <c r="I704" i="8" s="1"/>
  <c r="K704" i="9" s="1"/>
  <c r="H150" i="8"/>
  <c r="I150" i="8" s="1"/>
  <c r="K150" i="9" s="1"/>
  <c r="H50" i="8"/>
  <c r="I50" i="8" s="1"/>
  <c r="K50" i="9" s="1"/>
  <c r="H593" i="8"/>
  <c r="I593" i="8" s="1"/>
  <c r="K593" i="9" s="1"/>
  <c r="H232" i="8"/>
  <c r="I232" i="8" s="1"/>
  <c r="K232" i="9" s="1"/>
  <c r="H159" i="8"/>
  <c r="I159" i="8" s="1"/>
  <c r="K159" i="9" s="1"/>
  <c r="H481" i="8"/>
  <c r="I481" i="8" s="1"/>
  <c r="K481" i="9" s="1"/>
  <c r="H432" i="8"/>
  <c r="I432" i="8" s="1"/>
  <c r="K432" i="9" s="1"/>
  <c r="H95" i="8"/>
  <c r="I95" i="8" s="1"/>
  <c r="K95" i="9" s="1"/>
  <c r="H820" i="8"/>
  <c r="I820" i="8" s="1"/>
  <c r="K820" i="9" s="1"/>
  <c r="H656" i="8"/>
  <c r="I656" i="8" s="1"/>
  <c r="K656" i="9" s="1"/>
  <c r="H597" i="8"/>
  <c r="I597" i="8" s="1"/>
  <c r="K597" i="9" s="1"/>
  <c r="H486" i="8"/>
  <c r="I486" i="8" s="1"/>
  <c r="K486" i="9" s="1"/>
  <c r="H442" i="8"/>
  <c r="I442" i="8" s="1"/>
  <c r="K442" i="9" s="1"/>
  <c r="H418" i="8"/>
  <c r="I418" i="8" s="1"/>
  <c r="K418" i="9" s="1"/>
  <c r="H299" i="8"/>
  <c r="I299" i="8" s="1"/>
  <c r="K299" i="9" s="1"/>
  <c r="H254" i="8"/>
  <c r="I254" i="8" s="1"/>
  <c r="K254" i="9" s="1"/>
  <c r="H203" i="8"/>
  <c r="I203" i="8" s="1"/>
  <c r="K203" i="9" s="1"/>
  <c r="H59" i="8"/>
  <c r="I59" i="8" s="1"/>
  <c r="K59" i="9" s="1"/>
  <c r="H183" i="8"/>
  <c r="I183" i="8" s="1"/>
  <c r="K183" i="9" s="1"/>
  <c r="H614" i="8"/>
  <c r="I614" i="8" s="1"/>
  <c r="K614" i="9" s="1"/>
  <c r="H569" i="8"/>
  <c r="I569" i="8" s="1"/>
  <c r="K569" i="9" s="1"/>
  <c r="H530" i="8"/>
  <c r="I530" i="8" s="1"/>
  <c r="K530" i="9" s="1"/>
  <c r="H350" i="8"/>
  <c r="I350" i="8" s="1"/>
  <c r="K350" i="9" s="1"/>
  <c r="H175" i="8"/>
  <c r="I175" i="8" s="1"/>
  <c r="K175" i="9" s="1"/>
  <c r="H121" i="8"/>
  <c r="I121" i="8" s="1"/>
  <c r="K121" i="9" s="1"/>
  <c r="H32" i="8"/>
  <c r="I32" i="8" s="1"/>
  <c r="K32" i="9" s="1"/>
  <c r="H795" i="8"/>
  <c r="I795" i="8" s="1"/>
  <c r="K795" i="9" s="1"/>
  <c r="H417" i="8"/>
  <c r="I417" i="8" s="1"/>
  <c r="K417" i="9" s="1"/>
  <c r="H163" i="8"/>
  <c r="I163" i="8" s="1"/>
  <c r="K163" i="9" s="1"/>
  <c r="H126" i="8"/>
  <c r="I126" i="8" s="1"/>
  <c r="K126" i="9" s="1"/>
  <c r="H694" i="8"/>
  <c r="I694" i="8" s="1"/>
  <c r="K694" i="9" s="1"/>
  <c r="H452" i="8"/>
  <c r="I452" i="8" s="1"/>
  <c r="K452" i="9" s="1"/>
  <c r="H435" i="8"/>
  <c r="I435" i="8" s="1"/>
  <c r="K435" i="9" s="1"/>
  <c r="H314" i="8"/>
  <c r="I314" i="8" s="1"/>
  <c r="K314" i="9" s="1"/>
  <c r="H711" i="8"/>
  <c r="I711" i="8" s="1"/>
  <c r="K711" i="9" s="1"/>
  <c r="H370" i="8"/>
  <c r="I370" i="8" s="1"/>
  <c r="K370" i="9" s="1"/>
  <c r="H539" i="8"/>
  <c r="I539" i="8" s="1"/>
  <c r="K539" i="9" s="1"/>
  <c r="H211" i="8"/>
  <c r="I211" i="8" s="1"/>
  <c r="K211" i="9" s="1"/>
  <c r="H51" i="8"/>
  <c r="I51" i="8" s="1"/>
  <c r="K51" i="9" s="1"/>
  <c r="H784" i="8"/>
  <c r="I784" i="8" s="1"/>
  <c r="K784" i="9" s="1"/>
  <c r="H581" i="8"/>
  <c r="I581" i="8" s="1"/>
  <c r="K581" i="9" s="1"/>
  <c r="H690" i="8"/>
  <c r="I690" i="8" s="1"/>
  <c r="K690" i="9" s="1"/>
  <c r="H672" i="8"/>
  <c r="I672" i="8" s="1"/>
  <c r="K672" i="9" s="1"/>
  <c r="H631" i="8"/>
  <c r="I631" i="8" s="1"/>
  <c r="K631" i="9" s="1"/>
  <c r="H591" i="8"/>
  <c r="I591" i="8" s="1"/>
  <c r="K591" i="9" s="1"/>
  <c r="H480" i="8"/>
  <c r="I480" i="8" s="1"/>
  <c r="K480" i="9" s="1"/>
  <c r="H384" i="8"/>
  <c r="I384" i="8" s="1"/>
  <c r="K384" i="9" s="1"/>
  <c r="H344" i="8"/>
  <c r="I344" i="8" s="1"/>
  <c r="K344" i="9" s="1"/>
  <c r="H110" i="8"/>
  <c r="I110" i="8" s="1"/>
  <c r="K110" i="9" s="1"/>
  <c r="H75" i="8"/>
  <c r="I75" i="8" s="1"/>
  <c r="K75" i="9" s="1"/>
  <c r="H712" i="8"/>
  <c r="I712" i="8" s="1"/>
  <c r="K712" i="9" s="1"/>
  <c r="H707" i="8"/>
  <c r="I707" i="8" s="1"/>
  <c r="K707" i="9" s="1"/>
  <c r="H518" i="8"/>
  <c r="I518" i="8" s="1"/>
  <c r="K518" i="9" s="1"/>
  <c r="H535" i="8"/>
  <c r="I535" i="8" s="1"/>
  <c r="K535" i="9" s="1"/>
  <c r="H462" i="8"/>
  <c r="I462" i="8" s="1"/>
  <c r="K462" i="9" s="1"/>
  <c r="H718" i="8"/>
  <c r="I718" i="8" s="1"/>
  <c r="K718" i="9" s="1"/>
  <c r="H523" i="8"/>
  <c r="I523" i="8" s="1"/>
  <c r="K523" i="9" s="1"/>
  <c r="H377" i="8"/>
  <c r="I377" i="8" s="1"/>
  <c r="K377" i="9" s="1"/>
  <c r="H331" i="8"/>
  <c r="I331" i="8" s="1"/>
  <c r="K331" i="9" s="1"/>
  <c r="H808" i="8"/>
  <c r="I808" i="8" s="1"/>
  <c r="K808" i="9" s="1"/>
  <c r="H589" i="8"/>
  <c r="I589" i="8" s="1"/>
  <c r="K589" i="9" s="1"/>
  <c r="H404" i="8"/>
  <c r="I404" i="8" s="1"/>
  <c r="K404" i="9" s="1"/>
  <c r="H324" i="8"/>
  <c r="I324" i="8" s="1"/>
  <c r="K324" i="9" s="1"/>
  <c r="H686" i="8"/>
  <c r="I686" i="8" s="1"/>
  <c r="K686" i="9" s="1"/>
  <c r="H91" i="8"/>
  <c r="I91" i="8" s="1"/>
  <c r="K91" i="9" s="1"/>
  <c r="H403" i="8"/>
  <c r="I403" i="8" s="1"/>
  <c r="K403" i="9" s="1"/>
  <c r="H570" i="8"/>
  <c r="I570" i="8" s="1"/>
  <c r="K570" i="9" s="1"/>
  <c r="H241" i="8"/>
  <c r="I241" i="8" s="1"/>
  <c r="K241" i="9" s="1"/>
  <c r="H131" i="8"/>
  <c r="I131" i="8" s="1"/>
  <c r="K131" i="9" s="1"/>
  <c r="H681" i="8"/>
  <c r="I681" i="8" s="1"/>
  <c r="K681" i="9" s="1"/>
  <c r="H702" i="8"/>
  <c r="I702" i="8" s="1"/>
  <c r="K702" i="9" s="1"/>
  <c r="H775" i="8"/>
  <c r="I775" i="8" s="1"/>
  <c r="K775" i="9" s="1"/>
  <c r="H666" i="8"/>
  <c r="I666" i="8" s="1"/>
  <c r="K666" i="9" s="1"/>
  <c r="H285" i="8"/>
  <c r="I285" i="8" s="1"/>
  <c r="K285" i="9" s="1"/>
  <c r="H781" i="8"/>
  <c r="I781" i="8" s="1"/>
  <c r="K781" i="9" s="1"/>
  <c r="H44" i="8"/>
  <c r="I44" i="8" s="1"/>
  <c r="K44" i="9" s="1"/>
  <c r="H42" i="8"/>
  <c r="I42" i="8" s="1"/>
  <c r="K42" i="9" s="1"/>
  <c r="H663" i="8"/>
  <c r="I663" i="8" s="1"/>
  <c r="K663" i="9" s="1"/>
  <c r="H807" i="8"/>
  <c r="I807" i="8" s="1"/>
  <c r="K807" i="9" s="1"/>
  <c r="H618" i="8"/>
  <c r="I618" i="8" s="1"/>
  <c r="K618" i="9" s="1"/>
  <c r="H401" i="8"/>
  <c r="I401" i="8" s="1"/>
  <c r="K401" i="9" s="1"/>
  <c r="H80" i="8"/>
  <c r="I80" i="8" s="1"/>
  <c r="K80" i="9" s="1"/>
  <c r="H365" i="8"/>
  <c r="I365" i="8" s="1"/>
  <c r="K365" i="9" s="1"/>
  <c r="H708" i="8"/>
  <c r="I708" i="8" s="1"/>
  <c r="K708" i="9" s="1"/>
  <c r="H144" i="8"/>
  <c r="I144" i="8" s="1"/>
  <c r="K144" i="9" s="1"/>
  <c r="H613" i="8"/>
  <c r="I613" i="8" s="1"/>
  <c r="K613" i="9" s="1"/>
  <c r="H85" i="8"/>
  <c r="I85" i="8" s="1"/>
  <c r="K85" i="9" s="1"/>
  <c r="H763" i="8"/>
  <c r="I763" i="8" s="1"/>
  <c r="K763" i="9" s="1"/>
  <c r="H79" i="8"/>
  <c r="I79" i="8" s="1"/>
  <c r="K79" i="9" s="1"/>
  <c r="H70" i="8"/>
  <c r="I70" i="8" s="1"/>
  <c r="K70" i="9" s="1"/>
  <c r="H714" i="8"/>
  <c r="I714" i="8" s="1"/>
  <c r="K714" i="9" s="1"/>
  <c r="H105" i="8"/>
  <c r="I105" i="8" s="1"/>
  <c r="K105" i="9" s="1"/>
  <c r="H330" i="8"/>
  <c r="I330" i="8" s="1"/>
  <c r="K330" i="9" s="1"/>
  <c r="H66" i="8"/>
  <c r="I66" i="8" s="1"/>
  <c r="K66" i="9" s="1"/>
  <c r="H13" i="8"/>
  <c r="I13" i="8" s="1"/>
  <c r="K13" i="9" s="1"/>
  <c r="H319" i="8"/>
  <c r="I319" i="8" s="1"/>
  <c r="K319" i="9" s="1"/>
  <c r="H193" i="8"/>
  <c r="I193" i="8" s="1"/>
  <c r="K193" i="9" s="1"/>
  <c r="H15" i="8"/>
  <c r="I15" i="8" s="1"/>
  <c r="K15" i="9" s="1"/>
  <c r="H345" i="8"/>
  <c r="I345" i="8" s="1"/>
  <c r="K345" i="9" s="1"/>
  <c r="H770" i="8"/>
  <c r="I770" i="8" s="1"/>
  <c r="K770" i="9" s="1"/>
  <c r="H53" i="8"/>
  <c r="I53" i="8" s="1"/>
  <c r="K53" i="9" s="1"/>
  <c r="H360" i="8"/>
  <c r="I360" i="8" s="1"/>
  <c r="K360" i="9" s="1"/>
  <c r="H500" i="8"/>
  <c r="I500" i="8" s="1"/>
  <c r="K500" i="9" s="1"/>
  <c r="H149" i="8"/>
  <c r="I149" i="8" s="1"/>
  <c r="K149" i="9" s="1"/>
  <c r="H509" i="8"/>
  <c r="I509" i="8" s="1"/>
  <c r="K509" i="9" s="1"/>
  <c r="H24" i="8"/>
  <c r="I24" i="8" s="1"/>
  <c r="K24" i="9" s="1"/>
  <c r="H526" i="8"/>
  <c r="I526" i="8" s="1"/>
  <c r="K526" i="9" s="1"/>
  <c r="H33" i="8"/>
  <c r="I33" i="8" s="1"/>
  <c r="K33" i="9" s="1"/>
  <c r="H506" i="8"/>
  <c r="I506" i="8" s="1"/>
  <c r="K506" i="9" s="1"/>
  <c r="H607" i="8"/>
  <c r="I607" i="8" s="1"/>
  <c r="K607" i="9" s="1"/>
  <c r="H296" i="8"/>
  <c r="I296" i="8" s="1"/>
  <c r="K296" i="9" s="1"/>
  <c r="H629" i="8"/>
  <c r="I629" i="8" s="1"/>
  <c r="K629" i="9" s="1"/>
  <c r="H146" i="8"/>
  <c r="I146" i="8" s="1"/>
  <c r="K146" i="9" s="1"/>
  <c r="H57" i="8"/>
  <c r="I57" i="8" s="1"/>
  <c r="K57" i="9" s="1"/>
  <c r="H29" i="8"/>
  <c r="I29" i="8" s="1"/>
  <c r="K29" i="9" s="1"/>
  <c r="H295" i="8"/>
  <c r="I295" i="8" s="1"/>
  <c r="K295" i="9" s="1"/>
  <c r="H428" i="8"/>
  <c r="I428" i="8" s="1"/>
  <c r="K428" i="9" s="1"/>
  <c r="H407" i="8"/>
  <c r="I407" i="8" s="1"/>
  <c r="K407" i="9" s="1"/>
  <c r="H465" i="8"/>
  <c r="I465" i="8" s="1"/>
  <c r="K465" i="9" s="1"/>
  <c r="H625" i="8"/>
  <c r="I625" i="8" s="1"/>
  <c r="K625" i="9" s="1"/>
  <c r="H393" i="8"/>
  <c r="I393" i="8" s="1"/>
  <c r="K393" i="9" s="1"/>
  <c r="H375" i="8"/>
  <c r="I375" i="8" s="1"/>
  <c r="K375" i="9" s="1"/>
  <c r="H430" i="8"/>
  <c r="I430" i="8" s="1"/>
  <c r="K430" i="9" s="1"/>
  <c r="H642" i="8"/>
  <c r="I642" i="8" s="1"/>
  <c r="K642" i="9" s="1"/>
  <c r="H461" i="8"/>
  <c r="I461" i="8" s="1"/>
  <c r="K461" i="9" s="1"/>
  <c r="H478" i="8"/>
  <c r="I478" i="8" s="1"/>
  <c r="K478" i="9" s="1"/>
  <c r="H382" i="8"/>
  <c r="I382" i="8" s="1"/>
  <c r="K382" i="9" s="1"/>
  <c r="H513" i="8"/>
  <c r="I513" i="8" s="1"/>
  <c r="K513" i="9" s="1"/>
  <c r="H738" i="8"/>
  <c r="I738" i="8" s="1"/>
  <c r="K738" i="9" s="1"/>
  <c r="H604" i="8"/>
  <c r="I604" i="8" s="1"/>
  <c r="K604" i="9" s="1"/>
  <c r="H450" i="8"/>
  <c r="I450" i="8" s="1"/>
  <c r="K450" i="9" s="1"/>
  <c r="H170" i="8"/>
  <c r="I170" i="8" s="1"/>
  <c r="K170" i="9" s="1"/>
  <c r="H358" i="8"/>
  <c r="I358" i="8" s="1"/>
  <c r="K358" i="9" s="1"/>
  <c r="H433" i="8"/>
  <c r="I433" i="8" s="1"/>
  <c r="K433" i="9" s="1"/>
  <c r="H705" i="8"/>
  <c r="I705" i="8" s="1"/>
  <c r="K705" i="9" s="1"/>
  <c r="H38" i="8"/>
  <c r="I38" i="8" s="1"/>
  <c r="K38" i="9" s="1"/>
  <c r="H787" i="8"/>
  <c r="I787" i="8" s="1"/>
  <c r="K787" i="9" s="1"/>
  <c r="H321" i="8"/>
  <c r="I321" i="8" s="1"/>
  <c r="K321" i="9" s="1"/>
  <c r="H455" i="8"/>
  <c r="I455" i="8" s="1"/>
  <c r="K455" i="9" s="1"/>
  <c r="H47" i="8"/>
  <c r="I47" i="8" s="1"/>
  <c r="K47" i="9" s="1"/>
  <c r="H227" i="8"/>
  <c r="I227" i="8" s="1"/>
  <c r="K227" i="9" s="1"/>
  <c r="H290" i="8"/>
  <c r="I290" i="8" s="1"/>
  <c r="K290" i="9" s="1"/>
  <c r="H325" i="8"/>
  <c r="I325" i="8" s="1"/>
  <c r="K325" i="9" s="1"/>
  <c r="H438" i="8"/>
  <c r="I438" i="8" s="1"/>
  <c r="K438" i="9" s="1"/>
  <c r="H746" i="8"/>
  <c r="I746" i="8" s="1"/>
  <c r="K746" i="9" s="1"/>
  <c r="H440" i="8"/>
  <c r="I440" i="8" s="1"/>
  <c r="K440" i="9" s="1"/>
  <c r="H206" i="8"/>
  <c r="I206" i="8" s="1"/>
  <c r="K206" i="9" s="1"/>
  <c r="H264" i="8"/>
  <c r="I264" i="8" s="1"/>
  <c r="K264" i="9" s="1"/>
  <c r="H151" i="8"/>
  <c r="I151" i="8" s="1"/>
  <c r="K151" i="9" s="1"/>
  <c r="H390" i="8"/>
  <c r="I390" i="8" s="1"/>
  <c r="K390" i="9" s="1"/>
  <c r="H76" i="8"/>
  <c r="I76" i="8" s="1"/>
  <c r="K76" i="9" s="1"/>
  <c r="H400" i="8"/>
  <c r="I400" i="8" s="1"/>
  <c r="K400" i="9" s="1"/>
  <c r="H17" i="8"/>
  <c r="I17" i="8" s="1"/>
  <c r="K17" i="9" s="1"/>
  <c r="H176" i="8"/>
  <c r="I176" i="8" s="1"/>
  <c r="K176" i="9" s="1"/>
  <c r="H519" i="8"/>
  <c r="I519" i="8" s="1"/>
  <c r="K519" i="9" s="1"/>
  <c r="H335" i="8"/>
  <c r="I335" i="8" s="1"/>
  <c r="K335" i="9" s="1"/>
  <c r="H533" i="8"/>
  <c r="I533" i="8" s="1"/>
  <c r="K533" i="9" s="1"/>
  <c r="H260" i="8"/>
  <c r="I260" i="8" s="1"/>
  <c r="K260" i="9" s="1"/>
  <c r="H40" i="8"/>
  <c r="I40" i="8" s="1"/>
  <c r="K40" i="9" s="1"/>
  <c r="H209" i="8"/>
  <c r="I209" i="8" s="1"/>
  <c r="K209" i="9" s="1"/>
  <c r="H266" i="8"/>
  <c r="I266" i="8" s="1"/>
  <c r="K266" i="9" s="1"/>
  <c r="H387" i="8"/>
  <c r="I387" i="8" s="1"/>
  <c r="K387" i="9" s="1"/>
  <c r="H279" i="8"/>
  <c r="I279" i="8" s="1"/>
  <c r="K279" i="9" s="1"/>
  <c r="H501" i="8"/>
  <c r="I501" i="8" s="1"/>
  <c r="K501" i="9" s="1"/>
  <c r="H250" i="8"/>
  <c r="I250" i="8" s="1"/>
  <c r="K250" i="9" s="1"/>
  <c r="H186" i="8"/>
  <c r="I186" i="8" s="1"/>
  <c r="K186" i="9" s="1"/>
  <c r="H329" i="8"/>
  <c r="I329" i="8" s="1"/>
  <c r="K329" i="9" s="1"/>
  <c r="H86" i="8"/>
  <c r="I86" i="8" s="1"/>
  <c r="K86" i="9" s="1"/>
  <c r="H242" i="8"/>
  <c r="I242" i="8" s="1"/>
  <c r="K242" i="9" s="1"/>
  <c r="H819" i="8"/>
  <c r="I819" i="8" s="1"/>
  <c r="K819" i="9" s="1"/>
  <c r="H309" i="8"/>
  <c r="I309" i="8" s="1"/>
  <c r="K309" i="9" s="1"/>
  <c r="H267" i="8"/>
  <c r="I267" i="8" s="1"/>
  <c r="K267" i="9" s="1"/>
  <c r="H516" i="8"/>
  <c r="I516" i="8" s="1"/>
  <c r="K516" i="9" s="1"/>
  <c r="H800" i="8"/>
  <c r="I800" i="8" s="1"/>
  <c r="K800" i="9" s="1"/>
  <c r="H659" i="8"/>
  <c r="I659" i="8" s="1"/>
  <c r="K659" i="9" s="1"/>
  <c r="H726" i="8"/>
  <c r="I726" i="8" s="1"/>
  <c r="K726" i="9" s="1"/>
  <c r="H385" i="8"/>
  <c r="I385" i="8" s="1"/>
  <c r="K385" i="9" s="1"/>
  <c r="H164" i="8"/>
  <c r="I164" i="8" s="1"/>
  <c r="K164" i="9" s="1"/>
  <c r="H636" i="8"/>
  <c r="I636" i="8" s="1"/>
  <c r="K636" i="9" s="1"/>
  <c r="H475" i="8"/>
  <c r="I475" i="8" s="1"/>
  <c r="K475" i="9" s="1"/>
  <c r="H251" i="8"/>
  <c r="I251" i="8" s="1"/>
  <c r="K251" i="9" s="1"/>
  <c r="H388" i="8"/>
  <c r="I388" i="8" s="1"/>
  <c r="K388" i="9" s="1"/>
  <c r="H639" i="8"/>
  <c r="I639" i="8" s="1"/>
  <c r="K639" i="9" s="1"/>
  <c r="H161" i="8"/>
  <c r="I161" i="8" s="1"/>
  <c r="K161" i="9" s="1"/>
  <c r="H104" i="8"/>
  <c r="I104" i="8" s="1"/>
  <c r="K104" i="9" s="1"/>
  <c r="H229" i="8"/>
  <c r="I229" i="8" s="1"/>
  <c r="K229" i="9" s="1"/>
  <c r="H468" i="8"/>
  <c r="I468" i="8" s="1"/>
  <c r="K468" i="9" s="1"/>
  <c r="H496" i="8"/>
  <c r="I496" i="8" s="1"/>
  <c r="K496" i="9" s="1"/>
  <c r="H202" i="8"/>
  <c r="I202" i="8" s="1"/>
  <c r="K202" i="9" s="1"/>
  <c r="H153" i="8"/>
  <c r="I153" i="8" s="1"/>
  <c r="K153" i="9" s="1"/>
  <c r="H179" i="8"/>
  <c r="I179" i="8" s="1"/>
  <c r="K179" i="9" s="1"/>
  <c r="H269" i="8"/>
  <c r="I269" i="8" s="1"/>
  <c r="K269" i="9" s="1"/>
  <c r="H188" i="8"/>
  <c r="I188" i="8" s="1"/>
  <c r="K188" i="9" s="1"/>
  <c r="H286" i="8"/>
  <c r="I286" i="8" s="1"/>
  <c r="K286" i="9" s="1"/>
  <c r="H315" i="8"/>
  <c r="I315" i="8" s="1"/>
  <c r="K315" i="9" s="1"/>
  <c r="H222" i="8"/>
  <c r="I222" i="8" s="1"/>
  <c r="K222" i="9" s="1"/>
  <c r="H446" i="8"/>
  <c r="I446" i="8" s="1"/>
  <c r="K446" i="9" s="1"/>
  <c r="H729" i="8"/>
  <c r="I729" i="8" s="1"/>
  <c r="K729" i="9" s="1"/>
  <c r="H215" i="8"/>
  <c r="I215" i="8" s="1"/>
  <c r="K215" i="9" s="1"/>
  <c r="H670" i="8"/>
  <c r="I670" i="8" s="1"/>
  <c r="K670" i="9" s="1"/>
  <c r="H280" i="8"/>
  <c r="I280" i="8" s="1"/>
  <c r="K280" i="9" s="1"/>
  <c r="H316" i="8"/>
  <c r="I316" i="8" s="1"/>
  <c r="K316" i="9" s="1"/>
  <c r="H719" i="8"/>
  <c r="I719" i="8" s="1"/>
  <c r="K719" i="9" s="1"/>
  <c r="H237" i="8"/>
  <c r="I237" i="8" s="1"/>
  <c r="K237" i="9" s="1"/>
  <c r="H491" i="8"/>
  <c r="I491" i="8" s="1"/>
  <c r="K491" i="9" s="1"/>
  <c r="H789" i="8"/>
  <c r="I789" i="8" s="1"/>
  <c r="K789" i="9" s="1"/>
  <c r="H437" i="8"/>
  <c r="I437" i="8" s="1"/>
  <c r="K437" i="9" s="1"/>
  <c r="H549" i="8"/>
  <c r="I549" i="8" s="1"/>
  <c r="K549" i="9" s="1"/>
  <c r="H101" i="8"/>
  <c r="I101" i="8" s="1"/>
  <c r="K101" i="9" s="1"/>
  <c r="H61" i="8"/>
  <c r="I61" i="8" s="1"/>
  <c r="K61" i="9" s="1"/>
  <c r="H20" i="8"/>
  <c r="I20" i="8" s="1"/>
  <c r="K20" i="9" s="1"/>
  <c r="H551" i="8"/>
  <c r="I551" i="8" s="1"/>
  <c r="K551" i="9" s="1"/>
  <c r="H349" i="8"/>
  <c r="I349" i="8" s="1"/>
  <c r="K349" i="9" s="1"/>
  <c r="H573" i="8"/>
  <c r="I573" i="8" s="1"/>
  <c r="K573" i="9" s="1"/>
  <c r="H339" i="8"/>
  <c r="I339" i="8" s="1"/>
  <c r="K339" i="9" s="1"/>
  <c r="H111" i="8"/>
  <c r="I111" i="8" s="1"/>
  <c r="K111" i="9" s="1"/>
  <c r="H173" i="8"/>
  <c r="I173" i="8" s="1"/>
  <c r="K173" i="9" s="1"/>
  <c r="H774" i="8"/>
  <c r="I774" i="8" s="1"/>
  <c r="K774" i="9" s="1"/>
  <c r="H26" i="8"/>
  <c r="I26" i="8" s="1"/>
  <c r="K26" i="9" s="1"/>
  <c r="H136" i="8"/>
  <c r="I136" i="8" s="1"/>
  <c r="K136" i="9" s="1"/>
  <c r="H196" i="8"/>
  <c r="I196" i="8" s="1"/>
  <c r="K196" i="9" s="1"/>
  <c r="H504" i="8"/>
  <c r="I504" i="8" s="1"/>
  <c r="K504" i="9" s="1"/>
  <c r="H289" i="8"/>
  <c r="I289" i="8" s="1"/>
  <c r="K289" i="9" s="1"/>
  <c r="H73" i="8"/>
  <c r="I73" i="8" s="1"/>
  <c r="K73" i="9" s="1"/>
  <c r="H247" i="8"/>
  <c r="I247" i="8" s="1"/>
  <c r="K247" i="9" s="1"/>
  <c r="H499" i="8"/>
  <c r="I499" i="8" s="1"/>
  <c r="K499" i="9" s="1"/>
  <c r="H419" i="8"/>
  <c r="I419" i="8" s="1"/>
  <c r="K419" i="9" s="1"/>
  <c r="H364" i="8"/>
  <c r="I364" i="8" s="1"/>
  <c r="K364" i="9" s="1"/>
  <c r="H21" i="8"/>
  <c r="I21" i="8" s="1"/>
  <c r="K21" i="9" s="1"/>
  <c r="H199" i="8"/>
  <c r="I199" i="8" s="1"/>
  <c r="K199" i="9" s="1"/>
  <c r="H410" i="8"/>
  <c r="I410" i="8" s="1"/>
  <c r="K410" i="9" s="1"/>
  <c r="H378" i="8"/>
  <c r="I378" i="8" s="1"/>
  <c r="K378" i="9" s="1"/>
  <c r="H571" i="8"/>
  <c r="I571" i="8" s="1"/>
  <c r="K571" i="9" s="1"/>
  <c r="H685" i="8"/>
  <c r="I685" i="8" s="1"/>
  <c r="K685" i="9" s="1"/>
  <c r="H368" i="8"/>
  <c r="I368" i="8" s="1"/>
  <c r="K368" i="9" s="1"/>
  <c r="H584" i="8"/>
  <c r="I584" i="8" s="1"/>
  <c r="K584" i="9" s="1"/>
  <c r="H115" i="8"/>
  <c r="I115" i="8" s="1"/>
  <c r="K115" i="9" s="1"/>
  <c r="H273" i="8"/>
  <c r="I273" i="8" s="1"/>
  <c r="K273" i="9" s="1"/>
  <c r="H648" i="8"/>
  <c r="I648" i="8" s="1"/>
  <c r="K648" i="9" s="1"/>
  <c r="H162" i="8"/>
  <c r="I162" i="8" s="1"/>
  <c r="K162" i="9" s="1"/>
  <c r="H458" i="8"/>
  <c r="I458" i="8" s="1"/>
  <c r="K458" i="9" s="1"/>
  <c r="H759" i="8"/>
  <c r="I759" i="8" s="1"/>
  <c r="K759" i="9" s="1"/>
  <c r="H725" i="8"/>
  <c r="I725" i="8" s="1"/>
  <c r="K725" i="9" s="1"/>
  <c r="H169" i="8"/>
  <c r="I169" i="8" s="1"/>
  <c r="K169" i="9" s="1"/>
  <c r="H751" i="8"/>
  <c r="I751" i="8" s="1"/>
  <c r="K751" i="9" s="1"/>
  <c r="H300" i="8"/>
  <c r="I300" i="8" s="1"/>
  <c r="K300" i="9" s="1"/>
  <c r="H88" i="8"/>
  <c r="I88" i="8" s="1"/>
  <c r="K88" i="9" s="1"/>
  <c r="H277" i="8"/>
  <c r="I277" i="8" s="1"/>
  <c r="K277" i="9" s="1"/>
  <c r="H542" i="8"/>
  <c r="I542" i="8" s="1"/>
  <c r="K542" i="9" s="1"/>
  <c r="H493" i="8"/>
  <c r="I493" i="8" s="1"/>
  <c r="K493" i="9" s="1"/>
  <c r="H166" i="8"/>
  <c r="I166" i="8" s="1"/>
  <c r="K166" i="9" s="1"/>
  <c r="H735" i="8"/>
  <c r="I735" i="8" s="1"/>
  <c r="K735" i="9" s="1"/>
  <c r="H773" i="8"/>
  <c r="I773" i="8" s="1"/>
  <c r="K773" i="9" s="1"/>
  <c r="H120" i="8"/>
  <c r="I120" i="8" s="1"/>
  <c r="K120" i="9" s="1"/>
  <c r="H520" i="8"/>
  <c r="I520" i="8" s="1"/>
  <c r="K520" i="9" s="1"/>
  <c r="H45" i="8"/>
  <c r="I45" i="8" s="1"/>
  <c r="K45" i="9" s="1"/>
  <c r="H445" i="8"/>
  <c r="I445" i="8" s="1"/>
  <c r="K445" i="9" s="1"/>
  <c r="H724" i="8"/>
  <c r="I724" i="8" s="1"/>
  <c r="K724" i="9" s="1"/>
  <c r="H367" i="8"/>
  <c r="I367" i="8" s="1"/>
  <c r="K367" i="9" s="1"/>
  <c r="H524" i="8"/>
  <c r="I524" i="8" s="1"/>
  <c r="K524" i="9" s="1"/>
  <c r="H138" i="8"/>
  <c r="I138" i="8" s="1"/>
  <c r="K138" i="9" s="1"/>
  <c r="H284" i="8"/>
  <c r="I284" i="8" s="1"/>
  <c r="K284" i="9" s="1"/>
  <c r="H395" i="8"/>
  <c r="I395" i="8" s="1"/>
  <c r="K395" i="9" s="1"/>
  <c r="H141" i="8"/>
  <c r="I141" i="8" s="1"/>
  <c r="K141" i="9" s="1"/>
  <c r="H556" i="8"/>
  <c r="I556" i="8" s="1"/>
  <c r="K556" i="9" s="1"/>
  <c r="H125" i="8"/>
  <c r="I125" i="8" s="1"/>
  <c r="K125" i="9" s="1"/>
  <c r="H641" i="8"/>
  <c r="I641" i="8" s="1"/>
  <c r="K641" i="9" s="1"/>
  <c r="H716" i="8"/>
  <c r="I716" i="8" s="1"/>
  <c r="K716" i="9" s="1"/>
  <c r="H181" i="8"/>
  <c r="I181" i="8" s="1"/>
  <c r="K181" i="9" s="1"/>
  <c r="H599" i="8"/>
  <c r="I599" i="8" s="1"/>
  <c r="K599" i="9" s="1"/>
  <c r="H555" i="8"/>
  <c r="I555" i="8" s="1"/>
  <c r="K555" i="9" s="1"/>
  <c r="H456" i="8"/>
  <c r="I456" i="8" s="1"/>
  <c r="K456" i="9" s="1"/>
  <c r="H56" i="8"/>
  <c r="I56" i="8" s="1"/>
  <c r="K56" i="9" s="1"/>
  <c r="H356" i="8"/>
  <c r="I356" i="8" s="1"/>
  <c r="K356" i="9" s="1"/>
  <c r="H677" i="8"/>
  <c r="I677" i="8" s="1"/>
  <c r="K677" i="9" s="1"/>
  <c r="H302" i="8"/>
  <c r="I302" i="8" s="1"/>
  <c r="K302" i="9" s="1"/>
  <c r="H156" i="8"/>
  <c r="I156" i="8" s="1"/>
  <c r="K156" i="9" s="1"/>
  <c r="H362" i="8"/>
  <c r="I362" i="8" s="1"/>
  <c r="K362" i="9" s="1"/>
  <c r="H381" i="8"/>
  <c r="I381" i="8" s="1"/>
  <c r="K381" i="9" s="1"/>
  <c r="H226" i="8"/>
  <c r="I226" i="8" s="1"/>
  <c r="K226" i="9" s="1"/>
  <c r="H749" i="8"/>
  <c r="I749" i="8" s="1"/>
  <c r="K749" i="9" s="1"/>
  <c r="H351" i="8"/>
  <c r="I351" i="8" s="1"/>
  <c r="K351" i="9" s="1"/>
  <c r="H600" i="8"/>
  <c r="I600" i="8" s="1"/>
  <c r="K600" i="9" s="1"/>
  <c r="H420" i="8"/>
  <c r="I420" i="8" s="1"/>
  <c r="K420" i="9" s="1"/>
  <c r="H128" i="8"/>
  <c r="I128" i="8" s="1"/>
  <c r="K128" i="9" s="1"/>
  <c r="H621" i="8"/>
  <c r="I621" i="8" s="1"/>
  <c r="K621" i="9" s="1"/>
  <c r="H505" i="8"/>
  <c r="I505" i="8" s="1"/>
  <c r="K505" i="9" s="1"/>
  <c r="H431" i="8"/>
  <c r="I431" i="8" s="1"/>
  <c r="K431" i="9" s="1"/>
  <c r="H547" i="8"/>
  <c r="I547" i="8" s="1"/>
  <c r="K547" i="9" s="1"/>
  <c r="H647" i="8"/>
  <c r="I647" i="8" s="1"/>
  <c r="K647" i="9" s="1"/>
  <c r="H37" i="8"/>
  <c r="I37" i="8" s="1"/>
  <c r="K37" i="9" s="1"/>
  <c r="H262" i="8"/>
  <c r="I262" i="8" s="1"/>
  <c r="K262" i="9" s="1"/>
  <c r="H579" i="8"/>
  <c r="I579" i="8" s="1"/>
  <c r="K579" i="9" s="1"/>
  <c r="H753" i="8"/>
  <c r="I753" i="8" s="1"/>
  <c r="K753" i="9" s="1"/>
  <c r="H341" i="8"/>
  <c r="I341" i="8" s="1"/>
  <c r="K341" i="9" s="1"/>
  <c r="H167" i="8"/>
  <c r="I167" i="8" s="1"/>
  <c r="K167" i="9" s="1"/>
  <c r="H107" i="8"/>
  <c r="I107" i="8" s="1"/>
  <c r="K107" i="9" s="1"/>
  <c r="H305" i="8"/>
  <c r="I305" i="8" s="1"/>
  <c r="K305" i="9" s="1"/>
  <c r="H473" i="8"/>
  <c r="I473" i="8" s="1"/>
  <c r="K473" i="9" s="1"/>
  <c r="H643" i="8"/>
  <c r="I643" i="8" s="1"/>
  <c r="K643" i="9" s="1"/>
  <c r="H521" i="8"/>
  <c r="I521" i="8" s="1"/>
  <c r="K521" i="9" s="1"/>
  <c r="H184" i="8"/>
  <c r="I184" i="8" s="1"/>
  <c r="K184" i="9" s="1"/>
  <c r="H177" i="8"/>
  <c r="I177" i="8" s="1"/>
  <c r="K177" i="9" s="1"/>
  <c r="H204" i="8"/>
  <c r="I204" i="8" s="1"/>
  <c r="K204" i="9" s="1"/>
  <c r="H692" i="8"/>
  <c r="I692" i="8" s="1"/>
  <c r="K692" i="9" s="1"/>
  <c r="H127" i="8"/>
  <c r="I127" i="8" s="1"/>
  <c r="K127" i="9" s="1"/>
  <c r="H77" i="8"/>
  <c r="I77" i="8" s="1"/>
  <c r="K77" i="9" s="1"/>
  <c r="H117" i="8"/>
  <c r="I117" i="8" s="1"/>
  <c r="K117" i="9" s="1"/>
  <c r="H487" i="8"/>
  <c r="I487" i="8" s="1"/>
  <c r="K487" i="9" s="1"/>
  <c r="H693" i="8"/>
  <c r="I693" i="8" s="1"/>
  <c r="K693" i="9" s="1"/>
  <c r="H779" i="8"/>
  <c r="I779" i="8" s="1"/>
  <c r="K779" i="9" s="1"/>
  <c r="H282" i="8"/>
  <c r="I282" i="8" s="1"/>
  <c r="K282" i="9" s="1"/>
  <c r="H427" i="8"/>
  <c r="I427" i="8" s="1"/>
  <c r="K427" i="9" s="1"/>
  <c r="H244" i="8"/>
  <c r="I244" i="8" s="1"/>
  <c r="K244" i="9" s="1"/>
  <c r="H715" i="8"/>
  <c r="I715" i="8" s="1"/>
  <c r="K715" i="9" s="1"/>
  <c r="H743" i="8"/>
  <c r="I743" i="8" s="1"/>
  <c r="K743" i="9" s="1"/>
  <c r="H236" i="8"/>
  <c r="I236" i="8" s="1"/>
  <c r="K236" i="9" s="1"/>
  <c r="H541" i="8"/>
  <c r="I541" i="8" s="1"/>
  <c r="K541" i="9" s="1"/>
  <c r="H508" i="8"/>
  <c r="I508" i="8" s="1"/>
  <c r="K508" i="9" s="1"/>
  <c r="H671" i="8"/>
  <c r="I671" i="8" s="1"/>
  <c r="K671" i="9" s="1"/>
  <c r="H119" i="8"/>
  <c r="I119" i="8" s="1"/>
  <c r="K119" i="9" s="1"/>
  <c r="H333" i="8"/>
  <c r="I333" i="8" s="1"/>
  <c r="K333" i="9" s="1"/>
  <c r="H755" i="8"/>
  <c r="I755" i="8" s="1"/>
  <c r="K755" i="9" s="1"/>
  <c r="H411" i="8"/>
  <c r="I411" i="8" s="1"/>
  <c r="K411" i="9" s="1"/>
  <c r="H68" i="8"/>
  <c r="I68" i="8" s="1"/>
  <c r="K68" i="9" s="1"/>
  <c r="H528" i="8"/>
  <c r="I528" i="8" s="1"/>
  <c r="K528" i="9" s="1"/>
  <c r="H275" i="8"/>
  <c r="I275" i="8" s="1"/>
  <c r="K275" i="9" s="1"/>
  <c r="H187" i="8"/>
  <c r="I187" i="8" s="1"/>
  <c r="K187" i="9" s="1"/>
  <c r="H662" i="8"/>
  <c r="I662" i="8" s="1"/>
  <c r="K662" i="9" s="1"/>
  <c r="H205" i="8"/>
  <c r="I205" i="8" s="1"/>
  <c r="K205" i="9" s="1"/>
  <c r="H371" i="8"/>
  <c r="I371" i="8" s="1"/>
  <c r="K371" i="9" s="1"/>
  <c r="H698" i="8"/>
  <c r="I698" i="8" s="1"/>
  <c r="K698" i="9" s="1"/>
  <c r="H197" i="8"/>
  <c r="I197" i="8" s="1"/>
  <c r="K197" i="9" s="1"/>
  <c r="H544" i="8"/>
  <c r="I544" i="8" s="1"/>
  <c r="K544" i="9" s="1"/>
  <c r="H511" i="8"/>
  <c r="I511" i="8" s="1"/>
  <c r="K511" i="9" s="1"/>
  <c r="H525" i="8"/>
  <c r="I525" i="8" s="1"/>
  <c r="K525" i="9" s="1"/>
  <c r="H765" i="8"/>
  <c r="I765" i="8" s="1"/>
  <c r="K765" i="9" s="1"/>
  <c r="H531" i="8"/>
  <c r="I531" i="8" s="1"/>
  <c r="K531" i="9" s="1"/>
  <c r="H678" i="8"/>
  <c r="I678" i="8" s="1"/>
  <c r="K678" i="9" s="1"/>
  <c r="H596" i="8"/>
  <c r="I596" i="8" s="1"/>
  <c r="K596" i="9" s="1"/>
  <c r="H616" i="8"/>
  <c r="I616" i="8" s="1"/>
  <c r="K616" i="9" s="1"/>
  <c r="H736" i="8"/>
  <c r="I736" i="8" s="1"/>
  <c r="K736" i="9" s="1"/>
  <c r="H386" i="8"/>
  <c r="I386" i="8" s="1"/>
  <c r="K386" i="9" s="1"/>
  <c r="H502" i="8"/>
  <c r="I502" i="8" s="1"/>
  <c r="K502" i="9" s="1"/>
  <c r="H116" i="8"/>
  <c r="I116" i="8" s="1"/>
  <c r="K116" i="9" s="1"/>
  <c r="H733" i="8"/>
  <c r="I733" i="8" s="1"/>
  <c r="K733" i="9" s="1"/>
  <c r="H158" i="8"/>
  <c r="I158" i="8" s="1"/>
  <c r="K158" i="9" s="1"/>
  <c r="H93" i="8"/>
  <c r="I93" i="8" s="1"/>
  <c r="K93" i="9" s="1"/>
  <c r="H265" i="8"/>
  <c r="I265" i="8" s="1"/>
  <c r="K265" i="9" s="1"/>
  <c r="H576" i="8"/>
  <c r="I576" i="8" s="1"/>
  <c r="K576" i="9" s="1"/>
  <c r="H347" i="8"/>
  <c r="I347" i="8" s="1"/>
  <c r="K347" i="9" s="1"/>
  <c r="H655" i="8"/>
  <c r="I655" i="8" s="1"/>
  <c r="K655" i="9" s="1"/>
  <c r="H529" i="8"/>
  <c r="I529" i="8" s="1"/>
  <c r="K529" i="9" s="1"/>
  <c r="H348" i="8"/>
  <c r="I348" i="8" s="1"/>
  <c r="K348" i="9" s="1"/>
  <c r="H55" i="8"/>
  <c r="I55" i="8" s="1"/>
  <c r="K55" i="9" s="1"/>
  <c r="H307" i="8"/>
  <c r="I307" i="8" s="1"/>
  <c r="K307" i="9" s="1"/>
  <c r="H752" i="8"/>
  <c r="I752" i="8" s="1"/>
  <c r="K752" i="9" s="1"/>
  <c r="H64" i="8"/>
  <c r="I64" i="8" s="1"/>
  <c r="K64" i="9" s="1"/>
  <c r="H605" i="8"/>
  <c r="I605" i="8" s="1"/>
  <c r="K605" i="9" s="1"/>
  <c r="H537" i="8"/>
  <c r="I537" i="8" s="1"/>
  <c r="K537" i="9" s="1"/>
  <c r="H310" i="8"/>
  <c r="I310" i="8" s="1"/>
  <c r="K310" i="9" s="1"/>
  <c r="H737" i="8"/>
  <c r="I737" i="8" s="1"/>
  <c r="K737" i="9" s="1"/>
  <c r="H171" i="8"/>
  <c r="I171" i="8" s="1"/>
  <c r="K171" i="9" s="1"/>
  <c r="H447" i="8"/>
  <c r="I447" i="8" s="1"/>
  <c r="K447" i="9" s="1"/>
  <c r="H575" i="8"/>
  <c r="I575" i="8" s="1"/>
  <c r="K575" i="9" s="1"/>
  <c r="H373" i="8"/>
  <c r="I373" i="8" s="1"/>
  <c r="K373" i="9" s="1"/>
  <c r="H794" i="8"/>
  <c r="I794" i="8" s="1"/>
  <c r="K794" i="9" s="1"/>
  <c r="H122" i="8"/>
  <c r="I122" i="8" s="1"/>
  <c r="K122" i="9" s="1"/>
  <c r="H624" i="8"/>
  <c r="I624" i="8" s="1"/>
  <c r="K624" i="9" s="1"/>
  <c r="H777" i="8"/>
  <c r="I777" i="8" s="1"/>
  <c r="K777" i="9" s="1"/>
  <c r="H165" i="8"/>
  <c r="I165" i="8" s="1"/>
  <c r="K165" i="9" s="1"/>
  <c r="H638" i="8"/>
  <c r="I638" i="8" s="1"/>
  <c r="K638" i="9" s="1"/>
  <c r="H728" i="8"/>
  <c r="I728" i="8" s="1"/>
  <c r="K728" i="9" s="1"/>
  <c r="H754" i="8"/>
  <c r="I754" i="8" s="1"/>
  <c r="K754" i="9" s="1"/>
  <c r="H485" i="8"/>
  <c r="I485" i="8" s="1"/>
  <c r="K485" i="9" s="1"/>
  <c r="H268" i="8"/>
  <c r="I268" i="8" s="1"/>
  <c r="K268" i="9" s="1"/>
  <c r="H297" i="8"/>
  <c r="I297" i="8" s="1"/>
  <c r="K297" i="9" s="1"/>
  <c r="H633" i="8"/>
  <c r="I633" i="8" s="1"/>
  <c r="K633" i="9" s="1"/>
  <c r="H11" i="8"/>
  <c r="I11" i="8" s="1"/>
  <c r="K11" i="9" s="1"/>
  <c r="H588" i="8"/>
  <c r="I588" i="8" s="1"/>
  <c r="K588" i="9" s="1"/>
  <c r="H426" i="8"/>
  <c r="I426" i="8" s="1"/>
  <c r="K426" i="9" s="1"/>
  <c r="H342" i="8"/>
  <c r="I342" i="8" s="1"/>
  <c r="K342" i="9" s="1"/>
  <c r="H118" i="8"/>
  <c r="I118" i="8" s="1"/>
  <c r="K118" i="9" s="1"/>
  <c r="H54" i="8"/>
  <c r="I54" i="8" s="1"/>
  <c r="K54" i="9" s="1"/>
  <c r="H488" i="8"/>
  <c r="I488" i="8" s="1"/>
  <c r="K488" i="9" s="1"/>
  <c r="H270" i="8"/>
  <c r="I270" i="8" s="1"/>
  <c r="K270" i="9" s="1"/>
  <c r="H148" i="8"/>
  <c r="I148" i="8" s="1"/>
  <c r="K148" i="9" s="1"/>
  <c r="H355" i="8"/>
  <c r="I355" i="8" s="1"/>
  <c r="K355" i="9" s="1"/>
  <c r="H786" i="8"/>
  <c r="I786" i="8" s="1"/>
  <c r="K786" i="9" s="1"/>
  <c r="H191" i="8"/>
  <c r="I191" i="8" s="1"/>
  <c r="K191" i="9" s="1"/>
  <c r="H664" i="8"/>
  <c r="I664" i="8" s="1"/>
  <c r="K664" i="9" s="1"/>
  <c r="H416" i="8"/>
  <c r="I416" i="8" s="1"/>
  <c r="K416" i="9" s="1"/>
  <c r="H634" i="8"/>
  <c r="I634" i="8" s="1"/>
  <c r="K634" i="9" s="1"/>
  <c r="H608" i="8"/>
  <c r="I608" i="8" s="1"/>
  <c r="K608" i="9" s="1"/>
  <c r="H688" i="8"/>
  <c r="I688" i="8" s="1"/>
  <c r="K688" i="9" s="1"/>
  <c r="H479" i="8"/>
  <c r="I479" i="8" s="1"/>
  <c r="K479" i="9" s="1"/>
  <c r="H67" i="8"/>
  <c r="I67" i="8" s="1"/>
  <c r="K67" i="9" s="1"/>
  <c r="H109" i="8"/>
  <c r="I109" i="8" s="1"/>
  <c r="K109" i="9" s="1"/>
  <c r="H287" i="8"/>
  <c r="I287" i="8" s="1"/>
  <c r="K287" i="9" s="1"/>
  <c r="H703" i="8"/>
  <c r="I703" i="8" s="1"/>
  <c r="K703" i="9" s="1"/>
  <c r="H812" i="8"/>
  <c r="I812" i="8" s="1"/>
  <c r="K812" i="9" s="1"/>
  <c r="H36" i="8"/>
  <c r="I36" i="8" s="1"/>
  <c r="K36" i="9" s="1"/>
  <c r="H396" i="8"/>
  <c r="I396" i="8" s="1"/>
  <c r="K396" i="9" s="1"/>
  <c r="H41" i="8"/>
  <c r="I41" i="8" s="1"/>
  <c r="K41" i="9" s="1"/>
  <c r="H293" i="8"/>
  <c r="I293" i="8" s="1"/>
  <c r="K293" i="9" s="1"/>
  <c r="H469" i="8"/>
  <c r="I469" i="8" s="1"/>
  <c r="K469" i="9" s="1"/>
  <c r="H717" i="8"/>
  <c r="I717" i="8" s="1"/>
  <c r="K717" i="9" s="1"/>
  <c r="H276" i="8"/>
  <c r="I276" i="8" s="1"/>
  <c r="K276" i="9" s="1"/>
  <c r="H239" i="8"/>
  <c r="I239" i="8" s="1"/>
  <c r="K239" i="9" s="1"/>
  <c r="H804" i="8"/>
  <c r="I804" i="8" s="1"/>
  <c r="K804" i="9" s="1"/>
  <c r="H231" i="8"/>
  <c r="I231" i="8" s="1"/>
  <c r="K231" i="9" s="1"/>
  <c r="H353" i="8"/>
  <c r="I353" i="8" s="1"/>
  <c r="K353" i="9" s="1"/>
  <c r="H28" i="8"/>
  <c r="I28" i="8" s="1"/>
  <c r="K28" i="9" s="1"/>
  <c r="H256" i="8"/>
  <c r="I256" i="8" s="1"/>
  <c r="K256" i="9" s="1"/>
  <c r="H750" i="8"/>
  <c r="I750" i="8" s="1"/>
  <c r="K750" i="9" s="1"/>
  <c r="H318" i="8"/>
  <c r="I318" i="8" s="1"/>
  <c r="K318" i="9" s="1"/>
  <c r="H102" i="8"/>
  <c r="I102" i="8" s="1"/>
  <c r="K102" i="9" s="1"/>
  <c r="H357" i="8"/>
  <c r="I357" i="8" s="1"/>
  <c r="K357" i="9" s="1"/>
  <c r="H408" i="8"/>
  <c r="I408" i="8" s="1"/>
  <c r="K408" i="9" s="1"/>
  <c r="H106" i="8"/>
  <c r="I106" i="8" s="1"/>
  <c r="K106" i="9" s="1"/>
  <c r="H16" i="8"/>
  <c r="I16" i="8" s="1"/>
  <c r="K16" i="9" s="1"/>
  <c r="H582" i="8"/>
  <c r="I582" i="8" s="1"/>
  <c r="K582" i="9" s="1"/>
  <c r="H657" i="8"/>
  <c r="I657" i="8" s="1"/>
  <c r="K657" i="9" s="1"/>
  <c r="H178" i="8"/>
  <c r="I178" i="8" s="1"/>
  <c r="K178" i="9" s="1"/>
  <c r="H376" i="8"/>
  <c r="I376" i="8" s="1"/>
  <c r="K376" i="9" s="1"/>
  <c r="H27" i="8"/>
  <c r="I27" i="8" s="1"/>
  <c r="K27" i="9" s="1"/>
  <c r="H595" i="8"/>
  <c r="I595" i="8" s="1"/>
  <c r="K595" i="9" s="1"/>
  <c r="H768" i="8"/>
  <c r="I768" i="8" s="1"/>
  <c r="K768" i="9" s="1"/>
  <c r="H498" i="8"/>
  <c r="I498" i="8" s="1"/>
  <c r="K498" i="9" s="1"/>
  <c r="H722" i="8"/>
  <c r="I722" i="8" s="1"/>
  <c r="K722" i="9" s="1"/>
  <c r="H327" i="8"/>
  <c r="I327" i="8" s="1"/>
  <c r="K327" i="9" s="1"/>
  <c r="H453" i="8"/>
  <c r="I453" i="8" s="1"/>
  <c r="K453" i="9" s="1"/>
  <c r="H744" i="8"/>
  <c r="I744" i="8" s="1"/>
  <c r="K744" i="9" s="1"/>
  <c r="H495" i="8"/>
  <c r="I495" i="8" s="1"/>
  <c r="K495" i="9" s="1"/>
  <c r="H632" i="8"/>
  <c r="I632" i="8" s="1"/>
  <c r="K632" i="9" s="1"/>
  <c r="H322" i="8"/>
  <c r="I322" i="8" s="1"/>
  <c r="K322" i="9" s="1"/>
  <c r="H168" i="8"/>
  <c r="I168" i="8" s="1"/>
  <c r="K168" i="9" s="1"/>
  <c r="H129" i="8"/>
  <c r="I129" i="8" s="1"/>
  <c r="K129" i="9" s="1"/>
  <c r="H793" i="8"/>
  <c r="I793" i="8" s="1"/>
  <c r="K793" i="9" s="1"/>
  <c r="H185" i="8"/>
  <c r="I185" i="8" s="1"/>
  <c r="K185" i="9" s="1"/>
  <c r="H271" i="8"/>
  <c r="I271" i="8" s="1"/>
  <c r="K271" i="9" s="1"/>
  <c r="H369" i="8"/>
  <c r="I369" i="8" s="1"/>
  <c r="K369" i="9" s="1"/>
  <c r="H658" i="8"/>
  <c r="I658" i="8" s="1"/>
  <c r="K658" i="9" s="1"/>
  <c r="H439" i="8"/>
  <c r="I439" i="8" s="1"/>
  <c r="K439" i="9" s="1"/>
  <c r="H444" i="8"/>
  <c r="I444" i="8" s="1"/>
  <c r="K444" i="9" s="1"/>
  <c r="H137" i="8"/>
  <c r="I137" i="8" s="1"/>
  <c r="K137" i="9" s="1"/>
  <c r="H69" i="8"/>
  <c r="I69" i="8" s="1"/>
  <c r="K69" i="9" s="1"/>
  <c r="H189" i="8"/>
  <c r="I189" i="8" s="1"/>
  <c r="K189" i="9" s="1"/>
  <c r="H615" i="8"/>
  <c r="I615" i="8" s="1"/>
  <c r="K615" i="9" s="1"/>
  <c r="H398" i="8"/>
  <c r="I398" i="8" s="1"/>
  <c r="K398" i="9" s="1"/>
  <c r="H249" i="8"/>
  <c r="I249" i="8" s="1"/>
  <c r="K249" i="9" s="1"/>
  <c r="H405" i="8"/>
  <c r="I405" i="8" s="1"/>
  <c r="K405" i="9" s="1"/>
  <c r="H201" i="8"/>
  <c r="I201" i="8" s="1"/>
  <c r="K201" i="9" s="1"/>
  <c r="H449" i="8"/>
  <c r="I449" i="8" s="1"/>
  <c r="K449" i="9" s="1"/>
  <c r="H246" i="8"/>
  <c r="I246" i="8" s="1"/>
  <c r="K246" i="9" s="1"/>
  <c r="H328" i="8"/>
  <c r="I328" i="8" s="1"/>
  <c r="K328" i="9" s="1"/>
  <c r="H536" i="8"/>
  <c r="I536" i="8" s="1"/>
  <c r="K536" i="9" s="1"/>
  <c r="H585" i="8"/>
  <c r="I585" i="8" s="1"/>
  <c r="K585" i="9" s="1"/>
  <c r="H421" i="8"/>
  <c r="I421" i="8" s="1"/>
  <c r="K421" i="9" s="1"/>
  <c r="H217" i="8"/>
  <c r="I217" i="8" s="1"/>
  <c r="K217" i="9" s="1"/>
  <c r="H706" i="8"/>
  <c r="I706" i="8" s="1"/>
  <c r="K706" i="9" s="1"/>
  <c r="H190" i="8"/>
  <c r="I190" i="8" s="1"/>
  <c r="K190" i="9" s="1"/>
  <c r="H464" i="8"/>
  <c r="I464" i="8" s="1"/>
  <c r="K464" i="9" s="1"/>
  <c r="H788" i="8"/>
  <c r="I788" i="8" s="1"/>
  <c r="K788" i="9" s="1"/>
  <c r="H691" i="8"/>
  <c r="I691" i="8" s="1"/>
  <c r="K691" i="9" s="1"/>
  <c r="H568" i="8"/>
  <c r="I568" i="8" s="1"/>
  <c r="K568" i="9" s="1"/>
  <c r="H298" i="8"/>
  <c r="I298" i="8" s="1"/>
  <c r="K298" i="9" s="1"/>
  <c r="H235" i="8"/>
  <c r="I235" i="8" s="1"/>
  <c r="K235" i="9" s="1"/>
  <c r="H619" i="8"/>
  <c r="I619" i="8" s="1"/>
  <c r="K619" i="9" s="1"/>
  <c r="H627" i="8"/>
  <c r="I627" i="8" s="1"/>
  <c r="K627" i="9" s="1"/>
  <c r="H216" i="8"/>
  <c r="I216" i="8" s="1"/>
  <c r="K216" i="9" s="1"/>
  <c r="H257" i="8"/>
  <c r="I257" i="8" s="1"/>
  <c r="K257" i="9" s="1"/>
  <c r="H207" i="8"/>
  <c r="I207" i="8" s="1"/>
  <c r="K207" i="9" s="1"/>
  <c r="H90" i="8"/>
  <c r="I90" i="8" s="1"/>
  <c r="K90" i="9" s="1"/>
  <c r="H626" i="8"/>
  <c r="I626" i="8" s="1"/>
  <c r="K626" i="9" s="1"/>
  <c r="H317" i="8"/>
  <c r="I317" i="8" s="1"/>
  <c r="K317" i="9" s="1"/>
  <c r="H587" i="8"/>
  <c r="I587" i="8" s="1"/>
  <c r="K587" i="9" s="1"/>
  <c r="H545" i="8"/>
  <c r="I545" i="8" s="1"/>
  <c r="K545" i="9" s="1"/>
  <c r="H553" i="8"/>
  <c r="I553" i="8" s="1"/>
  <c r="K553" i="9" s="1"/>
  <c r="H687" i="8"/>
  <c r="I687" i="8" s="1"/>
  <c r="K687" i="9" s="1"/>
  <c r="H713" i="8"/>
  <c r="I713" i="8" s="1"/>
  <c r="K713" i="9" s="1"/>
  <c r="H259" i="8"/>
  <c r="I259" i="8" s="1"/>
  <c r="K259" i="9" s="1"/>
  <c r="H650" i="8"/>
  <c r="I650" i="8" s="1"/>
  <c r="K650" i="9" s="1"/>
  <c r="H467" i="8"/>
  <c r="I467" i="8" s="1"/>
  <c r="K467" i="9" s="1"/>
  <c r="H436" i="8"/>
  <c r="I436" i="8" s="1"/>
  <c r="K436" i="9" s="1"/>
  <c r="H538" i="8"/>
  <c r="I538" i="8" s="1"/>
  <c r="K538" i="9" s="1"/>
  <c r="H470" i="8"/>
  <c r="I470" i="8" s="1"/>
  <c r="K470" i="9" s="1"/>
  <c r="H425" i="8"/>
  <c r="I425" i="8" s="1"/>
  <c r="K425" i="9" s="1"/>
  <c r="H673" i="8"/>
  <c r="I673" i="8" s="1"/>
  <c r="K673" i="9" s="1"/>
  <c r="H245" i="8"/>
  <c r="I245" i="8" s="1"/>
  <c r="K245" i="9" s="1"/>
  <c r="H679" i="8"/>
  <c r="I679" i="8" s="1"/>
  <c r="K679" i="9" s="1"/>
  <c r="H366" i="8"/>
  <c r="I366" i="8" s="1"/>
  <c r="K366" i="9" s="1"/>
  <c r="H402" i="8"/>
  <c r="I402" i="8" s="1"/>
  <c r="K402" i="9" s="1"/>
  <c r="H476" i="8"/>
  <c r="I476" i="8" s="1"/>
  <c r="K476" i="9" s="1"/>
  <c r="H451" i="8"/>
  <c r="I451" i="8" s="1"/>
  <c r="K451" i="9" s="1"/>
  <c r="H517" i="8"/>
  <c r="I517" i="8" s="1"/>
  <c r="K517" i="9" s="1"/>
  <c r="H653" i="8"/>
  <c r="I653" i="8" s="1"/>
  <c r="K653" i="9" s="1"/>
  <c r="H617" i="8"/>
  <c r="I617" i="8" s="1"/>
  <c r="K617" i="9" s="1"/>
  <c r="H611" i="8"/>
  <c r="I611" i="8" s="1"/>
  <c r="K611" i="9" s="1"/>
  <c r="H220" i="8"/>
  <c r="I220" i="8" s="1"/>
  <c r="K220" i="9" s="1"/>
  <c r="H507" i="8"/>
  <c r="I507" i="8" s="1"/>
  <c r="K507" i="9" s="1"/>
  <c r="H336" i="8"/>
  <c r="I336" i="8" s="1"/>
  <c r="K336" i="9" s="1"/>
  <c r="H540" i="8"/>
  <c r="I540" i="8" s="1"/>
  <c r="K540" i="9" s="1"/>
  <c r="H548" i="8"/>
  <c r="I548" i="8" s="1"/>
  <c r="K548" i="9" s="1"/>
  <c r="H304" i="8"/>
  <c r="I304" i="8" s="1"/>
  <c r="K304" i="9" s="1"/>
  <c r="H522" i="8"/>
  <c r="I522" i="8" s="1"/>
  <c r="K522" i="9" s="1"/>
  <c r="H49" i="8"/>
  <c r="I49" i="8" s="1"/>
  <c r="K49" i="9" s="1"/>
  <c r="H124" i="8"/>
  <c r="I124" i="8" s="1"/>
  <c r="K124" i="9" s="1"/>
  <c r="H766" i="8"/>
  <c r="I766" i="8" s="1"/>
  <c r="K766" i="9" s="1"/>
  <c r="H288" i="8"/>
  <c r="I288" i="8" s="1"/>
  <c r="K288" i="9" s="1"/>
  <c r="H676" i="8"/>
  <c r="I676" i="8" s="1"/>
  <c r="K676" i="9" s="1"/>
  <c r="H669" i="8"/>
  <c r="I669" i="8" s="1"/>
  <c r="K669" i="9" s="1"/>
  <c r="H96" i="8"/>
  <c r="I96" i="8" s="1"/>
  <c r="K96" i="9" s="1"/>
  <c r="H699" i="8"/>
  <c r="I699" i="8" s="1"/>
  <c r="K699" i="9" s="1"/>
  <c r="H320" i="8"/>
  <c r="I320" i="8" s="1"/>
  <c r="K320" i="9" s="1"/>
  <c r="H200" i="8"/>
  <c r="I200" i="8" s="1"/>
  <c r="K200" i="9" s="1"/>
  <c r="H565" i="8"/>
  <c r="I565" i="8" s="1"/>
  <c r="K565" i="9" s="1"/>
  <c r="H817" i="8"/>
  <c r="I817" i="8" s="1"/>
  <c r="K817" i="9" s="1"/>
  <c r="H567" i="8"/>
  <c r="I567" i="8" s="1"/>
  <c r="K567" i="9" s="1"/>
  <c r="H182" i="8"/>
  <c r="I182" i="8" s="1"/>
  <c r="K182" i="9" s="1"/>
  <c r="H466" i="8"/>
  <c r="I466" i="8" s="1"/>
  <c r="K466" i="9" s="1"/>
  <c r="H730" i="8"/>
  <c r="I730" i="8" s="1"/>
  <c r="K730" i="9" s="1"/>
  <c r="H230" i="8"/>
  <c r="I230" i="8" s="1"/>
  <c r="K230" i="9" s="1"/>
  <c r="H460" i="8"/>
  <c r="I460" i="8" s="1"/>
  <c r="K460" i="9" s="1"/>
  <c r="H649" i="8"/>
  <c r="I649" i="8" s="1"/>
  <c r="K649" i="9" s="1"/>
  <c r="H99" i="8"/>
  <c r="I99" i="8" s="1"/>
  <c r="K99" i="9" s="1"/>
  <c r="H602" i="8"/>
  <c r="I602" i="8" s="1"/>
  <c r="K602" i="9" s="1"/>
  <c r="H71" i="8"/>
  <c r="I71" i="8" s="1"/>
  <c r="K71" i="9" s="1"/>
  <c r="H225" i="8"/>
  <c r="I225" i="8" s="1"/>
  <c r="K225" i="9" s="1"/>
  <c r="H609" i="8"/>
  <c r="I609" i="8" s="1"/>
  <c r="K609" i="9" s="1"/>
  <c r="H145" i="8"/>
  <c r="I145" i="8" s="1"/>
  <c r="K145" i="9" s="1"/>
  <c r="H87" i="8"/>
  <c r="I87" i="8" s="1"/>
  <c r="K87" i="9" s="1"/>
  <c r="H135" i="8"/>
  <c r="I135" i="8" s="1"/>
  <c r="K135" i="9" s="1"/>
  <c r="H527" i="8"/>
  <c r="I527" i="8" s="1"/>
  <c r="K527" i="9" s="1"/>
  <c r="H65" i="8"/>
  <c r="I65" i="8" s="1"/>
  <c r="K65" i="9" s="1"/>
  <c r="H769" i="8"/>
  <c r="I769" i="8" s="1"/>
  <c r="K769" i="9" s="1"/>
  <c r="H82" i="8"/>
  <c r="I82" i="8" s="1"/>
  <c r="K82" i="9" s="1"/>
  <c r="H578" i="8"/>
  <c r="I578" i="8" s="1"/>
  <c r="K578" i="9" s="1"/>
  <c r="H147" i="8"/>
  <c r="I147" i="8" s="1"/>
  <c r="K147" i="9" s="1"/>
  <c r="S6" i="16"/>
  <c r="K6" i="16"/>
  <c r="O6" i="16"/>
  <c r="S320" i="16"/>
  <c r="K320" i="16"/>
  <c r="O320" i="16"/>
  <c r="B800" i="20"/>
  <c r="AL800" i="20" s="1"/>
  <c r="B800" i="19"/>
  <c r="L614" i="20"/>
  <c r="I614" i="20"/>
  <c r="B478" i="20"/>
  <c r="AL478" i="20" s="1"/>
  <c r="B478" i="19"/>
  <c r="B560" i="20"/>
  <c r="AL560" i="20" s="1"/>
  <c r="B560" i="19"/>
  <c r="O495" i="16"/>
  <c r="K495" i="16"/>
  <c r="S495" i="16"/>
  <c r="B508" i="20"/>
  <c r="AL508" i="20" s="1"/>
  <c r="B508" i="19"/>
  <c r="L755" i="20"/>
  <c r="I755" i="20"/>
  <c r="S785" i="16"/>
  <c r="O785" i="16"/>
  <c r="K785" i="16"/>
  <c r="L683" i="20"/>
  <c r="I683" i="20"/>
  <c r="L74" i="20"/>
  <c r="I74" i="20"/>
  <c r="K188" i="16"/>
  <c r="O188" i="16"/>
  <c r="S188" i="16"/>
  <c r="I632" i="19"/>
  <c r="M632" i="19"/>
  <c r="U28" i="20"/>
  <c r="S28" i="20"/>
  <c r="L125" i="20"/>
  <c r="I125" i="20"/>
  <c r="H375" i="19"/>
  <c r="L375" i="19"/>
  <c r="K375" i="19"/>
  <c r="B328" i="20"/>
  <c r="AL328" i="20" s="1"/>
  <c r="B328" i="19"/>
  <c r="O98" i="16"/>
  <c r="S98" i="16"/>
  <c r="K98" i="16"/>
  <c r="I529" i="19"/>
  <c r="M529" i="19"/>
  <c r="B56" i="20"/>
  <c r="AL56" i="20" s="1"/>
  <c r="B56" i="19"/>
  <c r="B183" i="20"/>
  <c r="AL183" i="20" s="1"/>
  <c r="B183" i="19"/>
  <c r="I34" i="20"/>
  <c r="L34" i="20"/>
  <c r="L768" i="20"/>
  <c r="I768" i="20"/>
  <c r="O415" i="16"/>
  <c r="K415" i="16"/>
  <c r="S415" i="16"/>
  <c r="K247" i="16"/>
  <c r="O247" i="16"/>
  <c r="S247" i="16"/>
  <c r="M458" i="19"/>
  <c r="I458" i="19"/>
  <c r="L633" i="20"/>
  <c r="I633" i="20"/>
  <c r="B170" i="20"/>
  <c r="AL170" i="20" s="1"/>
  <c r="B170" i="19"/>
  <c r="S538" i="16"/>
  <c r="O538" i="16"/>
  <c r="K538" i="16"/>
  <c r="B218" i="20"/>
  <c r="AL218" i="20" s="1"/>
  <c r="B218" i="19"/>
  <c r="B128" i="20"/>
  <c r="AL128" i="20" s="1"/>
  <c r="B128" i="19"/>
  <c r="L353" i="19"/>
  <c r="K353" i="19"/>
  <c r="H353" i="19"/>
  <c r="B368" i="20"/>
  <c r="AL368" i="20" s="1"/>
  <c r="B368" i="19"/>
  <c r="I30" i="20"/>
  <c r="L30" i="20"/>
  <c r="K37" i="16"/>
  <c r="O37" i="16"/>
  <c r="S37" i="16"/>
  <c r="I719" i="19"/>
  <c r="M719" i="19"/>
  <c r="B178" i="20"/>
  <c r="AL178" i="20" s="1"/>
  <c r="B178" i="19"/>
  <c r="B147" i="20"/>
  <c r="AL147" i="20" s="1"/>
  <c r="B147" i="19"/>
  <c r="L614" i="19"/>
  <c r="K614" i="19"/>
  <c r="H614" i="19"/>
  <c r="B227" i="20"/>
  <c r="AL227" i="20" s="1"/>
  <c r="B227" i="19"/>
  <c r="O755" i="16"/>
  <c r="S755" i="16"/>
  <c r="K755" i="16"/>
  <c r="B133" i="20"/>
  <c r="AL133" i="20" s="1"/>
  <c r="B133" i="19"/>
  <c r="H303" i="19"/>
  <c r="L303" i="19"/>
  <c r="K303" i="19"/>
  <c r="L683" i="19"/>
  <c r="K683" i="19"/>
  <c r="H683" i="19"/>
  <c r="K764" i="19"/>
  <c r="H764" i="19"/>
  <c r="L764" i="19"/>
  <c r="B240" i="20"/>
  <c r="AL240" i="20" s="1"/>
  <c r="B240" i="19"/>
  <c r="I633" i="19"/>
  <c r="M633" i="19"/>
  <c r="B653" i="20"/>
  <c r="AL653" i="20" s="1"/>
  <c r="B653" i="19"/>
  <c r="M596" i="19"/>
  <c r="I596" i="19"/>
  <c r="I407" i="20"/>
  <c r="L407" i="20"/>
  <c r="L125" i="19"/>
  <c r="K125" i="19"/>
  <c r="H125" i="19"/>
  <c r="B396" i="20"/>
  <c r="AL396" i="20" s="1"/>
  <c r="B396" i="19"/>
  <c r="U13" i="20"/>
  <c r="S13" i="20"/>
  <c r="L624" i="20"/>
  <c r="I624" i="20"/>
  <c r="B66" i="20"/>
  <c r="AL66" i="20" s="1"/>
  <c r="B66" i="19"/>
  <c r="I267" i="19"/>
  <c r="M267" i="19"/>
  <c r="L704" i="20"/>
  <c r="I704" i="20"/>
  <c r="L665" i="19"/>
  <c r="K665" i="19"/>
  <c r="H665" i="19"/>
  <c r="L811" i="19"/>
  <c r="K811" i="19"/>
  <c r="H811" i="19"/>
  <c r="L410" i="20"/>
  <c r="I410" i="20"/>
  <c r="H643" i="19"/>
  <c r="L643" i="19"/>
  <c r="K643" i="19"/>
  <c r="M421" i="19"/>
  <c r="I421" i="19"/>
  <c r="O34" i="16"/>
  <c r="K34" i="16"/>
  <c r="S34" i="16"/>
  <c r="O768" i="16"/>
  <c r="K768" i="16"/>
  <c r="S768" i="16"/>
  <c r="B120" i="20"/>
  <c r="AL120" i="20" s="1"/>
  <c r="B120" i="19"/>
  <c r="H555" i="19"/>
  <c r="K555" i="19"/>
  <c r="L555" i="19"/>
  <c r="B640" i="20"/>
  <c r="AL640" i="20" s="1"/>
  <c r="B640" i="19"/>
  <c r="O633" i="16"/>
  <c r="K633" i="16"/>
  <c r="S633" i="16"/>
  <c r="L135" i="19"/>
  <c r="K135" i="19"/>
  <c r="H135" i="19"/>
  <c r="L714" i="20"/>
  <c r="I714" i="20"/>
  <c r="L723" i="19"/>
  <c r="K723" i="19"/>
  <c r="H723" i="19"/>
  <c r="I29" i="19"/>
  <c r="M29" i="19"/>
  <c r="B116" i="20"/>
  <c r="AL116" i="20" s="1"/>
  <c r="B116" i="19"/>
  <c r="L353" i="20"/>
  <c r="I353" i="20"/>
  <c r="K30" i="16"/>
  <c r="S30" i="16"/>
  <c r="O30" i="16"/>
  <c r="L37" i="20"/>
  <c r="I37" i="20"/>
  <c r="I390" i="19"/>
  <c r="M390" i="19"/>
  <c r="B291" i="20"/>
  <c r="AL291" i="20" s="1"/>
  <c r="B291" i="19"/>
  <c r="L459" i="19"/>
  <c r="K459" i="19"/>
  <c r="H459" i="19"/>
  <c r="M542" i="19"/>
  <c r="I542" i="19"/>
  <c r="O614" i="16"/>
  <c r="S614" i="16"/>
  <c r="K614" i="16"/>
  <c r="B657" i="19"/>
  <c r="B657" i="20"/>
  <c r="AL657" i="20" s="1"/>
  <c r="B376" i="20"/>
  <c r="AL376" i="20" s="1"/>
  <c r="B376" i="19"/>
  <c r="K252" i="19"/>
  <c r="H252" i="19"/>
  <c r="L252" i="19"/>
  <c r="L764" i="20"/>
  <c r="I764" i="20"/>
  <c r="L422" i="20"/>
  <c r="I422" i="20"/>
  <c r="I808" i="19"/>
  <c r="M808" i="19"/>
  <c r="K407" i="16"/>
  <c r="S407" i="16"/>
  <c r="O407" i="16"/>
  <c r="B411" i="19"/>
  <c r="B411" i="20"/>
  <c r="AL411" i="20" s="1"/>
  <c r="L713" i="20"/>
  <c r="I713" i="20"/>
  <c r="B284" i="20"/>
  <c r="AL284" i="20" s="1"/>
  <c r="B284" i="19"/>
  <c r="I459" i="20"/>
  <c r="L459" i="20"/>
  <c r="M621" i="19"/>
  <c r="I621" i="19"/>
  <c r="K621" i="19"/>
  <c r="H728" i="19"/>
  <c r="L728" i="19"/>
  <c r="K728" i="19"/>
  <c r="B761" i="20"/>
  <c r="AL761" i="20" s="1"/>
  <c r="B761" i="19"/>
  <c r="M694" i="19"/>
  <c r="I694" i="19"/>
  <c r="K694" i="19"/>
  <c r="I511" i="19"/>
  <c r="M511" i="19"/>
  <c r="I252" i="20"/>
  <c r="L252" i="20"/>
  <c r="S764" i="16"/>
  <c r="O764" i="16"/>
  <c r="K764" i="16"/>
  <c r="K422" i="16"/>
  <c r="O422" i="16"/>
  <c r="S422" i="16"/>
  <c r="M347" i="19"/>
  <c r="I347" i="19"/>
  <c r="L115" i="19"/>
  <c r="K115" i="19"/>
  <c r="H115" i="19"/>
  <c r="K282" i="19"/>
  <c r="O713" i="16"/>
  <c r="K713" i="16"/>
  <c r="S713" i="16"/>
  <c r="M504" i="19"/>
  <c r="I504" i="19"/>
  <c r="K504" i="19"/>
  <c r="O788" i="16"/>
  <c r="S788" i="16"/>
  <c r="K788" i="16"/>
  <c r="H65" i="19"/>
  <c r="K65" i="19"/>
  <c r="L65" i="19"/>
  <c r="B310" i="20"/>
  <c r="AL310" i="20" s="1"/>
  <c r="B310" i="19"/>
  <c r="M151" i="19"/>
  <c r="I151" i="19"/>
  <c r="K151" i="19"/>
  <c r="S459" i="16"/>
  <c r="K459" i="16"/>
  <c r="O459" i="16"/>
  <c r="M659" i="19"/>
  <c r="I659" i="19"/>
  <c r="B30" i="20"/>
  <c r="AL30" i="20" s="1"/>
  <c r="B30" i="19"/>
  <c r="L728" i="20"/>
  <c r="I728" i="20"/>
  <c r="B274" i="20"/>
  <c r="AL274" i="20" s="1"/>
  <c r="B274" i="19"/>
  <c r="B8" i="20"/>
  <c r="B8" i="19"/>
  <c r="M209" i="19"/>
  <c r="I209" i="19"/>
  <c r="K209" i="19"/>
  <c r="B296" i="20"/>
  <c r="AL296" i="20" s="1"/>
  <c r="B296" i="19"/>
  <c r="B243" i="20"/>
  <c r="AL243" i="20" s="1"/>
  <c r="B243" i="19"/>
  <c r="M678" i="19"/>
  <c r="I678" i="19"/>
  <c r="L115" i="20"/>
  <c r="I115" i="20"/>
  <c r="S214" i="16"/>
  <c r="O214" i="16"/>
  <c r="K214" i="16"/>
  <c r="B491" i="20"/>
  <c r="AL491" i="20" s="1"/>
  <c r="B491" i="19"/>
  <c r="B498" i="20"/>
  <c r="AL498" i="20" s="1"/>
  <c r="B498" i="19"/>
  <c r="K115" i="16"/>
  <c r="O115" i="16"/>
  <c r="S115" i="16"/>
  <c r="L601" i="19"/>
  <c r="K601" i="19"/>
  <c r="H601" i="19"/>
  <c r="I730" i="19"/>
  <c r="M730" i="19"/>
  <c r="L544" i="19"/>
  <c r="K544" i="19"/>
  <c r="H544" i="19"/>
  <c r="I593" i="20"/>
  <c r="L593" i="20"/>
  <c r="I455" i="19"/>
  <c r="M455" i="19"/>
  <c r="K455" i="19"/>
  <c r="S65" i="16"/>
  <c r="O65" i="16"/>
  <c r="K65" i="16"/>
  <c r="I600" i="20"/>
  <c r="L600" i="20"/>
  <c r="M329" i="19"/>
  <c r="I329" i="19"/>
  <c r="I648" i="19"/>
  <c r="M648" i="19"/>
  <c r="L197" i="19"/>
  <c r="K197" i="19"/>
  <c r="H197" i="19"/>
  <c r="L595" i="20"/>
  <c r="I595" i="20"/>
  <c r="B323" i="19"/>
  <c r="B323" i="20"/>
  <c r="AL323" i="20" s="1"/>
  <c r="B406" i="20"/>
  <c r="AL406" i="20" s="1"/>
  <c r="B406" i="19"/>
  <c r="L234" i="20"/>
  <c r="I234" i="20"/>
  <c r="B17" i="20"/>
  <c r="AL17" i="20" s="1"/>
  <c r="B17" i="19"/>
  <c r="B86" i="20"/>
  <c r="AL86" i="20" s="1"/>
  <c r="B86" i="19"/>
  <c r="K449" i="16"/>
  <c r="S449" i="16"/>
  <c r="O449" i="16"/>
  <c r="I601" i="20"/>
  <c r="L601" i="20"/>
  <c r="I362" i="19"/>
  <c r="M362" i="19"/>
  <c r="L517" i="19"/>
  <c r="K517" i="19"/>
  <c r="H517" i="19"/>
  <c r="M47" i="19"/>
  <c r="I47" i="19"/>
  <c r="S593" i="16"/>
  <c r="O593" i="16"/>
  <c r="K593" i="16"/>
  <c r="I290" i="19"/>
  <c r="M290" i="19"/>
  <c r="B746" i="20"/>
  <c r="AL746" i="20" s="1"/>
  <c r="B746" i="19"/>
  <c r="H545" i="19"/>
  <c r="K545" i="19"/>
  <c r="L545" i="19"/>
  <c r="K600" i="16"/>
  <c r="O600" i="16"/>
  <c r="S600" i="16"/>
  <c r="L197" i="20"/>
  <c r="I197" i="20"/>
  <c r="S595" i="16"/>
  <c r="O595" i="16"/>
  <c r="K595" i="16"/>
  <c r="L408" i="19"/>
  <c r="K408" i="19"/>
  <c r="H408" i="19"/>
  <c r="B780" i="20"/>
  <c r="AL780" i="20" s="1"/>
  <c r="B780" i="19"/>
  <c r="B44" i="20"/>
  <c r="AL44" i="20" s="1"/>
  <c r="B44" i="19"/>
  <c r="O234" i="16"/>
  <c r="S234" i="16"/>
  <c r="K234" i="16"/>
  <c r="B373" i="20"/>
  <c r="AL373" i="20" s="1"/>
  <c r="B373" i="19"/>
  <c r="I715" i="19"/>
  <c r="M715" i="19"/>
  <c r="B523" i="19"/>
  <c r="B523" i="20"/>
  <c r="AL523" i="20" s="1"/>
  <c r="M239" i="19"/>
  <c r="I239" i="19"/>
  <c r="B256" i="20"/>
  <c r="AL256" i="20" s="1"/>
  <c r="B256" i="19"/>
  <c r="M688" i="19"/>
  <c r="I688" i="19"/>
  <c r="M556" i="19"/>
  <c r="I556" i="19"/>
  <c r="M107" i="19"/>
  <c r="I107" i="19"/>
  <c r="I408" i="20"/>
  <c r="L408" i="20"/>
  <c r="L158" i="20"/>
  <c r="I158" i="20"/>
  <c r="M277" i="19"/>
  <c r="I277" i="19"/>
  <c r="L548" i="19"/>
  <c r="K548" i="19"/>
  <c r="H548" i="19"/>
  <c r="L584" i="19"/>
  <c r="K584" i="19"/>
  <c r="H584" i="19"/>
  <c r="L810" i="19"/>
  <c r="K810" i="19"/>
  <c r="H810" i="19"/>
  <c r="L804" i="20"/>
  <c r="I804" i="20"/>
  <c r="I58" i="20"/>
  <c r="L58" i="20"/>
  <c r="L816" i="19"/>
  <c r="H816" i="19"/>
  <c r="K816" i="19"/>
  <c r="M736" i="19"/>
  <c r="I736" i="19"/>
  <c r="L512" i="19"/>
  <c r="K512" i="19"/>
  <c r="H512" i="19"/>
  <c r="K396" i="19"/>
  <c r="L396" i="19"/>
  <c r="H396" i="19"/>
  <c r="M17" i="19"/>
  <c r="I17" i="19"/>
  <c r="M804" i="19"/>
  <c r="I804" i="19"/>
  <c r="M242" i="19"/>
  <c r="I242" i="19"/>
  <c r="I501" i="19"/>
  <c r="M501" i="19"/>
  <c r="L150" i="20"/>
  <c r="I150" i="20"/>
  <c r="S113" i="16"/>
  <c r="K113" i="16"/>
  <c r="O113" i="16"/>
  <c r="L602" i="20"/>
  <c r="I602" i="20"/>
  <c r="K24" i="19"/>
  <c r="H24" i="19"/>
  <c r="L24" i="19"/>
  <c r="B40" i="20"/>
  <c r="AL40" i="20" s="1"/>
  <c r="B40" i="19"/>
  <c r="H740" i="19"/>
  <c r="L740" i="19"/>
  <c r="K740" i="19"/>
  <c r="B364" i="20"/>
  <c r="AL364" i="20" s="1"/>
  <c r="B364" i="19"/>
  <c r="B670" i="20"/>
  <c r="AL670" i="20" s="1"/>
  <c r="B670" i="19"/>
  <c r="L112" i="19"/>
  <c r="K112" i="19"/>
  <c r="H112" i="19"/>
  <c r="L574" i="19"/>
  <c r="H574" i="19"/>
  <c r="K574" i="19"/>
  <c r="L670" i="19"/>
  <c r="K670" i="19"/>
  <c r="H670" i="19"/>
  <c r="L678" i="19"/>
  <c r="K678" i="19"/>
  <c r="H678" i="19"/>
  <c r="O305" i="16"/>
  <c r="K305" i="16"/>
  <c r="S305" i="16"/>
  <c r="H690" i="19"/>
  <c r="L690" i="19"/>
  <c r="K690" i="19"/>
  <c r="K235" i="19"/>
  <c r="H235" i="19"/>
  <c r="L235" i="19"/>
  <c r="H642" i="19"/>
  <c r="L642" i="19"/>
  <c r="K642" i="19"/>
  <c r="B54" i="20"/>
  <c r="AL54" i="20" s="1"/>
  <c r="B54" i="19"/>
  <c r="I658" i="20"/>
  <c r="L658" i="20"/>
  <c r="L673" i="19"/>
  <c r="K673" i="19"/>
  <c r="H673" i="19"/>
  <c r="O412" i="16"/>
  <c r="S412" i="16"/>
  <c r="K412" i="16"/>
  <c r="M349" i="19"/>
  <c r="I349" i="19"/>
  <c r="L67" i="19"/>
  <c r="K67" i="19"/>
  <c r="H67" i="19"/>
  <c r="M567" i="19"/>
  <c r="I567" i="19"/>
  <c r="K545" i="16"/>
  <c r="O545" i="16"/>
  <c r="S545" i="16"/>
  <c r="L613" i="20"/>
  <c r="I613" i="20"/>
  <c r="B258" i="20"/>
  <c r="AL258" i="20" s="1"/>
  <c r="B258" i="19"/>
  <c r="B770" i="20"/>
  <c r="AL770" i="20" s="1"/>
  <c r="B770" i="19"/>
  <c r="L117" i="20"/>
  <c r="I117" i="20"/>
  <c r="B743" i="20"/>
  <c r="AL743" i="20" s="1"/>
  <c r="B743" i="19"/>
  <c r="I648" i="20"/>
  <c r="L648" i="20"/>
  <c r="O408" i="16"/>
  <c r="K408" i="16"/>
  <c r="S408" i="16"/>
  <c r="B713" i="19"/>
  <c r="B713" i="20"/>
  <c r="AL713" i="20" s="1"/>
  <c r="S158" i="16"/>
  <c r="K158" i="16"/>
  <c r="O158" i="16"/>
  <c r="L548" i="20"/>
  <c r="I548" i="20"/>
  <c r="L106" i="19"/>
  <c r="H106" i="19"/>
  <c r="K106" i="19"/>
  <c r="L85" i="19"/>
  <c r="K85" i="19"/>
  <c r="H85" i="19"/>
  <c r="I725" i="19"/>
  <c r="M725" i="19"/>
  <c r="K725" i="19"/>
  <c r="I810" i="20"/>
  <c r="L810" i="20"/>
  <c r="K804" i="16"/>
  <c r="O804" i="16"/>
  <c r="S804" i="16"/>
  <c r="K58" i="19"/>
  <c r="H58" i="19"/>
  <c r="L58" i="19"/>
  <c r="L816" i="20"/>
  <c r="I816" i="20"/>
  <c r="B430" i="20"/>
  <c r="AL430" i="20" s="1"/>
  <c r="B430" i="19"/>
  <c r="H715" i="19"/>
  <c r="L715" i="19"/>
  <c r="K715" i="19"/>
  <c r="L305" i="20"/>
  <c r="I305" i="20"/>
  <c r="I105" i="19"/>
  <c r="M105" i="19"/>
  <c r="L662" i="19"/>
  <c r="K662" i="19"/>
  <c r="H662" i="19"/>
  <c r="I690" i="20"/>
  <c r="L690" i="20"/>
  <c r="L235" i="20"/>
  <c r="I235" i="20"/>
  <c r="L642" i="20"/>
  <c r="I642" i="20"/>
  <c r="S658" i="16"/>
  <c r="K658" i="16"/>
  <c r="O658" i="16"/>
  <c r="L673" i="20"/>
  <c r="I673" i="20"/>
  <c r="M446" i="19"/>
  <c r="I446" i="19"/>
  <c r="L722" i="20"/>
  <c r="I722" i="20"/>
  <c r="M549" i="19"/>
  <c r="I549" i="19"/>
  <c r="B33" i="20"/>
  <c r="AL33" i="20" s="1"/>
  <c r="B33" i="19"/>
  <c r="B794" i="19"/>
  <c r="B794" i="20"/>
  <c r="AL794" i="20" s="1"/>
  <c r="S67" i="16"/>
  <c r="O67" i="16"/>
  <c r="K67" i="16"/>
  <c r="U50" i="20"/>
  <c r="S50" i="20"/>
  <c r="I506" i="19"/>
  <c r="M506" i="19"/>
  <c r="H267" i="19"/>
  <c r="L267" i="19"/>
  <c r="K267" i="19"/>
  <c r="B336" i="20"/>
  <c r="AL336" i="20" s="1"/>
  <c r="B336" i="19"/>
  <c r="K613" i="16"/>
  <c r="S613" i="16"/>
  <c r="O613" i="16"/>
  <c r="S117" i="16"/>
  <c r="K117" i="16"/>
  <c r="O117" i="16"/>
  <c r="K648" i="16"/>
  <c r="O648" i="16"/>
  <c r="S648" i="16"/>
  <c r="B208" i="20"/>
  <c r="AL208" i="20" s="1"/>
  <c r="B208" i="19"/>
  <c r="L677" i="20"/>
  <c r="I677" i="20"/>
  <c r="B14" i="20"/>
  <c r="AL14" i="20" s="1"/>
  <c r="B14" i="19"/>
  <c r="O548" i="16"/>
  <c r="K548" i="16"/>
  <c r="S548" i="16"/>
  <c r="B361" i="20"/>
  <c r="AL361" i="20" s="1"/>
  <c r="B361" i="19"/>
  <c r="I106" i="20"/>
  <c r="L106" i="20"/>
  <c r="M488" i="19"/>
  <c r="I488" i="19"/>
  <c r="K810" i="16"/>
  <c r="O810" i="16"/>
  <c r="S810" i="16"/>
  <c r="O58" i="16"/>
  <c r="S58" i="16"/>
  <c r="K58" i="16"/>
  <c r="S816" i="16"/>
  <c r="K816" i="16"/>
  <c r="O816" i="16"/>
  <c r="I369" i="19"/>
  <c r="M369" i="19"/>
  <c r="O783" i="16"/>
  <c r="S783" i="16"/>
  <c r="K783" i="16"/>
  <c r="K557" i="16"/>
  <c r="O557" i="16"/>
  <c r="S557" i="16"/>
  <c r="O715" i="16"/>
  <c r="K715" i="16"/>
  <c r="S715" i="16"/>
  <c r="L71" i="19"/>
  <c r="K71" i="19"/>
  <c r="H71" i="19"/>
  <c r="O31" i="16"/>
  <c r="S31" i="16"/>
  <c r="K31" i="16"/>
  <c r="M527" i="19"/>
  <c r="I527" i="19"/>
  <c r="B141" i="20"/>
  <c r="AL141" i="20" s="1"/>
  <c r="B141" i="19"/>
  <c r="L743" i="20"/>
  <c r="I743" i="20"/>
  <c r="H677" i="19"/>
  <c r="L677" i="19"/>
  <c r="K677" i="19"/>
  <c r="B441" i="20"/>
  <c r="AL441" i="20" s="1"/>
  <c r="B441" i="19"/>
  <c r="K106" i="16"/>
  <c r="S106" i="16"/>
  <c r="O106" i="16"/>
  <c r="K702" i="19"/>
  <c r="H702" i="19"/>
  <c r="L702" i="19"/>
  <c r="I537" i="20"/>
  <c r="L537" i="20"/>
  <c r="M276" i="19"/>
  <c r="I276" i="19"/>
  <c r="L669" i="19"/>
  <c r="K669" i="19"/>
  <c r="H669" i="19"/>
  <c r="L668" i="20"/>
  <c r="I668" i="20"/>
  <c r="K426" i="16"/>
  <c r="S426" i="16"/>
  <c r="O426" i="16"/>
  <c r="B454" i="20"/>
  <c r="AL454" i="20" s="1"/>
  <c r="B454" i="19"/>
  <c r="U52" i="20"/>
  <c r="S52" i="20"/>
  <c r="L550" i="20"/>
  <c r="I550" i="20"/>
  <c r="S662" i="16"/>
  <c r="K662" i="16"/>
  <c r="O662" i="16"/>
  <c r="L649" i="19"/>
  <c r="K649" i="19"/>
  <c r="H649" i="19"/>
  <c r="L413" i="19"/>
  <c r="K413" i="19"/>
  <c r="H413" i="19"/>
  <c r="H99" i="19"/>
  <c r="L99" i="19"/>
  <c r="K99" i="19"/>
  <c r="L3" i="19"/>
  <c r="K3" i="19"/>
  <c r="H3" i="19"/>
  <c r="L753" i="19"/>
  <c r="K753" i="19"/>
  <c r="H753" i="19"/>
  <c r="L157" i="20"/>
  <c r="I157" i="20"/>
  <c r="B273" i="20"/>
  <c r="AL273" i="20" s="1"/>
  <c r="B273" i="19"/>
  <c r="I115" i="19"/>
  <c r="M115" i="19"/>
  <c r="L769" i="20"/>
  <c r="I769" i="20"/>
  <c r="S722" i="16"/>
  <c r="K722" i="16"/>
  <c r="O722" i="16"/>
  <c r="K380" i="19"/>
  <c r="H380" i="19"/>
  <c r="L380" i="19"/>
  <c r="S436" i="16"/>
  <c r="K436" i="16"/>
  <c r="O436" i="16"/>
  <c r="L160" i="19"/>
  <c r="K160" i="19"/>
  <c r="H160" i="19"/>
  <c r="L405" i="20"/>
  <c r="I405" i="20"/>
  <c r="O288" i="16"/>
  <c r="S288" i="16"/>
  <c r="K288" i="16"/>
  <c r="K267" i="16"/>
  <c r="O267" i="16"/>
  <c r="S267" i="16"/>
  <c r="L279" i="20"/>
  <c r="I279" i="20"/>
  <c r="M227" i="19"/>
  <c r="I227" i="19"/>
  <c r="M450" i="19"/>
  <c r="I450" i="19"/>
  <c r="B254" i="20"/>
  <c r="AL254" i="20" s="1"/>
  <c r="B254" i="19"/>
  <c r="B117" i="20"/>
  <c r="AL117" i="20" s="1"/>
  <c r="B117" i="19"/>
  <c r="L204" i="19"/>
  <c r="K204" i="19"/>
  <c r="H204" i="19"/>
  <c r="B818" i="20"/>
  <c r="AL818" i="20" s="1"/>
  <c r="B818" i="19"/>
  <c r="B678" i="20"/>
  <c r="AL678" i="20" s="1"/>
  <c r="B678" i="19"/>
  <c r="L743" i="19"/>
  <c r="K743" i="19"/>
  <c r="H743" i="19"/>
  <c r="K677" i="16"/>
  <c r="S677" i="16"/>
  <c r="O677" i="16"/>
  <c r="M50" i="19"/>
  <c r="I50" i="19"/>
  <c r="K50" i="19"/>
  <c r="B573" i="20"/>
  <c r="AL573" i="20" s="1"/>
  <c r="B573" i="19"/>
  <c r="L702" i="20"/>
  <c r="I702" i="20"/>
  <c r="M784" i="19"/>
  <c r="I784" i="19"/>
  <c r="B576" i="20"/>
  <c r="AL576" i="20" s="1"/>
  <c r="B576" i="19"/>
  <c r="B68" i="20"/>
  <c r="AL68" i="20" s="1"/>
  <c r="B68" i="19"/>
  <c r="K819" i="19"/>
  <c r="L819" i="19"/>
  <c r="H819" i="19"/>
  <c r="H184" i="19"/>
  <c r="L184" i="19"/>
  <c r="K184" i="19"/>
  <c r="L256" i="19"/>
  <c r="K256" i="19"/>
  <c r="H256" i="19"/>
  <c r="L636" i="19"/>
  <c r="K636" i="19"/>
  <c r="H636" i="19"/>
  <c r="B410" i="20"/>
  <c r="AL410" i="20" s="1"/>
  <c r="B410" i="19"/>
  <c r="B113" i="20"/>
  <c r="AL113" i="20" s="1"/>
  <c r="B113" i="19"/>
  <c r="I696" i="20"/>
  <c r="L696" i="20"/>
  <c r="L52" i="19"/>
  <c r="K52" i="19"/>
  <c r="H52" i="19"/>
  <c r="H483" i="19"/>
  <c r="L483" i="19"/>
  <c r="K483" i="19"/>
  <c r="L73" i="19"/>
  <c r="K73" i="19"/>
  <c r="H73" i="19"/>
  <c r="L682" i="20"/>
  <c r="I682" i="20"/>
  <c r="I765" i="19"/>
  <c r="M765" i="19"/>
  <c r="L622" i="19"/>
  <c r="K622" i="19"/>
  <c r="H622" i="19"/>
  <c r="S550" i="16"/>
  <c r="O550" i="16"/>
  <c r="K550" i="16"/>
  <c r="L649" i="20"/>
  <c r="I649" i="20"/>
  <c r="K625" i="19"/>
  <c r="H625" i="19"/>
  <c r="L625" i="19"/>
  <c r="L413" i="20"/>
  <c r="I413" i="20"/>
  <c r="L99" i="20"/>
  <c r="I99" i="20"/>
  <c r="I3" i="20"/>
  <c r="L3" i="20"/>
  <c r="L753" i="20"/>
  <c r="I753" i="20"/>
  <c r="O157" i="16"/>
  <c r="S157" i="16"/>
  <c r="K157" i="16"/>
  <c r="O769" i="16"/>
  <c r="K769" i="16"/>
  <c r="S769" i="16"/>
  <c r="B144" i="20"/>
  <c r="AL144" i="20" s="1"/>
  <c r="B144" i="19"/>
  <c r="L380" i="20"/>
  <c r="I380" i="20"/>
  <c r="I436" i="20"/>
  <c r="L436" i="20"/>
  <c r="L503" i="19"/>
  <c r="K503" i="19"/>
  <c r="H503" i="19"/>
  <c r="L160" i="20"/>
  <c r="I160" i="20"/>
  <c r="S730" i="16"/>
  <c r="K730" i="16"/>
  <c r="O730" i="16"/>
  <c r="K405" i="16"/>
  <c r="O405" i="16"/>
  <c r="S405" i="16"/>
  <c r="L480" i="19"/>
  <c r="K480" i="19"/>
  <c r="H480" i="19"/>
  <c r="L288" i="20"/>
  <c r="I288" i="20"/>
  <c r="B637" i="19"/>
  <c r="B637" i="20"/>
  <c r="AL637" i="20" s="1"/>
  <c r="K279" i="16"/>
  <c r="O279" i="16"/>
  <c r="S279" i="16"/>
  <c r="B307" i="20"/>
  <c r="AL307" i="20" s="1"/>
  <c r="B307" i="19"/>
  <c r="L546" i="19"/>
  <c r="K546" i="19"/>
  <c r="H546" i="19"/>
  <c r="L556" i="19"/>
  <c r="K556" i="19"/>
  <c r="H556" i="19"/>
  <c r="S743" i="16"/>
  <c r="O743" i="16"/>
  <c r="K743" i="16"/>
  <c r="S702" i="16"/>
  <c r="K702" i="16"/>
  <c r="O702" i="16"/>
  <c r="L630" i="19"/>
  <c r="K630" i="19"/>
  <c r="H630" i="19"/>
  <c r="B118" i="20"/>
  <c r="AL118" i="20" s="1"/>
  <c r="B118" i="19"/>
  <c r="S537" i="16"/>
  <c r="K537" i="16"/>
  <c r="O537" i="16"/>
  <c r="M167" i="19"/>
  <c r="I167" i="19"/>
  <c r="M524" i="19"/>
  <c r="I524" i="19"/>
  <c r="K524" i="19"/>
  <c r="H598" i="19"/>
  <c r="K598" i="19"/>
  <c r="L598" i="19"/>
  <c r="L153" i="19"/>
  <c r="K153" i="19"/>
  <c r="H153" i="19"/>
  <c r="L184" i="20"/>
  <c r="I184" i="20"/>
  <c r="I256" i="20"/>
  <c r="L256" i="20"/>
  <c r="B148" i="20"/>
  <c r="AL148" i="20" s="1"/>
  <c r="B148" i="19"/>
  <c r="L597" i="20"/>
  <c r="I597" i="20"/>
  <c r="I636" i="20"/>
  <c r="L636" i="20"/>
  <c r="L687" i="19"/>
  <c r="K687" i="19"/>
  <c r="H687" i="19"/>
  <c r="B717" i="20"/>
  <c r="AL717" i="20" s="1"/>
  <c r="B717" i="19"/>
  <c r="H298" i="19"/>
  <c r="L298" i="19"/>
  <c r="K298" i="19"/>
  <c r="B704" i="20"/>
  <c r="AL704" i="20" s="1"/>
  <c r="B704" i="19"/>
  <c r="B488" i="20"/>
  <c r="AL488" i="20" s="1"/>
  <c r="B488" i="19"/>
  <c r="L696" i="19"/>
  <c r="K696" i="19"/>
  <c r="H696" i="19"/>
  <c r="M519" i="19"/>
  <c r="I519" i="19"/>
  <c r="M260" i="19"/>
  <c r="I260" i="19"/>
  <c r="I95" i="19"/>
  <c r="M95" i="19"/>
  <c r="K95" i="19"/>
  <c r="K52" i="16"/>
  <c r="S52" i="16"/>
  <c r="O52" i="16"/>
  <c r="L483" i="20"/>
  <c r="I483" i="20"/>
  <c r="L226" i="19"/>
  <c r="K226" i="19"/>
  <c r="H226" i="19"/>
  <c r="O73" i="16"/>
  <c r="S73" i="16"/>
  <c r="K73" i="16"/>
  <c r="H682" i="19"/>
  <c r="L682" i="19"/>
  <c r="K682" i="19"/>
  <c r="I471" i="19"/>
  <c r="M471" i="19"/>
  <c r="L622" i="20"/>
  <c r="I622" i="20"/>
  <c r="K649" i="16"/>
  <c r="S649" i="16"/>
  <c r="O649" i="16"/>
  <c r="L625" i="20"/>
  <c r="I625" i="20"/>
  <c r="S413" i="16"/>
  <c r="K413" i="16"/>
  <c r="O413" i="16"/>
  <c r="S99" i="16"/>
  <c r="O99" i="16"/>
  <c r="K99" i="16"/>
  <c r="S3" i="16"/>
  <c r="K3" i="16"/>
  <c r="O3" i="16"/>
  <c r="S753" i="16"/>
  <c r="O753" i="16"/>
  <c r="K753" i="16"/>
  <c r="B751" i="19"/>
  <c r="B751" i="20"/>
  <c r="AL751" i="20" s="1"/>
  <c r="H496" i="19"/>
  <c r="L496" i="19"/>
  <c r="K496" i="19"/>
  <c r="M327" i="19"/>
  <c r="I327" i="19"/>
  <c r="B158" i="20"/>
  <c r="AL158" i="20" s="1"/>
  <c r="B158" i="19"/>
  <c r="M634" i="19"/>
  <c r="I634" i="19"/>
  <c r="K634" i="19"/>
  <c r="I706" i="20"/>
  <c r="L706" i="20"/>
  <c r="S380" i="16"/>
  <c r="K380" i="16"/>
  <c r="O380" i="16"/>
  <c r="L503" i="20"/>
  <c r="I503" i="20"/>
  <c r="S160" i="16"/>
  <c r="O160" i="16"/>
  <c r="K160" i="16"/>
  <c r="H730" i="19"/>
  <c r="L730" i="19"/>
  <c r="K730" i="19"/>
  <c r="K325" i="19"/>
  <c r="H325" i="19"/>
  <c r="L325" i="19"/>
  <c r="O480" i="16"/>
  <c r="K480" i="16"/>
  <c r="S480" i="16"/>
  <c r="L676" i="19"/>
  <c r="K676" i="19"/>
  <c r="H676" i="19"/>
  <c r="L546" i="20"/>
  <c r="I546" i="20"/>
  <c r="L556" i="20"/>
  <c r="I556" i="20"/>
  <c r="L815" i="19"/>
  <c r="K815" i="19"/>
  <c r="H815" i="19"/>
  <c r="B246" i="20"/>
  <c r="AL246" i="20" s="1"/>
  <c r="B246" i="19"/>
  <c r="B126" i="20"/>
  <c r="AL126" i="20" s="1"/>
  <c r="B126" i="19"/>
  <c r="M247" i="19"/>
  <c r="I247" i="19"/>
  <c r="L749" i="19"/>
  <c r="K749" i="19"/>
  <c r="H749" i="19"/>
  <c r="L726" i="19"/>
  <c r="K726" i="19"/>
  <c r="H726" i="19"/>
  <c r="M629" i="19"/>
  <c r="I629" i="19"/>
  <c r="L508" i="20"/>
  <c r="I508" i="20"/>
  <c r="L137" i="20"/>
  <c r="I137" i="20"/>
  <c r="L52" i="20"/>
  <c r="I52" i="20"/>
  <c r="K483" i="16"/>
  <c r="O483" i="16"/>
  <c r="S483" i="16"/>
  <c r="I226" i="20"/>
  <c r="L226" i="20"/>
  <c r="L73" i="20"/>
  <c r="I73" i="20"/>
  <c r="S682" i="16"/>
  <c r="O682" i="16"/>
  <c r="K682" i="16"/>
  <c r="L470" i="19"/>
  <c r="K470" i="19"/>
  <c r="H470" i="19"/>
  <c r="B91" i="20"/>
  <c r="AL91" i="20" s="1"/>
  <c r="B91" i="19"/>
  <c r="B516" i="20"/>
  <c r="AL516" i="20" s="1"/>
  <c r="B516" i="19"/>
  <c r="L159" i="20"/>
  <c r="I159" i="20"/>
  <c r="S622" i="16"/>
  <c r="O622" i="16"/>
  <c r="K622" i="16"/>
  <c r="L317" i="19"/>
  <c r="K317" i="19"/>
  <c r="H317" i="19"/>
  <c r="I271" i="19"/>
  <c r="M271" i="19"/>
  <c r="K271" i="19"/>
  <c r="H708" i="19"/>
  <c r="L708" i="19"/>
  <c r="K708" i="19"/>
  <c r="O625" i="16"/>
  <c r="S625" i="16"/>
  <c r="K625" i="16"/>
  <c r="L149" i="20"/>
  <c r="I149" i="20"/>
  <c r="L496" i="20"/>
  <c r="I496" i="20"/>
  <c r="L706" i="19"/>
  <c r="K706" i="19"/>
  <c r="H706" i="19"/>
  <c r="L327" i="20"/>
  <c r="I327" i="20"/>
  <c r="B723" i="20"/>
  <c r="AL723" i="20" s="1"/>
  <c r="B723" i="19"/>
  <c r="K503" i="16"/>
  <c r="S503" i="16"/>
  <c r="O503" i="16"/>
  <c r="B734" i="20"/>
  <c r="AL734" i="20" s="1"/>
  <c r="B734" i="19"/>
  <c r="K66" i="19"/>
  <c r="L66" i="19"/>
  <c r="H66" i="19"/>
  <c r="I730" i="20"/>
  <c r="L730" i="20"/>
  <c r="L654" i="19"/>
  <c r="K654" i="19"/>
  <c r="H654" i="19"/>
  <c r="L325" i="20"/>
  <c r="I325" i="20"/>
  <c r="AA7" i="19"/>
  <c r="AB7" i="19" s="1"/>
  <c r="D7" i="19"/>
  <c r="AA8" i="19"/>
  <c r="AB8" i="19" s="1"/>
  <c r="L480" i="20"/>
  <c r="I480" i="20"/>
  <c r="H333" i="19"/>
  <c r="L333" i="19"/>
  <c r="K333" i="19"/>
  <c r="B458" i="20"/>
  <c r="AL458" i="20" s="1"/>
  <c r="B458" i="19"/>
  <c r="I676" i="20"/>
  <c r="L676" i="20"/>
  <c r="O546" i="16"/>
  <c r="K546" i="16"/>
  <c r="S546" i="16"/>
  <c r="S556" i="16"/>
  <c r="K556" i="16"/>
  <c r="O556" i="16"/>
  <c r="L815" i="20"/>
  <c r="I815" i="20"/>
  <c r="B497" i="20"/>
  <c r="AL497" i="20" s="1"/>
  <c r="B497" i="19"/>
  <c r="L337" i="20"/>
  <c r="I337" i="20"/>
  <c r="B728" i="20"/>
  <c r="AL728" i="20" s="1"/>
  <c r="B728" i="19"/>
  <c r="L749" i="20"/>
  <c r="I749" i="20"/>
  <c r="I726" i="20"/>
  <c r="L726" i="20"/>
  <c r="L222" i="19"/>
  <c r="K222" i="19"/>
  <c r="H222" i="19"/>
  <c r="B534" i="20"/>
  <c r="AL534" i="20" s="1"/>
  <c r="B534" i="19"/>
  <c r="S137" i="16"/>
  <c r="O137" i="16"/>
  <c r="K137" i="16"/>
  <c r="M197" i="19"/>
  <c r="I197" i="19"/>
  <c r="S357" i="16"/>
  <c r="K357" i="16"/>
  <c r="O357" i="16"/>
  <c r="B460" i="20"/>
  <c r="AL460" i="20" s="1"/>
  <c r="B460" i="19"/>
  <c r="O585" i="16"/>
  <c r="S585" i="16"/>
  <c r="K585" i="16"/>
  <c r="I31" i="20"/>
  <c r="L31" i="20"/>
  <c r="B350" i="20"/>
  <c r="AL350" i="20" s="1"/>
  <c r="B350" i="19"/>
  <c r="L41" i="19"/>
  <c r="K41" i="19"/>
  <c r="H41" i="19"/>
  <c r="I278" i="19"/>
  <c r="M278" i="19"/>
  <c r="B384" i="20"/>
  <c r="AL384" i="20" s="1"/>
  <c r="B384" i="19"/>
  <c r="I124" i="19"/>
  <c r="M124" i="19"/>
  <c r="B775" i="20"/>
  <c r="AL775" i="20" s="1"/>
  <c r="B775" i="19"/>
  <c r="I703" i="20"/>
  <c r="L703" i="20"/>
  <c r="H530" i="19"/>
  <c r="L530" i="19"/>
  <c r="K530" i="19"/>
  <c r="B187" i="20"/>
  <c r="AL187" i="20" s="1"/>
  <c r="B187" i="19"/>
  <c r="M169" i="19"/>
  <c r="I169" i="19"/>
  <c r="H300" i="19"/>
  <c r="L300" i="19"/>
  <c r="K300" i="19"/>
  <c r="B298" i="20"/>
  <c r="AL298" i="20" s="1"/>
  <c r="B298" i="19"/>
  <c r="I789" i="19"/>
  <c r="M789" i="19"/>
  <c r="B448" i="20"/>
  <c r="AL448" i="20" s="1"/>
  <c r="B448" i="19"/>
  <c r="K736" i="16"/>
  <c r="S736" i="16"/>
  <c r="O736" i="16"/>
  <c r="B577" i="20"/>
  <c r="AL577" i="20" s="1"/>
  <c r="B577" i="19"/>
  <c r="L41" i="20"/>
  <c r="I41" i="20"/>
  <c r="B766" i="20"/>
  <c r="AL766" i="20" s="1"/>
  <c r="B766" i="19"/>
  <c r="L433" i="19"/>
  <c r="K433" i="19"/>
  <c r="H433" i="19"/>
  <c r="I733" i="19"/>
  <c r="M733" i="19"/>
  <c r="B397" i="20"/>
  <c r="AL397" i="20" s="1"/>
  <c r="B397" i="19"/>
  <c r="K703" i="16"/>
  <c r="S703" i="16"/>
  <c r="O703" i="16"/>
  <c r="L530" i="20"/>
  <c r="I530" i="20"/>
  <c r="L300" i="20"/>
  <c r="I300" i="20"/>
  <c r="B816" i="20"/>
  <c r="AL816" i="20" s="1"/>
  <c r="B816" i="19"/>
  <c r="B304" i="20"/>
  <c r="AL304" i="20" s="1"/>
  <c r="B304" i="19"/>
  <c r="B153" i="20"/>
  <c r="AL153" i="20" s="1"/>
  <c r="B153" i="19"/>
  <c r="L191" i="19"/>
  <c r="K191" i="19"/>
  <c r="H191" i="19"/>
  <c r="S432" i="16"/>
  <c r="O432" i="16"/>
  <c r="K432" i="16"/>
  <c r="L823" i="19"/>
  <c r="K823" i="19"/>
  <c r="H823" i="19"/>
  <c r="M476" i="19"/>
  <c r="I476" i="19"/>
  <c r="H745" i="19"/>
  <c r="K745" i="19"/>
  <c r="L745" i="19"/>
  <c r="B641" i="20"/>
  <c r="AL641" i="20" s="1"/>
  <c r="B641" i="19"/>
  <c r="K728" i="16"/>
  <c r="S728" i="16"/>
  <c r="O728" i="16"/>
  <c r="M774" i="19"/>
  <c r="I774" i="19"/>
  <c r="B648" i="20"/>
  <c r="AL648" i="20" s="1"/>
  <c r="B648" i="19"/>
  <c r="B223" i="20"/>
  <c r="AL223" i="20" s="1"/>
  <c r="B223" i="19"/>
  <c r="B747" i="19"/>
  <c r="B747" i="20"/>
  <c r="AL747" i="20" s="1"/>
  <c r="I584" i="20"/>
  <c r="L584" i="20"/>
  <c r="O303" i="16"/>
  <c r="K303" i="16"/>
  <c r="S303" i="16"/>
  <c r="K749" i="16"/>
  <c r="O749" i="16"/>
  <c r="S749" i="16"/>
  <c r="I616" i="20"/>
  <c r="L616" i="20"/>
  <c r="I745" i="19"/>
  <c r="M745" i="19"/>
  <c r="K15" i="19"/>
  <c r="H15" i="19"/>
  <c r="L15" i="19"/>
  <c r="H368" i="19"/>
  <c r="L368" i="19"/>
  <c r="K368" i="19"/>
  <c r="H454" i="19"/>
  <c r="L454" i="19"/>
  <c r="K454" i="19"/>
  <c r="H793" i="19"/>
  <c r="L793" i="19"/>
  <c r="K793" i="19"/>
  <c r="L819" i="20"/>
  <c r="I819" i="20"/>
  <c r="L105" i="19"/>
  <c r="K105" i="19"/>
  <c r="H105" i="19"/>
  <c r="L598" i="20"/>
  <c r="I598" i="20"/>
  <c r="I275" i="19"/>
  <c r="M275" i="19"/>
  <c r="S41" i="16"/>
  <c r="K41" i="16"/>
  <c r="O41" i="16"/>
  <c r="I162" i="19"/>
  <c r="M162" i="19"/>
  <c r="K809" i="19"/>
  <c r="H809" i="19"/>
  <c r="L809" i="19"/>
  <c r="L761" i="19"/>
  <c r="K761" i="19"/>
  <c r="H761" i="19"/>
  <c r="L433" i="20"/>
  <c r="I433" i="20"/>
  <c r="M309" i="19"/>
  <c r="I309" i="19"/>
  <c r="K530" i="16"/>
  <c r="O530" i="16"/>
  <c r="S530" i="16"/>
  <c r="S300" i="16"/>
  <c r="O300" i="16"/>
  <c r="K300" i="16"/>
  <c r="L134" i="20"/>
  <c r="I134" i="20"/>
  <c r="L675" i="20"/>
  <c r="I675" i="20"/>
  <c r="I823" i="20"/>
  <c r="L823" i="20"/>
  <c r="H278" i="19"/>
  <c r="L278" i="19"/>
  <c r="K278" i="19"/>
  <c r="L756" i="19"/>
  <c r="K756" i="19"/>
  <c r="H756" i="19"/>
  <c r="I745" i="20"/>
  <c r="L745" i="20"/>
  <c r="B698" i="19"/>
  <c r="B698" i="20"/>
  <c r="AL698" i="20" s="1"/>
  <c r="K290" i="19"/>
  <c r="H290" i="19"/>
  <c r="L290" i="19"/>
  <c r="L609" i="20"/>
  <c r="I609" i="20"/>
  <c r="M591" i="19"/>
  <c r="I591" i="19"/>
  <c r="S584" i="16"/>
  <c r="K584" i="16"/>
  <c r="O584" i="16"/>
  <c r="B540" i="20"/>
  <c r="AL540" i="20" s="1"/>
  <c r="B540" i="19"/>
  <c r="L303" i="20"/>
  <c r="I303" i="20"/>
  <c r="B71" i="20"/>
  <c r="AL71" i="20" s="1"/>
  <c r="B71" i="19"/>
  <c r="H616" i="19"/>
  <c r="L616" i="19"/>
  <c r="K616" i="19"/>
  <c r="M342" i="19"/>
  <c r="I342" i="19"/>
  <c r="B395" i="20"/>
  <c r="AL395" i="20" s="1"/>
  <c r="B395" i="19"/>
  <c r="B186" i="20"/>
  <c r="AL186" i="20" s="1"/>
  <c r="B186" i="19"/>
  <c r="I755" i="19"/>
  <c r="M755" i="19"/>
  <c r="S45" i="20"/>
  <c r="U45" i="20"/>
  <c r="I381" i="19"/>
  <c r="M381" i="19"/>
  <c r="I15" i="20"/>
  <c r="L15" i="20"/>
  <c r="K368" i="16"/>
  <c r="S368" i="16"/>
  <c r="O368" i="16"/>
  <c r="M386" i="19"/>
  <c r="I386" i="19"/>
  <c r="I454" i="20"/>
  <c r="L454" i="20"/>
  <c r="L793" i="20"/>
  <c r="I793" i="20"/>
  <c r="B755" i="20"/>
  <c r="AL755" i="20" s="1"/>
  <c r="B755" i="19"/>
  <c r="O819" i="16"/>
  <c r="S819" i="16"/>
  <c r="K819" i="16"/>
  <c r="L129" i="20"/>
  <c r="I129" i="20"/>
  <c r="L105" i="20"/>
  <c r="I105" i="20"/>
  <c r="K598" i="16"/>
  <c r="O598" i="16"/>
  <c r="S598" i="16"/>
  <c r="B767" i="20"/>
  <c r="AL767" i="20" s="1"/>
  <c r="B767" i="19"/>
  <c r="B545" i="19"/>
  <c r="B545" i="20"/>
  <c r="AL545" i="20" s="1"/>
  <c r="L558" i="19"/>
  <c r="K558" i="19"/>
  <c r="H558" i="19"/>
  <c r="L809" i="20"/>
  <c r="I809" i="20"/>
  <c r="L761" i="20"/>
  <c r="I761" i="20"/>
  <c r="O433" i="16"/>
  <c r="K433" i="16"/>
  <c r="S433" i="16"/>
  <c r="B788" i="20"/>
  <c r="AL788" i="20" s="1"/>
  <c r="B788" i="19"/>
  <c r="I104" i="19"/>
  <c r="M104" i="19"/>
  <c r="B588" i="20"/>
  <c r="AL588" i="20" s="1"/>
  <c r="B588" i="19"/>
  <c r="K612" i="16"/>
  <c r="S612" i="16"/>
  <c r="O612" i="16"/>
  <c r="H489" i="19"/>
  <c r="K489" i="19"/>
  <c r="L489" i="19"/>
  <c r="H134" i="19"/>
  <c r="K134" i="19"/>
  <c r="L134" i="19"/>
  <c r="M773" i="19"/>
  <c r="I773" i="19"/>
  <c r="U27" i="20"/>
  <c r="S27" i="20"/>
  <c r="H456" i="19"/>
  <c r="K456" i="19"/>
  <c r="L456" i="19"/>
  <c r="H675" i="19"/>
  <c r="K675" i="19"/>
  <c r="L675" i="19"/>
  <c r="S191" i="16"/>
  <c r="K191" i="16"/>
  <c r="O191" i="16"/>
  <c r="S823" i="16"/>
  <c r="K823" i="16"/>
  <c r="O823" i="16"/>
  <c r="L278" i="20"/>
  <c r="I278" i="20"/>
  <c r="L711" i="19"/>
  <c r="K711" i="19"/>
  <c r="H711" i="19"/>
  <c r="O745" i="16"/>
  <c r="K745" i="16"/>
  <c r="S745" i="16"/>
  <c r="S239" i="16"/>
  <c r="K239" i="16"/>
  <c r="O239" i="16"/>
  <c r="H422" i="19"/>
  <c r="L422" i="19"/>
  <c r="K422" i="19"/>
  <c r="L237" i="19"/>
  <c r="K237" i="19"/>
  <c r="H237" i="19"/>
  <c r="K616" i="16"/>
  <c r="O616" i="16"/>
  <c r="S616" i="16"/>
  <c r="I578" i="19"/>
  <c r="M578" i="19"/>
  <c r="M754" i="19"/>
  <c r="I754" i="19"/>
  <c r="B804" i="20"/>
  <c r="AL804" i="20" s="1"/>
  <c r="B804" i="19"/>
  <c r="H137" i="19"/>
  <c r="L137" i="19"/>
  <c r="K137" i="19"/>
  <c r="I99" i="19"/>
  <c r="M99" i="19"/>
  <c r="B175" i="20"/>
  <c r="AL175" i="20" s="1"/>
  <c r="B175" i="19"/>
  <c r="K15" i="16"/>
  <c r="S15" i="16"/>
  <c r="O15" i="16"/>
  <c r="L368" i="20"/>
  <c r="I368" i="20"/>
  <c r="O454" i="16"/>
  <c r="S454" i="16"/>
  <c r="K454" i="16"/>
  <c r="H98" i="19"/>
  <c r="L98" i="19"/>
  <c r="K98" i="19"/>
  <c r="H713" i="19"/>
  <c r="L713" i="19"/>
  <c r="K713" i="19"/>
  <c r="S793" i="16"/>
  <c r="O793" i="16"/>
  <c r="K793" i="16"/>
  <c r="H129" i="19"/>
  <c r="L129" i="19"/>
  <c r="K129" i="19"/>
  <c r="L214" i="19"/>
  <c r="K214" i="19"/>
  <c r="H214" i="19"/>
  <c r="K105" i="16"/>
  <c r="S105" i="16"/>
  <c r="O105" i="16"/>
  <c r="I447" i="19"/>
  <c r="M447" i="19"/>
  <c r="O558" i="16"/>
  <c r="S558" i="16"/>
  <c r="K558" i="16"/>
  <c r="S809" i="16"/>
  <c r="O809" i="16"/>
  <c r="K809" i="16"/>
  <c r="O761" i="16"/>
  <c r="K761" i="16"/>
  <c r="S761" i="16"/>
  <c r="H139" i="19"/>
  <c r="L139" i="19"/>
  <c r="K139" i="19"/>
  <c r="L717" i="19"/>
  <c r="K717" i="19"/>
  <c r="H717" i="19"/>
  <c r="M704" i="19"/>
  <c r="I704" i="19"/>
  <c r="L612" i="19"/>
  <c r="K612" i="19"/>
  <c r="H612" i="19"/>
  <c r="I489" i="20"/>
  <c r="L489" i="20"/>
  <c r="I328" i="19"/>
  <c r="M328" i="19"/>
  <c r="S134" i="16"/>
  <c r="O134" i="16"/>
  <c r="K134" i="16"/>
  <c r="I456" i="20"/>
  <c r="L456" i="20"/>
  <c r="S675" i="16"/>
  <c r="O675" i="16"/>
  <c r="K675" i="16"/>
  <c r="H273" i="19"/>
  <c r="K273" i="19"/>
  <c r="L273" i="19"/>
  <c r="S278" i="16"/>
  <c r="O278" i="16"/>
  <c r="K278" i="16"/>
  <c r="H281" i="19"/>
  <c r="L281" i="19"/>
  <c r="K281" i="19"/>
  <c r="B365" i="20"/>
  <c r="AL365" i="20" s="1"/>
  <c r="B365" i="19"/>
  <c r="O756" i="16"/>
  <c r="K756" i="16"/>
  <c r="S756" i="16"/>
  <c r="I675" i="19"/>
  <c r="M675" i="19"/>
  <c r="L324" i="19"/>
  <c r="K324" i="19"/>
  <c r="H324" i="19"/>
  <c r="L304" i="19"/>
  <c r="K304" i="19"/>
  <c r="H304" i="19"/>
  <c r="I635" i="19"/>
  <c r="M635" i="19"/>
  <c r="H668" i="19"/>
  <c r="L668" i="19"/>
  <c r="K668" i="19"/>
  <c r="O129" i="16"/>
  <c r="S129" i="16"/>
  <c r="K129" i="16"/>
  <c r="L214" i="20"/>
  <c r="I214" i="20"/>
  <c r="I348" i="19"/>
  <c r="M348" i="19"/>
  <c r="L396" i="20"/>
  <c r="I396" i="20"/>
  <c r="I558" i="20"/>
  <c r="L558" i="20"/>
  <c r="M62" i="19"/>
  <c r="I62" i="19"/>
  <c r="L139" i="20"/>
  <c r="I139" i="20"/>
  <c r="L717" i="20"/>
  <c r="I717" i="20"/>
  <c r="B338" i="20"/>
  <c r="AL338" i="20" s="1"/>
  <c r="B338" i="19"/>
  <c r="L637" i="20"/>
  <c r="I637" i="20"/>
  <c r="L612" i="20"/>
  <c r="I612" i="20"/>
  <c r="S489" i="16"/>
  <c r="K489" i="16"/>
  <c r="O489" i="16"/>
  <c r="B718" i="20"/>
  <c r="AL718" i="20" s="1"/>
  <c r="B718" i="19"/>
  <c r="S456" i="16"/>
  <c r="O456" i="16"/>
  <c r="K456" i="16"/>
  <c r="L273" i="20"/>
  <c r="I273" i="20"/>
  <c r="I128" i="19"/>
  <c r="M128" i="19"/>
  <c r="S711" i="16"/>
  <c r="K711" i="16"/>
  <c r="O711" i="16"/>
  <c r="I218" i="19"/>
  <c r="M218" i="19"/>
  <c r="B358" i="19"/>
  <c r="B358" i="20"/>
  <c r="AL358" i="20" s="1"/>
  <c r="M431" i="19"/>
  <c r="I431" i="19"/>
  <c r="K431" i="19"/>
  <c r="M322" i="19"/>
  <c r="I322" i="19"/>
  <c r="S59" i="20"/>
  <c r="U59" i="20"/>
  <c r="I426" i="19"/>
  <c r="M426" i="19"/>
  <c r="B335" i="20"/>
  <c r="AL335" i="20" s="1"/>
  <c r="B335" i="19"/>
  <c r="K395" i="19"/>
  <c r="H395" i="19"/>
  <c r="L395" i="19"/>
  <c r="K717" i="16"/>
  <c r="O717" i="16"/>
  <c r="S717" i="16"/>
  <c r="I588" i="19"/>
  <c r="M588" i="19"/>
  <c r="H509" i="19"/>
  <c r="K509" i="19"/>
  <c r="L509" i="19"/>
  <c r="L637" i="19"/>
  <c r="K637" i="19"/>
  <c r="H637" i="19"/>
  <c r="B731" i="20"/>
  <c r="AL731" i="20" s="1"/>
  <c r="B731" i="19"/>
  <c r="L774" i="20"/>
  <c r="I774" i="20"/>
  <c r="S273" i="16"/>
  <c r="O273" i="16"/>
  <c r="K273" i="16"/>
  <c r="S281" i="16"/>
  <c r="O281" i="16"/>
  <c r="K281" i="16"/>
  <c r="U34" i="20"/>
  <c r="S34" i="20"/>
  <c r="O324" i="16"/>
  <c r="K324" i="16"/>
  <c r="S324" i="16"/>
  <c r="O304" i="16"/>
  <c r="K304" i="16"/>
  <c r="S304" i="16"/>
  <c r="S63" i="20"/>
  <c r="U63" i="20"/>
  <c r="M453" i="19"/>
  <c r="I453" i="19"/>
  <c r="B558" i="19"/>
  <c r="B558" i="20"/>
  <c r="AL558" i="20" s="1"/>
  <c r="I724" i="19"/>
  <c r="M724" i="19"/>
  <c r="S683" i="16"/>
  <c r="K683" i="16"/>
  <c r="O683" i="16"/>
  <c r="O74" i="16"/>
  <c r="K74" i="16"/>
  <c r="S74" i="16"/>
  <c r="K804" i="19"/>
  <c r="H804" i="19"/>
  <c r="L804" i="19"/>
  <c r="K309" i="16"/>
  <c r="S309" i="16"/>
  <c r="O309" i="16"/>
  <c r="S726" i="16"/>
  <c r="O726" i="16"/>
  <c r="K726" i="16"/>
  <c r="I630" i="20"/>
  <c r="L630" i="20"/>
  <c r="K601" i="16"/>
  <c r="S601" i="16"/>
  <c r="O601" i="16"/>
  <c r="L372" i="19"/>
  <c r="K372" i="19"/>
  <c r="H372" i="19"/>
  <c r="O77" i="16"/>
  <c r="S77" i="16"/>
  <c r="K77" i="16"/>
  <c r="B656" i="20"/>
  <c r="AL656" i="20" s="1"/>
  <c r="B656" i="19"/>
  <c r="L562" i="20"/>
  <c r="I562" i="20"/>
  <c r="K125" i="16"/>
  <c r="O125" i="16"/>
  <c r="S125" i="16"/>
  <c r="M55" i="19"/>
  <c r="I55" i="19"/>
  <c r="B525" i="19"/>
  <c r="B525" i="20"/>
  <c r="AL525" i="20" s="1"/>
  <c r="L669" i="20"/>
  <c r="I669" i="20"/>
  <c r="L375" i="20"/>
  <c r="I375" i="20"/>
  <c r="H797" i="19"/>
  <c r="L797" i="19"/>
  <c r="K797" i="19"/>
  <c r="H710" i="19"/>
  <c r="L710" i="19"/>
  <c r="K710" i="19"/>
  <c r="S56" i="20"/>
  <c r="U56" i="20"/>
  <c r="L517" i="20"/>
  <c r="I517" i="20"/>
  <c r="L374" i="20"/>
  <c r="I374" i="20"/>
  <c r="L167" i="19"/>
  <c r="K167" i="19"/>
  <c r="H167" i="19"/>
  <c r="B630" i="19"/>
  <c r="B630" i="20"/>
  <c r="AL630" i="20" s="1"/>
  <c r="H224" i="19"/>
  <c r="L224" i="19"/>
  <c r="K224" i="19"/>
  <c r="K668" i="16"/>
  <c r="S668" i="16"/>
  <c r="O668" i="16"/>
  <c r="B15" i="20"/>
  <c r="AL15" i="20" s="1"/>
  <c r="B15" i="19"/>
  <c r="I512" i="20"/>
  <c r="L512" i="20"/>
  <c r="H221" i="19"/>
  <c r="K221" i="19"/>
  <c r="L221" i="19"/>
  <c r="S396" i="16"/>
  <c r="O396" i="16"/>
  <c r="K396" i="16"/>
  <c r="B78" i="20"/>
  <c r="AL78" i="20" s="1"/>
  <c r="B78" i="19"/>
  <c r="L395" i="20"/>
  <c r="I395" i="20"/>
  <c r="I509" i="20"/>
  <c r="L509" i="20"/>
  <c r="K637" i="16"/>
  <c r="S637" i="16"/>
  <c r="O637" i="16"/>
  <c r="I744" i="19"/>
  <c r="M744" i="19"/>
  <c r="L774" i="19"/>
  <c r="K774" i="19"/>
  <c r="H774" i="19"/>
  <c r="B736" i="20"/>
  <c r="AL736" i="20" s="1"/>
  <c r="B736" i="19"/>
  <c r="B548" i="19"/>
  <c r="B548" i="20"/>
  <c r="AL548" i="20" s="1"/>
  <c r="H705" i="19"/>
  <c r="L705" i="19"/>
  <c r="K705" i="19"/>
  <c r="B415" i="19"/>
  <c r="B415" i="20"/>
  <c r="AL415" i="20" s="1"/>
  <c r="H202" i="19"/>
  <c r="K202" i="19"/>
  <c r="L202" i="19"/>
  <c r="B821" i="20"/>
  <c r="B821" i="19"/>
  <c r="M782" i="19"/>
  <c r="I782" i="19"/>
  <c r="B565" i="20"/>
  <c r="AL565" i="20" s="1"/>
  <c r="B565" i="19"/>
  <c r="K630" i="16"/>
  <c r="S630" i="16"/>
  <c r="O630" i="16"/>
  <c r="L508" i="19"/>
  <c r="K508" i="19"/>
  <c r="H508" i="19"/>
  <c r="H437" i="19"/>
  <c r="L437" i="19"/>
  <c r="K437" i="19"/>
  <c r="I372" i="20"/>
  <c r="L372" i="20"/>
  <c r="L77" i="20"/>
  <c r="I77" i="20"/>
  <c r="H562" i="19"/>
  <c r="L562" i="19"/>
  <c r="K562" i="19"/>
  <c r="B22" i="20"/>
  <c r="AL22" i="20" s="1"/>
  <c r="B22" i="19"/>
  <c r="B725" i="20"/>
  <c r="AL725" i="20" s="1"/>
  <c r="B725" i="19"/>
  <c r="K669" i="16"/>
  <c r="O669" i="16"/>
  <c r="S669" i="16"/>
  <c r="O375" i="16"/>
  <c r="K375" i="16"/>
  <c r="S375" i="16"/>
  <c r="O797" i="16"/>
  <c r="K797" i="16"/>
  <c r="S797" i="16"/>
  <c r="L710" i="20"/>
  <c r="I710" i="20"/>
  <c r="S517" i="16"/>
  <c r="K517" i="16"/>
  <c r="O517" i="16"/>
  <c r="H374" i="19"/>
  <c r="L374" i="19"/>
  <c r="K374" i="19"/>
  <c r="L167" i="20"/>
  <c r="I167" i="20"/>
  <c r="M507" i="19"/>
  <c r="I507" i="19"/>
  <c r="L224" i="20"/>
  <c r="I224" i="20"/>
  <c r="S512" i="16"/>
  <c r="O512" i="16"/>
  <c r="K512" i="16"/>
  <c r="I221" i="20"/>
  <c r="L221" i="20"/>
  <c r="M706" i="19"/>
  <c r="I706" i="19"/>
  <c r="K286" i="19"/>
  <c r="H286" i="19"/>
  <c r="L286" i="19"/>
  <c r="I125" i="19"/>
  <c r="M125" i="19"/>
  <c r="K395" i="16"/>
  <c r="S395" i="16"/>
  <c r="O395" i="16"/>
  <c r="I207" i="19"/>
  <c r="M207" i="19"/>
  <c r="H417" i="19"/>
  <c r="K417" i="19"/>
  <c r="L417" i="19"/>
  <c r="S509" i="16"/>
  <c r="O509" i="16"/>
  <c r="K509" i="16"/>
  <c r="B385" i="20"/>
  <c r="AL385" i="20" s="1"/>
  <c r="B385" i="19"/>
  <c r="S774" i="16"/>
  <c r="K774" i="16"/>
  <c r="O774" i="16"/>
  <c r="B531" i="20"/>
  <c r="AL531" i="20" s="1"/>
  <c r="B531" i="19"/>
  <c r="M189" i="19"/>
  <c r="I189" i="19"/>
  <c r="L705" i="20"/>
  <c r="I705" i="20"/>
  <c r="B625" i="20"/>
  <c r="AL625" i="20" s="1"/>
  <c r="B625" i="19"/>
  <c r="B474" i="20"/>
  <c r="AL474" i="20" s="1"/>
  <c r="B474" i="19"/>
  <c r="B435" i="20"/>
  <c r="AL435" i="20" s="1"/>
  <c r="B435" i="19"/>
  <c r="K138" i="19"/>
  <c r="H138" i="19"/>
  <c r="L138" i="19"/>
  <c r="U16" i="20"/>
  <c r="S16" i="20"/>
  <c r="I437" i="20"/>
  <c r="L437" i="20"/>
  <c r="L490" i="19"/>
  <c r="H490" i="19"/>
  <c r="K490" i="19"/>
  <c r="O372" i="16"/>
  <c r="S372" i="16"/>
  <c r="K372" i="16"/>
  <c r="B450" i="20"/>
  <c r="AL450" i="20" s="1"/>
  <c r="B450" i="19"/>
  <c r="S562" i="16"/>
  <c r="O562" i="16"/>
  <c r="K562" i="16"/>
  <c r="M161" i="19"/>
  <c r="I161" i="19"/>
  <c r="K161" i="19"/>
  <c r="L213" i="19"/>
  <c r="K213" i="19"/>
  <c r="H213" i="19"/>
  <c r="L797" i="20"/>
  <c r="I797" i="20"/>
  <c r="S710" i="16"/>
  <c r="O710" i="16"/>
  <c r="K710" i="16"/>
  <c r="B485" i="20"/>
  <c r="AL485" i="20" s="1"/>
  <c r="B485" i="19"/>
  <c r="O374" i="16"/>
  <c r="S374" i="16"/>
  <c r="K374" i="16"/>
  <c r="O167" i="16"/>
  <c r="K167" i="16"/>
  <c r="S167" i="16"/>
  <c r="M761" i="19"/>
  <c r="I761" i="19"/>
  <c r="O224" i="16"/>
  <c r="S224" i="16"/>
  <c r="K224" i="16"/>
  <c r="B107" i="20"/>
  <c r="AL107" i="20" s="1"/>
  <c r="B107" i="19"/>
  <c r="S221" i="16"/>
  <c r="O221" i="16"/>
  <c r="K221" i="16"/>
  <c r="L577" i="19"/>
  <c r="H577" i="19"/>
  <c r="K577" i="19"/>
  <c r="L118" i="19"/>
  <c r="K118" i="19"/>
  <c r="H118" i="19"/>
  <c r="K286" i="16"/>
  <c r="O286" i="16"/>
  <c r="S286" i="16"/>
  <c r="L417" i="20"/>
  <c r="I417" i="20"/>
  <c r="K589" i="19"/>
  <c r="H589" i="19"/>
  <c r="L589" i="19"/>
  <c r="H69" i="19"/>
  <c r="L69" i="19"/>
  <c r="K69" i="19"/>
  <c r="K87" i="19"/>
  <c r="H87" i="19"/>
  <c r="L87" i="19"/>
  <c r="O705" i="16"/>
  <c r="S705" i="16"/>
  <c r="K705" i="16"/>
  <c r="I313" i="19"/>
  <c r="M313" i="19"/>
  <c r="S202" i="16"/>
  <c r="O202" i="16"/>
  <c r="K202" i="16"/>
  <c r="B88" i="20"/>
  <c r="AL88" i="20" s="1"/>
  <c r="B88" i="19"/>
  <c r="B155" i="20"/>
  <c r="AL155" i="20" s="1"/>
  <c r="B155" i="19"/>
  <c r="B267" i="20"/>
  <c r="AL267" i="20" s="1"/>
  <c r="B267" i="19"/>
  <c r="B355" i="20"/>
  <c r="AL355" i="20" s="1"/>
  <c r="B355" i="19"/>
  <c r="H223" i="19"/>
  <c r="L223" i="19"/>
  <c r="K223" i="19"/>
  <c r="L85" i="20"/>
  <c r="I85" i="20"/>
  <c r="K252" i="16"/>
  <c r="O252" i="16"/>
  <c r="S252" i="16"/>
  <c r="L734" i="20"/>
  <c r="I734" i="20"/>
  <c r="M445" i="19"/>
  <c r="I445" i="19"/>
  <c r="S508" i="16"/>
  <c r="K508" i="16"/>
  <c r="O508" i="16"/>
  <c r="O437" i="16"/>
  <c r="K437" i="16"/>
  <c r="S437" i="16"/>
  <c r="L490" i="20"/>
  <c r="I490" i="20"/>
  <c r="B618" i="20"/>
  <c r="AL618" i="20" s="1"/>
  <c r="B618" i="19"/>
  <c r="L29" i="19"/>
  <c r="K29" i="19"/>
  <c r="H29" i="19"/>
  <c r="M664" i="19"/>
  <c r="I664" i="19"/>
  <c r="B475" i="20"/>
  <c r="AL475" i="20" s="1"/>
  <c r="B475" i="19"/>
  <c r="I213" i="20"/>
  <c r="L213" i="20"/>
  <c r="B535" i="20"/>
  <c r="AL535" i="20" s="1"/>
  <c r="B535" i="19"/>
  <c r="B325" i="20"/>
  <c r="AL325" i="20" s="1"/>
  <c r="B325" i="19"/>
  <c r="I307" i="19"/>
  <c r="M307" i="19"/>
  <c r="L664" i="19"/>
  <c r="K664" i="19"/>
  <c r="H664" i="19"/>
  <c r="L577" i="20"/>
  <c r="I577" i="20"/>
  <c r="L118" i="20"/>
  <c r="I118" i="20"/>
  <c r="I286" i="20"/>
  <c r="L286" i="20"/>
  <c r="H122" i="19"/>
  <c r="L122" i="19"/>
  <c r="K122" i="19"/>
  <c r="K417" i="16"/>
  <c r="O417" i="16"/>
  <c r="S417" i="16"/>
  <c r="B778" i="20"/>
  <c r="AL778" i="20" s="1"/>
  <c r="B778" i="19"/>
  <c r="L589" i="20"/>
  <c r="I589" i="20"/>
  <c r="I440" i="19"/>
  <c r="M440" i="19"/>
  <c r="I23" i="19"/>
  <c r="M23" i="19"/>
  <c r="I417" i="19"/>
  <c r="M417" i="19"/>
  <c r="L69" i="20"/>
  <c r="I69" i="20"/>
  <c r="B300" i="20"/>
  <c r="AL300" i="20" s="1"/>
  <c r="B300" i="19"/>
  <c r="B581" i="20"/>
  <c r="AL581" i="20" s="1"/>
  <c r="B581" i="19"/>
  <c r="L87" i="20"/>
  <c r="I87" i="20"/>
  <c r="M589" i="19"/>
  <c r="I589" i="19"/>
  <c r="M129" i="19"/>
  <c r="I129" i="19"/>
  <c r="I158" i="19"/>
  <c r="M158" i="19"/>
  <c r="B695" i="20"/>
  <c r="AL695" i="20" s="1"/>
  <c r="B695" i="19"/>
  <c r="H521" i="19"/>
  <c r="L521" i="19"/>
  <c r="K521" i="19"/>
  <c r="B35" i="20"/>
  <c r="AL35" i="20" s="1"/>
  <c r="B35" i="19"/>
  <c r="O482" i="16"/>
  <c r="S482" i="16"/>
  <c r="K482" i="16"/>
  <c r="I786" i="20"/>
  <c r="L786" i="20"/>
  <c r="I7" i="20"/>
  <c r="L7" i="20"/>
  <c r="B638" i="20"/>
  <c r="AL638" i="20" s="1"/>
  <c r="B638" i="19"/>
  <c r="L204" i="20"/>
  <c r="I204" i="20"/>
  <c r="O645" i="16"/>
  <c r="S645" i="16"/>
  <c r="K645" i="16"/>
  <c r="I223" i="20"/>
  <c r="L223" i="20"/>
  <c r="K85" i="16"/>
  <c r="O85" i="16"/>
  <c r="S85" i="16"/>
  <c r="I266" i="19"/>
  <c r="M266" i="19"/>
  <c r="O734" i="16"/>
  <c r="K734" i="16"/>
  <c r="S734" i="16"/>
  <c r="H188" i="19"/>
  <c r="K188" i="19"/>
  <c r="L188" i="19"/>
  <c r="B53" i="20"/>
  <c r="AL53" i="20" s="1"/>
  <c r="B53" i="19"/>
  <c r="L398" i="19"/>
  <c r="K398" i="19"/>
  <c r="H398" i="19"/>
  <c r="B204" i="20"/>
  <c r="AL204" i="20" s="1"/>
  <c r="B204" i="19"/>
  <c r="L718" i="19"/>
  <c r="K718" i="19"/>
  <c r="H718" i="19"/>
  <c r="K490" i="16"/>
  <c r="S490" i="16"/>
  <c r="O490" i="16"/>
  <c r="B295" i="20"/>
  <c r="AL295" i="20" s="1"/>
  <c r="B295" i="19"/>
  <c r="S29" i="16"/>
  <c r="O29" i="16"/>
  <c r="K29" i="16"/>
  <c r="O213" i="16"/>
  <c r="S213" i="16"/>
  <c r="K213" i="16"/>
  <c r="I643" i="19"/>
  <c r="M643" i="19"/>
  <c r="B108" i="20"/>
  <c r="AL108" i="20" s="1"/>
  <c r="B108" i="19"/>
  <c r="B255" i="20"/>
  <c r="AL255" i="20" s="1"/>
  <c r="B255" i="19"/>
  <c r="L22" i="19"/>
  <c r="H22" i="19"/>
  <c r="K22" i="19"/>
  <c r="B555" i="20"/>
  <c r="AL555" i="20" s="1"/>
  <c r="B555" i="19"/>
  <c r="B693" i="20"/>
  <c r="AL693" i="20" s="1"/>
  <c r="B693" i="19"/>
  <c r="I534" i="20"/>
  <c r="L534" i="20"/>
  <c r="L664" i="20"/>
  <c r="I664" i="20"/>
  <c r="K577" i="16"/>
  <c r="O577" i="16"/>
  <c r="S577" i="16"/>
  <c r="K18" i="19"/>
  <c r="H18" i="19"/>
  <c r="L18" i="19"/>
  <c r="B12" i="20"/>
  <c r="AL12" i="20" s="1"/>
  <c r="B12" i="19"/>
  <c r="K118" i="16"/>
  <c r="S118" i="16"/>
  <c r="O118" i="16"/>
  <c r="B518" i="20"/>
  <c r="AL518" i="20" s="1"/>
  <c r="B518" i="19"/>
  <c r="U32" i="20"/>
  <c r="S32" i="20"/>
  <c r="L122" i="20"/>
  <c r="I122" i="20"/>
  <c r="B184" i="20"/>
  <c r="AL184" i="20" s="1"/>
  <c r="B184" i="19"/>
  <c r="H348" i="19"/>
  <c r="L348" i="19"/>
  <c r="K348" i="19"/>
  <c r="O589" i="16"/>
  <c r="K589" i="16"/>
  <c r="S589" i="16"/>
  <c r="B221" i="20"/>
  <c r="AL221" i="20" s="1"/>
  <c r="B221" i="19"/>
  <c r="L364" i="19"/>
  <c r="K364" i="19"/>
  <c r="H364" i="19"/>
  <c r="O69" i="16"/>
  <c r="K69" i="16"/>
  <c r="S69" i="16"/>
  <c r="B196" i="20"/>
  <c r="AL196" i="20" s="1"/>
  <c r="B196" i="19"/>
  <c r="O87" i="16"/>
  <c r="K87" i="16"/>
  <c r="S87" i="16"/>
  <c r="I44" i="19"/>
  <c r="M44" i="19"/>
  <c r="I600" i="19"/>
  <c r="M600" i="19"/>
  <c r="K679" i="16"/>
  <c r="S679" i="16"/>
  <c r="O679" i="16"/>
  <c r="L326" i="20"/>
  <c r="I326" i="20"/>
  <c r="I474" i="20"/>
  <c r="L474" i="20"/>
  <c r="B805" i="20"/>
  <c r="AL805" i="20" s="1"/>
  <c r="B805" i="19"/>
  <c r="K786" i="16"/>
  <c r="S786" i="16"/>
  <c r="O786" i="16"/>
  <c r="L6" i="19"/>
  <c r="K6" i="19"/>
  <c r="H6" i="19"/>
  <c r="K7" i="16"/>
  <c r="O7" i="16"/>
  <c r="S7" i="16"/>
  <c r="L320" i="19"/>
  <c r="K320" i="19"/>
  <c r="H320" i="19"/>
  <c r="L686" i="19"/>
  <c r="K686" i="19"/>
  <c r="H686" i="19"/>
  <c r="B38" i="20"/>
  <c r="AL38" i="20" s="1"/>
  <c r="B38" i="19"/>
  <c r="O204" i="16"/>
  <c r="K204" i="16"/>
  <c r="S204" i="16"/>
  <c r="B423" i="19"/>
  <c r="B423" i="20"/>
  <c r="AL423" i="20" s="1"/>
  <c r="I367" i="19"/>
  <c r="M367" i="19"/>
  <c r="K158" i="19"/>
  <c r="H158" i="19"/>
  <c r="L158" i="19"/>
  <c r="B156" i="20"/>
  <c r="AL156" i="20" s="1"/>
  <c r="B156" i="19"/>
  <c r="H755" i="19"/>
  <c r="K755" i="19"/>
  <c r="L755" i="19"/>
  <c r="H785" i="19"/>
  <c r="L785" i="19"/>
  <c r="K785" i="19"/>
  <c r="M689" i="19"/>
  <c r="I689" i="19"/>
  <c r="L337" i="19"/>
  <c r="K337" i="19"/>
  <c r="H337" i="19"/>
  <c r="O223" i="16"/>
  <c r="S223" i="16"/>
  <c r="K223" i="16"/>
  <c r="L188" i="20"/>
  <c r="I188" i="20"/>
  <c r="L398" i="20"/>
  <c r="I398" i="20"/>
  <c r="K449" i="19"/>
  <c r="H449" i="19"/>
  <c r="L449" i="19"/>
  <c r="L718" i="20"/>
  <c r="I718" i="20"/>
  <c r="M569" i="19"/>
  <c r="I569" i="19"/>
  <c r="H783" i="19"/>
  <c r="K783" i="19"/>
  <c r="L783" i="19"/>
  <c r="B470" i="20"/>
  <c r="AL470" i="20" s="1"/>
  <c r="B470" i="19"/>
  <c r="M244" i="19"/>
  <c r="I244" i="19"/>
  <c r="M257" i="19"/>
  <c r="I257" i="19"/>
  <c r="M116" i="19"/>
  <c r="I116" i="19"/>
  <c r="L557" i="19"/>
  <c r="K557" i="19"/>
  <c r="H557" i="19"/>
  <c r="L29" i="20"/>
  <c r="I29" i="20"/>
  <c r="I569" i="20"/>
  <c r="L569" i="20"/>
  <c r="B745" i="20"/>
  <c r="AL745" i="20" s="1"/>
  <c r="B745" i="19"/>
  <c r="L229" i="19"/>
  <c r="K229" i="19"/>
  <c r="H229" i="19"/>
  <c r="M722" i="19"/>
  <c r="I722" i="19"/>
  <c r="L22" i="20"/>
  <c r="I22" i="20"/>
  <c r="L534" i="19"/>
  <c r="K534" i="19"/>
  <c r="H534" i="19"/>
  <c r="O664" i="16"/>
  <c r="K664" i="16"/>
  <c r="S664" i="16"/>
  <c r="K18" i="16"/>
  <c r="O18" i="16"/>
  <c r="S18" i="16"/>
  <c r="B371" i="20"/>
  <c r="AL371" i="20" s="1"/>
  <c r="B371" i="19"/>
  <c r="H392" i="19"/>
  <c r="K392" i="19"/>
  <c r="L392" i="19"/>
  <c r="K122" i="16"/>
  <c r="O122" i="16"/>
  <c r="S122" i="16"/>
  <c r="L348" i="20"/>
  <c r="I348" i="20"/>
  <c r="B604" i="19"/>
  <c r="B604" i="20"/>
  <c r="AL604" i="20" s="1"/>
  <c r="I364" i="20"/>
  <c r="L364" i="20"/>
  <c r="H389" i="19"/>
  <c r="L389" i="19"/>
  <c r="K389" i="19"/>
  <c r="H293" i="19"/>
  <c r="K293" i="19"/>
  <c r="L293" i="19"/>
  <c r="M177" i="19"/>
  <c r="I177" i="19"/>
  <c r="B715" i="20"/>
  <c r="AL715" i="20" s="1"/>
  <c r="B715" i="19"/>
  <c r="B87" i="20"/>
  <c r="AL87" i="20" s="1"/>
  <c r="B87" i="19"/>
  <c r="I598" i="19"/>
  <c r="M598" i="19"/>
  <c r="B25" i="20"/>
  <c r="AL25" i="20" s="1"/>
  <c r="B25" i="19"/>
  <c r="O398" i="16"/>
  <c r="K398" i="16"/>
  <c r="S398" i="16"/>
  <c r="I449" i="20"/>
  <c r="L449" i="20"/>
  <c r="M793" i="19"/>
  <c r="I793" i="19"/>
  <c r="K718" i="16"/>
  <c r="O718" i="16"/>
  <c r="S718" i="16"/>
  <c r="B605" i="20"/>
  <c r="AL605" i="20" s="1"/>
  <c r="B605" i="19"/>
  <c r="L783" i="20"/>
  <c r="I783" i="20"/>
  <c r="L557" i="20"/>
  <c r="I557" i="20"/>
  <c r="I715" i="20"/>
  <c r="L715" i="20"/>
  <c r="H569" i="19"/>
  <c r="L569" i="19"/>
  <c r="K569" i="19"/>
  <c r="B735" i="20"/>
  <c r="AL735" i="20" s="1"/>
  <c r="B735" i="19"/>
  <c r="L229" i="20"/>
  <c r="I229" i="20"/>
  <c r="K22" i="16"/>
  <c r="S22" i="16"/>
  <c r="O22" i="16"/>
  <c r="K534" i="16"/>
  <c r="O534" i="16"/>
  <c r="S534" i="16"/>
  <c r="I752" i="19"/>
  <c r="M752" i="19"/>
  <c r="U21" i="20"/>
  <c r="S21" i="20"/>
  <c r="I18" i="20"/>
  <c r="L18" i="20"/>
  <c r="L392" i="20"/>
  <c r="I392" i="20"/>
  <c r="O348" i="16"/>
  <c r="S348" i="16"/>
  <c r="K348" i="16"/>
  <c r="M717" i="19"/>
  <c r="I717" i="19"/>
  <c r="O364" i="16"/>
  <c r="K364" i="16"/>
  <c r="S364" i="16"/>
  <c r="L389" i="20"/>
  <c r="I389" i="20"/>
  <c r="B674" i="20"/>
  <c r="AL674" i="20" s="1"/>
  <c r="B674" i="19"/>
  <c r="L293" i="20"/>
  <c r="I293" i="20"/>
  <c r="B505" i="20"/>
  <c r="AL505" i="20" s="1"/>
  <c r="B505" i="19"/>
  <c r="L679" i="20"/>
  <c r="I679" i="20"/>
  <c r="H9" i="18"/>
  <c r="I764" i="19"/>
  <c r="M764" i="19"/>
  <c r="K578" i="19"/>
  <c r="M609" i="19"/>
  <c r="I609" i="19"/>
  <c r="K569" i="16"/>
  <c r="O569" i="16"/>
  <c r="S569" i="16"/>
  <c r="K261" i="19"/>
  <c r="L261" i="19"/>
  <c r="H261" i="19"/>
  <c r="S229" i="16"/>
  <c r="O229" i="16"/>
  <c r="K229" i="16"/>
  <c r="B315" i="20"/>
  <c r="AL315" i="20" s="1"/>
  <c r="B315" i="19"/>
  <c r="U60" i="20"/>
  <c r="S60" i="20"/>
  <c r="I713" i="19"/>
  <c r="M713" i="19"/>
  <c r="S392" i="16"/>
  <c r="K392" i="16"/>
  <c r="O392" i="16"/>
  <c r="M726" i="19"/>
  <c r="I726" i="19"/>
  <c r="L265" i="19"/>
  <c r="K265" i="19"/>
  <c r="H265" i="19"/>
  <c r="H813" i="19"/>
  <c r="K813" i="19"/>
  <c r="L813" i="19"/>
  <c r="I705" i="19"/>
  <c r="M705" i="19"/>
  <c r="L640" i="19"/>
  <c r="K640" i="19"/>
  <c r="H640" i="19"/>
  <c r="M799" i="19"/>
  <c r="I799" i="19"/>
  <c r="O389" i="16"/>
  <c r="K389" i="16"/>
  <c r="S389" i="16"/>
  <c r="S293" i="16"/>
  <c r="O293" i="16"/>
  <c r="K293" i="16"/>
  <c r="H172" i="19"/>
  <c r="L172" i="19"/>
  <c r="K172" i="19"/>
  <c r="M240" i="19"/>
  <c r="I240" i="19"/>
  <c r="M753" i="19"/>
  <c r="I753" i="19"/>
  <c r="L261" i="20"/>
  <c r="I261" i="20"/>
  <c r="U44" i="20"/>
  <c r="S44" i="20"/>
  <c r="H765" i="19"/>
  <c r="L765" i="19"/>
  <c r="K765" i="19"/>
  <c r="H144" i="19"/>
  <c r="L144" i="19"/>
  <c r="K144" i="19"/>
  <c r="H228" i="19"/>
  <c r="K228" i="19"/>
  <c r="L228" i="19"/>
  <c r="H519" i="19"/>
  <c r="L519" i="19"/>
  <c r="K519" i="19"/>
  <c r="M468" i="19"/>
  <c r="I468" i="19"/>
  <c r="L126" i="19"/>
  <c r="K126" i="19"/>
  <c r="H126" i="19"/>
  <c r="L265" i="20"/>
  <c r="I265" i="20"/>
  <c r="L813" i="20"/>
  <c r="I813" i="20"/>
  <c r="U26" i="20"/>
  <c r="S26" i="20"/>
  <c r="I640" i="20"/>
  <c r="L640" i="20"/>
  <c r="L535" i="19"/>
  <c r="K535" i="19"/>
  <c r="H535" i="19"/>
  <c r="L401" i="19"/>
  <c r="K401" i="19"/>
  <c r="H401" i="19"/>
  <c r="H232" i="19"/>
  <c r="L232" i="19"/>
  <c r="K232" i="19"/>
  <c r="B463" i="19"/>
  <c r="B463" i="20"/>
  <c r="AL463" i="20" s="1"/>
  <c r="B380" i="20"/>
  <c r="AL380" i="20" s="1"/>
  <c r="B380" i="19"/>
  <c r="L240" i="19"/>
  <c r="K240" i="19"/>
  <c r="H240" i="19"/>
  <c r="I823" i="19"/>
  <c r="M823" i="19"/>
  <c r="B658" i="20"/>
  <c r="AL658" i="20" s="1"/>
  <c r="B658" i="19"/>
  <c r="B611" i="20"/>
  <c r="AL611" i="20" s="1"/>
  <c r="B611" i="19"/>
  <c r="S261" i="16"/>
  <c r="K261" i="16"/>
  <c r="O261" i="16"/>
  <c r="I605" i="19"/>
  <c r="M605" i="19"/>
  <c r="F5" i="18"/>
  <c r="H5" i="18" s="1"/>
  <c r="AB58" i="20"/>
  <c r="M456" i="19"/>
  <c r="I456" i="19"/>
  <c r="L765" i="20"/>
  <c r="I765" i="20"/>
  <c r="S144" i="16"/>
  <c r="O144" i="16"/>
  <c r="K144" i="16"/>
  <c r="I406" i="19"/>
  <c r="M406" i="19"/>
  <c r="I228" i="20"/>
  <c r="L228" i="20"/>
  <c r="I519" i="20"/>
  <c r="L519" i="20"/>
  <c r="I126" i="20"/>
  <c r="L126" i="20"/>
  <c r="L698" i="19"/>
  <c r="K698" i="19"/>
  <c r="H698" i="19"/>
  <c r="B496" i="20"/>
  <c r="AL496" i="20" s="1"/>
  <c r="B496" i="19"/>
  <c r="O265" i="16"/>
  <c r="K265" i="16"/>
  <c r="S265" i="16"/>
  <c r="O813" i="16"/>
  <c r="S813" i="16"/>
  <c r="K813" i="16"/>
  <c r="B125" i="20"/>
  <c r="AL125" i="20" s="1"/>
  <c r="B125" i="19"/>
  <c r="B168" i="20"/>
  <c r="AL168" i="20" s="1"/>
  <c r="B168" i="19"/>
  <c r="I769" i="19"/>
  <c r="M769" i="19"/>
  <c r="O640" i="16"/>
  <c r="S640" i="16"/>
  <c r="K640" i="16"/>
  <c r="L401" i="20"/>
  <c r="I401" i="20"/>
  <c r="K172" i="16"/>
  <c r="O172" i="16"/>
  <c r="S172" i="16"/>
  <c r="M26" i="19"/>
  <c r="I26" i="19"/>
  <c r="M398" i="19"/>
  <c r="I398" i="19"/>
  <c r="L121" i="19"/>
  <c r="K121" i="19"/>
  <c r="H121" i="19"/>
  <c r="U17" i="20"/>
  <c r="S17" i="20"/>
  <c r="M584" i="19"/>
  <c r="I584" i="19"/>
  <c r="F27" i="18"/>
  <c r="AC58" i="20"/>
  <c r="AD58" i="20" s="1"/>
  <c r="AB61" i="20" s="1"/>
  <c r="I71" i="20"/>
  <c r="L71" i="20"/>
  <c r="M616" i="19"/>
  <c r="I616" i="19"/>
  <c r="B164" i="20"/>
  <c r="AL164" i="20" s="1"/>
  <c r="B164" i="19"/>
  <c r="M320" i="19"/>
  <c r="I320" i="19"/>
  <c r="B297" i="20"/>
  <c r="AL297" i="20" s="1"/>
  <c r="B297" i="19"/>
  <c r="S765" i="16"/>
  <c r="O765" i="16"/>
  <c r="K765" i="16"/>
  <c r="L144" i="20"/>
  <c r="I144" i="20"/>
  <c r="O228" i="16"/>
  <c r="K228" i="16"/>
  <c r="S228" i="16"/>
  <c r="S519" i="16"/>
  <c r="O519" i="16"/>
  <c r="K519" i="16"/>
  <c r="S126" i="16"/>
  <c r="K126" i="16"/>
  <c r="O126" i="16"/>
  <c r="O698" i="16"/>
  <c r="S698" i="16"/>
  <c r="K698" i="16"/>
  <c r="M5" i="19"/>
  <c r="I5" i="19"/>
  <c r="K588" i="19"/>
  <c r="M597" i="19"/>
  <c r="I597" i="19"/>
  <c r="S535" i="16"/>
  <c r="O535" i="16"/>
  <c r="K535" i="16"/>
  <c r="S401" i="16"/>
  <c r="O401" i="16"/>
  <c r="K401" i="16"/>
  <c r="L354" i="19"/>
  <c r="K354" i="19"/>
  <c r="H354" i="19"/>
  <c r="I74" i="19"/>
  <c r="M74" i="19"/>
  <c r="M459" i="19"/>
  <c r="I459" i="19"/>
  <c r="L537" i="19"/>
  <c r="H537" i="19"/>
  <c r="K537" i="19"/>
  <c r="M21" i="19"/>
  <c r="I21" i="19"/>
  <c r="L357" i="19"/>
  <c r="H357" i="19"/>
  <c r="K357" i="19"/>
  <c r="O71" i="16"/>
  <c r="K71" i="16"/>
  <c r="S71" i="16"/>
  <c r="L585" i="19"/>
  <c r="K585" i="19"/>
  <c r="H585" i="19"/>
  <c r="M56" i="19"/>
  <c r="I56" i="19"/>
  <c r="B493" i="20"/>
  <c r="AL493" i="20" s="1"/>
  <c r="B493" i="19"/>
  <c r="I698" i="20"/>
  <c r="L698" i="20"/>
  <c r="D5" i="19"/>
  <c r="AA5" i="19"/>
  <c r="AB5" i="19" s="1"/>
  <c r="AA6" i="19"/>
  <c r="AB6" i="19" s="1"/>
  <c r="B401" i="20"/>
  <c r="AL401" i="20" s="1"/>
  <c r="B401" i="19"/>
  <c r="I354" i="20"/>
  <c r="L354" i="20"/>
  <c r="B438" i="20"/>
  <c r="AL438" i="20" s="1"/>
  <c r="B438" i="19"/>
  <c r="L736" i="19"/>
  <c r="K736" i="19"/>
  <c r="H736" i="19"/>
  <c r="H407" i="19"/>
  <c r="L407" i="19"/>
  <c r="K407" i="19"/>
  <c r="U66" i="20"/>
  <c r="S66" i="20"/>
  <c r="I357" i="20"/>
  <c r="L357" i="20"/>
  <c r="M662" i="19"/>
  <c r="I662" i="19"/>
  <c r="B795" i="20"/>
  <c r="AL795" i="20" s="1"/>
  <c r="B795" i="19"/>
  <c r="M656" i="19"/>
  <c r="I656" i="19"/>
  <c r="B578" i="20"/>
  <c r="AL578" i="20" s="1"/>
  <c r="B578" i="19"/>
  <c r="I255" i="19"/>
  <c r="M255" i="19"/>
  <c r="M305" i="19"/>
  <c r="I305" i="19"/>
  <c r="I576" i="19"/>
  <c r="M576" i="19"/>
  <c r="L585" i="20"/>
  <c r="I585" i="20"/>
  <c r="L31" i="19"/>
  <c r="K31" i="19"/>
  <c r="H31" i="19"/>
  <c r="B444" i="20"/>
  <c r="AL444" i="20" s="1"/>
  <c r="B444" i="19"/>
  <c r="M581" i="19"/>
  <c r="I581" i="19"/>
  <c r="B554" i="20"/>
  <c r="AL554" i="20" s="1"/>
  <c r="B554" i="19"/>
  <c r="B575" i="20"/>
  <c r="AL575" i="20" s="1"/>
  <c r="B575" i="19"/>
  <c r="L703" i="19"/>
  <c r="K703" i="19"/>
  <c r="H703" i="19"/>
  <c r="M691" i="19"/>
  <c r="I691" i="19"/>
  <c r="K691" i="19"/>
  <c r="B206" i="19"/>
  <c r="B206" i="20"/>
  <c r="AL206" i="20" s="1"/>
  <c r="I159" i="19"/>
  <c r="M159" i="19"/>
  <c r="M541" i="19"/>
  <c r="I541" i="19"/>
  <c r="H432" i="19"/>
  <c r="L432" i="19"/>
  <c r="K432" i="19"/>
  <c r="B135" i="20"/>
  <c r="AL135" i="20" s="1"/>
  <c r="B135" i="19"/>
  <c r="I807" i="19"/>
  <c r="M807" i="19"/>
  <c r="B781" i="19"/>
  <c r="B781" i="20"/>
  <c r="AL781" i="20" s="1"/>
  <c r="B551" i="20"/>
  <c r="AL551" i="20" s="1"/>
  <c r="B551" i="19"/>
  <c r="I357" i="19"/>
  <c r="M357" i="19"/>
  <c r="H680" i="19"/>
  <c r="L680" i="19"/>
  <c r="K680" i="19"/>
  <c r="L346" i="20"/>
  <c r="I346" i="20"/>
  <c r="B623" i="20"/>
  <c r="AL623" i="20" s="1"/>
  <c r="B623" i="19"/>
  <c r="I471" i="20"/>
  <c r="L471" i="20"/>
  <c r="M109" i="19"/>
  <c r="I109" i="19"/>
  <c r="M106" i="19"/>
  <c r="I106" i="19"/>
  <c r="M813" i="19"/>
  <c r="I813" i="19"/>
  <c r="L561" i="19"/>
  <c r="K561" i="19"/>
  <c r="H561" i="19"/>
  <c r="U35" i="20"/>
  <c r="S35" i="20"/>
  <c r="AK42" i="16"/>
  <c r="P42" i="20"/>
  <c r="BF42" i="10"/>
  <c r="AK15" i="16"/>
  <c r="P15" i="20"/>
  <c r="BF15" i="10"/>
  <c r="AW36" i="10"/>
  <c r="AS36" i="10"/>
  <c r="AO36" i="10"/>
  <c r="R36" i="20" s="1"/>
  <c r="Y36" i="20" s="1"/>
  <c r="AW29" i="10"/>
  <c r="AO29" i="10"/>
  <c r="R29" i="20" s="1"/>
  <c r="Y29" i="20" s="1"/>
  <c r="AS29" i="10"/>
  <c r="AQ22" i="19"/>
  <c r="AR22" i="19" s="1"/>
  <c r="AQ63" i="19"/>
  <c r="AR63" i="19" s="1"/>
  <c r="AS56" i="10"/>
  <c r="AW56" i="10"/>
  <c r="AO56" i="10"/>
  <c r="R56" i="20" s="1"/>
  <c r="Y56" i="20" s="1"/>
  <c r="G17" i="18"/>
  <c r="AK56" i="16"/>
  <c r="P56" i="20"/>
  <c r="BF56" i="10"/>
  <c r="AK32" i="16"/>
  <c r="BF32" i="10"/>
  <c r="P32" i="20"/>
  <c r="L680" i="20"/>
  <c r="I680" i="20"/>
  <c r="L346" i="19"/>
  <c r="K346" i="19"/>
  <c r="H346" i="19"/>
  <c r="M579" i="19"/>
  <c r="I579" i="19"/>
  <c r="B248" i="20"/>
  <c r="AL248" i="20" s="1"/>
  <c r="B248" i="19"/>
  <c r="L525" i="19"/>
  <c r="K525" i="19"/>
  <c r="H525" i="19"/>
  <c r="O471" i="16"/>
  <c r="S471" i="16"/>
  <c r="K471" i="16"/>
  <c r="M766" i="19"/>
  <c r="I766" i="19"/>
  <c r="L561" i="20"/>
  <c r="I561" i="20"/>
  <c r="AK17" i="16"/>
  <c r="P17" i="20"/>
  <c r="BF17" i="10"/>
  <c r="AW7" i="10"/>
  <c r="AS7" i="10"/>
  <c r="AO7" i="10"/>
  <c r="R7" i="20" s="1"/>
  <c r="Y7" i="20" s="1"/>
  <c r="G26" i="18"/>
  <c r="AK65" i="16"/>
  <c r="P65" i="20"/>
  <c r="BF65" i="10"/>
  <c r="AS17" i="10"/>
  <c r="AO17" i="10"/>
  <c r="R17" i="20" s="1"/>
  <c r="Y17" i="20" s="1"/>
  <c r="AW17" i="10"/>
  <c r="AN66" i="16"/>
  <c r="D20" i="15"/>
  <c r="AQ18" i="19"/>
  <c r="AR18" i="19" s="1"/>
  <c r="AQ28" i="19"/>
  <c r="AR28" i="19" s="1"/>
  <c r="AQ15" i="19"/>
  <c r="AR15" i="19" s="1"/>
  <c r="AQ56" i="19"/>
  <c r="AR56" i="19" s="1"/>
  <c r="AW42" i="10"/>
  <c r="AS42" i="10"/>
  <c r="AO42" i="10"/>
  <c r="R42" i="20" s="1"/>
  <c r="Y42" i="20" s="1"/>
  <c r="AQ67" i="19"/>
  <c r="AR67" i="19" s="1"/>
  <c r="B7" i="20"/>
  <c r="B7" i="19"/>
  <c r="B115" i="20"/>
  <c r="AL115" i="20" s="1"/>
  <c r="B115" i="19"/>
  <c r="B787" i="19"/>
  <c r="B787" i="20"/>
  <c r="AL787" i="20" s="1"/>
  <c r="M644" i="19"/>
  <c r="I644" i="19"/>
  <c r="B285" i="20"/>
  <c r="AL285" i="20" s="1"/>
  <c r="B285" i="19"/>
  <c r="M217" i="19"/>
  <c r="I217" i="19"/>
  <c r="I736" i="20"/>
  <c r="L736" i="20"/>
  <c r="M33" i="19"/>
  <c r="I33" i="19"/>
  <c r="I57" i="19"/>
  <c r="M57" i="19"/>
  <c r="L138" i="20"/>
  <c r="I138" i="20"/>
  <c r="L141" i="19"/>
  <c r="K141" i="19"/>
  <c r="H141" i="19"/>
  <c r="K680" i="16"/>
  <c r="O680" i="16"/>
  <c r="S680" i="16"/>
  <c r="K346" i="16"/>
  <c r="O346" i="16"/>
  <c r="S346" i="16"/>
  <c r="L54" i="20"/>
  <c r="I54" i="20"/>
  <c r="L525" i="20"/>
  <c r="I525" i="20"/>
  <c r="K316" i="19"/>
  <c r="L316" i="19"/>
  <c r="H316" i="19"/>
  <c r="S561" i="16"/>
  <c r="O561" i="16"/>
  <c r="K561" i="16"/>
  <c r="I182" i="19"/>
  <c r="M182" i="19"/>
  <c r="AS50" i="10"/>
  <c r="AO50" i="10"/>
  <c r="R50" i="20" s="1"/>
  <c r="Y50" i="20" s="1"/>
  <c r="AW50" i="10"/>
  <c r="K5" i="6"/>
  <c r="H49" i="6" s="1"/>
  <c r="K6" i="6"/>
  <c r="K9" i="6"/>
  <c r="K3" i="6"/>
  <c r="K8" i="6"/>
  <c r="F62" i="6" s="1"/>
  <c r="K21" i="6"/>
  <c r="K4" i="6"/>
  <c r="AS6" i="10"/>
  <c r="AO6" i="10"/>
  <c r="R6" i="20" s="1"/>
  <c r="Y6" i="20" s="1"/>
  <c r="AW6" i="10"/>
  <c r="AQ68" i="19"/>
  <c r="AR68" i="19" s="1"/>
  <c r="B585" i="20"/>
  <c r="AL585" i="20" s="1"/>
  <c r="B585" i="19"/>
  <c r="S138" i="16"/>
  <c r="O138" i="16"/>
  <c r="K138" i="16"/>
  <c r="I141" i="20"/>
  <c r="L141" i="20"/>
  <c r="B354" i="20"/>
  <c r="AL354" i="20" s="1"/>
  <c r="B354" i="19"/>
  <c r="H54" i="19"/>
  <c r="L54" i="19"/>
  <c r="K54" i="19"/>
  <c r="S525" i="16"/>
  <c r="K525" i="16"/>
  <c r="O525" i="16"/>
  <c r="L316" i="20"/>
  <c r="I316" i="20"/>
  <c r="AS26" i="10"/>
  <c r="AW26" i="10"/>
  <c r="AO26" i="10"/>
  <c r="R26" i="20" s="1"/>
  <c r="Y26" i="20" s="1"/>
  <c r="AS27" i="10"/>
  <c r="AW27" i="10"/>
  <c r="AO27" i="10"/>
  <c r="R27" i="20" s="1"/>
  <c r="Y27" i="20" s="1"/>
  <c r="AS33" i="10"/>
  <c r="AW33" i="10"/>
  <c r="AO33" i="10"/>
  <c r="R33" i="20" s="1"/>
  <c r="Y33" i="20" s="1"/>
  <c r="H11" i="6"/>
  <c r="G15" i="18"/>
  <c r="AK54" i="16"/>
  <c r="P54" i="20"/>
  <c r="BF54" i="10"/>
  <c r="AQ3" i="19"/>
  <c r="AR3" i="19" s="1"/>
  <c r="AW57" i="10"/>
  <c r="AS57" i="10"/>
  <c r="AO57" i="10"/>
  <c r="R57" i="20" s="1"/>
  <c r="Y57" i="20" s="1"/>
  <c r="AW61" i="10"/>
  <c r="AS61" i="10"/>
  <c r="AO61" i="10"/>
  <c r="R61" i="20" s="1"/>
  <c r="Y61" i="20" s="1"/>
  <c r="L351" i="19"/>
  <c r="K351" i="19"/>
  <c r="H351" i="19"/>
  <c r="I87" i="19"/>
  <c r="M87" i="19"/>
  <c r="I18" i="19"/>
  <c r="M18" i="19"/>
  <c r="I121" i="20"/>
  <c r="L121" i="20"/>
  <c r="B10" i="20"/>
  <c r="B10" i="19"/>
  <c r="AD66" i="16"/>
  <c r="AC66" i="16"/>
  <c r="B634" i="20"/>
  <c r="AL634" i="20" s="1"/>
  <c r="B634" i="19"/>
  <c r="S141" i="16"/>
  <c r="O141" i="16"/>
  <c r="K141" i="16"/>
  <c r="B783" i="20"/>
  <c r="AL783" i="20" s="1"/>
  <c r="B783" i="19"/>
  <c r="L551" i="19"/>
  <c r="K551" i="19"/>
  <c r="H551" i="19"/>
  <c r="K54" i="16"/>
  <c r="S54" i="16"/>
  <c r="O54" i="16"/>
  <c r="L331" i="19"/>
  <c r="K331" i="19"/>
  <c r="H331" i="19"/>
  <c r="M229" i="19"/>
  <c r="I229" i="19"/>
  <c r="B34" i="20"/>
  <c r="AL34" i="20" s="1"/>
  <c r="B34" i="19"/>
  <c r="K316" i="16"/>
  <c r="S316" i="16"/>
  <c r="O316" i="16"/>
  <c r="B143" i="20"/>
  <c r="AL143" i="20" s="1"/>
  <c r="B143" i="19"/>
  <c r="B425" i="20"/>
  <c r="AL425" i="20" s="1"/>
  <c r="B425" i="19"/>
  <c r="B26" i="20"/>
  <c r="AL26" i="20" s="1"/>
  <c r="B26" i="19"/>
  <c r="AQ19" i="19"/>
  <c r="AR19" i="19" s="1"/>
  <c r="AQ39" i="19"/>
  <c r="AR39" i="19" s="1"/>
  <c r="AQ12" i="19"/>
  <c r="AR12" i="19" s="1"/>
  <c r="AQ64" i="19"/>
  <c r="AR64" i="19" s="1"/>
  <c r="AW37" i="10"/>
  <c r="AO37" i="10"/>
  <c r="R37" i="20" s="1"/>
  <c r="Y37" i="20" s="1"/>
  <c r="AS37" i="10"/>
  <c r="I351" i="20"/>
  <c r="L351" i="20"/>
  <c r="H440" i="19"/>
  <c r="L440" i="19"/>
  <c r="K440" i="19"/>
  <c r="L202" i="20"/>
  <c r="I202" i="20"/>
  <c r="B705" i="20"/>
  <c r="AL705" i="20" s="1"/>
  <c r="B705" i="19"/>
  <c r="B543" i="20"/>
  <c r="AL543" i="20" s="1"/>
  <c r="B543" i="19"/>
  <c r="I67" i="19"/>
  <c r="M67" i="19"/>
  <c r="U14" i="20"/>
  <c r="S14" i="20"/>
  <c r="I558" i="19"/>
  <c r="M558" i="19"/>
  <c r="S121" i="16"/>
  <c r="K121" i="16"/>
  <c r="O121" i="16"/>
  <c r="I40" i="19"/>
  <c r="M40" i="19"/>
  <c r="B345" i="20"/>
  <c r="AL345" i="20" s="1"/>
  <c r="B345" i="19"/>
  <c r="L551" i="20"/>
  <c r="I551" i="20"/>
  <c r="I216" i="19"/>
  <c r="M216" i="19"/>
  <c r="I331" i="20"/>
  <c r="L331" i="20"/>
  <c r="B80" i="20"/>
  <c r="AL80" i="20" s="1"/>
  <c r="B80" i="19"/>
  <c r="AQ4" i="19"/>
  <c r="AR4" i="19" s="1"/>
  <c r="AQ23" i="19"/>
  <c r="AR23" i="19" s="1"/>
  <c r="AS64" i="10"/>
  <c r="AW64" i="10"/>
  <c r="AO64" i="10"/>
  <c r="R64" i="20" s="1"/>
  <c r="Y64" i="20" s="1"/>
  <c r="AO8" i="10"/>
  <c r="R8" i="20" s="1"/>
  <c r="Y8" i="20" s="1"/>
  <c r="AW8" i="10"/>
  <c r="AS8" i="10"/>
  <c r="AQ11" i="19"/>
  <c r="AR11" i="19" s="1"/>
  <c r="O351" i="16"/>
  <c r="K351" i="16"/>
  <c r="S351" i="16"/>
  <c r="L440" i="20"/>
  <c r="I440" i="20"/>
  <c r="M768" i="19"/>
  <c r="I768" i="19"/>
  <c r="L239" i="19"/>
  <c r="K239" i="19"/>
  <c r="H239" i="19"/>
  <c r="B817" i="19"/>
  <c r="B817" i="20"/>
  <c r="AL817" i="20" s="1"/>
  <c r="M31" i="19"/>
  <c r="I31" i="19"/>
  <c r="B476" i="20"/>
  <c r="AL476" i="20" s="1"/>
  <c r="B476" i="19"/>
  <c r="B326" i="20"/>
  <c r="AL326" i="20" s="1"/>
  <c r="B326" i="19"/>
  <c r="U41" i="20"/>
  <c r="S41" i="20"/>
  <c r="H792" i="19"/>
  <c r="L792" i="19"/>
  <c r="K792" i="19"/>
  <c r="S551" i="16"/>
  <c r="O551" i="16"/>
  <c r="K551" i="16"/>
  <c r="I657" i="19"/>
  <c r="M657" i="19"/>
  <c r="B786" i="20"/>
  <c r="AL786" i="20" s="1"/>
  <c r="B786" i="19"/>
  <c r="S331" i="16"/>
  <c r="O331" i="16"/>
  <c r="K331" i="16"/>
  <c r="B23" i="20"/>
  <c r="AL23" i="20" s="1"/>
  <c r="B23" i="19"/>
  <c r="B468" i="20"/>
  <c r="AL468" i="20" s="1"/>
  <c r="B468" i="19"/>
  <c r="B785" i="19"/>
  <c r="B785" i="20"/>
  <c r="AL785" i="20" s="1"/>
  <c r="AK31" i="16"/>
  <c r="P31" i="20"/>
  <c r="BF31" i="10"/>
  <c r="AO9" i="10"/>
  <c r="R9" i="20" s="1"/>
  <c r="Y9" i="20" s="1"/>
  <c r="AW9" i="10"/>
  <c r="AS9" i="10"/>
  <c r="AW22" i="10"/>
  <c r="AS22" i="10"/>
  <c r="AO22" i="10"/>
  <c r="R22" i="20" s="1"/>
  <c r="Y22" i="20" s="1"/>
  <c r="AQ66" i="19"/>
  <c r="AR66" i="19" s="1"/>
  <c r="AK34" i="16"/>
  <c r="P34" i="20"/>
  <c r="BF34" i="10"/>
  <c r="K440" i="16"/>
  <c r="O440" i="16"/>
  <c r="S440" i="16"/>
  <c r="B455" i="20"/>
  <c r="AL455" i="20" s="1"/>
  <c r="B455" i="19"/>
  <c r="L239" i="20"/>
  <c r="I239" i="20"/>
  <c r="M485" i="19"/>
  <c r="I485" i="19"/>
  <c r="B733" i="19"/>
  <c r="B733" i="20"/>
  <c r="AL733" i="20" s="1"/>
  <c r="AA823" i="19"/>
  <c r="AB823" i="19" s="1"/>
  <c r="D823" i="19"/>
  <c r="I792" i="20"/>
  <c r="L792" i="20"/>
  <c r="B426" i="19"/>
  <c r="B426" i="20"/>
  <c r="AL426" i="20" s="1"/>
  <c r="L11" i="19"/>
  <c r="K11" i="19"/>
  <c r="H11" i="19"/>
  <c r="AQ46" i="19"/>
  <c r="AR46" i="19" s="1"/>
  <c r="AK22" i="16"/>
  <c r="P22" i="20"/>
  <c r="BF22" i="10"/>
  <c r="AS4" i="10"/>
  <c r="AO4" i="10"/>
  <c r="R4" i="20" s="1"/>
  <c r="Y4" i="20" s="1"/>
  <c r="AW4" i="10"/>
  <c r="G19" i="18"/>
  <c r="AK58" i="16"/>
  <c r="P58" i="20"/>
  <c r="BF58" i="10"/>
  <c r="AQ47" i="19"/>
  <c r="AR47" i="19" s="1"/>
  <c r="AO35" i="10"/>
  <c r="R35" i="20" s="1"/>
  <c r="Y35" i="20" s="1"/>
  <c r="AS35" i="10"/>
  <c r="AW35" i="10"/>
  <c r="G40" i="6"/>
  <c r="AQ40" i="19"/>
  <c r="AR40" i="19" s="1"/>
  <c r="AQ2" i="19"/>
  <c r="K10" i="6"/>
  <c r="K17" i="6"/>
  <c r="K11" i="6"/>
  <c r="G11" i="6" s="1"/>
  <c r="AK5" i="16"/>
  <c r="P5" i="20"/>
  <c r="BF5" i="10"/>
  <c r="AQ21" i="19"/>
  <c r="AR21" i="19" s="1"/>
  <c r="B655" i="20"/>
  <c r="AL655" i="20" s="1"/>
  <c r="B655" i="19"/>
  <c r="H635" i="19"/>
  <c r="L635" i="19"/>
  <c r="K635" i="19"/>
  <c r="B65" i="20"/>
  <c r="AL65" i="20" s="1"/>
  <c r="B65" i="19"/>
  <c r="I775" i="19"/>
  <c r="M775" i="19"/>
  <c r="S792" i="16"/>
  <c r="K792" i="16"/>
  <c r="O792" i="16"/>
  <c r="S39" i="20"/>
  <c r="U39" i="20"/>
  <c r="M641" i="19"/>
  <c r="I641" i="19"/>
  <c r="I11" i="20"/>
  <c r="L11" i="20"/>
  <c r="AK9" i="16"/>
  <c r="P9" i="20"/>
  <c r="BF9" i="10"/>
  <c r="G25" i="18"/>
  <c r="AK64" i="16"/>
  <c r="P64" i="20"/>
  <c r="BF64" i="10"/>
  <c r="AQ7" i="19"/>
  <c r="AR7" i="19" s="1"/>
  <c r="AQ51" i="19"/>
  <c r="AR51" i="19" s="1"/>
  <c r="AQ33" i="19"/>
  <c r="AR33" i="19" s="1"/>
  <c r="P37" i="20"/>
  <c r="AK37" i="16"/>
  <c r="BF37" i="10"/>
  <c r="AQ52" i="19"/>
  <c r="AR52" i="19" s="1"/>
  <c r="G52" i="6"/>
  <c r="G6" i="18"/>
  <c r="AK45" i="16"/>
  <c r="P45" i="20"/>
  <c r="BF45" i="10"/>
  <c r="AQ25" i="19"/>
  <c r="AR25" i="19" s="1"/>
  <c r="G25" i="6"/>
  <c r="I545" i="19"/>
  <c r="M545" i="19"/>
  <c r="B64" i="20"/>
  <c r="AL64" i="20" s="1"/>
  <c r="B64" i="19"/>
  <c r="I635" i="20"/>
  <c r="L635" i="20"/>
  <c r="M624" i="19"/>
  <c r="I624" i="19"/>
  <c r="H807" i="19"/>
  <c r="L807" i="19"/>
  <c r="K807" i="19"/>
  <c r="O11" i="16"/>
  <c r="K11" i="16"/>
  <c r="S11" i="16"/>
  <c r="AK23" i="16"/>
  <c r="P23" i="20"/>
  <c r="BF23" i="10"/>
  <c r="AK18" i="16"/>
  <c r="P18" i="20"/>
  <c r="BF18" i="10"/>
  <c r="G9" i="18"/>
  <c r="AK48" i="16"/>
  <c r="P48" i="20"/>
  <c r="BF48" i="10"/>
  <c r="P14" i="20"/>
  <c r="AK14" i="16"/>
  <c r="BF14" i="10"/>
  <c r="AK30" i="16"/>
  <c r="P30" i="20"/>
  <c r="BF30" i="10"/>
  <c r="AW28" i="10"/>
  <c r="AS28" i="10"/>
  <c r="AO28" i="10"/>
  <c r="R28" i="20" s="1"/>
  <c r="Y28" i="20" s="1"/>
  <c r="H84" i="19"/>
  <c r="K84" i="19"/>
  <c r="L84" i="19"/>
  <c r="B236" i="20"/>
  <c r="AL236" i="20" s="1"/>
  <c r="B236" i="19"/>
  <c r="K635" i="16"/>
  <c r="O635" i="16"/>
  <c r="S635" i="16"/>
  <c r="L535" i="20"/>
  <c r="I535" i="20"/>
  <c r="M676" i="19"/>
  <c r="I676" i="19"/>
  <c r="I756" i="20"/>
  <c r="L756" i="20"/>
  <c r="H20" i="18"/>
  <c r="L324" i="20"/>
  <c r="I324" i="20"/>
  <c r="L304" i="20"/>
  <c r="I304" i="20"/>
  <c r="B388" i="20"/>
  <c r="AL388" i="20" s="1"/>
  <c r="B388" i="19"/>
  <c r="I750" i="19"/>
  <c r="M750" i="19"/>
  <c r="L240" i="20"/>
  <c r="I240" i="20"/>
  <c r="M22" i="19"/>
  <c r="I22" i="19"/>
  <c r="L604" i="19"/>
  <c r="K604" i="19"/>
  <c r="H604" i="19"/>
  <c r="M287" i="19"/>
  <c r="I287" i="19"/>
  <c r="B514" i="20"/>
  <c r="AL514" i="20" s="1"/>
  <c r="B514" i="19"/>
  <c r="L807" i="20"/>
  <c r="I807" i="20"/>
  <c r="J5" i="11"/>
  <c r="L4" i="11"/>
  <c r="M4" i="11" s="1"/>
  <c r="AJ4" i="19" s="1"/>
  <c r="AK4" i="19" s="1"/>
  <c r="AB4" i="11"/>
  <c r="B561" i="20"/>
  <c r="AL561" i="20" s="1"/>
  <c r="B561" i="19"/>
  <c r="B765" i="20"/>
  <c r="AL765" i="20" s="1"/>
  <c r="B765" i="19"/>
  <c r="AQ59" i="19"/>
  <c r="AR59" i="19" s="1"/>
  <c r="AK27" i="16"/>
  <c r="P27" i="20"/>
  <c r="BF27" i="10"/>
  <c r="AQ24" i="19"/>
  <c r="AR24" i="19" s="1"/>
  <c r="G5" i="18"/>
  <c r="AK44" i="16"/>
  <c r="P44" i="20"/>
  <c r="BF44" i="10"/>
  <c r="AO58" i="10"/>
  <c r="R58" i="20" s="1"/>
  <c r="Y58" i="20" s="1"/>
  <c r="AW58" i="10"/>
  <c r="AS58" i="10"/>
  <c r="B665" i="20"/>
  <c r="AL665" i="20" s="1"/>
  <c r="B665" i="19"/>
  <c r="L84" i="20"/>
  <c r="I84" i="20"/>
  <c r="B688" i="19"/>
  <c r="B688" i="20"/>
  <c r="AL688" i="20" s="1"/>
  <c r="S240" i="16"/>
  <c r="O240" i="16"/>
  <c r="K240" i="16"/>
  <c r="B486" i="20"/>
  <c r="AL486" i="20" s="1"/>
  <c r="B486" i="19"/>
  <c r="L604" i="20"/>
  <c r="I604" i="20"/>
  <c r="B60" i="20"/>
  <c r="AL60" i="20" s="1"/>
  <c r="B60" i="19"/>
  <c r="M418" i="19"/>
  <c r="I418" i="19"/>
  <c r="B628" i="20"/>
  <c r="AL628" i="20" s="1"/>
  <c r="B628" i="19"/>
  <c r="O807" i="16"/>
  <c r="S807" i="16"/>
  <c r="K807" i="16"/>
  <c r="B445" i="20"/>
  <c r="AL445" i="20" s="1"/>
  <c r="B445" i="19"/>
  <c r="AQ44" i="19"/>
  <c r="AR44" i="19" s="1"/>
  <c r="AW47" i="10"/>
  <c r="AS47" i="10"/>
  <c r="AO47" i="10"/>
  <c r="R47" i="20" s="1"/>
  <c r="Y47" i="20" s="1"/>
  <c r="G20" i="18"/>
  <c r="AK59" i="16"/>
  <c r="P59" i="20"/>
  <c r="BF59" i="10"/>
  <c r="AW12" i="10"/>
  <c r="AS12" i="10"/>
  <c r="AO12" i="10"/>
  <c r="R12" i="20" s="1"/>
  <c r="Y12" i="20" s="1"/>
  <c r="AK38" i="16"/>
  <c r="P38" i="20"/>
  <c r="BF38" i="10"/>
  <c r="AS19" i="10"/>
  <c r="AO19" i="10"/>
  <c r="R19" i="20" s="1"/>
  <c r="Y19" i="20" s="1"/>
  <c r="AW19" i="10"/>
  <c r="AK10" i="16"/>
  <c r="P10" i="20"/>
  <c r="BF10" i="10"/>
  <c r="AQ13" i="19"/>
  <c r="AR13" i="19" s="1"/>
  <c r="L21" i="6"/>
  <c r="S84" i="16"/>
  <c r="O84" i="16"/>
  <c r="K84" i="16"/>
  <c r="I467" i="19"/>
  <c r="M467" i="19"/>
  <c r="I684" i="19"/>
  <c r="M684" i="19"/>
  <c r="I191" i="20"/>
  <c r="L191" i="20"/>
  <c r="I138" i="19"/>
  <c r="M138" i="19"/>
  <c r="M187" i="19"/>
  <c r="I187" i="19"/>
  <c r="L281" i="20"/>
  <c r="I281" i="20"/>
  <c r="I711" i="20"/>
  <c r="L711" i="20"/>
  <c r="U48" i="20"/>
  <c r="S48" i="20"/>
  <c r="B685" i="20"/>
  <c r="AL685" i="20" s="1"/>
  <c r="B685" i="19"/>
  <c r="B19" i="20"/>
  <c r="AL19" i="20" s="1"/>
  <c r="B19" i="19"/>
  <c r="B538" i="20"/>
  <c r="AL538" i="20" s="1"/>
  <c r="B538" i="19"/>
  <c r="H465" i="19"/>
  <c r="L465" i="19"/>
  <c r="K465" i="19"/>
  <c r="S604" i="16"/>
  <c r="O604" i="16"/>
  <c r="K604" i="16"/>
  <c r="B386" i="20"/>
  <c r="AL386" i="20" s="1"/>
  <c r="B386" i="19"/>
  <c r="B744" i="19"/>
  <c r="B744" i="20"/>
  <c r="AL744" i="20" s="1"/>
  <c r="L349" i="19"/>
  <c r="K349" i="19"/>
  <c r="H349" i="19"/>
  <c r="B668" i="20"/>
  <c r="AL668" i="20" s="1"/>
  <c r="B668" i="19"/>
  <c r="B583" i="20"/>
  <c r="AL583" i="20" s="1"/>
  <c r="B583" i="19"/>
  <c r="AK12" i="16"/>
  <c r="P12" i="20"/>
  <c r="BF12" i="10"/>
  <c r="AS51" i="10"/>
  <c r="AW51" i="10"/>
  <c r="AO51" i="10"/>
  <c r="R51" i="20" s="1"/>
  <c r="Y51" i="20" s="1"/>
  <c r="AQ5" i="19"/>
  <c r="AR5" i="19" s="1"/>
  <c r="AQ10" i="19"/>
  <c r="AR10" i="19" s="1"/>
  <c r="AK20" i="16"/>
  <c r="P20" i="20"/>
  <c r="BF20" i="10"/>
  <c r="AK26" i="16"/>
  <c r="P26" i="20"/>
  <c r="BF26" i="10"/>
  <c r="H68" i="19"/>
  <c r="K68" i="19"/>
  <c r="L68" i="19"/>
  <c r="B635" i="20"/>
  <c r="AL635" i="20" s="1"/>
  <c r="B635" i="19"/>
  <c r="L451" i="20"/>
  <c r="I451" i="20"/>
  <c r="L465" i="20"/>
  <c r="I465" i="20"/>
  <c r="L617" i="19"/>
  <c r="K617" i="19"/>
  <c r="H617" i="19"/>
  <c r="I293" i="19"/>
  <c r="M293" i="19"/>
  <c r="L349" i="20"/>
  <c r="I349" i="20"/>
  <c r="H695" i="19"/>
  <c r="L695" i="19"/>
  <c r="K695" i="19"/>
  <c r="B405" i="20"/>
  <c r="AL405" i="20" s="1"/>
  <c r="B405" i="19"/>
  <c r="L180" i="19"/>
  <c r="K180" i="19"/>
  <c r="H180" i="19"/>
  <c r="I641" i="20"/>
  <c r="L641" i="20"/>
  <c r="AK13" i="16"/>
  <c r="P13" i="20"/>
  <c r="BF13" i="10"/>
  <c r="AK7" i="16"/>
  <c r="P7" i="20"/>
  <c r="BF7" i="10"/>
  <c r="AK4" i="16"/>
  <c r="P4" i="20"/>
  <c r="BF4" i="10"/>
  <c r="AS5" i="10"/>
  <c r="AO5" i="10"/>
  <c r="R5" i="20" s="1"/>
  <c r="Y5" i="20" s="1"/>
  <c r="AW5" i="10"/>
  <c r="AS60" i="10"/>
  <c r="AW60" i="10"/>
  <c r="AO60" i="10"/>
  <c r="R60" i="20" s="1"/>
  <c r="Y60" i="20" s="1"/>
  <c r="AQ17" i="19"/>
  <c r="AR17" i="19" s="1"/>
  <c r="AK19" i="16"/>
  <c r="P19" i="20"/>
  <c r="BF19" i="10"/>
  <c r="I68" i="20"/>
  <c r="L68" i="20"/>
  <c r="B275" i="20"/>
  <c r="AL275" i="20" s="1"/>
  <c r="B275" i="19"/>
  <c r="M413" i="19"/>
  <c r="I413" i="19"/>
  <c r="L451" i="19"/>
  <c r="K451" i="19"/>
  <c r="H451" i="19"/>
  <c r="K465" i="16"/>
  <c r="S465" i="16"/>
  <c r="O465" i="16"/>
  <c r="L638" i="20"/>
  <c r="I638" i="20"/>
  <c r="K655" i="19"/>
  <c r="H655" i="19"/>
  <c r="L655" i="19"/>
  <c r="B696" i="20"/>
  <c r="AL696" i="20" s="1"/>
  <c r="B696" i="19"/>
  <c r="L617" i="20"/>
  <c r="I617" i="20"/>
  <c r="S5" i="20"/>
  <c r="U5" i="20"/>
  <c r="B660" i="20"/>
  <c r="AL660" i="20" s="1"/>
  <c r="B660" i="19"/>
  <c r="I380" i="19"/>
  <c r="M380" i="19"/>
  <c r="S349" i="16"/>
  <c r="K349" i="16"/>
  <c r="O349" i="16"/>
  <c r="I695" i="20"/>
  <c r="L695" i="20"/>
  <c r="B103" i="20"/>
  <c r="AL103" i="20" s="1"/>
  <c r="B103" i="19"/>
  <c r="L180" i="20"/>
  <c r="I180" i="20"/>
  <c r="H688" i="19"/>
  <c r="K688" i="19"/>
  <c r="L688" i="19"/>
  <c r="M817" i="19"/>
  <c r="I817" i="19"/>
  <c r="H641" i="19"/>
  <c r="K641" i="19"/>
  <c r="L641" i="19"/>
  <c r="AQ60" i="19"/>
  <c r="AR60" i="19" s="1"/>
  <c r="G60" i="6"/>
  <c r="AQ6" i="19"/>
  <c r="AR6" i="19" s="1"/>
  <c r="AO45" i="10"/>
  <c r="R45" i="20" s="1"/>
  <c r="Y45" i="20" s="1"/>
  <c r="AW45" i="10"/>
  <c r="AS45" i="10"/>
  <c r="G16" i="18"/>
  <c r="AK55" i="16"/>
  <c r="P55" i="20"/>
  <c r="BF55" i="10"/>
  <c r="AK2" i="16"/>
  <c r="P2" i="20"/>
  <c r="BF2" i="10"/>
  <c r="U8" i="10"/>
  <c r="T8" i="10"/>
  <c r="T10" i="10"/>
  <c r="U7" i="10"/>
  <c r="U10" i="10"/>
  <c r="T9" i="10"/>
  <c r="T7" i="10"/>
  <c r="U9" i="10"/>
  <c r="AK8" i="16"/>
  <c r="P8" i="20"/>
  <c r="BF8" i="10"/>
  <c r="AS68" i="10"/>
  <c r="AW68" i="10"/>
  <c r="AO68" i="10"/>
  <c r="R68" i="20" s="1"/>
  <c r="Y68" i="20" s="1"/>
  <c r="O68" i="16"/>
  <c r="K68" i="16"/>
  <c r="S68" i="16"/>
  <c r="M703" i="19"/>
  <c r="I703" i="19"/>
  <c r="M42" i="19"/>
  <c r="I42" i="19"/>
  <c r="B160" i="20"/>
  <c r="AL160" i="20" s="1"/>
  <c r="B160" i="19"/>
  <c r="L232" i="20"/>
  <c r="I232" i="20"/>
  <c r="L432" i="20"/>
  <c r="I432" i="20"/>
  <c r="L172" i="20"/>
  <c r="I172" i="20"/>
  <c r="H679" i="19"/>
  <c r="L679" i="19"/>
  <c r="K679" i="19"/>
  <c r="I692" i="19"/>
  <c r="M692" i="19"/>
  <c r="O354" i="16"/>
  <c r="K354" i="16"/>
  <c r="S354" i="16"/>
  <c r="B375" i="20"/>
  <c r="AL375" i="20" s="1"/>
  <c r="B375" i="19"/>
  <c r="K326" i="19"/>
  <c r="H326" i="19"/>
  <c r="L326" i="19"/>
  <c r="I521" i="20"/>
  <c r="L521" i="20"/>
  <c r="M310" i="19"/>
  <c r="I310" i="19"/>
  <c r="K451" i="16"/>
  <c r="S451" i="16"/>
  <c r="O451" i="16"/>
  <c r="I536" i="19"/>
  <c r="M536" i="19"/>
  <c r="H474" i="19"/>
  <c r="K474" i="19"/>
  <c r="L474" i="19"/>
  <c r="I538" i="19"/>
  <c r="M538" i="19"/>
  <c r="H638" i="19"/>
  <c r="L638" i="19"/>
  <c r="K638" i="19"/>
  <c r="I770" i="19"/>
  <c r="M770" i="19"/>
  <c r="I655" i="20"/>
  <c r="L655" i="20"/>
  <c r="L418" i="19"/>
  <c r="K418" i="19"/>
  <c r="H418" i="19"/>
  <c r="B308" i="20"/>
  <c r="AL308" i="20" s="1"/>
  <c r="B308" i="19"/>
  <c r="B55" i="20"/>
  <c r="AL55" i="20" s="1"/>
  <c r="B55" i="19"/>
  <c r="K617" i="16"/>
  <c r="S617" i="16"/>
  <c r="O617" i="16"/>
  <c r="B398" i="20"/>
  <c r="AL398" i="20" s="1"/>
  <c r="B398" i="19"/>
  <c r="B556" i="20"/>
  <c r="AL556" i="20" s="1"/>
  <c r="B556" i="19"/>
  <c r="O695" i="16"/>
  <c r="S695" i="16"/>
  <c r="K695" i="16"/>
  <c r="I170" i="19"/>
  <c r="M170" i="19"/>
  <c r="K180" i="16"/>
  <c r="O180" i="16"/>
  <c r="S180" i="16"/>
  <c r="L688" i="20"/>
  <c r="I688" i="20"/>
  <c r="O641" i="16"/>
  <c r="S641" i="16"/>
  <c r="K641" i="16"/>
  <c r="AO24" i="10"/>
  <c r="R24" i="20" s="1"/>
  <c r="Y24" i="20" s="1"/>
  <c r="AS24" i="10"/>
  <c r="AW24" i="10"/>
  <c r="AQ57" i="19"/>
  <c r="AR57" i="19" s="1"/>
  <c r="G11" i="18"/>
  <c r="P50" i="20"/>
  <c r="AK50" i="16"/>
  <c r="BF50" i="10"/>
  <c r="AQ35" i="19"/>
  <c r="AR35" i="19" s="1"/>
  <c r="G35" i="6"/>
  <c r="G21" i="18"/>
  <c r="AK60" i="16"/>
  <c r="P60" i="20"/>
  <c r="BF60" i="10"/>
  <c r="B327" i="20"/>
  <c r="AL327" i="20" s="1"/>
  <c r="B327" i="19"/>
  <c r="B83" i="20"/>
  <c r="AL83" i="20" s="1"/>
  <c r="B83" i="19"/>
  <c r="B85" i="20"/>
  <c r="AL85" i="20" s="1"/>
  <c r="B85" i="19"/>
  <c r="O638" i="16"/>
  <c r="S638" i="16"/>
  <c r="K638" i="16"/>
  <c r="K655" i="16"/>
  <c r="S655" i="16"/>
  <c r="O655" i="16"/>
  <c r="S418" i="16"/>
  <c r="O418" i="16"/>
  <c r="K418" i="16"/>
  <c r="K565" i="19"/>
  <c r="H565" i="19"/>
  <c r="L565" i="19"/>
  <c r="U4" i="20"/>
  <c r="S4" i="20"/>
  <c r="B721" i="20"/>
  <c r="AL721" i="20" s="1"/>
  <c r="B721" i="19"/>
  <c r="K688" i="16"/>
  <c r="S688" i="16"/>
  <c r="O688" i="16"/>
  <c r="M812" i="19"/>
  <c r="I812" i="19"/>
  <c r="AS14" i="10"/>
  <c r="AO14" i="10"/>
  <c r="R14" i="20" s="1"/>
  <c r="Y14" i="20" s="1"/>
  <c r="AW14" i="10"/>
  <c r="AS31" i="10"/>
  <c r="AO31" i="10"/>
  <c r="R31" i="20" s="1"/>
  <c r="Y31" i="20" s="1"/>
  <c r="AW31" i="10"/>
  <c r="AQ31" i="19"/>
  <c r="AR31" i="19" s="1"/>
  <c r="G31" i="6"/>
  <c r="AK43" i="16"/>
  <c r="P43" i="20"/>
  <c r="BF43" i="10"/>
  <c r="AQ41" i="19"/>
  <c r="AR41" i="19" s="1"/>
  <c r="AK41" i="16"/>
  <c r="P41" i="20"/>
  <c r="BF41" i="10"/>
  <c r="B75" i="20"/>
  <c r="AL75" i="20" s="1"/>
  <c r="B75" i="19"/>
  <c r="B595" i="20"/>
  <c r="AL595" i="20" s="1"/>
  <c r="B595" i="19"/>
  <c r="L164" i="20"/>
  <c r="I164" i="20"/>
  <c r="O232" i="16"/>
  <c r="K232" i="16"/>
  <c r="S232" i="16"/>
  <c r="I127" i="19"/>
  <c r="M127" i="19"/>
  <c r="K326" i="16"/>
  <c r="O326" i="16"/>
  <c r="S326" i="16"/>
  <c r="S521" i="16"/>
  <c r="O521" i="16"/>
  <c r="K521" i="16"/>
  <c r="L290" i="20"/>
  <c r="I290" i="20"/>
  <c r="U61" i="20"/>
  <c r="S61" i="20"/>
  <c r="K474" i="16"/>
  <c r="O474" i="16"/>
  <c r="S474" i="16"/>
  <c r="H421" i="19"/>
  <c r="L421" i="19"/>
  <c r="K421" i="19"/>
  <c r="L418" i="20"/>
  <c r="I418" i="20"/>
  <c r="I565" i="20"/>
  <c r="L565" i="20"/>
  <c r="B205" i="20"/>
  <c r="AL205" i="20" s="1"/>
  <c r="B205" i="19"/>
  <c r="M651" i="19"/>
  <c r="I651" i="19"/>
  <c r="U30" i="20"/>
  <c r="S30" i="20"/>
  <c r="H387" i="19"/>
  <c r="K387" i="19"/>
  <c r="L387" i="19"/>
  <c r="B694" i="19"/>
  <c r="B694" i="20"/>
  <c r="AL694" i="20" s="1"/>
  <c r="H623" i="19"/>
  <c r="L623" i="19"/>
  <c r="K623" i="19"/>
  <c r="B683" i="19"/>
  <c r="B683" i="20"/>
  <c r="AL683" i="20" s="1"/>
  <c r="L217" i="19"/>
  <c r="K217" i="19"/>
  <c r="H217" i="19"/>
  <c r="K478" i="19"/>
  <c r="H478" i="19"/>
  <c r="L478" i="19"/>
  <c r="O16" i="7"/>
  <c r="O18" i="7"/>
  <c r="O19" i="7"/>
  <c r="AD24" i="16" s="1"/>
  <c r="O17" i="7"/>
  <c r="AD22" i="16" s="1"/>
  <c r="G7" i="18"/>
  <c r="AK46" i="16"/>
  <c r="P46" i="20"/>
  <c r="BF46" i="10"/>
  <c r="P21" i="20"/>
  <c r="AK21" i="16"/>
  <c r="BF21" i="10"/>
  <c r="G13" i="18"/>
  <c r="AK52" i="16"/>
  <c r="P52" i="20"/>
  <c r="BF52" i="10"/>
  <c r="AO62" i="10"/>
  <c r="R62" i="20" s="1"/>
  <c r="Y62" i="20" s="1"/>
  <c r="AW62" i="10"/>
  <c r="AS62" i="10"/>
  <c r="AS43" i="10"/>
  <c r="AO43" i="10"/>
  <c r="R43" i="20" s="1"/>
  <c r="Y43" i="20" s="1"/>
  <c r="AW43" i="10"/>
  <c r="AK11" i="16"/>
  <c r="P11" i="20"/>
  <c r="BF11" i="10"/>
  <c r="AK35" i="16"/>
  <c r="P35" i="20"/>
  <c r="BF35" i="10"/>
  <c r="AS40" i="10"/>
  <c r="AO40" i="10"/>
  <c r="R40" i="20" s="1"/>
  <c r="Y40" i="20" s="1"/>
  <c r="AW40" i="10"/>
  <c r="B520" i="20"/>
  <c r="AL520" i="20" s="1"/>
  <c r="B520" i="19"/>
  <c r="B495" i="20"/>
  <c r="AL495" i="20" s="1"/>
  <c r="B495" i="19"/>
  <c r="H164" i="19"/>
  <c r="L164" i="19"/>
  <c r="K164" i="19"/>
  <c r="M487" i="19"/>
  <c r="I487" i="19"/>
  <c r="B465" i="20"/>
  <c r="AL465" i="20" s="1"/>
  <c r="B465" i="19"/>
  <c r="B515" i="19"/>
  <c r="B515" i="20"/>
  <c r="AL515" i="20" s="1"/>
  <c r="B215" i="20"/>
  <c r="AL215" i="20" s="1"/>
  <c r="B215" i="19"/>
  <c r="M270" i="19"/>
  <c r="I270" i="19"/>
  <c r="B666" i="20"/>
  <c r="AL666" i="20" s="1"/>
  <c r="B666" i="19"/>
  <c r="B626" i="19"/>
  <c r="B626" i="20"/>
  <c r="AL626" i="20" s="1"/>
  <c r="B708" i="20"/>
  <c r="AL708" i="20" s="1"/>
  <c r="B708" i="19"/>
  <c r="B801" i="20"/>
  <c r="AL801" i="20" s="1"/>
  <c r="B801" i="19"/>
  <c r="K290" i="16"/>
  <c r="O290" i="16"/>
  <c r="S290" i="16"/>
  <c r="L421" i="20"/>
  <c r="I421" i="20"/>
  <c r="B615" i="19"/>
  <c r="B615" i="20"/>
  <c r="AL615" i="20" s="1"/>
  <c r="I147" i="19"/>
  <c r="M147" i="19"/>
  <c r="O565" i="16"/>
  <c r="K565" i="16"/>
  <c r="S565" i="16"/>
  <c r="U49" i="20"/>
  <c r="S49" i="20"/>
  <c r="L387" i="20"/>
  <c r="I387" i="20"/>
  <c r="L623" i="20"/>
  <c r="I623" i="20"/>
  <c r="B198" i="20"/>
  <c r="AL198" i="20" s="1"/>
  <c r="B198" i="19"/>
  <c r="B81" i="20"/>
  <c r="AL81" i="20" s="1"/>
  <c r="B81" i="19"/>
  <c r="L217" i="20"/>
  <c r="I217" i="20"/>
  <c r="I478" i="20"/>
  <c r="L478" i="20"/>
  <c r="AK29" i="16"/>
  <c r="P29" i="20"/>
  <c r="BF29" i="10"/>
  <c r="AW53" i="10"/>
  <c r="AO53" i="10"/>
  <c r="R53" i="20" s="1"/>
  <c r="Y53" i="20" s="1"/>
  <c r="AS53" i="10"/>
  <c r="AO66" i="10"/>
  <c r="R66" i="20" s="1"/>
  <c r="Y66" i="20" s="1"/>
  <c r="AW66" i="10"/>
  <c r="AS66" i="10"/>
  <c r="AQ38" i="19"/>
  <c r="AR38" i="19" s="1"/>
  <c r="G38" i="6"/>
  <c r="AO48" i="10"/>
  <c r="R48" i="20" s="1"/>
  <c r="Y48" i="20" s="1"/>
  <c r="AW48" i="10"/>
  <c r="AS48" i="10"/>
  <c r="AQ30" i="19"/>
  <c r="AR30" i="19" s="1"/>
  <c r="B433" i="20"/>
  <c r="AL433" i="20" s="1"/>
  <c r="B433" i="19"/>
  <c r="B645" i="20"/>
  <c r="AL645" i="20" s="1"/>
  <c r="B645" i="19"/>
  <c r="S164" i="16"/>
  <c r="O164" i="16"/>
  <c r="K164" i="16"/>
  <c r="B278" i="20"/>
  <c r="AL278" i="20" s="1"/>
  <c r="B278" i="19"/>
  <c r="S421" i="16"/>
  <c r="K421" i="16"/>
  <c r="O421" i="16"/>
  <c r="B138" i="20"/>
  <c r="AL138" i="20" s="1"/>
  <c r="B138" i="19"/>
  <c r="M184" i="19"/>
  <c r="I184" i="19"/>
  <c r="K387" i="16"/>
  <c r="S387" i="16"/>
  <c r="O387" i="16"/>
  <c r="K623" i="16"/>
  <c r="S623" i="16"/>
  <c r="O623" i="16"/>
  <c r="H471" i="19"/>
  <c r="L471" i="19"/>
  <c r="K471" i="19"/>
  <c r="I351" i="19"/>
  <c r="M351" i="19"/>
  <c r="K217" i="16"/>
  <c r="S217" i="16"/>
  <c r="O217" i="16"/>
  <c r="S478" i="16"/>
  <c r="K478" i="16"/>
  <c r="O478" i="16"/>
  <c r="AQ55" i="19"/>
  <c r="AR55" i="19" s="1"/>
  <c r="AQ32" i="19"/>
  <c r="AR32" i="19" s="1"/>
  <c r="AQ9" i="19"/>
  <c r="AR9" i="19" s="1"/>
  <c r="AK3" i="16"/>
  <c r="P3" i="20"/>
  <c r="BF3" i="10"/>
  <c r="AQ14" i="19"/>
  <c r="AR14" i="19" s="1"/>
  <c r="G14" i="6"/>
  <c r="AQ26" i="19"/>
  <c r="AR26" i="19" s="1"/>
  <c r="AK24" i="16"/>
  <c r="P24" i="20"/>
  <c r="BF24" i="10"/>
  <c r="AQ62" i="19"/>
  <c r="AR62" i="19" s="1"/>
  <c r="AW2" i="10"/>
  <c r="AO2" i="10"/>
  <c r="AS2" i="10"/>
  <c r="B145" i="20"/>
  <c r="AL145" i="20" s="1"/>
  <c r="B145" i="19"/>
  <c r="B165" i="20"/>
  <c r="AL165" i="20" s="1"/>
  <c r="B165" i="19"/>
  <c r="B675" i="20"/>
  <c r="AL675" i="20" s="1"/>
  <c r="B675" i="19"/>
  <c r="G37" i="6" l="1"/>
  <c r="H6" i="6"/>
  <c r="F44" i="6"/>
  <c r="H44" i="6"/>
  <c r="AP44" i="19" s="1"/>
  <c r="AS45" i="19" s="1"/>
  <c r="H47" i="6"/>
  <c r="F34" i="6"/>
  <c r="H41" i="6"/>
  <c r="H4" i="6"/>
  <c r="AP4" i="19" s="1"/>
  <c r="AS5" i="19" s="1"/>
  <c r="G46" i="6"/>
  <c r="G5" i="6"/>
  <c r="H2" i="6"/>
  <c r="H56" i="6"/>
  <c r="H63" i="6"/>
  <c r="H12" i="6"/>
  <c r="G51" i="6"/>
  <c r="G66" i="6"/>
  <c r="H48" i="6"/>
  <c r="J48" i="7" s="1"/>
  <c r="H39" i="6"/>
  <c r="J39" i="7" s="1"/>
  <c r="G39" i="6"/>
  <c r="G47" i="6"/>
  <c r="G4" i="6"/>
  <c r="H25" i="6"/>
  <c r="G17" i="6"/>
  <c r="H43" i="6"/>
  <c r="G22" i="6"/>
  <c r="H5" i="6"/>
  <c r="H65" i="6"/>
  <c r="H13" i="6"/>
  <c r="AP13" i="19" s="1"/>
  <c r="AS14" i="19" s="1"/>
  <c r="H37" i="6"/>
  <c r="H3" i="6"/>
  <c r="H64" i="6"/>
  <c r="AP64" i="19" s="1"/>
  <c r="AS65" i="19" s="1"/>
  <c r="G67" i="6"/>
  <c r="AD72" i="16"/>
  <c r="F3" i="6"/>
  <c r="G59" i="6"/>
  <c r="F28" i="6"/>
  <c r="H38" i="6"/>
  <c r="AP38" i="19" s="1"/>
  <c r="AS39" i="19" s="1"/>
  <c r="N21" i="8"/>
  <c r="H20" i="6"/>
  <c r="H8" i="6"/>
  <c r="H61" i="6"/>
  <c r="G13" i="6"/>
  <c r="G21" i="6"/>
  <c r="H32" i="6"/>
  <c r="F61" i="6"/>
  <c r="H17" i="6"/>
  <c r="AP17" i="19" s="1"/>
  <c r="AS18" i="19" s="1"/>
  <c r="H62" i="6"/>
  <c r="G15" i="6"/>
  <c r="H46" i="6"/>
  <c r="H23" i="6"/>
  <c r="G26" i="6"/>
  <c r="H58" i="6"/>
  <c r="G6" i="6"/>
  <c r="AE73" i="16"/>
  <c r="H36" i="6"/>
  <c r="J44" i="7"/>
  <c r="T37" i="10"/>
  <c r="AD75" i="16"/>
  <c r="T39" i="10"/>
  <c r="AE75" i="16"/>
  <c r="T38" i="10"/>
  <c r="AP58" i="19"/>
  <c r="AS59" i="19" s="1"/>
  <c r="J58" i="7"/>
  <c r="F41" i="6"/>
  <c r="AP37" i="19"/>
  <c r="AS38" i="19" s="1"/>
  <c r="J37" i="7"/>
  <c r="F2" i="6"/>
  <c r="F6" i="6"/>
  <c r="J64" i="7"/>
  <c r="AP11" i="19"/>
  <c r="AS12" i="19" s="1"/>
  <c r="J11" i="7"/>
  <c r="AP3" i="19"/>
  <c r="AS4" i="19" s="1"/>
  <c r="J3" i="7"/>
  <c r="AD7" i="19"/>
  <c r="AH11" i="19"/>
  <c r="AG10" i="19"/>
  <c r="AC6" i="19"/>
  <c r="AE8" i="19"/>
  <c r="AF9" i="19"/>
  <c r="O10" i="18"/>
  <c r="AP2" i="19"/>
  <c r="AS3" i="19" s="1"/>
  <c r="J2" i="7"/>
  <c r="AP56" i="19"/>
  <c r="AS57" i="19" s="1"/>
  <c r="J56" i="7"/>
  <c r="O13" i="18"/>
  <c r="J6" i="7"/>
  <c r="AP6" i="19"/>
  <c r="AS7" i="19" s="1"/>
  <c r="AC75" i="16"/>
  <c r="AC26" i="16"/>
  <c r="F43" i="6"/>
  <c r="F67" i="6"/>
  <c r="AP49" i="19"/>
  <c r="AS50" i="19" s="1"/>
  <c r="J49" i="7"/>
  <c r="F40" i="6"/>
  <c r="AP43" i="19"/>
  <c r="AS44" i="19" s="1"/>
  <c r="J43" i="7"/>
  <c r="G24" i="6"/>
  <c r="G2" i="6"/>
  <c r="G33" i="6"/>
  <c r="G41" i="6"/>
  <c r="G28" i="6"/>
  <c r="G62" i="6"/>
  <c r="G44" i="6"/>
  <c r="G30" i="6"/>
  <c r="G19" i="6"/>
  <c r="G3" i="6"/>
  <c r="G54" i="6"/>
  <c r="G64" i="6"/>
  <c r="G55" i="6"/>
  <c r="G7" i="6"/>
  <c r="G10" i="6"/>
  <c r="G32" i="6"/>
  <c r="J13" i="7"/>
  <c r="F48" i="6"/>
  <c r="G18" i="6"/>
  <c r="F35" i="6"/>
  <c r="J46" i="7"/>
  <c r="AP46" i="19"/>
  <c r="AS47" i="19" s="1"/>
  <c r="AP63" i="19"/>
  <c r="AS64" i="19" s="1"/>
  <c r="J63" i="7"/>
  <c r="F38" i="6"/>
  <c r="F65" i="6"/>
  <c r="F25" i="6"/>
  <c r="AC7" i="19"/>
  <c r="AG11" i="19"/>
  <c r="AH12" i="19"/>
  <c r="AF10" i="19"/>
  <c r="AD8" i="19"/>
  <c r="AE9" i="19"/>
  <c r="F20" i="6"/>
  <c r="T14" i="10"/>
  <c r="H27" i="18"/>
  <c r="O7" i="18"/>
  <c r="O14" i="18"/>
  <c r="AP36" i="19"/>
  <c r="AS37" i="19" s="1"/>
  <c r="J36" i="7"/>
  <c r="AP61" i="19"/>
  <c r="AS62" i="19" s="1"/>
  <c r="J61" i="7"/>
  <c r="F17" i="6"/>
  <c r="AP23" i="19"/>
  <c r="AS24" i="19" s="1"/>
  <c r="J23" i="7"/>
  <c r="AL10" i="20"/>
  <c r="T33" i="20"/>
  <c r="T31" i="20"/>
  <c r="T22" i="20"/>
  <c r="T18" i="20"/>
  <c r="T64" i="20"/>
  <c r="T4" i="20"/>
  <c r="T58" i="20"/>
  <c r="T42" i="20"/>
  <c r="T5" i="20"/>
  <c r="T44" i="20"/>
  <c r="T20" i="20"/>
  <c r="T40" i="20"/>
  <c r="T51" i="20"/>
  <c r="T68" i="20"/>
  <c r="T43" i="20"/>
  <c r="T66" i="20"/>
  <c r="T63" i="20"/>
  <c r="T25" i="20"/>
  <c r="T35" i="20"/>
  <c r="T19" i="20"/>
  <c r="T2" i="20"/>
  <c r="T32" i="20"/>
  <c r="T59" i="20"/>
  <c r="T3" i="20"/>
  <c r="T39" i="20"/>
  <c r="T26" i="20"/>
  <c r="T12" i="20"/>
  <c r="T8" i="20"/>
  <c r="T53" i="20"/>
  <c r="T16" i="20"/>
  <c r="T50" i="20"/>
  <c r="T29" i="20"/>
  <c r="T57" i="20"/>
  <c r="T37" i="20"/>
  <c r="T55" i="20"/>
  <c r="T34" i="20"/>
  <c r="T47" i="20"/>
  <c r="T15" i="20"/>
  <c r="T11" i="20"/>
  <c r="T46" i="20"/>
  <c r="T28" i="20"/>
  <c r="T9" i="20"/>
  <c r="T10" i="20"/>
  <c r="T61" i="20"/>
  <c r="T52" i="20"/>
  <c r="T62" i="20"/>
  <c r="T48" i="20"/>
  <c r="T38" i="20"/>
  <c r="T7" i="20"/>
  <c r="T27" i="20"/>
  <c r="T30" i="20"/>
  <c r="T36" i="20"/>
  <c r="T13" i="20"/>
  <c r="AB8" i="20"/>
  <c r="T41" i="20"/>
  <c r="T6" i="20"/>
  <c r="T17" i="20"/>
  <c r="T67" i="20"/>
  <c r="T21" i="20"/>
  <c r="T60" i="20"/>
  <c r="T23" i="20"/>
  <c r="AB10" i="20"/>
  <c r="T65" i="20"/>
  <c r="AB7" i="20"/>
  <c r="T49" i="20"/>
  <c r="T14" i="20"/>
  <c r="AB9" i="20"/>
  <c r="T24" i="20"/>
  <c r="T54" i="20"/>
  <c r="T56" i="20"/>
  <c r="T45" i="20"/>
  <c r="F5" i="6"/>
  <c r="J12" i="7"/>
  <c r="AP12" i="19"/>
  <c r="AS13" i="19" s="1"/>
  <c r="AD23" i="16"/>
  <c r="O20" i="7"/>
  <c r="O26" i="7" s="1"/>
  <c r="D9" i="15"/>
  <c r="D16" i="15" s="1"/>
  <c r="J65" i="7"/>
  <c r="AP65" i="19"/>
  <c r="AS66" i="19" s="1"/>
  <c r="AP47" i="19"/>
  <c r="AS48" i="19" s="1"/>
  <c r="J47" i="7"/>
  <c r="AC70" i="16"/>
  <c r="AP8" i="19"/>
  <c r="AS9" i="19" s="1"/>
  <c r="J8" i="7"/>
  <c r="J32" i="7"/>
  <c r="AP32" i="19"/>
  <c r="AS33" i="19" s="1"/>
  <c r="K24" i="7"/>
  <c r="K65" i="7"/>
  <c r="K54" i="7"/>
  <c r="K43" i="7"/>
  <c r="K40" i="7"/>
  <c r="K29" i="7"/>
  <c r="K11" i="7"/>
  <c r="K6" i="7"/>
  <c r="K16" i="7"/>
  <c r="K62" i="7"/>
  <c r="K51" i="7"/>
  <c r="K37" i="7"/>
  <c r="K21" i="7"/>
  <c r="K26" i="7"/>
  <c r="K3" i="7"/>
  <c r="K59" i="7"/>
  <c r="K48" i="7"/>
  <c r="K45" i="7"/>
  <c r="K34" i="7"/>
  <c r="K13" i="7"/>
  <c r="K63" i="7"/>
  <c r="K35" i="7"/>
  <c r="K27" i="7"/>
  <c r="K23" i="7"/>
  <c r="K9" i="7"/>
  <c r="K5" i="7"/>
  <c r="K38" i="7"/>
  <c r="K19" i="7"/>
  <c r="K50" i="7"/>
  <c r="K42" i="7"/>
  <c r="K15" i="7"/>
  <c r="K46" i="7"/>
  <c r="K12" i="7"/>
  <c r="K8" i="7"/>
  <c r="K66" i="7"/>
  <c r="K58" i="7"/>
  <c r="K30" i="7"/>
  <c r="K20" i="7"/>
  <c r="K64" i="7"/>
  <c r="K56" i="7"/>
  <c r="K18" i="7"/>
  <c r="K53" i="7"/>
  <c r="K33" i="7"/>
  <c r="K47" i="7"/>
  <c r="K25" i="7"/>
  <c r="K55" i="7"/>
  <c r="K61" i="7"/>
  <c r="K31" i="7"/>
  <c r="K36" i="7"/>
  <c r="K57" i="7"/>
  <c r="K41" i="7"/>
  <c r="K2" i="7"/>
  <c r="K44" i="7"/>
  <c r="K22" i="7"/>
  <c r="K32" i="7"/>
  <c r="K14" i="7"/>
  <c r="K7" i="7"/>
  <c r="K4" i="7"/>
  <c r="K28" i="7"/>
  <c r="K17" i="7"/>
  <c r="K60" i="7"/>
  <c r="K39" i="7"/>
  <c r="K49" i="7"/>
  <c r="K10" i="7"/>
  <c r="K52" i="7"/>
  <c r="F33" i="6"/>
  <c r="F12" i="6"/>
  <c r="F49" i="6"/>
  <c r="F53" i="6"/>
  <c r="F18" i="6"/>
  <c r="F60" i="6"/>
  <c r="F50" i="6"/>
  <c r="F16" i="6"/>
  <c r="F52" i="6"/>
  <c r="F15" i="6"/>
  <c r="F30" i="6"/>
  <c r="F19" i="6"/>
  <c r="F29" i="6"/>
  <c r="F39" i="6"/>
  <c r="F58" i="6"/>
  <c r="F22" i="6"/>
  <c r="F24" i="6"/>
  <c r="F9" i="6"/>
  <c r="F54" i="6"/>
  <c r="F31" i="6"/>
  <c r="F57" i="6"/>
  <c r="F68" i="6"/>
  <c r="F56" i="6"/>
  <c r="F64" i="6"/>
  <c r="F26" i="6"/>
  <c r="F42" i="6"/>
  <c r="F23" i="6"/>
  <c r="F46" i="6"/>
  <c r="F37" i="6"/>
  <c r="F14" i="6"/>
  <c r="F51" i="6"/>
  <c r="F63" i="6"/>
  <c r="F13" i="6"/>
  <c r="F4" i="6"/>
  <c r="F36" i="6"/>
  <c r="F45" i="6"/>
  <c r="F59" i="6"/>
  <c r="F66" i="6"/>
  <c r="F21" i="6"/>
  <c r="F32" i="6"/>
  <c r="F47" i="6"/>
  <c r="F8" i="6"/>
  <c r="F11" i="6"/>
  <c r="F10" i="6"/>
  <c r="F55" i="6"/>
  <c r="F27" i="6"/>
  <c r="F7" i="6"/>
  <c r="R2" i="20"/>
  <c r="Y2" i="20" s="1"/>
  <c r="T16" i="10"/>
  <c r="T19" i="10"/>
  <c r="AD73" i="16"/>
  <c r="AC73" i="16"/>
  <c r="AE70" i="16"/>
  <c r="AE71" i="16" s="1"/>
  <c r="AB73" i="16"/>
  <c r="AE72" i="16"/>
  <c r="AD70" i="16"/>
  <c r="AB72" i="16"/>
  <c r="AB70" i="16"/>
  <c r="AB71" i="16" s="1"/>
  <c r="T13" i="10"/>
  <c r="T15" i="10"/>
  <c r="AP62" i="19"/>
  <c r="AS63" i="19" s="1"/>
  <c r="J62" i="7"/>
  <c r="AC72" i="16"/>
  <c r="G56" i="6"/>
  <c r="D345" i="19"/>
  <c r="D141" i="19"/>
  <c r="D29" i="19"/>
  <c r="D362" i="19"/>
  <c r="D471" i="19"/>
  <c r="D162" i="19"/>
  <c r="D527" i="19"/>
  <c r="D664" i="19"/>
  <c r="D719" i="19"/>
  <c r="D632" i="19"/>
  <c r="D766" i="19"/>
  <c r="D74" i="19"/>
  <c r="D159" i="19"/>
  <c r="D429" i="19"/>
  <c r="D256" i="19"/>
  <c r="D502" i="19"/>
  <c r="D308" i="19"/>
  <c r="D560" i="19"/>
  <c r="D37" i="19"/>
  <c r="D35" i="19"/>
  <c r="D195" i="19"/>
  <c r="D304" i="19"/>
  <c r="D772" i="19"/>
  <c r="D359" i="19"/>
  <c r="D230" i="19"/>
  <c r="D516" i="19"/>
  <c r="D226" i="19"/>
  <c r="D219" i="19"/>
  <c r="D409" i="19"/>
  <c r="D794" i="19"/>
  <c r="D48" i="19"/>
  <c r="D472" i="19"/>
  <c r="D294" i="19"/>
  <c r="D786" i="19"/>
  <c r="D477" i="19"/>
  <c r="D384" i="19"/>
  <c r="D464" i="19"/>
  <c r="D594" i="19"/>
  <c r="D316" i="19"/>
  <c r="D573" i="19"/>
  <c r="D729" i="19"/>
  <c r="H33" i="6"/>
  <c r="AC76" i="16"/>
  <c r="AD76" i="16"/>
  <c r="E20" i="15"/>
  <c r="D465" i="19"/>
  <c r="D144" i="19"/>
  <c r="D390" i="19"/>
  <c r="D47" i="19"/>
  <c r="D634" i="19"/>
  <c r="D309" i="19"/>
  <c r="D107" i="19"/>
  <c r="D307" i="19"/>
  <c r="D793" i="19"/>
  <c r="D276" i="19"/>
  <c r="D109" i="19"/>
  <c r="D684" i="19"/>
  <c r="D177" i="19"/>
  <c r="D180" i="19"/>
  <c r="D423" i="19"/>
  <c r="D707" i="19"/>
  <c r="D448" i="19"/>
  <c r="D658" i="19"/>
  <c r="D803" i="19"/>
  <c r="D28" i="19"/>
  <c r="D482" i="19"/>
  <c r="D356" i="19"/>
  <c r="D46" i="19"/>
  <c r="D677" i="19"/>
  <c r="D373" i="19"/>
  <c r="D299" i="19"/>
  <c r="D70" i="19"/>
  <c r="D245" i="19"/>
  <c r="D604" i="19"/>
  <c r="D760" i="19"/>
  <c r="D136" i="19"/>
  <c r="D101" i="19"/>
  <c r="D457" i="19"/>
  <c r="D800" i="19"/>
  <c r="D525" i="19"/>
  <c r="D498" i="19"/>
  <c r="D686" i="19"/>
  <c r="D748" i="19"/>
  <c r="D98" i="19"/>
  <c r="D131" i="19"/>
  <c r="D663" i="19"/>
  <c r="D567" i="19"/>
  <c r="D491" i="19"/>
  <c r="D738" i="19"/>
  <c r="D714" i="19"/>
  <c r="D365" i="19"/>
  <c r="H21" i="6"/>
  <c r="D69" i="19"/>
  <c r="D199" i="19"/>
  <c r="D542" i="19"/>
  <c r="D290" i="19"/>
  <c r="D247" i="19"/>
  <c r="D33" i="19"/>
  <c r="D218" i="19"/>
  <c r="D507" i="19"/>
  <c r="D752" i="19"/>
  <c r="D662" i="19"/>
  <c r="D182" i="19"/>
  <c r="D158" i="19"/>
  <c r="D764" i="19"/>
  <c r="D301" i="19"/>
  <c r="D212" i="19"/>
  <c r="D695" i="19"/>
  <c r="D97" i="19"/>
  <c r="D562" i="19"/>
  <c r="D570" i="19"/>
  <c r="D522" i="19"/>
  <c r="D72" i="19"/>
  <c r="D235" i="19"/>
  <c r="D669" i="19"/>
  <c r="D580" i="19"/>
  <c r="D331" i="19"/>
  <c r="D647" i="19"/>
  <c r="D622" i="19"/>
  <c r="D113" i="19"/>
  <c r="D528" i="19"/>
  <c r="D533" i="19"/>
  <c r="D481" i="19"/>
  <c r="D510" i="19"/>
  <c r="D661" i="19"/>
  <c r="D92" i="19"/>
  <c r="D321" i="19"/>
  <c r="D636" i="19"/>
  <c r="D194" i="19"/>
  <c r="C816" i="19"/>
  <c r="N41" i="9"/>
  <c r="D202" i="19"/>
  <c r="D45" i="19"/>
  <c r="H7" i="6"/>
  <c r="D749" i="19"/>
  <c r="D375" i="19"/>
  <c r="D618" i="19"/>
  <c r="H27" i="6"/>
  <c r="G27" i="6"/>
  <c r="H55" i="6"/>
  <c r="AP20" i="19"/>
  <c r="AS21" i="19" s="1"/>
  <c r="J20" i="7"/>
  <c r="H10" i="6"/>
  <c r="K25" i="6"/>
  <c r="D7" i="1"/>
  <c r="D289" i="19"/>
  <c r="O25" i="7"/>
  <c r="D315" i="19"/>
  <c r="D335" i="19"/>
  <c r="D445" i="19"/>
  <c r="D50" i="19"/>
  <c r="D591" i="19"/>
  <c r="D431" i="19"/>
  <c r="D706" i="19"/>
  <c r="D717" i="19"/>
  <c r="D656" i="19"/>
  <c r="D87" i="19"/>
  <c r="D187" i="19"/>
  <c r="D812" i="19"/>
  <c r="D479" i="19"/>
  <c r="D788" i="19"/>
  <c r="D59" i="19"/>
  <c r="D682" i="19"/>
  <c r="D350" i="19"/>
  <c r="D333" i="19"/>
  <c r="D130" i="19"/>
  <c r="D645" i="19"/>
  <c r="D746" i="19"/>
  <c r="D96" i="19"/>
  <c r="D779" i="19"/>
  <c r="D238" i="19"/>
  <c r="D710" i="19"/>
  <c r="D518" i="19"/>
  <c r="D767" i="19"/>
  <c r="D763" i="19"/>
  <c r="D521" i="19"/>
  <c r="D175" i="19"/>
  <c r="D352" i="19"/>
  <c r="D574" i="19"/>
  <c r="D14" i="19"/>
  <c r="D83" i="19"/>
  <c r="D652" i="19"/>
  <c r="D646" i="19"/>
  <c r="D3" i="19"/>
  <c r="G42" i="6"/>
  <c r="G58" i="6"/>
  <c r="D655" i="19"/>
  <c r="D339" i="19"/>
  <c r="D407" i="19"/>
  <c r="D267" i="19"/>
  <c r="D453" i="19"/>
  <c r="D670" i="19"/>
  <c r="D239" i="19"/>
  <c r="D629" i="19"/>
  <c r="D342" i="19"/>
  <c r="D529" i="19"/>
  <c r="D440" i="19"/>
  <c r="D713" i="19"/>
  <c r="D255" i="19"/>
  <c r="D229" i="19"/>
  <c r="D609" i="19"/>
  <c r="D651" i="19"/>
  <c r="D94" i="19"/>
  <c r="D531" i="19"/>
  <c r="D330" i="19"/>
  <c r="D787" i="19"/>
  <c r="D224" i="19"/>
  <c r="D441" i="19"/>
  <c r="D732" i="19"/>
  <c r="D628" i="19"/>
  <c r="D123" i="19"/>
  <c r="D78" i="19"/>
  <c r="D631" i="19"/>
  <c r="D88" i="19"/>
  <c r="D690" i="19"/>
  <c r="D443" i="19"/>
  <c r="D253" i="19"/>
  <c r="D451" i="19"/>
  <c r="D388" i="19"/>
  <c r="D262" i="19"/>
  <c r="D599" i="19"/>
  <c r="D586" i="19"/>
  <c r="D700" i="19"/>
  <c r="D376" i="19"/>
  <c r="D100" i="19"/>
  <c r="C780" i="19"/>
  <c r="N39" i="9"/>
  <c r="D392" i="19"/>
  <c r="D401" i="19"/>
  <c r="D173" i="19"/>
  <c r="G48" i="6"/>
  <c r="D537" i="19"/>
  <c r="D149" i="19"/>
  <c r="G20" i="6"/>
  <c r="AB19" i="16"/>
  <c r="AC19" i="16"/>
  <c r="H66" i="6"/>
  <c r="D61" i="19"/>
  <c r="D269" i="19"/>
  <c r="D277" i="19"/>
  <c r="D302" i="19"/>
  <c r="D755" i="19"/>
  <c r="D588" i="19"/>
  <c r="D589" i="19"/>
  <c r="D726" i="19"/>
  <c r="D305" i="19"/>
  <c r="D768" i="19"/>
  <c r="D418" i="19"/>
  <c r="D487" i="19"/>
  <c r="D494" i="19"/>
  <c r="D205" i="19"/>
  <c r="D103" i="19"/>
  <c r="D797" i="19"/>
  <c r="D324" i="19"/>
  <c r="D425" i="19"/>
  <c r="D152" i="19"/>
  <c r="D727" i="19"/>
  <c r="D809" i="19"/>
  <c r="D806" i="19"/>
  <c r="D399" i="19"/>
  <c r="D16" i="19"/>
  <c r="D332" i="19"/>
  <c r="D571" i="19"/>
  <c r="D27" i="19"/>
  <c r="D193" i="19"/>
  <c r="D89" i="19"/>
  <c r="D680" i="19"/>
  <c r="D436" i="19"/>
  <c r="D720" i="19"/>
  <c r="D781" i="19"/>
  <c r="D366" i="19"/>
  <c r="D110" i="19"/>
  <c r="D39" i="19"/>
  <c r="D820" i="19"/>
  <c r="D296" i="19"/>
  <c r="H51" i="6"/>
  <c r="D279" i="19"/>
  <c r="G43" i="6"/>
  <c r="D520" i="19"/>
  <c r="D382" i="19"/>
  <c r="H34" i="6"/>
  <c r="G12" i="6"/>
  <c r="H59" i="6"/>
  <c r="D642" i="19"/>
  <c r="D164" i="19"/>
  <c r="D702" i="19"/>
  <c r="D725" i="19"/>
  <c r="D393" i="19"/>
  <c r="D381" i="19"/>
  <c r="D744" i="19"/>
  <c r="D266" i="19"/>
  <c r="D705" i="19"/>
  <c r="D576" i="19"/>
  <c r="D40" i="19"/>
  <c r="D467" i="19"/>
  <c r="D147" i="19"/>
  <c r="D160" i="19"/>
  <c r="D142" i="19"/>
  <c r="D683" i="19"/>
  <c r="D353" i="19"/>
  <c r="D198" i="19"/>
  <c r="D291" i="19"/>
  <c r="D747" i="19"/>
  <c r="D553" i="19"/>
  <c r="D601" i="19"/>
  <c r="D741" i="19"/>
  <c r="D148" i="19"/>
  <c r="D201" i="19"/>
  <c r="D693" i="19"/>
  <c r="D81" i="19"/>
  <c r="D280" i="19"/>
  <c r="D303" i="19"/>
  <c r="D157" i="19"/>
  <c r="D397" i="19"/>
  <c r="D192" i="19"/>
  <c r="D252" i="19"/>
  <c r="D483" i="19"/>
  <c r="D343" i="19"/>
  <c r="D203" i="19"/>
  <c r="D404" i="19"/>
  <c r="D206" i="19"/>
  <c r="R255" i="19"/>
  <c r="Y262" i="19"/>
  <c r="N251" i="19"/>
  <c r="S256" i="19"/>
  <c r="O252" i="19"/>
  <c r="W260" i="19"/>
  <c r="Q254" i="19"/>
  <c r="U258" i="19"/>
  <c r="T257" i="19"/>
  <c r="P253" i="19"/>
  <c r="V259" i="19"/>
  <c r="X261" i="19"/>
  <c r="H45" i="6"/>
  <c r="D79" i="19"/>
  <c r="D349" i="19"/>
  <c r="D460" i="19"/>
  <c r="D368" i="19"/>
  <c r="D55" i="19"/>
  <c r="D271" i="19"/>
  <c r="D386" i="19"/>
  <c r="D189" i="19"/>
  <c r="D244" i="19"/>
  <c r="D799" i="19"/>
  <c r="D320" i="19"/>
  <c r="D216" i="19"/>
  <c r="D22" i="19"/>
  <c r="D541" i="19"/>
  <c r="D90" i="19"/>
  <c r="D132" i="19"/>
  <c r="D737" i="19"/>
  <c r="D371" i="19"/>
  <c r="D452" i="19"/>
  <c r="D117" i="19"/>
  <c r="D416" i="19"/>
  <c r="D102" i="19"/>
  <c r="D243" i="19"/>
  <c r="D379" i="19"/>
  <c r="D231" i="19"/>
  <c r="D134" i="19"/>
  <c r="D38" i="19"/>
  <c r="D181" i="19"/>
  <c r="D261" i="19"/>
  <c r="D32" i="19"/>
  <c r="D543" i="19"/>
  <c r="D771" i="19"/>
  <c r="D36" i="19"/>
  <c r="D653" i="19"/>
  <c r="D391" i="19"/>
  <c r="D602" i="19"/>
  <c r="D174" i="19"/>
  <c r="D474" i="19"/>
  <c r="D24" i="19"/>
  <c r="H14" i="6"/>
  <c r="D20" i="19"/>
  <c r="D430" i="19"/>
  <c r="D120" i="19"/>
  <c r="D459" i="19"/>
  <c r="D621" i="19"/>
  <c r="D493" i="19"/>
  <c r="D282" i="19"/>
  <c r="D704" i="19"/>
  <c r="D127" i="19"/>
  <c r="D643" i="19"/>
  <c r="D240" i="19"/>
  <c r="D581" i="19"/>
  <c r="D129" i="19"/>
  <c r="D26" i="19"/>
  <c r="D184" i="19"/>
  <c r="D777" i="19"/>
  <c r="D785" i="19"/>
  <c r="D165" i="19"/>
  <c r="D143" i="19"/>
  <c r="D557" i="19"/>
  <c r="D220" i="19"/>
  <c r="C12" i="19"/>
  <c r="N40" i="9"/>
  <c r="D610" i="19"/>
  <c r="D283" i="19"/>
  <c r="D389" i="19"/>
  <c r="D480" i="19"/>
  <c r="N3" i="19"/>
  <c r="X13" i="19"/>
  <c r="R7" i="19"/>
  <c r="O4" i="19"/>
  <c r="W12" i="19"/>
  <c r="V11" i="19"/>
  <c r="Q6" i="19"/>
  <c r="S8" i="19"/>
  <c r="U10" i="19"/>
  <c r="T9" i="19"/>
  <c r="Y14" i="19"/>
  <c r="P5" i="19"/>
  <c r="D52" i="19"/>
  <c r="D699" i="19"/>
  <c r="D15" i="19"/>
  <c r="D499" i="19"/>
  <c r="D712" i="19"/>
  <c r="D547" i="19"/>
  <c r="D759" i="19"/>
  <c r="D317" i="19"/>
  <c r="D60" i="19"/>
  <c r="D344" i="19"/>
  <c r="D434" i="19"/>
  <c r="D630" i="19"/>
  <c r="D227" i="19"/>
  <c r="D478" i="19"/>
  <c r="D613" i="19"/>
  <c r="G53" i="6"/>
  <c r="D249" i="19"/>
  <c r="D111" i="19"/>
  <c r="H457" i="11"/>
  <c r="H458" i="11" s="1"/>
  <c r="H459" i="11" s="1"/>
  <c r="H460" i="11" s="1"/>
  <c r="H461" i="11" s="1"/>
  <c r="H462" i="11" s="1"/>
  <c r="H463" i="11" s="1"/>
  <c r="H464" i="11" s="1"/>
  <c r="H465" i="11" s="1"/>
  <c r="H466" i="11" s="1"/>
  <c r="H467" i="11" s="1"/>
  <c r="H468" i="11" s="1"/>
  <c r="H469" i="11" s="1"/>
  <c r="H470" i="11" s="1"/>
  <c r="H471" i="11" s="1"/>
  <c r="H472" i="11" s="1"/>
  <c r="H473" i="11" s="1"/>
  <c r="H474" i="11" s="1"/>
  <c r="H475" i="11" s="1"/>
  <c r="H476" i="11" s="1"/>
  <c r="H477" i="11" s="1"/>
  <c r="H478" i="11" s="1"/>
  <c r="H479" i="11" s="1"/>
  <c r="H480" i="11" s="1"/>
  <c r="H481" i="11" s="1"/>
  <c r="H482" i="11" s="1"/>
  <c r="H483" i="11" s="1"/>
  <c r="H484" i="11" s="1"/>
  <c r="H485" i="11" s="1"/>
  <c r="H486" i="11" s="1"/>
  <c r="H487" i="11" s="1"/>
  <c r="H488" i="11" s="1"/>
  <c r="H489" i="11" s="1"/>
  <c r="H490" i="11" s="1"/>
  <c r="H491" i="11" s="1"/>
  <c r="H492" i="11" s="1"/>
  <c r="H493" i="11" s="1"/>
  <c r="H494" i="11" s="1"/>
  <c r="H495" i="11" s="1"/>
  <c r="H496" i="11" s="1"/>
  <c r="H497" i="11" s="1"/>
  <c r="H498" i="11" s="1"/>
  <c r="H499" i="11" s="1"/>
  <c r="H500" i="11" s="1"/>
  <c r="H501" i="11" s="1"/>
  <c r="H502" i="11" s="1"/>
  <c r="H503" i="11" s="1"/>
  <c r="H504" i="11" s="1"/>
  <c r="H505" i="11" s="1"/>
  <c r="H506" i="11" s="1"/>
  <c r="H507" i="11" s="1"/>
  <c r="H508" i="11" s="1"/>
  <c r="H509" i="11" s="1"/>
  <c r="H510" i="11" s="1"/>
  <c r="H511" i="11" s="1"/>
  <c r="H512" i="11" s="1"/>
  <c r="H513" i="11" s="1"/>
  <c r="H514" i="11" s="1"/>
  <c r="H515" i="11" s="1"/>
  <c r="H516" i="11" s="1"/>
  <c r="H517" i="11" s="1"/>
  <c r="H518" i="11" s="1"/>
  <c r="H519" i="11" s="1"/>
  <c r="H520" i="11" s="1"/>
  <c r="H521" i="11" s="1"/>
  <c r="H522" i="11" s="1"/>
  <c r="H523" i="11" s="1"/>
  <c r="H524" i="11" s="1"/>
  <c r="H525" i="11" s="1"/>
  <c r="H526" i="11" s="1"/>
  <c r="H527" i="11" s="1"/>
  <c r="H528" i="11" s="1"/>
  <c r="H529" i="11" s="1"/>
  <c r="H530" i="11" s="1"/>
  <c r="H531" i="11" s="1"/>
  <c r="H532" i="11" s="1"/>
  <c r="H533" i="11" s="1"/>
  <c r="H534" i="11" s="1"/>
  <c r="H535" i="11" s="1"/>
  <c r="H536" i="11" s="1"/>
  <c r="H537" i="11" s="1"/>
  <c r="H538" i="11" s="1"/>
  <c r="H539" i="11" s="1"/>
  <c r="H540" i="11" s="1"/>
  <c r="H541" i="11" s="1"/>
  <c r="H542" i="11" s="1"/>
  <c r="H543" i="11" s="1"/>
  <c r="H544" i="11" s="1"/>
  <c r="H545" i="11" s="1"/>
  <c r="H546" i="11" s="1"/>
  <c r="H547" i="11" s="1"/>
  <c r="H548" i="11" s="1"/>
  <c r="H549" i="11" s="1"/>
  <c r="H550" i="11" s="1"/>
  <c r="H551" i="11" s="1"/>
  <c r="H552" i="11" s="1"/>
  <c r="H553" i="11" s="1"/>
  <c r="H554" i="11" s="1"/>
  <c r="H555" i="11" s="1"/>
  <c r="H556" i="11" s="1"/>
  <c r="H557" i="11" s="1"/>
  <c r="H558" i="11" s="1"/>
  <c r="H559" i="11" s="1"/>
  <c r="H560" i="11" s="1"/>
  <c r="H561" i="11" s="1"/>
  <c r="H562" i="11" s="1"/>
  <c r="H563" i="11" s="1"/>
  <c r="H564" i="11" s="1"/>
  <c r="H565" i="11" s="1"/>
  <c r="H566" i="11" s="1"/>
  <c r="H567" i="11" s="1"/>
  <c r="H568" i="11" s="1"/>
  <c r="H569" i="11" s="1"/>
  <c r="H570" i="11" s="1"/>
  <c r="H571" i="11" s="1"/>
  <c r="H572" i="11" s="1"/>
  <c r="H573" i="11" s="1"/>
  <c r="H574" i="11" s="1"/>
  <c r="H575" i="11" s="1"/>
  <c r="H576" i="11" s="1"/>
  <c r="H577" i="11" s="1"/>
  <c r="H578" i="11" s="1"/>
  <c r="H579" i="11" s="1"/>
  <c r="H580" i="11" s="1"/>
  <c r="H581" i="11" s="1"/>
  <c r="H582" i="11" s="1"/>
  <c r="H583" i="11" s="1"/>
  <c r="H584" i="11" s="1"/>
  <c r="H585" i="11" s="1"/>
  <c r="H586" i="11" s="1"/>
  <c r="H587" i="11" s="1"/>
  <c r="H588" i="11" s="1"/>
  <c r="H589" i="11" s="1"/>
  <c r="H590" i="11" s="1"/>
  <c r="H591" i="11" s="1"/>
  <c r="H592" i="11" s="1"/>
  <c r="H593" i="11" s="1"/>
  <c r="H594" i="11" s="1"/>
  <c r="H595" i="11" s="1"/>
  <c r="H596" i="11" s="1"/>
  <c r="H597" i="11" s="1"/>
  <c r="H598" i="11" s="1"/>
  <c r="H599" i="11" s="1"/>
  <c r="H600" i="11" s="1"/>
  <c r="H601" i="11" s="1"/>
  <c r="H602" i="11" s="1"/>
  <c r="H603" i="11" s="1"/>
  <c r="H604" i="11" s="1"/>
  <c r="H605" i="11" s="1"/>
  <c r="H606" i="11" s="1"/>
  <c r="H607" i="11" s="1"/>
  <c r="H608" i="11" s="1"/>
  <c r="H609" i="11" s="1"/>
  <c r="H610" i="11" s="1"/>
  <c r="H611" i="11" s="1"/>
  <c r="H612" i="11" s="1"/>
  <c r="H613" i="11" s="1"/>
  <c r="H614" i="11" s="1"/>
  <c r="H615" i="11" s="1"/>
  <c r="H616" i="11" s="1"/>
  <c r="H617" i="11" s="1"/>
  <c r="H618" i="11" s="1"/>
  <c r="H619" i="11" s="1"/>
  <c r="H620" i="11" s="1"/>
  <c r="H621" i="11" s="1"/>
  <c r="H622" i="11" s="1"/>
  <c r="H623" i="11" s="1"/>
  <c r="H624" i="11" s="1"/>
  <c r="H625" i="11" s="1"/>
  <c r="H626" i="11" s="1"/>
  <c r="H627" i="11" s="1"/>
  <c r="H628" i="11" s="1"/>
  <c r="H629" i="11" s="1"/>
  <c r="H630" i="11" s="1"/>
  <c r="H631" i="11" s="1"/>
  <c r="H632" i="11" s="1"/>
  <c r="H633" i="11" s="1"/>
  <c r="H634" i="11" s="1"/>
  <c r="H635" i="11" s="1"/>
  <c r="H636" i="11" s="1"/>
  <c r="H637" i="11" s="1"/>
  <c r="H638" i="11" s="1"/>
  <c r="H639" i="11" s="1"/>
  <c r="H640" i="11" s="1"/>
  <c r="H641" i="11" s="1"/>
  <c r="H642" i="11" s="1"/>
  <c r="H643" i="11" s="1"/>
  <c r="H644" i="11" s="1"/>
  <c r="H645" i="11" s="1"/>
  <c r="H646" i="11" s="1"/>
  <c r="H647" i="11" s="1"/>
  <c r="H648" i="11" s="1"/>
  <c r="H649" i="11" s="1"/>
  <c r="H650" i="11" s="1"/>
  <c r="H651" i="11" s="1"/>
  <c r="H652" i="11" s="1"/>
  <c r="H653" i="11" s="1"/>
  <c r="H654" i="11" s="1"/>
  <c r="H655" i="11" s="1"/>
  <c r="H656" i="11" s="1"/>
  <c r="H657" i="11" s="1"/>
  <c r="H658" i="11" s="1"/>
  <c r="H659" i="11" s="1"/>
  <c r="H660" i="11" s="1"/>
  <c r="H661" i="11" s="1"/>
  <c r="H662" i="11" s="1"/>
  <c r="H663" i="11" s="1"/>
  <c r="H664" i="11" s="1"/>
  <c r="H665" i="11" s="1"/>
  <c r="H666" i="11" s="1"/>
  <c r="H667" i="11" s="1"/>
  <c r="H668" i="11" s="1"/>
  <c r="H669" i="11" s="1"/>
  <c r="H670" i="11" s="1"/>
  <c r="H671" i="11" s="1"/>
  <c r="H672" i="11" s="1"/>
  <c r="H673" i="11" s="1"/>
  <c r="H674" i="11" s="1"/>
  <c r="H675" i="11" s="1"/>
  <c r="H676" i="11" s="1"/>
  <c r="H677" i="11" s="1"/>
  <c r="H678" i="11" s="1"/>
  <c r="H679" i="11" s="1"/>
  <c r="H680" i="11" s="1"/>
  <c r="H681" i="11" s="1"/>
  <c r="H682" i="11" s="1"/>
  <c r="H683" i="11" s="1"/>
  <c r="H684" i="11" s="1"/>
  <c r="H685" i="11" s="1"/>
  <c r="H686" i="11" s="1"/>
  <c r="H687" i="11" s="1"/>
  <c r="H688" i="11" s="1"/>
  <c r="H689" i="11" s="1"/>
  <c r="H690" i="11" s="1"/>
  <c r="H691" i="11" s="1"/>
  <c r="H692" i="11" s="1"/>
  <c r="H693" i="11" s="1"/>
  <c r="H694" i="11" s="1"/>
  <c r="H695" i="11" s="1"/>
  <c r="H696" i="11" s="1"/>
  <c r="H697" i="11" s="1"/>
  <c r="H698" i="11" s="1"/>
  <c r="H699" i="11" s="1"/>
  <c r="H700" i="11" s="1"/>
  <c r="H701" i="11" s="1"/>
  <c r="H702" i="11" s="1"/>
  <c r="H703" i="11" s="1"/>
  <c r="H704" i="11" s="1"/>
  <c r="H705" i="11" s="1"/>
  <c r="H706" i="11" s="1"/>
  <c r="H707" i="11" s="1"/>
  <c r="H708" i="11" s="1"/>
  <c r="H709" i="11" s="1"/>
  <c r="H710" i="11" s="1"/>
  <c r="H711" i="11" s="1"/>
  <c r="H712" i="11" s="1"/>
  <c r="H713" i="11" s="1"/>
  <c r="H714" i="11" s="1"/>
  <c r="H715" i="11" s="1"/>
  <c r="H716" i="11" s="1"/>
  <c r="H717" i="11" s="1"/>
  <c r="H718" i="11" s="1"/>
  <c r="H719" i="11" s="1"/>
  <c r="H720" i="11" s="1"/>
  <c r="H721" i="11" s="1"/>
  <c r="H722" i="11" s="1"/>
  <c r="H723" i="11" s="1"/>
  <c r="H724" i="11" s="1"/>
  <c r="H725" i="11" s="1"/>
  <c r="H726" i="11" s="1"/>
  <c r="H727" i="11" s="1"/>
  <c r="H728" i="11" s="1"/>
  <c r="H729" i="11" s="1"/>
  <c r="H730" i="11" s="1"/>
  <c r="H731" i="11" s="1"/>
  <c r="H732" i="11" s="1"/>
  <c r="H733" i="11" s="1"/>
  <c r="H734" i="11" s="1"/>
  <c r="H735" i="11" s="1"/>
  <c r="H736" i="11" s="1"/>
  <c r="H737" i="11" s="1"/>
  <c r="H738" i="11" s="1"/>
  <c r="H739" i="11" s="1"/>
  <c r="H740" i="11" s="1"/>
  <c r="H741" i="11" s="1"/>
  <c r="H742" i="11" s="1"/>
  <c r="H743" i="11" s="1"/>
  <c r="H744" i="11" s="1"/>
  <c r="H745" i="11" s="1"/>
  <c r="H746" i="11" s="1"/>
  <c r="H747" i="11" s="1"/>
  <c r="H748" i="11" s="1"/>
  <c r="H749" i="11" s="1"/>
  <c r="H750" i="11" s="1"/>
  <c r="H751" i="11" s="1"/>
  <c r="H752" i="11" s="1"/>
  <c r="H753" i="11" s="1"/>
  <c r="H754" i="11" s="1"/>
  <c r="H755" i="11" s="1"/>
  <c r="H756" i="11" s="1"/>
  <c r="H757" i="11" s="1"/>
  <c r="H758" i="11" s="1"/>
  <c r="H759" i="11" s="1"/>
  <c r="H760" i="11" s="1"/>
  <c r="H761" i="11" s="1"/>
  <c r="H762" i="11" s="1"/>
  <c r="H763" i="11" s="1"/>
  <c r="H764" i="11" s="1"/>
  <c r="H765" i="11" s="1"/>
  <c r="H766" i="11" s="1"/>
  <c r="H767" i="11" s="1"/>
  <c r="H768" i="11" s="1"/>
  <c r="H769" i="11" s="1"/>
  <c r="H770" i="11" s="1"/>
  <c r="H771" i="11" s="1"/>
  <c r="H772" i="11" s="1"/>
  <c r="H773" i="11" s="1"/>
  <c r="H774" i="11" s="1"/>
  <c r="H775" i="11" s="1"/>
  <c r="H776" i="11" s="1"/>
  <c r="H777" i="11" s="1"/>
  <c r="H778" i="11" s="1"/>
  <c r="H779" i="11" s="1"/>
  <c r="H780" i="11" s="1"/>
  <c r="H781" i="11" s="1"/>
  <c r="H782" i="11" s="1"/>
  <c r="H783" i="11" s="1"/>
  <c r="H784" i="11" s="1"/>
  <c r="H785" i="11" s="1"/>
  <c r="H786" i="11" s="1"/>
  <c r="H787" i="11" s="1"/>
  <c r="H788" i="11" s="1"/>
  <c r="H789" i="11" s="1"/>
  <c r="H790" i="11" s="1"/>
  <c r="H791" i="11" s="1"/>
  <c r="H792" i="11" s="1"/>
  <c r="H793" i="11" s="1"/>
  <c r="H794" i="11" s="1"/>
  <c r="H795" i="11" s="1"/>
  <c r="H796" i="11" s="1"/>
  <c r="H797" i="11" s="1"/>
  <c r="H798" i="11" s="1"/>
  <c r="H799" i="11" s="1"/>
  <c r="H800" i="11" s="1"/>
  <c r="H801" i="11" s="1"/>
  <c r="H802" i="11" s="1"/>
  <c r="H803" i="11" s="1"/>
  <c r="H804" i="11" s="1"/>
  <c r="H805" i="11" s="1"/>
  <c r="H806" i="11" s="1"/>
  <c r="H807" i="11" s="1"/>
  <c r="H808" i="11" s="1"/>
  <c r="H809" i="11" s="1"/>
  <c r="H810" i="11" s="1"/>
  <c r="H811" i="11" s="1"/>
  <c r="H812" i="11" s="1"/>
  <c r="H813" i="11" s="1"/>
  <c r="H814" i="11" s="1"/>
  <c r="H815" i="11" s="1"/>
  <c r="H816" i="11" s="1"/>
  <c r="H817" i="11" s="1"/>
  <c r="H818" i="11" s="1"/>
  <c r="H819" i="11" s="1"/>
  <c r="H820" i="11" s="1"/>
  <c r="H821" i="11" s="1"/>
  <c r="H822" i="11" s="1"/>
  <c r="H823" i="11" s="1"/>
  <c r="AX48" i="19"/>
  <c r="AX38" i="19"/>
  <c r="AX39" i="19"/>
  <c r="AX42" i="19"/>
  <c r="AX40" i="19"/>
  <c r="AX52" i="19"/>
  <c r="AX49" i="19"/>
  <c r="AX41" i="19"/>
  <c r="V14" i="19"/>
  <c r="Y17" i="19"/>
  <c r="O7" i="19"/>
  <c r="N6" i="19"/>
  <c r="S11" i="19"/>
  <c r="T12" i="19"/>
  <c r="R10" i="19"/>
  <c r="U13" i="19"/>
  <c r="W15" i="19"/>
  <c r="P8" i="19"/>
  <c r="Q9" i="19"/>
  <c r="X16" i="19"/>
  <c r="D681" i="19"/>
  <c r="D400" i="19"/>
  <c r="D348" i="19"/>
  <c r="D774" i="19"/>
  <c r="D105" i="19"/>
  <c r="D21" i="19"/>
  <c r="D104" i="19"/>
  <c r="D67" i="19"/>
  <c r="D44" i="19"/>
  <c r="D753" i="19"/>
  <c r="D691" i="19"/>
  <c r="D128" i="19"/>
  <c r="D807" i="19"/>
  <c r="D813" i="19"/>
  <c r="D723" i="19"/>
  <c r="D530" i="19"/>
  <c r="D10" i="19"/>
  <c r="D58" i="19"/>
  <c r="D814" i="19"/>
  <c r="D364" i="19"/>
  <c r="D687" i="19"/>
  <c r="D272" i="19"/>
  <c r="D619" i="19"/>
  <c r="D611" i="19"/>
  <c r="D402" i="19"/>
  <c r="D500" i="19"/>
  <c r="D603" i="19"/>
  <c r="D650" i="19"/>
  <c r="D19" i="19"/>
  <c r="D248" i="19"/>
  <c r="D428" i="19"/>
  <c r="D63" i="19"/>
  <c r="D75" i="19"/>
  <c r="D372" i="19"/>
  <c r="D334" i="19"/>
  <c r="D370" i="19"/>
  <c r="D534" i="19"/>
  <c r="D77" i="19"/>
  <c r="G65" i="6"/>
  <c r="D186" i="19"/>
  <c r="G34" i="6"/>
  <c r="AB23" i="16"/>
  <c r="AB22" i="16"/>
  <c r="AC24" i="16"/>
  <c r="AC23" i="16"/>
  <c r="AC22" i="16"/>
  <c r="AB24" i="16"/>
  <c r="K780" i="9"/>
  <c r="Q12" i="9" s="1"/>
  <c r="N31" i="8"/>
  <c r="D73" i="19"/>
  <c r="G61" i="6"/>
  <c r="D13" i="19"/>
  <c r="D694" i="19"/>
  <c r="D446" i="19"/>
  <c r="D437" i="19"/>
  <c r="D773" i="19"/>
  <c r="D310" i="19"/>
  <c r="D367" i="19"/>
  <c r="D468" i="19"/>
  <c r="D197" i="19"/>
  <c r="D31" i="19"/>
  <c r="D293" i="19"/>
  <c r="D270" i="19"/>
  <c r="D582" i="19"/>
  <c r="D566" i="19"/>
  <c r="D698" i="19"/>
  <c r="D587" i="19"/>
  <c r="D190" i="19"/>
  <c r="D178" i="19"/>
  <c r="D338" i="19"/>
  <c r="D395" i="19"/>
  <c r="D268" i="19"/>
  <c r="D377" i="19"/>
  <c r="D514" i="19"/>
  <c r="D154" i="19"/>
  <c r="D285" i="19"/>
  <c r="D326" i="19"/>
  <c r="D139" i="19"/>
  <c r="D118" i="19"/>
  <c r="D420" i="19"/>
  <c r="D821" i="19"/>
  <c r="D133" i="19"/>
  <c r="D68" i="19"/>
  <c r="D410" i="19"/>
  <c r="D34" i="19"/>
  <c r="D590" i="19"/>
  <c r="D667" i="19"/>
  <c r="H42" i="6"/>
  <c r="D496" i="19"/>
  <c r="Q16" i="8"/>
  <c r="Q13" i="8"/>
  <c r="Q15" i="8"/>
  <c r="Q14" i="8"/>
  <c r="Q10" i="8"/>
  <c r="Q12" i="8"/>
  <c r="Q11" i="8"/>
  <c r="H57" i="6"/>
  <c r="H31" i="6"/>
  <c r="J38" i="7"/>
  <c r="D115" i="19"/>
  <c r="D91" i="19"/>
  <c r="D511" i="19"/>
  <c r="D549" i="19"/>
  <c r="D241" i="19"/>
  <c r="D675" i="19"/>
  <c r="D125" i="19"/>
  <c r="D209" i="19"/>
  <c r="D676" i="19"/>
  <c r="D278" i="19"/>
  <c r="D657" i="19"/>
  <c r="D413" i="19"/>
  <c r="D476" i="19"/>
  <c r="D462" i="19"/>
  <c r="D121" i="19"/>
  <c r="D535" i="19"/>
  <c r="D742" i="19"/>
  <c r="D721" i="19"/>
  <c r="D783" i="19"/>
  <c r="D449" i="19"/>
  <c r="D672" i="19"/>
  <c r="D679" i="19"/>
  <c r="D274" i="19"/>
  <c r="D473" i="19"/>
  <c r="D259" i="19"/>
  <c r="D620" i="19"/>
  <c r="D210" i="19"/>
  <c r="D122" i="19"/>
  <c r="D394" i="19"/>
  <c r="D311" i="19"/>
  <c r="D251" i="19"/>
  <c r="D346" i="19"/>
  <c r="D112" i="19"/>
  <c r="D484" i="19"/>
  <c r="D314" i="19"/>
  <c r="D595" i="19"/>
  <c r="D548" i="19"/>
  <c r="H26" i="6"/>
  <c r="D17" i="19"/>
  <c r="H54" i="6"/>
  <c r="D504" i="19"/>
  <c r="D461" i="19"/>
  <c r="D455" i="19"/>
  <c r="D608" i="19"/>
  <c r="D792" i="19"/>
  <c r="D347" i="19"/>
  <c r="D488" i="19"/>
  <c r="D556" i="19"/>
  <c r="D715" i="19"/>
  <c r="D207" i="19"/>
  <c r="D689" i="19"/>
  <c r="D605" i="19"/>
  <c r="D124" i="19"/>
  <c r="D485" i="19"/>
  <c r="D322" i="19"/>
  <c r="D426" i="19"/>
  <c r="D801" i="19"/>
  <c r="D263" i="19"/>
  <c r="D444" i="19"/>
  <c r="D363" i="19"/>
  <c r="D674" i="19"/>
  <c r="D575" i="19"/>
  <c r="D419" i="19"/>
  <c r="D213" i="19"/>
  <c r="D191" i="19"/>
  <c r="D234" i="19"/>
  <c r="D778" i="19"/>
  <c r="D565" i="19"/>
  <c r="D701" i="19"/>
  <c r="D54" i="19"/>
  <c r="D513" i="19"/>
  <c r="D108" i="19"/>
  <c r="D696" i="19"/>
  <c r="D583" i="19"/>
  <c r="D166" i="19"/>
  <c r="D221" i="19"/>
  <c r="D208" i="19"/>
  <c r="D739" i="19"/>
  <c r="D626" i="19"/>
  <c r="D796" i="19"/>
  <c r="AH17" i="20"/>
  <c r="I10" i="11"/>
  <c r="D475" i="19"/>
  <c r="AD10" i="16"/>
  <c r="AD6" i="16"/>
  <c r="AD9" i="16"/>
  <c r="AD13" i="16" s="1"/>
  <c r="AD7" i="16"/>
  <c r="AD8" i="16"/>
  <c r="H68" i="6"/>
  <c r="AP68" i="19" s="1"/>
  <c r="D237" i="19"/>
  <c r="D80" i="19"/>
  <c r="D551" i="19"/>
  <c r="D625" i="19"/>
  <c r="D329" i="19"/>
  <c r="D438" i="19"/>
  <c r="D526" i="19"/>
  <c r="H19" i="6"/>
  <c r="D427" i="19"/>
  <c r="D585" i="19"/>
  <c r="D151" i="19"/>
  <c r="D369" i="19"/>
  <c r="D167" i="19"/>
  <c r="D578" i="19"/>
  <c r="D639" i="19"/>
  <c r="D569" i="19"/>
  <c r="D456" i="19"/>
  <c r="D169" i="19"/>
  <c r="D398" i="19"/>
  <c r="D536" i="19"/>
  <c r="D782" i="19"/>
  <c r="D563" i="19"/>
  <c r="D776" i="19"/>
  <c r="D254" i="19"/>
  <c r="D593" i="19"/>
  <c r="D615" i="19"/>
  <c r="D408" i="19"/>
  <c r="D762" i="19"/>
  <c r="D564" i="19"/>
  <c r="D415" i="19"/>
  <c r="D341" i="19"/>
  <c r="D137" i="19"/>
  <c r="D492" i="19"/>
  <c r="D355" i="19"/>
  <c r="D617" i="19"/>
  <c r="D281" i="19"/>
  <c r="D743" i="19"/>
  <c r="D505" i="19"/>
  <c r="D671" i="19"/>
  <c r="D11" i="19"/>
  <c r="D306" i="19"/>
  <c r="D86" i="19"/>
  <c r="D486" i="19"/>
  <c r="D758" i="19"/>
  <c r="D815" i="19"/>
  <c r="D607" i="19"/>
  <c r="AB8" i="16"/>
  <c r="AB9" i="16"/>
  <c r="AB13" i="16" s="1"/>
  <c r="AB7" i="16"/>
  <c r="AB6" i="16"/>
  <c r="AB10" i="16"/>
  <c r="D146" i="19"/>
  <c r="D260" i="19"/>
  <c r="G45" i="6"/>
  <c r="U656" i="19"/>
  <c r="O650" i="19"/>
  <c r="V657" i="19"/>
  <c r="Q652" i="19"/>
  <c r="W658" i="19"/>
  <c r="R653" i="19"/>
  <c r="T655" i="19"/>
  <c r="X659" i="19"/>
  <c r="N649" i="19"/>
  <c r="Y660" i="19"/>
  <c r="P651" i="19"/>
  <c r="S654" i="19"/>
  <c r="AB44" i="20"/>
  <c r="AC39" i="20"/>
  <c r="T22" i="10"/>
  <c r="AB40" i="20" s="1"/>
  <c r="AB43" i="20"/>
  <c r="T21" i="10"/>
  <c r="AB39" i="20" s="1"/>
  <c r="AC40" i="20"/>
  <c r="T23" i="10"/>
  <c r="AB41" i="20" s="1"/>
  <c r="H35" i="6"/>
  <c r="H28" i="6"/>
  <c r="H67" i="6"/>
  <c r="AP67" i="19" s="1"/>
  <c r="AS68" i="19" s="1"/>
  <c r="D708" i="19"/>
  <c r="D66" i="19"/>
  <c r="H9" i="6"/>
  <c r="D421" i="19"/>
  <c r="D659" i="19"/>
  <c r="D784" i="19"/>
  <c r="D736" i="19"/>
  <c r="D754" i="19"/>
  <c r="D161" i="19"/>
  <c r="D257" i="19"/>
  <c r="D406" i="19"/>
  <c r="D789" i="19"/>
  <c r="D545" i="19"/>
  <c r="D380" i="19"/>
  <c r="D357" i="19"/>
  <c r="D374" i="19"/>
  <c r="D552" i="19"/>
  <c r="D422" i="19"/>
  <c r="D649" i="19"/>
  <c r="D577" i="19"/>
  <c r="D540" i="19"/>
  <c r="D155" i="19"/>
  <c r="D135" i="19"/>
  <c r="D439" i="19"/>
  <c r="D215" i="19"/>
  <c r="D791" i="19"/>
  <c r="D150" i="19"/>
  <c r="D286" i="19"/>
  <c r="D323" i="19"/>
  <c r="D660" i="19"/>
  <c r="D559" i="19"/>
  <c r="D340" i="19"/>
  <c r="D93" i="19"/>
  <c r="D200" i="19"/>
  <c r="D233" i="19"/>
  <c r="D554" i="19"/>
  <c r="D568" i="19"/>
  <c r="D802" i="19"/>
  <c r="D4" i="19"/>
  <c r="D509" i="19"/>
  <c r="D76" i="19"/>
  <c r="AC8" i="16"/>
  <c r="AC10" i="16"/>
  <c r="AC7" i="16"/>
  <c r="AC6" i="16"/>
  <c r="AC9" i="16"/>
  <c r="AC13" i="16" s="1"/>
  <c r="D506" i="19"/>
  <c r="D325" i="19"/>
  <c r="G49" i="6"/>
  <c r="H24" i="6"/>
  <c r="H22" i="6"/>
  <c r="AF12" i="19"/>
  <c r="AE11" i="19"/>
  <c r="AG13" i="19"/>
  <c r="AC9" i="19"/>
  <c r="AH14" i="19"/>
  <c r="AD10" i="19"/>
  <c r="H29" i="6"/>
  <c r="G36" i="6"/>
  <c r="D458" i="19"/>
  <c r="D678" i="19"/>
  <c r="D584" i="19"/>
  <c r="D524" i="19"/>
  <c r="D447" i="19"/>
  <c r="D761" i="19"/>
  <c r="D116" i="19"/>
  <c r="D769" i="19"/>
  <c r="D18" i="19"/>
  <c r="D600" i="19"/>
  <c r="D817" i="19"/>
  <c r="D106" i="19"/>
  <c r="D297" i="19"/>
  <c r="D665" i="19"/>
  <c r="D172" i="19"/>
  <c r="D265" i="19"/>
  <c r="D30" i="19"/>
  <c r="D503" i="19"/>
  <c r="D795" i="19"/>
  <c r="D119" i="19"/>
  <c r="D709" i="19"/>
  <c r="D508" i="19"/>
  <c r="D666" i="19"/>
  <c r="D396" i="19"/>
  <c r="D300" i="19"/>
  <c r="D735" i="19"/>
  <c r="D360" i="19"/>
  <c r="D378" i="19"/>
  <c r="D403" i="19"/>
  <c r="D258" i="19"/>
  <c r="D734" i="19"/>
  <c r="D512" i="19"/>
  <c r="D668" i="19"/>
  <c r="D64" i="19"/>
  <c r="D337" i="19"/>
  <c r="D232" i="19"/>
  <c r="D387" i="19"/>
  <c r="G50" i="6"/>
  <c r="D716" i="19"/>
  <c r="U15" i="19"/>
  <c r="Y19" i="19"/>
  <c r="T14" i="19"/>
  <c r="P10" i="19"/>
  <c r="W17" i="19"/>
  <c r="S13" i="19"/>
  <c r="X18" i="19"/>
  <c r="Q11" i="19"/>
  <c r="R12" i="19"/>
  <c r="N8" i="19"/>
  <c r="V16" i="19"/>
  <c r="O9" i="19"/>
  <c r="K12" i="9"/>
  <c r="N32" i="8"/>
  <c r="D433" i="19"/>
  <c r="D633" i="19"/>
  <c r="D99" i="19"/>
  <c r="D765" i="19"/>
  <c r="D730" i="19"/>
  <c r="D328" i="19"/>
  <c r="D417" i="19"/>
  <c r="D722" i="19"/>
  <c r="D616" i="19"/>
  <c r="D217" i="19"/>
  <c r="D598" i="19"/>
  <c r="D703" i="19"/>
  <c r="D644" i="19"/>
  <c r="D757" i="19"/>
  <c r="D822" i="19"/>
  <c r="N823" i="19" s="1"/>
  <c r="D470" i="19"/>
  <c r="D592" i="19"/>
  <c r="D489" i="19"/>
  <c r="D82" i="19"/>
  <c r="D424" i="19"/>
  <c r="D336" i="19"/>
  <c r="D463" i="19"/>
  <c r="D140" i="19"/>
  <c r="D292" i="19"/>
  <c r="D236" i="19"/>
  <c r="D490" i="19"/>
  <c r="D728" i="19"/>
  <c r="D163" i="19"/>
  <c r="D740" i="19"/>
  <c r="D114" i="19"/>
  <c r="D228" i="19"/>
  <c r="D414" i="19"/>
  <c r="D614" i="19"/>
  <c r="D358" i="19"/>
  <c r="D185" i="19"/>
  <c r="D454" i="19"/>
  <c r="D442" i="19"/>
  <c r="H30" i="6"/>
  <c r="AC59" i="20"/>
  <c r="D10" i="15"/>
  <c r="AP41" i="19"/>
  <c r="AS42" i="19" s="1"/>
  <c r="J41" i="7"/>
  <c r="AP5" i="19"/>
  <c r="AS6" i="19" s="1"/>
  <c r="J5" i="7"/>
  <c r="AG12" i="19"/>
  <c r="AF11" i="19"/>
  <c r="AD9" i="19"/>
  <c r="AH13" i="19"/>
  <c r="AE10" i="19"/>
  <c r="AC8" i="19"/>
  <c r="Q11" i="9"/>
  <c r="Q16" i="9"/>
  <c r="Q7" i="9"/>
  <c r="Q9" i="9"/>
  <c r="Q4" i="9"/>
  <c r="D808" i="19"/>
  <c r="D62" i="19"/>
  <c r="D327" i="19"/>
  <c r="D733" i="19"/>
  <c r="D635" i="19"/>
  <c r="D313" i="19"/>
  <c r="D23" i="19"/>
  <c r="D597" i="19"/>
  <c r="D750" i="19"/>
  <c r="D775" i="19"/>
  <c r="D538" i="19"/>
  <c r="D623" i="19"/>
  <c r="D638" i="19"/>
  <c r="D246" i="19"/>
  <c r="D288" i="19"/>
  <c r="D51" i="19"/>
  <c r="D544" i="19"/>
  <c r="D627" i="19"/>
  <c r="D810" i="19"/>
  <c r="D497" i="19"/>
  <c r="D168" i="19"/>
  <c r="D171" i="19"/>
  <c r="D685" i="19"/>
  <c r="D756" i="19"/>
  <c r="D273" i="19"/>
  <c r="D153" i="19"/>
  <c r="D818" i="19"/>
  <c r="D466" i="19"/>
  <c r="D43" i="19"/>
  <c r="D41" i="19"/>
  <c r="D432" i="19"/>
  <c r="D637" i="19"/>
  <c r="D495" i="19"/>
  <c r="D204" i="19"/>
  <c r="D790" i="19"/>
  <c r="D811" i="19"/>
  <c r="AB18" i="20"/>
  <c r="AF18" i="20"/>
  <c r="AE18" i="20"/>
  <c r="AD18" i="20"/>
  <c r="AC18" i="20"/>
  <c r="AG18" i="20"/>
  <c r="D501" i="19"/>
  <c r="H40" i="6"/>
  <c r="AB5" i="11"/>
  <c r="J6" i="11"/>
  <c r="L5" i="11"/>
  <c r="M5" i="11" s="1"/>
  <c r="AJ5" i="19" s="1"/>
  <c r="AK5" i="19" s="1"/>
  <c r="H16" i="6"/>
  <c r="G63" i="6"/>
  <c r="K9" i="9"/>
  <c r="N20" i="8"/>
  <c r="H13" i="1" s="1"/>
  <c r="N19" i="8"/>
  <c r="G13" i="1" s="1"/>
  <c r="O13" i="1" s="1"/>
  <c r="G29" i="6"/>
  <c r="D176" i="19"/>
  <c r="D596" i="19"/>
  <c r="D745" i="19"/>
  <c r="D519" i="19"/>
  <c r="D287" i="19"/>
  <c r="D688" i="19"/>
  <c r="D692" i="19"/>
  <c r="D138" i="19"/>
  <c r="D56" i="19"/>
  <c r="D579" i="19"/>
  <c r="D641" i="19"/>
  <c r="D770" i="19"/>
  <c r="D126" i="19"/>
  <c r="D298" i="19"/>
  <c r="C9" i="19"/>
  <c r="N20" i="9"/>
  <c r="N21" i="9"/>
  <c r="H14" i="1" s="1"/>
  <c r="D654" i="19"/>
  <c r="D819" i="19"/>
  <c r="D523" i="19"/>
  <c r="D515" i="19"/>
  <c r="D561" i="19"/>
  <c r="D65" i="19"/>
  <c r="D49" i="19"/>
  <c r="D405" i="19"/>
  <c r="D555" i="19"/>
  <c r="D546" i="19"/>
  <c r="D751" i="19"/>
  <c r="D517" i="19"/>
  <c r="D411" i="19"/>
  <c r="D183" i="19"/>
  <c r="D361" i="19"/>
  <c r="D697" i="19"/>
  <c r="D84" i="19"/>
  <c r="D718" i="19"/>
  <c r="D223" i="19"/>
  <c r="D711" i="19"/>
  <c r="D214" i="19"/>
  <c r="D550" i="19"/>
  <c r="D295" i="19"/>
  <c r="D804" i="19"/>
  <c r="D450" i="19"/>
  <c r="D242" i="19"/>
  <c r="T326" i="19"/>
  <c r="V328" i="19"/>
  <c r="N320" i="19"/>
  <c r="X330" i="19"/>
  <c r="Y331" i="19"/>
  <c r="P322" i="19"/>
  <c r="U327" i="19"/>
  <c r="W329" i="19"/>
  <c r="O321" i="19"/>
  <c r="Q323" i="19"/>
  <c r="S325" i="19"/>
  <c r="R324" i="19"/>
  <c r="AX31" i="19"/>
  <c r="AP25" i="19"/>
  <c r="AS26" i="19" s="1"/>
  <c r="J25" i="7"/>
  <c r="H60" i="6"/>
  <c r="H15" i="6"/>
  <c r="H52" i="6"/>
  <c r="G23" i="6"/>
  <c r="G9" i="6"/>
  <c r="H50" i="6"/>
  <c r="G57" i="6"/>
  <c r="H18" i="6"/>
  <c r="AR2" i="19"/>
  <c r="G68" i="6"/>
  <c r="G8" i="6"/>
  <c r="D673" i="19"/>
  <c r="D724" i="19"/>
  <c r="D95" i="19"/>
  <c r="D275" i="19"/>
  <c r="D188" i="19"/>
  <c r="D57" i="19"/>
  <c r="D558" i="19"/>
  <c r="D42" i="19"/>
  <c r="D351" i="19"/>
  <c r="D624" i="19"/>
  <c r="D170" i="19"/>
  <c r="D225" i="19"/>
  <c r="D211" i="19"/>
  <c r="D640" i="19"/>
  <c r="D532" i="19"/>
  <c r="D53" i="19"/>
  <c r="D383" i="19"/>
  <c r="D572" i="19"/>
  <c r="D612" i="19"/>
  <c r="D312" i="19"/>
  <c r="D469" i="19"/>
  <c r="D156" i="19"/>
  <c r="D25" i="19"/>
  <c r="D539" i="19"/>
  <c r="D318" i="19"/>
  <c r="D385" i="19"/>
  <c r="D805" i="19"/>
  <c r="D145" i="19"/>
  <c r="D798" i="19"/>
  <c r="D435" i="19"/>
  <c r="D606" i="19"/>
  <c r="D731" i="19"/>
  <c r="D354" i="19"/>
  <c r="D71" i="19"/>
  <c r="D284" i="19"/>
  <c r="D412" i="19"/>
  <c r="U6" i="20"/>
  <c r="S6" i="20"/>
  <c r="AD24" i="20" s="1"/>
  <c r="AC23" i="20"/>
  <c r="AF23" i="20"/>
  <c r="AD23" i="20"/>
  <c r="AB23" i="20"/>
  <c r="AE23" i="20" s="1"/>
  <c r="D196" i="19"/>
  <c r="D264" i="19"/>
  <c r="G16" i="6"/>
  <c r="D222" i="19"/>
  <c r="N8" i="8"/>
  <c r="H12" i="1" s="1"/>
  <c r="N7" i="8"/>
  <c r="G12" i="1" s="1"/>
  <c r="O12" i="1" s="1"/>
  <c r="D85" i="19"/>
  <c r="D179" i="19"/>
  <c r="H53" i="6"/>
  <c r="AP39" i="19" l="1"/>
  <c r="AS40" i="19" s="1"/>
  <c r="AP48" i="19"/>
  <c r="AS49" i="19" s="1"/>
  <c r="Q6" i="9"/>
  <c r="Q10" i="9"/>
  <c r="Q5" i="9"/>
  <c r="Q15" i="9"/>
  <c r="Q13" i="9"/>
  <c r="J17" i="7"/>
  <c r="J4" i="7"/>
  <c r="K7" i="6"/>
  <c r="K18" i="6" s="1"/>
  <c r="K22" i="6" s="1"/>
  <c r="Q419" i="19"/>
  <c r="X426" i="19"/>
  <c r="R420" i="19"/>
  <c r="Y427" i="19"/>
  <c r="W425" i="19"/>
  <c r="T422" i="19"/>
  <c r="O417" i="19"/>
  <c r="V424" i="19"/>
  <c r="N416" i="19"/>
  <c r="P418" i="19"/>
  <c r="U423" i="19"/>
  <c r="S421" i="19"/>
  <c r="Y597" i="19"/>
  <c r="S591" i="19"/>
  <c r="U593" i="19"/>
  <c r="Q589" i="19"/>
  <c r="R590" i="19"/>
  <c r="X596" i="19"/>
  <c r="T592" i="19"/>
  <c r="W595" i="19"/>
  <c r="V594" i="19"/>
  <c r="O587" i="19"/>
  <c r="N586" i="19"/>
  <c r="P588" i="19"/>
  <c r="S77" i="19"/>
  <c r="U79" i="19"/>
  <c r="W81" i="19"/>
  <c r="O73" i="19"/>
  <c r="Y83" i="19"/>
  <c r="Q75" i="19"/>
  <c r="V80" i="19"/>
  <c r="P74" i="19"/>
  <c r="N72" i="19"/>
  <c r="R76" i="19"/>
  <c r="T78" i="19"/>
  <c r="X82" i="19"/>
  <c r="Y652" i="19"/>
  <c r="S646" i="19"/>
  <c r="U648" i="19"/>
  <c r="W650" i="19"/>
  <c r="R645" i="19"/>
  <c r="T647" i="19"/>
  <c r="O642" i="19"/>
  <c r="X651" i="19"/>
  <c r="N641" i="19"/>
  <c r="P643" i="19"/>
  <c r="V649" i="19"/>
  <c r="Q644" i="19"/>
  <c r="Q454" i="19"/>
  <c r="X461" i="19"/>
  <c r="R455" i="19"/>
  <c r="Y462" i="19"/>
  <c r="U458" i="19"/>
  <c r="W460" i="19"/>
  <c r="P453" i="19"/>
  <c r="O452" i="19"/>
  <c r="T457" i="19"/>
  <c r="V459" i="19"/>
  <c r="N451" i="19"/>
  <c r="S456" i="19"/>
  <c r="U587" i="19"/>
  <c r="O581" i="19"/>
  <c r="W589" i="19"/>
  <c r="V588" i="19"/>
  <c r="R584" i="19"/>
  <c r="Y591" i="19"/>
  <c r="T586" i="19"/>
  <c r="N580" i="19"/>
  <c r="S585" i="19"/>
  <c r="Q583" i="19"/>
  <c r="X590" i="19"/>
  <c r="P582" i="19"/>
  <c r="R816" i="19"/>
  <c r="N812" i="19"/>
  <c r="W821" i="19"/>
  <c r="P814" i="19"/>
  <c r="U819" i="19"/>
  <c r="O813" i="19"/>
  <c r="V820" i="19"/>
  <c r="S817" i="19"/>
  <c r="X822" i="19"/>
  <c r="T818" i="19"/>
  <c r="Q815" i="19"/>
  <c r="Y823" i="19"/>
  <c r="P156" i="19"/>
  <c r="W163" i="19"/>
  <c r="Q157" i="19"/>
  <c r="U161" i="19"/>
  <c r="X164" i="19"/>
  <c r="R158" i="19"/>
  <c r="Y165" i="19"/>
  <c r="T160" i="19"/>
  <c r="N154" i="19"/>
  <c r="S159" i="19"/>
  <c r="O155" i="19"/>
  <c r="V162" i="19"/>
  <c r="Y466" i="19"/>
  <c r="S460" i="19"/>
  <c r="T461" i="19"/>
  <c r="R459" i="19"/>
  <c r="O456" i="19"/>
  <c r="N455" i="19"/>
  <c r="X465" i="19"/>
  <c r="W464" i="19"/>
  <c r="P457" i="19"/>
  <c r="Q458" i="19"/>
  <c r="V463" i="19"/>
  <c r="U462" i="19"/>
  <c r="Q384" i="19"/>
  <c r="X391" i="19"/>
  <c r="Y392" i="19"/>
  <c r="V389" i="19"/>
  <c r="N381" i="19"/>
  <c r="R385" i="19"/>
  <c r="W390" i="19"/>
  <c r="T387" i="19"/>
  <c r="S386" i="19"/>
  <c r="P383" i="19"/>
  <c r="U388" i="19"/>
  <c r="O382" i="19"/>
  <c r="X575" i="19"/>
  <c r="T571" i="19"/>
  <c r="P567" i="19"/>
  <c r="Y576" i="19"/>
  <c r="V573" i="19"/>
  <c r="U572" i="19"/>
  <c r="S570" i="19"/>
  <c r="R569" i="19"/>
  <c r="W574" i="19"/>
  <c r="O566" i="19"/>
  <c r="N565" i="19"/>
  <c r="Q568" i="19"/>
  <c r="U435" i="19"/>
  <c r="O429" i="19"/>
  <c r="V436" i="19"/>
  <c r="X438" i="19"/>
  <c r="T434" i="19"/>
  <c r="S433" i="19"/>
  <c r="Q431" i="19"/>
  <c r="R432" i="19"/>
  <c r="W437" i="19"/>
  <c r="N428" i="19"/>
  <c r="P430" i="19"/>
  <c r="Y439" i="19"/>
  <c r="N274" i="19"/>
  <c r="U281" i="19"/>
  <c r="W283" i="19"/>
  <c r="Q277" i="19"/>
  <c r="X284" i="19"/>
  <c r="S279" i="19"/>
  <c r="P276" i="19"/>
  <c r="O275" i="19"/>
  <c r="R278" i="19"/>
  <c r="T280" i="19"/>
  <c r="Y285" i="19"/>
  <c r="V282" i="19"/>
  <c r="Y647" i="19"/>
  <c r="S641" i="19"/>
  <c r="U643" i="19"/>
  <c r="T642" i="19"/>
  <c r="O637" i="19"/>
  <c r="W645" i="19"/>
  <c r="Q639" i="19"/>
  <c r="X646" i="19"/>
  <c r="N636" i="19"/>
  <c r="P638" i="19"/>
  <c r="R640" i="19"/>
  <c r="V644" i="19"/>
  <c r="P414" i="19"/>
  <c r="W421" i="19"/>
  <c r="Q415" i="19"/>
  <c r="N412" i="19"/>
  <c r="T418" i="19"/>
  <c r="R416" i="19"/>
  <c r="S417" i="19"/>
  <c r="V420" i="19"/>
  <c r="O413" i="19"/>
  <c r="X422" i="19"/>
  <c r="U419" i="19"/>
  <c r="Y423" i="19"/>
  <c r="V301" i="19"/>
  <c r="P295" i="19"/>
  <c r="W302" i="19"/>
  <c r="R297" i="19"/>
  <c r="U300" i="19"/>
  <c r="N293" i="19"/>
  <c r="O294" i="19"/>
  <c r="Q296" i="19"/>
  <c r="Y304" i="19"/>
  <c r="X303" i="19"/>
  <c r="S298" i="19"/>
  <c r="T299" i="19"/>
  <c r="X480" i="19"/>
  <c r="Q473" i="19"/>
  <c r="V478" i="19"/>
  <c r="R474" i="19"/>
  <c r="W479" i="19"/>
  <c r="N470" i="19"/>
  <c r="T476" i="19"/>
  <c r="O471" i="19"/>
  <c r="U477" i="19"/>
  <c r="P472" i="19"/>
  <c r="Y481" i="19"/>
  <c r="S475" i="19"/>
  <c r="R692" i="19"/>
  <c r="Y699" i="19"/>
  <c r="S693" i="19"/>
  <c r="W697" i="19"/>
  <c r="O689" i="19"/>
  <c r="V696" i="19"/>
  <c r="U695" i="19"/>
  <c r="N688" i="19"/>
  <c r="P690" i="19"/>
  <c r="Q691" i="19"/>
  <c r="X698" i="19"/>
  <c r="T694" i="19"/>
  <c r="T688" i="19"/>
  <c r="Q685" i="19"/>
  <c r="W691" i="19"/>
  <c r="Y693" i="19"/>
  <c r="S687" i="19"/>
  <c r="N682" i="19"/>
  <c r="X692" i="19"/>
  <c r="R686" i="19"/>
  <c r="O683" i="19"/>
  <c r="P684" i="19"/>
  <c r="V690" i="19"/>
  <c r="U689" i="19"/>
  <c r="W206" i="19"/>
  <c r="S202" i="19"/>
  <c r="P199" i="19"/>
  <c r="Y208" i="19"/>
  <c r="X207" i="19"/>
  <c r="O198" i="19"/>
  <c r="V205" i="19"/>
  <c r="Q200" i="19"/>
  <c r="T203" i="19"/>
  <c r="U204" i="19"/>
  <c r="R201" i="19"/>
  <c r="N197" i="19"/>
  <c r="V321" i="19"/>
  <c r="P315" i="19"/>
  <c r="W322" i="19"/>
  <c r="R317" i="19"/>
  <c r="Y324" i="19"/>
  <c r="X323" i="19"/>
  <c r="Q316" i="19"/>
  <c r="O314" i="19"/>
  <c r="U320" i="19"/>
  <c r="N313" i="19"/>
  <c r="S318" i="19"/>
  <c r="T319" i="19"/>
  <c r="T661" i="19"/>
  <c r="N655" i="19"/>
  <c r="W664" i="19"/>
  <c r="R659" i="19"/>
  <c r="O656" i="19"/>
  <c r="Q658" i="19"/>
  <c r="S660" i="19"/>
  <c r="V663" i="19"/>
  <c r="X665" i="19"/>
  <c r="Y666" i="19"/>
  <c r="U662" i="19"/>
  <c r="P657" i="19"/>
  <c r="R697" i="19"/>
  <c r="Y704" i="19"/>
  <c r="S698" i="19"/>
  <c r="O694" i="19"/>
  <c r="U700" i="19"/>
  <c r="Q696" i="19"/>
  <c r="W702" i="19"/>
  <c r="V701" i="19"/>
  <c r="X703" i="19"/>
  <c r="N693" i="19"/>
  <c r="P695" i="19"/>
  <c r="T699" i="19"/>
  <c r="J7" i="11"/>
  <c r="S177" i="19"/>
  <c r="Q175" i="19"/>
  <c r="Y183" i="19"/>
  <c r="V180" i="19"/>
  <c r="P174" i="19"/>
  <c r="N172" i="19"/>
  <c r="O173" i="19"/>
  <c r="X182" i="19"/>
  <c r="T178" i="19"/>
  <c r="R176" i="19"/>
  <c r="W181" i="19"/>
  <c r="U179" i="19"/>
  <c r="U631" i="19"/>
  <c r="O625" i="19"/>
  <c r="V632" i="19"/>
  <c r="Q627" i="19"/>
  <c r="W633" i="19"/>
  <c r="R628" i="19"/>
  <c r="T630" i="19"/>
  <c r="Y635" i="19"/>
  <c r="P626" i="19"/>
  <c r="N624" i="19"/>
  <c r="S629" i="19"/>
  <c r="X634" i="19"/>
  <c r="T621" i="19"/>
  <c r="N615" i="19"/>
  <c r="X625" i="19"/>
  <c r="S620" i="19"/>
  <c r="U622" i="19"/>
  <c r="P617" i="19"/>
  <c r="Y626" i="19"/>
  <c r="W624" i="19"/>
  <c r="V623" i="19"/>
  <c r="R619" i="19"/>
  <c r="O616" i="19"/>
  <c r="Q618" i="19"/>
  <c r="T147" i="19"/>
  <c r="U148" i="19"/>
  <c r="W150" i="19"/>
  <c r="Y152" i="19"/>
  <c r="N141" i="19"/>
  <c r="O142" i="19"/>
  <c r="X151" i="19"/>
  <c r="R145" i="19"/>
  <c r="V149" i="19"/>
  <c r="P143" i="19"/>
  <c r="S146" i="19"/>
  <c r="Q144" i="19"/>
  <c r="O101" i="19"/>
  <c r="W109" i="19"/>
  <c r="Q103" i="19"/>
  <c r="Y111" i="19"/>
  <c r="U107" i="19"/>
  <c r="S105" i="19"/>
  <c r="X110" i="19"/>
  <c r="T106" i="19"/>
  <c r="P102" i="19"/>
  <c r="V108" i="19"/>
  <c r="N100" i="19"/>
  <c r="R104" i="19"/>
  <c r="S82" i="19"/>
  <c r="O78" i="19"/>
  <c r="T83" i="19"/>
  <c r="N77" i="19"/>
  <c r="Y88" i="19"/>
  <c r="V85" i="19"/>
  <c r="W86" i="19"/>
  <c r="R81" i="19"/>
  <c r="U84" i="19"/>
  <c r="P79" i="19"/>
  <c r="X87" i="19"/>
  <c r="Q80" i="19"/>
  <c r="P409" i="19"/>
  <c r="W416" i="19"/>
  <c r="Q410" i="19"/>
  <c r="U414" i="19"/>
  <c r="N407" i="19"/>
  <c r="V415" i="19"/>
  <c r="T413" i="19"/>
  <c r="X417" i="19"/>
  <c r="R411" i="19"/>
  <c r="O408" i="19"/>
  <c r="Y418" i="19"/>
  <c r="S412" i="19"/>
  <c r="Q285" i="19"/>
  <c r="X292" i="19"/>
  <c r="U289" i="19"/>
  <c r="P284" i="19"/>
  <c r="R286" i="19"/>
  <c r="O283" i="19"/>
  <c r="V290" i="19"/>
  <c r="N282" i="19"/>
  <c r="W291" i="19"/>
  <c r="Y293" i="19"/>
  <c r="S287" i="19"/>
  <c r="T288" i="19"/>
  <c r="Y627" i="19"/>
  <c r="S621" i="19"/>
  <c r="U623" i="19"/>
  <c r="W625" i="19"/>
  <c r="R620" i="19"/>
  <c r="T622" i="19"/>
  <c r="O617" i="19"/>
  <c r="X626" i="19"/>
  <c r="V624" i="19"/>
  <c r="Q619" i="19"/>
  <c r="N616" i="19"/>
  <c r="P618" i="19"/>
  <c r="T336" i="19"/>
  <c r="V338" i="19"/>
  <c r="O331" i="19"/>
  <c r="Y341" i="19"/>
  <c r="N330" i="19"/>
  <c r="S335" i="19"/>
  <c r="X340" i="19"/>
  <c r="U337" i="19"/>
  <c r="R334" i="19"/>
  <c r="Q333" i="19"/>
  <c r="W339" i="19"/>
  <c r="P332" i="19"/>
  <c r="P111" i="19"/>
  <c r="W118" i="19"/>
  <c r="Q112" i="19"/>
  <c r="X119" i="19"/>
  <c r="U116" i="19"/>
  <c r="R113" i="19"/>
  <c r="S114" i="19"/>
  <c r="N109" i="19"/>
  <c r="V117" i="19"/>
  <c r="Y120" i="19"/>
  <c r="T115" i="19"/>
  <c r="O110" i="19"/>
  <c r="Y587" i="19"/>
  <c r="S581" i="19"/>
  <c r="O577" i="19"/>
  <c r="W585" i="19"/>
  <c r="V584" i="19"/>
  <c r="U583" i="19"/>
  <c r="T582" i="19"/>
  <c r="X586" i="19"/>
  <c r="P578" i="19"/>
  <c r="R580" i="19"/>
  <c r="N576" i="19"/>
  <c r="Q579" i="19"/>
  <c r="Y617" i="19"/>
  <c r="S611" i="19"/>
  <c r="U613" i="19"/>
  <c r="V614" i="19"/>
  <c r="Q609" i="19"/>
  <c r="N606" i="19"/>
  <c r="R610" i="19"/>
  <c r="O607" i="19"/>
  <c r="T612" i="19"/>
  <c r="X616" i="19"/>
  <c r="W615" i="19"/>
  <c r="P608" i="19"/>
  <c r="Y602" i="19"/>
  <c r="S596" i="19"/>
  <c r="U598" i="19"/>
  <c r="W600" i="19"/>
  <c r="P593" i="19"/>
  <c r="R595" i="19"/>
  <c r="T597" i="19"/>
  <c r="X601" i="19"/>
  <c r="V599" i="19"/>
  <c r="Q594" i="19"/>
  <c r="O592" i="19"/>
  <c r="N591" i="19"/>
  <c r="R290" i="19"/>
  <c r="Y297" i="19"/>
  <c r="S291" i="19"/>
  <c r="N286" i="19"/>
  <c r="V294" i="19"/>
  <c r="O287" i="19"/>
  <c r="U293" i="19"/>
  <c r="Q289" i="19"/>
  <c r="P288" i="19"/>
  <c r="X296" i="19"/>
  <c r="T292" i="19"/>
  <c r="W295" i="19"/>
  <c r="T435" i="19"/>
  <c r="N429" i="19"/>
  <c r="U436" i="19"/>
  <c r="P431" i="19"/>
  <c r="Y440" i="19"/>
  <c r="S434" i="19"/>
  <c r="O430" i="19"/>
  <c r="R433" i="19"/>
  <c r="W438" i="19"/>
  <c r="Q432" i="19"/>
  <c r="V437" i="19"/>
  <c r="X439" i="19"/>
  <c r="T698" i="19"/>
  <c r="V700" i="19"/>
  <c r="R696" i="19"/>
  <c r="X702" i="19"/>
  <c r="O693" i="19"/>
  <c r="S697" i="19"/>
  <c r="P694" i="19"/>
  <c r="Y703" i="19"/>
  <c r="N692" i="19"/>
  <c r="W701" i="19"/>
  <c r="Q695" i="19"/>
  <c r="U699" i="19"/>
  <c r="Q64" i="19"/>
  <c r="W70" i="19"/>
  <c r="Y72" i="19"/>
  <c r="T67" i="19"/>
  <c r="P63" i="19"/>
  <c r="U68" i="19"/>
  <c r="S66" i="19"/>
  <c r="V69" i="19"/>
  <c r="O62" i="19"/>
  <c r="R65" i="19"/>
  <c r="X71" i="19"/>
  <c r="N61" i="19"/>
  <c r="R225" i="19"/>
  <c r="Y232" i="19"/>
  <c r="W230" i="19"/>
  <c r="U228" i="19"/>
  <c r="X231" i="19"/>
  <c r="O222" i="19"/>
  <c r="V229" i="19"/>
  <c r="N221" i="19"/>
  <c r="T227" i="19"/>
  <c r="P223" i="19"/>
  <c r="S226" i="19"/>
  <c r="Q224" i="19"/>
  <c r="P419" i="19"/>
  <c r="W426" i="19"/>
  <c r="Q420" i="19"/>
  <c r="V425" i="19"/>
  <c r="X427" i="19"/>
  <c r="S422" i="19"/>
  <c r="N417" i="19"/>
  <c r="U424" i="19"/>
  <c r="R421" i="19"/>
  <c r="Y428" i="19"/>
  <c r="O418" i="19"/>
  <c r="T423" i="19"/>
  <c r="X153" i="19"/>
  <c r="Y154" i="19"/>
  <c r="S148" i="19"/>
  <c r="Q146" i="19"/>
  <c r="O144" i="19"/>
  <c r="U150" i="19"/>
  <c r="W152" i="19"/>
  <c r="N143" i="19"/>
  <c r="V151" i="19"/>
  <c r="P145" i="19"/>
  <c r="T149" i="19"/>
  <c r="R147" i="19"/>
  <c r="X163" i="19"/>
  <c r="Y164" i="19"/>
  <c r="O154" i="19"/>
  <c r="S158" i="19"/>
  <c r="Q156" i="19"/>
  <c r="N153" i="19"/>
  <c r="U160" i="19"/>
  <c r="T159" i="19"/>
  <c r="P155" i="19"/>
  <c r="V161" i="19"/>
  <c r="W162" i="19"/>
  <c r="R157" i="19"/>
  <c r="R310" i="19"/>
  <c r="Y317" i="19"/>
  <c r="S311" i="19"/>
  <c r="N306" i="19"/>
  <c r="Q309" i="19"/>
  <c r="V314" i="19"/>
  <c r="P308" i="19"/>
  <c r="O307" i="19"/>
  <c r="T312" i="19"/>
  <c r="X316" i="19"/>
  <c r="U313" i="19"/>
  <c r="W315" i="19"/>
  <c r="T246" i="19"/>
  <c r="V248" i="19"/>
  <c r="O241" i="19"/>
  <c r="U247" i="19"/>
  <c r="Q243" i="19"/>
  <c r="R244" i="19"/>
  <c r="Y251" i="19"/>
  <c r="S245" i="19"/>
  <c r="W249" i="19"/>
  <c r="P242" i="19"/>
  <c r="N240" i="19"/>
  <c r="X250" i="19"/>
  <c r="Y530" i="19"/>
  <c r="S524" i="19"/>
  <c r="V527" i="19"/>
  <c r="Q522" i="19"/>
  <c r="N519" i="19"/>
  <c r="P521" i="19"/>
  <c r="R523" i="19"/>
  <c r="T525" i="19"/>
  <c r="U526" i="19"/>
  <c r="X529" i="19"/>
  <c r="W528" i="19"/>
  <c r="O520" i="19"/>
  <c r="P434" i="19"/>
  <c r="W441" i="19"/>
  <c r="Q435" i="19"/>
  <c r="U439" i="19"/>
  <c r="R436" i="19"/>
  <c r="T438" i="19"/>
  <c r="Y443" i="19"/>
  <c r="X442" i="19"/>
  <c r="V440" i="19"/>
  <c r="O433" i="19"/>
  <c r="N432" i="19"/>
  <c r="S437" i="19"/>
  <c r="P625" i="19"/>
  <c r="W632" i="19"/>
  <c r="Y634" i="19"/>
  <c r="V631" i="19"/>
  <c r="X633" i="19"/>
  <c r="S628" i="19"/>
  <c r="N623" i="19"/>
  <c r="U630" i="19"/>
  <c r="T629" i="19"/>
  <c r="R627" i="19"/>
  <c r="Q626" i="19"/>
  <c r="O624" i="19"/>
  <c r="X108" i="19"/>
  <c r="Y109" i="19"/>
  <c r="O99" i="19"/>
  <c r="Q101" i="19"/>
  <c r="S103" i="19"/>
  <c r="W107" i="19"/>
  <c r="R102" i="19"/>
  <c r="P100" i="19"/>
  <c r="U105" i="19"/>
  <c r="V106" i="19"/>
  <c r="T104" i="19"/>
  <c r="N98" i="19"/>
  <c r="Q742" i="19"/>
  <c r="X749" i="19"/>
  <c r="U746" i="19"/>
  <c r="V747" i="19"/>
  <c r="T745" i="19"/>
  <c r="S744" i="19"/>
  <c r="N739" i="19"/>
  <c r="P741" i="19"/>
  <c r="W748" i="19"/>
  <c r="R743" i="19"/>
  <c r="Y750" i="19"/>
  <c r="O740" i="19"/>
  <c r="R682" i="19"/>
  <c r="Y689" i="19"/>
  <c r="S683" i="19"/>
  <c r="X688" i="19"/>
  <c r="O679" i="19"/>
  <c r="N678" i="19"/>
  <c r="W687" i="19"/>
  <c r="V686" i="19"/>
  <c r="P680" i="19"/>
  <c r="Q681" i="19"/>
  <c r="T684" i="19"/>
  <c r="U685" i="19"/>
  <c r="S53" i="19"/>
  <c r="Y59" i="19"/>
  <c r="R52" i="19"/>
  <c r="W57" i="19"/>
  <c r="Q51" i="19"/>
  <c r="P50" i="19"/>
  <c r="O49" i="19"/>
  <c r="T54" i="19"/>
  <c r="V56" i="19"/>
  <c r="U55" i="19"/>
  <c r="X58" i="19"/>
  <c r="N48" i="19"/>
  <c r="N309" i="19"/>
  <c r="U316" i="19"/>
  <c r="O310" i="19"/>
  <c r="X319" i="19"/>
  <c r="S314" i="19"/>
  <c r="T315" i="19"/>
  <c r="V317" i="19"/>
  <c r="W318" i="19"/>
  <c r="Q312" i="19"/>
  <c r="P311" i="19"/>
  <c r="Y320" i="19"/>
  <c r="R313" i="19"/>
  <c r="W537" i="19"/>
  <c r="S533" i="19"/>
  <c r="N528" i="19"/>
  <c r="Y539" i="19"/>
  <c r="P530" i="19"/>
  <c r="O529" i="19"/>
  <c r="R532" i="19"/>
  <c r="U535" i="19"/>
  <c r="X538" i="19"/>
  <c r="V536" i="19"/>
  <c r="T534" i="19"/>
  <c r="Q531" i="19"/>
  <c r="AB24" i="20"/>
  <c r="AE24" i="20" s="1"/>
  <c r="X25" i="16"/>
  <c r="X712" i="16"/>
  <c r="X377" i="16"/>
  <c r="X646" i="16"/>
  <c r="X728" i="16"/>
  <c r="X535" i="16"/>
  <c r="X304" i="16"/>
  <c r="X235" i="16"/>
  <c r="X778" i="16"/>
  <c r="X572" i="16"/>
  <c r="X805" i="16"/>
  <c r="X818" i="16"/>
  <c r="X374" i="16"/>
  <c r="X414" i="16"/>
  <c r="X801" i="16"/>
  <c r="X614" i="16"/>
  <c r="X791" i="16"/>
  <c r="X810" i="16"/>
  <c r="X396" i="16"/>
  <c r="X683" i="16"/>
  <c r="X781" i="16"/>
  <c r="X444" i="16"/>
  <c r="X65" i="16"/>
  <c r="X96" i="16"/>
  <c r="X592" i="16"/>
  <c r="X338" i="16"/>
  <c r="X113" i="16"/>
  <c r="X294" i="16"/>
  <c r="X64" i="16"/>
  <c r="X645" i="16"/>
  <c r="X225" i="16"/>
  <c r="X308" i="16"/>
  <c r="X672" i="16"/>
  <c r="X627" i="16"/>
  <c r="X148" i="16"/>
  <c r="X72" i="16"/>
  <c r="X441" i="16"/>
  <c r="X130" i="16"/>
  <c r="X622" i="16"/>
  <c r="X168" i="16"/>
  <c r="X198" i="16"/>
  <c r="X344" i="16"/>
  <c r="X575" i="16"/>
  <c r="X191" i="16"/>
  <c r="X265" i="16"/>
  <c r="X630" i="16"/>
  <c r="X415" i="16"/>
  <c r="X763" i="16"/>
  <c r="X394" i="16"/>
  <c r="X696" i="16"/>
  <c r="X361" i="16"/>
  <c r="X211" i="16"/>
  <c r="X252" i="16"/>
  <c r="X554" i="16"/>
  <c r="X577" i="16"/>
  <c r="X638" i="16"/>
  <c r="X52" i="16"/>
  <c r="X562" i="16"/>
  <c r="X35" i="16"/>
  <c r="X797" i="16"/>
  <c r="X699" i="16"/>
  <c r="X661" i="16"/>
  <c r="X785" i="16"/>
  <c r="X205" i="16"/>
  <c r="X762" i="16"/>
  <c r="X611" i="16"/>
  <c r="X687" i="16"/>
  <c r="X157" i="16"/>
  <c r="X384" i="16"/>
  <c r="X301" i="16"/>
  <c r="X236" i="16"/>
  <c r="X740" i="16"/>
  <c r="X88" i="16"/>
  <c r="X358" i="16"/>
  <c r="X391" i="16"/>
  <c r="X559" i="16"/>
  <c r="X685" i="16"/>
  <c r="X108" i="16"/>
  <c r="X350" i="16"/>
  <c r="X508" i="16"/>
  <c r="X135" i="16"/>
  <c r="X497" i="16"/>
  <c r="X245" i="16"/>
  <c r="X258" i="16"/>
  <c r="X425" i="16"/>
  <c r="X531" i="16"/>
  <c r="X615" i="16"/>
  <c r="X521" i="16"/>
  <c r="X274" i="16"/>
  <c r="X238" i="16"/>
  <c r="X215" i="16"/>
  <c r="X759" i="16"/>
  <c r="X410" i="16"/>
  <c r="X114" i="16"/>
  <c r="X101" i="16"/>
  <c r="X248" i="16"/>
  <c r="X606" i="16"/>
  <c r="X77" i="16"/>
  <c r="X505" i="16"/>
  <c r="X735" i="16"/>
  <c r="X19" i="16"/>
  <c r="X747" i="16"/>
  <c r="X201" i="16"/>
  <c r="X513" i="16"/>
  <c r="X378" i="16"/>
  <c r="X388" i="16"/>
  <c r="X543" i="16"/>
  <c r="X303" i="16"/>
  <c r="X286" i="16"/>
  <c r="X700" i="16"/>
  <c r="X251" i="16"/>
  <c r="X604" i="16"/>
  <c r="X134" i="16"/>
  <c r="X153" i="16"/>
  <c r="X470" i="16"/>
  <c r="X118" i="16"/>
  <c r="X516" i="16"/>
  <c r="X78" i="16"/>
  <c r="X226" i="16"/>
  <c r="X331" i="16"/>
  <c r="X528" i="16"/>
  <c r="X701" i="16"/>
  <c r="X333" i="16"/>
  <c r="X154" i="16"/>
  <c r="X751" i="16"/>
  <c r="X403" i="16"/>
  <c r="X771" i="16"/>
  <c r="X281" i="16"/>
  <c r="X193" i="16"/>
  <c r="X139" i="16"/>
  <c r="X481" i="16"/>
  <c r="X555" i="16"/>
  <c r="X671" i="16"/>
  <c r="X259" i="16"/>
  <c r="X448" i="16"/>
  <c r="X547" i="16"/>
  <c r="X299" i="16"/>
  <c r="X318" i="16"/>
  <c r="X119" i="16"/>
  <c r="X171" i="16"/>
  <c r="X133" i="16"/>
  <c r="X75" i="16"/>
  <c r="X160" i="16"/>
  <c r="X420" i="16"/>
  <c r="X498" i="16"/>
  <c r="X41" i="16"/>
  <c r="X653" i="16"/>
  <c r="X571" i="16"/>
  <c r="X263" i="16"/>
  <c r="X285" i="16"/>
  <c r="X666" i="16"/>
  <c r="X743" i="16"/>
  <c r="X599" i="16"/>
  <c r="X36" i="16"/>
  <c r="X587" i="16"/>
  <c r="X466" i="16"/>
  <c r="X411" i="16"/>
  <c r="X533" i="16"/>
  <c r="X140" i="16"/>
  <c r="X795" i="16"/>
  <c r="X409" i="16"/>
  <c r="X490" i="16"/>
  <c r="X145" i="16"/>
  <c r="X183" i="16"/>
  <c r="X311" i="16"/>
  <c r="X38" i="16"/>
  <c r="X136" i="16"/>
  <c r="X340" i="16"/>
  <c r="X81" i="16"/>
  <c r="X583" i="16"/>
  <c r="X355" i="16"/>
  <c r="X821" i="16"/>
  <c r="X43" i="16"/>
  <c r="X677" i="16"/>
  <c r="X798" i="16"/>
  <c r="X175" i="16"/>
  <c r="X680" i="16"/>
  <c r="X335" i="16"/>
  <c r="X681" i="16"/>
  <c r="X814" i="16"/>
  <c r="X208" i="16"/>
  <c r="X163" i="16"/>
  <c r="X298" i="16"/>
  <c r="X723" i="16"/>
  <c r="X786" i="16"/>
  <c r="X494" i="16"/>
  <c r="X264" i="16"/>
  <c r="X316" i="16"/>
  <c r="X387" i="16"/>
  <c r="X220" i="16"/>
  <c r="X731" i="16"/>
  <c r="X453" i="16"/>
  <c r="X790" i="16"/>
  <c r="X808" i="16"/>
  <c r="X796" i="16"/>
  <c r="X416" i="16"/>
  <c r="X758" i="16"/>
  <c r="X581" i="16"/>
  <c r="X159" i="16"/>
  <c r="X12" i="16"/>
  <c r="X187" i="16"/>
  <c r="X761" i="16"/>
  <c r="X313" i="16"/>
  <c r="X452" i="16"/>
  <c r="X752" i="16"/>
  <c r="X717" i="16"/>
  <c r="X713" i="16"/>
  <c r="X456" i="16"/>
  <c r="X109" i="16"/>
  <c r="X229" i="16"/>
  <c r="X177" i="16"/>
  <c r="X541" i="16"/>
  <c r="X124" i="16"/>
  <c r="X63" i="16"/>
  <c r="X730" i="16"/>
  <c r="X431" i="16"/>
  <c r="X507" i="16"/>
  <c r="X357" i="16"/>
  <c r="X766" i="16"/>
  <c r="X87" i="16"/>
  <c r="X417" i="16"/>
  <c r="X676" i="16"/>
  <c r="X370" i="16"/>
  <c r="X632" i="16"/>
  <c r="X727" i="16"/>
  <c r="X103" i="16"/>
  <c r="X693" i="16"/>
  <c r="X79" i="16"/>
  <c r="X526" i="16"/>
  <c r="X620" i="16"/>
  <c r="X268" i="16"/>
  <c r="X492" i="16"/>
  <c r="X739" i="16"/>
  <c r="X283" i="16"/>
  <c r="X472" i="16"/>
  <c r="X479" i="16"/>
  <c r="X473" i="16"/>
  <c r="X317" i="16"/>
  <c r="X98" i="16"/>
  <c r="X674" i="16"/>
  <c r="X591" i="16"/>
  <c r="X652" i="16"/>
  <c r="X659" i="16"/>
  <c r="X704" i="16"/>
  <c r="X372" i="16"/>
  <c r="X609" i="16"/>
  <c r="X287" i="16"/>
  <c r="X345" i="16"/>
  <c r="X185" i="16"/>
  <c r="X60" i="16"/>
  <c r="X312" i="16"/>
  <c r="X54" i="16"/>
  <c r="X471" i="16"/>
  <c r="X613" i="16"/>
  <c r="X196" i="16"/>
  <c r="X434" i="16"/>
  <c r="X610" i="16"/>
  <c r="X48" i="16"/>
  <c r="X314" i="16"/>
  <c r="X29" i="16"/>
  <c r="X534" i="16"/>
  <c r="X181" i="16"/>
  <c r="X373" i="16"/>
  <c r="X665" i="16"/>
  <c r="X121" i="16"/>
  <c r="X59" i="16"/>
  <c r="X673" i="16"/>
  <c r="X602" i="16"/>
  <c r="X180" i="16"/>
  <c r="X320" i="16"/>
  <c r="X278" i="16"/>
  <c r="X275" i="16"/>
  <c r="X328" i="16"/>
  <c r="X322" i="16"/>
  <c r="X588" i="16"/>
  <c r="X405" i="16"/>
  <c r="X468" i="16"/>
  <c r="X538" i="16"/>
  <c r="X162" i="16"/>
  <c r="X104" i="16"/>
  <c r="X684" i="16"/>
  <c r="X679" i="16"/>
  <c r="X406" i="16"/>
  <c r="X34" i="16"/>
  <c r="X200" i="16"/>
  <c r="X14" i="16"/>
  <c r="X199" i="16"/>
  <c r="X178" i="16"/>
  <c r="X306" i="16"/>
  <c r="X195" i="16"/>
  <c r="X69" i="16"/>
  <c r="X297" i="16"/>
  <c r="X689" i="16"/>
  <c r="X509" i="16"/>
  <c r="X277" i="16"/>
  <c r="X809" i="16"/>
  <c r="X461" i="16"/>
  <c r="X569" i="16"/>
  <c r="X379" i="16"/>
  <c r="X787" i="16"/>
  <c r="X122" i="16"/>
  <c r="X156" i="16"/>
  <c r="X250" i="16"/>
  <c r="X3" i="16"/>
  <c r="X206" i="16"/>
  <c r="X522" i="16"/>
  <c r="X462" i="16"/>
  <c r="X800" i="16"/>
  <c r="X663" i="16"/>
  <c r="X89" i="16"/>
  <c r="X90" i="16"/>
  <c r="X816" i="16"/>
  <c r="X32" i="16"/>
  <c r="X76" i="16"/>
  <c r="X540" i="16"/>
  <c r="X777" i="16"/>
  <c r="X754" i="16"/>
  <c r="X626" i="16"/>
  <c r="X719" i="16"/>
  <c r="X155" i="16"/>
  <c r="X596" i="16"/>
  <c r="X255" i="16"/>
  <c r="X232" i="16"/>
  <c r="X686" i="16"/>
  <c r="X115" i="16"/>
  <c r="X584" i="16"/>
  <c r="X152" i="16"/>
  <c r="X61" i="16"/>
  <c r="X721" i="16"/>
  <c r="X718" i="16"/>
  <c r="X291" i="16"/>
  <c r="X757" i="16"/>
  <c r="X395" i="16"/>
  <c r="X734" i="16"/>
  <c r="X237" i="16"/>
  <c r="X428" i="16"/>
  <c r="X708" i="16"/>
  <c r="X123" i="16"/>
  <c r="X93" i="16"/>
  <c r="X617" i="16"/>
  <c r="X623" i="16"/>
  <c r="X143" i="16"/>
  <c r="X111" i="16"/>
  <c r="X484" i="16"/>
  <c r="X100" i="16"/>
  <c r="X636" i="16"/>
  <c r="X746" i="16"/>
  <c r="X366" i="16"/>
  <c r="X112" i="16"/>
  <c r="X257" i="16"/>
  <c r="X174" i="16"/>
  <c r="X642" i="16"/>
  <c r="X353" i="16"/>
  <c r="X660" i="16"/>
  <c r="X695" i="16"/>
  <c r="X765" i="16"/>
  <c r="X169" i="16"/>
  <c r="X362" i="16"/>
  <c r="X457" i="16"/>
  <c r="X463" i="16"/>
  <c r="X529" i="16"/>
  <c r="X422" i="16"/>
  <c r="X307" i="16"/>
  <c r="X643" i="16"/>
  <c r="X705" i="16"/>
  <c r="X792" i="16"/>
  <c r="X597" i="16"/>
  <c r="X768" i="16"/>
  <c r="X692" i="16"/>
  <c r="X578" i="16"/>
  <c r="X230" i="16"/>
  <c r="X499" i="16"/>
  <c r="X95" i="16"/>
  <c r="X714" i="16"/>
  <c r="X477" i="16"/>
  <c r="X618" i="16"/>
  <c r="X51" i="16"/>
  <c r="X566" i="16"/>
  <c r="X260" i="16"/>
  <c r="X694" i="16"/>
  <c r="X537" i="16"/>
  <c r="X179" i="16"/>
  <c r="X165" i="16"/>
  <c r="X506" i="16"/>
  <c r="X17" i="16"/>
  <c r="X776" i="16"/>
  <c r="X352" i="16"/>
  <c r="X702" i="16"/>
  <c r="X21" i="16"/>
  <c r="X460" i="16"/>
  <c r="X489" i="16"/>
  <c r="X70" i="16"/>
  <c r="X519" i="16"/>
  <c r="X439" i="16"/>
  <c r="X397" i="16"/>
  <c r="X670" i="16"/>
  <c r="X212" i="16"/>
  <c r="X772" i="16"/>
  <c r="X45" i="16"/>
  <c r="X282" i="16"/>
  <c r="X500" i="16"/>
  <c r="X296" i="16"/>
  <c r="X590" i="16"/>
  <c r="X811" i="16"/>
  <c r="X339" i="16"/>
  <c r="X166" i="16"/>
  <c r="X486" i="16"/>
  <c r="X393" i="16"/>
  <c r="X493" i="16"/>
  <c r="X560" i="16"/>
  <c r="X628" i="16"/>
  <c r="X9" i="16"/>
  <c r="X621" i="16"/>
  <c r="X302" i="16"/>
  <c r="X510" i="16"/>
  <c r="X815" i="16"/>
  <c r="X654" i="16"/>
  <c r="X458" i="16"/>
  <c r="X224" i="16"/>
  <c r="X433" i="16"/>
  <c r="X267" i="16"/>
  <c r="X172" i="16"/>
  <c r="X247" i="16"/>
  <c r="X371" i="16"/>
  <c r="X520" i="16"/>
  <c r="X243" i="16"/>
  <c r="X290" i="16"/>
  <c r="X400" i="16"/>
  <c r="X524" i="16"/>
  <c r="X62" i="16"/>
  <c r="X68" i="16"/>
  <c r="X402" i="16"/>
  <c r="X635" i="16"/>
  <c r="X33" i="16"/>
  <c r="X558" i="16"/>
  <c r="X822" i="16"/>
  <c r="X253" i="16"/>
  <c r="X820" i="16"/>
  <c r="X749" i="16"/>
  <c r="X92" i="16"/>
  <c r="X574" i="16"/>
  <c r="X149" i="16"/>
  <c r="X261" i="16"/>
  <c r="X71" i="16"/>
  <c r="X24" i="16"/>
  <c r="X561" i="16"/>
  <c r="X551" i="16"/>
  <c r="X804" i="16"/>
  <c r="X146" i="16"/>
  <c r="X137" i="16"/>
  <c r="X780" i="16"/>
  <c r="X126" i="16"/>
  <c r="X399" i="16"/>
  <c r="X480" i="16"/>
  <c r="X319" i="16"/>
  <c r="X346" i="16"/>
  <c r="X334" i="16"/>
  <c r="X151" i="16"/>
  <c r="X337" i="16"/>
  <c r="X715" i="16"/>
  <c r="X381" i="16"/>
  <c r="X82" i="16"/>
  <c r="X359" i="16"/>
  <c r="X707" i="16"/>
  <c r="X760" i="16"/>
  <c r="X564" i="16"/>
  <c r="X729" i="16"/>
  <c r="X550" i="16"/>
  <c r="X203" i="16"/>
  <c r="X385" i="16"/>
  <c r="X389" i="16"/>
  <c r="X325" i="16"/>
  <c r="X573" i="16"/>
  <c r="X443" i="16"/>
  <c r="X204" i="16"/>
  <c r="X349" i="16"/>
  <c r="X442" i="16"/>
  <c r="X737" i="16"/>
  <c r="X390" i="16"/>
  <c r="X532" i="16"/>
  <c r="X446" i="16"/>
  <c r="X556" i="16"/>
  <c r="X188" i="16"/>
  <c r="X445" i="16"/>
  <c r="X398" i="16"/>
  <c r="X546" i="16"/>
  <c r="X517" i="16"/>
  <c r="X58" i="16"/>
  <c r="X774" i="16"/>
  <c r="X491" i="16"/>
  <c r="X631" i="16"/>
  <c r="X117" i="16"/>
  <c r="X194" i="16"/>
  <c r="X483" i="16"/>
  <c r="X655" i="16"/>
  <c r="X132" i="16"/>
  <c r="X273" i="16"/>
  <c r="X176" i="16"/>
  <c r="X164" i="16"/>
  <c r="X144" i="16"/>
  <c r="X514" i="16"/>
  <c r="X354" i="16"/>
  <c r="X288" i="16"/>
  <c r="X563" i="16"/>
  <c r="X803" i="16"/>
  <c r="X625" i="16"/>
  <c r="X455" i="16"/>
  <c r="X741" i="16"/>
  <c r="X46" i="16"/>
  <c r="X142" i="16"/>
  <c r="X213" i="16"/>
  <c r="X102" i="16"/>
  <c r="X794" i="16"/>
  <c r="X343" i="16"/>
  <c r="X451" i="16"/>
  <c r="X241" i="16"/>
  <c r="X634" i="16"/>
  <c r="X37" i="16"/>
  <c r="X552" i="16"/>
  <c r="X209" i="16"/>
  <c r="X438" i="16"/>
  <c r="X544" i="16"/>
  <c r="X382" i="16"/>
  <c r="X435" i="16"/>
  <c r="X190" i="16"/>
  <c r="X767" i="16"/>
  <c r="X368" i="16"/>
  <c r="X738" i="16"/>
  <c r="X376" i="16"/>
  <c r="X131" i="16"/>
  <c r="X2" i="16"/>
  <c r="X120" i="16"/>
  <c r="X539" i="16"/>
  <c r="X363" i="16"/>
  <c r="X793" i="16"/>
  <c r="X105" i="16"/>
  <c r="X279" i="16"/>
  <c r="X227" i="16"/>
  <c r="X86" i="16"/>
  <c r="X324" i="16"/>
  <c r="X691" i="16"/>
  <c r="X527" i="16"/>
  <c r="X710" i="16"/>
  <c r="X351" i="16"/>
  <c r="X579" i="16"/>
  <c r="X57" i="16"/>
  <c r="X31" i="16"/>
  <c r="X657" i="16"/>
  <c r="X709" i="16"/>
  <c r="X418" i="16"/>
  <c r="X293" i="16"/>
  <c r="X662" i="16"/>
  <c r="X548" i="16"/>
  <c r="X30" i="16"/>
  <c r="X633" i="16"/>
  <c r="X637" i="16"/>
  <c r="X342" i="16"/>
  <c r="X450" i="16"/>
  <c r="X107" i="16"/>
  <c r="X487" i="16"/>
  <c r="X640" i="16"/>
  <c r="X233" i="16"/>
  <c r="X407" i="16"/>
  <c r="X421" i="16"/>
  <c r="X408" i="16"/>
  <c r="X518" i="16"/>
  <c r="X254" i="16"/>
  <c r="X690" i="16"/>
  <c r="X173" i="16"/>
  <c r="X580" i="16"/>
  <c r="X697" i="16"/>
  <c r="X234" i="16"/>
  <c r="X49" i="16"/>
  <c r="X20" i="16"/>
  <c r="X525" i="16"/>
  <c r="X549" i="16"/>
  <c r="X147" i="16"/>
  <c r="X720" i="16"/>
  <c r="X375" i="16"/>
  <c r="X256" i="16"/>
  <c r="X219" i="16"/>
  <c r="X300" i="16"/>
  <c r="X271" i="16"/>
  <c r="X424" i="16"/>
  <c r="X242" i="16"/>
  <c r="X601" i="16"/>
  <c r="X332" i="16"/>
  <c r="X496" i="16"/>
  <c r="X315" i="16"/>
  <c r="X84" i="16"/>
  <c r="X321" i="16"/>
  <c r="X401" i="16"/>
  <c r="X437" i="16"/>
  <c r="X223" i="16"/>
  <c r="X347" i="16"/>
  <c r="X504" i="16"/>
  <c r="X582" i="16"/>
  <c r="X365" i="16"/>
  <c r="X262" i="16"/>
  <c r="X327" i="16"/>
  <c r="X667" i="16"/>
  <c r="X789" i="16"/>
  <c r="X426" i="16"/>
  <c r="X66" i="16"/>
  <c r="X364" i="16"/>
  <c r="X469" i="16"/>
  <c r="X222" i="16"/>
  <c r="X567" i="16"/>
  <c r="X284" i="16"/>
  <c r="X501" i="16"/>
  <c r="X336" i="16"/>
  <c r="X570" i="16"/>
  <c r="X607" i="16"/>
  <c r="X502" i="16"/>
  <c r="X647" i="16"/>
  <c r="X449" i="16"/>
  <c r="X459" i="16"/>
  <c r="X305" i="16"/>
  <c r="X593" i="16"/>
  <c r="X488" i="16"/>
  <c r="X83" i="16"/>
  <c r="X585" i="16"/>
  <c r="X239" i="16"/>
  <c r="X733" i="16"/>
  <c r="X272" i="16"/>
  <c r="X440" i="16"/>
  <c r="X44" i="16"/>
  <c r="X545" i="16"/>
  <c r="X74" i="16"/>
  <c r="X812" i="16"/>
  <c r="X651" i="16"/>
  <c r="X817" i="16"/>
  <c r="X732" i="16"/>
  <c r="X167" i="16"/>
  <c r="X270" i="16"/>
  <c r="X745" i="16"/>
  <c r="X207" i="16"/>
  <c r="X769" i="16"/>
  <c r="X97" i="16"/>
  <c r="X329" i="16"/>
  <c r="X711" i="16"/>
  <c r="X432" i="16"/>
  <c r="X779" i="16"/>
  <c r="X269" i="16"/>
  <c r="X475" i="16"/>
  <c r="X565" i="16"/>
  <c r="X756" i="16"/>
  <c r="X648" i="16"/>
  <c r="X464" i="16"/>
  <c r="X280" i="16"/>
  <c r="X465" i="16"/>
  <c r="X141" i="16"/>
  <c r="X427" i="16"/>
  <c r="X228" i="16"/>
  <c r="X11" i="16"/>
  <c r="X430" i="16"/>
  <c r="X91" i="16"/>
  <c r="X27" i="16"/>
  <c r="X542" i="16"/>
  <c r="X266" i="16"/>
  <c r="X386" i="16"/>
  <c r="X436" i="16"/>
  <c r="X725" i="16"/>
  <c r="X94" i="16"/>
  <c r="X784" i="16"/>
  <c r="X197" i="16"/>
  <c r="X348" i="16"/>
  <c r="X125" i="16"/>
  <c r="X4" i="16"/>
  <c r="X244" i="16"/>
  <c r="X23" i="16"/>
  <c r="X482" i="16"/>
  <c r="X423" i="16"/>
  <c r="X608" i="16"/>
  <c r="X495" i="16"/>
  <c r="X39" i="16"/>
  <c r="X295" i="16"/>
  <c r="X650" i="16"/>
  <c r="X360" i="16"/>
  <c r="X15" i="16"/>
  <c r="X150" i="16"/>
  <c r="X202" i="16"/>
  <c r="X557" i="16"/>
  <c r="X530" i="16"/>
  <c r="X447" i="16"/>
  <c r="X28" i="16"/>
  <c r="X326" i="16"/>
  <c r="X755" i="16"/>
  <c r="X724" i="16"/>
  <c r="X523" i="16"/>
  <c r="X383" i="16"/>
  <c r="X367" i="16"/>
  <c r="X783" i="16"/>
  <c r="X454" i="16"/>
  <c r="X53" i="16"/>
  <c r="X664" i="16"/>
  <c r="X603" i="16"/>
  <c r="X73" i="16"/>
  <c r="X292" i="16"/>
  <c r="X788" i="16"/>
  <c r="X249" i="16"/>
  <c r="X568" i="16"/>
  <c r="X716" i="16"/>
  <c r="X10" i="16"/>
  <c r="X515" i="16"/>
  <c r="X80" i="16"/>
  <c r="X85" i="16"/>
  <c r="X289" i="16"/>
  <c r="X246" i="16"/>
  <c r="X511" i="16"/>
  <c r="X698" i="16"/>
  <c r="X478" i="16"/>
  <c r="X356" i="16"/>
  <c r="X553" i="16"/>
  <c r="X16" i="16"/>
  <c r="X503" i="16"/>
  <c r="X419" i="16"/>
  <c r="X595" i="16"/>
  <c r="X392" i="16"/>
  <c r="X819" i="16"/>
  <c r="X656" i="16"/>
  <c r="X742" i="16"/>
  <c r="X629" i="16"/>
  <c r="X736" i="16"/>
  <c r="X476" i="16"/>
  <c r="X309" i="16"/>
  <c r="X231" i="16"/>
  <c r="X99" i="16"/>
  <c r="X748" i="16"/>
  <c r="X216" i="16"/>
  <c r="X624" i="16"/>
  <c r="X467" i="16"/>
  <c r="X598" i="16"/>
  <c r="X18" i="16"/>
  <c r="X13" i="16"/>
  <c r="X668" i="16"/>
  <c r="X127" i="16"/>
  <c r="X649" i="16"/>
  <c r="X722" i="16"/>
  <c r="X586" i="16"/>
  <c r="X217" i="16"/>
  <c r="X616" i="16"/>
  <c r="X600" i="16"/>
  <c r="X22" i="16"/>
  <c r="X807" i="16"/>
  <c r="X813" i="16"/>
  <c r="X380" i="16"/>
  <c r="X413" i="16"/>
  <c r="X323" i="16"/>
  <c r="X744" i="16"/>
  <c r="X594" i="16"/>
  <c r="X138" i="16"/>
  <c r="X806" i="16"/>
  <c r="X170" i="16"/>
  <c r="X67" i="16"/>
  <c r="X240" i="16"/>
  <c r="X40" i="16"/>
  <c r="X764" i="16"/>
  <c r="X276" i="16"/>
  <c r="X589" i="16"/>
  <c r="X726" i="16"/>
  <c r="X669" i="16"/>
  <c r="X750" i="16"/>
  <c r="X799" i="16"/>
  <c r="X775" i="16"/>
  <c r="X310" i="16"/>
  <c r="X192" i="16"/>
  <c r="X129" i="16"/>
  <c r="X106" i="16"/>
  <c r="X641" i="16"/>
  <c r="X161" i="16"/>
  <c r="X186" i="16"/>
  <c r="X189" i="16"/>
  <c r="X536" i="16"/>
  <c r="X47" i="16"/>
  <c r="X429" i="16"/>
  <c r="X330" i="16"/>
  <c r="X644" i="16"/>
  <c r="X802" i="16"/>
  <c r="X55" i="16"/>
  <c r="X753" i="16"/>
  <c r="X184" i="16"/>
  <c r="X214" i="16"/>
  <c r="X773" i="16"/>
  <c r="X412" i="16"/>
  <c r="X42" i="16"/>
  <c r="X688" i="16"/>
  <c r="X56" i="16"/>
  <c r="X210" i="16"/>
  <c r="X474" i="16"/>
  <c r="X706" i="16"/>
  <c r="X485" i="16"/>
  <c r="X110" i="16"/>
  <c r="X576" i="16"/>
  <c r="X369" i="16"/>
  <c r="X619" i="16"/>
  <c r="X182" i="16"/>
  <c r="X658" i="16"/>
  <c r="X341" i="16"/>
  <c r="X770" i="16"/>
  <c r="X612" i="16"/>
  <c r="X678" i="16"/>
  <c r="X221" i="16"/>
  <c r="X782" i="16"/>
  <c r="X128" i="16"/>
  <c r="X639" i="16"/>
  <c r="X404" i="16"/>
  <c r="X512" i="16"/>
  <c r="X116" i="16"/>
  <c r="X605" i="16"/>
  <c r="X218" i="16"/>
  <c r="X26" i="16"/>
  <c r="X675" i="16"/>
  <c r="X682" i="16"/>
  <c r="X50" i="16"/>
  <c r="X158" i="16"/>
  <c r="X703" i="16"/>
  <c r="T142" i="19"/>
  <c r="U143" i="19"/>
  <c r="Q139" i="19"/>
  <c r="Y147" i="19"/>
  <c r="W145" i="19"/>
  <c r="O137" i="19"/>
  <c r="R140" i="19"/>
  <c r="X146" i="19"/>
  <c r="N136" i="19"/>
  <c r="S141" i="19"/>
  <c r="P138" i="19"/>
  <c r="V144" i="19"/>
  <c r="J19" i="7"/>
  <c r="AP19" i="19"/>
  <c r="AS20" i="19" s="1"/>
  <c r="T63" i="19"/>
  <c r="S62" i="19"/>
  <c r="X67" i="19"/>
  <c r="P59" i="19"/>
  <c r="Y68" i="19"/>
  <c r="O58" i="19"/>
  <c r="N57" i="19"/>
  <c r="W66" i="19"/>
  <c r="Q60" i="19"/>
  <c r="U64" i="19"/>
  <c r="R61" i="19"/>
  <c r="V65" i="19"/>
  <c r="N818" i="19"/>
  <c r="S823" i="19"/>
  <c r="O819" i="19"/>
  <c r="P820" i="19"/>
  <c r="R822" i="19"/>
  <c r="Q821" i="19"/>
  <c r="S162" i="19"/>
  <c r="R161" i="19"/>
  <c r="T163" i="19"/>
  <c r="O158" i="19"/>
  <c r="V165" i="19"/>
  <c r="X167" i="19"/>
  <c r="Q160" i="19"/>
  <c r="W166" i="19"/>
  <c r="Y168" i="19"/>
  <c r="P159" i="19"/>
  <c r="U164" i="19"/>
  <c r="N157" i="19"/>
  <c r="R245" i="19"/>
  <c r="Y252" i="19"/>
  <c r="N241" i="19"/>
  <c r="S246" i="19"/>
  <c r="X251" i="19"/>
  <c r="P243" i="19"/>
  <c r="U248" i="19"/>
  <c r="V249" i="19"/>
  <c r="Q244" i="19"/>
  <c r="O242" i="19"/>
  <c r="T247" i="19"/>
  <c r="W250" i="19"/>
  <c r="W30" i="19"/>
  <c r="O22" i="19"/>
  <c r="V29" i="19"/>
  <c r="R25" i="19"/>
  <c r="N21" i="19"/>
  <c r="P23" i="19"/>
  <c r="X31" i="19"/>
  <c r="Q24" i="19"/>
  <c r="Y32" i="19"/>
  <c r="S26" i="19"/>
  <c r="T27" i="19"/>
  <c r="U28" i="19"/>
  <c r="N800" i="19"/>
  <c r="T806" i="19"/>
  <c r="V808" i="19"/>
  <c r="Y811" i="19"/>
  <c r="U807" i="19"/>
  <c r="S805" i="19"/>
  <c r="W809" i="19"/>
  <c r="P802" i="19"/>
  <c r="O801" i="19"/>
  <c r="R804" i="19"/>
  <c r="X810" i="19"/>
  <c r="Q803" i="19"/>
  <c r="AP45" i="19"/>
  <c r="AS46" i="19" s="1"/>
  <c r="J45" i="7"/>
  <c r="N344" i="19"/>
  <c r="Y355" i="19"/>
  <c r="U351" i="19"/>
  <c r="O345" i="19"/>
  <c r="W353" i="19"/>
  <c r="T350" i="19"/>
  <c r="X354" i="19"/>
  <c r="S349" i="19"/>
  <c r="Q347" i="19"/>
  <c r="V352" i="19"/>
  <c r="R348" i="19"/>
  <c r="P346" i="19"/>
  <c r="Y213" i="19"/>
  <c r="U209" i="19"/>
  <c r="Q205" i="19"/>
  <c r="W211" i="19"/>
  <c r="R206" i="19"/>
  <c r="P204" i="19"/>
  <c r="X212" i="19"/>
  <c r="V210" i="19"/>
  <c r="T208" i="19"/>
  <c r="S207" i="19"/>
  <c r="O203" i="19"/>
  <c r="N202" i="19"/>
  <c r="T400" i="19"/>
  <c r="U401" i="19"/>
  <c r="Q397" i="19"/>
  <c r="O395" i="19"/>
  <c r="W403" i="19"/>
  <c r="V402" i="19"/>
  <c r="P396" i="19"/>
  <c r="S399" i="19"/>
  <c r="Y405" i="19"/>
  <c r="R398" i="19"/>
  <c r="X404" i="19"/>
  <c r="N394" i="19"/>
  <c r="AP51" i="19"/>
  <c r="AS52" i="19" s="1"/>
  <c r="J51" i="7"/>
  <c r="O91" i="19"/>
  <c r="X100" i="19"/>
  <c r="V98" i="19"/>
  <c r="T96" i="19"/>
  <c r="R94" i="19"/>
  <c r="P92" i="19"/>
  <c r="S95" i="19"/>
  <c r="Q93" i="19"/>
  <c r="U97" i="19"/>
  <c r="N90" i="19"/>
  <c r="W99" i="19"/>
  <c r="Y101" i="19"/>
  <c r="N701" i="19"/>
  <c r="U708" i="19"/>
  <c r="O702" i="19"/>
  <c r="X711" i="19"/>
  <c r="T707" i="19"/>
  <c r="Q704" i="19"/>
  <c r="S706" i="19"/>
  <c r="W710" i="19"/>
  <c r="V709" i="19"/>
  <c r="P703" i="19"/>
  <c r="Y712" i="19"/>
  <c r="R705" i="19"/>
  <c r="Q635" i="19"/>
  <c r="X642" i="19"/>
  <c r="R636" i="19"/>
  <c r="U639" i="19"/>
  <c r="P634" i="19"/>
  <c r="O633" i="19"/>
  <c r="N632" i="19"/>
  <c r="Y643" i="19"/>
  <c r="S637" i="19"/>
  <c r="V640" i="19"/>
  <c r="T638" i="19"/>
  <c r="W641" i="19"/>
  <c r="O96" i="19"/>
  <c r="S100" i="19"/>
  <c r="N95" i="19"/>
  <c r="Y106" i="19"/>
  <c r="V103" i="19"/>
  <c r="W104" i="19"/>
  <c r="Q98" i="19"/>
  <c r="P97" i="19"/>
  <c r="X105" i="19"/>
  <c r="U102" i="19"/>
  <c r="T101" i="19"/>
  <c r="R99" i="19"/>
  <c r="R64" i="19"/>
  <c r="Q63" i="19"/>
  <c r="X70" i="19"/>
  <c r="U67" i="19"/>
  <c r="V68" i="19"/>
  <c r="W69" i="19"/>
  <c r="T66" i="19"/>
  <c r="S65" i="19"/>
  <c r="Y71" i="19"/>
  <c r="N60" i="19"/>
  <c r="O61" i="19"/>
  <c r="P62" i="19"/>
  <c r="Q640" i="19"/>
  <c r="X647" i="19"/>
  <c r="R641" i="19"/>
  <c r="S642" i="19"/>
  <c r="N637" i="19"/>
  <c r="V645" i="19"/>
  <c r="P639" i="19"/>
  <c r="W646" i="19"/>
  <c r="Y648" i="19"/>
  <c r="T643" i="19"/>
  <c r="O638" i="19"/>
  <c r="U644" i="19"/>
  <c r="N696" i="19"/>
  <c r="U703" i="19"/>
  <c r="O697" i="19"/>
  <c r="P698" i="19"/>
  <c r="V704" i="19"/>
  <c r="W705" i="19"/>
  <c r="R700" i="19"/>
  <c r="T702" i="19"/>
  <c r="Q699" i="19"/>
  <c r="X706" i="19"/>
  <c r="Y707" i="19"/>
  <c r="S701" i="19"/>
  <c r="U41" i="19"/>
  <c r="Y45" i="19"/>
  <c r="R38" i="19"/>
  <c r="N34" i="19"/>
  <c r="X44" i="19"/>
  <c r="V42" i="19"/>
  <c r="Q37" i="19"/>
  <c r="T40" i="19"/>
  <c r="S39" i="19"/>
  <c r="O35" i="19"/>
  <c r="W43" i="19"/>
  <c r="P36" i="19"/>
  <c r="U499" i="19"/>
  <c r="O493" i="19"/>
  <c r="V500" i="19"/>
  <c r="S497" i="19"/>
  <c r="P494" i="19"/>
  <c r="Q495" i="19"/>
  <c r="N492" i="19"/>
  <c r="T498" i="19"/>
  <c r="X502" i="19"/>
  <c r="W501" i="19"/>
  <c r="Y503" i="19"/>
  <c r="R496" i="19"/>
  <c r="U465" i="19"/>
  <c r="O459" i="19"/>
  <c r="V466" i="19"/>
  <c r="Y469" i="19"/>
  <c r="T464" i="19"/>
  <c r="Q461" i="19"/>
  <c r="X468" i="19"/>
  <c r="S463" i="19"/>
  <c r="W467" i="19"/>
  <c r="P460" i="19"/>
  <c r="R462" i="19"/>
  <c r="N458" i="19"/>
  <c r="T53" i="19"/>
  <c r="P49" i="19"/>
  <c r="X57" i="19"/>
  <c r="S52" i="19"/>
  <c r="R51" i="19"/>
  <c r="Q50" i="19"/>
  <c r="N47" i="19"/>
  <c r="W56" i="19"/>
  <c r="V55" i="19"/>
  <c r="Y58" i="19"/>
  <c r="O48" i="19"/>
  <c r="U54" i="19"/>
  <c r="Q394" i="19"/>
  <c r="X401" i="19"/>
  <c r="Y402" i="19"/>
  <c r="R395" i="19"/>
  <c r="S396" i="19"/>
  <c r="N391" i="19"/>
  <c r="O392" i="19"/>
  <c r="P393" i="19"/>
  <c r="V399" i="19"/>
  <c r="T397" i="19"/>
  <c r="W400" i="19"/>
  <c r="U398" i="19"/>
  <c r="X475" i="19"/>
  <c r="W474" i="19"/>
  <c r="S470" i="19"/>
  <c r="P467" i="19"/>
  <c r="R469" i="19"/>
  <c r="Y476" i="19"/>
  <c r="O466" i="19"/>
  <c r="V473" i="19"/>
  <c r="N465" i="19"/>
  <c r="U472" i="19"/>
  <c r="T471" i="19"/>
  <c r="Q468" i="19"/>
  <c r="Q230" i="19"/>
  <c r="X237" i="19"/>
  <c r="N227" i="19"/>
  <c r="Y238" i="19"/>
  <c r="U234" i="19"/>
  <c r="S232" i="19"/>
  <c r="W236" i="19"/>
  <c r="O228" i="19"/>
  <c r="V235" i="19"/>
  <c r="T233" i="19"/>
  <c r="R231" i="19"/>
  <c r="P229" i="19"/>
  <c r="AF24" i="20"/>
  <c r="O820" i="19"/>
  <c r="R823" i="19"/>
  <c r="P821" i="19"/>
  <c r="N819" i="19"/>
  <c r="Q822" i="19"/>
  <c r="U31" i="19"/>
  <c r="P26" i="19"/>
  <c r="Y35" i="19"/>
  <c r="T30" i="19"/>
  <c r="X34" i="19"/>
  <c r="W33" i="19"/>
  <c r="O25" i="19"/>
  <c r="S29" i="19"/>
  <c r="R28" i="19"/>
  <c r="Q27" i="19"/>
  <c r="N24" i="19"/>
  <c r="V32" i="19"/>
  <c r="AP30" i="19"/>
  <c r="AS31" i="19" s="1"/>
  <c r="J30" i="7"/>
  <c r="P166" i="19"/>
  <c r="W173" i="19"/>
  <c r="Q167" i="19"/>
  <c r="V172" i="19"/>
  <c r="T170" i="19"/>
  <c r="R168" i="19"/>
  <c r="Y175" i="19"/>
  <c r="X174" i="19"/>
  <c r="N164" i="19"/>
  <c r="U171" i="19"/>
  <c r="S169" i="19"/>
  <c r="O165" i="19"/>
  <c r="Q493" i="19"/>
  <c r="X500" i="19"/>
  <c r="R494" i="19"/>
  <c r="Y501" i="19"/>
  <c r="N490" i="19"/>
  <c r="W499" i="19"/>
  <c r="P492" i="19"/>
  <c r="O491" i="19"/>
  <c r="S495" i="19"/>
  <c r="V498" i="19"/>
  <c r="T496" i="19"/>
  <c r="U497" i="19"/>
  <c r="O66" i="19"/>
  <c r="R69" i="19"/>
  <c r="W74" i="19"/>
  <c r="P67" i="19"/>
  <c r="N65" i="19"/>
  <c r="Q68" i="19"/>
  <c r="X75" i="19"/>
  <c r="U72" i="19"/>
  <c r="S70" i="19"/>
  <c r="T71" i="19"/>
  <c r="V73" i="19"/>
  <c r="Y76" i="19"/>
  <c r="P399" i="19"/>
  <c r="Q400" i="19"/>
  <c r="V405" i="19"/>
  <c r="N397" i="19"/>
  <c r="S402" i="19"/>
  <c r="U404" i="19"/>
  <c r="O398" i="19"/>
  <c r="W406" i="19"/>
  <c r="X407" i="19"/>
  <c r="T403" i="19"/>
  <c r="R401" i="19"/>
  <c r="Y408" i="19"/>
  <c r="U673" i="19"/>
  <c r="X676" i="19"/>
  <c r="W675" i="19"/>
  <c r="R670" i="19"/>
  <c r="O667" i="19"/>
  <c r="T672" i="19"/>
  <c r="P668" i="19"/>
  <c r="Q669" i="19"/>
  <c r="S671" i="19"/>
  <c r="N666" i="19"/>
  <c r="V674" i="19"/>
  <c r="Y677" i="19"/>
  <c r="R330" i="19"/>
  <c r="Y337" i="19"/>
  <c r="S331" i="19"/>
  <c r="N326" i="19"/>
  <c r="X336" i="19"/>
  <c r="U333" i="19"/>
  <c r="P328" i="19"/>
  <c r="V334" i="19"/>
  <c r="Q329" i="19"/>
  <c r="O327" i="19"/>
  <c r="T332" i="19"/>
  <c r="W335" i="19"/>
  <c r="X565" i="19"/>
  <c r="T561" i="19"/>
  <c r="P557" i="19"/>
  <c r="Y566" i="19"/>
  <c r="V563" i="19"/>
  <c r="W564" i="19"/>
  <c r="S560" i="19"/>
  <c r="R559" i="19"/>
  <c r="Q558" i="19"/>
  <c r="O556" i="19"/>
  <c r="U562" i="19"/>
  <c r="N555" i="19"/>
  <c r="Y386" i="19"/>
  <c r="U382" i="19"/>
  <c r="Q378" i="19"/>
  <c r="R379" i="19"/>
  <c r="N375" i="19"/>
  <c r="W384" i="19"/>
  <c r="V383" i="19"/>
  <c r="S380" i="19"/>
  <c r="P377" i="19"/>
  <c r="O376" i="19"/>
  <c r="T381" i="19"/>
  <c r="X385" i="19"/>
  <c r="N319" i="19"/>
  <c r="U326" i="19"/>
  <c r="O320" i="19"/>
  <c r="Y330" i="19"/>
  <c r="T325" i="19"/>
  <c r="W328" i="19"/>
  <c r="V327" i="19"/>
  <c r="Q322" i="19"/>
  <c r="X329" i="19"/>
  <c r="P321" i="19"/>
  <c r="R323" i="19"/>
  <c r="S324" i="19"/>
  <c r="P191" i="19"/>
  <c r="W198" i="19"/>
  <c r="Q192" i="19"/>
  <c r="T195" i="19"/>
  <c r="R193" i="19"/>
  <c r="V197" i="19"/>
  <c r="O190" i="19"/>
  <c r="X199" i="19"/>
  <c r="N189" i="19"/>
  <c r="U196" i="19"/>
  <c r="S194" i="19"/>
  <c r="Y200" i="19"/>
  <c r="AP15" i="19"/>
  <c r="AS16" i="19" s="1"/>
  <c r="J15" i="7"/>
  <c r="R702" i="19"/>
  <c r="Y709" i="19"/>
  <c r="S703" i="19"/>
  <c r="X708" i="19"/>
  <c r="O699" i="19"/>
  <c r="N698" i="19"/>
  <c r="W707" i="19"/>
  <c r="V706" i="19"/>
  <c r="U705" i="19"/>
  <c r="T704" i="19"/>
  <c r="P700" i="19"/>
  <c r="Q701" i="19"/>
  <c r="T72" i="19"/>
  <c r="N66" i="19"/>
  <c r="U73" i="19"/>
  <c r="Q69" i="19"/>
  <c r="X76" i="19"/>
  <c r="O67" i="19"/>
  <c r="P68" i="19"/>
  <c r="Y77" i="19"/>
  <c r="W75" i="19"/>
  <c r="V74" i="19"/>
  <c r="S71" i="19"/>
  <c r="R70" i="19"/>
  <c r="S182" i="19"/>
  <c r="T183" i="19"/>
  <c r="W186" i="19"/>
  <c r="N177" i="19"/>
  <c r="Y188" i="19"/>
  <c r="V185" i="19"/>
  <c r="R181" i="19"/>
  <c r="O178" i="19"/>
  <c r="X187" i="19"/>
  <c r="P179" i="19"/>
  <c r="Q180" i="19"/>
  <c r="U184" i="19"/>
  <c r="U450" i="19"/>
  <c r="O444" i="19"/>
  <c r="V451" i="19"/>
  <c r="W452" i="19"/>
  <c r="T449" i="19"/>
  <c r="R447" i="19"/>
  <c r="Q446" i="19"/>
  <c r="S448" i="19"/>
  <c r="X453" i="19"/>
  <c r="Y454" i="19"/>
  <c r="P445" i="19"/>
  <c r="N443" i="19"/>
  <c r="U425" i="19"/>
  <c r="O419" i="19"/>
  <c r="V426" i="19"/>
  <c r="W427" i="19"/>
  <c r="P420" i="19"/>
  <c r="Y429" i="19"/>
  <c r="S423" i="19"/>
  <c r="T424" i="19"/>
  <c r="R422" i="19"/>
  <c r="Q421" i="19"/>
  <c r="X428" i="19"/>
  <c r="N418" i="19"/>
  <c r="Q672" i="19"/>
  <c r="X679" i="19"/>
  <c r="O670" i="19"/>
  <c r="P671" i="19"/>
  <c r="W678" i="19"/>
  <c r="V677" i="19"/>
  <c r="U676" i="19"/>
  <c r="T675" i="19"/>
  <c r="Y680" i="19"/>
  <c r="S674" i="19"/>
  <c r="N669" i="19"/>
  <c r="R673" i="19"/>
  <c r="V306" i="19"/>
  <c r="P300" i="19"/>
  <c r="W307" i="19"/>
  <c r="R302" i="19"/>
  <c r="X308" i="19"/>
  <c r="S303" i="19"/>
  <c r="N298" i="19"/>
  <c r="T304" i="19"/>
  <c r="U305" i="19"/>
  <c r="O299" i="19"/>
  <c r="Y309" i="19"/>
  <c r="Q301" i="19"/>
  <c r="T591" i="19"/>
  <c r="R589" i="19"/>
  <c r="S590" i="19"/>
  <c r="Y596" i="19"/>
  <c r="W594" i="19"/>
  <c r="U592" i="19"/>
  <c r="N585" i="19"/>
  <c r="X595" i="19"/>
  <c r="P587" i="19"/>
  <c r="V593" i="19"/>
  <c r="O586" i="19"/>
  <c r="Q588" i="19"/>
  <c r="U365" i="19"/>
  <c r="Y369" i="19"/>
  <c r="V366" i="19"/>
  <c r="P360" i="19"/>
  <c r="X368" i="19"/>
  <c r="S363" i="19"/>
  <c r="R362" i="19"/>
  <c r="W367" i="19"/>
  <c r="Q361" i="19"/>
  <c r="O359" i="19"/>
  <c r="N358" i="19"/>
  <c r="T364" i="19"/>
  <c r="T666" i="19"/>
  <c r="N660" i="19"/>
  <c r="W669" i="19"/>
  <c r="S665" i="19"/>
  <c r="O661" i="19"/>
  <c r="P662" i="19"/>
  <c r="Q663" i="19"/>
  <c r="R664" i="19"/>
  <c r="Y671" i="19"/>
  <c r="U667" i="19"/>
  <c r="V668" i="19"/>
  <c r="X670" i="19"/>
  <c r="T92" i="19"/>
  <c r="U93" i="19"/>
  <c r="Q89" i="19"/>
  <c r="V94" i="19"/>
  <c r="X96" i="19"/>
  <c r="P88" i="19"/>
  <c r="R90" i="19"/>
  <c r="N86" i="19"/>
  <c r="S91" i="19"/>
  <c r="Y97" i="19"/>
  <c r="W95" i="19"/>
  <c r="O87" i="19"/>
  <c r="Y551" i="19"/>
  <c r="U547" i="19"/>
  <c r="Q543" i="19"/>
  <c r="X550" i="19"/>
  <c r="N540" i="19"/>
  <c r="O541" i="19"/>
  <c r="P542" i="19"/>
  <c r="V548" i="19"/>
  <c r="R544" i="19"/>
  <c r="W549" i="19"/>
  <c r="S545" i="19"/>
  <c r="T546" i="19"/>
  <c r="R280" i="19"/>
  <c r="Y287" i="19"/>
  <c r="N276" i="19"/>
  <c r="X286" i="19"/>
  <c r="Q279" i="19"/>
  <c r="U283" i="19"/>
  <c r="W285" i="19"/>
  <c r="P278" i="19"/>
  <c r="O277" i="19"/>
  <c r="S281" i="19"/>
  <c r="V284" i="19"/>
  <c r="T282" i="19"/>
  <c r="AP60" i="19"/>
  <c r="AS61" i="19" s="1"/>
  <c r="J60" i="7"/>
  <c r="X372" i="19"/>
  <c r="T368" i="19"/>
  <c r="P364" i="19"/>
  <c r="Y373" i="19"/>
  <c r="V370" i="19"/>
  <c r="S367" i="19"/>
  <c r="W371" i="19"/>
  <c r="U369" i="19"/>
  <c r="R366" i="19"/>
  <c r="Q365" i="19"/>
  <c r="O363" i="19"/>
  <c r="N362" i="19"/>
  <c r="Q565" i="19"/>
  <c r="O563" i="19"/>
  <c r="X572" i="19"/>
  <c r="T568" i="19"/>
  <c r="P564" i="19"/>
  <c r="Y573" i="19"/>
  <c r="V570" i="19"/>
  <c r="S567" i="19"/>
  <c r="U569" i="19"/>
  <c r="R566" i="19"/>
  <c r="N562" i="19"/>
  <c r="W571" i="19"/>
  <c r="Q645" i="19"/>
  <c r="X652" i="19"/>
  <c r="R646" i="19"/>
  <c r="V650" i="19"/>
  <c r="Y653" i="19"/>
  <c r="P644" i="19"/>
  <c r="W651" i="19"/>
  <c r="T648" i="19"/>
  <c r="O643" i="19"/>
  <c r="U649" i="19"/>
  <c r="S647" i="19"/>
  <c r="N642" i="19"/>
  <c r="W61" i="19"/>
  <c r="V60" i="19"/>
  <c r="R56" i="19"/>
  <c r="N52" i="19"/>
  <c r="U59" i="19"/>
  <c r="Q55" i="19"/>
  <c r="Y63" i="19"/>
  <c r="P54" i="19"/>
  <c r="T58" i="19"/>
  <c r="S57" i="19"/>
  <c r="O53" i="19"/>
  <c r="X62" i="19"/>
  <c r="N314" i="19"/>
  <c r="U321" i="19"/>
  <c r="O315" i="19"/>
  <c r="V322" i="19"/>
  <c r="Q317" i="19"/>
  <c r="W323" i="19"/>
  <c r="X324" i="19"/>
  <c r="Y325" i="19"/>
  <c r="P316" i="19"/>
  <c r="T320" i="19"/>
  <c r="R318" i="19"/>
  <c r="S319" i="19"/>
  <c r="N329" i="19"/>
  <c r="U336" i="19"/>
  <c r="O330" i="19"/>
  <c r="P331" i="19"/>
  <c r="T335" i="19"/>
  <c r="V337" i="19"/>
  <c r="W338" i="19"/>
  <c r="S334" i="19"/>
  <c r="R333" i="19"/>
  <c r="Q332" i="19"/>
  <c r="X339" i="19"/>
  <c r="Y340" i="19"/>
  <c r="P493" i="19"/>
  <c r="W500" i="19"/>
  <c r="Q494" i="19"/>
  <c r="V499" i="19"/>
  <c r="T497" i="19"/>
  <c r="R495" i="19"/>
  <c r="N491" i="19"/>
  <c r="Y502" i="19"/>
  <c r="U498" i="19"/>
  <c r="X501" i="19"/>
  <c r="S496" i="19"/>
  <c r="O492" i="19"/>
  <c r="P473" i="19"/>
  <c r="W480" i="19"/>
  <c r="X481" i="19"/>
  <c r="T477" i="19"/>
  <c r="V479" i="19"/>
  <c r="S476" i="19"/>
  <c r="U478" i="19"/>
  <c r="N471" i="19"/>
  <c r="Y482" i="19"/>
  <c r="R475" i="19"/>
  <c r="O472" i="19"/>
  <c r="Q474" i="19"/>
  <c r="T519" i="19"/>
  <c r="N513" i="19"/>
  <c r="U520" i="19"/>
  <c r="Y524" i="19"/>
  <c r="V521" i="19"/>
  <c r="Q516" i="19"/>
  <c r="X523" i="19"/>
  <c r="R517" i="19"/>
  <c r="O514" i="19"/>
  <c r="P515" i="19"/>
  <c r="W522" i="19"/>
  <c r="S518" i="19"/>
  <c r="Y520" i="19"/>
  <c r="S514" i="19"/>
  <c r="U516" i="19"/>
  <c r="P511" i="19"/>
  <c r="W518" i="19"/>
  <c r="X519" i="19"/>
  <c r="T515" i="19"/>
  <c r="V517" i="19"/>
  <c r="R513" i="19"/>
  <c r="O510" i="19"/>
  <c r="Q512" i="19"/>
  <c r="N509" i="19"/>
  <c r="S112" i="19"/>
  <c r="T113" i="19"/>
  <c r="N107" i="19"/>
  <c r="U114" i="19"/>
  <c r="W116" i="19"/>
  <c r="X117" i="19"/>
  <c r="V115" i="19"/>
  <c r="Q110" i="19"/>
  <c r="Y118" i="19"/>
  <c r="P109" i="19"/>
  <c r="R111" i="19"/>
  <c r="O108" i="19"/>
  <c r="Q682" i="19"/>
  <c r="X689" i="19"/>
  <c r="U686" i="19"/>
  <c r="N679" i="19"/>
  <c r="V687" i="19"/>
  <c r="O680" i="19"/>
  <c r="W688" i="19"/>
  <c r="P681" i="19"/>
  <c r="Y690" i="19"/>
  <c r="S684" i="19"/>
  <c r="T685" i="19"/>
  <c r="R683" i="19"/>
  <c r="S72" i="19"/>
  <c r="R71" i="19"/>
  <c r="P69" i="19"/>
  <c r="N67" i="19"/>
  <c r="O68" i="19"/>
  <c r="X77" i="19"/>
  <c r="V75" i="19"/>
  <c r="U74" i="19"/>
  <c r="Y78" i="19"/>
  <c r="Q70" i="19"/>
  <c r="W76" i="19"/>
  <c r="T73" i="19"/>
  <c r="O171" i="19"/>
  <c r="V178" i="19"/>
  <c r="X180" i="19"/>
  <c r="R174" i="19"/>
  <c r="U177" i="19"/>
  <c r="Q173" i="19"/>
  <c r="N170" i="19"/>
  <c r="Y181" i="19"/>
  <c r="P172" i="19"/>
  <c r="W179" i="19"/>
  <c r="T176" i="19"/>
  <c r="S175" i="19"/>
  <c r="U531" i="19"/>
  <c r="S529" i="19"/>
  <c r="X534" i="19"/>
  <c r="O525" i="19"/>
  <c r="W533" i="19"/>
  <c r="R528" i="19"/>
  <c r="Y535" i="19"/>
  <c r="T530" i="19"/>
  <c r="P526" i="19"/>
  <c r="Q527" i="19"/>
  <c r="V532" i="19"/>
  <c r="N524" i="19"/>
  <c r="Q250" i="19"/>
  <c r="X257" i="19"/>
  <c r="S252" i="19"/>
  <c r="O248" i="19"/>
  <c r="Y258" i="19"/>
  <c r="U254" i="19"/>
  <c r="W256" i="19"/>
  <c r="V255" i="19"/>
  <c r="N247" i="19"/>
  <c r="T253" i="19"/>
  <c r="R251" i="19"/>
  <c r="P249" i="19"/>
  <c r="Q610" i="19"/>
  <c r="X617" i="19"/>
  <c r="R611" i="19"/>
  <c r="U614" i="19"/>
  <c r="P609" i="19"/>
  <c r="O608" i="19"/>
  <c r="N607" i="19"/>
  <c r="W616" i="19"/>
  <c r="V615" i="19"/>
  <c r="Y618" i="19"/>
  <c r="S612" i="19"/>
  <c r="T613" i="19"/>
  <c r="T177" i="19"/>
  <c r="N171" i="19"/>
  <c r="U178" i="19"/>
  <c r="X181" i="19"/>
  <c r="W180" i="19"/>
  <c r="Q174" i="19"/>
  <c r="O172" i="19"/>
  <c r="P173" i="19"/>
  <c r="Y182" i="19"/>
  <c r="S176" i="19"/>
  <c r="V179" i="19"/>
  <c r="R175" i="19"/>
  <c r="P141" i="19"/>
  <c r="W148" i="19"/>
  <c r="Q142" i="19"/>
  <c r="X149" i="19"/>
  <c r="N139" i="19"/>
  <c r="O140" i="19"/>
  <c r="V147" i="19"/>
  <c r="U146" i="19"/>
  <c r="T145" i="19"/>
  <c r="R143" i="19"/>
  <c r="S144" i="19"/>
  <c r="Y150" i="19"/>
  <c r="N686" i="19"/>
  <c r="U693" i="19"/>
  <c r="O687" i="19"/>
  <c r="Q689" i="19"/>
  <c r="X696" i="19"/>
  <c r="W695" i="19"/>
  <c r="P688" i="19"/>
  <c r="V694" i="19"/>
  <c r="R690" i="19"/>
  <c r="S691" i="19"/>
  <c r="Y697" i="19"/>
  <c r="T692" i="19"/>
  <c r="V336" i="19"/>
  <c r="P330" i="19"/>
  <c r="W337" i="19"/>
  <c r="R332" i="19"/>
  <c r="Q331" i="19"/>
  <c r="N328" i="19"/>
  <c r="U335" i="19"/>
  <c r="X338" i="19"/>
  <c r="T334" i="19"/>
  <c r="S333" i="19"/>
  <c r="Y339" i="19"/>
  <c r="O329" i="19"/>
  <c r="S364" i="19"/>
  <c r="O360" i="19"/>
  <c r="X369" i="19"/>
  <c r="U366" i="19"/>
  <c r="T365" i="19"/>
  <c r="W368" i="19"/>
  <c r="R363" i="19"/>
  <c r="Q362" i="19"/>
  <c r="V367" i="19"/>
  <c r="P361" i="19"/>
  <c r="N359" i="19"/>
  <c r="Y370" i="19"/>
  <c r="R762" i="19"/>
  <c r="Y769" i="19"/>
  <c r="S763" i="19"/>
  <c r="X768" i="19"/>
  <c r="U765" i="19"/>
  <c r="T764" i="19"/>
  <c r="N758" i="19"/>
  <c r="V766" i="19"/>
  <c r="Q761" i="19"/>
  <c r="W767" i="19"/>
  <c r="P760" i="19"/>
  <c r="O759" i="19"/>
  <c r="T410" i="19"/>
  <c r="N404" i="19"/>
  <c r="U411" i="19"/>
  <c r="O405" i="19"/>
  <c r="W413" i="19"/>
  <c r="X414" i="19"/>
  <c r="V412" i="19"/>
  <c r="S409" i="19"/>
  <c r="R408" i="19"/>
  <c r="P406" i="19"/>
  <c r="Y415" i="19"/>
  <c r="Q407" i="19"/>
  <c r="Q702" i="19"/>
  <c r="X709" i="19"/>
  <c r="U706" i="19"/>
  <c r="N699" i="19"/>
  <c r="V707" i="19"/>
  <c r="T705" i="19"/>
  <c r="W708" i="19"/>
  <c r="O700" i="19"/>
  <c r="Y710" i="19"/>
  <c r="S704" i="19"/>
  <c r="P701" i="19"/>
  <c r="R703" i="19"/>
  <c r="T631" i="19"/>
  <c r="N625" i="19"/>
  <c r="Y636" i="19"/>
  <c r="V633" i="19"/>
  <c r="Q628" i="19"/>
  <c r="S630" i="19"/>
  <c r="X635" i="19"/>
  <c r="W634" i="19"/>
  <c r="R629" i="19"/>
  <c r="O626" i="19"/>
  <c r="P627" i="19"/>
  <c r="U632" i="19"/>
  <c r="Q692" i="19"/>
  <c r="X699" i="19"/>
  <c r="P691" i="19"/>
  <c r="O690" i="19"/>
  <c r="N689" i="19"/>
  <c r="U696" i="19"/>
  <c r="T695" i="19"/>
  <c r="V697" i="19"/>
  <c r="R693" i="19"/>
  <c r="Y700" i="19"/>
  <c r="W698" i="19"/>
  <c r="S694" i="19"/>
  <c r="AP40" i="19"/>
  <c r="AS41" i="19" s="1"/>
  <c r="J40" i="7"/>
  <c r="U440" i="19"/>
  <c r="O434" i="19"/>
  <c r="V441" i="19"/>
  <c r="Y444" i="19"/>
  <c r="T439" i="19"/>
  <c r="Q436" i="19"/>
  <c r="X443" i="19"/>
  <c r="W442" i="19"/>
  <c r="S438" i="19"/>
  <c r="N433" i="19"/>
  <c r="P435" i="19"/>
  <c r="R437" i="19"/>
  <c r="U546" i="19"/>
  <c r="V547" i="19"/>
  <c r="R543" i="19"/>
  <c r="N539" i="19"/>
  <c r="O540" i="19"/>
  <c r="X549" i="19"/>
  <c r="Y550" i="19"/>
  <c r="Q542" i="19"/>
  <c r="P541" i="19"/>
  <c r="W548" i="19"/>
  <c r="T545" i="19"/>
  <c r="S544" i="19"/>
  <c r="O810" i="19"/>
  <c r="V817" i="19"/>
  <c r="R813" i="19"/>
  <c r="X819" i="19"/>
  <c r="Q812" i="19"/>
  <c r="Y820" i="19"/>
  <c r="N809" i="19"/>
  <c r="T815" i="19"/>
  <c r="P811" i="19"/>
  <c r="U816" i="19"/>
  <c r="W818" i="19"/>
  <c r="S814" i="19"/>
  <c r="Y426" i="19"/>
  <c r="S420" i="19"/>
  <c r="U422" i="19"/>
  <c r="P417" i="19"/>
  <c r="T421" i="19"/>
  <c r="R419" i="19"/>
  <c r="O416" i="19"/>
  <c r="Q418" i="19"/>
  <c r="V423" i="19"/>
  <c r="W424" i="19"/>
  <c r="X425" i="19"/>
  <c r="N415" i="19"/>
  <c r="T385" i="19"/>
  <c r="U386" i="19"/>
  <c r="X389" i="19"/>
  <c r="S384" i="19"/>
  <c r="P381" i="19"/>
  <c r="V387" i="19"/>
  <c r="Q382" i="19"/>
  <c r="O380" i="19"/>
  <c r="N379" i="19"/>
  <c r="R383" i="19"/>
  <c r="Y390" i="19"/>
  <c r="W388" i="19"/>
  <c r="Y515" i="19"/>
  <c r="S509" i="19"/>
  <c r="W513" i="19"/>
  <c r="T510" i="19"/>
  <c r="R508" i="19"/>
  <c r="O505" i="19"/>
  <c r="U511" i="19"/>
  <c r="V512" i="19"/>
  <c r="P506" i="19"/>
  <c r="Q507" i="19"/>
  <c r="N504" i="19"/>
  <c r="X514" i="19"/>
  <c r="Q513" i="19"/>
  <c r="X520" i="19"/>
  <c r="R514" i="19"/>
  <c r="Y521" i="19"/>
  <c r="T516" i="19"/>
  <c r="O511" i="19"/>
  <c r="V518" i="19"/>
  <c r="W519" i="19"/>
  <c r="S515" i="19"/>
  <c r="U517" i="19"/>
  <c r="P512" i="19"/>
  <c r="N510" i="19"/>
  <c r="X671" i="19"/>
  <c r="S666" i="19"/>
  <c r="U668" i="19"/>
  <c r="T667" i="19"/>
  <c r="O662" i="19"/>
  <c r="P663" i="19"/>
  <c r="R665" i="19"/>
  <c r="N661" i="19"/>
  <c r="V669" i="19"/>
  <c r="W670" i="19"/>
  <c r="Y672" i="19"/>
  <c r="Q664" i="19"/>
  <c r="AP35" i="19"/>
  <c r="AS36" i="19" s="1"/>
  <c r="J35" i="7"/>
  <c r="P620" i="19"/>
  <c r="W627" i="19"/>
  <c r="Y629" i="19"/>
  <c r="U625" i="19"/>
  <c r="X628" i="19"/>
  <c r="V626" i="19"/>
  <c r="Q621" i="19"/>
  <c r="R622" i="19"/>
  <c r="T624" i="19"/>
  <c r="S623" i="19"/>
  <c r="O619" i="19"/>
  <c r="N618" i="19"/>
  <c r="U601" i="19"/>
  <c r="O595" i="19"/>
  <c r="V602" i="19"/>
  <c r="Q597" i="19"/>
  <c r="Y605" i="19"/>
  <c r="W603" i="19"/>
  <c r="T600" i="19"/>
  <c r="N594" i="19"/>
  <c r="R598" i="19"/>
  <c r="P596" i="19"/>
  <c r="X604" i="19"/>
  <c r="S599" i="19"/>
  <c r="T646" i="19"/>
  <c r="N640" i="19"/>
  <c r="X650" i="19"/>
  <c r="S645" i="19"/>
  <c r="U647" i="19"/>
  <c r="P642" i="19"/>
  <c r="Y651" i="19"/>
  <c r="V648" i="19"/>
  <c r="O641" i="19"/>
  <c r="Q643" i="19"/>
  <c r="W649" i="19"/>
  <c r="R644" i="19"/>
  <c r="N279" i="19"/>
  <c r="U286" i="19"/>
  <c r="P281" i="19"/>
  <c r="R283" i="19"/>
  <c r="Y290" i="19"/>
  <c r="X289" i="19"/>
  <c r="S284" i="19"/>
  <c r="V287" i="19"/>
  <c r="W288" i="19"/>
  <c r="T285" i="19"/>
  <c r="O280" i="19"/>
  <c r="Q282" i="19"/>
  <c r="O156" i="19"/>
  <c r="R159" i="19"/>
  <c r="V163" i="19"/>
  <c r="Q158" i="19"/>
  <c r="X165" i="19"/>
  <c r="N155" i="19"/>
  <c r="S160" i="19"/>
  <c r="Y166" i="19"/>
  <c r="T161" i="19"/>
  <c r="U162" i="19"/>
  <c r="W164" i="19"/>
  <c r="P157" i="19"/>
  <c r="S192" i="19"/>
  <c r="U194" i="19"/>
  <c r="X197" i="19"/>
  <c r="O188" i="19"/>
  <c r="T193" i="19"/>
  <c r="N187" i="19"/>
  <c r="Q190" i="19"/>
  <c r="Y198" i="19"/>
  <c r="R191" i="19"/>
  <c r="V195" i="19"/>
  <c r="W196" i="19"/>
  <c r="P189" i="19"/>
  <c r="N249" i="19"/>
  <c r="U256" i="19"/>
  <c r="Q252" i="19"/>
  <c r="O250" i="19"/>
  <c r="W258" i="19"/>
  <c r="S254" i="19"/>
  <c r="T255" i="19"/>
  <c r="Y260" i="19"/>
  <c r="R253" i="19"/>
  <c r="X259" i="19"/>
  <c r="P251" i="19"/>
  <c r="V257" i="19"/>
  <c r="V326" i="19"/>
  <c r="P320" i="19"/>
  <c r="W327" i="19"/>
  <c r="R322" i="19"/>
  <c r="U325" i="19"/>
  <c r="T324" i="19"/>
  <c r="S323" i="19"/>
  <c r="Y329" i="19"/>
  <c r="Q321" i="19"/>
  <c r="O319" i="19"/>
  <c r="N318" i="19"/>
  <c r="X328" i="19"/>
  <c r="U651" i="19"/>
  <c r="O645" i="19"/>
  <c r="V652" i="19"/>
  <c r="Q647" i="19"/>
  <c r="Y655" i="19"/>
  <c r="X654" i="19"/>
  <c r="N644" i="19"/>
  <c r="W653" i="19"/>
  <c r="T650" i="19"/>
  <c r="P646" i="19"/>
  <c r="S649" i="19"/>
  <c r="R648" i="19"/>
  <c r="AP14" i="19"/>
  <c r="AS15" i="19" s="1"/>
  <c r="J14" i="7"/>
  <c r="V41" i="19"/>
  <c r="S38" i="19"/>
  <c r="R37" i="19"/>
  <c r="Y44" i="19"/>
  <c r="W42" i="19"/>
  <c r="P35" i="19"/>
  <c r="U40" i="19"/>
  <c r="T39" i="19"/>
  <c r="X43" i="19"/>
  <c r="N33" i="19"/>
  <c r="O34" i="19"/>
  <c r="Q36" i="19"/>
  <c r="X128" i="19"/>
  <c r="Y129" i="19"/>
  <c r="R122" i="19"/>
  <c r="T124" i="19"/>
  <c r="V126" i="19"/>
  <c r="P120" i="19"/>
  <c r="N118" i="19"/>
  <c r="O119" i="19"/>
  <c r="W127" i="19"/>
  <c r="Q121" i="19"/>
  <c r="S123" i="19"/>
  <c r="U125" i="19"/>
  <c r="Y495" i="19"/>
  <c r="S489" i="19"/>
  <c r="X494" i="19"/>
  <c r="W493" i="19"/>
  <c r="O485" i="19"/>
  <c r="P486" i="19"/>
  <c r="N484" i="19"/>
  <c r="V492" i="19"/>
  <c r="R488" i="19"/>
  <c r="U491" i="19"/>
  <c r="T490" i="19"/>
  <c r="Q487" i="19"/>
  <c r="N726" i="19"/>
  <c r="U733" i="19"/>
  <c r="O727" i="19"/>
  <c r="Q729" i="19"/>
  <c r="V734" i="19"/>
  <c r="W735" i="19"/>
  <c r="P728" i="19"/>
  <c r="X736" i="19"/>
  <c r="R730" i="19"/>
  <c r="S731" i="19"/>
  <c r="T732" i="19"/>
  <c r="Y737" i="19"/>
  <c r="Q429" i="19"/>
  <c r="X436" i="19"/>
  <c r="R430" i="19"/>
  <c r="Y437" i="19"/>
  <c r="U433" i="19"/>
  <c r="W435" i="19"/>
  <c r="P428" i="19"/>
  <c r="V434" i="19"/>
  <c r="N426" i="19"/>
  <c r="S431" i="19"/>
  <c r="O427" i="19"/>
  <c r="T432" i="19"/>
  <c r="Q655" i="19"/>
  <c r="X662" i="19"/>
  <c r="R656" i="19"/>
  <c r="W661" i="19"/>
  <c r="V660" i="19"/>
  <c r="U659" i="19"/>
  <c r="S657" i="19"/>
  <c r="P654" i="19"/>
  <c r="Y663" i="19"/>
  <c r="O653" i="19"/>
  <c r="N652" i="19"/>
  <c r="T658" i="19"/>
  <c r="P655" i="19"/>
  <c r="W662" i="19"/>
  <c r="Y664" i="19"/>
  <c r="O654" i="19"/>
  <c r="Q656" i="19"/>
  <c r="V661" i="19"/>
  <c r="S658" i="19"/>
  <c r="U660" i="19"/>
  <c r="T659" i="19"/>
  <c r="R657" i="19"/>
  <c r="X663" i="19"/>
  <c r="N653" i="19"/>
  <c r="N711" i="19"/>
  <c r="U718" i="19"/>
  <c r="O712" i="19"/>
  <c r="S716" i="19"/>
  <c r="Y722" i="19"/>
  <c r="V719" i="19"/>
  <c r="T717" i="19"/>
  <c r="R715" i="19"/>
  <c r="W720" i="19"/>
  <c r="Q714" i="19"/>
  <c r="X721" i="19"/>
  <c r="P713" i="19"/>
  <c r="Q595" i="19"/>
  <c r="X602" i="19"/>
  <c r="R596" i="19"/>
  <c r="V600" i="19"/>
  <c r="O593" i="19"/>
  <c r="W601" i="19"/>
  <c r="U599" i="19"/>
  <c r="S597" i="19"/>
  <c r="N592" i="19"/>
  <c r="T598" i="19"/>
  <c r="P594" i="19"/>
  <c r="Y603" i="19"/>
  <c r="AP55" i="19"/>
  <c r="AS56" i="19" s="1"/>
  <c r="J55" i="7"/>
  <c r="P650" i="19"/>
  <c r="W657" i="19"/>
  <c r="Y659" i="19"/>
  <c r="V656" i="19"/>
  <c r="X658" i="19"/>
  <c r="S653" i="19"/>
  <c r="N648" i="19"/>
  <c r="U655" i="19"/>
  <c r="O649" i="19"/>
  <c r="R652" i="19"/>
  <c r="T654" i="19"/>
  <c r="Q651" i="19"/>
  <c r="X188" i="19"/>
  <c r="R182" i="19"/>
  <c r="Y189" i="19"/>
  <c r="Q181" i="19"/>
  <c r="N178" i="19"/>
  <c r="S183" i="19"/>
  <c r="V186" i="19"/>
  <c r="W187" i="19"/>
  <c r="U185" i="19"/>
  <c r="O179" i="19"/>
  <c r="P180" i="19"/>
  <c r="T184" i="19"/>
  <c r="Y396" i="19"/>
  <c r="O386" i="19"/>
  <c r="T391" i="19"/>
  <c r="W394" i="19"/>
  <c r="S390" i="19"/>
  <c r="N385" i="19"/>
  <c r="X395" i="19"/>
  <c r="V393" i="19"/>
  <c r="U392" i="19"/>
  <c r="R389" i="19"/>
  <c r="P387" i="19"/>
  <c r="Q388" i="19"/>
  <c r="U524" i="19"/>
  <c r="O518" i="19"/>
  <c r="V525" i="19"/>
  <c r="S522" i="19"/>
  <c r="P519" i="19"/>
  <c r="N517" i="19"/>
  <c r="R521" i="19"/>
  <c r="T523" i="19"/>
  <c r="Q520" i="19"/>
  <c r="W526" i="19"/>
  <c r="X527" i="19"/>
  <c r="Y528" i="19"/>
  <c r="AD74" i="16"/>
  <c r="AD71" i="16"/>
  <c r="AC24" i="20"/>
  <c r="Y557" i="19"/>
  <c r="V554" i="19"/>
  <c r="R550" i="19"/>
  <c r="N546" i="19"/>
  <c r="O547" i="19"/>
  <c r="X556" i="19"/>
  <c r="U553" i="19"/>
  <c r="Q549" i="19"/>
  <c r="P548" i="19"/>
  <c r="W555" i="19"/>
  <c r="S551" i="19"/>
  <c r="T552" i="19"/>
  <c r="P508" i="19"/>
  <c r="W515" i="19"/>
  <c r="Q509" i="19"/>
  <c r="U513" i="19"/>
  <c r="Y517" i="19"/>
  <c r="X516" i="19"/>
  <c r="T512" i="19"/>
  <c r="R510" i="19"/>
  <c r="V514" i="19"/>
  <c r="N506" i="19"/>
  <c r="S511" i="19"/>
  <c r="O507" i="19"/>
  <c r="T738" i="19"/>
  <c r="V740" i="19"/>
  <c r="R736" i="19"/>
  <c r="X742" i="19"/>
  <c r="O733" i="19"/>
  <c r="S737" i="19"/>
  <c r="Q735" i="19"/>
  <c r="Y743" i="19"/>
  <c r="W741" i="19"/>
  <c r="P734" i="19"/>
  <c r="U739" i="19"/>
  <c r="N732" i="19"/>
  <c r="R300" i="19"/>
  <c r="Y307" i="19"/>
  <c r="S301" i="19"/>
  <c r="N296" i="19"/>
  <c r="X306" i="19"/>
  <c r="P298" i="19"/>
  <c r="U303" i="19"/>
  <c r="O297" i="19"/>
  <c r="V304" i="19"/>
  <c r="Q299" i="19"/>
  <c r="T302" i="19"/>
  <c r="W305" i="19"/>
  <c r="W214" i="19"/>
  <c r="Y216" i="19"/>
  <c r="R209" i="19"/>
  <c r="U212" i="19"/>
  <c r="T211" i="19"/>
  <c r="P207" i="19"/>
  <c r="N205" i="19"/>
  <c r="Q208" i="19"/>
  <c r="X215" i="19"/>
  <c r="V213" i="19"/>
  <c r="O206" i="19"/>
  <c r="S210" i="19"/>
  <c r="N766" i="19"/>
  <c r="U773" i="19"/>
  <c r="O767" i="19"/>
  <c r="Q769" i="19"/>
  <c r="V774" i="19"/>
  <c r="T772" i="19"/>
  <c r="Y777" i="19"/>
  <c r="R770" i="19"/>
  <c r="W775" i="19"/>
  <c r="X776" i="19"/>
  <c r="P768" i="19"/>
  <c r="S771" i="19"/>
  <c r="Y612" i="19"/>
  <c r="S606" i="19"/>
  <c r="U608" i="19"/>
  <c r="N601" i="19"/>
  <c r="X611" i="19"/>
  <c r="R605" i="19"/>
  <c r="P603" i="19"/>
  <c r="O602" i="19"/>
  <c r="V609" i="19"/>
  <c r="T607" i="19"/>
  <c r="W610" i="19"/>
  <c r="Q604" i="19"/>
  <c r="AP16" i="19"/>
  <c r="AS17" i="19" s="1"/>
  <c r="J16" i="7"/>
  <c r="U646" i="19"/>
  <c r="O640" i="19"/>
  <c r="V647" i="19"/>
  <c r="Q642" i="19"/>
  <c r="Y650" i="19"/>
  <c r="T645" i="19"/>
  <c r="P641" i="19"/>
  <c r="W648" i="19"/>
  <c r="R643" i="19"/>
  <c r="X649" i="19"/>
  <c r="S644" i="19"/>
  <c r="N639" i="19"/>
  <c r="O121" i="19"/>
  <c r="Y131" i="19"/>
  <c r="P122" i="19"/>
  <c r="X130" i="19"/>
  <c r="V128" i="19"/>
  <c r="R124" i="19"/>
  <c r="T126" i="19"/>
  <c r="N120" i="19"/>
  <c r="U127" i="19"/>
  <c r="S125" i="19"/>
  <c r="Q123" i="19"/>
  <c r="W129" i="19"/>
  <c r="J29" i="7"/>
  <c r="AP29" i="19"/>
  <c r="AS30" i="19" s="1"/>
  <c r="Y562" i="19"/>
  <c r="X561" i="19"/>
  <c r="T557" i="19"/>
  <c r="P553" i="19"/>
  <c r="W560" i="19"/>
  <c r="R555" i="19"/>
  <c r="Q554" i="19"/>
  <c r="O552" i="19"/>
  <c r="N551" i="19"/>
  <c r="U558" i="19"/>
  <c r="V559" i="19"/>
  <c r="S556" i="19"/>
  <c r="N820" i="19"/>
  <c r="O821" i="19"/>
  <c r="Q823" i="19"/>
  <c r="P822" i="19"/>
  <c r="P498" i="19"/>
  <c r="W505" i="19"/>
  <c r="Q499" i="19"/>
  <c r="Y507" i="19"/>
  <c r="T502" i="19"/>
  <c r="O497" i="19"/>
  <c r="N496" i="19"/>
  <c r="S501" i="19"/>
  <c r="V504" i="19"/>
  <c r="X506" i="19"/>
  <c r="R500" i="19"/>
  <c r="U503" i="19"/>
  <c r="T651" i="19"/>
  <c r="N645" i="19"/>
  <c r="V653" i="19"/>
  <c r="Q648" i="19"/>
  <c r="X655" i="19"/>
  <c r="Y656" i="19"/>
  <c r="W654" i="19"/>
  <c r="U652" i="19"/>
  <c r="P647" i="19"/>
  <c r="S650" i="19"/>
  <c r="O646" i="19"/>
  <c r="R649" i="19"/>
  <c r="Q22" i="19"/>
  <c r="X29" i="19"/>
  <c r="T25" i="19"/>
  <c r="P21" i="19"/>
  <c r="W28" i="19"/>
  <c r="U26" i="19"/>
  <c r="Y30" i="19"/>
  <c r="S24" i="19"/>
  <c r="N19" i="19"/>
  <c r="O20" i="19"/>
  <c r="R23" i="19"/>
  <c r="V27" i="19"/>
  <c r="I11" i="11"/>
  <c r="Q439" i="19"/>
  <c r="X446" i="19"/>
  <c r="R440" i="19"/>
  <c r="Y447" i="19"/>
  <c r="V444" i="19"/>
  <c r="W445" i="19"/>
  <c r="O437" i="19"/>
  <c r="T442" i="19"/>
  <c r="P438" i="19"/>
  <c r="U443" i="19"/>
  <c r="S441" i="19"/>
  <c r="N436" i="19"/>
  <c r="V223" i="19"/>
  <c r="P217" i="19"/>
  <c r="S220" i="19"/>
  <c r="Y226" i="19"/>
  <c r="W224" i="19"/>
  <c r="Q218" i="19"/>
  <c r="R219" i="19"/>
  <c r="O216" i="19"/>
  <c r="U222" i="19"/>
  <c r="N215" i="19"/>
  <c r="X225" i="19"/>
  <c r="T221" i="19"/>
  <c r="P640" i="19"/>
  <c r="W647" i="19"/>
  <c r="Y649" i="19"/>
  <c r="U645" i="19"/>
  <c r="R642" i="19"/>
  <c r="N638" i="19"/>
  <c r="O639" i="19"/>
  <c r="S643" i="19"/>
  <c r="V646" i="19"/>
  <c r="Q641" i="19"/>
  <c r="X648" i="19"/>
  <c r="T644" i="19"/>
  <c r="X73" i="19"/>
  <c r="P65" i="19"/>
  <c r="Y74" i="19"/>
  <c r="O64" i="19"/>
  <c r="Q66" i="19"/>
  <c r="U70" i="19"/>
  <c r="S68" i="19"/>
  <c r="W72" i="19"/>
  <c r="T69" i="19"/>
  <c r="N63" i="19"/>
  <c r="V71" i="19"/>
  <c r="R67" i="19"/>
  <c r="T470" i="19"/>
  <c r="N464" i="19"/>
  <c r="Y475" i="19"/>
  <c r="Q467" i="19"/>
  <c r="V472" i="19"/>
  <c r="U471" i="19"/>
  <c r="P466" i="19"/>
  <c r="W473" i="19"/>
  <c r="S469" i="19"/>
  <c r="O465" i="19"/>
  <c r="X474" i="19"/>
  <c r="R468" i="19"/>
  <c r="Q707" i="19"/>
  <c r="X714" i="19"/>
  <c r="S709" i="19"/>
  <c r="Y715" i="19"/>
  <c r="O705" i="19"/>
  <c r="U711" i="19"/>
  <c r="T710" i="19"/>
  <c r="N704" i="19"/>
  <c r="R708" i="19"/>
  <c r="P706" i="19"/>
  <c r="W713" i="19"/>
  <c r="V712" i="19"/>
  <c r="U641" i="19"/>
  <c r="O635" i="19"/>
  <c r="V642" i="19"/>
  <c r="Q637" i="19"/>
  <c r="X644" i="19"/>
  <c r="S639" i="19"/>
  <c r="N634" i="19"/>
  <c r="Y645" i="19"/>
  <c r="W643" i="19"/>
  <c r="P636" i="19"/>
  <c r="R638" i="19"/>
  <c r="T640" i="19"/>
  <c r="T723" i="19"/>
  <c r="O718" i="19"/>
  <c r="V725" i="19"/>
  <c r="U724" i="19"/>
  <c r="N717" i="19"/>
  <c r="Y728" i="19"/>
  <c r="S722" i="19"/>
  <c r="R721" i="19"/>
  <c r="X727" i="19"/>
  <c r="W726" i="19"/>
  <c r="P719" i="19"/>
  <c r="Q720" i="19"/>
  <c r="V778" i="19"/>
  <c r="P772" i="19"/>
  <c r="W779" i="19"/>
  <c r="S775" i="19"/>
  <c r="T776" i="19"/>
  <c r="R774" i="19"/>
  <c r="Q773" i="19"/>
  <c r="O771" i="19"/>
  <c r="N770" i="19"/>
  <c r="U777" i="19"/>
  <c r="X780" i="19"/>
  <c r="Y781" i="19"/>
  <c r="W587" i="19"/>
  <c r="Y589" i="19"/>
  <c r="Q581" i="19"/>
  <c r="U585" i="19"/>
  <c r="X588" i="19"/>
  <c r="T584" i="19"/>
  <c r="N578" i="19"/>
  <c r="R582" i="19"/>
  <c r="S583" i="19"/>
  <c r="O579" i="19"/>
  <c r="V586" i="19"/>
  <c r="P580" i="19"/>
  <c r="V266" i="19"/>
  <c r="P260" i="19"/>
  <c r="R262" i="19"/>
  <c r="Q261" i="19"/>
  <c r="W267" i="19"/>
  <c r="S263" i="19"/>
  <c r="Y269" i="19"/>
  <c r="O259" i="19"/>
  <c r="U265" i="19"/>
  <c r="T264" i="19"/>
  <c r="X268" i="19"/>
  <c r="N258" i="19"/>
  <c r="AP28" i="19"/>
  <c r="AS29" i="19" s="1"/>
  <c r="J28" i="7"/>
  <c r="S821" i="19"/>
  <c r="U823" i="19"/>
  <c r="N816" i="19"/>
  <c r="O817" i="19"/>
  <c r="R820" i="19"/>
  <c r="T822" i="19"/>
  <c r="Q819" i="19"/>
  <c r="P818" i="19"/>
  <c r="Y525" i="19"/>
  <c r="S519" i="19"/>
  <c r="X524" i="19"/>
  <c r="U521" i="19"/>
  <c r="V522" i="19"/>
  <c r="T520" i="19"/>
  <c r="Q517" i="19"/>
  <c r="R518" i="19"/>
  <c r="W523" i="19"/>
  <c r="N514" i="19"/>
  <c r="P516" i="19"/>
  <c r="O515" i="19"/>
  <c r="V683" i="19"/>
  <c r="P677" i="19"/>
  <c r="W684" i="19"/>
  <c r="Q678" i="19"/>
  <c r="S680" i="19"/>
  <c r="X685" i="19"/>
  <c r="Y686" i="19"/>
  <c r="R679" i="19"/>
  <c r="N675" i="19"/>
  <c r="O676" i="19"/>
  <c r="T681" i="19"/>
  <c r="U682" i="19"/>
  <c r="V698" i="19"/>
  <c r="P692" i="19"/>
  <c r="W699" i="19"/>
  <c r="S695" i="19"/>
  <c r="U697" i="19"/>
  <c r="N690" i="19"/>
  <c r="T696" i="19"/>
  <c r="Q693" i="19"/>
  <c r="O691" i="19"/>
  <c r="X700" i="19"/>
  <c r="Y701" i="19"/>
  <c r="R694" i="19"/>
  <c r="P464" i="19"/>
  <c r="W471" i="19"/>
  <c r="Q465" i="19"/>
  <c r="N462" i="19"/>
  <c r="X472" i="19"/>
  <c r="O463" i="19"/>
  <c r="Y473" i="19"/>
  <c r="V470" i="19"/>
  <c r="S467" i="19"/>
  <c r="U469" i="19"/>
  <c r="R466" i="19"/>
  <c r="T468" i="19"/>
  <c r="Q255" i="19"/>
  <c r="X262" i="19"/>
  <c r="Y263" i="19"/>
  <c r="P254" i="19"/>
  <c r="T258" i="19"/>
  <c r="S257" i="19"/>
  <c r="O253" i="19"/>
  <c r="U259" i="19"/>
  <c r="V260" i="19"/>
  <c r="W261" i="19"/>
  <c r="N252" i="19"/>
  <c r="R256" i="19"/>
  <c r="R677" i="19"/>
  <c r="Y684" i="19"/>
  <c r="S678" i="19"/>
  <c r="O674" i="19"/>
  <c r="U680" i="19"/>
  <c r="Q676" i="19"/>
  <c r="W682" i="19"/>
  <c r="T679" i="19"/>
  <c r="N673" i="19"/>
  <c r="P675" i="19"/>
  <c r="V681" i="19"/>
  <c r="X683" i="19"/>
  <c r="P660" i="19"/>
  <c r="W667" i="19"/>
  <c r="Y669" i="19"/>
  <c r="T664" i="19"/>
  <c r="O659" i="19"/>
  <c r="R662" i="19"/>
  <c r="U665" i="19"/>
  <c r="X668" i="19"/>
  <c r="S663" i="19"/>
  <c r="Q661" i="19"/>
  <c r="V666" i="19"/>
  <c r="N658" i="19"/>
  <c r="T122" i="19"/>
  <c r="U123" i="19"/>
  <c r="V124" i="19"/>
  <c r="X126" i="19"/>
  <c r="R120" i="19"/>
  <c r="P118" i="19"/>
  <c r="N116" i="19"/>
  <c r="O117" i="19"/>
  <c r="S121" i="19"/>
  <c r="W125" i="19"/>
  <c r="Y127" i="19"/>
  <c r="Q119" i="19"/>
  <c r="Q570" i="19"/>
  <c r="V575" i="19"/>
  <c r="R571" i="19"/>
  <c r="N567" i="19"/>
  <c r="U574" i="19"/>
  <c r="T573" i="19"/>
  <c r="Y578" i="19"/>
  <c r="S572" i="19"/>
  <c r="X577" i="19"/>
  <c r="P569" i="19"/>
  <c r="W576" i="19"/>
  <c r="O568" i="19"/>
  <c r="U445" i="19"/>
  <c r="O439" i="19"/>
  <c r="V446" i="19"/>
  <c r="R442" i="19"/>
  <c r="W447" i="19"/>
  <c r="Q441" i="19"/>
  <c r="X448" i="19"/>
  <c r="T444" i="19"/>
  <c r="P440" i="19"/>
  <c r="N438" i="19"/>
  <c r="S443" i="19"/>
  <c r="Y449" i="19"/>
  <c r="Y376" i="19"/>
  <c r="P367" i="19"/>
  <c r="V373" i="19"/>
  <c r="S370" i="19"/>
  <c r="X375" i="19"/>
  <c r="W374" i="19"/>
  <c r="R369" i="19"/>
  <c r="T371" i="19"/>
  <c r="Q368" i="19"/>
  <c r="U372" i="19"/>
  <c r="N365" i="19"/>
  <c r="O366" i="19"/>
  <c r="Q757" i="19"/>
  <c r="X764" i="19"/>
  <c r="R758" i="19"/>
  <c r="N754" i="19"/>
  <c r="T760" i="19"/>
  <c r="P756" i="19"/>
  <c r="O755" i="19"/>
  <c r="S759" i="19"/>
  <c r="V762" i="19"/>
  <c r="Y765" i="19"/>
  <c r="W763" i="19"/>
  <c r="U761" i="19"/>
  <c r="O800" i="19"/>
  <c r="V807" i="19"/>
  <c r="R803" i="19"/>
  <c r="U806" i="19"/>
  <c r="N799" i="19"/>
  <c r="Y810" i="19"/>
  <c r="T805" i="19"/>
  <c r="X809" i="19"/>
  <c r="Q802" i="19"/>
  <c r="P801" i="19"/>
  <c r="S804" i="19"/>
  <c r="W808" i="19"/>
  <c r="O353" i="19"/>
  <c r="X362" i="19"/>
  <c r="Y363" i="19"/>
  <c r="V360" i="19"/>
  <c r="S357" i="19"/>
  <c r="W361" i="19"/>
  <c r="T358" i="19"/>
  <c r="R356" i="19"/>
  <c r="Q355" i="19"/>
  <c r="P354" i="19"/>
  <c r="U359" i="19"/>
  <c r="N352" i="19"/>
  <c r="Q550" i="19"/>
  <c r="Y558" i="19"/>
  <c r="U554" i="19"/>
  <c r="N547" i="19"/>
  <c r="W556" i="19"/>
  <c r="X557" i="19"/>
  <c r="P549" i="19"/>
  <c r="O548" i="19"/>
  <c r="V555" i="19"/>
  <c r="R551" i="19"/>
  <c r="T553" i="19"/>
  <c r="S552" i="19"/>
  <c r="AG23" i="20"/>
  <c r="P615" i="19"/>
  <c r="W622" i="19"/>
  <c r="Y624" i="19"/>
  <c r="U620" i="19"/>
  <c r="R617" i="19"/>
  <c r="V621" i="19"/>
  <c r="Q616" i="19"/>
  <c r="O614" i="19"/>
  <c r="N613" i="19"/>
  <c r="T619" i="19"/>
  <c r="X623" i="19"/>
  <c r="S618" i="19"/>
  <c r="T718" i="19"/>
  <c r="V720" i="19"/>
  <c r="R716" i="19"/>
  <c r="X722" i="19"/>
  <c r="O713" i="19"/>
  <c r="S717" i="19"/>
  <c r="Q715" i="19"/>
  <c r="Y723" i="19"/>
  <c r="P714" i="19"/>
  <c r="N712" i="19"/>
  <c r="W721" i="19"/>
  <c r="U719" i="19"/>
  <c r="AE11" i="16"/>
  <c r="G14" i="1"/>
  <c r="O14" i="1" s="1"/>
  <c r="V296" i="19"/>
  <c r="P290" i="19"/>
  <c r="W297" i="19"/>
  <c r="R292" i="19"/>
  <c r="N288" i="19"/>
  <c r="S293" i="19"/>
  <c r="O289" i="19"/>
  <c r="U295" i="19"/>
  <c r="Q291" i="19"/>
  <c r="X298" i="19"/>
  <c r="T294" i="19"/>
  <c r="Y299" i="19"/>
  <c r="P171" i="19"/>
  <c r="W178" i="19"/>
  <c r="Q172" i="19"/>
  <c r="S174" i="19"/>
  <c r="N169" i="19"/>
  <c r="V177" i="19"/>
  <c r="U176" i="19"/>
  <c r="X179" i="19"/>
  <c r="O170" i="19"/>
  <c r="R173" i="19"/>
  <c r="Y180" i="19"/>
  <c r="T175" i="19"/>
  <c r="N229" i="19"/>
  <c r="U236" i="19"/>
  <c r="W238" i="19"/>
  <c r="S234" i="19"/>
  <c r="Q232" i="19"/>
  <c r="V237" i="19"/>
  <c r="O230" i="19"/>
  <c r="R233" i="19"/>
  <c r="X239" i="19"/>
  <c r="T235" i="19"/>
  <c r="P231" i="19"/>
  <c r="Y240" i="19"/>
  <c r="Q340" i="19"/>
  <c r="X347" i="19"/>
  <c r="N337" i="19"/>
  <c r="Y348" i="19"/>
  <c r="W346" i="19"/>
  <c r="S342" i="19"/>
  <c r="T343" i="19"/>
  <c r="R341" i="19"/>
  <c r="O338" i="19"/>
  <c r="U344" i="19"/>
  <c r="V345" i="19"/>
  <c r="P339" i="19"/>
  <c r="U606" i="19"/>
  <c r="O600" i="19"/>
  <c r="V607" i="19"/>
  <c r="Q602" i="19"/>
  <c r="W608" i="19"/>
  <c r="R603" i="19"/>
  <c r="T605" i="19"/>
  <c r="S604" i="19"/>
  <c r="N599" i="19"/>
  <c r="P601" i="19"/>
  <c r="Y610" i="19"/>
  <c r="X609" i="19"/>
  <c r="U395" i="19"/>
  <c r="N388" i="19"/>
  <c r="S393" i="19"/>
  <c r="X398" i="19"/>
  <c r="O389" i="19"/>
  <c r="Q391" i="19"/>
  <c r="R392" i="19"/>
  <c r="T394" i="19"/>
  <c r="Y399" i="19"/>
  <c r="V396" i="19"/>
  <c r="W397" i="19"/>
  <c r="P390" i="19"/>
  <c r="Q364" i="19"/>
  <c r="Y372" i="19"/>
  <c r="U368" i="19"/>
  <c r="T367" i="19"/>
  <c r="W370" i="19"/>
  <c r="S366" i="19"/>
  <c r="R365" i="19"/>
  <c r="P363" i="19"/>
  <c r="O362" i="19"/>
  <c r="X371" i="19"/>
  <c r="N361" i="19"/>
  <c r="V369" i="19"/>
  <c r="U38" i="19"/>
  <c r="O32" i="19"/>
  <c r="T37" i="19"/>
  <c r="V39" i="19"/>
  <c r="W40" i="19"/>
  <c r="N31" i="19"/>
  <c r="S36" i="19"/>
  <c r="X41" i="19"/>
  <c r="P33" i="19"/>
  <c r="R35" i="19"/>
  <c r="Q34" i="19"/>
  <c r="Y42" i="19"/>
  <c r="W14" i="19"/>
  <c r="V13" i="19"/>
  <c r="P7" i="19"/>
  <c r="U12" i="19"/>
  <c r="S10" i="19"/>
  <c r="Y16" i="19"/>
  <c r="Q8" i="19"/>
  <c r="O6" i="19"/>
  <c r="X15" i="19"/>
  <c r="T11" i="19"/>
  <c r="R9" i="19"/>
  <c r="N5" i="19"/>
  <c r="N324" i="19"/>
  <c r="U331" i="19"/>
  <c r="O325" i="19"/>
  <c r="W333" i="19"/>
  <c r="R328" i="19"/>
  <c r="S329" i="19"/>
  <c r="Q327" i="19"/>
  <c r="P326" i="19"/>
  <c r="V332" i="19"/>
  <c r="Y335" i="19"/>
  <c r="X334" i="19"/>
  <c r="T330" i="19"/>
  <c r="Q359" i="19"/>
  <c r="W365" i="19"/>
  <c r="S361" i="19"/>
  <c r="O357" i="19"/>
  <c r="P358" i="19"/>
  <c r="X366" i="19"/>
  <c r="U363" i="19"/>
  <c r="R360" i="19"/>
  <c r="Y367" i="19"/>
  <c r="T362" i="19"/>
  <c r="V364" i="19"/>
  <c r="N356" i="19"/>
  <c r="T261" i="19"/>
  <c r="V263" i="19"/>
  <c r="X265" i="19"/>
  <c r="O256" i="19"/>
  <c r="U262" i="19"/>
  <c r="N255" i="19"/>
  <c r="Q258" i="19"/>
  <c r="P257" i="19"/>
  <c r="S260" i="19"/>
  <c r="R259" i="19"/>
  <c r="Y266" i="19"/>
  <c r="W264" i="19"/>
  <c r="U586" i="19"/>
  <c r="V587" i="19"/>
  <c r="P581" i="19"/>
  <c r="X589" i="19"/>
  <c r="W588" i="19"/>
  <c r="S584" i="19"/>
  <c r="N579" i="19"/>
  <c r="Q582" i="19"/>
  <c r="R583" i="19"/>
  <c r="Y590" i="19"/>
  <c r="T585" i="19"/>
  <c r="O580" i="19"/>
  <c r="Y637" i="19"/>
  <c r="S631" i="19"/>
  <c r="U633" i="19"/>
  <c r="N626" i="19"/>
  <c r="X636" i="19"/>
  <c r="T632" i="19"/>
  <c r="R630" i="19"/>
  <c r="P628" i="19"/>
  <c r="W635" i="19"/>
  <c r="V634" i="19"/>
  <c r="Q629" i="19"/>
  <c r="O627" i="19"/>
  <c r="V216" i="19"/>
  <c r="X218" i="19"/>
  <c r="U215" i="19"/>
  <c r="R212" i="19"/>
  <c r="N208" i="19"/>
  <c r="O209" i="19"/>
  <c r="Y219" i="19"/>
  <c r="S213" i="19"/>
  <c r="P210" i="19"/>
  <c r="W217" i="19"/>
  <c r="T214" i="19"/>
  <c r="Q211" i="19"/>
  <c r="Q508" i="19"/>
  <c r="X515" i="19"/>
  <c r="R509" i="19"/>
  <c r="Y516" i="19"/>
  <c r="V513" i="19"/>
  <c r="S510" i="19"/>
  <c r="U512" i="19"/>
  <c r="P507" i="19"/>
  <c r="O506" i="19"/>
  <c r="W514" i="19"/>
  <c r="T511" i="19"/>
  <c r="N505" i="19"/>
  <c r="Q315" i="19"/>
  <c r="X322" i="19"/>
  <c r="N312" i="19"/>
  <c r="Y323" i="19"/>
  <c r="R316" i="19"/>
  <c r="S317" i="19"/>
  <c r="P314" i="19"/>
  <c r="V320" i="19"/>
  <c r="T318" i="19"/>
  <c r="W321" i="19"/>
  <c r="O313" i="19"/>
  <c r="U319" i="19"/>
  <c r="Y461" i="19"/>
  <c r="S455" i="19"/>
  <c r="V458" i="19"/>
  <c r="Q453" i="19"/>
  <c r="P452" i="19"/>
  <c r="R454" i="19"/>
  <c r="N450" i="19"/>
  <c r="O451" i="19"/>
  <c r="X460" i="19"/>
  <c r="U457" i="19"/>
  <c r="W459" i="19"/>
  <c r="T456" i="19"/>
  <c r="Q414" i="19"/>
  <c r="X421" i="19"/>
  <c r="R415" i="19"/>
  <c r="Y422" i="19"/>
  <c r="O412" i="19"/>
  <c r="T417" i="19"/>
  <c r="S416" i="19"/>
  <c r="W420" i="19"/>
  <c r="P413" i="19"/>
  <c r="N411" i="19"/>
  <c r="U418" i="19"/>
  <c r="V419" i="19"/>
  <c r="Q518" i="19"/>
  <c r="X525" i="19"/>
  <c r="R519" i="19"/>
  <c r="Y526" i="19"/>
  <c r="W524" i="19"/>
  <c r="U522" i="19"/>
  <c r="S520" i="19"/>
  <c r="N515" i="19"/>
  <c r="O516" i="19"/>
  <c r="T521" i="19"/>
  <c r="V523" i="19"/>
  <c r="P517" i="19"/>
  <c r="W592" i="19"/>
  <c r="Y594" i="19"/>
  <c r="T589" i="19"/>
  <c r="O584" i="19"/>
  <c r="R587" i="19"/>
  <c r="X593" i="19"/>
  <c r="V591" i="19"/>
  <c r="P585" i="19"/>
  <c r="S588" i="19"/>
  <c r="N583" i="19"/>
  <c r="Q586" i="19"/>
  <c r="U590" i="19"/>
  <c r="P22" i="19"/>
  <c r="W29" i="19"/>
  <c r="S25" i="19"/>
  <c r="O21" i="19"/>
  <c r="V28" i="19"/>
  <c r="Q23" i="19"/>
  <c r="T26" i="19"/>
  <c r="U27" i="19"/>
  <c r="N20" i="19"/>
  <c r="X30" i="19"/>
  <c r="R24" i="19"/>
  <c r="Y31" i="19"/>
  <c r="N815" i="19"/>
  <c r="V823" i="19"/>
  <c r="O816" i="19"/>
  <c r="P817" i="19"/>
  <c r="S820" i="19"/>
  <c r="Q818" i="19"/>
  <c r="R819" i="19"/>
  <c r="U822" i="19"/>
  <c r="T821" i="19"/>
  <c r="S50" i="19"/>
  <c r="V53" i="19"/>
  <c r="R49" i="19"/>
  <c r="Q48" i="19"/>
  <c r="N45" i="19"/>
  <c r="T51" i="19"/>
  <c r="Y56" i="19"/>
  <c r="P47" i="19"/>
  <c r="W54" i="19"/>
  <c r="U52" i="19"/>
  <c r="X55" i="19"/>
  <c r="O46" i="19"/>
  <c r="S117" i="19"/>
  <c r="Q115" i="19"/>
  <c r="P114" i="19"/>
  <c r="R116" i="19"/>
  <c r="O113" i="19"/>
  <c r="N112" i="19"/>
  <c r="Y123" i="19"/>
  <c r="X122" i="19"/>
  <c r="V120" i="19"/>
  <c r="U119" i="19"/>
  <c r="W121" i="19"/>
  <c r="T118" i="19"/>
  <c r="X568" i="19"/>
  <c r="T564" i="19"/>
  <c r="P560" i="19"/>
  <c r="W567" i="19"/>
  <c r="Y569" i="19"/>
  <c r="U565" i="19"/>
  <c r="S563" i="19"/>
  <c r="R562" i="19"/>
  <c r="Q561" i="19"/>
  <c r="V566" i="19"/>
  <c r="N558" i="19"/>
  <c r="O559" i="19"/>
  <c r="Y36" i="19"/>
  <c r="T31" i="19"/>
  <c r="O26" i="19"/>
  <c r="X35" i="19"/>
  <c r="S30" i="19"/>
  <c r="R29" i="19"/>
  <c r="N25" i="19"/>
  <c r="V33" i="19"/>
  <c r="Q28" i="19"/>
  <c r="W34" i="19"/>
  <c r="P27" i="19"/>
  <c r="U32" i="19"/>
  <c r="Q265" i="19"/>
  <c r="X272" i="19"/>
  <c r="N262" i="19"/>
  <c r="Y273" i="19"/>
  <c r="W271" i="19"/>
  <c r="P264" i="19"/>
  <c r="O263" i="19"/>
  <c r="S267" i="19"/>
  <c r="T268" i="19"/>
  <c r="U269" i="19"/>
  <c r="V270" i="19"/>
  <c r="R266" i="19"/>
  <c r="U460" i="19"/>
  <c r="O454" i="19"/>
  <c r="V461" i="19"/>
  <c r="N453" i="19"/>
  <c r="S458" i="19"/>
  <c r="Q456" i="19"/>
  <c r="X463" i="19"/>
  <c r="Y464" i="19"/>
  <c r="T459" i="19"/>
  <c r="W462" i="19"/>
  <c r="R457" i="19"/>
  <c r="P455" i="19"/>
  <c r="T251" i="19"/>
  <c r="V253" i="19"/>
  <c r="Y256" i="19"/>
  <c r="S250" i="19"/>
  <c r="R249" i="19"/>
  <c r="W254" i="19"/>
  <c r="O246" i="19"/>
  <c r="Q248" i="19"/>
  <c r="N245" i="19"/>
  <c r="X255" i="19"/>
  <c r="P247" i="19"/>
  <c r="U252" i="19"/>
  <c r="P151" i="19"/>
  <c r="W158" i="19"/>
  <c r="Q152" i="19"/>
  <c r="Y160" i="19"/>
  <c r="T155" i="19"/>
  <c r="O150" i="19"/>
  <c r="R153" i="19"/>
  <c r="U156" i="19"/>
  <c r="N149" i="19"/>
  <c r="S154" i="19"/>
  <c r="V157" i="19"/>
  <c r="X159" i="19"/>
  <c r="T167" i="19"/>
  <c r="U168" i="19"/>
  <c r="Y172" i="19"/>
  <c r="W170" i="19"/>
  <c r="S166" i="19"/>
  <c r="N161" i="19"/>
  <c r="P163" i="19"/>
  <c r="X171" i="19"/>
  <c r="O162" i="19"/>
  <c r="R165" i="19"/>
  <c r="V169" i="19"/>
  <c r="Q164" i="19"/>
  <c r="Q300" i="19"/>
  <c r="X307" i="19"/>
  <c r="O298" i="19"/>
  <c r="V305" i="19"/>
  <c r="W306" i="19"/>
  <c r="Y308" i="19"/>
  <c r="P299" i="19"/>
  <c r="T303" i="19"/>
  <c r="R301" i="19"/>
  <c r="U304" i="19"/>
  <c r="N297" i="19"/>
  <c r="S302" i="19"/>
  <c r="P196" i="19"/>
  <c r="Q197" i="19"/>
  <c r="Y205" i="19"/>
  <c r="R198" i="19"/>
  <c r="N194" i="19"/>
  <c r="X204" i="19"/>
  <c r="W203" i="19"/>
  <c r="O195" i="19"/>
  <c r="U201" i="19"/>
  <c r="S199" i="19"/>
  <c r="V202" i="19"/>
  <c r="T200" i="19"/>
  <c r="T733" i="19"/>
  <c r="N727" i="19"/>
  <c r="O728" i="19"/>
  <c r="U734" i="19"/>
  <c r="V735" i="19"/>
  <c r="W736" i="19"/>
  <c r="Q730" i="19"/>
  <c r="X737" i="19"/>
  <c r="R731" i="19"/>
  <c r="Y738" i="19"/>
  <c r="S732" i="19"/>
  <c r="P729" i="19"/>
  <c r="Q590" i="19"/>
  <c r="X597" i="19"/>
  <c r="R591" i="19"/>
  <c r="Y598" i="19"/>
  <c r="P589" i="19"/>
  <c r="S592" i="19"/>
  <c r="U594" i="19"/>
  <c r="N587" i="19"/>
  <c r="O588" i="19"/>
  <c r="T593" i="19"/>
  <c r="W596" i="19"/>
  <c r="V595" i="19"/>
  <c r="P81" i="19"/>
  <c r="W88" i="19"/>
  <c r="Q82" i="19"/>
  <c r="O80" i="19"/>
  <c r="V87" i="19"/>
  <c r="T85" i="19"/>
  <c r="X89" i="19"/>
  <c r="S84" i="19"/>
  <c r="N79" i="19"/>
  <c r="R83" i="19"/>
  <c r="Y90" i="19"/>
  <c r="U86" i="19"/>
  <c r="U678" i="19"/>
  <c r="O672" i="19"/>
  <c r="S676" i="19"/>
  <c r="Y682" i="19"/>
  <c r="V679" i="19"/>
  <c r="T677" i="19"/>
  <c r="W680" i="19"/>
  <c r="R675" i="19"/>
  <c r="Q674" i="19"/>
  <c r="X681" i="19"/>
  <c r="P673" i="19"/>
  <c r="N671" i="19"/>
  <c r="N239" i="19"/>
  <c r="U246" i="19"/>
  <c r="P241" i="19"/>
  <c r="V247" i="19"/>
  <c r="R243" i="19"/>
  <c r="X249" i="19"/>
  <c r="T245" i="19"/>
  <c r="W248" i="19"/>
  <c r="Y250" i="19"/>
  <c r="S244" i="19"/>
  <c r="Q242" i="19"/>
  <c r="O240" i="19"/>
  <c r="O790" i="19"/>
  <c r="V797" i="19"/>
  <c r="R793" i="19"/>
  <c r="Y800" i="19"/>
  <c r="P791" i="19"/>
  <c r="X799" i="19"/>
  <c r="S794" i="19"/>
  <c r="Q792" i="19"/>
  <c r="W798" i="19"/>
  <c r="T795" i="19"/>
  <c r="N789" i="19"/>
  <c r="U796" i="19"/>
  <c r="X61" i="19"/>
  <c r="Q54" i="19"/>
  <c r="W60" i="19"/>
  <c r="S56" i="19"/>
  <c r="O52" i="19"/>
  <c r="T57" i="19"/>
  <c r="P53" i="19"/>
  <c r="N51" i="19"/>
  <c r="U58" i="19"/>
  <c r="R55" i="19"/>
  <c r="Y62" i="19"/>
  <c r="V59" i="19"/>
  <c r="Q335" i="19"/>
  <c r="X342" i="19"/>
  <c r="U339" i="19"/>
  <c r="P334" i="19"/>
  <c r="R336" i="19"/>
  <c r="N332" i="19"/>
  <c r="Y343" i="19"/>
  <c r="O333" i="19"/>
  <c r="W341" i="19"/>
  <c r="V340" i="19"/>
  <c r="S337" i="19"/>
  <c r="T338" i="19"/>
  <c r="V221" i="19"/>
  <c r="O214" i="19"/>
  <c r="Y224" i="19"/>
  <c r="R217" i="19"/>
  <c r="N213" i="19"/>
  <c r="S218" i="19"/>
  <c r="T219" i="19"/>
  <c r="U220" i="19"/>
  <c r="W222" i="19"/>
  <c r="Q216" i="19"/>
  <c r="P215" i="19"/>
  <c r="X223" i="19"/>
  <c r="V256" i="19"/>
  <c r="P250" i="19"/>
  <c r="R252" i="19"/>
  <c r="N248" i="19"/>
  <c r="X258" i="19"/>
  <c r="T254" i="19"/>
  <c r="U255" i="19"/>
  <c r="S253" i="19"/>
  <c r="Y259" i="19"/>
  <c r="Q251" i="19"/>
  <c r="W257" i="19"/>
  <c r="O249" i="19"/>
  <c r="Y579" i="19"/>
  <c r="U575" i="19"/>
  <c r="Q571" i="19"/>
  <c r="W577" i="19"/>
  <c r="T574" i="19"/>
  <c r="V576" i="19"/>
  <c r="S573" i="19"/>
  <c r="X578" i="19"/>
  <c r="R572" i="19"/>
  <c r="P570" i="19"/>
  <c r="O569" i="19"/>
  <c r="N568" i="19"/>
  <c r="V365" i="19"/>
  <c r="R361" i="19"/>
  <c r="S362" i="19"/>
  <c r="W366" i="19"/>
  <c r="N357" i="19"/>
  <c r="T363" i="19"/>
  <c r="P359" i="19"/>
  <c r="Y368" i="19"/>
  <c r="X367" i="19"/>
  <c r="Q360" i="19"/>
  <c r="U364" i="19"/>
  <c r="O358" i="19"/>
  <c r="V693" i="19"/>
  <c r="P687" i="19"/>
  <c r="W694" i="19"/>
  <c r="R689" i="19"/>
  <c r="X695" i="19"/>
  <c r="N685" i="19"/>
  <c r="Q688" i="19"/>
  <c r="T691" i="19"/>
  <c r="U692" i="19"/>
  <c r="O686" i="19"/>
  <c r="Y696" i="19"/>
  <c r="S690" i="19"/>
  <c r="T509" i="19"/>
  <c r="N503" i="19"/>
  <c r="U510" i="19"/>
  <c r="X513" i="19"/>
  <c r="S508" i="19"/>
  <c r="P505" i="19"/>
  <c r="W512" i="19"/>
  <c r="Q506" i="19"/>
  <c r="R507" i="19"/>
  <c r="O504" i="19"/>
  <c r="V511" i="19"/>
  <c r="Y514" i="19"/>
  <c r="X173" i="19"/>
  <c r="Y174" i="19"/>
  <c r="N163" i="19"/>
  <c r="S168" i="19"/>
  <c r="Q166" i="19"/>
  <c r="U170" i="19"/>
  <c r="O164" i="19"/>
  <c r="V171" i="19"/>
  <c r="T169" i="19"/>
  <c r="R167" i="19"/>
  <c r="P165" i="19"/>
  <c r="W172" i="19"/>
  <c r="O18" i="18"/>
  <c r="O19" i="18" s="1"/>
  <c r="O20" i="18"/>
  <c r="O21" i="18" s="1"/>
  <c r="R205" i="19"/>
  <c r="V209" i="19"/>
  <c r="N201" i="19"/>
  <c r="Y212" i="19"/>
  <c r="P203" i="19"/>
  <c r="X211" i="19"/>
  <c r="W210" i="19"/>
  <c r="U208" i="19"/>
  <c r="T207" i="19"/>
  <c r="Q204" i="19"/>
  <c r="S206" i="19"/>
  <c r="O202" i="19"/>
  <c r="Y451" i="19"/>
  <c r="S445" i="19"/>
  <c r="U447" i="19"/>
  <c r="P442" i="19"/>
  <c r="T446" i="19"/>
  <c r="R444" i="19"/>
  <c r="X450" i="19"/>
  <c r="V448" i="19"/>
  <c r="O441" i="19"/>
  <c r="N440" i="19"/>
  <c r="Q443" i="19"/>
  <c r="W449" i="19"/>
  <c r="P424" i="19"/>
  <c r="W431" i="19"/>
  <c r="Q425" i="19"/>
  <c r="T428" i="19"/>
  <c r="O423" i="19"/>
  <c r="N422" i="19"/>
  <c r="S427" i="19"/>
  <c r="R426" i="19"/>
  <c r="Y433" i="19"/>
  <c r="V430" i="19"/>
  <c r="U429" i="19"/>
  <c r="X432" i="19"/>
  <c r="P610" i="19"/>
  <c r="W617" i="19"/>
  <c r="Y619" i="19"/>
  <c r="T614" i="19"/>
  <c r="O609" i="19"/>
  <c r="N608" i="19"/>
  <c r="V616" i="19"/>
  <c r="U615" i="19"/>
  <c r="Q611" i="19"/>
  <c r="X618" i="19"/>
  <c r="R612" i="19"/>
  <c r="S613" i="19"/>
  <c r="T678" i="19"/>
  <c r="V680" i="19"/>
  <c r="R676" i="19"/>
  <c r="X682" i="19"/>
  <c r="O673" i="19"/>
  <c r="S677" i="19"/>
  <c r="N672" i="19"/>
  <c r="W681" i="19"/>
  <c r="P674" i="19"/>
  <c r="Y683" i="19"/>
  <c r="U679" i="19"/>
  <c r="Q675" i="19"/>
  <c r="T405" i="19"/>
  <c r="U406" i="19"/>
  <c r="V407" i="19"/>
  <c r="R403" i="19"/>
  <c r="N399" i="19"/>
  <c r="X409" i="19"/>
  <c r="O400" i="19"/>
  <c r="S404" i="19"/>
  <c r="Q402" i="19"/>
  <c r="P401" i="19"/>
  <c r="Y410" i="19"/>
  <c r="W408" i="19"/>
  <c r="V231" i="19"/>
  <c r="P225" i="19"/>
  <c r="U230" i="19"/>
  <c r="Y234" i="19"/>
  <c r="Q226" i="19"/>
  <c r="S228" i="19"/>
  <c r="R227" i="19"/>
  <c r="O224" i="19"/>
  <c r="N223" i="19"/>
  <c r="W232" i="19"/>
  <c r="T229" i="19"/>
  <c r="X233" i="19"/>
  <c r="Y366" i="19"/>
  <c r="X365" i="19"/>
  <c r="T361" i="19"/>
  <c r="P357" i="19"/>
  <c r="V363" i="19"/>
  <c r="S360" i="19"/>
  <c r="W364" i="19"/>
  <c r="R359" i="19"/>
  <c r="Q358" i="19"/>
  <c r="O356" i="19"/>
  <c r="N355" i="19"/>
  <c r="U362" i="19"/>
  <c r="X36" i="19"/>
  <c r="S31" i="19"/>
  <c r="N26" i="19"/>
  <c r="W35" i="19"/>
  <c r="R30" i="19"/>
  <c r="P28" i="19"/>
  <c r="Q29" i="19"/>
  <c r="Y37" i="19"/>
  <c r="U33" i="19"/>
  <c r="O27" i="19"/>
  <c r="V34" i="19"/>
  <c r="T32" i="19"/>
  <c r="Q215" i="19"/>
  <c r="S217" i="19"/>
  <c r="O213" i="19"/>
  <c r="V220" i="19"/>
  <c r="R216" i="19"/>
  <c r="T218" i="19"/>
  <c r="U219" i="19"/>
  <c r="X222" i="19"/>
  <c r="N212" i="19"/>
  <c r="Y223" i="19"/>
  <c r="P214" i="19"/>
  <c r="W221" i="19"/>
  <c r="N805" i="19"/>
  <c r="S810" i="19"/>
  <c r="X815" i="19"/>
  <c r="Q808" i="19"/>
  <c r="Y816" i="19"/>
  <c r="U812" i="19"/>
  <c r="P807" i="19"/>
  <c r="T811" i="19"/>
  <c r="R809" i="19"/>
  <c r="V813" i="19"/>
  <c r="O806" i="19"/>
  <c r="W814" i="19"/>
  <c r="P186" i="19"/>
  <c r="W193" i="19"/>
  <c r="Q187" i="19"/>
  <c r="R188" i="19"/>
  <c r="X194" i="19"/>
  <c r="V192" i="19"/>
  <c r="T190" i="19"/>
  <c r="N184" i="19"/>
  <c r="S189" i="19"/>
  <c r="O185" i="19"/>
  <c r="U191" i="19"/>
  <c r="Y195" i="19"/>
  <c r="P518" i="19"/>
  <c r="W525" i="19"/>
  <c r="Q519" i="19"/>
  <c r="O517" i="19"/>
  <c r="V524" i="19"/>
  <c r="U523" i="19"/>
  <c r="T522" i="19"/>
  <c r="R520" i="19"/>
  <c r="N516" i="19"/>
  <c r="S521" i="19"/>
  <c r="Y527" i="19"/>
  <c r="X526" i="19"/>
  <c r="V733" i="19"/>
  <c r="P727" i="19"/>
  <c r="W734" i="19"/>
  <c r="R729" i="19"/>
  <c r="X735" i="19"/>
  <c r="N725" i="19"/>
  <c r="Q728" i="19"/>
  <c r="Y736" i="19"/>
  <c r="S730" i="19"/>
  <c r="T731" i="19"/>
  <c r="O726" i="19"/>
  <c r="U732" i="19"/>
  <c r="Q737" i="19"/>
  <c r="X744" i="19"/>
  <c r="R738" i="19"/>
  <c r="N734" i="19"/>
  <c r="T740" i="19"/>
  <c r="P736" i="19"/>
  <c r="V742" i="19"/>
  <c r="U741" i="19"/>
  <c r="O735" i="19"/>
  <c r="W743" i="19"/>
  <c r="S739" i="19"/>
  <c r="Y745" i="19"/>
  <c r="T192" i="19"/>
  <c r="N186" i="19"/>
  <c r="U193" i="19"/>
  <c r="O187" i="19"/>
  <c r="R190" i="19"/>
  <c r="Y197" i="19"/>
  <c r="Q189" i="19"/>
  <c r="S191" i="19"/>
  <c r="W195" i="19"/>
  <c r="P188" i="19"/>
  <c r="V194" i="19"/>
  <c r="X196" i="19"/>
  <c r="N731" i="19"/>
  <c r="U738" i="19"/>
  <c r="O732" i="19"/>
  <c r="S736" i="19"/>
  <c r="Y742" i="19"/>
  <c r="V739" i="19"/>
  <c r="R735" i="19"/>
  <c r="X741" i="19"/>
  <c r="W740" i="19"/>
  <c r="Q734" i="19"/>
  <c r="P733" i="19"/>
  <c r="T737" i="19"/>
  <c r="X537" i="19"/>
  <c r="T533" i="19"/>
  <c r="O528" i="19"/>
  <c r="Q530" i="19"/>
  <c r="W536" i="19"/>
  <c r="N527" i="19"/>
  <c r="V535" i="19"/>
  <c r="S532" i="19"/>
  <c r="P529" i="19"/>
  <c r="Y538" i="19"/>
  <c r="U534" i="19"/>
  <c r="R531" i="19"/>
  <c r="R230" i="19"/>
  <c r="Y237" i="19"/>
  <c r="V234" i="19"/>
  <c r="T232" i="19"/>
  <c r="X236" i="19"/>
  <c r="P228" i="19"/>
  <c r="W235" i="19"/>
  <c r="N226" i="19"/>
  <c r="O227" i="19"/>
  <c r="U233" i="19"/>
  <c r="S231" i="19"/>
  <c r="Q229" i="19"/>
  <c r="V578" i="19"/>
  <c r="R574" i="19"/>
  <c r="N570" i="19"/>
  <c r="X580" i="19"/>
  <c r="U577" i="19"/>
  <c r="T576" i="19"/>
  <c r="S575" i="19"/>
  <c r="Q573" i="19"/>
  <c r="Y581" i="19"/>
  <c r="W579" i="19"/>
  <c r="P572" i="19"/>
  <c r="O571" i="19"/>
  <c r="U354" i="19"/>
  <c r="Q350" i="19"/>
  <c r="O348" i="19"/>
  <c r="W356" i="19"/>
  <c r="T353" i="19"/>
  <c r="X357" i="19"/>
  <c r="V355" i="19"/>
  <c r="Y358" i="19"/>
  <c r="S352" i="19"/>
  <c r="R351" i="19"/>
  <c r="N347" i="19"/>
  <c r="P349" i="19"/>
  <c r="T420" i="19"/>
  <c r="N414" i="19"/>
  <c r="U421" i="19"/>
  <c r="V422" i="19"/>
  <c r="Q417" i="19"/>
  <c r="P416" i="19"/>
  <c r="S419" i="19"/>
  <c r="R418" i="19"/>
  <c r="O415" i="19"/>
  <c r="W423" i="19"/>
  <c r="X424" i="19"/>
  <c r="Y425" i="19"/>
  <c r="S97" i="19"/>
  <c r="T98" i="19"/>
  <c r="X102" i="19"/>
  <c r="V100" i="19"/>
  <c r="N92" i="19"/>
  <c r="Q95" i="19"/>
  <c r="Y103" i="19"/>
  <c r="R96" i="19"/>
  <c r="U99" i="19"/>
  <c r="W101" i="19"/>
  <c r="O93" i="19"/>
  <c r="P94" i="19"/>
  <c r="Y785" i="19"/>
  <c r="Q777" i="19"/>
  <c r="W783" i="19"/>
  <c r="R778" i="19"/>
  <c r="N774" i="19"/>
  <c r="T780" i="19"/>
  <c r="P776" i="19"/>
  <c r="O775" i="19"/>
  <c r="X784" i="19"/>
  <c r="S779" i="19"/>
  <c r="U781" i="19"/>
  <c r="V782" i="19"/>
  <c r="T758" i="19"/>
  <c r="V760" i="19"/>
  <c r="R756" i="19"/>
  <c r="X762" i="19"/>
  <c r="O753" i="19"/>
  <c r="Q755" i="19"/>
  <c r="Y763" i="19"/>
  <c r="N752" i="19"/>
  <c r="S757" i="19"/>
  <c r="P754" i="19"/>
  <c r="U759" i="19"/>
  <c r="W761" i="19"/>
  <c r="Y46" i="19"/>
  <c r="T41" i="19"/>
  <c r="X45" i="19"/>
  <c r="Q38" i="19"/>
  <c r="W44" i="19"/>
  <c r="P37" i="19"/>
  <c r="U42" i="19"/>
  <c r="R39" i="19"/>
  <c r="S40" i="19"/>
  <c r="N35" i="19"/>
  <c r="V43" i="19"/>
  <c r="O36" i="19"/>
  <c r="T152" i="19"/>
  <c r="U153" i="19"/>
  <c r="P148" i="19"/>
  <c r="W155" i="19"/>
  <c r="N146" i="19"/>
  <c r="R150" i="19"/>
  <c r="Y157" i="19"/>
  <c r="S151" i="19"/>
  <c r="X156" i="19"/>
  <c r="Q149" i="19"/>
  <c r="V154" i="19"/>
  <c r="O147" i="19"/>
  <c r="W582" i="19"/>
  <c r="S578" i="19"/>
  <c r="O574" i="19"/>
  <c r="X583" i="19"/>
  <c r="U580" i="19"/>
  <c r="T579" i="19"/>
  <c r="R577" i="19"/>
  <c r="P575" i="19"/>
  <c r="N573" i="19"/>
  <c r="V581" i="19"/>
  <c r="Y584" i="19"/>
  <c r="Q576" i="19"/>
  <c r="Y567" i="19"/>
  <c r="R560" i="19"/>
  <c r="N556" i="19"/>
  <c r="W565" i="19"/>
  <c r="S561" i="19"/>
  <c r="O557" i="19"/>
  <c r="X566" i="19"/>
  <c r="T562" i="19"/>
  <c r="V564" i="19"/>
  <c r="Q559" i="19"/>
  <c r="P558" i="19"/>
  <c r="U563" i="19"/>
  <c r="AX16" i="19"/>
  <c r="AA816" i="19" s="1"/>
  <c r="AB816" i="19" s="1"/>
  <c r="AY43" i="19"/>
  <c r="AX43" i="19"/>
  <c r="AA9" i="19"/>
  <c r="AB9" i="19" s="1"/>
  <c r="AY45" i="19"/>
  <c r="AY44" i="19"/>
  <c r="D9" i="19"/>
  <c r="AY42" i="19"/>
  <c r="AY49" i="19"/>
  <c r="AY40" i="19"/>
  <c r="AY38" i="19"/>
  <c r="AY39" i="19"/>
  <c r="AY41" i="19"/>
  <c r="AY48" i="19"/>
  <c r="AY47" i="19"/>
  <c r="AY46" i="19"/>
  <c r="U509" i="19"/>
  <c r="O503" i="19"/>
  <c r="V510" i="19"/>
  <c r="Y513" i="19"/>
  <c r="T508" i="19"/>
  <c r="Q505" i="19"/>
  <c r="R506" i="19"/>
  <c r="S507" i="19"/>
  <c r="P504" i="19"/>
  <c r="W511" i="19"/>
  <c r="X512" i="19"/>
  <c r="N502" i="19"/>
  <c r="U49" i="19"/>
  <c r="O43" i="19"/>
  <c r="T48" i="19"/>
  <c r="S47" i="19"/>
  <c r="N42" i="19"/>
  <c r="W51" i="19"/>
  <c r="V50" i="19"/>
  <c r="Y53" i="19"/>
  <c r="X52" i="19"/>
  <c r="Q45" i="19"/>
  <c r="R46" i="19"/>
  <c r="P44" i="19"/>
  <c r="T504" i="19"/>
  <c r="N498" i="19"/>
  <c r="U505" i="19"/>
  <c r="W507" i="19"/>
  <c r="P500" i="19"/>
  <c r="Q501" i="19"/>
  <c r="S503" i="19"/>
  <c r="V506" i="19"/>
  <c r="R502" i="19"/>
  <c r="Y509" i="19"/>
  <c r="X508" i="19"/>
  <c r="O499" i="19"/>
  <c r="V784" i="19"/>
  <c r="Y787" i="19"/>
  <c r="N776" i="19"/>
  <c r="W785" i="19"/>
  <c r="O777" i="19"/>
  <c r="X786" i="19"/>
  <c r="P778" i="19"/>
  <c r="S781" i="19"/>
  <c r="Q779" i="19"/>
  <c r="U783" i="19"/>
  <c r="R780" i="19"/>
  <c r="T782" i="19"/>
  <c r="Q8" i="9"/>
  <c r="T440" i="19"/>
  <c r="N434" i="19"/>
  <c r="U441" i="19"/>
  <c r="X444" i="19"/>
  <c r="S439" i="19"/>
  <c r="Y445" i="19"/>
  <c r="W443" i="19"/>
  <c r="O435" i="19"/>
  <c r="V442" i="19"/>
  <c r="R438" i="19"/>
  <c r="P436" i="19"/>
  <c r="Q437" i="19"/>
  <c r="S122" i="19"/>
  <c r="U124" i="19"/>
  <c r="Y128" i="19"/>
  <c r="W126" i="19"/>
  <c r="Q120" i="19"/>
  <c r="O118" i="19"/>
  <c r="N117" i="19"/>
  <c r="X127" i="19"/>
  <c r="R121" i="19"/>
  <c r="T123" i="19"/>
  <c r="V125" i="19"/>
  <c r="P119" i="19"/>
  <c r="T656" i="19"/>
  <c r="N650" i="19"/>
  <c r="Y661" i="19"/>
  <c r="V658" i="19"/>
  <c r="Q653" i="19"/>
  <c r="W659" i="19"/>
  <c r="U657" i="19"/>
  <c r="S655" i="19"/>
  <c r="P652" i="19"/>
  <c r="X660" i="19"/>
  <c r="O651" i="19"/>
  <c r="R654" i="19"/>
  <c r="S167" i="19"/>
  <c r="Q165" i="19"/>
  <c r="T168" i="19"/>
  <c r="R166" i="19"/>
  <c r="Y173" i="19"/>
  <c r="V170" i="19"/>
  <c r="O163" i="19"/>
  <c r="N162" i="19"/>
  <c r="W171" i="19"/>
  <c r="X172" i="19"/>
  <c r="U169" i="19"/>
  <c r="P164" i="19"/>
  <c r="Q762" i="19"/>
  <c r="X769" i="19"/>
  <c r="U766" i="19"/>
  <c r="T765" i="19"/>
  <c r="S764" i="19"/>
  <c r="Y770" i="19"/>
  <c r="P761" i="19"/>
  <c r="O760" i="19"/>
  <c r="R763" i="19"/>
  <c r="W768" i="19"/>
  <c r="N759" i="19"/>
  <c r="V767" i="19"/>
  <c r="R801" i="19"/>
  <c r="N797" i="19"/>
  <c r="W806" i="19"/>
  <c r="P799" i="19"/>
  <c r="U804" i="19"/>
  <c r="Q800" i="19"/>
  <c r="X807" i="19"/>
  <c r="S802" i="19"/>
  <c r="O798" i="19"/>
  <c r="Y808" i="19"/>
  <c r="T803" i="19"/>
  <c r="V805" i="19"/>
  <c r="U62" i="19"/>
  <c r="T61" i="19"/>
  <c r="N55" i="19"/>
  <c r="V63" i="19"/>
  <c r="S60" i="19"/>
  <c r="O56" i="19"/>
  <c r="W64" i="19"/>
  <c r="R59" i="19"/>
  <c r="Y66" i="19"/>
  <c r="P57" i="19"/>
  <c r="Q58" i="19"/>
  <c r="X65" i="19"/>
  <c r="V372" i="19"/>
  <c r="W373" i="19"/>
  <c r="N364" i="19"/>
  <c r="T370" i="19"/>
  <c r="Q367" i="19"/>
  <c r="X374" i="19"/>
  <c r="S369" i="19"/>
  <c r="U371" i="19"/>
  <c r="R368" i="19"/>
  <c r="P366" i="19"/>
  <c r="O365" i="19"/>
  <c r="Y375" i="19"/>
  <c r="AP54" i="19"/>
  <c r="AS55" i="19" s="1"/>
  <c r="J54" i="7"/>
  <c r="Y406" i="19"/>
  <c r="P397" i="19"/>
  <c r="N395" i="19"/>
  <c r="W404" i="19"/>
  <c r="V403" i="19"/>
  <c r="U402" i="19"/>
  <c r="R399" i="19"/>
  <c r="X405" i="19"/>
  <c r="T401" i="19"/>
  <c r="Q398" i="19"/>
  <c r="O396" i="19"/>
  <c r="S400" i="19"/>
  <c r="O785" i="19"/>
  <c r="V792" i="19"/>
  <c r="R788" i="19"/>
  <c r="U791" i="19"/>
  <c r="N784" i="19"/>
  <c r="S789" i="19"/>
  <c r="X794" i="19"/>
  <c r="Y795" i="19"/>
  <c r="Q787" i="19"/>
  <c r="T790" i="19"/>
  <c r="P786" i="19"/>
  <c r="W793" i="19"/>
  <c r="T683" i="19"/>
  <c r="O678" i="19"/>
  <c r="P679" i="19"/>
  <c r="X687" i="19"/>
  <c r="W686" i="19"/>
  <c r="V685" i="19"/>
  <c r="U684" i="19"/>
  <c r="N677" i="19"/>
  <c r="R681" i="19"/>
  <c r="Y688" i="19"/>
  <c r="S682" i="19"/>
  <c r="Q680" i="19"/>
  <c r="AP31" i="19"/>
  <c r="AS32" i="19" s="1"/>
  <c r="J31" i="7"/>
  <c r="P449" i="19"/>
  <c r="W456" i="19"/>
  <c r="Q450" i="19"/>
  <c r="T453" i="19"/>
  <c r="O448" i="19"/>
  <c r="N447" i="19"/>
  <c r="R451" i="19"/>
  <c r="S452" i="19"/>
  <c r="X457" i="19"/>
  <c r="U454" i="19"/>
  <c r="Y458" i="19"/>
  <c r="V455" i="19"/>
  <c r="V768" i="19"/>
  <c r="P762" i="19"/>
  <c r="W769" i="19"/>
  <c r="U767" i="19"/>
  <c r="X770" i="19"/>
  <c r="N760" i="19"/>
  <c r="S765" i="19"/>
  <c r="R764" i="19"/>
  <c r="O761" i="19"/>
  <c r="T766" i="19"/>
  <c r="Q763" i="19"/>
  <c r="Y771" i="19"/>
  <c r="V261" i="19"/>
  <c r="P255" i="19"/>
  <c r="R257" i="19"/>
  <c r="X263" i="19"/>
  <c r="W262" i="19"/>
  <c r="O254" i="19"/>
  <c r="S258" i="19"/>
  <c r="N253" i="19"/>
  <c r="U260" i="19"/>
  <c r="Y264" i="19"/>
  <c r="T259" i="19"/>
  <c r="Q256" i="19"/>
  <c r="T748" i="19"/>
  <c r="Q745" i="19"/>
  <c r="W751" i="19"/>
  <c r="Y753" i="19"/>
  <c r="S747" i="19"/>
  <c r="N742" i="19"/>
  <c r="R746" i="19"/>
  <c r="U749" i="19"/>
  <c r="O743" i="19"/>
  <c r="V750" i="19"/>
  <c r="P744" i="19"/>
  <c r="X752" i="19"/>
  <c r="R707" i="19"/>
  <c r="Y714" i="19"/>
  <c r="S708" i="19"/>
  <c r="T709" i="19"/>
  <c r="P705" i="19"/>
  <c r="V711" i="19"/>
  <c r="X713" i="19"/>
  <c r="U710" i="19"/>
  <c r="O704" i="19"/>
  <c r="N703" i="19"/>
  <c r="W712" i="19"/>
  <c r="Q706" i="19"/>
  <c r="N821" i="19"/>
  <c r="P823" i="19"/>
  <c r="O822" i="19"/>
  <c r="W37" i="19"/>
  <c r="V36" i="19"/>
  <c r="Q31" i="19"/>
  <c r="Y39" i="19"/>
  <c r="P30" i="19"/>
  <c r="R32" i="19"/>
  <c r="N28" i="19"/>
  <c r="U35" i="19"/>
  <c r="X38" i="19"/>
  <c r="S33" i="19"/>
  <c r="T34" i="19"/>
  <c r="O29" i="19"/>
  <c r="T331" i="19"/>
  <c r="V333" i="19"/>
  <c r="Q328" i="19"/>
  <c r="O326" i="19"/>
  <c r="N325" i="19"/>
  <c r="S330" i="19"/>
  <c r="R329" i="19"/>
  <c r="P327" i="19"/>
  <c r="Y336" i="19"/>
  <c r="U332" i="19"/>
  <c r="W334" i="19"/>
  <c r="X335" i="19"/>
  <c r="T596" i="19"/>
  <c r="X600" i="19"/>
  <c r="Q593" i="19"/>
  <c r="S595" i="19"/>
  <c r="U597" i="19"/>
  <c r="O591" i="19"/>
  <c r="Y601" i="19"/>
  <c r="W599" i="19"/>
  <c r="N590" i="19"/>
  <c r="V598" i="19"/>
  <c r="R594" i="19"/>
  <c r="P592" i="19"/>
  <c r="O151" i="19"/>
  <c r="U157" i="19"/>
  <c r="Q153" i="19"/>
  <c r="X160" i="19"/>
  <c r="S155" i="19"/>
  <c r="W159" i="19"/>
  <c r="N150" i="19"/>
  <c r="V158" i="19"/>
  <c r="Y161" i="19"/>
  <c r="T156" i="19"/>
  <c r="R154" i="19"/>
  <c r="P152" i="19"/>
  <c r="T460" i="19"/>
  <c r="N454" i="19"/>
  <c r="U461" i="19"/>
  <c r="P456" i="19"/>
  <c r="R458" i="19"/>
  <c r="W463" i="19"/>
  <c r="S459" i="19"/>
  <c r="Y465" i="19"/>
  <c r="X464" i="19"/>
  <c r="Q457" i="19"/>
  <c r="V462" i="19"/>
  <c r="O455" i="19"/>
  <c r="P86" i="19"/>
  <c r="W93" i="19"/>
  <c r="Q87" i="19"/>
  <c r="R88" i="19"/>
  <c r="V92" i="19"/>
  <c r="T90" i="19"/>
  <c r="N84" i="19"/>
  <c r="U91" i="19"/>
  <c r="S89" i="19"/>
  <c r="Y95" i="19"/>
  <c r="O85" i="19"/>
  <c r="X94" i="19"/>
  <c r="AP27" i="19"/>
  <c r="AS28" i="19" s="1"/>
  <c r="J27" i="7"/>
  <c r="Q325" i="19"/>
  <c r="X332" i="19"/>
  <c r="O323" i="19"/>
  <c r="Y333" i="19"/>
  <c r="U329" i="19"/>
  <c r="S327" i="19"/>
  <c r="T328" i="19"/>
  <c r="R326" i="19"/>
  <c r="W331" i="19"/>
  <c r="N322" i="19"/>
  <c r="P324" i="19"/>
  <c r="V330" i="19"/>
  <c r="S107" i="19"/>
  <c r="U109" i="19"/>
  <c r="O103" i="19"/>
  <c r="Y113" i="19"/>
  <c r="W111" i="19"/>
  <c r="Q105" i="19"/>
  <c r="X112" i="19"/>
  <c r="N102" i="19"/>
  <c r="T108" i="19"/>
  <c r="V110" i="19"/>
  <c r="R106" i="19"/>
  <c r="P104" i="19"/>
  <c r="O146" i="19"/>
  <c r="S150" i="19"/>
  <c r="X155" i="19"/>
  <c r="Y156" i="19"/>
  <c r="T151" i="19"/>
  <c r="N145" i="19"/>
  <c r="V153" i="19"/>
  <c r="Q148" i="19"/>
  <c r="R149" i="19"/>
  <c r="W154" i="19"/>
  <c r="U152" i="19"/>
  <c r="P147" i="19"/>
  <c r="T484" i="19"/>
  <c r="U485" i="19"/>
  <c r="P480" i="19"/>
  <c r="W487" i="19"/>
  <c r="Y489" i="19"/>
  <c r="V486" i="19"/>
  <c r="R482" i="19"/>
  <c r="S483" i="19"/>
  <c r="O479" i="19"/>
  <c r="X488" i="19"/>
  <c r="Q481" i="19"/>
  <c r="N478" i="19"/>
  <c r="W481" i="19"/>
  <c r="S477" i="19"/>
  <c r="O473" i="19"/>
  <c r="U479" i="19"/>
  <c r="R476" i="19"/>
  <c r="T478" i="19"/>
  <c r="Q475" i="19"/>
  <c r="Y483" i="19"/>
  <c r="X482" i="19"/>
  <c r="N472" i="19"/>
  <c r="V480" i="19"/>
  <c r="P474" i="19"/>
  <c r="W554" i="19"/>
  <c r="S550" i="19"/>
  <c r="O546" i="19"/>
  <c r="P547" i="19"/>
  <c r="Y556" i="19"/>
  <c r="V553" i="19"/>
  <c r="Q548" i="19"/>
  <c r="N545" i="19"/>
  <c r="X555" i="19"/>
  <c r="R549" i="19"/>
  <c r="T551" i="19"/>
  <c r="U552" i="19"/>
  <c r="Q732" i="19"/>
  <c r="X739" i="19"/>
  <c r="P731" i="19"/>
  <c r="U736" i="19"/>
  <c r="T735" i="19"/>
  <c r="S734" i="19"/>
  <c r="N729" i="19"/>
  <c r="W738" i="19"/>
  <c r="O730" i="19"/>
  <c r="Y740" i="19"/>
  <c r="V737" i="19"/>
  <c r="R733" i="19"/>
  <c r="P595" i="19"/>
  <c r="W602" i="19"/>
  <c r="Y604" i="19"/>
  <c r="U600" i="19"/>
  <c r="N593" i="19"/>
  <c r="X603" i="19"/>
  <c r="V601" i="19"/>
  <c r="T599" i="19"/>
  <c r="O594" i="19"/>
  <c r="R597" i="19"/>
  <c r="S598" i="19"/>
  <c r="Q596" i="19"/>
  <c r="T673" i="19"/>
  <c r="Q670" i="19"/>
  <c r="W676" i="19"/>
  <c r="V675" i="19"/>
  <c r="U674" i="19"/>
  <c r="S672" i="19"/>
  <c r="P669" i="19"/>
  <c r="R671" i="19"/>
  <c r="N667" i="19"/>
  <c r="Y678" i="19"/>
  <c r="O668" i="19"/>
  <c r="X677" i="19"/>
  <c r="U514" i="19"/>
  <c r="O508" i="19"/>
  <c r="V515" i="19"/>
  <c r="Y518" i="19"/>
  <c r="X517" i="19"/>
  <c r="W516" i="19"/>
  <c r="Q510" i="19"/>
  <c r="R511" i="19"/>
  <c r="S512" i="19"/>
  <c r="T513" i="19"/>
  <c r="P509" i="19"/>
  <c r="N507" i="19"/>
  <c r="N234" i="19"/>
  <c r="U241" i="19"/>
  <c r="W243" i="19"/>
  <c r="S239" i="19"/>
  <c r="R238" i="19"/>
  <c r="Y245" i="19"/>
  <c r="X244" i="19"/>
  <c r="Q237" i="19"/>
  <c r="P236" i="19"/>
  <c r="V242" i="19"/>
  <c r="T240" i="19"/>
  <c r="O235" i="19"/>
  <c r="R220" i="19"/>
  <c r="Y227" i="19"/>
  <c r="U223" i="19"/>
  <c r="O217" i="19"/>
  <c r="X226" i="19"/>
  <c r="W225" i="19"/>
  <c r="S221" i="19"/>
  <c r="V224" i="19"/>
  <c r="P218" i="19"/>
  <c r="Q219" i="19"/>
  <c r="N216" i="19"/>
  <c r="T222" i="19"/>
  <c r="T102" i="19"/>
  <c r="U103" i="19"/>
  <c r="S101" i="19"/>
  <c r="V104" i="19"/>
  <c r="P98" i="19"/>
  <c r="O97" i="19"/>
  <c r="Q99" i="19"/>
  <c r="W105" i="19"/>
  <c r="R100" i="19"/>
  <c r="N96" i="19"/>
  <c r="Y107" i="19"/>
  <c r="X106" i="19"/>
  <c r="S796" i="19"/>
  <c r="V799" i="19"/>
  <c r="Y802" i="19"/>
  <c r="R795" i="19"/>
  <c r="W800" i="19"/>
  <c r="P793" i="19"/>
  <c r="O792" i="19"/>
  <c r="N791" i="19"/>
  <c r="Q794" i="19"/>
  <c r="U798" i="19"/>
  <c r="T797" i="19"/>
  <c r="X801" i="19"/>
  <c r="N289" i="19"/>
  <c r="U296" i="19"/>
  <c r="O290" i="19"/>
  <c r="V297" i="19"/>
  <c r="Q292" i="19"/>
  <c r="Y300" i="19"/>
  <c r="R293" i="19"/>
  <c r="X299" i="19"/>
  <c r="P291" i="19"/>
  <c r="S294" i="19"/>
  <c r="W298" i="19"/>
  <c r="T295" i="19"/>
  <c r="Q240" i="19"/>
  <c r="X247" i="19"/>
  <c r="T243" i="19"/>
  <c r="P239" i="19"/>
  <c r="V245" i="19"/>
  <c r="O238" i="19"/>
  <c r="W246" i="19"/>
  <c r="U244" i="19"/>
  <c r="S242" i="19"/>
  <c r="N237" i="19"/>
  <c r="Y248" i="19"/>
  <c r="R241" i="19"/>
  <c r="V743" i="19"/>
  <c r="P737" i="19"/>
  <c r="W744" i="19"/>
  <c r="Q738" i="19"/>
  <c r="S740" i="19"/>
  <c r="O736" i="19"/>
  <c r="U742" i="19"/>
  <c r="T741" i="19"/>
  <c r="R739" i="19"/>
  <c r="N735" i="19"/>
  <c r="Y746" i="19"/>
  <c r="X745" i="19"/>
  <c r="V718" i="19"/>
  <c r="P712" i="19"/>
  <c r="W719" i="19"/>
  <c r="S715" i="19"/>
  <c r="N710" i="19"/>
  <c r="T716" i="19"/>
  <c r="R714" i="19"/>
  <c r="X720" i="19"/>
  <c r="Y721" i="19"/>
  <c r="O711" i="19"/>
  <c r="Q713" i="19"/>
  <c r="U717" i="19"/>
  <c r="T465" i="19"/>
  <c r="N459" i="19"/>
  <c r="U466" i="19"/>
  <c r="X469" i="19"/>
  <c r="S464" i="19"/>
  <c r="Q462" i="19"/>
  <c r="Y470" i="19"/>
  <c r="R463" i="19"/>
  <c r="V467" i="19"/>
  <c r="O460" i="19"/>
  <c r="W468" i="19"/>
  <c r="P461" i="19"/>
  <c r="J9" i="7"/>
  <c r="AP9" i="19"/>
  <c r="AS10" i="19" s="1"/>
  <c r="R767" i="19"/>
  <c r="Y774" i="19"/>
  <c r="S768" i="19"/>
  <c r="T769" i="19"/>
  <c r="P765" i="19"/>
  <c r="V771" i="19"/>
  <c r="X773" i="19"/>
  <c r="Q766" i="19"/>
  <c r="O764" i="19"/>
  <c r="U770" i="19"/>
  <c r="N763" i="19"/>
  <c r="W772" i="19"/>
  <c r="T763" i="19"/>
  <c r="O758" i="19"/>
  <c r="V765" i="19"/>
  <c r="U764" i="19"/>
  <c r="N757" i="19"/>
  <c r="W766" i="19"/>
  <c r="P759" i="19"/>
  <c r="R761" i="19"/>
  <c r="X767" i="19"/>
  <c r="Y768" i="19"/>
  <c r="Q760" i="19"/>
  <c r="S762" i="19"/>
  <c r="P96" i="19"/>
  <c r="W103" i="19"/>
  <c r="Q97" i="19"/>
  <c r="Y105" i="19"/>
  <c r="X104" i="19"/>
  <c r="R98" i="19"/>
  <c r="N94" i="19"/>
  <c r="V102" i="19"/>
  <c r="T100" i="19"/>
  <c r="O95" i="19"/>
  <c r="S99" i="19"/>
  <c r="U101" i="19"/>
  <c r="N259" i="19"/>
  <c r="U266" i="19"/>
  <c r="P261" i="19"/>
  <c r="V267" i="19"/>
  <c r="R263" i="19"/>
  <c r="X269" i="19"/>
  <c r="S264" i="19"/>
  <c r="Y270" i="19"/>
  <c r="W268" i="19"/>
  <c r="T265" i="19"/>
  <c r="O260" i="19"/>
  <c r="Q262" i="19"/>
  <c r="T271" i="19"/>
  <c r="V273" i="19"/>
  <c r="Y276" i="19"/>
  <c r="S270" i="19"/>
  <c r="W274" i="19"/>
  <c r="X275" i="19"/>
  <c r="N265" i="19"/>
  <c r="U272" i="19"/>
  <c r="O266" i="19"/>
  <c r="P267" i="19"/>
  <c r="R269" i="19"/>
  <c r="Q268" i="19"/>
  <c r="Q677" i="19"/>
  <c r="X684" i="19"/>
  <c r="R678" i="19"/>
  <c r="N674" i="19"/>
  <c r="T680" i="19"/>
  <c r="P676" i="19"/>
  <c r="Y685" i="19"/>
  <c r="S679" i="19"/>
  <c r="O675" i="19"/>
  <c r="U681" i="19"/>
  <c r="V682" i="19"/>
  <c r="W683" i="19"/>
  <c r="T524" i="19"/>
  <c r="N518" i="19"/>
  <c r="U525" i="19"/>
  <c r="W527" i="19"/>
  <c r="R522" i="19"/>
  <c r="O519" i="19"/>
  <c r="Q521" i="19"/>
  <c r="S523" i="19"/>
  <c r="V526" i="19"/>
  <c r="Y529" i="19"/>
  <c r="X528" i="19"/>
  <c r="P520" i="19"/>
  <c r="S801" i="19"/>
  <c r="V804" i="19"/>
  <c r="O797" i="19"/>
  <c r="R800" i="19"/>
  <c r="Y807" i="19"/>
  <c r="N796" i="19"/>
  <c r="X806" i="19"/>
  <c r="Q799" i="19"/>
  <c r="T802" i="19"/>
  <c r="P798" i="19"/>
  <c r="W805" i="19"/>
  <c r="U803" i="19"/>
  <c r="V568" i="19"/>
  <c r="R564" i="19"/>
  <c r="N560" i="19"/>
  <c r="X570" i="19"/>
  <c r="U567" i="19"/>
  <c r="T566" i="19"/>
  <c r="Y571" i="19"/>
  <c r="S565" i="19"/>
  <c r="Q563" i="19"/>
  <c r="P562" i="19"/>
  <c r="O561" i="19"/>
  <c r="W569" i="19"/>
  <c r="Y552" i="19"/>
  <c r="X551" i="19"/>
  <c r="T547" i="19"/>
  <c r="P543" i="19"/>
  <c r="W550" i="19"/>
  <c r="O542" i="19"/>
  <c r="N541" i="19"/>
  <c r="S546" i="19"/>
  <c r="U548" i="19"/>
  <c r="Q544" i="19"/>
  <c r="V549" i="19"/>
  <c r="R545" i="19"/>
  <c r="Q712" i="19"/>
  <c r="X719" i="19"/>
  <c r="P711" i="19"/>
  <c r="N709" i="19"/>
  <c r="U716" i="19"/>
  <c r="T715" i="19"/>
  <c r="S714" i="19"/>
  <c r="Y720" i="19"/>
  <c r="W718" i="19"/>
  <c r="R713" i="19"/>
  <c r="O710" i="19"/>
  <c r="V717" i="19"/>
  <c r="Q46" i="19"/>
  <c r="X53" i="19"/>
  <c r="T49" i="19"/>
  <c r="N43" i="19"/>
  <c r="S48" i="19"/>
  <c r="Y54" i="19"/>
  <c r="R47" i="19"/>
  <c r="V51" i="19"/>
  <c r="U50" i="19"/>
  <c r="W52" i="19"/>
  <c r="P45" i="19"/>
  <c r="O44" i="19"/>
  <c r="AP18" i="19"/>
  <c r="AS19" i="19" s="1"/>
  <c r="J18" i="7"/>
  <c r="N224" i="19"/>
  <c r="U231" i="19"/>
  <c r="O225" i="19"/>
  <c r="T230" i="19"/>
  <c r="Y235" i="19"/>
  <c r="X234" i="19"/>
  <c r="P226" i="19"/>
  <c r="R228" i="19"/>
  <c r="Q227" i="19"/>
  <c r="V232" i="19"/>
  <c r="S229" i="19"/>
  <c r="W233" i="19"/>
  <c r="Q523" i="19"/>
  <c r="X530" i="19"/>
  <c r="R524" i="19"/>
  <c r="U527" i="19"/>
  <c r="P522" i="19"/>
  <c r="O521" i="19"/>
  <c r="Y531" i="19"/>
  <c r="N520" i="19"/>
  <c r="S525" i="19"/>
  <c r="T526" i="19"/>
  <c r="W529" i="19"/>
  <c r="V528" i="19"/>
  <c r="Q14" i="9"/>
  <c r="V226" i="19"/>
  <c r="X228" i="19"/>
  <c r="P220" i="19"/>
  <c r="S223" i="19"/>
  <c r="W227" i="19"/>
  <c r="T224" i="19"/>
  <c r="Q221" i="19"/>
  <c r="Y229" i="19"/>
  <c r="U225" i="19"/>
  <c r="N218" i="19"/>
  <c r="O219" i="19"/>
  <c r="R222" i="19"/>
  <c r="V241" i="19"/>
  <c r="P235" i="19"/>
  <c r="R237" i="19"/>
  <c r="W242" i="19"/>
  <c r="Y244" i="19"/>
  <c r="Q236" i="19"/>
  <c r="S238" i="19"/>
  <c r="N233" i="19"/>
  <c r="T239" i="19"/>
  <c r="O234" i="19"/>
  <c r="U240" i="19"/>
  <c r="X243" i="19"/>
  <c r="N736" i="19"/>
  <c r="U743" i="19"/>
  <c r="O737" i="19"/>
  <c r="P738" i="19"/>
  <c r="V744" i="19"/>
  <c r="W745" i="19"/>
  <c r="Q739" i="19"/>
  <c r="R740" i="19"/>
  <c r="Y747" i="19"/>
  <c r="T742" i="19"/>
  <c r="S741" i="19"/>
  <c r="X746" i="19"/>
  <c r="R270" i="19"/>
  <c r="Y277" i="19"/>
  <c r="N266" i="19"/>
  <c r="V274" i="19"/>
  <c r="X276" i="19"/>
  <c r="O267" i="19"/>
  <c r="W275" i="19"/>
  <c r="U273" i="19"/>
  <c r="S271" i="19"/>
  <c r="T272" i="19"/>
  <c r="P268" i="19"/>
  <c r="Q269" i="19"/>
  <c r="T768" i="19"/>
  <c r="Q765" i="19"/>
  <c r="W771" i="19"/>
  <c r="Y773" i="19"/>
  <c r="S767" i="19"/>
  <c r="N762" i="19"/>
  <c r="R766" i="19"/>
  <c r="P764" i="19"/>
  <c r="V770" i="19"/>
  <c r="U769" i="19"/>
  <c r="O763" i="19"/>
  <c r="X772" i="19"/>
  <c r="W812" i="19"/>
  <c r="S808" i="19"/>
  <c r="O804" i="19"/>
  <c r="X813" i="19"/>
  <c r="U810" i="19"/>
  <c r="Y814" i="19"/>
  <c r="T809" i="19"/>
  <c r="Q806" i="19"/>
  <c r="P805" i="19"/>
  <c r="V811" i="19"/>
  <c r="R807" i="19"/>
  <c r="N803" i="19"/>
  <c r="Q290" i="19"/>
  <c r="X297" i="19"/>
  <c r="T293" i="19"/>
  <c r="P289" i="19"/>
  <c r="N287" i="19"/>
  <c r="O288" i="19"/>
  <c r="R291" i="19"/>
  <c r="W296" i="19"/>
  <c r="Y298" i="19"/>
  <c r="U294" i="19"/>
  <c r="S292" i="19"/>
  <c r="V295" i="19"/>
  <c r="U430" i="19"/>
  <c r="O424" i="19"/>
  <c r="V431" i="19"/>
  <c r="X433" i="19"/>
  <c r="S428" i="19"/>
  <c r="P425" i="19"/>
  <c r="N423" i="19"/>
  <c r="R427" i="19"/>
  <c r="Q426" i="19"/>
  <c r="T429" i="19"/>
  <c r="Y434" i="19"/>
  <c r="W432" i="19"/>
  <c r="V763" i="19"/>
  <c r="P757" i="19"/>
  <c r="W764" i="19"/>
  <c r="Q758" i="19"/>
  <c r="S760" i="19"/>
  <c r="O756" i="19"/>
  <c r="Y766" i="19"/>
  <c r="R759" i="19"/>
  <c r="U762" i="19"/>
  <c r="X765" i="19"/>
  <c r="N755" i="19"/>
  <c r="T761" i="19"/>
  <c r="AB45" i="20"/>
  <c r="R265" i="19"/>
  <c r="Y272" i="19"/>
  <c r="N261" i="19"/>
  <c r="W270" i="19"/>
  <c r="X271" i="19"/>
  <c r="Q264" i="19"/>
  <c r="P263" i="19"/>
  <c r="V269" i="19"/>
  <c r="O262" i="19"/>
  <c r="U268" i="19"/>
  <c r="T267" i="19"/>
  <c r="S266" i="19"/>
  <c r="U494" i="19"/>
  <c r="O488" i="19"/>
  <c r="V495" i="19"/>
  <c r="S492" i="19"/>
  <c r="W496" i="19"/>
  <c r="N487" i="19"/>
  <c r="X497" i="19"/>
  <c r="P489" i="19"/>
  <c r="R491" i="19"/>
  <c r="Y498" i="19"/>
  <c r="T493" i="19"/>
  <c r="Q490" i="19"/>
  <c r="T499" i="19"/>
  <c r="N493" i="19"/>
  <c r="U500" i="19"/>
  <c r="W502" i="19"/>
  <c r="R497" i="19"/>
  <c r="O494" i="19"/>
  <c r="S498" i="19"/>
  <c r="P495" i="19"/>
  <c r="Y504" i="19"/>
  <c r="Q496" i="19"/>
  <c r="V501" i="19"/>
  <c r="X503" i="19"/>
  <c r="Q555" i="19"/>
  <c r="W561" i="19"/>
  <c r="S557" i="19"/>
  <c r="O553" i="19"/>
  <c r="Y563" i="19"/>
  <c r="V560" i="19"/>
  <c r="T558" i="19"/>
  <c r="R556" i="19"/>
  <c r="P554" i="19"/>
  <c r="N552" i="19"/>
  <c r="U559" i="19"/>
  <c r="X562" i="19"/>
  <c r="Q630" i="19"/>
  <c r="X637" i="19"/>
  <c r="R631" i="19"/>
  <c r="W636" i="19"/>
  <c r="U634" i="19"/>
  <c r="S632" i="19"/>
  <c r="V635" i="19"/>
  <c r="N627" i="19"/>
  <c r="Y638" i="19"/>
  <c r="P629" i="19"/>
  <c r="O628" i="19"/>
  <c r="T633" i="19"/>
  <c r="T708" i="19"/>
  <c r="Q705" i="19"/>
  <c r="W711" i="19"/>
  <c r="Y713" i="19"/>
  <c r="S707" i="19"/>
  <c r="N702" i="19"/>
  <c r="R706" i="19"/>
  <c r="V710" i="19"/>
  <c r="U709" i="19"/>
  <c r="P704" i="19"/>
  <c r="O703" i="19"/>
  <c r="X712" i="19"/>
  <c r="Y456" i="19"/>
  <c r="S450" i="19"/>
  <c r="N445" i="19"/>
  <c r="X455" i="19"/>
  <c r="R449" i="19"/>
  <c r="P447" i="19"/>
  <c r="W454" i="19"/>
  <c r="O446" i="19"/>
  <c r="T451" i="19"/>
  <c r="U452" i="19"/>
  <c r="Q448" i="19"/>
  <c r="V453" i="19"/>
  <c r="N716" i="19"/>
  <c r="U723" i="19"/>
  <c r="O717" i="19"/>
  <c r="P718" i="19"/>
  <c r="V724" i="19"/>
  <c r="W725" i="19"/>
  <c r="T722" i="19"/>
  <c r="S721" i="19"/>
  <c r="Q719" i="19"/>
  <c r="X726" i="19"/>
  <c r="R720" i="19"/>
  <c r="Y727" i="19"/>
  <c r="Y29" i="19"/>
  <c r="U25" i="19"/>
  <c r="Q21" i="19"/>
  <c r="X28" i="19"/>
  <c r="P20" i="19"/>
  <c r="V26" i="19"/>
  <c r="T24" i="19"/>
  <c r="O19" i="19"/>
  <c r="N18" i="19"/>
  <c r="S23" i="19"/>
  <c r="W27" i="19"/>
  <c r="R22" i="19"/>
  <c r="U385" i="19"/>
  <c r="Y389" i="19"/>
  <c r="T384" i="19"/>
  <c r="Q381" i="19"/>
  <c r="W387" i="19"/>
  <c r="V386" i="19"/>
  <c r="P380" i="19"/>
  <c r="O379" i="19"/>
  <c r="S383" i="19"/>
  <c r="R382" i="19"/>
  <c r="N378" i="19"/>
  <c r="X388" i="19"/>
  <c r="R275" i="19"/>
  <c r="Y282" i="19"/>
  <c r="N271" i="19"/>
  <c r="S276" i="19"/>
  <c r="O272" i="19"/>
  <c r="T277" i="19"/>
  <c r="Q274" i="19"/>
  <c r="V279" i="19"/>
  <c r="W280" i="19"/>
  <c r="X281" i="19"/>
  <c r="U278" i="19"/>
  <c r="P273" i="19"/>
  <c r="V703" i="19"/>
  <c r="P697" i="19"/>
  <c r="W704" i="19"/>
  <c r="Q698" i="19"/>
  <c r="S700" i="19"/>
  <c r="X705" i="19"/>
  <c r="N695" i="19"/>
  <c r="U702" i="19"/>
  <c r="O696" i="19"/>
  <c r="Y706" i="19"/>
  <c r="T701" i="19"/>
  <c r="R699" i="19"/>
  <c r="Y662" i="19"/>
  <c r="S656" i="19"/>
  <c r="U658" i="19"/>
  <c r="N651" i="19"/>
  <c r="X661" i="19"/>
  <c r="V659" i="19"/>
  <c r="T657" i="19"/>
  <c r="Q654" i="19"/>
  <c r="R655" i="19"/>
  <c r="W660" i="19"/>
  <c r="P653" i="19"/>
  <c r="O652" i="19"/>
  <c r="T256" i="19"/>
  <c r="V258" i="19"/>
  <c r="P252" i="19"/>
  <c r="N250" i="19"/>
  <c r="S255" i="19"/>
  <c r="R254" i="19"/>
  <c r="Y261" i="19"/>
  <c r="U257" i="19"/>
  <c r="Q253" i="19"/>
  <c r="W259" i="19"/>
  <c r="O251" i="19"/>
  <c r="X260" i="19"/>
  <c r="P146" i="19"/>
  <c r="W153" i="19"/>
  <c r="Q147" i="19"/>
  <c r="Y155" i="19"/>
  <c r="N144" i="19"/>
  <c r="T150" i="19"/>
  <c r="X154" i="19"/>
  <c r="U151" i="19"/>
  <c r="O145" i="19"/>
  <c r="V152" i="19"/>
  <c r="R148" i="19"/>
  <c r="S149" i="19"/>
  <c r="X138" i="19"/>
  <c r="Y139" i="19"/>
  <c r="U135" i="19"/>
  <c r="W137" i="19"/>
  <c r="O129" i="19"/>
  <c r="Q131" i="19"/>
  <c r="V136" i="19"/>
  <c r="T134" i="19"/>
  <c r="R132" i="19"/>
  <c r="S133" i="19"/>
  <c r="N128" i="19"/>
  <c r="P130" i="19"/>
  <c r="X485" i="19"/>
  <c r="V483" i="19"/>
  <c r="T481" i="19"/>
  <c r="P477" i="19"/>
  <c r="W484" i="19"/>
  <c r="Y486" i="19"/>
  <c r="Q478" i="19"/>
  <c r="R479" i="19"/>
  <c r="U482" i="19"/>
  <c r="N475" i="19"/>
  <c r="O476" i="19"/>
  <c r="S480" i="19"/>
  <c r="S187" i="19"/>
  <c r="V190" i="19"/>
  <c r="Y193" i="19"/>
  <c r="P184" i="19"/>
  <c r="U189" i="19"/>
  <c r="Q185" i="19"/>
  <c r="T188" i="19"/>
  <c r="X192" i="19"/>
  <c r="O183" i="19"/>
  <c r="N182" i="19"/>
  <c r="W191" i="19"/>
  <c r="R186" i="19"/>
  <c r="X382" i="19"/>
  <c r="T378" i="19"/>
  <c r="P374" i="19"/>
  <c r="V380" i="19"/>
  <c r="S377" i="19"/>
  <c r="U379" i="19"/>
  <c r="R376" i="19"/>
  <c r="W381" i="19"/>
  <c r="Q375" i="19"/>
  <c r="O373" i="19"/>
  <c r="N372" i="19"/>
  <c r="Y383" i="19"/>
  <c r="O191" i="19"/>
  <c r="V198" i="19"/>
  <c r="Q193" i="19"/>
  <c r="U197" i="19"/>
  <c r="W199" i="19"/>
  <c r="Y201" i="19"/>
  <c r="P192" i="19"/>
  <c r="S195" i="19"/>
  <c r="T196" i="19"/>
  <c r="N190" i="19"/>
  <c r="R194" i="19"/>
  <c r="X200" i="19"/>
  <c r="X158" i="19"/>
  <c r="Y159" i="19"/>
  <c r="P150" i="19"/>
  <c r="U155" i="19"/>
  <c r="N148" i="19"/>
  <c r="S153" i="19"/>
  <c r="Q151" i="19"/>
  <c r="T154" i="19"/>
  <c r="W157" i="19"/>
  <c r="O149" i="19"/>
  <c r="R152" i="19"/>
  <c r="V156" i="19"/>
  <c r="T606" i="19"/>
  <c r="N600" i="19"/>
  <c r="Y611" i="19"/>
  <c r="V608" i="19"/>
  <c r="Q603" i="19"/>
  <c r="S605" i="19"/>
  <c r="P602" i="19"/>
  <c r="R604" i="19"/>
  <c r="O601" i="19"/>
  <c r="U607" i="19"/>
  <c r="X610" i="19"/>
  <c r="W609" i="19"/>
  <c r="P126" i="19"/>
  <c r="W133" i="19"/>
  <c r="Q127" i="19"/>
  <c r="X134" i="19"/>
  <c r="Y135" i="19"/>
  <c r="V132" i="19"/>
  <c r="U131" i="19"/>
  <c r="R128" i="19"/>
  <c r="O125" i="19"/>
  <c r="S129" i="19"/>
  <c r="N124" i="19"/>
  <c r="T130" i="19"/>
  <c r="T616" i="19"/>
  <c r="N610" i="19"/>
  <c r="W619" i="19"/>
  <c r="S615" i="19"/>
  <c r="V618" i="19"/>
  <c r="U617" i="19"/>
  <c r="X620" i="19"/>
  <c r="P612" i="19"/>
  <c r="Y621" i="19"/>
  <c r="O611" i="19"/>
  <c r="R614" i="19"/>
  <c r="Q613" i="19"/>
  <c r="W789" i="19"/>
  <c r="U787" i="19"/>
  <c r="P782" i="19"/>
  <c r="X790" i="19"/>
  <c r="S785" i="19"/>
  <c r="N780" i="19"/>
  <c r="Y791" i="19"/>
  <c r="V788" i="19"/>
  <c r="T786" i="19"/>
  <c r="Q783" i="19"/>
  <c r="O781" i="19"/>
  <c r="R784" i="19"/>
  <c r="X490" i="19"/>
  <c r="R484" i="19"/>
  <c r="S485" i="19"/>
  <c r="N480" i="19"/>
  <c r="Y491" i="19"/>
  <c r="U487" i="19"/>
  <c r="W489" i="19"/>
  <c r="T486" i="19"/>
  <c r="P482" i="19"/>
  <c r="Q483" i="19"/>
  <c r="V488" i="19"/>
  <c r="O481" i="19"/>
  <c r="Q449" i="19"/>
  <c r="X456" i="19"/>
  <c r="R450" i="19"/>
  <c r="Y457" i="19"/>
  <c r="P448" i="19"/>
  <c r="O447" i="19"/>
  <c r="V454" i="19"/>
  <c r="N446" i="19"/>
  <c r="W455" i="19"/>
  <c r="S451" i="19"/>
  <c r="U453" i="19"/>
  <c r="T452" i="19"/>
  <c r="X103" i="19"/>
  <c r="Y104" i="19"/>
  <c r="S98" i="19"/>
  <c r="O94" i="19"/>
  <c r="P95" i="19"/>
  <c r="R97" i="19"/>
  <c r="U100" i="19"/>
  <c r="N93" i="19"/>
  <c r="Q96" i="19"/>
  <c r="V101" i="19"/>
  <c r="W102" i="19"/>
  <c r="T99" i="19"/>
  <c r="Y592" i="19"/>
  <c r="S586" i="19"/>
  <c r="U588" i="19"/>
  <c r="Q584" i="19"/>
  <c r="T587" i="19"/>
  <c r="N581" i="19"/>
  <c r="V589" i="19"/>
  <c r="X591" i="19"/>
  <c r="R585" i="19"/>
  <c r="O582" i="19"/>
  <c r="P583" i="19"/>
  <c r="W590" i="19"/>
  <c r="X674" i="19"/>
  <c r="Y675" i="19"/>
  <c r="O665" i="19"/>
  <c r="U671" i="19"/>
  <c r="Q667" i="19"/>
  <c r="T670" i="19"/>
  <c r="N664" i="19"/>
  <c r="V672" i="19"/>
  <c r="R668" i="19"/>
  <c r="S669" i="19"/>
  <c r="W673" i="19"/>
  <c r="P666" i="19"/>
  <c r="R235" i="19"/>
  <c r="Y242" i="19"/>
  <c r="S236" i="19"/>
  <c r="O232" i="19"/>
  <c r="N231" i="19"/>
  <c r="T237" i="19"/>
  <c r="U238" i="19"/>
  <c r="P233" i="19"/>
  <c r="Q234" i="19"/>
  <c r="W240" i="19"/>
  <c r="V239" i="19"/>
  <c r="X241" i="19"/>
  <c r="Q260" i="19"/>
  <c r="X267" i="19"/>
  <c r="T263" i="19"/>
  <c r="P259" i="19"/>
  <c r="V265" i="19"/>
  <c r="U264" i="19"/>
  <c r="N257" i="19"/>
  <c r="S262" i="19"/>
  <c r="Y268" i="19"/>
  <c r="O258" i="19"/>
  <c r="R261" i="19"/>
  <c r="W266" i="19"/>
  <c r="K15" i="6"/>
  <c r="K13" i="6"/>
  <c r="AH18" i="20"/>
  <c r="Y478" i="19"/>
  <c r="P469" i="19"/>
  <c r="U474" i="19"/>
  <c r="Q470" i="19"/>
  <c r="T473" i="19"/>
  <c r="V475" i="19"/>
  <c r="S472" i="19"/>
  <c r="W476" i="19"/>
  <c r="X477" i="19"/>
  <c r="N467" i="19"/>
  <c r="R471" i="19"/>
  <c r="O468" i="19"/>
  <c r="P630" i="19"/>
  <c r="W637" i="19"/>
  <c r="Y639" i="19"/>
  <c r="O629" i="19"/>
  <c r="Q631" i="19"/>
  <c r="V636" i="19"/>
  <c r="T634" i="19"/>
  <c r="R632" i="19"/>
  <c r="X638" i="19"/>
  <c r="S633" i="19"/>
  <c r="N628" i="19"/>
  <c r="U635" i="19"/>
  <c r="P600" i="19"/>
  <c r="W607" i="19"/>
  <c r="Y609" i="19"/>
  <c r="V606" i="19"/>
  <c r="X608" i="19"/>
  <c r="S603" i="19"/>
  <c r="N598" i="19"/>
  <c r="T604" i="19"/>
  <c r="R602" i="19"/>
  <c r="O599" i="19"/>
  <c r="Q601" i="19"/>
  <c r="U605" i="19"/>
  <c r="R727" i="19"/>
  <c r="Y734" i="19"/>
  <c r="S728" i="19"/>
  <c r="T729" i="19"/>
  <c r="P725" i="19"/>
  <c r="V731" i="19"/>
  <c r="X733" i="19"/>
  <c r="Q726" i="19"/>
  <c r="O724" i="19"/>
  <c r="W732" i="19"/>
  <c r="U730" i="19"/>
  <c r="N723" i="19"/>
  <c r="Q528" i="19"/>
  <c r="R529" i="19"/>
  <c r="W534" i="19"/>
  <c r="S530" i="19"/>
  <c r="N525" i="19"/>
  <c r="Y536" i="19"/>
  <c r="V533" i="19"/>
  <c r="O526" i="19"/>
  <c r="X535" i="19"/>
  <c r="P527" i="19"/>
  <c r="U532" i="19"/>
  <c r="T531" i="19"/>
  <c r="R796" i="19"/>
  <c r="N792" i="19"/>
  <c r="X802" i="19"/>
  <c r="Q795" i="19"/>
  <c r="Y803" i="19"/>
  <c r="T798" i="19"/>
  <c r="O793" i="19"/>
  <c r="P794" i="19"/>
  <c r="V800" i="19"/>
  <c r="S797" i="19"/>
  <c r="U799" i="19"/>
  <c r="W801" i="19"/>
  <c r="N785" i="19"/>
  <c r="T791" i="19"/>
  <c r="X795" i="19"/>
  <c r="P787" i="19"/>
  <c r="O786" i="19"/>
  <c r="Y796" i="19"/>
  <c r="Q788" i="19"/>
  <c r="U792" i="19"/>
  <c r="S790" i="19"/>
  <c r="R789" i="19"/>
  <c r="V793" i="19"/>
  <c r="W794" i="19"/>
  <c r="S811" i="19"/>
  <c r="V814" i="19"/>
  <c r="Y817" i="19"/>
  <c r="R810" i="19"/>
  <c r="P808" i="19"/>
  <c r="X816" i="19"/>
  <c r="T812" i="19"/>
  <c r="Q809" i="19"/>
  <c r="W815" i="19"/>
  <c r="U813" i="19"/>
  <c r="N806" i="19"/>
  <c r="O807" i="19"/>
  <c r="T390" i="19"/>
  <c r="U391" i="19"/>
  <c r="Q387" i="19"/>
  <c r="P386" i="19"/>
  <c r="O385" i="19"/>
  <c r="Y395" i="19"/>
  <c r="X394" i="19"/>
  <c r="W393" i="19"/>
  <c r="S389" i="19"/>
  <c r="R388" i="19"/>
  <c r="V392" i="19"/>
  <c r="N384" i="19"/>
  <c r="U566" i="19"/>
  <c r="W568" i="19"/>
  <c r="S564" i="19"/>
  <c r="O560" i="19"/>
  <c r="Y570" i="19"/>
  <c r="V567" i="19"/>
  <c r="T565" i="19"/>
  <c r="R563" i="19"/>
  <c r="Q562" i="19"/>
  <c r="P561" i="19"/>
  <c r="N559" i="19"/>
  <c r="X569" i="19"/>
  <c r="Q722" i="19"/>
  <c r="X729" i="19"/>
  <c r="U726" i="19"/>
  <c r="N719" i="19"/>
  <c r="V727" i="19"/>
  <c r="T725" i="19"/>
  <c r="S724" i="19"/>
  <c r="W728" i="19"/>
  <c r="R723" i="19"/>
  <c r="P721" i="19"/>
  <c r="Y730" i="19"/>
  <c r="O720" i="19"/>
  <c r="Q409" i="19"/>
  <c r="X416" i="19"/>
  <c r="R410" i="19"/>
  <c r="Y417" i="19"/>
  <c r="V414" i="19"/>
  <c r="U413" i="19"/>
  <c r="W415" i="19"/>
  <c r="N406" i="19"/>
  <c r="S411" i="19"/>
  <c r="P408" i="19"/>
  <c r="T412" i="19"/>
  <c r="O407" i="19"/>
  <c r="N299" i="19"/>
  <c r="U306" i="19"/>
  <c r="O300" i="19"/>
  <c r="W308" i="19"/>
  <c r="R303" i="19"/>
  <c r="Y310" i="19"/>
  <c r="X309" i="19"/>
  <c r="S304" i="19"/>
  <c r="P301" i="19"/>
  <c r="V307" i="19"/>
  <c r="Q302" i="19"/>
  <c r="T305" i="19"/>
  <c r="S49" i="19"/>
  <c r="V52" i="19"/>
  <c r="W53" i="19"/>
  <c r="R48" i="19"/>
  <c r="X54" i="19"/>
  <c r="U51" i="19"/>
  <c r="P46" i="19"/>
  <c r="T50" i="19"/>
  <c r="Q47" i="19"/>
  <c r="O45" i="19"/>
  <c r="N44" i="19"/>
  <c r="Y55" i="19"/>
  <c r="S816" i="19"/>
  <c r="V819" i="19"/>
  <c r="X821" i="19"/>
  <c r="Q814" i="19"/>
  <c r="O812" i="19"/>
  <c r="P813" i="19"/>
  <c r="W820" i="19"/>
  <c r="N811" i="19"/>
  <c r="T817" i="19"/>
  <c r="Y822" i="19"/>
  <c r="U818" i="19"/>
  <c r="R815" i="19"/>
  <c r="O116" i="19"/>
  <c r="Y126" i="19"/>
  <c r="U122" i="19"/>
  <c r="S120" i="19"/>
  <c r="Q118" i="19"/>
  <c r="P117" i="19"/>
  <c r="T121" i="19"/>
  <c r="V123" i="19"/>
  <c r="N115" i="19"/>
  <c r="W124" i="19"/>
  <c r="X125" i="19"/>
  <c r="R119" i="19"/>
  <c r="Y436" i="19"/>
  <c r="S430" i="19"/>
  <c r="V433" i="19"/>
  <c r="Q428" i="19"/>
  <c r="W434" i="19"/>
  <c r="O426" i="19"/>
  <c r="X435" i="19"/>
  <c r="T431" i="19"/>
  <c r="R429" i="19"/>
  <c r="P427" i="19"/>
  <c r="N425" i="19"/>
  <c r="U432" i="19"/>
  <c r="Z63" i="20"/>
  <c r="Z47" i="20"/>
  <c r="Z68" i="20"/>
  <c r="Z20" i="20"/>
  <c r="Z2" i="20"/>
  <c r="Z54" i="20"/>
  <c r="Z52" i="20"/>
  <c r="Z3" i="20"/>
  <c r="Z38" i="20"/>
  <c r="Z51" i="20"/>
  <c r="Z44" i="20"/>
  <c r="Z19" i="20"/>
  <c r="Z67" i="20"/>
  <c r="Z62" i="20"/>
  <c r="Z66" i="20"/>
  <c r="Z65" i="20"/>
  <c r="Z31" i="20"/>
  <c r="Z48" i="20"/>
  <c r="Z33" i="20"/>
  <c r="Z36" i="20"/>
  <c r="Z23" i="20"/>
  <c r="Z26" i="20"/>
  <c r="Z16" i="20"/>
  <c r="Z25" i="20"/>
  <c r="Z49" i="20"/>
  <c r="Z57" i="20"/>
  <c r="Z55" i="20"/>
  <c r="Z53" i="20"/>
  <c r="Z39" i="20"/>
  <c r="Z8" i="20"/>
  <c r="Z28" i="20"/>
  <c r="Z45" i="20"/>
  <c r="Z14" i="20"/>
  <c r="Z6" i="20"/>
  <c r="Z61" i="20"/>
  <c r="Z40" i="20"/>
  <c r="Z56" i="20"/>
  <c r="Z58" i="20"/>
  <c r="Z21" i="20"/>
  <c r="Z9" i="20"/>
  <c r="Z37" i="20"/>
  <c r="Z18" i="20"/>
  <c r="Z30" i="20"/>
  <c r="Z12" i="20"/>
  <c r="Z11" i="20"/>
  <c r="Z7" i="20"/>
  <c r="Z27" i="20"/>
  <c r="Z13" i="20"/>
  <c r="Z60" i="20"/>
  <c r="Z32" i="20"/>
  <c r="Z10" i="20"/>
  <c r="Z35" i="20"/>
  <c r="Z22" i="20"/>
  <c r="Z50" i="20"/>
  <c r="Z46" i="20"/>
  <c r="Z17" i="20"/>
  <c r="Z42" i="20"/>
  <c r="Z64" i="20"/>
  <c r="Z34" i="20"/>
  <c r="Z4" i="20"/>
  <c r="Z29" i="20"/>
  <c r="Z24" i="20"/>
  <c r="Z5" i="20"/>
  <c r="Z59" i="20"/>
  <c r="Z43" i="20"/>
  <c r="Z41" i="20"/>
  <c r="Z15" i="20"/>
  <c r="X787" i="19"/>
  <c r="V785" i="19"/>
  <c r="W786" i="19"/>
  <c r="O778" i="19"/>
  <c r="U784" i="19"/>
  <c r="N777" i="19"/>
  <c r="R781" i="19"/>
  <c r="T783" i="19"/>
  <c r="P779" i="19"/>
  <c r="Q780" i="19"/>
  <c r="Y788" i="19"/>
  <c r="S782" i="19"/>
  <c r="X178" i="19"/>
  <c r="R172" i="19"/>
  <c r="Y179" i="19"/>
  <c r="W177" i="19"/>
  <c r="Q171" i="19"/>
  <c r="V176" i="19"/>
  <c r="O169" i="19"/>
  <c r="T174" i="19"/>
  <c r="U175" i="19"/>
  <c r="S173" i="19"/>
  <c r="N168" i="19"/>
  <c r="P170" i="19"/>
  <c r="X133" i="19"/>
  <c r="Y134" i="19"/>
  <c r="S128" i="19"/>
  <c r="W132" i="19"/>
  <c r="R127" i="19"/>
  <c r="P125" i="19"/>
  <c r="T129" i="19"/>
  <c r="Q126" i="19"/>
  <c r="V131" i="19"/>
  <c r="O124" i="19"/>
  <c r="N123" i="19"/>
  <c r="U130" i="19"/>
  <c r="T728" i="19"/>
  <c r="Q725" i="19"/>
  <c r="W731" i="19"/>
  <c r="Y733" i="19"/>
  <c r="S727" i="19"/>
  <c r="N722" i="19"/>
  <c r="R726" i="19"/>
  <c r="P724" i="19"/>
  <c r="X732" i="19"/>
  <c r="U729" i="19"/>
  <c r="V730" i="19"/>
  <c r="O723" i="19"/>
  <c r="V218" i="19"/>
  <c r="Y221" i="19"/>
  <c r="S215" i="19"/>
  <c r="P212" i="19"/>
  <c r="Q213" i="19"/>
  <c r="N210" i="19"/>
  <c r="X220" i="19"/>
  <c r="T216" i="19"/>
  <c r="U217" i="19"/>
  <c r="W219" i="19"/>
  <c r="O211" i="19"/>
  <c r="R214" i="19"/>
  <c r="J57" i="7"/>
  <c r="AP57" i="19"/>
  <c r="AS58" i="19" s="1"/>
  <c r="P71" i="19"/>
  <c r="W78" i="19"/>
  <c r="Q72" i="19"/>
  <c r="S74" i="19"/>
  <c r="V77" i="19"/>
  <c r="T75" i="19"/>
  <c r="N69" i="19"/>
  <c r="X79" i="19"/>
  <c r="R73" i="19"/>
  <c r="Y80" i="19"/>
  <c r="U76" i="19"/>
  <c r="O70" i="19"/>
  <c r="X88" i="19"/>
  <c r="Y89" i="19"/>
  <c r="U85" i="19"/>
  <c r="S83" i="19"/>
  <c r="W87" i="19"/>
  <c r="T84" i="19"/>
  <c r="N78" i="19"/>
  <c r="O79" i="19"/>
  <c r="R82" i="19"/>
  <c r="Q81" i="19"/>
  <c r="V86" i="19"/>
  <c r="P80" i="19"/>
  <c r="U66" i="19"/>
  <c r="Y70" i="19"/>
  <c r="V67" i="19"/>
  <c r="R63" i="19"/>
  <c r="N59" i="19"/>
  <c r="W68" i="19"/>
  <c r="X69" i="19"/>
  <c r="O60" i="19"/>
  <c r="T65" i="19"/>
  <c r="S64" i="19"/>
  <c r="P61" i="19"/>
  <c r="Q62" i="19"/>
  <c r="X78" i="19"/>
  <c r="Y79" i="19"/>
  <c r="Q71" i="19"/>
  <c r="O69" i="19"/>
  <c r="T74" i="19"/>
  <c r="S73" i="19"/>
  <c r="U75" i="19"/>
  <c r="W77" i="19"/>
  <c r="R72" i="19"/>
  <c r="V76" i="19"/>
  <c r="P70" i="19"/>
  <c r="N68" i="19"/>
  <c r="T172" i="19"/>
  <c r="U173" i="19"/>
  <c r="V174" i="19"/>
  <c r="S171" i="19"/>
  <c r="N166" i="19"/>
  <c r="P168" i="19"/>
  <c r="X176" i="19"/>
  <c r="Q169" i="19"/>
  <c r="W175" i="19"/>
  <c r="O167" i="19"/>
  <c r="Y177" i="19"/>
  <c r="R170" i="19"/>
  <c r="V713" i="19"/>
  <c r="P707" i="19"/>
  <c r="W714" i="19"/>
  <c r="R709" i="19"/>
  <c r="X715" i="19"/>
  <c r="N705" i="19"/>
  <c r="Y716" i="19"/>
  <c r="S710" i="19"/>
  <c r="T711" i="19"/>
  <c r="U712" i="19"/>
  <c r="Q708" i="19"/>
  <c r="O706" i="19"/>
  <c r="Q605" i="19"/>
  <c r="X612" i="19"/>
  <c r="R606" i="19"/>
  <c r="W611" i="19"/>
  <c r="O603" i="19"/>
  <c r="N602" i="19"/>
  <c r="T608" i="19"/>
  <c r="P604" i="19"/>
  <c r="U609" i="19"/>
  <c r="S607" i="19"/>
  <c r="Y613" i="19"/>
  <c r="V610" i="19"/>
  <c r="T474" i="19"/>
  <c r="X478" i="19"/>
  <c r="O469" i="19"/>
  <c r="S473" i="19"/>
  <c r="R472" i="19"/>
  <c r="Y479" i="19"/>
  <c r="V476" i="19"/>
  <c r="P470" i="19"/>
  <c r="W477" i="19"/>
  <c r="U475" i="19"/>
  <c r="N468" i="19"/>
  <c r="Q471" i="19"/>
  <c r="Q575" i="19"/>
  <c r="X582" i="19"/>
  <c r="T578" i="19"/>
  <c r="P574" i="19"/>
  <c r="Y583" i="19"/>
  <c r="V580" i="19"/>
  <c r="S577" i="19"/>
  <c r="U579" i="19"/>
  <c r="R576" i="19"/>
  <c r="O573" i="19"/>
  <c r="W581" i="19"/>
  <c r="N572" i="19"/>
  <c r="W807" i="19"/>
  <c r="V806" i="19"/>
  <c r="O799" i="19"/>
  <c r="T804" i="19"/>
  <c r="P800" i="19"/>
  <c r="Y809" i="19"/>
  <c r="R802" i="19"/>
  <c r="Q801" i="19"/>
  <c r="X808" i="19"/>
  <c r="N798" i="19"/>
  <c r="S803" i="19"/>
  <c r="U805" i="19"/>
  <c r="U596" i="19"/>
  <c r="O590" i="19"/>
  <c r="V597" i="19"/>
  <c r="Q592" i="19"/>
  <c r="Y600" i="19"/>
  <c r="R593" i="19"/>
  <c r="T595" i="19"/>
  <c r="P591" i="19"/>
  <c r="X599" i="19"/>
  <c r="W598" i="19"/>
  <c r="S594" i="19"/>
  <c r="N589" i="19"/>
  <c r="S543" i="19"/>
  <c r="O539" i="19"/>
  <c r="X548" i="19"/>
  <c r="P540" i="19"/>
  <c r="Y549" i="19"/>
  <c r="N538" i="19"/>
  <c r="R542" i="19"/>
  <c r="U545" i="19"/>
  <c r="Q541" i="19"/>
  <c r="W547" i="19"/>
  <c r="T544" i="19"/>
  <c r="V546" i="19"/>
  <c r="V271" i="19"/>
  <c r="P265" i="19"/>
  <c r="R267" i="19"/>
  <c r="Y274" i="19"/>
  <c r="X273" i="19"/>
  <c r="W272" i="19"/>
  <c r="N263" i="19"/>
  <c r="S268" i="19"/>
  <c r="U270" i="19"/>
  <c r="T269" i="19"/>
  <c r="Q266" i="19"/>
  <c r="O264" i="19"/>
  <c r="U636" i="19"/>
  <c r="O630" i="19"/>
  <c r="V637" i="19"/>
  <c r="Q632" i="19"/>
  <c r="S634" i="19"/>
  <c r="N629" i="19"/>
  <c r="P631" i="19"/>
  <c r="T635" i="19"/>
  <c r="Y640" i="19"/>
  <c r="W638" i="19"/>
  <c r="R633" i="19"/>
  <c r="X639" i="19"/>
  <c r="T236" i="19"/>
  <c r="V238" i="19"/>
  <c r="U237" i="19"/>
  <c r="O231" i="19"/>
  <c r="N230" i="19"/>
  <c r="Q233" i="19"/>
  <c r="R234" i="19"/>
  <c r="P232" i="19"/>
  <c r="S235" i="19"/>
  <c r="X240" i="19"/>
  <c r="W239" i="19"/>
  <c r="Y241" i="19"/>
  <c r="V276" i="19"/>
  <c r="P270" i="19"/>
  <c r="R272" i="19"/>
  <c r="N268" i="19"/>
  <c r="X278" i="19"/>
  <c r="T274" i="19"/>
  <c r="U275" i="19"/>
  <c r="S273" i="19"/>
  <c r="Y279" i="19"/>
  <c r="Q271" i="19"/>
  <c r="W277" i="19"/>
  <c r="O269" i="19"/>
  <c r="P17" i="19"/>
  <c r="S20" i="19"/>
  <c r="W24" i="19"/>
  <c r="O16" i="19"/>
  <c r="T21" i="19"/>
  <c r="R19" i="19"/>
  <c r="V23" i="19"/>
  <c r="U22" i="19"/>
  <c r="X25" i="19"/>
  <c r="N15" i="19"/>
  <c r="Y26" i="19"/>
  <c r="Q18" i="19"/>
  <c r="U626" i="19"/>
  <c r="O620" i="19"/>
  <c r="V627" i="19"/>
  <c r="Q622" i="19"/>
  <c r="Y630" i="19"/>
  <c r="X629" i="19"/>
  <c r="W628" i="19"/>
  <c r="P621" i="19"/>
  <c r="N619" i="19"/>
  <c r="T625" i="19"/>
  <c r="S624" i="19"/>
  <c r="R623" i="19"/>
  <c r="Q305" i="19"/>
  <c r="X312" i="19"/>
  <c r="W311" i="19"/>
  <c r="Y313" i="19"/>
  <c r="T308" i="19"/>
  <c r="S307" i="19"/>
  <c r="R306" i="19"/>
  <c r="P304" i="19"/>
  <c r="U309" i="19"/>
  <c r="O303" i="19"/>
  <c r="V310" i="19"/>
  <c r="N302" i="19"/>
  <c r="R295" i="19"/>
  <c r="Y302" i="19"/>
  <c r="S296" i="19"/>
  <c r="N291" i="19"/>
  <c r="W300" i="19"/>
  <c r="T297" i="19"/>
  <c r="O292" i="19"/>
  <c r="Q294" i="19"/>
  <c r="P293" i="19"/>
  <c r="X301" i="19"/>
  <c r="V299" i="19"/>
  <c r="U298" i="19"/>
  <c r="S142" i="19"/>
  <c r="W146" i="19"/>
  <c r="X147" i="19"/>
  <c r="V145" i="19"/>
  <c r="T143" i="19"/>
  <c r="N137" i="19"/>
  <c r="R141" i="19"/>
  <c r="P139" i="19"/>
  <c r="Q140" i="19"/>
  <c r="Y148" i="19"/>
  <c r="O138" i="19"/>
  <c r="U144" i="19"/>
  <c r="T489" i="19"/>
  <c r="N483" i="19"/>
  <c r="Y494" i="19"/>
  <c r="X493" i="19"/>
  <c r="P485" i="19"/>
  <c r="Q486" i="19"/>
  <c r="V491" i="19"/>
  <c r="U490" i="19"/>
  <c r="W492" i="19"/>
  <c r="S488" i="19"/>
  <c r="O484" i="19"/>
  <c r="R487" i="19"/>
  <c r="O111" i="19"/>
  <c r="Q113" i="19"/>
  <c r="N110" i="19"/>
  <c r="S115" i="19"/>
  <c r="T116" i="19"/>
  <c r="P112" i="19"/>
  <c r="U117" i="19"/>
  <c r="V118" i="19"/>
  <c r="X120" i="19"/>
  <c r="Y121" i="19"/>
  <c r="W119" i="19"/>
  <c r="R114" i="19"/>
  <c r="Q469" i="19"/>
  <c r="V474" i="19"/>
  <c r="R470" i="19"/>
  <c r="U473" i="19"/>
  <c r="W475" i="19"/>
  <c r="O467" i="19"/>
  <c r="T472" i="19"/>
  <c r="X476" i="19"/>
  <c r="N466" i="19"/>
  <c r="S471" i="19"/>
  <c r="Y477" i="19"/>
  <c r="P468" i="19"/>
  <c r="Y371" i="19"/>
  <c r="V368" i="19"/>
  <c r="R364" i="19"/>
  <c r="N360" i="19"/>
  <c r="O361" i="19"/>
  <c r="X370" i="19"/>
  <c r="T366" i="19"/>
  <c r="S365" i="19"/>
  <c r="Q363" i="19"/>
  <c r="P362" i="19"/>
  <c r="U367" i="19"/>
  <c r="W369" i="19"/>
  <c r="Y441" i="19"/>
  <c r="S435" i="19"/>
  <c r="T436" i="19"/>
  <c r="R434" i="19"/>
  <c r="O431" i="19"/>
  <c r="N430" i="19"/>
  <c r="X440" i="19"/>
  <c r="Q433" i="19"/>
  <c r="V438" i="19"/>
  <c r="P432" i="19"/>
  <c r="U437" i="19"/>
  <c r="W439" i="19"/>
  <c r="U370" i="19"/>
  <c r="W372" i="19"/>
  <c r="S368" i="19"/>
  <c r="O364" i="19"/>
  <c r="T369" i="19"/>
  <c r="P365" i="19"/>
  <c r="X373" i="19"/>
  <c r="R367" i="19"/>
  <c r="V371" i="19"/>
  <c r="Q366" i="19"/>
  <c r="N363" i="19"/>
  <c r="Y374" i="19"/>
  <c r="V61" i="20"/>
  <c r="N751" i="19"/>
  <c r="U758" i="19"/>
  <c r="O752" i="19"/>
  <c r="S756" i="19"/>
  <c r="Y762" i="19"/>
  <c r="V759" i="19"/>
  <c r="R755" i="19"/>
  <c r="P753" i="19"/>
  <c r="X761" i="19"/>
  <c r="W760" i="19"/>
  <c r="Q754" i="19"/>
  <c r="T757" i="19"/>
  <c r="X93" i="19"/>
  <c r="Y94" i="19"/>
  <c r="R87" i="19"/>
  <c r="W92" i="19"/>
  <c r="U90" i="19"/>
  <c r="O84" i="19"/>
  <c r="Q86" i="19"/>
  <c r="V91" i="19"/>
  <c r="T89" i="19"/>
  <c r="N83" i="19"/>
  <c r="S88" i="19"/>
  <c r="P85" i="19"/>
  <c r="V346" i="19"/>
  <c r="P340" i="19"/>
  <c r="W347" i="19"/>
  <c r="R342" i="19"/>
  <c r="U345" i="19"/>
  <c r="X348" i="19"/>
  <c r="Q341" i="19"/>
  <c r="N338" i="19"/>
  <c r="S343" i="19"/>
  <c r="Y349" i="19"/>
  <c r="T344" i="19"/>
  <c r="O339" i="19"/>
  <c r="U455" i="19"/>
  <c r="O449" i="19"/>
  <c r="V456" i="19"/>
  <c r="X458" i="19"/>
  <c r="S453" i="19"/>
  <c r="P450" i="19"/>
  <c r="N448" i="19"/>
  <c r="R452" i="19"/>
  <c r="Q451" i="19"/>
  <c r="Y459" i="19"/>
  <c r="W457" i="19"/>
  <c r="T454" i="19"/>
  <c r="AP22" i="19"/>
  <c r="AS23" i="19" s="1"/>
  <c r="J22" i="7"/>
  <c r="U576" i="19"/>
  <c r="S574" i="19"/>
  <c r="O570" i="19"/>
  <c r="X579" i="19"/>
  <c r="Y580" i="19"/>
  <c r="V577" i="19"/>
  <c r="T575" i="19"/>
  <c r="R573" i="19"/>
  <c r="W578" i="19"/>
  <c r="N569" i="19"/>
  <c r="Q572" i="19"/>
  <c r="P571" i="19"/>
  <c r="V561" i="19"/>
  <c r="R557" i="19"/>
  <c r="N553" i="19"/>
  <c r="O554" i="19"/>
  <c r="X563" i="19"/>
  <c r="U560" i="19"/>
  <c r="Y564" i="19"/>
  <c r="T559" i="19"/>
  <c r="S558" i="19"/>
  <c r="Q556" i="19"/>
  <c r="P555" i="19"/>
  <c r="W562" i="19"/>
  <c r="S152" i="19"/>
  <c r="X157" i="19"/>
  <c r="V155" i="19"/>
  <c r="O148" i="19"/>
  <c r="Q150" i="19"/>
  <c r="T153" i="19"/>
  <c r="W156" i="19"/>
  <c r="Y158" i="19"/>
  <c r="R151" i="19"/>
  <c r="U154" i="19"/>
  <c r="P149" i="19"/>
  <c r="N147" i="19"/>
  <c r="S92" i="19"/>
  <c r="W96" i="19"/>
  <c r="U94" i="19"/>
  <c r="Y98" i="19"/>
  <c r="O88" i="19"/>
  <c r="Q90" i="19"/>
  <c r="T93" i="19"/>
  <c r="N87" i="19"/>
  <c r="X97" i="19"/>
  <c r="V95" i="19"/>
  <c r="R91" i="19"/>
  <c r="P89" i="19"/>
  <c r="X148" i="19"/>
  <c r="Y149" i="19"/>
  <c r="Q141" i="19"/>
  <c r="W147" i="19"/>
  <c r="R142" i="19"/>
  <c r="O139" i="19"/>
  <c r="P140" i="19"/>
  <c r="V146" i="19"/>
  <c r="N138" i="19"/>
  <c r="S143" i="19"/>
  <c r="T144" i="19"/>
  <c r="U145" i="19"/>
  <c r="U571" i="19"/>
  <c r="Y575" i="19"/>
  <c r="Q567" i="19"/>
  <c r="N564" i="19"/>
  <c r="W573" i="19"/>
  <c r="T570" i="19"/>
  <c r="S569" i="19"/>
  <c r="X574" i="19"/>
  <c r="R568" i="19"/>
  <c r="P566" i="19"/>
  <c r="O565" i="19"/>
  <c r="V572" i="19"/>
  <c r="Y381" i="19"/>
  <c r="W379" i="19"/>
  <c r="S375" i="19"/>
  <c r="X380" i="19"/>
  <c r="T376" i="19"/>
  <c r="U377" i="19"/>
  <c r="R374" i="19"/>
  <c r="V378" i="19"/>
  <c r="Q373" i="19"/>
  <c r="P372" i="19"/>
  <c r="O371" i="19"/>
  <c r="N370" i="19"/>
  <c r="T87" i="19"/>
  <c r="U88" i="19"/>
  <c r="S86" i="19"/>
  <c r="W90" i="19"/>
  <c r="V89" i="19"/>
  <c r="Q84" i="19"/>
  <c r="R85" i="19"/>
  <c r="Y92" i="19"/>
  <c r="O82" i="19"/>
  <c r="P83" i="19"/>
  <c r="N81" i="19"/>
  <c r="X91" i="19"/>
  <c r="V748" i="19"/>
  <c r="P742" i="19"/>
  <c r="W749" i="19"/>
  <c r="U747" i="19"/>
  <c r="X750" i="19"/>
  <c r="N740" i="19"/>
  <c r="T746" i="19"/>
  <c r="S745" i="19"/>
  <c r="R744" i="19"/>
  <c r="O741" i="19"/>
  <c r="Q743" i="19"/>
  <c r="Y751" i="19"/>
  <c r="Y577" i="19"/>
  <c r="W575" i="19"/>
  <c r="S571" i="19"/>
  <c r="O567" i="19"/>
  <c r="V574" i="19"/>
  <c r="X576" i="19"/>
  <c r="U573" i="19"/>
  <c r="T572" i="19"/>
  <c r="R570" i="19"/>
  <c r="N566" i="19"/>
  <c r="Q569" i="19"/>
  <c r="P568" i="19"/>
  <c r="N264" i="19"/>
  <c r="U271" i="19"/>
  <c r="W273" i="19"/>
  <c r="X274" i="19"/>
  <c r="V272" i="19"/>
  <c r="P266" i="19"/>
  <c r="Q267" i="19"/>
  <c r="S269" i="19"/>
  <c r="Y275" i="19"/>
  <c r="R268" i="19"/>
  <c r="O265" i="19"/>
  <c r="T270" i="19"/>
  <c r="Q560" i="19"/>
  <c r="U564" i="19"/>
  <c r="N557" i="19"/>
  <c r="T563" i="19"/>
  <c r="Y568" i="19"/>
  <c r="S562" i="19"/>
  <c r="X567" i="19"/>
  <c r="R561" i="19"/>
  <c r="O558" i="19"/>
  <c r="P559" i="19"/>
  <c r="V565" i="19"/>
  <c r="W566" i="19"/>
  <c r="AP26" i="19"/>
  <c r="AS27" i="19" s="1"/>
  <c r="J26" i="7"/>
  <c r="N269" i="19"/>
  <c r="U276" i="19"/>
  <c r="Q272" i="19"/>
  <c r="O270" i="19"/>
  <c r="W278" i="19"/>
  <c r="S274" i="19"/>
  <c r="T275" i="19"/>
  <c r="R273" i="19"/>
  <c r="Y280" i="19"/>
  <c r="X279" i="19"/>
  <c r="P271" i="19"/>
  <c r="V277" i="19"/>
  <c r="T20" i="19"/>
  <c r="X24" i="19"/>
  <c r="P16" i="19"/>
  <c r="U21" i="19"/>
  <c r="S19" i="19"/>
  <c r="O15" i="19"/>
  <c r="N14" i="19"/>
  <c r="W23" i="19"/>
  <c r="V22" i="19"/>
  <c r="Y25" i="19"/>
  <c r="R18" i="19"/>
  <c r="Q17" i="19"/>
  <c r="W544" i="19"/>
  <c r="S540" i="19"/>
  <c r="O536" i="19"/>
  <c r="P537" i="19"/>
  <c r="Y546" i="19"/>
  <c r="V543" i="19"/>
  <c r="N535" i="19"/>
  <c r="Q538" i="19"/>
  <c r="X545" i="19"/>
  <c r="U542" i="19"/>
  <c r="R539" i="19"/>
  <c r="T541" i="19"/>
  <c r="U611" i="19"/>
  <c r="O605" i="19"/>
  <c r="V612" i="19"/>
  <c r="Q607" i="19"/>
  <c r="S609" i="19"/>
  <c r="N604" i="19"/>
  <c r="P606" i="19"/>
  <c r="T610" i="19"/>
  <c r="X614" i="19"/>
  <c r="W613" i="19"/>
  <c r="Y615" i="19"/>
  <c r="R608" i="19"/>
  <c r="X558" i="19"/>
  <c r="T554" i="19"/>
  <c r="P550" i="19"/>
  <c r="Y559" i="19"/>
  <c r="Q551" i="19"/>
  <c r="W557" i="19"/>
  <c r="O549" i="19"/>
  <c r="N548" i="19"/>
  <c r="U555" i="19"/>
  <c r="V556" i="19"/>
  <c r="S553" i="19"/>
  <c r="R552" i="19"/>
  <c r="O176" i="19"/>
  <c r="V183" i="19"/>
  <c r="P177" i="19"/>
  <c r="X185" i="19"/>
  <c r="N175" i="19"/>
  <c r="Y186" i="19"/>
  <c r="S180" i="19"/>
  <c r="T181" i="19"/>
  <c r="U182" i="19"/>
  <c r="Q178" i="19"/>
  <c r="W184" i="19"/>
  <c r="R179" i="19"/>
  <c r="T45" i="19"/>
  <c r="V47" i="19"/>
  <c r="Q42" i="19"/>
  <c r="N39" i="19"/>
  <c r="U46" i="19"/>
  <c r="R43" i="19"/>
  <c r="P41" i="19"/>
  <c r="W48" i="19"/>
  <c r="X49" i="19"/>
  <c r="Y50" i="19"/>
  <c r="O40" i="19"/>
  <c r="S44" i="19"/>
  <c r="R197" i="19"/>
  <c r="X203" i="19"/>
  <c r="U200" i="19"/>
  <c r="W202" i="19"/>
  <c r="S198" i="19"/>
  <c r="O194" i="19"/>
  <c r="Y204" i="19"/>
  <c r="N193" i="19"/>
  <c r="V201" i="19"/>
  <c r="P195" i="19"/>
  <c r="T199" i="19"/>
  <c r="Q196" i="19"/>
  <c r="O166" i="19"/>
  <c r="V173" i="19"/>
  <c r="N165" i="19"/>
  <c r="T171" i="19"/>
  <c r="Q168" i="19"/>
  <c r="Y176" i="19"/>
  <c r="X175" i="19"/>
  <c r="W174" i="19"/>
  <c r="S170" i="19"/>
  <c r="R169" i="19"/>
  <c r="P167" i="19"/>
  <c r="U172" i="19"/>
  <c r="V48" i="19"/>
  <c r="U47" i="19"/>
  <c r="P42" i="19"/>
  <c r="Q43" i="19"/>
  <c r="O41" i="19"/>
  <c r="R44" i="19"/>
  <c r="S45" i="19"/>
  <c r="X50" i="19"/>
  <c r="N40" i="19"/>
  <c r="Y51" i="19"/>
  <c r="W49" i="19"/>
  <c r="T46" i="19"/>
  <c r="P577" i="19"/>
  <c r="X585" i="19"/>
  <c r="U582" i="19"/>
  <c r="T581" i="19"/>
  <c r="V583" i="19"/>
  <c r="Y586" i="19"/>
  <c r="Q578" i="19"/>
  <c r="N575" i="19"/>
  <c r="W584" i="19"/>
  <c r="S580" i="19"/>
  <c r="O576" i="19"/>
  <c r="R579" i="19"/>
  <c r="W822" i="19"/>
  <c r="V821" i="19"/>
  <c r="O814" i="19"/>
  <c r="N813" i="19"/>
  <c r="X823" i="19"/>
  <c r="U820" i="19"/>
  <c r="Q816" i="19"/>
  <c r="R817" i="19"/>
  <c r="S818" i="19"/>
  <c r="T819" i="19"/>
  <c r="P815" i="19"/>
  <c r="Q665" i="19"/>
  <c r="W671" i="19"/>
  <c r="Y673" i="19"/>
  <c r="R666" i="19"/>
  <c r="S667" i="19"/>
  <c r="N662" i="19"/>
  <c r="O663" i="19"/>
  <c r="U669" i="19"/>
  <c r="X672" i="19"/>
  <c r="V670" i="19"/>
  <c r="T668" i="19"/>
  <c r="P664" i="19"/>
  <c r="V678" i="19"/>
  <c r="P672" i="19"/>
  <c r="W679" i="19"/>
  <c r="N670" i="19"/>
  <c r="S675" i="19"/>
  <c r="U677" i="19"/>
  <c r="X680" i="19"/>
  <c r="R674" i="19"/>
  <c r="Y681" i="19"/>
  <c r="T676" i="19"/>
  <c r="O671" i="19"/>
  <c r="Q673" i="19"/>
  <c r="V773" i="19"/>
  <c r="P767" i="19"/>
  <c r="W774" i="19"/>
  <c r="R769" i="19"/>
  <c r="X775" i="19"/>
  <c r="N765" i="19"/>
  <c r="O766" i="19"/>
  <c r="U772" i="19"/>
  <c r="Y776" i="19"/>
  <c r="Q768" i="19"/>
  <c r="T771" i="19"/>
  <c r="S770" i="19"/>
  <c r="V551" i="19"/>
  <c r="R547" i="19"/>
  <c r="O544" i="19"/>
  <c r="X553" i="19"/>
  <c r="U550" i="19"/>
  <c r="P545" i="19"/>
  <c r="Y554" i="19"/>
  <c r="Q546" i="19"/>
  <c r="W552" i="19"/>
  <c r="N543" i="19"/>
  <c r="S548" i="19"/>
  <c r="T549" i="19"/>
  <c r="S137" i="19"/>
  <c r="U139" i="19"/>
  <c r="O133" i="19"/>
  <c r="Y143" i="19"/>
  <c r="W141" i="19"/>
  <c r="Q135" i="19"/>
  <c r="T138" i="19"/>
  <c r="N132" i="19"/>
  <c r="R136" i="19"/>
  <c r="V140" i="19"/>
  <c r="P134" i="19"/>
  <c r="X142" i="19"/>
  <c r="Q32" i="19"/>
  <c r="V37" i="19"/>
  <c r="Y40" i="19"/>
  <c r="U36" i="19"/>
  <c r="P31" i="19"/>
  <c r="X39" i="19"/>
  <c r="O30" i="19"/>
  <c r="R33" i="19"/>
  <c r="W38" i="19"/>
  <c r="T35" i="19"/>
  <c r="S34" i="19"/>
  <c r="N29" i="19"/>
  <c r="Q280" i="19"/>
  <c r="X287" i="19"/>
  <c r="W286" i="19"/>
  <c r="P279" i="19"/>
  <c r="Y288" i="19"/>
  <c r="T283" i="19"/>
  <c r="O278" i="19"/>
  <c r="N277" i="19"/>
  <c r="U284" i="19"/>
  <c r="R281" i="19"/>
  <c r="V285" i="19"/>
  <c r="S282" i="19"/>
  <c r="R791" i="19"/>
  <c r="N787" i="19"/>
  <c r="T793" i="19"/>
  <c r="Y798" i="19"/>
  <c r="V795" i="19"/>
  <c r="Q790" i="19"/>
  <c r="W796" i="19"/>
  <c r="X797" i="19"/>
  <c r="O788" i="19"/>
  <c r="S792" i="19"/>
  <c r="P789" i="19"/>
  <c r="U794" i="19"/>
  <c r="U556" i="19"/>
  <c r="N549" i="19"/>
  <c r="W558" i="19"/>
  <c r="S554" i="19"/>
  <c r="O550" i="19"/>
  <c r="Y560" i="19"/>
  <c r="V557" i="19"/>
  <c r="R553" i="19"/>
  <c r="Q552" i="19"/>
  <c r="P551" i="19"/>
  <c r="X559" i="19"/>
  <c r="T555" i="19"/>
  <c r="R215" i="19"/>
  <c r="Y222" i="19"/>
  <c r="U218" i="19"/>
  <c r="T217" i="19"/>
  <c r="P213" i="19"/>
  <c r="W220" i="19"/>
  <c r="S216" i="19"/>
  <c r="V219" i="19"/>
  <c r="O212" i="19"/>
  <c r="N211" i="19"/>
  <c r="Q214" i="19"/>
  <c r="X221" i="19"/>
  <c r="R747" i="19"/>
  <c r="Y754" i="19"/>
  <c r="S748" i="19"/>
  <c r="T749" i="19"/>
  <c r="P745" i="19"/>
  <c r="V751" i="19"/>
  <c r="X753" i="19"/>
  <c r="Q746" i="19"/>
  <c r="U750" i="19"/>
  <c r="N743" i="19"/>
  <c r="W752" i="19"/>
  <c r="O744" i="19"/>
  <c r="P136" i="19"/>
  <c r="W143" i="19"/>
  <c r="Q137" i="19"/>
  <c r="Y145" i="19"/>
  <c r="S139" i="19"/>
  <c r="U141" i="19"/>
  <c r="O135" i="19"/>
  <c r="T140" i="19"/>
  <c r="R138" i="19"/>
  <c r="N134" i="19"/>
  <c r="X144" i="19"/>
  <c r="V142" i="19"/>
  <c r="N294" i="19"/>
  <c r="U301" i="19"/>
  <c r="O295" i="19"/>
  <c r="Y305" i="19"/>
  <c r="T300" i="19"/>
  <c r="W303" i="19"/>
  <c r="X304" i="19"/>
  <c r="V302" i="19"/>
  <c r="P296" i="19"/>
  <c r="Q297" i="19"/>
  <c r="R298" i="19"/>
  <c r="S299" i="19"/>
  <c r="S16" i="19"/>
  <c r="R15" i="19"/>
  <c r="V19" i="19"/>
  <c r="O12" i="19"/>
  <c r="Q14" i="19"/>
  <c r="P13" i="19"/>
  <c r="W20" i="19"/>
  <c r="Y22" i="19"/>
  <c r="X21" i="19"/>
  <c r="N11" i="19"/>
  <c r="U18" i="19"/>
  <c r="T17" i="19"/>
  <c r="O106" i="19"/>
  <c r="P107" i="19"/>
  <c r="X115" i="19"/>
  <c r="V113" i="19"/>
  <c r="R109" i="19"/>
  <c r="T111" i="19"/>
  <c r="Q108" i="19"/>
  <c r="U112" i="19"/>
  <c r="S110" i="19"/>
  <c r="N105" i="19"/>
  <c r="W114" i="19"/>
  <c r="Y116" i="19"/>
  <c r="U621" i="19"/>
  <c r="O615" i="19"/>
  <c r="V622" i="19"/>
  <c r="Q617" i="19"/>
  <c r="Y625" i="19"/>
  <c r="T620" i="19"/>
  <c r="X624" i="19"/>
  <c r="P616" i="19"/>
  <c r="N614" i="19"/>
  <c r="S619" i="19"/>
  <c r="W623" i="19"/>
  <c r="R618" i="19"/>
  <c r="S791" i="19"/>
  <c r="V794" i="19"/>
  <c r="W795" i="19"/>
  <c r="O787" i="19"/>
  <c r="U793" i="19"/>
  <c r="X796" i="19"/>
  <c r="Y797" i="19"/>
  <c r="R790" i="19"/>
  <c r="P788" i="19"/>
  <c r="Q789" i="19"/>
  <c r="T792" i="19"/>
  <c r="N786" i="19"/>
  <c r="V291" i="19"/>
  <c r="P285" i="19"/>
  <c r="W292" i="19"/>
  <c r="R287" i="19"/>
  <c r="Y294" i="19"/>
  <c r="T289" i="19"/>
  <c r="O284" i="19"/>
  <c r="Q286" i="19"/>
  <c r="N283" i="19"/>
  <c r="X293" i="19"/>
  <c r="U290" i="19"/>
  <c r="S288" i="19"/>
  <c r="R742" i="19"/>
  <c r="Y749" i="19"/>
  <c r="S743" i="19"/>
  <c r="X748" i="19"/>
  <c r="U745" i="19"/>
  <c r="T744" i="19"/>
  <c r="V746" i="19"/>
  <c r="O739" i="19"/>
  <c r="P740" i="19"/>
  <c r="W747" i="19"/>
  <c r="Q741" i="19"/>
  <c r="N738" i="19"/>
  <c r="P389" i="19"/>
  <c r="Q390" i="19"/>
  <c r="O388" i="19"/>
  <c r="T393" i="19"/>
  <c r="Y398" i="19"/>
  <c r="R391" i="19"/>
  <c r="S392" i="19"/>
  <c r="U394" i="19"/>
  <c r="W396" i="19"/>
  <c r="X397" i="19"/>
  <c r="V395" i="19"/>
  <c r="N387" i="19"/>
  <c r="U405" i="19"/>
  <c r="V406" i="19"/>
  <c r="S403" i="19"/>
  <c r="O399" i="19"/>
  <c r="Y409" i="19"/>
  <c r="N398" i="19"/>
  <c r="T404" i="19"/>
  <c r="R402" i="19"/>
  <c r="Q401" i="19"/>
  <c r="P400" i="19"/>
  <c r="W407" i="19"/>
  <c r="X408" i="19"/>
  <c r="Y52" i="19"/>
  <c r="U48" i="19"/>
  <c r="T47" i="19"/>
  <c r="O42" i="19"/>
  <c r="V49" i="19"/>
  <c r="P43" i="19"/>
  <c r="N41" i="19"/>
  <c r="W50" i="19"/>
  <c r="R45" i="19"/>
  <c r="X51" i="19"/>
  <c r="Q44" i="19"/>
  <c r="S46" i="19"/>
  <c r="T117" i="19"/>
  <c r="U118" i="19"/>
  <c r="W120" i="19"/>
  <c r="S116" i="19"/>
  <c r="R115" i="19"/>
  <c r="P113" i="19"/>
  <c r="Y122" i="19"/>
  <c r="O112" i="19"/>
  <c r="V119" i="19"/>
  <c r="X121" i="19"/>
  <c r="N111" i="19"/>
  <c r="Q114" i="19"/>
  <c r="V341" i="19"/>
  <c r="P335" i="19"/>
  <c r="W342" i="19"/>
  <c r="R337" i="19"/>
  <c r="Y344" i="19"/>
  <c r="T339" i="19"/>
  <c r="O334" i="19"/>
  <c r="Q336" i="19"/>
  <c r="N333" i="19"/>
  <c r="X343" i="19"/>
  <c r="S338" i="19"/>
  <c r="U340" i="19"/>
  <c r="N756" i="19"/>
  <c r="U763" i="19"/>
  <c r="O757" i="19"/>
  <c r="P758" i="19"/>
  <c r="V764" i="19"/>
  <c r="W765" i="19"/>
  <c r="X766" i="19"/>
  <c r="Q759" i="19"/>
  <c r="S761" i="19"/>
  <c r="Y767" i="19"/>
  <c r="R760" i="19"/>
  <c r="T762" i="19"/>
  <c r="S102" i="19"/>
  <c r="X107" i="19"/>
  <c r="R101" i="19"/>
  <c r="N97" i="19"/>
  <c r="Y108" i="19"/>
  <c r="V105" i="19"/>
  <c r="T103" i="19"/>
  <c r="P99" i="19"/>
  <c r="Q100" i="19"/>
  <c r="U104" i="19"/>
  <c r="W106" i="19"/>
  <c r="O98" i="19"/>
  <c r="R340" i="19"/>
  <c r="Y347" i="19"/>
  <c r="S341" i="19"/>
  <c r="N336" i="19"/>
  <c r="V344" i="19"/>
  <c r="X346" i="19"/>
  <c r="T342" i="19"/>
  <c r="U343" i="19"/>
  <c r="P338" i="19"/>
  <c r="W345" i="19"/>
  <c r="Q339" i="19"/>
  <c r="O337" i="19"/>
  <c r="Q379" i="19"/>
  <c r="X386" i="19"/>
  <c r="Y387" i="19"/>
  <c r="S381" i="19"/>
  <c r="U383" i="19"/>
  <c r="T382" i="19"/>
  <c r="R380" i="19"/>
  <c r="V384" i="19"/>
  <c r="P378" i="19"/>
  <c r="O377" i="19"/>
  <c r="N376" i="19"/>
  <c r="W385" i="19"/>
  <c r="N761" i="19"/>
  <c r="U768" i="19"/>
  <c r="O762" i="19"/>
  <c r="X771" i="19"/>
  <c r="T767" i="19"/>
  <c r="Q764" i="19"/>
  <c r="S766" i="19"/>
  <c r="Y772" i="19"/>
  <c r="R765" i="19"/>
  <c r="W770" i="19"/>
  <c r="V769" i="19"/>
  <c r="P763" i="19"/>
  <c r="T301" i="19"/>
  <c r="V303" i="19"/>
  <c r="N295" i="19"/>
  <c r="X305" i="19"/>
  <c r="U302" i="19"/>
  <c r="W304" i="19"/>
  <c r="O296" i="19"/>
  <c r="Y306" i="19"/>
  <c r="S300" i="19"/>
  <c r="P297" i="19"/>
  <c r="Q298" i="19"/>
  <c r="R299" i="19"/>
  <c r="AC71" i="16"/>
  <c r="AC74" i="16"/>
  <c r="AB37" i="16"/>
  <c r="G10" i="15"/>
  <c r="BC68" i="10"/>
  <c r="BC64" i="10"/>
  <c r="BC60" i="10"/>
  <c r="BC56" i="10"/>
  <c r="BB53" i="10"/>
  <c r="BC50" i="10"/>
  <c r="BC43" i="10"/>
  <c r="BC40" i="10"/>
  <c r="BC33" i="10"/>
  <c r="BC26" i="10"/>
  <c r="BE22" i="10"/>
  <c r="BD19" i="10"/>
  <c r="BC16" i="10"/>
  <c r="BD9" i="10"/>
  <c r="BE6" i="10"/>
  <c r="BB68" i="10"/>
  <c r="BB64" i="10"/>
  <c r="BB60" i="10"/>
  <c r="BB56" i="10"/>
  <c r="BB50" i="10"/>
  <c r="BE46" i="10"/>
  <c r="BB43" i="10"/>
  <c r="BB40" i="10"/>
  <c r="BB33" i="10"/>
  <c r="BE29" i="10"/>
  <c r="T28" i="10"/>
  <c r="BB26" i="10"/>
  <c r="BD22" i="10"/>
  <c r="BC19" i="10"/>
  <c r="BB16" i="10"/>
  <c r="BC9" i="10"/>
  <c r="BD6" i="10"/>
  <c r="BE2" i="10"/>
  <c r="BD46" i="10"/>
  <c r="BE36" i="10"/>
  <c r="BD29" i="10"/>
  <c r="BC22" i="10"/>
  <c r="BB19" i="10"/>
  <c r="BE12" i="10"/>
  <c r="BB9" i="10"/>
  <c r="BC6" i="10"/>
  <c r="BD2" i="10"/>
  <c r="BE67" i="10"/>
  <c r="BE63" i="10"/>
  <c r="BE59" i="10"/>
  <c r="BE55" i="10"/>
  <c r="BE49" i="10"/>
  <c r="BC46" i="10"/>
  <c r="BD36" i="10"/>
  <c r="BC29" i="10"/>
  <c r="BE25" i="10"/>
  <c r="BB22" i="10"/>
  <c r="BD12" i="10"/>
  <c r="BB6" i="10"/>
  <c r="BC2" i="10"/>
  <c r="BE66" i="10"/>
  <c r="BE62" i="10"/>
  <c r="BE58" i="10"/>
  <c r="BC45" i="10"/>
  <c r="BB42" i="10"/>
  <c r="BD35" i="10"/>
  <c r="BC28" i="10"/>
  <c r="BE24" i="10"/>
  <c r="BC21" i="10"/>
  <c r="BC18" i="10"/>
  <c r="BD11" i="10"/>
  <c r="BC8" i="10"/>
  <c r="BB5" i="10"/>
  <c r="BC59" i="10"/>
  <c r="BC58" i="10"/>
  <c r="BC57" i="10"/>
  <c r="BD56" i="10"/>
  <c r="BD53" i="10"/>
  <c r="BC52" i="10"/>
  <c r="BD51" i="10"/>
  <c r="BC49" i="10"/>
  <c r="BD48" i="10"/>
  <c r="BD45" i="10"/>
  <c r="BD44" i="10"/>
  <c r="BE42" i="10"/>
  <c r="BE28" i="10"/>
  <c r="BE27" i="10"/>
  <c r="BD25" i="10"/>
  <c r="T17" i="10"/>
  <c r="BD63" i="10"/>
  <c r="BD62" i="10"/>
  <c r="BD61" i="10"/>
  <c r="BE60" i="10"/>
  <c r="BB51" i="10"/>
  <c r="BE50" i="10"/>
  <c r="BB48" i="10"/>
  <c r="BE47" i="10"/>
  <c r="BB44" i="10"/>
  <c r="BE43" i="10"/>
  <c r="BC42" i="10"/>
  <c r="BD41" i="10"/>
  <c r="BD39" i="10"/>
  <c r="BD38" i="10"/>
  <c r="BC36" i="10"/>
  <c r="BE35" i="10"/>
  <c r="BD34" i="10"/>
  <c r="BD32" i="10"/>
  <c r="BD31" i="10"/>
  <c r="BB29" i="10"/>
  <c r="BB28" i="10"/>
  <c r="BC27" i="10"/>
  <c r="BB25" i="10"/>
  <c r="BD24" i="10"/>
  <c r="BD67" i="10"/>
  <c r="BC63" i="10"/>
  <c r="BC62" i="10"/>
  <c r="BC61" i="10"/>
  <c r="BD60" i="10"/>
  <c r="BD50" i="10"/>
  <c r="BD47" i="10"/>
  <c r="BD43" i="10"/>
  <c r="BC41" i="10"/>
  <c r="BC39" i="10"/>
  <c r="BC38" i="10"/>
  <c r="BE37" i="10"/>
  <c r="BB36" i="10"/>
  <c r="BC35" i="10"/>
  <c r="BC34" i="10"/>
  <c r="BC32" i="10"/>
  <c r="BC31" i="10"/>
  <c r="BE30" i="10"/>
  <c r="BB27" i="10"/>
  <c r="BE26" i="10"/>
  <c r="BC24" i="10"/>
  <c r="BE23" i="10"/>
  <c r="BC67" i="10"/>
  <c r="BE65" i="10"/>
  <c r="BB63" i="10"/>
  <c r="BB62" i="10"/>
  <c r="BB61" i="10"/>
  <c r="BC47" i="10"/>
  <c r="BB41" i="10"/>
  <c r="BE40" i="10"/>
  <c r="BB39" i="10"/>
  <c r="BB38" i="10"/>
  <c r="BD37" i="10"/>
  <c r="BB35" i="10"/>
  <c r="BB34" i="10"/>
  <c r="BE33" i="10"/>
  <c r="BB32" i="10"/>
  <c r="BB31" i="10"/>
  <c r="BD30" i="10"/>
  <c r="BD26" i="10"/>
  <c r="BB24" i="10"/>
  <c r="BD23" i="10"/>
  <c r="BE21" i="10"/>
  <c r="BE20" i="10"/>
  <c r="BE52" i="10"/>
  <c r="BD21" i="10"/>
  <c r="BD58" i="10"/>
  <c r="BD52" i="10"/>
  <c r="BB21" i="10"/>
  <c r="BE13" i="10"/>
  <c r="BE68" i="10"/>
  <c r="BB58" i="10"/>
  <c r="BB52" i="10"/>
  <c r="BD42" i="10"/>
  <c r="BE32" i="10"/>
  <c r="BD27" i="10"/>
  <c r="BE14" i="10"/>
  <c r="BD13" i="10"/>
  <c r="BD68" i="10"/>
  <c r="BB47" i="10"/>
  <c r="BC37" i="10"/>
  <c r="BD14" i="10"/>
  <c r="BC13" i="10"/>
  <c r="BE54" i="10"/>
  <c r="BE53" i="10"/>
  <c r="BB37" i="10"/>
  <c r="BE15" i="10"/>
  <c r="BC14" i="10"/>
  <c r="BB13" i="10"/>
  <c r="BD59" i="10"/>
  <c r="BD54" i="10"/>
  <c r="BC53" i="10"/>
  <c r="BE48" i="10"/>
  <c r="BD15" i="10"/>
  <c r="BB14" i="10"/>
  <c r="BE7" i="10"/>
  <c r="BB66" i="10"/>
  <c r="BE61" i="10"/>
  <c r="BC54" i="10"/>
  <c r="BE51" i="10"/>
  <c r="BD18" i="10"/>
  <c r="BC15" i="10"/>
  <c r="BC12" i="10"/>
  <c r="BE3" i="10"/>
  <c r="BD20" i="10"/>
  <c r="BC23" i="10"/>
  <c r="BB59" i="10"/>
  <c r="BB54" i="10"/>
  <c r="BC51" i="10"/>
  <c r="BB46" i="10"/>
  <c r="BD33" i="10"/>
  <c r="BC30" i="10"/>
  <c r="BC25" i="10"/>
  <c r="BB18" i="10"/>
  <c r="BB15" i="10"/>
  <c r="BB12" i="10"/>
  <c r="BD3" i="10"/>
  <c r="BE57" i="10"/>
  <c r="BB4" i="10"/>
  <c r="BE64" i="10"/>
  <c r="BD49" i="10"/>
  <c r="BB30" i="10"/>
  <c r="BC3" i="10"/>
  <c r="BD55" i="10"/>
  <c r="BD64" i="10"/>
  <c r="BB49" i="10"/>
  <c r="BE44" i="10"/>
  <c r="BE41" i="10"/>
  <c r="BD28" i="10"/>
  <c r="BE19" i="10"/>
  <c r="BE9" i="10"/>
  <c r="BE4" i="10"/>
  <c r="BB3" i="10"/>
  <c r="BC20" i="10"/>
  <c r="BE10" i="10"/>
  <c r="BB67" i="10"/>
  <c r="BC44" i="10"/>
  <c r="BD4" i="10"/>
  <c r="BC4" i="10"/>
  <c r="BE39" i="10"/>
  <c r="BD57" i="10"/>
  <c r="BB57" i="10"/>
  <c r="BD10" i="10"/>
  <c r="BD8" i="10"/>
  <c r="BD66" i="10"/>
  <c r="BE16" i="10"/>
  <c r="BC10" i="10"/>
  <c r="BB8" i="10"/>
  <c r="BE45" i="10"/>
  <c r="BE38" i="10"/>
  <c r="BB23" i="10"/>
  <c r="BC48" i="10"/>
  <c r="BE31" i="10"/>
  <c r="BD65" i="10"/>
  <c r="BC65" i="10"/>
  <c r="BE11" i="10"/>
  <c r="BB65" i="10"/>
  <c r="BC55" i="10"/>
  <c r="BD40" i="10"/>
  <c r="BC11" i="10"/>
  <c r="BB45" i="10"/>
  <c r="BE56" i="10"/>
  <c r="BB11" i="10"/>
  <c r="BE8" i="10"/>
  <c r="T49" i="10"/>
  <c r="BD7" i="10"/>
  <c r="BB20" i="10"/>
  <c r="T44" i="10"/>
  <c r="BC66" i="10"/>
  <c r="BC5" i="10"/>
  <c r="BB10" i="10"/>
  <c r="BC7" i="10"/>
  <c r="BE34" i="10"/>
  <c r="BC17" i="10"/>
  <c r="BB55" i="10"/>
  <c r="BD16" i="10"/>
  <c r="BB7" i="10"/>
  <c r="BE17" i="10"/>
  <c r="BD17" i="10"/>
  <c r="BB17" i="10"/>
  <c r="BE5" i="10"/>
  <c r="BD5" i="10"/>
  <c r="BB2" i="10"/>
  <c r="BE18" i="10"/>
  <c r="T34" i="10"/>
  <c r="AB59" i="20"/>
  <c r="BA28" i="10"/>
  <c r="BA9" i="10"/>
  <c r="BA11" i="10"/>
  <c r="BA8" i="10"/>
  <c r="BA14" i="10"/>
  <c r="BA32" i="10"/>
  <c r="BA29" i="10"/>
  <c r="BA18" i="10"/>
  <c r="BA6" i="10"/>
  <c r="BA40" i="10"/>
  <c r="BA61" i="10"/>
  <c r="BA68" i="10"/>
  <c r="BA54" i="10"/>
  <c r="BA37" i="10"/>
  <c r="BA20" i="10"/>
  <c r="BA7" i="10"/>
  <c r="BA63" i="10"/>
  <c r="BA51" i="10"/>
  <c r="BA15" i="10"/>
  <c r="BA64" i="10"/>
  <c r="BA30" i="10"/>
  <c r="BA44" i="10"/>
  <c r="BA67" i="10"/>
  <c r="BA5" i="10"/>
  <c r="BA33" i="10"/>
  <c r="BA66" i="10"/>
  <c r="BA16" i="10"/>
  <c r="BA56" i="10"/>
  <c r="BA65" i="10"/>
  <c r="BA23" i="10"/>
  <c r="BA13" i="10"/>
  <c r="BA2" i="10"/>
  <c r="BA43" i="10"/>
  <c r="BA62" i="10"/>
  <c r="BA36" i="10"/>
  <c r="BA25" i="10"/>
  <c r="BA53" i="10"/>
  <c r="BA49" i="10"/>
  <c r="BA57" i="10"/>
  <c r="BA59" i="10"/>
  <c r="BA21" i="10"/>
  <c r="BA47" i="10"/>
  <c r="BA27" i="10"/>
  <c r="BA17" i="10"/>
  <c r="BA39" i="10"/>
  <c r="BA31" i="10"/>
  <c r="BA38" i="10"/>
  <c r="BA22" i="10"/>
  <c r="BA50" i="10"/>
  <c r="BA52" i="10"/>
  <c r="BA58" i="10"/>
  <c r="BA60" i="10"/>
  <c r="BA12" i="10"/>
  <c r="BA41" i="10"/>
  <c r="BA3" i="10"/>
  <c r="BA19" i="10"/>
  <c r="BA48" i="10"/>
  <c r="BA10" i="10"/>
  <c r="BA35" i="10"/>
  <c r="BA45" i="10"/>
  <c r="BA55" i="10"/>
  <c r="BA42" i="10"/>
  <c r="BA24" i="10"/>
  <c r="BA4" i="10"/>
  <c r="BA34" i="10"/>
  <c r="BA26" i="10"/>
  <c r="BA46" i="10"/>
  <c r="W134" i="16"/>
  <c r="W762" i="16"/>
  <c r="W516" i="16"/>
  <c r="W683" i="16"/>
  <c r="W528" i="16"/>
  <c r="W5" i="16"/>
  <c r="W578" i="16"/>
  <c r="W378" i="16"/>
  <c r="W801" i="16"/>
  <c r="W808" i="16"/>
  <c r="W124" i="16"/>
  <c r="W821" i="16"/>
  <c r="W118" i="16"/>
  <c r="W198" i="16"/>
  <c r="W812" i="16"/>
  <c r="W562" i="16"/>
  <c r="W308" i="16"/>
  <c r="W64" i="16"/>
  <c r="W696" i="16"/>
  <c r="W78" i="16"/>
  <c r="W466" i="16"/>
  <c r="W672" i="16"/>
  <c r="W818" i="16"/>
  <c r="W88" i="16"/>
  <c r="W782" i="16"/>
  <c r="W160" i="16"/>
  <c r="W35" i="16"/>
  <c r="W25" i="16"/>
  <c r="W358" i="16"/>
  <c r="W38" i="16"/>
  <c r="W653" i="16"/>
  <c r="W365" i="16"/>
  <c r="W592" i="16"/>
  <c r="W104" i="16"/>
  <c r="W148" i="16"/>
  <c r="W384" i="16"/>
  <c r="W407" i="16"/>
  <c r="W344" i="16"/>
  <c r="W498" i="16"/>
  <c r="W630" i="16"/>
  <c r="W239" i="16"/>
  <c r="W645" i="16"/>
  <c r="W248" i="16"/>
  <c r="W444" i="16"/>
  <c r="W666" i="16"/>
  <c r="W725" i="16"/>
  <c r="W554" i="16"/>
  <c r="W656" i="16"/>
  <c r="W216" i="16"/>
  <c r="W426" i="16"/>
  <c r="W179" i="16"/>
  <c r="W638" i="16"/>
  <c r="W810" i="16"/>
  <c r="W622" i="16"/>
  <c r="W558" i="16"/>
  <c r="W634" i="16"/>
  <c r="W304" i="16"/>
  <c r="W524" i="16"/>
  <c r="W157" i="16"/>
  <c r="W394" i="16"/>
  <c r="W374" i="16"/>
  <c r="W415" i="16"/>
  <c r="W396" i="16"/>
  <c r="W345" i="16"/>
  <c r="W61" i="16"/>
  <c r="W255" i="16"/>
  <c r="W751" i="16"/>
  <c r="W245" i="16"/>
  <c r="W709" i="16"/>
  <c r="W238" i="16"/>
  <c r="W211" i="16"/>
  <c r="W627" i="16"/>
  <c r="W182" i="16"/>
  <c r="W646" i="16"/>
  <c r="W438" i="16"/>
  <c r="W13" i="16"/>
  <c r="W778" i="16"/>
  <c r="W754" i="16"/>
  <c r="W744" i="16"/>
  <c r="W615" i="16"/>
  <c r="W44" i="16"/>
  <c r="W425" i="16"/>
  <c r="W133" i="16"/>
  <c r="W542" i="16"/>
  <c r="W340" i="16"/>
  <c r="W252" i="16"/>
  <c r="W244" i="16"/>
  <c r="W236" i="16"/>
  <c r="W412" i="16"/>
  <c r="W414" i="16"/>
  <c r="W422" i="16"/>
  <c r="W817" i="16"/>
  <c r="W243" i="16"/>
  <c r="W728" i="16"/>
  <c r="W138" i="16"/>
  <c r="W80" i="16"/>
  <c r="W215" i="16"/>
  <c r="W375" i="16"/>
  <c r="W535" i="16"/>
  <c r="W201" i="16"/>
  <c r="W380" i="16"/>
  <c r="W470" i="16"/>
  <c r="W217" i="16"/>
  <c r="W301" i="16"/>
  <c r="W699" i="16"/>
  <c r="W388" i="16"/>
  <c r="W797" i="16"/>
  <c r="W168" i="16"/>
  <c r="W130" i="16"/>
  <c r="W282" i="16"/>
  <c r="W294" i="16"/>
  <c r="W272" i="16"/>
  <c r="W452" i="16"/>
  <c r="W114" i="16"/>
  <c r="W661" i="16"/>
  <c r="W265" i="16"/>
  <c r="W448" i="16"/>
  <c r="W87" i="16"/>
  <c r="W205" i="16"/>
  <c r="W171" i="16"/>
  <c r="W221" i="16"/>
  <c r="W338" i="16"/>
  <c r="W740" i="16"/>
  <c r="W19" i="16"/>
  <c r="W291" i="16"/>
  <c r="W732" i="16"/>
  <c r="W463" i="16"/>
  <c r="W755" i="16"/>
  <c r="W189" i="16"/>
  <c r="W809" i="16"/>
  <c r="W251" i="16"/>
  <c r="W606" i="16"/>
  <c r="W86" i="16"/>
  <c r="W798" i="16"/>
  <c r="W119" i="16"/>
  <c r="W472" i="16"/>
  <c r="W779" i="16"/>
  <c r="W303" i="16"/>
  <c r="W263" i="16"/>
  <c r="W330" i="16"/>
  <c r="W225" i="16"/>
  <c r="W664" i="16"/>
  <c r="W712" i="16"/>
  <c r="W403" i="16"/>
  <c r="W763" i="16"/>
  <c r="W108" i="16"/>
  <c r="W587" i="16"/>
  <c r="W743" i="16"/>
  <c r="W145" i="16"/>
  <c r="W175" i="16"/>
  <c r="W151" i="16"/>
  <c r="W230" i="16"/>
  <c r="W96" i="16"/>
  <c r="W352" i="16"/>
  <c r="W85" i="16"/>
  <c r="W455" i="16"/>
  <c r="W309" i="16"/>
  <c r="W575" i="16"/>
  <c r="W715" i="16"/>
  <c r="W285" i="16"/>
  <c r="W373" i="16"/>
  <c r="W727" i="16"/>
  <c r="W103" i="16"/>
  <c r="W139" i="16"/>
  <c r="W760" i="16"/>
  <c r="W56" i="16"/>
  <c r="W719" i="16"/>
  <c r="W62" i="16"/>
  <c r="W81" i="16"/>
  <c r="W788" i="16"/>
  <c r="W620" i="16"/>
  <c r="W813" i="16"/>
  <c r="W322" i="16"/>
  <c r="W226" i="16"/>
  <c r="W317" i="16"/>
  <c r="W181" i="16"/>
  <c r="W401" i="16"/>
  <c r="W23" i="16"/>
  <c r="W359" i="16"/>
  <c r="W557" i="16"/>
  <c r="W674" i="16"/>
  <c r="W121" i="16"/>
  <c r="W392" i="16"/>
  <c r="W508" i="16"/>
  <c r="W55" i="16"/>
  <c r="W131" i="16"/>
  <c r="W191" i="16"/>
  <c r="W475" i="16"/>
  <c r="W609" i="16"/>
  <c r="W350" i="16"/>
  <c r="W591" i="16"/>
  <c r="W718" i="16"/>
  <c r="W625" i="16"/>
  <c r="W206" i="16"/>
  <c r="W602" i="16"/>
  <c r="W180" i="16"/>
  <c r="W416" i="16"/>
  <c r="W41" i="16"/>
  <c r="W531" i="16"/>
  <c r="W405" i="16"/>
  <c r="W122" i="16"/>
  <c r="W77" i="16"/>
  <c r="W82" i="16"/>
  <c r="W174" i="16"/>
  <c r="W626" i="16"/>
  <c r="W155" i="16"/>
  <c r="W29" i="16"/>
  <c r="W74" i="16"/>
  <c r="W60" i="16"/>
  <c r="W186" i="16"/>
  <c r="W509" i="16"/>
  <c r="W714" i="16"/>
  <c r="W10" i="16"/>
  <c r="W200" i="16"/>
  <c r="W468" i="16"/>
  <c r="W434" i="16"/>
  <c r="W610" i="16"/>
  <c r="W494" i="16"/>
  <c r="W534" i="16"/>
  <c r="W506" i="16"/>
  <c r="W698" i="16"/>
  <c r="W95" i="16"/>
  <c r="W59" i="16"/>
  <c r="W819" i="16"/>
  <c r="W783" i="16"/>
  <c r="W342" i="16"/>
  <c r="W588" i="16"/>
  <c r="W608" i="16"/>
  <c r="W34" i="16"/>
  <c r="W348" i="16"/>
  <c r="W3" i="16"/>
  <c r="W511" i="16"/>
  <c r="W268" i="16"/>
  <c r="W739" i="16"/>
  <c r="W421" i="16"/>
  <c r="W14" i="16"/>
  <c r="W390" i="16"/>
  <c r="W199" i="16"/>
  <c r="W318" i="16"/>
  <c r="W306" i="16"/>
  <c r="W507" i="16"/>
  <c r="W769" i="16"/>
  <c r="W816" i="16"/>
  <c r="W473" i="16"/>
  <c r="W430" i="16"/>
  <c r="W659" i="16"/>
  <c r="W297" i="16"/>
  <c r="W490" i="16"/>
  <c r="W652" i="16"/>
  <c r="W733" i="16"/>
  <c r="W765" i="16"/>
  <c r="W431" i="16"/>
  <c r="W584" i="16"/>
  <c r="W379" i="16"/>
  <c r="W474" i="16"/>
  <c r="W632" i="16"/>
  <c r="W370" i="16"/>
  <c r="W271" i="16"/>
  <c r="W686" i="16"/>
  <c r="W218" i="16"/>
  <c r="W111" i="16"/>
  <c r="W774" i="16"/>
  <c r="W287" i="16"/>
  <c r="W409" i="16"/>
  <c r="W576" i="16"/>
  <c r="W533" i="16"/>
  <c r="W312" i="16"/>
  <c r="W522" i="16"/>
  <c r="W617" i="16"/>
  <c r="W693" i="16"/>
  <c r="W143" i="16"/>
  <c r="W621" i="16"/>
  <c r="W270" i="16"/>
  <c r="W2" i="16"/>
  <c r="W484" i="16"/>
  <c r="W314" i="16"/>
  <c r="W22" i="16"/>
  <c r="W540" i="16"/>
  <c r="W746" i="16"/>
  <c r="W777" i="16"/>
  <c r="W93" i="16"/>
  <c r="W152" i="16"/>
  <c r="W324" i="16"/>
  <c r="W349" i="16"/>
  <c r="W185" i="16"/>
  <c r="W395" i="16"/>
  <c r="W21" i="16"/>
  <c r="W487" i="16"/>
  <c r="W381" i="16"/>
  <c r="W800" i="16"/>
  <c r="W623" i="16"/>
  <c r="W519" i="16"/>
  <c r="W706" i="16"/>
  <c r="W127" i="16"/>
  <c r="W120" i="16"/>
  <c r="W128" i="16"/>
  <c r="W413" i="16"/>
  <c r="W48" i="16"/>
  <c r="W100" i="16"/>
  <c r="W165" i="16"/>
  <c r="W642" i="16"/>
  <c r="W366" i="16"/>
  <c r="W112" i="16"/>
  <c r="W167" i="16"/>
  <c r="W353" i="16"/>
  <c r="W707" i="16"/>
  <c r="W660" i="16"/>
  <c r="W695" i="16"/>
  <c r="W685" i="16"/>
  <c r="W586" i="16"/>
  <c r="W737" i="16"/>
  <c r="W162" i="16"/>
  <c r="W758" i="16"/>
  <c r="W787" i="16"/>
  <c r="W26" i="16"/>
  <c r="W98" i="16"/>
  <c r="W397" i="16"/>
  <c r="W526" i="16"/>
  <c r="W51" i="16"/>
  <c r="W325" i="16"/>
  <c r="W234" i="16"/>
  <c r="W241" i="16"/>
  <c r="W355" i="16"/>
  <c r="W447" i="16"/>
  <c r="W688" i="16"/>
  <c r="W764" i="16"/>
  <c r="W462" i="16"/>
  <c r="W360" i="16"/>
  <c r="W761" i="16"/>
  <c r="W195" i="16"/>
  <c r="W6" i="16"/>
  <c r="W31" i="16"/>
  <c r="W590" i="16"/>
  <c r="W154" i="16"/>
  <c r="W489" i="16"/>
  <c r="W729" i="16"/>
  <c r="W641" i="16"/>
  <c r="W232" i="16"/>
  <c r="W320" i="16"/>
  <c r="W313" i="16"/>
  <c r="W726" i="16"/>
  <c r="W795" i="16"/>
  <c r="W361" i="16"/>
  <c r="W721" i="16"/>
  <c r="W573" i="16"/>
  <c r="W110" i="16"/>
  <c r="W736" i="16"/>
  <c r="W222" i="16"/>
  <c r="W404" i="16"/>
  <c r="W446" i="16"/>
  <c r="W585" i="16"/>
  <c r="W173" i="16"/>
  <c r="W486" i="16"/>
  <c r="W70" i="16"/>
  <c r="W757" i="16"/>
  <c r="W734" i="16"/>
  <c r="W689" i="16"/>
  <c r="W567" i="16"/>
  <c r="W439" i="16"/>
  <c r="W406" i="16"/>
  <c r="W510" i="16"/>
  <c r="W197" i="16"/>
  <c r="W724" i="16"/>
  <c r="W277" i="16"/>
  <c r="W140" i="16"/>
  <c r="W453" i="16"/>
  <c r="W398" i="16"/>
  <c r="W323" i="16"/>
  <c r="W607" i="16"/>
  <c r="W566" i="16"/>
  <c r="W386" i="16"/>
  <c r="W459" i="16"/>
  <c r="W253" i="16"/>
  <c r="W499" i="16"/>
  <c r="W560" i="16"/>
  <c r="W784" i="16"/>
  <c r="W261" i="16"/>
  <c r="W815" i="16"/>
  <c r="W654" i="16"/>
  <c r="W137" i="16"/>
  <c r="W636" i="16"/>
  <c r="W126" i="16"/>
  <c r="W716" i="16"/>
  <c r="W776" i="16"/>
  <c r="W520" i="16"/>
  <c r="W259" i="16"/>
  <c r="W172" i="16"/>
  <c r="W371" i="16"/>
  <c r="W701" i="16"/>
  <c r="W147" i="16"/>
  <c r="W681" i="16"/>
  <c r="W599" i="16"/>
  <c r="W89" i="16"/>
  <c r="W477" i="16"/>
  <c r="W574" i="16"/>
  <c r="W17" i="16"/>
  <c r="W71" i="16"/>
  <c r="W385" i="16"/>
  <c r="W583" i="16"/>
  <c r="W804" i="16"/>
  <c r="W603" i="16"/>
  <c r="W212" i="16"/>
  <c r="W772" i="16"/>
  <c r="W307" i="16"/>
  <c r="W561" i="16"/>
  <c r="W684" i="16"/>
  <c r="W357" i="16"/>
  <c r="W780" i="16"/>
  <c r="W500" i="16"/>
  <c r="W399" i="16"/>
  <c r="W708" i="16"/>
  <c r="W481" i="16"/>
  <c r="W493" i="16"/>
  <c r="W766" i="16"/>
  <c r="W811" i="16"/>
  <c r="W461" i="16"/>
  <c r="W545" i="16"/>
  <c r="W329" i="16"/>
  <c r="W337" i="16"/>
  <c r="W532" i="16"/>
  <c r="W529" i="16"/>
  <c r="W692" i="16"/>
  <c r="W7" i="16"/>
  <c r="W598" i="16"/>
  <c r="W594" i="16"/>
  <c r="W327" i="16"/>
  <c r="W679" i="16"/>
  <c r="W546" i="16"/>
  <c r="W485" i="16"/>
  <c r="W8" i="16"/>
  <c r="W504" i="16"/>
  <c r="W335" i="16"/>
  <c r="W437" i="16"/>
  <c r="W643" i="16"/>
  <c r="W517" i="16"/>
  <c r="W537" i="16"/>
  <c r="W400" i="16"/>
  <c r="W569" i="16"/>
  <c r="W58" i="16"/>
  <c r="W146" i="16"/>
  <c r="W705" i="16"/>
  <c r="W136" i="16"/>
  <c r="W9" i="16"/>
  <c r="W207" i="16"/>
  <c r="W491" i="16"/>
  <c r="W694" i="16"/>
  <c r="W389" i="16"/>
  <c r="W43" i="16"/>
  <c r="W467" i="16"/>
  <c r="W443" i="16"/>
  <c r="W132" i="16"/>
  <c r="W273" i="16"/>
  <c r="W169" i="16"/>
  <c r="W613" i="16"/>
  <c r="W387" i="16"/>
  <c r="W488" i="16"/>
  <c r="W655" i="16"/>
  <c r="W442" i="16"/>
  <c r="W682" i="16"/>
  <c r="W369" i="16"/>
  <c r="W316" i="16"/>
  <c r="W505" i="16"/>
  <c r="W514" i="16"/>
  <c r="W105" i="16"/>
  <c r="W820" i="16"/>
  <c r="W563" i="16"/>
  <c r="W92" i="16"/>
  <c r="W628" i="16"/>
  <c r="W40" i="16"/>
  <c r="W753" i="16"/>
  <c r="W417" i="16"/>
  <c r="W527" i="16"/>
  <c r="W476" i="16"/>
  <c r="W46" i="16"/>
  <c r="W458" i="16"/>
  <c r="W631" i="16"/>
  <c r="W109" i="16"/>
  <c r="W194" i="16"/>
  <c r="W328" i="16"/>
  <c r="W142" i="16"/>
  <c r="W213" i="16"/>
  <c r="W483" i="16"/>
  <c r="W713" i="16"/>
  <c r="W106" i="16"/>
  <c r="W367" i="16"/>
  <c r="W700" i="16"/>
  <c r="W451" i="16"/>
  <c r="W224" i="16"/>
  <c r="W346" i="16"/>
  <c r="W334" i="16"/>
  <c r="W260" i="16"/>
  <c r="W429" i="16"/>
  <c r="W90" i="16"/>
  <c r="W247" i="16"/>
  <c r="W667" i="16"/>
  <c r="W619" i="16"/>
  <c r="W785" i="16"/>
  <c r="W497" i="16"/>
  <c r="W471" i="16"/>
  <c r="W806" i="16"/>
  <c r="W235" i="16"/>
  <c r="W354" i="16"/>
  <c r="W288" i="16"/>
  <c r="W803" i="16"/>
  <c r="W427" i="16"/>
  <c r="W116" i="16"/>
  <c r="W435" i="16"/>
  <c r="W741" i="16"/>
  <c r="W538" i="16"/>
  <c r="W177" i="16"/>
  <c r="W564" i="16"/>
  <c r="W550" i="16"/>
  <c r="W203" i="16"/>
  <c r="W351" i="16"/>
  <c r="W605" i="16"/>
  <c r="W102" i="16"/>
  <c r="W794" i="16"/>
  <c r="W343" i="16"/>
  <c r="W480" i="16"/>
  <c r="W616" i="16"/>
  <c r="W266" i="16"/>
  <c r="W75" i="16"/>
  <c r="W512" i="16"/>
  <c r="W144" i="16"/>
  <c r="W730" i="16"/>
  <c r="W738" i="16"/>
  <c r="W347" i="16"/>
  <c r="W190" i="16"/>
  <c r="W767" i="16"/>
  <c r="W117" i="16"/>
  <c r="W433" i="16"/>
  <c r="W254" i="16"/>
  <c r="W159" i="16"/>
  <c r="W49" i="16"/>
  <c r="W204" i="16"/>
  <c r="W176" i="16"/>
  <c r="W36" i="16"/>
  <c r="W539" i="16"/>
  <c r="W101" i="16"/>
  <c r="W663" i="16"/>
  <c r="W513" i="16"/>
  <c r="W237" i="16"/>
  <c r="W556" i="16"/>
  <c r="W170" i="16"/>
  <c r="W796" i="16"/>
  <c r="W768" i="16"/>
  <c r="W219" i="16"/>
  <c r="W408" i="16"/>
  <c r="W300" i="16"/>
  <c r="W424" i="16"/>
  <c r="W518" i="16"/>
  <c r="W639" i="16"/>
  <c r="W57" i="16"/>
  <c r="W690" i="16"/>
  <c r="W580" i="16"/>
  <c r="W50" i="16"/>
  <c r="W321" i="16"/>
  <c r="W99" i="16"/>
  <c r="W548" i="16"/>
  <c r="W552" i="16"/>
  <c r="W214" i="16"/>
  <c r="W372" i="16"/>
  <c r="W460" i="16"/>
  <c r="W67" i="16"/>
  <c r="W91" i="16"/>
  <c r="W658" i="16"/>
  <c r="W543" i="16"/>
  <c r="W418" i="16"/>
  <c r="W411" i="16"/>
  <c r="W687" i="16"/>
  <c r="W577" i="16"/>
  <c r="W793" i="16"/>
  <c r="W319" i="16"/>
  <c r="W63" i="16"/>
  <c r="W187" i="16"/>
  <c r="W296" i="16"/>
  <c r="W428" i="16"/>
  <c r="W364" i="16"/>
  <c r="W544" i="16"/>
  <c r="W178" i="16"/>
  <c r="W256" i="16"/>
  <c r="W123" i="16"/>
  <c r="W47" i="16"/>
  <c r="W601" i="16"/>
  <c r="W332" i="16"/>
  <c r="W336" i="16"/>
  <c r="W84" i="16"/>
  <c r="W789" i="16"/>
  <c r="W502" i="16"/>
  <c r="W420" i="16"/>
  <c r="W107" i="16"/>
  <c r="W436" i="16"/>
  <c r="W262" i="16"/>
  <c r="W717" i="16"/>
  <c r="W750" i="16"/>
  <c r="W640" i="16"/>
  <c r="W233" i="16"/>
  <c r="W432" i="16"/>
  <c r="W269" i="16"/>
  <c r="W286" i="16"/>
  <c r="W673" i="16"/>
  <c r="W66" i="16"/>
  <c r="W676" i="16"/>
  <c r="W281" i="16"/>
  <c r="W799" i="16"/>
  <c r="W604" i="16"/>
  <c r="W570" i="16"/>
  <c r="W280" i="16"/>
  <c r="W276" i="16"/>
  <c r="W257" i="16"/>
  <c r="W647" i="16"/>
  <c r="W368" i="16"/>
  <c r="W449" i="16"/>
  <c r="W27" i="16"/>
  <c r="W30" i="16"/>
  <c r="W579" i="16"/>
  <c r="W305" i="16"/>
  <c r="W33" i="16"/>
  <c r="W83" i="16"/>
  <c r="W267" i="16"/>
  <c r="W274" i="16"/>
  <c r="W775" i="16"/>
  <c r="W69" i="16"/>
  <c r="W629" i="16"/>
  <c r="W97" i="16"/>
  <c r="W161" i="16"/>
  <c r="W720" i="16"/>
  <c r="W290" i="16"/>
  <c r="W749" i="16"/>
  <c r="W149" i="16"/>
  <c r="W166" i="16"/>
  <c r="W495" i="16"/>
  <c r="W376" i="16"/>
  <c r="W76" i="16"/>
  <c r="W242" i="16"/>
  <c r="W565" i="16"/>
  <c r="W650" i="16"/>
  <c r="W150" i="16"/>
  <c r="W807" i="16"/>
  <c r="W228" i="16"/>
  <c r="W536" i="16"/>
  <c r="W223" i="16"/>
  <c r="W326" i="16"/>
  <c r="W523" i="16"/>
  <c r="W94" i="16"/>
  <c r="W547" i="16"/>
  <c r="W454" i="16"/>
  <c r="W4" i="16"/>
  <c r="W193" i="16"/>
  <c r="W648" i="16"/>
  <c r="W445" i="16"/>
  <c r="W597" i="16"/>
  <c r="W559" i="16"/>
  <c r="W702" i="16"/>
  <c r="W572" i="16"/>
  <c r="W742" i="16"/>
  <c r="W202" i="16"/>
  <c r="W596" i="16"/>
  <c r="W293" i="16"/>
  <c r="W624" i="16"/>
  <c r="W42" i="16"/>
  <c r="W229" i="16"/>
  <c r="W697" i="16"/>
  <c r="W677" i="16"/>
  <c r="W515" i="16"/>
  <c r="W302" i="16"/>
  <c r="W250" i="16"/>
  <c r="W153" i="16"/>
  <c r="W15" i="16"/>
  <c r="W503" i="16"/>
  <c r="W419" i="16"/>
  <c r="W593" i="16"/>
  <c r="W28" i="16"/>
  <c r="W581" i="16"/>
  <c r="W582" i="16"/>
  <c r="W383" i="16"/>
  <c r="W258" i="16"/>
  <c r="W450" i="16"/>
  <c r="W53" i="16"/>
  <c r="W635" i="16"/>
  <c r="W410" i="16"/>
  <c r="W618" i="16"/>
  <c r="W311" i="16"/>
  <c r="W600" i="16"/>
  <c r="W141" i="16"/>
  <c r="W478" i="16"/>
  <c r="W292" i="16"/>
  <c r="W188" i="16"/>
  <c r="W711" i="16"/>
  <c r="W163" i="16"/>
  <c r="W568" i="16"/>
  <c r="W469" i="16"/>
  <c r="W393" i="16"/>
  <c r="W284" i="16"/>
  <c r="W822" i="16"/>
  <c r="W32" i="16"/>
  <c r="W246" i="16"/>
  <c r="W786" i="16"/>
  <c r="W756" i="16"/>
  <c r="W289" i="16"/>
  <c r="W382" i="16"/>
  <c r="W464" i="16"/>
  <c r="W356" i="16"/>
  <c r="W553" i="16"/>
  <c r="W16" i="16"/>
  <c r="W220" i="16"/>
  <c r="W595" i="16"/>
  <c r="W11" i="16"/>
  <c r="W184" i="16"/>
  <c r="W72" i="16"/>
  <c r="W482" i="16"/>
  <c r="W680" i="16"/>
  <c r="W423" i="16"/>
  <c r="W310" i="16"/>
  <c r="W814" i="16"/>
  <c r="W657" i="16"/>
  <c r="W208" i="16"/>
  <c r="W196" i="16"/>
  <c r="W333" i="16"/>
  <c r="W492" i="16"/>
  <c r="W39" i="16"/>
  <c r="W158" i="16"/>
  <c r="W298" i="16"/>
  <c r="W283" i="16"/>
  <c r="W633" i="16"/>
  <c r="W440" i="16"/>
  <c r="W456" i="16"/>
  <c r="W479" i="16"/>
  <c r="W723" i="16"/>
  <c r="W670" i="16"/>
  <c r="W156" i="16"/>
  <c r="W79" i="16"/>
  <c r="W731" i="16"/>
  <c r="W496" i="16"/>
  <c r="W790" i="16"/>
  <c r="W571" i="16"/>
  <c r="W651" i="16"/>
  <c r="W549" i="16"/>
  <c r="W24" i="16"/>
  <c r="W541" i="16"/>
  <c r="W20" i="16"/>
  <c r="W12" i="16"/>
  <c r="W710" i="16"/>
  <c r="W649" i="16"/>
  <c r="W402" i="16"/>
  <c r="W135" i="16"/>
  <c r="W65" i="16"/>
  <c r="W339" i="16"/>
  <c r="W614" i="16"/>
  <c r="W45" i="16"/>
  <c r="W183" i="16"/>
  <c r="W525" i="16"/>
  <c r="W52" i="16"/>
  <c r="W805" i="16"/>
  <c r="W669" i="16"/>
  <c r="W770" i="16"/>
  <c r="W115" i="16"/>
  <c r="W113" i="16"/>
  <c r="W644" i="16"/>
  <c r="W362" i="16"/>
  <c r="W747" i="16"/>
  <c r="W192" i="16"/>
  <c r="W668" i="16"/>
  <c r="W665" i="16"/>
  <c r="W555" i="16"/>
  <c r="W18" i="16"/>
  <c r="W678" i="16"/>
  <c r="W73" i="16"/>
  <c r="W792" i="16"/>
  <c r="W209" i="16"/>
  <c r="W164" i="16"/>
  <c r="W589" i="16"/>
  <c r="W662" i="16"/>
  <c r="W275" i="16"/>
  <c r="W54" i="16"/>
  <c r="W691" i="16"/>
  <c r="W68" i="16"/>
  <c r="W759" i="16"/>
  <c r="W341" i="16"/>
  <c r="W363" i="16"/>
  <c r="W637" i="16"/>
  <c r="W249" i="16"/>
  <c r="W802" i="16"/>
  <c r="W331" i="16"/>
  <c r="W125" i="16"/>
  <c r="W299" i="16"/>
  <c r="W391" i="16"/>
  <c r="W703" i="16"/>
  <c r="W37" i="16"/>
  <c r="W551" i="16"/>
  <c r="W441" i="16"/>
  <c r="W210" i="16"/>
  <c r="W227" i="16"/>
  <c r="W781" i="16"/>
  <c r="W773" i="16"/>
  <c r="W264" i="16"/>
  <c r="W748" i="16"/>
  <c r="W279" i="16"/>
  <c r="W315" i="16"/>
  <c r="W129" i="16"/>
  <c r="W745" i="16"/>
  <c r="W671" i="16"/>
  <c r="W722" i="16"/>
  <c r="W735" i="16"/>
  <c r="W501" i="16"/>
  <c r="W675" i="16"/>
  <c r="W612" i="16"/>
  <c r="W791" i="16"/>
  <c r="W752" i="16"/>
  <c r="W521" i="16"/>
  <c r="W295" i="16"/>
  <c r="W771" i="16"/>
  <c r="W611" i="16"/>
  <c r="W278" i="16"/>
  <c r="W457" i="16"/>
  <c r="W704" i="16"/>
  <c r="W530" i="16"/>
  <c r="W240" i="16"/>
  <c r="W377" i="16"/>
  <c r="W465" i="16"/>
  <c r="W231" i="16"/>
  <c r="Q310" i="19"/>
  <c r="X317" i="19"/>
  <c r="U314" i="19"/>
  <c r="P309" i="19"/>
  <c r="R311" i="19"/>
  <c r="T313" i="19"/>
  <c r="O308" i="19"/>
  <c r="V315" i="19"/>
  <c r="Y318" i="19"/>
  <c r="N307" i="19"/>
  <c r="S312" i="19"/>
  <c r="W316" i="19"/>
  <c r="W351" i="19"/>
  <c r="Q345" i="19"/>
  <c r="V350" i="19"/>
  <c r="S347" i="19"/>
  <c r="N342" i="19"/>
  <c r="U349" i="19"/>
  <c r="T348" i="19"/>
  <c r="X352" i="19"/>
  <c r="O343" i="19"/>
  <c r="R346" i="19"/>
  <c r="Y353" i="19"/>
  <c r="P344" i="19"/>
  <c r="W792" i="19"/>
  <c r="V791" i="19"/>
  <c r="O784" i="19"/>
  <c r="T789" i="19"/>
  <c r="Y794" i="19"/>
  <c r="N783" i="19"/>
  <c r="Q786" i="19"/>
  <c r="U790" i="19"/>
  <c r="P785" i="19"/>
  <c r="S788" i="19"/>
  <c r="R787" i="19"/>
  <c r="X793" i="19"/>
  <c r="S157" i="19"/>
  <c r="U159" i="19"/>
  <c r="O153" i="19"/>
  <c r="V160" i="19"/>
  <c r="Q155" i="19"/>
  <c r="Y163" i="19"/>
  <c r="P154" i="19"/>
  <c r="W161" i="19"/>
  <c r="R156" i="19"/>
  <c r="T158" i="19"/>
  <c r="X162" i="19"/>
  <c r="N152" i="19"/>
  <c r="V246" i="19"/>
  <c r="P240" i="19"/>
  <c r="R242" i="19"/>
  <c r="Q241" i="19"/>
  <c r="W247" i="19"/>
  <c r="S243" i="19"/>
  <c r="Y249" i="19"/>
  <c r="O239" i="19"/>
  <c r="U245" i="19"/>
  <c r="X248" i="19"/>
  <c r="N238" i="19"/>
  <c r="T244" i="19"/>
  <c r="N209" i="19"/>
  <c r="U216" i="19"/>
  <c r="W218" i="19"/>
  <c r="T215" i="19"/>
  <c r="Q212" i="19"/>
  <c r="R213" i="19"/>
  <c r="O210" i="19"/>
  <c r="Y220" i="19"/>
  <c r="X219" i="19"/>
  <c r="S214" i="19"/>
  <c r="P211" i="19"/>
  <c r="V217" i="19"/>
  <c r="V787" i="19"/>
  <c r="R783" i="19"/>
  <c r="Q782" i="19"/>
  <c r="Y790" i="19"/>
  <c r="X789" i="19"/>
  <c r="W788" i="19"/>
  <c r="S784" i="19"/>
  <c r="U786" i="19"/>
  <c r="T785" i="19"/>
  <c r="P781" i="19"/>
  <c r="N779" i="19"/>
  <c r="O780" i="19"/>
  <c r="T132" i="19"/>
  <c r="U133" i="19"/>
  <c r="V134" i="19"/>
  <c r="Y137" i="19"/>
  <c r="W135" i="19"/>
  <c r="R130" i="19"/>
  <c r="S131" i="19"/>
  <c r="N126" i="19"/>
  <c r="P128" i="19"/>
  <c r="Q129" i="19"/>
  <c r="X136" i="19"/>
  <c r="O127" i="19"/>
  <c r="Q399" i="19"/>
  <c r="X406" i="19"/>
  <c r="R400" i="19"/>
  <c r="Y407" i="19"/>
  <c r="O397" i="19"/>
  <c r="U403" i="19"/>
  <c r="T402" i="19"/>
  <c r="W405" i="19"/>
  <c r="S401" i="19"/>
  <c r="P398" i="19"/>
  <c r="V404" i="19"/>
  <c r="N396" i="19"/>
  <c r="Q374" i="19"/>
  <c r="W380" i="19"/>
  <c r="T377" i="19"/>
  <c r="Y382" i="19"/>
  <c r="X381" i="19"/>
  <c r="R375" i="19"/>
  <c r="U378" i="19"/>
  <c r="P373" i="19"/>
  <c r="O372" i="19"/>
  <c r="V379" i="19"/>
  <c r="N371" i="19"/>
  <c r="S376" i="19"/>
  <c r="R717" i="19"/>
  <c r="Y724" i="19"/>
  <c r="S718" i="19"/>
  <c r="O714" i="19"/>
  <c r="U720" i="19"/>
  <c r="Q716" i="19"/>
  <c r="W722" i="19"/>
  <c r="X723" i="19"/>
  <c r="T719" i="19"/>
  <c r="V721" i="19"/>
  <c r="N713" i="19"/>
  <c r="P715" i="19"/>
  <c r="U561" i="19"/>
  <c r="Y565" i="19"/>
  <c r="Q557" i="19"/>
  <c r="N554" i="19"/>
  <c r="W563" i="19"/>
  <c r="X564" i="19"/>
  <c r="T560" i="19"/>
  <c r="S559" i="19"/>
  <c r="R558" i="19"/>
  <c r="P556" i="19"/>
  <c r="O555" i="19"/>
  <c r="V562" i="19"/>
  <c r="P645" i="19"/>
  <c r="W652" i="19"/>
  <c r="Y654" i="19"/>
  <c r="U650" i="19"/>
  <c r="X653" i="19"/>
  <c r="N643" i="19"/>
  <c r="O644" i="19"/>
  <c r="S648" i="19"/>
  <c r="Q646" i="19"/>
  <c r="T649" i="19"/>
  <c r="R647" i="19"/>
  <c r="V651" i="19"/>
  <c r="P106" i="19"/>
  <c r="W113" i="19"/>
  <c r="Q107" i="19"/>
  <c r="U111" i="19"/>
  <c r="Y115" i="19"/>
  <c r="S109" i="19"/>
  <c r="O105" i="19"/>
  <c r="V112" i="19"/>
  <c r="R108" i="19"/>
  <c r="T110" i="19"/>
  <c r="X114" i="19"/>
  <c r="N104" i="19"/>
  <c r="P176" i="19"/>
  <c r="W183" i="19"/>
  <c r="Q177" i="19"/>
  <c r="U181" i="19"/>
  <c r="T180" i="19"/>
  <c r="N174" i="19"/>
  <c r="S179" i="19"/>
  <c r="V182" i="19"/>
  <c r="R178" i="19"/>
  <c r="Y185" i="19"/>
  <c r="X184" i="19"/>
  <c r="O175" i="19"/>
  <c r="T395" i="19"/>
  <c r="U396" i="19"/>
  <c r="Y400" i="19"/>
  <c r="R393" i="19"/>
  <c r="P391" i="19"/>
  <c r="Q392" i="19"/>
  <c r="S394" i="19"/>
  <c r="N389" i="19"/>
  <c r="X399" i="19"/>
  <c r="V397" i="19"/>
  <c r="O390" i="19"/>
  <c r="W398" i="19"/>
  <c r="R737" i="19"/>
  <c r="Y744" i="19"/>
  <c r="S738" i="19"/>
  <c r="O734" i="19"/>
  <c r="U740" i="19"/>
  <c r="Q736" i="19"/>
  <c r="W742" i="19"/>
  <c r="P735" i="19"/>
  <c r="V741" i="19"/>
  <c r="N733" i="19"/>
  <c r="T739" i="19"/>
  <c r="X743" i="19"/>
  <c r="R260" i="19"/>
  <c r="Y267" i="19"/>
  <c r="N256" i="19"/>
  <c r="Q259" i="19"/>
  <c r="W265" i="19"/>
  <c r="X266" i="19"/>
  <c r="S261" i="19"/>
  <c r="O257" i="19"/>
  <c r="U263" i="19"/>
  <c r="T262" i="19"/>
  <c r="P258" i="19"/>
  <c r="V264" i="19"/>
  <c r="U415" i="19"/>
  <c r="V416" i="19"/>
  <c r="N408" i="19"/>
  <c r="Y419" i="19"/>
  <c r="T414" i="19"/>
  <c r="X418" i="19"/>
  <c r="Q411" i="19"/>
  <c r="S413" i="19"/>
  <c r="W417" i="19"/>
  <c r="O409" i="19"/>
  <c r="P410" i="19"/>
  <c r="R412" i="19"/>
  <c r="U360" i="19"/>
  <c r="R357" i="19"/>
  <c r="N353" i="19"/>
  <c r="S358" i="19"/>
  <c r="Y364" i="19"/>
  <c r="X363" i="19"/>
  <c r="T359" i="19"/>
  <c r="V361" i="19"/>
  <c r="Q356" i="19"/>
  <c r="P355" i="19"/>
  <c r="O354" i="19"/>
  <c r="W362" i="19"/>
  <c r="R240" i="19"/>
  <c r="Y247" i="19"/>
  <c r="N236" i="19"/>
  <c r="Q239" i="19"/>
  <c r="W245" i="19"/>
  <c r="P238" i="19"/>
  <c r="V244" i="19"/>
  <c r="U243" i="19"/>
  <c r="O237" i="19"/>
  <c r="T242" i="19"/>
  <c r="S241" i="19"/>
  <c r="X246" i="19"/>
  <c r="S205" i="19"/>
  <c r="O201" i="19"/>
  <c r="T206" i="19"/>
  <c r="W209" i="19"/>
  <c r="Q203" i="19"/>
  <c r="Y211" i="19"/>
  <c r="X210" i="19"/>
  <c r="V208" i="19"/>
  <c r="U207" i="19"/>
  <c r="N200" i="19"/>
  <c r="R204" i="19"/>
  <c r="P202" i="19"/>
  <c r="O805" i="19"/>
  <c r="V812" i="19"/>
  <c r="R808" i="19"/>
  <c r="T810" i="19"/>
  <c r="Y815" i="19"/>
  <c r="N804" i="19"/>
  <c r="U811" i="19"/>
  <c r="S809" i="19"/>
  <c r="W813" i="19"/>
  <c r="X814" i="19"/>
  <c r="P806" i="19"/>
  <c r="Q807" i="19"/>
  <c r="O795" i="19"/>
  <c r="V802" i="19"/>
  <c r="R798" i="19"/>
  <c r="X804" i="19"/>
  <c r="Q797" i="19"/>
  <c r="P796" i="19"/>
  <c r="W803" i="19"/>
  <c r="U801" i="19"/>
  <c r="N794" i="19"/>
  <c r="S799" i="19"/>
  <c r="T800" i="19"/>
  <c r="Y805" i="19"/>
  <c r="W782" i="19"/>
  <c r="R777" i="19"/>
  <c r="X783" i="19"/>
  <c r="S778" i="19"/>
  <c r="O774" i="19"/>
  <c r="U780" i="19"/>
  <c r="Q776" i="19"/>
  <c r="P775" i="19"/>
  <c r="T779" i="19"/>
  <c r="N773" i="19"/>
  <c r="V781" i="19"/>
  <c r="Y784" i="19"/>
  <c r="O161" i="19"/>
  <c r="Q163" i="19"/>
  <c r="V168" i="19"/>
  <c r="X170" i="19"/>
  <c r="Y171" i="19"/>
  <c r="T166" i="19"/>
  <c r="U167" i="19"/>
  <c r="P162" i="19"/>
  <c r="S165" i="19"/>
  <c r="N160" i="19"/>
  <c r="W169" i="19"/>
  <c r="R164" i="19"/>
  <c r="P32" i="19"/>
  <c r="U37" i="19"/>
  <c r="X40" i="19"/>
  <c r="T36" i="19"/>
  <c r="W39" i="19"/>
  <c r="N30" i="19"/>
  <c r="V38" i="19"/>
  <c r="O31" i="19"/>
  <c r="Y41" i="19"/>
  <c r="Q33" i="19"/>
  <c r="S35" i="19"/>
  <c r="R34" i="19"/>
  <c r="AX32" i="19"/>
  <c r="AB29" i="20"/>
  <c r="AB28" i="20"/>
  <c r="V56" i="20" s="1"/>
  <c r="R806" i="19"/>
  <c r="N802" i="19"/>
  <c r="T808" i="19"/>
  <c r="Y813" i="19"/>
  <c r="X812" i="19"/>
  <c r="P804" i="19"/>
  <c r="V810" i="19"/>
  <c r="U809" i="19"/>
  <c r="Q805" i="19"/>
  <c r="W811" i="19"/>
  <c r="S807" i="19"/>
  <c r="O803" i="19"/>
  <c r="Y500" i="19"/>
  <c r="S494" i="19"/>
  <c r="O490" i="19"/>
  <c r="X499" i="19"/>
  <c r="Q492" i="19"/>
  <c r="U496" i="19"/>
  <c r="P491" i="19"/>
  <c r="W498" i="19"/>
  <c r="N489" i="19"/>
  <c r="T495" i="19"/>
  <c r="R493" i="19"/>
  <c r="V497" i="19"/>
  <c r="Y607" i="19"/>
  <c r="S601" i="19"/>
  <c r="U603" i="19"/>
  <c r="P598" i="19"/>
  <c r="V604" i="19"/>
  <c r="T602" i="19"/>
  <c r="O597" i="19"/>
  <c r="X606" i="19"/>
  <c r="R600" i="19"/>
  <c r="Q599" i="19"/>
  <c r="W605" i="19"/>
  <c r="N596" i="19"/>
  <c r="Y632" i="19"/>
  <c r="S626" i="19"/>
  <c r="U628" i="19"/>
  <c r="P623" i="19"/>
  <c r="X631" i="19"/>
  <c r="V629" i="19"/>
  <c r="T627" i="19"/>
  <c r="Q624" i="19"/>
  <c r="N621" i="19"/>
  <c r="W630" i="19"/>
  <c r="R625" i="19"/>
  <c r="O622" i="19"/>
  <c r="N676" i="19"/>
  <c r="U683" i="19"/>
  <c r="O677" i="19"/>
  <c r="P678" i="19"/>
  <c r="V684" i="19"/>
  <c r="Y687" i="19"/>
  <c r="X686" i="19"/>
  <c r="W685" i="19"/>
  <c r="Q679" i="19"/>
  <c r="T682" i="19"/>
  <c r="R680" i="19"/>
  <c r="S681" i="19"/>
  <c r="N822" i="19"/>
  <c r="O823" i="19"/>
  <c r="W41" i="19"/>
  <c r="T38" i="19"/>
  <c r="N32" i="19"/>
  <c r="S37" i="19"/>
  <c r="X42" i="19"/>
  <c r="V40" i="19"/>
  <c r="U39" i="19"/>
  <c r="Q35" i="19"/>
  <c r="Y43" i="19"/>
  <c r="O33" i="19"/>
  <c r="P34" i="19"/>
  <c r="R36" i="19"/>
  <c r="P503" i="19"/>
  <c r="W510" i="19"/>
  <c r="Q504" i="19"/>
  <c r="U508" i="19"/>
  <c r="R505" i="19"/>
  <c r="Y512" i="19"/>
  <c r="S506" i="19"/>
  <c r="T507" i="19"/>
  <c r="X511" i="19"/>
  <c r="N501" i="19"/>
  <c r="V509" i="19"/>
  <c r="O502" i="19"/>
  <c r="Y542" i="19"/>
  <c r="O532" i="19"/>
  <c r="X541" i="19"/>
  <c r="T537" i="19"/>
  <c r="W540" i="19"/>
  <c r="P533" i="19"/>
  <c r="V539" i="19"/>
  <c r="Q534" i="19"/>
  <c r="N531" i="19"/>
  <c r="R535" i="19"/>
  <c r="S536" i="19"/>
  <c r="U538" i="19"/>
  <c r="V30" i="19"/>
  <c r="N22" i="19"/>
  <c r="U29" i="19"/>
  <c r="Q25" i="19"/>
  <c r="Y33" i="19"/>
  <c r="O23" i="19"/>
  <c r="P24" i="19"/>
  <c r="X32" i="19"/>
  <c r="W31" i="19"/>
  <c r="S27" i="19"/>
  <c r="R26" i="19"/>
  <c r="T28" i="19"/>
  <c r="Y490" i="19"/>
  <c r="S484" i="19"/>
  <c r="T485" i="19"/>
  <c r="O480" i="19"/>
  <c r="V487" i="19"/>
  <c r="X489" i="19"/>
  <c r="N479" i="19"/>
  <c r="U486" i="19"/>
  <c r="Q482" i="19"/>
  <c r="R483" i="19"/>
  <c r="W488" i="19"/>
  <c r="P481" i="19"/>
  <c r="Q503" i="19"/>
  <c r="X510" i="19"/>
  <c r="R504" i="19"/>
  <c r="Y511" i="19"/>
  <c r="S505" i="19"/>
  <c r="N500" i="19"/>
  <c r="W509" i="19"/>
  <c r="U507" i="19"/>
  <c r="O501" i="19"/>
  <c r="V508" i="19"/>
  <c r="T506" i="19"/>
  <c r="P502" i="19"/>
  <c r="P605" i="19"/>
  <c r="W612" i="19"/>
  <c r="Y614" i="19"/>
  <c r="O604" i="19"/>
  <c r="Q606" i="19"/>
  <c r="V611" i="19"/>
  <c r="R607" i="19"/>
  <c r="N603" i="19"/>
  <c r="U610" i="19"/>
  <c r="T609" i="19"/>
  <c r="X613" i="19"/>
  <c r="S608" i="19"/>
  <c r="O136" i="19"/>
  <c r="W144" i="19"/>
  <c r="X145" i="19"/>
  <c r="P137" i="19"/>
  <c r="V143" i="19"/>
  <c r="R139" i="19"/>
  <c r="S140" i="19"/>
  <c r="Q138" i="19"/>
  <c r="Y146" i="19"/>
  <c r="T141" i="19"/>
  <c r="N135" i="19"/>
  <c r="U142" i="19"/>
  <c r="X143" i="19"/>
  <c r="Y144" i="19"/>
  <c r="R137" i="19"/>
  <c r="T139" i="19"/>
  <c r="N133" i="19"/>
  <c r="V141" i="19"/>
  <c r="P135" i="19"/>
  <c r="U140" i="19"/>
  <c r="S138" i="19"/>
  <c r="Q136" i="19"/>
  <c r="O134" i="19"/>
  <c r="W142" i="19"/>
  <c r="Q275" i="19"/>
  <c r="X282" i="19"/>
  <c r="R276" i="19"/>
  <c r="S277" i="19"/>
  <c r="P274" i="19"/>
  <c r="Y283" i="19"/>
  <c r="U279" i="19"/>
  <c r="N272" i="19"/>
  <c r="V280" i="19"/>
  <c r="T278" i="19"/>
  <c r="W281" i="19"/>
  <c r="O273" i="19"/>
  <c r="R752" i="19"/>
  <c r="Y759" i="19"/>
  <c r="S753" i="19"/>
  <c r="W757" i="19"/>
  <c r="N748" i="19"/>
  <c r="T754" i="19"/>
  <c r="X758" i="19"/>
  <c r="O749" i="19"/>
  <c r="Q751" i="19"/>
  <c r="U755" i="19"/>
  <c r="P750" i="19"/>
  <c r="V756" i="19"/>
  <c r="Q580" i="19"/>
  <c r="R581" i="19"/>
  <c r="N577" i="19"/>
  <c r="V585" i="19"/>
  <c r="Y588" i="19"/>
  <c r="U584" i="19"/>
  <c r="T583" i="19"/>
  <c r="X587" i="19"/>
  <c r="S582" i="19"/>
  <c r="W586" i="19"/>
  <c r="O578" i="19"/>
  <c r="P579" i="19"/>
  <c r="AP59" i="19"/>
  <c r="AS60" i="19" s="1"/>
  <c r="J59" i="7"/>
  <c r="V375" i="19"/>
  <c r="R371" i="19"/>
  <c r="N367" i="19"/>
  <c r="W376" i="19"/>
  <c r="X377" i="19"/>
  <c r="Y378" i="19"/>
  <c r="S372" i="19"/>
  <c r="Q370" i="19"/>
  <c r="U374" i="19"/>
  <c r="P369" i="19"/>
  <c r="O368" i="19"/>
  <c r="T373" i="19"/>
  <c r="V311" i="19"/>
  <c r="P305" i="19"/>
  <c r="W312" i="19"/>
  <c r="R307" i="19"/>
  <c r="T309" i="19"/>
  <c r="Q306" i="19"/>
  <c r="O304" i="19"/>
  <c r="S308" i="19"/>
  <c r="N303" i="19"/>
  <c r="Y314" i="19"/>
  <c r="X313" i="19"/>
  <c r="U310" i="19"/>
  <c r="Q717" i="19"/>
  <c r="X724" i="19"/>
  <c r="R718" i="19"/>
  <c r="N714" i="19"/>
  <c r="T720" i="19"/>
  <c r="P716" i="19"/>
  <c r="W723" i="19"/>
  <c r="Y725" i="19"/>
  <c r="V722" i="19"/>
  <c r="S719" i="19"/>
  <c r="U721" i="19"/>
  <c r="O715" i="19"/>
  <c r="T753" i="19"/>
  <c r="N747" i="19"/>
  <c r="U754" i="19"/>
  <c r="S752" i="19"/>
  <c r="P749" i="19"/>
  <c r="Y758" i="19"/>
  <c r="V755" i="19"/>
  <c r="O748" i="19"/>
  <c r="X757" i="19"/>
  <c r="R751" i="19"/>
  <c r="Q750" i="19"/>
  <c r="W756" i="19"/>
  <c r="X198" i="19"/>
  <c r="R192" i="19"/>
  <c r="Y199" i="19"/>
  <c r="W197" i="19"/>
  <c r="S193" i="19"/>
  <c r="P190" i="19"/>
  <c r="Q191" i="19"/>
  <c r="N188" i="19"/>
  <c r="U195" i="19"/>
  <c r="V196" i="19"/>
  <c r="T194" i="19"/>
  <c r="O189" i="19"/>
  <c r="R320" i="19"/>
  <c r="Y327" i="19"/>
  <c r="S321" i="19"/>
  <c r="N316" i="19"/>
  <c r="W325" i="19"/>
  <c r="T322" i="19"/>
  <c r="O317" i="19"/>
  <c r="X326" i="19"/>
  <c r="V324" i="19"/>
  <c r="U323" i="19"/>
  <c r="P318" i="19"/>
  <c r="Q319" i="19"/>
  <c r="V758" i="19"/>
  <c r="P752" i="19"/>
  <c r="W759" i="19"/>
  <c r="S755" i="19"/>
  <c r="T756" i="19"/>
  <c r="Y761" i="19"/>
  <c r="X760" i="19"/>
  <c r="R754" i="19"/>
  <c r="Q753" i="19"/>
  <c r="O751" i="19"/>
  <c r="U757" i="19"/>
  <c r="N750" i="19"/>
  <c r="P513" i="19"/>
  <c r="W520" i="19"/>
  <c r="Q514" i="19"/>
  <c r="V519" i="19"/>
  <c r="X521" i="19"/>
  <c r="S516" i="19"/>
  <c r="N511" i="19"/>
  <c r="U518" i="19"/>
  <c r="O512" i="19"/>
  <c r="T517" i="19"/>
  <c r="R515" i="19"/>
  <c r="Y522" i="19"/>
  <c r="P161" i="19"/>
  <c r="W168" i="19"/>
  <c r="Q162" i="19"/>
  <c r="Y170" i="19"/>
  <c r="R163" i="19"/>
  <c r="U166" i="19"/>
  <c r="V167" i="19"/>
  <c r="T165" i="19"/>
  <c r="O160" i="19"/>
  <c r="S164" i="19"/>
  <c r="N159" i="19"/>
  <c r="X169" i="19"/>
  <c r="P101" i="19"/>
  <c r="W108" i="19"/>
  <c r="Q102" i="19"/>
  <c r="V107" i="19"/>
  <c r="T105" i="19"/>
  <c r="N99" i="19"/>
  <c r="Y110" i="19"/>
  <c r="S104" i="19"/>
  <c r="O100" i="19"/>
  <c r="X109" i="19"/>
  <c r="R103" i="19"/>
  <c r="U106" i="19"/>
  <c r="T611" i="19"/>
  <c r="N605" i="19"/>
  <c r="W614" i="19"/>
  <c r="R609" i="19"/>
  <c r="O606" i="19"/>
  <c r="P607" i="19"/>
  <c r="S610" i="19"/>
  <c r="V613" i="19"/>
  <c r="U612" i="19"/>
  <c r="Y616" i="19"/>
  <c r="X615" i="19"/>
  <c r="Q608" i="19"/>
  <c r="T311" i="19"/>
  <c r="V313" i="19"/>
  <c r="O306" i="19"/>
  <c r="Y316" i="19"/>
  <c r="Q308" i="19"/>
  <c r="R309" i="19"/>
  <c r="N305" i="19"/>
  <c r="P307" i="19"/>
  <c r="U312" i="19"/>
  <c r="W314" i="19"/>
  <c r="S310" i="19"/>
  <c r="X315" i="19"/>
  <c r="S147" i="19"/>
  <c r="Y153" i="19"/>
  <c r="V150" i="19"/>
  <c r="X152" i="19"/>
  <c r="P144" i="19"/>
  <c r="N142" i="19"/>
  <c r="U149" i="19"/>
  <c r="W151" i="19"/>
  <c r="Q145" i="19"/>
  <c r="T148" i="19"/>
  <c r="R146" i="19"/>
  <c r="O143" i="19"/>
  <c r="AF14" i="20"/>
  <c r="AE14" i="20"/>
  <c r="AD14" i="20"/>
  <c r="R16" i="19"/>
  <c r="Q15" i="19"/>
  <c r="U19" i="19"/>
  <c r="N12" i="19"/>
  <c r="P14" i="19"/>
  <c r="Y23" i="19"/>
  <c r="O13" i="19"/>
  <c r="V20" i="19"/>
  <c r="X22" i="19"/>
  <c r="W21" i="19"/>
  <c r="T18" i="19"/>
  <c r="S17" i="19"/>
  <c r="Q540" i="19"/>
  <c r="P539" i="19"/>
  <c r="Y548" i="19"/>
  <c r="U544" i="19"/>
  <c r="N537" i="19"/>
  <c r="W546" i="19"/>
  <c r="O538" i="19"/>
  <c r="S542" i="19"/>
  <c r="V545" i="19"/>
  <c r="R541" i="19"/>
  <c r="X547" i="19"/>
  <c r="T543" i="19"/>
  <c r="Q225" i="19"/>
  <c r="X232" i="19"/>
  <c r="N222" i="19"/>
  <c r="V230" i="19"/>
  <c r="U229" i="19"/>
  <c r="T228" i="19"/>
  <c r="S227" i="19"/>
  <c r="R226" i="19"/>
  <c r="O223" i="19"/>
  <c r="W231" i="19"/>
  <c r="Y233" i="19"/>
  <c r="P224" i="19"/>
  <c r="T241" i="19"/>
  <c r="V243" i="19"/>
  <c r="X245" i="19"/>
  <c r="R239" i="19"/>
  <c r="Q238" i="19"/>
  <c r="W244" i="19"/>
  <c r="P237" i="19"/>
  <c r="U242" i="19"/>
  <c r="S240" i="19"/>
  <c r="N235" i="19"/>
  <c r="O236" i="19"/>
  <c r="Y246" i="19"/>
  <c r="U355" i="19"/>
  <c r="X358" i="19"/>
  <c r="T354" i="19"/>
  <c r="P350" i="19"/>
  <c r="N348" i="19"/>
  <c r="Y359" i="19"/>
  <c r="V356" i="19"/>
  <c r="W357" i="19"/>
  <c r="S353" i="19"/>
  <c r="R352" i="19"/>
  <c r="Q351" i="19"/>
  <c r="O349" i="19"/>
  <c r="Y547" i="19"/>
  <c r="V544" i="19"/>
  <c r="R540" i="19"/>
  <c r="N536" i="19"/>
  <c r="O537" i="19"/>
  <c r="X546" i="19"/>
  <c r="U543" i="19"/>
  <c r="P538" i="19"/>
  <c r="T542" i="19"/>
  <c r="W545" i="19"/>
  <c r="S541" i="19"/>
  <c r="Q539" i="19"/>
  <c r="Q424" i="19"/>
  <c r="X431" i="19"/>
  <c r="R425" i="19"/>
  <c r="Y432" i="19"/>
  <c r="P423" i="19"/>
  <c r="N421" i="19"/>
  <c r="U428" i="19"/>
  <c r="O422" i="19"/>
  <c r="T427" i="19"/>
  <c r="S426" i="19"/>
  <c r="V429" i="19"/>
  <c r="W430" i="19"/>
  <c r="N339" i="19"/>
  <c r="U346" i="19"/>
  <c r="O340" i="19"/>
  <c r="V347" i="19"/>
  <c r="Q342" i="19"/>
  <c r="S344" i="19"/>
  <c r="Y350" i="19"/>
  <c r="W348" i="19"/>
  <c r="R343" i="19"/>
  <c r="X349" i="19"/>
  <c r="T345" i="19"/>
  <c r="P341" i="19"/>
  <c r="V206" i="19"/>
  <c r="R202" i="19"/>
  <c r="Y209" i="19"/>
  <c r="S203" i="19"/>
  <c r="N198" i="19"/>
  <c r="P200" i="19"/>
  <c r="X208" i="19"/>
  <c r="O199" i="19"/>
  <c r="W207" i="19"/>
  <c r="Q201" i="19"/>
  <c r="U205" i="19"/>
  <c r="T204" i="19"/>
  <c r="P76" i="19"/>
  <c r="W83" i="19"/>
  <c r="Q77" i="19"/>
  <c r="Y85" i="19"/>
  <c r="S79" i="19"/>
  <c r="U81" i="19"/>
  <c r="O75" i="19"/>
  <c r="X84" i="19"/>
  <c r="T80" i="19"/>
  <c r="N74" i="19"/>
  <c r="R78" i="19"/>
  <c r="V82" i="19"/>
  <c r="T341" i="19"/>
  <c r="V343" i="19"/>
  <c r="W344" i="19"/>
  <c r="R339" i="19"/>
  <c r="Y346" i="19"/>
  <c r="U342" i="19"/>
  <c r="N335" i="19"/>
  <c r="O336" i="19"/>
  <c r="S340" i="19"/>
  <c r="Q338" i="19"/>
  <c r="X345" i="19"/>
  <c r="P337" i="19"/>
  <c r="U410" i="19"/>
  <c r="V411" i="19"/>
  <c r="P405" i="19"/>
  <c r="Y414" i="19"/>
  <c r="W412" i="19"/>
  <c r="X413" i="19"/>
  <c r="S408" i="19"/>
  <c r="T409" i="19"/>
  <c r="Q406" i="19"/>
  <c r="O404" i="19"/>
  <c r="R407" i="19"/>
  <c r="N403" i="19"/>
  <c r="Q727" i="19"/>
  <c r="X734" i="19"/>
  <c r="S729" i="19"/>
  <c r="Y735" i="19"/>
  <c r="O725" i="19"/>
  <c r="U731" i="19"/>
  <c r="W733" i="19"/>
  <c r="R728" i="19"/>
  <c r="P726" i="19"/>
  <c r="V732" i="19"/>
  <c r="T730" i="19"/>
  <c r="N724" i="19"/>
  <c r="T112" i="19"/>
  <c r="U113" i="19"/>
  <c r="O107" i="19"/>
  <c r="Y117" i="19"/>
  <c r="W115" i="19"/>
  <c r="Q109" i="19"/>
  <c r="V114" i="19"/>
  <c r="S111" i="19"/>
  <c r="R110" i="19"/>
  <c r="P108" i="19"/>
  <c r="N106" i="19"/>
  <c r="X116" i="19"/>
  <c r="P483" i="19"/>
  <c r="W490" i="19"/>
  <c r="R485" i="19"/>
  <c r="X491" i="19"/>
  <c r="Y492" i="19"/>
  <c r="Q484" i="19"/>
  <c r="N481" i="19"/>
  <c r="V489" i="19"/>
  <c r="S486" i="19"/>
  <c r="T487" i="19"/>
  <c r="O482" i="19"/>
  <c r="U488" i="19"/>
  <c r="W787" i="19"/>
  <c r="R782" i="19"/>
  <c r="V786" i="19"/>
  <c r="X788" i="19"/>
  <c r="T784" i="19"/>
  <c r="N778" i="19"/>
  <c r="Q781" i="19"/>
  <c r="S783" i="19"/>
  <c r="O779" i="19"/>
  <c r="Y789" i="19"/>
  <c r="P780" i="19"/>
  <c r="U785" i="19"/>
  <c r="Y505" i="19"/>
  <c r="S499" i="19"/>
  <c r="V502" i="19"/>
  <c r="Q497" i="19"/>
  <c r="P496" i="19"/>
  <c r="R498" i="19"/>
  <c r="N494" i="19"/>
  <c r="O495" i="19"/>
  <c r="U501" i="19"/>
  <c r="X504" i="19"/>
  <c r="T500" i="19"/>
  <c r="W503" i="19"/>
  <c r="Q235" i="19"/>
  <c r="X242" i="19"/>
  <c r="S237" i="19"/>
  <c r="R236" i="19"/>
  <c r="N232" i="19"/>
  <c r="T238" i="19"/>
  <c r="O233" i="19"/>
  <c r="P234" i="19"/>
  <c r="U239" i="19"/>
  <c r="V240" i="19"/>
  <c r="Y243" i="19"/>
  <c r="W241" i="19"/>
  <c r="X168" i="19"/>
  <c r="Y169" i="19"/>
  <c r="Q161" i="19"/>
  <c r="S163" i="19"/>
  <c r="N158" i="19"/>
  <c r="W167" i="19"/>
  <c r="U165" i="19"/>
  <c r="P160" i="19"/>
  <c r="O159" i="19"/>
  <c r="V166" i="19"/>
  <c r="R162" i="19"/>
  <c r="T164" i="19"/>
  <c r="V25" i="19"/>
  <c r="R21" i="19"/>
  <c r="Y28" i="19"/>
  <c r="N17" i="19"/>
  <c r="Q20" i="19"/>
  <c r="W26" i="19"/>
  <c r="U24" i="19"/>
  <c r="P19" i="19"/>
  <c r="T23" i="19"/>
  <c r="S22" i="19"/>
  <c r="X27" i="19"/>
  <c r="O18" i="19"/>
  <c r="R210" i="19"/>
  <c r="Y217" i="19"/>
  <c r="P208" i="19"/>
  <c r="O207" i="19"/>
  <c r="X216" i="19"/>
  <c r="Q209" i="19"/>
  <c r="N206" i="19"/>
  <c r="V214" i="19"/>
  <c r="W215" i="19"/>
  <c r="T212" i="19"/>
  <c r="S211" i="19"/>
  <c r="U213" i="19"/>
  <c r="P404" i="19"/>
  <c r="Q405" i="19"/>
  <c r="S407" i="19"/>
  <c r="X412" i="19"/>
  <c r="W411" i="19"/>
  <c r="V410" i="19"/>
  <c r="T408" i="19"/>
  <c r="U409" i="19"/>
  <c r="R406" i="19"/>
  <c r="O403" i="19"/>
  <c r="N402" i="19"/>
  <c r="Y413" i="19"/>
  <c r="P454" i="19"/>
  <c r="W461" i="19"/>
  <c r="Q455" i="19"/>
  <c r="Y463" i="19"/>
  <c r="O453" i="19"/>
  <c r="N452" i="19"/>
  <c r="T458" i="19"/>
  <c r="R456" i="19"/>
  <c r="V460" i="19"/>
  <c r="S457" i="19"/>
  <c r="U459" i="19"/>
  <c r="X462" i="19"/>
  <c r="P444" i="19"/>
  <c r="W451" i="19"/>
  <c r="Q445" i="19"/>
  <c r="V450" i="19"/>
  <c r="X452" i="19"/>
  <c r="S447" i="19"/>
  <c r="U449" i="19"/>
  <c r="R446" i="19"/>
  <c r="T448" i="19"/>
  <c r="Y453" i="19"/>
  <c r="N442" i="19"/>
  <c r="O443" i="19"/>
  <c r="Y351" i="19"/>
  <c r="T346" i="19"/>
  <c r="V348" i="19"/>
  <c r="S345" i="19"/>
  <c r="U347" i="19"/>
  <c r="P342" i="19"/>
  <c r="W349" i="19"/>
  <c r="X350" i="19"/>
  <c r="O341" i="19"/>
  <c r="N340" i="19"/>
  <c r="Q343" i="19"/>
  <c r="R344" i="19"/>
  <c r="U489" i="19"/>
  <c r="O483" i="19"/>
  <c r="V490" i="19"/>
  <c r="N482" i="19"/>
  <c r="Q485" i="19"/>
  <c r="R486" i="19"/>
  <c r="W491" i="19"/>
  <c r="X492" i="19"/>
  <c r="T488" i="19"/>
  <c r="P484" i="19"/>
  <c r="Y493" i="19"/>
  <c r="S487" i="19"/>
  <c r="O71" i="19"/>
  <c r="Y81" i="19"/>
  <c r="Q73" i="19"/>
  <c r="U77" i="19"/>
  <c r="S75" i="19"/>
  <c r="N70" i="19"/>
  <c r="V78" i="19"/>
  <c r="W79" i="19"/>
  <c r="R74" i="19"/>
  <c r="X80" i="19"/>
  <c r="P72" i="19"/>
  <c r="T76" i="19"/>
  <c r="Q752" i="19"/>
  <c r="X759" i="19"/>
  <c r="P751" i="19"/>
  <c r="U756" i="19"/>
  <c r="T755" i="19"/>
  <c r="S754" i="19"/>
  <c r="R753" i="19"/>
  <c r="W758" i="19"/>
  <c r="Y760" i="19"/>
  <c r="N749" i="19"/>
  <c r="V757" i="19"/>
  <c r="O750" i="19"/>
  <c r="R250" i="19"/>
  <c r="Y257" i="19"/>
  <c r="N246" i="19"/>
  <c r="V254" i="19"/>
  <c r="X256" i="19"/>
  <c r="U253" i="19"/>
  <c r="O247" i="19"/>
  <c r="Q249" i="19"/>
  <c r="P248" i="19"/>
  <c r="S251" i="19"/>
  <c r="W255" i="19"/>
  <c r="T252" i="19"/>
  <c r="U666" i="19"/>
  <c r="O660" i="19"/>
  <c r="V667" i="19"/>
  <c r="Q662" i="19"/>
  <c r="X669" i="19"/>
  <c r="S664" i="19"/>
  <c r="N659" i="19"/>
  <c r="T665" i="19"/>
  <c r="W668" i="19"/>
  <c r="R663" i="19"/>
  <c r="P661" i="19"/>
  <c r="Y670" i="19"/>
  <c r="V316" i="19"/>
  <c r="P310" i="19"/>
  <c r="W317" i="19"/>
  <c r="R312" i="19"/>
  <c r="Y319" i="19"/>
  <c r="T314" i="19"/>
  <c r="O309" i="19"/>
  <c r="Q311" i="19"/>
  <c r="U315" i="19"/>
  <c r="X318" i="19"/>
  <c r="N308" i="19"/>
  <c r="S313" i="19"/>
  <c r="AP33" i="19"/>
  <c r="AS34" i="19" s="1"/>
  <c r="J33" i="7"/>
  <c r="T479" i="19"/>
  <c r="X483" i="19"/>
  <c r="V481" i="19"/>
  <c r="R477" i="19"/>
  <c r="N473" i="19"/>
  <c r="S478" i="19"/>
  <c r="Y484" i="19"/>
  <c r="W482" i="19"/>
  <c r="Q476" i="19"/>
  <c r="P475" i="19"/>
  <c r="O474" i="19"/>
  <c r="U480" i="19"/>
  <c r="O76" i="19"/>
  <c r="V83" i="19"/>
  <c r="P77" i="19"/>
  <c r="X85" i="19"/>
  <c r="R79" i="19"/>
  <c r="T81" i="19"/>
  <c r="Y86" i="19"/>
  <c r="W84" i="19"/>
  <c r="U82" i="19"/>
  <c r="Q78" i="19"/>
  <c r="S80" i="19"/>
  <c r="N75" i="19"/>
  <c r="AC50" i="20"/>
  <c r="AD50" i="20" s="1"/>
  <c r="AB50" i="20"/>
  <c r="AE50" i="20"/>
  <c r="V35" i="20"/>
  <c r="N741" i="19"/>
  <c r="U748" i="19"/>
  <c r="O742" i="19"/>
  <c r="X751" i="19"/>
  <c r="T747" i="19"/>
  <c r="Q744" i="19"/>
  <c r="S746" i="19"/>
  <c r="P743" i="19"/>
  <c r="W750" i="19"/>
  <c r="R745" i="19"/>
  <c r="Y752" i="19"/>
  <c r="V749" i="19"/>
  <c r="Q620" i="19"/>
  <c r="X627" i="19"/>
  <c r="R621" i="19"/>
  <c r="V625" i="19"/>
  <c r="Y628" i="19"/>
  <c r="W626" i="19"/>
  <c r="S622" i="19"/>
  <c r="N617" i="19"/>
  <c r="P619" i="19"/>
  <c r="T623" i="19"/>
  <c r="U624" i="19"/>
  <c r="O618" i="19"/>
  <c r="R305" i="19"/>
  <c r="Y312" i="19"/>
  <c r="S306" i="19"/>
  <c r="N301" i="19"/>
  <c r="X311" i="19"/>
  <c r="U308" i="19"/>
  <c r="P303" i="19"/>
  <c r="Q304" i="19"/>
  <c r="T307" i="19"/>
  <c r="V309" i="19"/>
  <c r="W310" i="19"/>
  <c r="O302" i="19"/>
  <c r="X183" i="19"/>
  <c r="R177" i="19"/>
  <c r="Y184" i="19"/>
  <c r="T179" i="19"/>
  <c r="U180" i="19"/>
  <c r="O174" i="19"/>
  <c r="N173" i="19"/>
  <c r="S178" i="19"/>
  <c r="P175" i="19"/>
  <c r="W182" i="19"/>
  <c r="Q176" i="19"/>
  <c r="V181" i="19"/>
  <c r="AP24" i="19"/>
  <c r="AS25" i="19" s="1"/>
  <c r="J24" i="7"/>
  <c r="T157" i="19"/>
  <c r="U158" i="19"/>
  <c r="O152" i="19"/>
  <c r="P153" i="19"/>
  <c r="W160" i="19"/>
  <c r="Y162" i="19"/>
  <c r="R155" i="19"/>
  <c r="V159" i="19"/>
  <c r="X161" i="19"/>
  <c r="S156" i="19"/>
  <c r="N151" i="19"/>
  <c r="Q154" i="19"/>
  <c r="T743" i="19"/>
  <c r="O738" i="19"/>
  <c r="V745" i="19"/>
  <c r="U744" i="19"/>
  <c r="N737" i="19"/>
  <c r="W746" i="19"/>
  <c r="P739" i="19"/>
  <c r="Q740" i="19"/>
  <c r="S742" i="19"/>
  <c r="Y748" i="19"/>
  <c r="R741" i="19"/>
  <c r="X747" i="19"/>
  <c r="P429" i="19"/>
  <c r="W436" i="19"/>
  <c r="Q430" i="19"/>
  <c r="Y438" i="19"/>
  <c r="N427" i="19"/>
  <c r="X437" i="19"/>
  <c r="U434" i="19"/>
  <c r="T433" i="19"/>
  <c r="R431" i="19"/>
  <c r="V435" i="19"/>
  <c r="S432" i="19"/>
  <c r="O428" i="19"/>
  <c r="T321" i="19"/>
  <c r="V323" i="19"/>
  <c r="S320" i="19"/>
  <c r="U322" i="19"/>
  <c r="P317" i="19"/>
  <c r="Y326" i="19"/>
  <c r="W324" i="19"/>
  <c r="X325" i="19"/>
  <c r="O316" i="19"/>
  <c r="N315" i="19"/>
  <c r="Q318" i="19"/>
  <c r="R319" i="19"/>
  <c r="T266" i="19"/>
  <c r="V268" i="19"/>
  <c r="O261" i="19"/>
  <c r="U267" i="19"/>
  <c r="Q263" i="19"/>
  <c r="W269" i="19"/>
  <c r="Y271" i="19"/>
  <c r="R264" i="19"/>
  <c r="X270" i="19"/>
  <c r="S265" i="19"/>
  <c r="N260" i="19"/>
  <c r="P262" i="19"/>
  <c r="V236" i="19"/>
  <c r="P230" i="19"/>
  <c r="X238" i="19"/>
  <c r="T234" i="19"/>
  <c r="R232" i="19"/>
  <c r="W237" i="19"/>
  <c r="S233" i="19"/>
  <c r="Y239" i="19"/>
  <c r="U235" i="19"/>
  <c r="N228" i="19"/>
  <c r="Q231" i="19"/>
  <c r="O229" i="19"/>
  <c r="S21" i="19"/>
  <c r="O17" i="19"/>
  <c r="R20" i="19"/>
  <c r="V24" i="19"/>
  <c r="N16" i="19"/>
  <c r="Q19" i="19"/>
  <c r="W25" i="19"/>
  <c r="U23" i="19"/>
  <c r="T22" i="19"/>
  <c r="P18" i="19"/>
  <c r="X26" i="19"/>
  <c r="Y27" i="19"/>
  <c r="Y401" i="19"/>
  <c r="X400" i="19"/>
  <c r="T396" i="19"/>
  <c r="O391" i="19"/>
  <c r="Q393" i="19"/>
  <c r="P392" i="19"/>
  <c r="W399" i="19"/>
  <c r="U397" i="19"/>
  <c r="S395" i="19"/>
  <c r="R394" i="19"/>
  <c r="N390" i="19"/>
  <c r="V398" i="19"/>
  <c r="O186" i="19"/>
  <c r="V193" i="19"/>
  <c r="Y196" i="19"/>
  <c r="S190" i="19"/>
  <c r="P187" i="19"/>
  <c r="R189" i="19"/>
  <c r="Q188" i="19"/>
  <c r="N185" i="19"/>
  <c r="T191" i="19"/>
  <c r="X195" i="19"/>
  <c r="U192" i="19"/>
  <c r="W194" i="19"/>
  <c r="Q625" i="19"/>
  <c r="X632" i="19"/>
  <c r="R626" i="19"/>
  <c r="Y633" i="19"/>
  <c r="T628" i="19"/>
  <c r="O623" i="19"/>
  <c r="V630" i="19"/>
  <c r="W631" i="19"/>
  <c r="U629" i="19"/>
  <c r="S627" i="19"/>
  <c r="N622" i="19"/>
  <c r="P624" i="19"/>
  <c r="P394" i="19"/>
  <c r="Q395" i="19"/>
  <c r="X402" i="19"/>
  <c r="S397" i="19"/>
  <c r="N392" i="19"/>
  <c r="R396" i="19"/>
  <c r="W401" i="19"/>
  <c r="O393" i="19"/>
  <c r="U399" i="19"/>
  <c r="Y403" i="19"/>
  <c r="V400" i="19"/>
  <c r="T398" i="19"/>
  <c r="T97" i="19"/>
  <c r="U98" i="19"/>
  <c r="Y102" i="19"/>
  <c r="W100" i="19"/>
  <c r="S96" i="19"/>
  <c r="Q94" i="19"/>
  <c r="O92" i="19"/>
  <c r="R95" i="19"/>
  <c r="P93" i="19"/>
  <c r="V99" i="19"/>
  <c r="N91" i="19"/>
  <c r="X101" i="19"/>
  <c r="N56" i="19"/>
  <c r="Y67" i="19"/>
  <c r="Q59" i="19"/>
  <c r="U63" i="19"/>
  <c r="R60" i="19"/>
  <c r="T62" i="19"/>
  <c r="O57" i="19"/>
  <c r="X66" i="19"/>
  <c r="P58" i="19"/>
  <c r="V64" i="19"/>
  <c r="S61" i="19"/>
  <c r="W65" i="19"/>
  <c r="N304" i="19"/>
  <c r="U311" i="19"/>
  <c r="O305" i="19"/>
  <c r="P306" i="19"/>
  <c r="S309" i="19"/>
  <c r="Q307" i="19"/>
  <c r="R308" i="19"/>
  <c r="V312" i="19"/>
  <c r="Y315" i="19"/>
  <c r="X314" i="19"/>
  <c r="T310" i="19"/>
  <c r="W313" i="19"/>
  <c r="Q295" i="19"/>
  <c r="X302" i="19"/>
  <c r="V300" i="19"/>
  <c r="S297" i="19"/>
  <c r="N292" i="19"/>
  <c r="Y303" i="19"/>
  <c r="O293" i="19"/>
  <c r="W301" i="19"/>
  <c r="U299" i="19"/>
  <c r="P294" i="19"/>
  <c r="R296" i="19"/>
  <c r="T298" i="19"/>
  <c r="N706" i="19"/>
  <c r="U713" i="19"/>
  <c r="O707" i="19"/>
  <c r="Q709" i="19"/>
  <c r="P708" i="19"/>
  <c r="V714" i="19"/>
  <c r="X716" i="19"/>
  <c r="Y717" i="19"/>
  <c r="S711" i="19"/>
  <c r="T712" i="19"/>
  <c r="R710" i="19"/>
  <c r="W715" i="19"/>
  <c r="AP34" i="19"/>
  <c r="AS35" i="19" s="1"/>
  <c r="J34" i="7"/>
  <c r="R786" i="19"/>
  <c r="U789" i="19"/>
  <c r="W791" i="19"/>
  <c r="O783" i="19"/>
  <c r="V790" i="19"/>
  <c r="Y793" i="19"/>
  <c r="N782" i="19"/>
  <c r="T788" i="19"/>
  <c r="X792" i="19"/>
  <c r="Q785" i="19"/>
  <c r="P784" i="19"/>
  <c r="S787" i="19"/>
  <c r="V286" i="19"/>
  <c r="P280" i="19"/>
  <c r="W287" i="19"/>
  <c r="R282" i="19"/>
  <c r="Q281" i="19"/>
  <c r="O279" i="19"/>
  <c r="T284" i="19"/>
  <c r="N278" i="19"/>
  <c r="S283" i="19"/>
  <c r="U285" i="19"/>
  <c r="Y289" i="19"/>
  <c r="X288" i="19"/>
  <c r="T231" i="19"/>
  <c r="V233" i="19"/>
  <c r="Y236" i="19"/>
  <c r="N225" i="19"/>
  <c r="S230" i="19"/>
  <c r="X235" i="19"/>
  <c r="W234" i="19"/>
  <c r="O226" i="19"/>
  <c r="Q228" i="19"/>
  <c r="P227" i="19"/>
  <c r="U232" i="19"/>
  <c r="R229" i="19"/>
  <c r="Q444" i="19"/>
  <c r="X451" i="19"/>
  <c r="R445" i="19"/>
  <c r="Y452" i="19"/>
  <c r="W450" i="19"/>
  <c r="T447" i="19"/>
  <c r="O442" i="19"/>
  <c r="V449" i="19"/>
  <c r="S446" i="19"/>
  <c r="U448" i="19"/>
  <c r="N441" i="19"/>
  <c r="P443" i="19"/>
  <c r="T182" i="19"/>
  <c r="N176" i="19"/>
  <c r="U183" i="19"/>
  <c r="Q179" i="19"/>
  <c r="X186" i="19"/>
  <c r="O177" i="19"/>
  <c r="W185" i="19"/>
  <c r="S181" i="19"/>
  <c r="P178" i="19"/>
  <c r="Y187" i="19"/>
  <c r="R180" i="19"/>
  <c r="V184" i="19"/>
  <c r="Y657" i="19"/>
  <c r="S651" i="19"/>
  <c r="U653" i="19"/>
  <c r="P648" i="19"/>
  <c r="W655" i="19"/>
  <c r="X656" i="19"/>
  <c r="V654" i="19"/>
  <c r="T652" i="19"/>
  <c r="R650" i="19"/>
  <c r="N646" i="19"/>
  <c r="Q649" i="19"/>
  <c r="O647" i="19"/>
  <c r="X98" i="19"/>
  <c r="Y99" i="19"/>
  <c r="Q91" i="19"/>
  <c r="V96" i="19"/>
  <c r="T94" i="19"/>
  <c r="R92" i="19"/>
  <c r="N88" i="19"/>
  <c r="P90" i="19"/>
  <c r="S93" i="19"/>
  <c r="W97" i="19"/>
  <c r="U95" i="19"/>
  <c r="O89" i="19"/>
  <c r="AP7" i="19"/>
  <c r="J7" i="7"/>
  <c r="X83" i="19"/>
  <c r="Y84" i="19"/>
  <c r="T79" i="19"/>
  <c r="R77" i="19"/>
  <c r="V81" i="19"/>
  <c r="N73" i="19"/>
  <c r="P75" i="19"/>
  <c r="O74" i="19"/>
  <c r="U80" i="19"/>
  <c r="S78" i="19"/>
  <c r="Q76" i="19"/>
  <c r="W82" i="19"/>
  <c r="X193" i="19"/>
  <c r="R187" i="19"/>
  <c r="Y194" i="19"/>
  <c r="O184" i="19"/>
  <c r="U190" i="19"/>
  <c r="T189" i="19"/>
  <c r="Q186" i="19"/>
  <c r="P185" i="19"/>
  <c r="S188" i="19"/>
  <c r="W192" i="19"/>
  <c r="N183" i="19"/>
  <c r="V191" i="19"/>
  <c r="V738" i="19"/>
  <c r="P732" i="19"/>
  <c r="W739" i="19"/>
  <c r="S735" i="19"/>
  <c r="T736" i="19"/>
  <c r="Y741" i="19"/>
  <c r="X740" i="19"/>
  <c r="R734" i="19"/>
  <c r="O731" i="19"/>
  <c r="N730" i="19"/>
  <c r="U737" i="19"/>
  <c r="Q733" i="19"/>
  <c r="Y60" i="19"/>
  <c r="Q52" i="19"/>
  <c r="V57" i="19"/>
  <c r="P51" i="19"/>
  <c r="R53" i="19"/>
  <c r="O50" i="19"/>
  <c r="N49" i="19"/>
  <c r="W58" i="19"/>
  <c r="S54" i="19"/>
  <c r="U56" i="19"/>
  <c r="T55" i="19"/>
  <c r="X59" i="19"/>
  <c r="R350" i="19"/>
  <c r="X356" i="19"/>
  <c r="N346" i="19"/>
  <c r="U353" i="19"/>
  <c r="Y357" i="19"/>
  <c r="V354" i="19"/>
  <c r="S351" i="19"/>
  <c r="W355" i="19"/>
  <c r="O347" i="19"/>
  <c r="Q349" i="19"/>
  <c r="P348" i="19"/>
  <c r="T352" i="19"/>
  <c r="V67" i="20"/>
  <c r="V15" i="20"/>
  <c r="S197" i="19"/>
  <c r="Y203" i="19"/>
  <c r="Q195" i="19"/>
  <c r="T198" i="19"/>
  <c r="P194" i="19"/>
  <c r="N192" i="19"/>
  <c r="W201" i="19"/>
  <c r="X202" i="19"/>
  <c r="U199" i="19"/>
  <c r="V200" i="19"/>
  <c r="O193" i="19"/>
  <c r="R196" i="19"/>
  <c r="V331" i="19"/>
  <c r="P325" i="19"/>
  <c r="W332" i="19"/>
  <c r="R327" i="19"/>
  <c r="X333" i="19"/>
  <c r="S328" i="19"/>
  <c r="N323" i="19"/>
  <c r="T329" i="19"/>
  <c r="O324" i="19"/>
  <c r="Y334" i="19"/>
  <c r="U330" i="19"/>
  <c r="Q326" i="19"/>
  <c r="W802" i="19"/>
  <c r="P795" i="19"/>
  <c r="X803" i="19"/>
  <c r="N793" i="19"/>
  <c r="O794" i="19"/>
  <c r="S798" i="19"/>
  <c r="V801" i="19"/>
  <c r="R797" i="19"/>
  <c r="T799" i="19"/>
  <c r="Y804" i="19"/>
  <c r="Q796" i="19"/>
  <c r="U800" i="19"/>
  <c r="S127" i="19"/>
  <c r="T128" i="19"/>
  <c r="N122" i="19"/>
  <c r="X132" i="19"/>
  <c r="V130" i="19"/>
  <c r="P124" i="19"/>
  <c r="U129" i="19"/>
  <c r="W131" i="19"/>
  <c r="Q125" i="19"/>
  <c r="R126" i="19"/>
  <c r="O123" i="19"/>
  <c r="Y133" i="19"/>
  <c r="Q245" i="19"/>
  <c r="X252" i="19"/>
  <c r="R246" i="19"/>
  <c r="Y253" i="19"/>
  <c r="N242" i="19"/>
  <c r="O243" i="19"/>
  <c r="T248" i="19"/>
  <c r="U249" i="19"/>
  <c r="P244" i="19"/>
  <c r="S247" i="19"/>
  <c r="W251" i="19"/>
  <c r="V250" i="19"/>
  <c r="Q615" i="19"/>
  <c r="X622" i="19"/>
  <c r="R616" i="19"/>
  <c r="S617" i="19"/>
  <c r="N612" i="19"/>
  <c r="Y623" i="19"/>
  <c r="P614" i="19"/>
  <c r="U619" i="19"/>
  <c r="V620" i="19"/>
  <c r="T618" i="19"/>
  <c r="O613" i="19"/>
  <c r="W621" i="19"/>
  <c r="O815" i="19"/>
  <c r="V822" i="19"/>
  <c r="R818" i="19"/>
  <c r="U821" i="19"/>
  <c r="N814" i="19"/>
  <c r="Q817" i="19"/>
  <c r="S819" i="19"/>
  <c r="P816" i="19"/>
  <c r="T820" i="19"/>
  <c r="W823" i="19"/>
  <c r="X785" i="19"/>
  <c r="P777" i="19"/>
  <c r="Y786" i="19"/>
  <c r="Q778" i="19"/>
  <c r="S780" i="19"/>
  <c r="O776" i="19"/>
  <c r="N775" i="19"/>
  <c r="W784" i="19"/>
  <c r="T781" i="19"/>
  <c r="R779" i="19"/>
  <c r="V783" i="19"/>
  <c r="U782" i="19"/>
  <c r="U661" i="19"/>
  <c r="O655" i="19"/>
  <c r="V662" i="19"/>
  <c r="Q657" i="19"/>
  <c r="S659" i="19"/>
  <c r="N654" i="19"/>
  <c r="P656" i="19"/>
  <c r="R658" i="19"/>
  <c r="T660" i="19"/>
  <c r="X664" i="19"/>
  <c r="W663" i="19"/>
  <c r="Y665" i="19"/>
  <c r="Y391" i="19"/>
  <c r="W389" i="19"/>
  <c r="R384" i="19"/>
  <c r="O381" i="19"/>
  <c r="P382" i="19"/>
  <c r="V388" i="19"/>
  <c r="S385" i="19"/>
  <c r="Q383" i="19"/>
  <c r="T386" i="19"/>
  <c r="U387" i="19"/>
  <c r="X390" i="19"/>
  <c r="N380" i="19"/>
  <c r="Q545" i="19"/>
  <c r="W551" i="19"/>
  <c r="S547" i="19"/>
  <c r="O543" i="19"/>
  <c r="Y553" i="19"/>
  <c r="V550" i="19"/>
  <c r="P544" i="19"/>
  <c r="N542" i="19"/>
  <c r="R546" i="19"/>
  <c r="X552" i="19"/>
  <c r="T548" i="19"/>
  <c r="U549" i="19"/>
  <c r="X379" i="19"/>
  <c r="T375" i="19"/>
  <c r="P371" i="19"/>
  <c r="Q372" i="19"/>
  <c r="Y380" i="19"/>
  <c r="S374" i="19"/>
  <c r="U376" i="19"/>
  <c r="W378" i="19"/>
  <c r="V377" i="19"/>
  <c r="R373" i="19"/>
  <c r="O370" i="19"/>
  <c r="N369" i="19"/>
  <c r="Y411" i="19"/>
  <c r="O401" i="19"/>
  <c r="U407" i="19"/>
  <c r="S405" i="19"/>
  <c r="Q403" i="19"/>
  <c r="W409" i="19"/>
  <c r="R404" i="19"/>
  <c r="P402" i="19"/>
  <c r="N400" i="19"/>
  <c r="T406" i="19"/>
  <c r="X410" i="19"/>
  <c r="V408" i="19"/>
  <c r="Q498" i="19"/>
  <c r="X505" i="19"/>
  <c r="R499" i="19"/>
  <c r="Y506" i="19"/>
  <c r="U502" i="19"/>
  <c r="P497" i="19"/>
  <c r="O496" i="19"/>
  <c r="W504" i="19"/>
  <c r="N495" i="19"/>
  <c r="T501" i="19"/>
  <c r="S500" i="19"/>
  <c r="V503" i="19"/>
  <c r="U400" i="19"/>
  <c r="V401" i="19"/>
  <c r="P395" i="19"/>
  <c r="S398" i="19"/>
  <c r="X403" i="19"/>
  <c r="W402" i="19"/>
  <c r="R397" i="19"/>
  <c r="Q396" i="19"/>
  <c r="T399" i="19"/>
  <c r="Y404" i="19"/>
  <c r="N393" i="19"/>
  <c r="O394" i="19"/>
  <c r="N254" i="19"/>
  <c r="U261" i="19"/>
  <c r="W263" i="19"/>
  <c r="V262" i="19"/>
  <c r="O255" i="19"/>
  <c r="R258" i="19"/>
  <c r="Q257" i="19"/>
  <c r="Y265" i="19"/>
  <c r="P256" i="19"/>
  <c r="T260" i="19"/>
  <c r="S259" i="19"/>
  <c r="X264" i="19"/>
  <c r="U529" i="19"/>
  <c r="O523" i="19"/>
  <c r="V530" i="19"/>
  <c r="S527" i="19"/>
  <c r="Q525" i="19"/>
  <c r="N522" i="19"/>
  <c r="W531" i="19"/>
  <c r="X532" i="19"/>
  <c r="P524" i="19"/>
  <c r="R526" i="19"/>
  <c r="Y533" i="19"/>
  <c r="T528" i="19"/>
  <c r="T137" i="19"/>
  <c r="U138" i="19"/>
  <c r="V139" i="19"/>
  <c r="P133" i="19"/>
  <c r="X141" i="19"/>
  <c r="R135" i="19"/>
  <c r="N131" i="19"/>
  <c r="S136" i="19"/>
  <c r="O132" i="19"/>
  <c r="W140" i="19"/>
  <c r="Q134" i="19"/>
  <c r="Y142" i="19"/>
  <c r="Q660" i="19"/>
  <c r="X667" i="19"/>
  <c r="R661" i="19"/>
  <c r="U664" i="19"/>
  <c r="P659" i="19"/>
  <c r="S662" i="19"/>
  <c r="O658" i="19"/>
  <c r="V665" i="19"/>
  <c r="Y668" i="19"/>
  <c r="N657" i="19"/>
  <c r="T663" i="19"/>
  <c r="W666" i="19"/>
  <c r="T296" i="19"/>
  <c r="V298" i="19"/>
  <c r="S295" i="19"/>
  <c r="U297" i="19"/>
  <c r="P292" i="19"/>
  <c r="N290" i="19"/>
  <c r="X300" i="19"/>
  <c r="Q293" i="19"/>
  <c r="Y301" i="19"/>
  <c r="W299" i="19"/>
  <c r="O291" i="19"/>
  <c r="R294" i="19"/>
  <c r="N46" i="19"/>
  <c r="S51" i="19"/>
  <c r="Y57" i="19"/>
  <c r="R50" i="19"/>
  <c r="U53" i="19"/>
  <c r="Q49" i="19"/>
  <c r="P48" i="19"/>
  <c r="T52" i="19"/>
  <c r="X56" i="19"/>
  <c r="O47" i="19"/>
  <c r="V54" i="19"/>
  <c r="W55" i="19"/>
  <c r="AP21" i="19"/>
  <c r="AS22" i="19" s="1"/>
  <c r="J21" i="7"/>
  <c r="T77" i="19"/>
  <c r="U78" i="19"/>
  <c r="S76" i="19"/>
  <c r="V79" i="19"/>
  <c r="X81" i="19"/>
  <c r="P73" i="19"/>
  <c r="R75" i="19"/>
  <c r="N71" i="19"/>
  <c r="Q74" i="19"/>
  <c r="W80" i="19"/>
  <c r="O72" i="19"/>
  <c r="Y82" i="19"/>
  <c r="T455" i="19"/>
  <c r="N449" i="19"/>
  <c r="U456" i="19"/>
  <c r="W458" i="19"/>
  <c r="R453" i="19"/>
  <c r="O450" i="19"/>
  <c r="V457" i="19"/>
  <c r="S454" i="19"/>
  <c r="P451" i="19"/>
  <c r="Q452" i="19"/>
  <c r="X459" i="19"/>
  <c r="Y460" i="19"/>
  <c r="X206" i="19"/>
  <c r="T202" i="19"/>
  <c r="N196" i="19"/>
  <c r="R200" i="19"/>
  <c r="Y207" i="19"/>
  <c r="P198" i="19"/>
  <c r="W205" i="19"/>
  <c r="V204" i="19"/>
  <c r="Q199" i="19"/>
  <c r="U203" i="19"/>
  <c r="S201" i="19"/>
  <c r="O197" i="19"/>
  <c r="T773" i="19"/>
  <c r="N767" i="19"/>
  <c r="U774" i="19"/>
  <c r="Y778" i="19"/>
  <c r="S772" i="19"/>
  <c r="V775" i="19"/>
  <c r="X777" i="19"/>
  <c r="P769" i="19"/>
  <c r="O768" i="19"/>
  <c r="Q770" i="19"/>
  <c r="W776" i="19"/>
  <c r="R771" i="19"/>
  <c r="V47" i="20"/>
  <c r="V63" i="20"/>
  <c r="S172" i="19"/>
  <c r="X177" i="19"/>
  <c r="R171" i="19"/>
  <c r="T173" i="19"/>
  <c r="O168" i="19"/>
  <c r="N167" i="19"/>
  <c r="W176" i="19"/>
  <c r="P169" i="19"/>
  <c r="U174" i="19"/>
  <c r="V175" i="19"/>
  <c r="Y178" i="19"/>
  <c r="Q170" i="19"/>
  <c r="Y485" i="19"/>
  <c r="W483" i="19"/>
  <c r="U481" i="19"/>
  <c r="Q477" i="19"/>
  <c r="S479" i="19"/>
  <c r="V482" i="19"/>
  <c r="R478" i="19"/>
  <c r="X484" i="19"/>
  <c r="O475" i="19"/>
  <c r="N474" i="19"/>
  <c r="P476" i="19"/>
  <c r="T480" i="19"/>
  <c r="U470" i="19"/>
  <c r="O464" i="19"/>
  <c r="V471" i="19"/>
  <c r="R467" i="19"/>
  <c r="W472" i="19"/>
  <c r="N463" i="19"/>
  <c r="P465" i="19"/>
  <c r="Q466" i="19"/>
  <c r="X473" i="19"/>
  <c r="Y474" i="19"/>
  <c r="T469" i="19"/>
  <c r="S468" i="19"/>
  <c r="Q553" i="19"/>
  <c r="V558" i="19"/>
  <c r="X560" i="19"/>
  <c r="U557" i="19"/>
  <c r="N550" i="19"/>
  <c r="S555" i="19"/>
  <c r="R554" i="19"/>
  <c r="Y561" i="19"/>
  <c r="P552" i="19"/>
  <c r="O551" i="19"/>
  <c r="W559" i="19"/>
  <c r="T556" i="19"/>
  <c r="U504" i="19"/>
  <c r="O498" i="19"/>
  <c r="V505" i="19"/>
  <c r="X507" i="19"/>
  <c r="S502" i="19"/>
  <c r="N497" i="19"/>
  <c r="Y508" i="19"/>
  <c r="W506" i="19"/>
  <c r="R501" i="19"/>
  <c r="Q500" i="19"/>
  <c r="P499" i="19"/>
  <c r="T503" i="19"/>
  <c r="P121" i="19"/>
  <c r="W128" i="19"/>
  <c r="Q122" i="19"/>
  <c r="S124" i="19"/>
  <c r="Y130" i="19"/>
  <c r="U126" i="19"/>
  <c r="O120" i="19"/>
  <c r="N119" i="19"/>
  <c r="V127" i="19"/>
  <c r="T125" i="19"/>
  <c r="R123" i="19"/>
  <c r="X129" i="19"/>
  <c r="P181" i="19"/>
  <c r="W188" i="19"/>
  <c r="Q182" i="19"/>
  <c r="X189" i="19"/>
  <c r="R183" i="19"/>
  <c r="V187" i="19"/>
  <c r="Y190" i="19"/>
  <c r="S184" i="19"/>
  <c r="T185" i="19"/>
  <c r="O180" i="19"/>
  <c r="N179" i="19"/>
  <c r="U186" i="19"/>
  <c r="R473" i="19"/>
  <c r="W478" i="19"/>
  <c r="S474" i="19"/>
  <c r="N469" i="19"/>
  <c r="U476" i="19"/>
  <c r="Q472" i="19"/>
  <c r="V477" i="19"/>
  <c r="X479" i="19"/>
  <c r="P471" i="19"/>
  <c r="T475" i="19"/>
  <c r="Y480" i="19"/>
  <c r="O470" i="19"/>
  <c r="U380" i="19"/>
  <c r="W382" i="19"/>
  <c r="S378" i="19"/>
  <c r="O374" i="19"/>
  <c r="X383" i="19"/>
  <c r="Y384" i="19"/>
  <c r="R377" i="19"/>
  <c r="T379" i="19"/>
  <c r="Q376" i="19"/>
  <c r="V381" i="19"/>
  <c r="P375" i="19"/>
  <c r="N373" i="19"/>
  <c r="V708" i="19"/>
  <c r="P702" i="19"/>
  <c r="W709" i="19"/>
  <c r="U707" i="19"/>
  <c r="X710" i="19"/>
  <c r="N700" i="19"/>
  <c r="T706" i="19"/>
  <c r="R704" i="19"/>
  <c r="O701" i="19"/>
  <c r="Y711" i="19"/>
  <c r="Q703" i="19"/>
  <c r="S705" i="19"/>
  <c r="N284" i="19"/>
  <c r="U291" i="19"/>
  <c r="O285" i="19"/>
  <c r="X294" i="19"/>
  <c r="S289" i="19"/>
  <c r="W293" i="19"/>
  <c r="P286" i="19"/>
  <c r="Q287" i="19"/>
  <c r="R288" i="19"/>
  <c r="T290" i="19"/>
  <c r="Y295" i="19"/>
  <c r="V292" i="19"/>
  <c r="U390" i="19"/>
  <c r="V391" i="19"/>
  <c r="O384" i="19"/>
  <c r="W392" i="19"/>
  <c r="P385" i="19"/>
  <c r="X393" i="19"/>
  <c r="Q386" i="19"/>
  <c r="N383" i="19"/>
  <c r="R387" i="19"/>
  <c r="T389" i="19"/>
  <c r="S388" i="19"/>
  <c r="Y394" i="19"/>
  <c r="T494" i="19"/>
  <c r="N488" i="19"/>
  <c r="U495" i="19"/>
  <c r="P490" i="19"/>
  <c r="Y499" i="19"/>
  <c r="R492" i="19"/>
  <c r="V496" i="19"/>
  <c r="Q491" i="19"/>
  <c r="W497" i="19"/>
  <c r="O489" i="19"/>
  <c r="S493" i="19"/>
  <c r="X498" i="19"/>
  <c r="T276" i="19"/>
  <c r="V278" i="19"/>
  <c r="P272" i="19"/>
  <c r="N270" i="19"/>
  <c r="O271" i="19"/>
  <c r="U277" i="19"/>
  <c r="R274" i="19"/>
  <c r="S275" i="19"/>
  <c r="W279" i="19"/>
  <c r="X280" i="19"/>
  <c r="Y281" i="19"/>
  <c r="Q273" i="19"/>
  <c r="AE12" i="16"/>
  <c r="AB66" i="16"/>
  <c r="D6" i="15"/>
  <c r="H7" i="1"/>
  <c r="Y667" i="19"/>
  <c r="S661" i="19"/>
  <c r="U663" i="19"/>
  <c r="V664" i="19"/>
  <c r="Q659" i="19"/>
  <c r="N656" i="19"/>
  <c r="P658" i="19"/>
  <c r="R660" i="19"/>
  <c r="X666" i="19"/>
  <c r="W665" i="19"/>
  <c r="O657" i="19"/>
  <c r="T662" i="19"/>
  <c r="U541" i="19"/>
  <c r="X544" i="19"/>
  <c r="T540" i="19"/>
  <c r="P536" i="19"/>
  <c r="N534" i="19"/>
  <c r="W543" i="19"/>
  <c r="R538" i="19"/>
  <c r="Q537" i="19"/>
  <c r="O535" i="19"/>
  <c r="Y545" i="19"/>
  <c r="V542" i="19"/>
  <c r="S539" i="19"/>
  <c r="T529" i="19"/>
  <c r="Y534" i="19"/>
  <c r="N523" i="19"/>
  <c r="U530" i="19"/>
  <c r="X533" i="19"/>
  <c r="P525" i="19"/>
  <c r="V531" i="19"/>
  <c r="R527" i="19"/>
  <c r="W532" i="19"/>
  <c r="O524" i="19"/>
  <c r="Q526" i="19"/>
  <c r="S528" i="19"/>
  <c r="Y674" i="19"/>
  <c r="P665" i="19"/>
  <c r="V671" i="19"/>
  <c r="X673" i="19"/>
  <c r="U670" i="19"/>
  <c r="R667" i="19"/>
  <c r="O664" i="19"/>
  <c r="N663" i="19"/>
  <c r="W672" i="19"/>
  <c r="S668" i="19"/>
  <c r="T669" i="19"/>
  <c r="Q666" i="19"/>
  <c r="T693" i="19"/>
  <c r="N687" i="19"/>
  <c r="W696" i="19"/>
  <c r="V695" i="19"/>
  <c r="O688" i="19"/>
  <c r="Q690" i="19"/>
  <c r="R691" i="19"/>
  <c r="Y698" i="19"/>
  <c r="X697" i="19"/>
  <c r="S692" i="19"/>
  <c r="P689" i="19"/>
  <c r="U694" i="19"/>
  <c r="X118" i="19"/>
  <c r="Y119" i="19"/>
  <c r="V116" i="19"/>
  <c r="S113" i="19"/>
  <c r="T114" i="19"/>
  <c r="W117" i="19"/>
  <c r="R112" i="19"/>
  <c r="U115" i="19"/>
  <c r="P110" i="19"/>
  <c r="Q111" i="19"/>
  <c r="O109" i="19"/>
  <c r="N108" i="19"/>
  <c r="U581" i="19"/>
  <c r="Y585" i="19"/>
  <c r="V582" i="19"/>
  <c r="R578" i="19"/>
  <c r="W583" i="19"/>
  <c r="N574" i="19"/>
  <c r="T580" i="19"/>
  <c r="S579" i="19"/>
  <c r="Q577" i="19"/>
  <c r="O575" i="19"/>
  <c r="X584" i="19"/>
  <c r="P576" i="19"/>
  <c r="X46" i="19"/>
  <c r="S41" i="19"/>
  <c r="W45" i="19"/>
  <c r="P38" i="19"/>
  <c r="N36" i="19"/>
  <c r="Q39" i="19"/>
  <c r="O37" i="19"/>
  <c r="T42" i="19"/>
  <c r="R40" i="19"/>
  <c r="U43" i="19"/>
  <c r="V44" i="19"/>
  <c r="Y47" i="19"/>
  <c r="Y88" i="16"/>
  <c r="Y656" i="16"/>
  <c r="Y744" i="16"/>
  <c r="Y818" i="16"/>
  <c r="Y444" i="16"/>
  <c r="Y498" i="16"/>
  <c r="Y160" i="16"/>
  <c r="Y646" i="16"/>
  <c r="Y104" i="16"/>
  <c r="Y108" i="16"/>
  <c r="Y426" i="16"/>
  <c r="Y683" i="16"/>
  <c r="Y821" i="16"/>
  <c r="Y638" i="16"/>
  <c r="Y244" i="16"/>
  <c r="Y562" i="16"/>
  <c r="Y528" i="16"/>
  <c r="Y782" i="16"/>
  <c r="Y5" i="16"/>
  <c r="Y653" i="16"/>
  <c r="Y622" i="16"/>
  <c r="Y801" i="16"/>
  <c r="Y64" i="16"/>
  <c r="Y344" i="16"/>
  <c r="Y696" i="16"/>
  <c r="Y378" i="16"/>
  <c r="Y712" i="16"/>
  <c r="Y374" i="16"/>
  <c r="Y516" i="16"/>
  <c r="Y236" i="16"/>
  <c r="Y38" i="16"/>
  <c r="Y466" i="16"/>
  <c r="Y666" i="16"/>
  <c r="Y762" i="16"/>
  <c r="Y438" i="16"/>
  <c r="Y78" i="16"/>
  <c r="Y725" i="16"/>
  <c r="Y182" i="16"/>
  <c r="Y384" i="16"/>
  <c r="Y672" i="16"/>
  <c r="Y592" i="16"/>
  <c r="Y415" i="16"/>
  <c r="Y798" i="16"/>
  <c r="Y606" i="16"/>
  <c r="Y542" i="16"/>
  <c r="Y634" i="16"/>
  <c r="Y248" i="16"/>
  <c r="Y661" i="16"/>
  <c r="Y577" i="16"/>
  <c r="Y810" i="16"/>
  <c r="Y216" i="16"/>
  <c r="Y13" i="16"/>
  <c r="Y119" i="16"/>
  <c r="Y308" i="16"/>
  <c r="Y340" i="16"/>
  <c r="Y238" i="16"/>
  <c r="Y25" i="16"/>
  <c r="Y118" i="16"/>
  <c r="Y740" i="16"/>
  <c r="Y535" i="16"/>
  <c r="Y394" i="16"/>
  <c r="Y597" i="16"/>
  <c r="Y217" i="16"/>
  <c r="Y345" i="16"/>
  <c r="Y338" i="16"/>
  <c r="Y630" i="16"/>
  <c r="Y157" i="16"/>
  <c r="Y294" i="16"/>
  <c r="Y407" i="16"/>
  <c r="Y754" i="16"/>
  <c r="Y198" i="16"/>
  <c r="Y554" i="16"/>
  <c r="Y35" i="16"/>
  <c r="Y558" i="16"/>
  <c r="Y72" i="16"/>
  <c r="Y304" i="16"/>
  <c r="Y770" i="16"/>
  <c r="Y573" i="16"/>
  <c r="Y817" i="16"/>
  <c r="Y388" i="16"/>
  <c r="Y641" i="16"/>
  <c r="Y787" i="16"/>
  <c r="Y134" i="16"/>
  <c r="Y265" i="16"/>
  <c r="Y380" i="16"/>
  <c r="Y710" i="16"/>
  <c r="Y778" i="16"/>
  <c r="Y255" i="16"/>
  <c r="Y425" i="16"/>
  <c r="Y812" i="16"/>
  <c r="Y299" i="16"/>
  <c r="Y751" i="16"/>
  <c r="Y504" i="16"/>
  <c r="Y615" i="16"/>
  <c r="Y699" i="16"/>
  <c r="Y372" i="16"/>
  <c r="Y243" i="16"/>
  <c r="Y452" i="16"/>
  <c r="Y781" i="16"/>
  <c r="Y183" i="16"/>
  <c r="Y205" i="16"/>
  <c r="Y460" i="16"/>
  <c r="Y618" i="16"/>
  <c r="Y396" i="16"/>
  <c r="Y168" i="16"/>
  <c r="Y524" i="16"/>
  <c r="Y201" i="16"/>
  <c r="Y365" i="16"/>
  <c r="Y61" i="16"/>
  <c r="Y148" i="16"/>
  <c r="Y448" i="16"/>
  <c r="Y19" i="16"/>
  <c r="Y171" i="16"/>
  <c r="Y414" i="16"/>
  <c r="Y445" i="16"/>
  <c r="Y728" i="16"/>
  <c r="Y808" i="16"/>
  <c r="Y96" i="16"/>
  <c r="Y412" i="16"/>
  <c r="Y358" i="16"/>
  <c r="Y578" i="16"/>
  <c r="Y114" i="16"/>
  <c r="Y124" i="16"/>
  <c r="Y292" i="16"/>
  <c r="Y29" i="16"/>
  <c r="Y74" i="16"/>
  <c r="Y60" i="16"/>
  <c r="Y186" i="16"/>
  <c r="Y509" i="16"/>
  <c r="Y333" i="16"/>
  <c r="Y268" i="16"/>
  <c r="Y492" i="16"/>
  <c r="Y714" i="16"/>
  <c r="Y10" i="16"/>
  <c r="Y39" i="16"/>
  <c r="Y468" i="16"/>
  <c r="Y434" i="16"/>
  <c r="Y283" i="16"/>
  <c r="Y633" i="16"/>
  <c r="Y472" i="16"/>
  <c r="Y456" i="16"/>
  <c r="Y479" i="16"/>
  <c r="Y473" i="16"/>
  <c r="Y670" i="16"/>
  <c r="Y534" i="16"/>
  <c r="Y698" i="16"/>
  <c r="Y553" i="16"/>
  <c r="Y496" i="16"/>
  <c r="Y652" i="16"/>
  <c r="Y59" i="16"/>
  <c r="Y743" i="16"/>
  <c r="Y571" i="16"/>
  <c r="Y206" i="16"/>
  <c r="Y819" i="16"/>
  <c r="Y602" i="16"/>
  <c r="Y180" i="16"/>
  <c r="Y549" i="16"/>
  <c r="Y41" i="16"/>
  <c r="Y531" i="16"/>
  <c r="Y405" i="16"/>
  <c r="Y783" i="16"/>
  <c r="Y735" i="16"/>
  <c r="Y82" i="16"/>
  <c r="Y115" i="16"/>
  <c r="Y392" i="16"/>
  <c r="Y587" i="16"/>
  <c r="Y131" i="16"/>
  <c r="Y584" i="16"/>
  <c r="Y475" i="16"/>
  <c r="Y709" i="16"/>
  <c r="Y370" i="16"/>
  <c r="Y591" i="16"/>
  <c r="Y77" i="16"/>
  <c r="Y111" i="16"/>
  <c r="Y733" i="16"/>
  <c r="Y707" i="16"/>
  <c r="Y660" i="16"/>
  <c r="Y695" i="16"/>
  <c r="Y34" i="16"/>
  <c r="Y814" i="16"/>
  <c r="Y56" i="16"/>
  <c r="Y719" i="16"/>
  <c r="Y511" i="16"/>
  <c r="Y81" i="16"/>
  <c r="Y788" i="16"/>
  <c r="Y813" i="16"/>
  <c r="Y14" i="16"/>
  <c r="Y390" i="16"/>
  <c r="Y199" i="16"/>
  <c r="Y306" i="16"/>
  <c r="Y769" i="16"/>
  <c r="Y314" i="16"/>
  <c r="Y723" i="16"/>
  <c r="Y430" i="16"/>
  <c r="Y181" i="16"/>
  <c r="Y401" i="16"/>
  <c r="Y359" i="16"/>
  <c r="Y297" i="16"/>
  <c r="Y490" i="16"/>
  <c r="Y121" i="16"/>
  <c r="Y765" i="16"/>
  <c r="Y796" i="16"/>
  <c r="Y55" i="16"/>
  <c r="Y474" i="16"/>
  <c r="Y718" i="16"/>
  <c r="Y122" i="16"/>
  <c r="Y497" i="16"/>
  <c r="Y608" i="16"/>
  <c r="Y575" i="16"/>
  <c r="Y319" i="16"/>
  <c r="Y291" i="16"/>
  <c r="Y110" i="16"/>
  <c r="Y727" i="16"/>
  <c r="Y287" i="16"/>
  <c r="Y533" i="16"/>
  <c r="Y522" i="16"/>
  <c r="Y200" i="16"/>
  <c r="Y693" i="16"/>
  <c r="Y270" i="16"/>
  <c r="Y22" i="16"/>
  <c r="Y540" i="16"/>
  <c r="Y777" i="16"/>
  <c r="Y373" i="16"/>
  <c r="Y95" i="16"/>
  <c r="Y626" i="16"/>
  <c r="Y155" i="16"/>
  <c r="Y416" i="16"/>
  <c r="Y86" i="16"/>
  <c r="Y152" i="16"/>
  <c r="Y324" i="16"/>
  <c r="Y737" i="16"/>
  <c r="Y774" i="16"/>
  <c r="Y138" i="16"/>
  <c r="Y758" i="16"/>
  <c r="Y721" i="16"/>
  <c r="Y759" i="16"/>
  <c r="Y482" i="16"/>
  <c r="Y185" i="16"/>
  <c r="Y348" i="16"/>
  <c r="Y395" i="16"/>
  <c r="Y3" i="16"/>
  <c r="Y21" i="16"/>
  <c r="Y487" i="16"/>
  <c r="Y739" i="16"/>
  <c r="Y421" i="16"/>
  <c r="Y623" i="16"/>
  <c r="Y706" i="16"/>
  <c r="Y127" i="16"/>
  <c r="Y120" i="16"/>
  <c r="Y462" i="16"/>
  <c r="Y610" i="16"/>
  <c r="Y318" i="16"/>
  <c r="Y128" i="16"/>
  <c r="Y413" i="16"/>
  <c r="Y48" i="16"/>
  <c r="Y816" i="16"/>
  <c r="Y100" i="16"/>
  <c r="Y613" i="16"/>
  <c r="Y659" i="16"/>
  <c r="Y366" i="16"/>
  <c r="Y112" i="16"/>
  <c r="Y167" i="16"/>
  <c r="Y50" i="16"/>
  <c r="Y353" i="16"/>
  <c r="Y431" i="16"/>
  <c r="Y586" i="16"/>
  <c r="Y162" i="16"/>
  <c r="Y26" i="16"/>
  <c r="Y409" i="16"/>
  <c r="Y757" i="16"/>
  <c r="Y576" i="16"/>
  <c r="Y98" i="16"/>
  <c r="Y312" i="16"/>
  <c r="Y397" i="16"/>
  <c r="Y526" i="16"/>
  <c r="Y51" i="16"/>
  <c r="Y325" i="16"/>
  <c r="Y234" i="16"/>
  <c r="Y93" i="16"/>
  <c r="Y617" i="16"/>
  <c r="Y355" i="16"/>
  <c r="Y143" i="16"/>
  <c r="Y764" i="16"/>
  <c r="Y360" i="16"/>
  <c r="Y621" i="16"/>
  <c r="Y761" i="16"/>
  <c r="Y2" i="16"/>
  <c r="Y484" i="16"/>
  <c r="Y195" i="16"/>
  <c r="Y746" i="16"/>
  <c r="Y31" i="16"/>
  <c r="Y154" i="16"/>
  <c r="Y174" i="16"/>
  <c r="Y320" i="16"/>
  <c r="Y313" i="16"/>
  <c r="Y455" i="16"/>
  <c r="Y809" i="16"/>
  <c r="Y726" i="16"/>
  <c r="Y795" i="16"/>
  <c r="Y457" i="16"/>
  <c r="Y463" i="16"/>
  <c r="Y349" i="16"/>
  <c r="Y218" i="16"/>
  <c r="Y173" i="16"/>
  <c r="Y70" i="16"/>
  <c r="Y689" i="16"/>
  <c r="Y567" i="16"/>
  <c r="Y499" i="16"/>
  <c r="Y507" i="16"/>
  <c r="Y439" i="16"/>
  <c r="Y381" i="16"/>
  <c r="Y800" i="16"/>
  <c r="Y519" i="16"/>
  <c r="Y715" i="16"/>
  <c r="Y197" i="16"/>
  <c r="Y277" i="16"/>
  <c r="Y165" i="16"/>
  <c r="Y140" i="16"/>
  <c r="Y352" i="16"/>
  <c r="Y642" i="16"/>
  <c r="Y323" i="16"/>
  <c r="Y607" i="16"/>
  <c r="Y566" i="16"/>
  <c r="Y222" i="16"/>
  <c r="Y686" i="16"/>
  <c r="Y404" i="16"/>
  <c r="Y446" i="16"/>
  <c r="Y685" i="16"/>
  <c r="Y551" i="16"/>
  <c r="Y231" i="16"/>
  <c r="Y664" i="16"/>
  <c r="Y331" i="16"/>
  <c r="Y805" i="16"/>
  <c r="Y87" i="16"/>
  <c r="Y179" i="16"/>
  <c r="Y611" i="16"/>
  <c r="Y232" i="16"/>
  <c r="Y386" i="16"/>
  <c r="Y560" i="16"/>
  <c r="Y784" i="16"/>
  <c r="Y241" i="16"/>
  <c r="Y447" i="16"/>
  <c r="Y688" i="16"/>
  <c r="Y815" i="16"/>
  <c r="Y212" i="16"/>
  <c r="Y654" i="16"/>
  <c r="Y772" i="16"/>
  <c r="Y636" i="16"/>
  <c r="Y6" i="16"/>
  <c r="Y716" i="16"/>
  <c r="Y520" i="16"/>
  <c r="Y590" i="16"/>
  <c r="Y259" i="16"/>
  <c r="Y371" i="16"/>
  <c r="Y811" i="16"/>
  <c r="Y362" i="16"/>
  <c r="Y145" i="16"/>
  <c r="Y729" i="16"/>
  <c r="Y45" i="16"/>
  <c r="Y486" i="16"/>
  <c r="Y734" i="16"/>
  <c r="Y89" i="16"/>
  <c r="Y477" i="16"/>
  <c r="Y574" i="16"/>
  <c r="Y9" i="16"/>
  <c r="Y71" i="16"/>
  <c r="Y510" i="16"/>
  <c r="Y583" i="16"/>
  <c r="Y804" i="16"/>
  <c r="Y561" i="16"/>
  <c r="Y724" i="16"/>
  <c r="Y684" i="16"/>
  <c r="Y357" i="16"/>
  <c r="Y780" i="16"/>
  <c r="Y399" i="16"/>
  <c r="Y453" i="16"/>
  <c r="Y708" i="16"/>
  <c r="Y481" i="16"/>
  <c r="Y398" i="16"/>
  <c r="Y437" i="16"/>
  <c r="Y643" i="16"/>
  <c r="Y537" i="16"/>
  <c r="Y459" i="16"/>
  <c r="Y253" i="16"/>
  <c r="Y569" i="16"/>
  <c r="Y92" i="16"/>
  <c r="Y136" i="16"/>
  <c r="Y261" i="16"/>
  <c r="Y207" i="16"/>
  <c r="Y491" i="16"/>
  <c r="Y389" i="16"/>
  <c r="Y43" i="16"/>
  <c r="Y137" i="16"/>
  <c r="Y467" i="16"/>
  <c r="Y443" i="16"/>
  <c r="Y126" i="16"/>
  <c r="Y776" i="16"/>
  <c r="Y169" i="16"/>
  <c r="Y346" i="16"/>
  <c r="Y334" i="16"/>
  <c r="Y387" i="16"/>
  <c r="Y442" i="16"/>
  <c r="Y73" i="16"/>
  <c r="Y303" i="16"/>
  <c r="Y54" i="16"/>
  <c r="Y263" i="16"/>
  <c r="Y792" i="16"/>
  <c r="Y703" i="16"/>
  <c r="Y279" i="16"/>
  <c r="Y315" i="16"/>
  <c r="Y210" i="16"/>
  <c r="Y403" i="16"/>
  <c r="Y65" i="16"/>
  <c r="Y227" i="16"/>
  <c r="Y339" i="16"/>
  <c r="Y239" i="16"/>
  <c r="Y105" i="16"/>
  <c r="Y147" i="16"/>
  <c r="Y681" i="16"/>
  <c r="Y628" i="16"/>
  <c r="Y599" i="16"/>
  <c r="Y753" i="16"/>
  <c r="Y17" i="16"/>
  <c r="Y527" i="16"/>
  <c r="Y476" i="16"/>
  <c r="Y458" i="16"/>
  <c r="Y631" i="16"/>
  <c r="Y109" i="16"/>
  <c r="Y564" i="16"/>
  <c r="Y194" i="16"/>
  <c r="Y203" i="16"/>
  <c r="Y385" i="16"/>
  <c r="Y328" i="16"/>
  <c r="Y603" i="16"/>
  <c r="Y506" i="16"/>
  <c r="Y307" i="16"/>
  <c r="Y483" i="16"/>
  <c r="Y713" i="16"/>
  <c r="Y106" i="16"/>
  <c r="Y367" i="16"/>
  <c r="Y500" i="16"/>
  <c r="Y224" i="16"/>
  <c r="Y260" i="16"/>
  <c r="Y493" i="16"/>
  <c r="Y172" i="16"/>
  <c r="Y543" i="16"/>
  <c r="Y766" i="16"/>
  <c r="Y461" i="16"/>
  <c r="Y545" i="16"/>
  <c r="Y240" i="16"/>
  <c r="Y329" i="16"/>
  <c r="Y151" i="16"/>
  <c r="Y532" i="16"/>
  <c r="Y429" i="16"/>
  <c r="Y692" i="16"/>
  <c r="Y85" i="16"/>
  <c r="Y517" i="16"/>
  <c r="Y354" i="16"/>
  <c r="Y400" i="16"/>
  <c r="Y58" i="16"/>
  <c r="Y288" i="16"/>
  <c r="Y803" i="16"/>
  <c r="Y146" i="16"/>
  <c r="Y705" i="16"/>
  <c r="Y116" i="16"/>
  <c r="Y741" i="16"/>
  <c r="Y538" i="16"/>
  <c r="Y117" i="16"/>
  <c r="Y351" i="16"/>
  <c r="Y694" i="16"/>
  <c r="Y605" i="16"/>
  <c r="Y102" i="16"/>
  <c r="Y794" i="16"/>
  <c r="Y132" i="16"/>
  <c r="Y343" i="16"/>
  <c r="Y480" i="16"/>
  <c r="Y616" i="16"/>
  <c r="Y273" i="16"/>
  <c r="Y266" i="16"/>
  <c r="Y488" i="16"/>
  <c r="Y655" i="16"/>
  <c r="Y144" i="16"/>
  <c r="Y682" i="16"/>
  <c r="Y369" i="16"/>
  <c r="Y316" i="16"/>
  <c r="Y773" i="16"/>
  <c r="Y209" i="16"/>
  <c r="Y337" i="16"/>
  <c r="Y192" i="16"/>
  <c r="Y802" i="16"/>
  <c r="Y612" i="16"/>
  <c r="Y505" i="16"/>
  <c r="Y164" i="16"/>
  <c r="Y278" i="16"/>
  <c r="Y441" i="16"/>
  <c r="Y141" i="16"/>
  <c r="Y701" i="16"/>
  <c r="Y745" i="16"/>
  <c r="Y125" i="16"/>
  <c r="Y662" i="16"/>
  <c r="Y245" i="16"/>
  <c r="Y514" i="16"/>
  <c r="Y820" i="16"/>
  <c r="Y563" i="16"/>
  <c r="Y285" i="16"/>
  <c r="Y40" i="16"/>
  <c r="Y190" i="16"/>
  <c r="Y767" i="16"/>
  <c r="Y417" i="16"/>
  <c r="Y46" i="16"/>
  <c r="Y142" i="16"/>
  <c r="Y213" i="16"/>
  <c r="Y700" i="16"/>
  <c r="Y451" i="16"/>
  <c r="Y204" i="16"/>
  <c r="Y176" i="16"/>
  <c r="Y556" i="16"/>
  <c r="Y427" i="16"/>
  <c r="Y435" i="16"/>
  <c r="Y768" i="16"/>
  <c r="Y177" i="16"/>
  <c r="Y550" i="16"/>
  <c r="Y408" i="16"/>
  <c r="Y518" i="16"/>
  <c r="Y639" i="16"/>
  <c r="Y57" i="16"/>
  <c r="Y580" i="16"/>
  <c r="Y75" i="16"/>
  <c r="Y99" i="16"/>
  <c r="Y548" i="16"/>
  <c r="Y738" i="16"/>
  <c r="Y187" i="16"/>
  <c r="Y296" i="16"/>
  <c r="Y347" i="16"/>
  <c r="Y640" i="16"/>
  <c r="Y256" i="16"/>
  <c r="Y123" i="16"/>
  <c r="Y47" i="16"/>
  <c r="Y433" i="16"/>
  <c r="Y254" i="16"/>
  <c r="Y159" i="16"/>
  <c r="Y601" i="16"/>
  <c r="Y332" i="16"/>
  <c r="Y84" i="16"/>
  <c r="Y49" i="16"/>
  <c r="Y789" i="16"/>
  <c r="Y36" i="16"/>
  <c r="Y37" i="16"/>
  <c r="Y18" i="16"/>
  <c r="Y793" i="16"/>
  <c r="Y101" i="16"/>
  <c r="Y30" i="16"/>
  <c r="Y637" i="16"/>
  <c r="Y525" i="16"/>
  <c r="Y63" i="16"/>
  <c r="Y649" i="16"/>
  <c r="Y295" i="16"/>
  <c r="Y771" i="16"/>
  <c r="Y763" i="16"/>
  <c r="Y747" i="16"/>
  <c r="Y797" i="16"/>
  <c r="Y368" i="16"/>
  <c r="Y449" i="16"/>
  <c r="Y223" i="16"/>
  <c r="Y539" i="16"/>
  <c r="Y305" i="16"/>
  <c r="Y33" i="16"/>
  <c r="Y667" i="16"/>
  <c r="Y249" i="16"/>
  <c r="Y237" i="16"/>
  <c r="Y720" i="16"/>
  <c r="Y170" i="16"/>
  <c r="Y269" i="16"/>
  <c r="Y286" i="16"/>
  <c r="Y219" i="16"/>
  <c r="Y300" i="16"/>
  <c r="Y676" i="16"/>
  <c r="Y424" i="16"/>
  <c r="Y730" i="16"/>
  <c r="Y604" i="16"/>
  <c r="Y570" i="16"/>
  <c r="Y321" i="16"/>
  <c r="Y276" i="16"/>
  <c r="Y647" i="16"/>
  <c r="Y262" i="16"/>
  <c r="Y83" i="16"/>
  <c r="Y267" i="16"/>
  <c r="Y69" i="16"/>
  <c r="Y375" i="16"/>
  <c r="Y629" i="16"/>
  <c r="Y97" i="16"/>
  <c r="Y290" i="16"/>
  <c r="Y428" i="16"/>
  <c r="Y364" i="16"/>
  <c r="Y544" i="16"/>
  <c r="Y178" i="16"/>
  <c r="Y149" i="16"/>
  <c r="Y166" i="16"/>
  <c r="Y376" i="16"/>
  <c r="Y242" i="16"/>
  <c r="Y565" i="16"/>
  <c r="Y690" i="16"/>
  <c r="Y336" i="16"/>
  <c r="Y502" i="16"/>
  <c r="Y420" i="16"/>
  <c r="Y807" i="16"/>
  <c r="Y228" i="16"/>
  <c r="Y593" i="16"/>
  <c r="Y436" i="16"/>
  <c r="Y717" i="16"/>
  <c r="Y94" i="16"/>
  <c r="Y748" i="16"/>
  <c r="Y379" i="16"/>
  <c r="Y42" i="16"/>
  <c r="Y229" i="16"/>
  <c r="Y750" i="16"/>
  <c r="Y711" i="16"/>
  <c r="Y233" i="16"/>
  <c r="Y432" i="16"/>
  <c r="Y779" i="16"/>
  <c r="Y673" i="16"/>
  <c r="Y66" i="16"/>
  <c r="Y302" i="16"/>
  <c r="Y281" i="16"/>
  <c r="Y250" i="16"/>
  <c r="Y153" i="16"/>
  <c r="Y799" i="16"/>
  <c r="Y756" i="16"/>
  <c r="Y15" i="16"/>
  <c r="Y464" i="16"/>
  <c r="Y280" i="16"/>
  <c r="Y257" i="16"/>
  <c r="Y11" i="16"/>
  <c r="Y27" i="16"/>
  <c r="Y579" i="16"/>
  <c r="Y582" i="16"/>
  <c r="Y383" i="16"/>
  <c r="Y258" i="16"/>
  <c r="Y406" i="16"/>
  <c r="Y450" i="16"/>
  <c r="Y53" i="16"/>
  <c r="Y635" i="16"/>
  <c r="Y274" i="16"/>
  <c r="Y775" i="16"/>
  <c r="Y410" i="16"/>
  <c r="Y52" i="16"/>
  <c r="Y311" i="16"/>
  <c r="Y309" i="16"/>
  <c r="Y130" i="16"/>
  <c r="Y377" i="16"/>
  <c r="Y572" i="16"/>
  <c r="Y732" i="16"/>
  <c r="Y12" i="16"/>
  <c r="Y704" i="16"/>
  <c r="Y600" i="16"/>
  <c r="Y423" i="16"/>
  <c r="Y161" i="16"/>
  <c r="Y188" i="16"/>
  <c r="Y749" i="16"/>
  <c r="Y568" i="16"/>
  <c r="Y469" i="16"/>
  <c r="Y495" i="16"/>
  <c r="Y284" i="16"/>
  <c r="Y76" i="16"/>
  <c r="Y650" i="16"/>
  <c r="Y246" i="16"/>
  <c r="Y150" i="16"/>
  <c r="Y356" i="16"/>
  <c r="Y16" i="16"/>
  <c r="Y595" i="16"/>
  <c r="Y536" i="16"/>
  <c r="Y326" i="16"/>
  <c r="Y523" i="16"/>
  <c r="Y675" i="16"/>
  <c r="Y547" i="16"/>
  <c r="Y454" i="16"/>
  <c r="Y742" i="16"/>
  <c r="Y596" i="16"/>
  <c r="Y193" i="16"/>
  <c r="Y282" i="16"/>
  <c r="Y648" i="16"/>
  <c r="Y625" i="16"/>
  <c r="Y559" i="16"/>
  <c r="Y341" i="16"/>
  <c r="Y501" i="16"/>
  <c r="Y422" i="16"/>
  <c r="Y293" i="16"/>
  <c r="Y680" i="16"/>
  <c r="Y624" i="16"/>
  <c r="Y310" i="16"/>
  <c r="Y697" i="16"/>
  <c r="Y657" i="16"/>
  <c r="Y677" i="16"/>
  <c r="Y208" i="16"/>
  <c r="Y196" i="16"/>
  <c r="Y515" i="16"/>
  <c r="Y158" i="16"/>
  <c r="Y298" i="16"/>
  <c r="Y440" i="16"/>
  <c r="Y156" i="16"/>
  <c r="Y230" i="16"/>
  <c r="Y79" i="16"/>
  <c r="Y503" i="16"/>
  <c r="Y419" i="16"/>
  <c r="Y731" i="16"/>
  <c r="Y790" i="16"/>
  <c r="Y581" i="16"/>
  <c r="Y651" i="16"/>
  <c r="Y24" i="16"/>
  <c r="Y541" i="16"/>
  <c r="Y20" i="16"/>
  <c r="Y791" i="16"/>
  <c r="Y103" i="16"/>
  <c r="Y139" i="16"/>
  <c r="Y760" i="16"/>
  <c r="Y62" i="16"/>
  <c r="Y620" i="16"/>
  <c r="Y163" i="16"/>
  <c r="Y393" i="16"/>
  <c r="Y822" i="16"/>
  <c r="Y32" i="16"/>
  <c r="Y786" i="16"/>
  <c r="Y494" i="16"/>
  <c r="Y322" i="16"/>
  <c r="Y226" i="16"/>
  <c r="Y289" i="16"/>
  <c r="Y382" i="16"/>
  <c r="Y317" i="16"/>
  <c r="Y23" i="16"/>
  <c r="Y557" i="16"/>
  <c r="Y220" i="16"/>
  <c r="Y674" i="16"/>
  <c r="Y28" i="16"/>
  <c r="Y508" i="16"/>
  <c r="Y184" i="16"/>
  <c r="Y202" i="16"/>
  <c r="Y191" i="16"/>
  <c r="Y301" i="16"/>
  <c r="Y513" i="16"/>
  <c r="Y668" i="16"/>
  <c r="Y785" i="16"/>
  <c r="Y252" i="16"/>
  <c r="Y669" i="16"/>
  <c r="Y225" i="16"/>
  <c r="Y663" i="16"/>
  <c r="Y361" i="16"/>
  <c r="Y644" i="16"/>
  <c r="Y211" i="16"/>
  <c r="Y135" i="16"/>
  <c r="Y645" i="16"/>
  <c r="Y614" i="16"/>
  <c r="Y627" i="16"/>
  <c r="Y251" i="16"/>
  <c r="Y485" i="16"/>
  <c r="Y806" i="16"/>
  <c r="Y609" i="16"/>
  <c r="Y665" i="16"/>
  <c r="Y555" i="16"/>
  <c r="Y702" i="16"/>
  <c r="Y189" i="16"/>
  <c r="Y678" i="16"/>
  <c r="Y529" i="16"/>
  <c r="Y7" i="16"/>
  <c r="Y589" i="16"/>
  <c r="Y598" i="16"/>
  <c r="Y275" i="16"/>
  <c r="Y247" i="16"/>
  <c r="Y736" i="16"/>
  <c r="Y632" i="16"/>
  <c r="Y133" i="16"/>
  <c r="Y68" i="16"/>
  <c r="Y342" i="16"/>
  <c r="Y4" i="16"/>
  <c r="Y80" i="16"/>
  <c r="Y546" i="16"/>
  <c r="Y687" i="16"/>
  <c r="Y271" i="16"/>
  <c r="Y363" i="16"/>
  <c r="Y327" i="16"/>
  <c r="Y272" i="16"/>
  <c r="Y215" i="16"/>
  <c r="Y552" i="16"/>
  <c r="Y90" i="16"/>
  <c r="Y175" i="16"/>
  <c r="Y471" i="16"/>
  <c r="Y8" i="16"/>
  <c r="Y391" i="16"/>
  <c r="Y214" i="16"/>
  <c r="Y264" i="16"/>
  <c r="Y755" i="16"/>
  <c r="Y67" i="16"/>
  <c r="Y470" i="16"/>
  <c r="Y671" i="16"/>
  <c r="Y722" i="16"/>
  <c r="Y235" i="16"/>
  <c r="Y465" i="16"/>
  <c r="Y585" i="16"/>
  <c r="Y619" i="16"/>
  <c r="Y350" i="16"/>
  <c r="Y411" i="16"/>
  <c r="Y588" i="16"/>
  <c r="Y107" i="16"/>
  <c r="Y594" i="16"/>
  <c r="Y129" i="16"/>
  <c r="Y91" i="16"/>
  <c r="Y221" i="16"/>
  <c r="Y335" i="16"/>
  <c r="Y691" i="16"/>
  <c r="Y113" i="16"/>
  <c r="Y658" i="16"/>
  <c r="Y752" i="16"/>
  <c r="Y330" i="16"/>
  <c r="Y489" i="16"/>
  <c r="Y530" i="16"/>
  <c r="Y521" i="16"/>
  <c r="Y679" i="16"/>
  <c r="Y44" i="16"/>
  <c r="Y512" i="16"/>
  <c r="Y418" i="16"/>
  <c r="Y402" i="16"/>
  <c r="Y478" i="16"/>
  <c r="U591" i="19"/>
  <c r="O585" i="19"/>
  <c r="Q587" i="19"/>
  <c r="S589" i="19"/>
  <c r="N584" i="19"/>
  <c r="X594" i="19"/>
  <c r="T590" i="19"/>
  <c r="V592" i="19"/>
  <c r="Y595" i="19"/>
  <c r="W593" i="19"/>
  <c r="P586" i="19"/>
  <c r="R588" i="19"/>
  <c r="N214" i="19"/>
  <c r="U221" i="19"/>
  <c r="T220" i="19"/>
  <c r="X224" i="19"/>
  <c r="Q217" i="19"/>
  <c r="R218" i="19"/>
  <c r="S219" i="19"/>
  <c r="P216" i="19"/>
  <c r="V222" i="19"/>
  <c r="W223" i="19"/>
  <c r="O215" i="19"/>
  <c r="Y225" i="19"/>
  <c r="U616" i="19"/>
  <c r="O610" i="19"/>
  <c r="V617" i="19"/>
  <c r="Q612" i="19"/>
  <c r="X619" i="19"/>
  <c r="S614" i="19"/>
  <c r="N609" i="19"/>
  <c r="T615" i="19"/>
  <c r="P611" i="19"/>
  <c r="Y620" i="19"/>
  <c r="W618" i="19"/>
  <c r="R613" i="19"/>
  <c r="Q488" i="19"/>
  <c r="X495" i="19"/>
  <c r="R489" i="19"/>
  <c r="Y496" i="19"/>
  <c r="W494" i="19"/>
  <c r="V493" i="19"/>
  <c r="N485" i="19"/>
  <c r="O486" i="19"/>
  <c r="U492" i="19"/>
  <c r="T491" i="19"/>
  <c r="S490" i="19"/>
  <c r="P487" i="19"/>
  <c r="T197" i="19"/>
  <c r="N191" i="19"/>
  <c r="U198" i="19"/>
  <c r="Y202" i="19"/>
  <c r="P193" i="19"/>
  <c r="V199" i="19"/>
  <c r="W200" i="19"/>
  <c r="X201" i="19"/>
  <c r="O192" i="19"/>
  <c r="R195" i="19"/>
  <c r="Q194" i="19"/>
  <c r="S196" i="19"/>
  <c r="T626" i="19"/>
  <c r="N620" i="19"/>
  <c r="V628" i="19"/>
  <c r="Q623" i="19"/>
  <c r="Y631" i="19"/>
  <c r="W629" i="19"/>
  <c r="U627" i="19"/>
  <c r="O621" i="19"/>
  <c r="X630" i="19"/>
  <c r="S625" i="19"/>
  <c r="R624" i="19"/>
  <c r="P622" i="19"/>
  <c r="W817" i="19"/>
  <c r="Y819" i="19"/>
  <c r="R812" i="19"/>
  <c r="O809" i="19"/>
  <c r="N808" i="19"/>
  <c r="Q811" i="19"/>
  <c r="P810" i="19"/>
  <c r="V816" i="19"/>
  <c r="U815" i="19"/>
  <c r="S813" i="19"/>
  <c r="T814" i="19"/>
  <c r="X818" i="19"/>
  <c r="N349" i="19"/>
  <c r="W358" i="19"/>
  <c r="S354" i="19"/>
  <c r="O350" i="19"/>
  <c r="X359" i="19"/>
  <c r="U356" i="19"/>
  <c r="Y360" i="19"/>
  <c r="V357" i="19"/>
  <c r="R353" i="19"/>
  <c r="Q352" i="19"/>
  <c r="T355" i="19"/>
  <c r="P351" i="19"/>
  <c r="Y642" i="19"/>
  <c r="S636" i="19"/>
  <c r="U638" i="19"/>
  <c r="V639" i="19"/>
  <c r="Q634" i="19"/>
  <c r="N631" i="19"/>
  <c r="P633" i="19"/>
  <c r="R635" i="19"/>
  <c r="O632" i="19"/>
  <c r="T637" i="19"/>
  <c r="W640" i="19"/>
  <c r="X641" i="19"/>
  <c r="W36" i="19"/>
  <c r="R31" i="19"/>
  <c r="V35" i="19"/>
  <c r="S32" i="19"/>
  <c r="O28" i="19"/>
  <c r="X37" i="19"/>
  <c r="Q30" i="19"/>
  <c r="Y38" i="19"/>
  <c r="T33" i="19"/>
  <c r="N27" i="19"/>
  <c r="P29" i="19"/>
  <c r="U34" i="19"/>
  <c r="Y471" i="19"/>
  <c r="S465" i="19"/>
  <c r="W469" i="19"/>
  <c r="R464" i="19"/>
  <c r="T466" i="19"/>
  <c r="P462" i="19"/>
  <c r="X470" i="19"/>
  <c r="Q463" i="19"/>
  <c r="U467" i="19"/>
  <c r="N460" i="19"/>
  <c r="V468" i="19"/>
  <c r="O461" i="19"/>
  <c r="N244" i="19"/>
  <c r="U251" i="19"/>
  <c r="X254" i="19"/>
  <c r="W253" i="19"/>
  <c r="P246" i="19"/>
  <c r="V252" i="19"/>
  <c r="O245" i="19"/>
  <c r="R248" i="19"/>
  <c r="S249" i="19"/>
  <c r="Y255" i="19"/>
  <c r="Q247" i="19"/>
  <c r="T250" i="19"/>
  <c r="V215" i="19"/>
  <c r="S212" i="19"/>
  <c r="O208" i="19"/>
  <c r="X217" i="19"/>
  <c r="W216" i="19"/>
  <c r="P209" i="19"/>
  <c r="Q210" i="19"/>
  <c r="U214" i="19"/>
  <c r="R211" i="19"/>
  <c r="N207" i="19"/>
  <c r="Y218" i="19"/>
  <c r="T213" i="19"/>
  <c r="R285" i="19"/>
  <c r="Y292" i="19"/>
  <c r="S286" i="19"/>
  <c r="N281" i="19"/>
  <c r="Q284" i="19"/>
  <c r="T287" i="19"/>
  <c r="V289" i="19"/>
  <c r="P283" i="19"/>
  <c r="W290" i="19"/>
  <c r="O282" i="19"/>
  <c r="X291" i="19"/>
  <c r="U288" i="19"/>
  <c r="P201" i="19"/>
  <c r="Y210" i="19"/>
  <c r="U206" i="19"/>
  <c r="X209" i="19"/>
  <c r="W208" i="19"/>
  <c r="N199" i="19"/>
  <c r="V207" i="19"/>
  <c r="R203" i="19"/>
  <c r="O200" i="19"/>
  <c r="T205" i="19"/>
  <c r="S204" i="19"/>
  <c r="Q202" i="19"/>
  <c r="Q270" i="19"/>
  <c r="X277" i="19"/>
  <c r="S272" i="19"/>
  <c r="O268" i="19"/>
  <c r="Y278" i="19"/>
  <c r="U274" i="19"/>
  <c r="W276" i="19"/>
  <c r="V275" i="19"/>
  <c r="T273" i="19"/>
  <c r="N267" i="19"/>
  <c r="P269" i="19"/>
  <c r="R271" i="19"/>
  <c r="N721" i="19"/>
  <c r="U728" i="19"/>
  <c r="O722" i="19"/>
  <c r="X731" i="19"/>
  <c r="T727" i="19"/>
  <c r="Q724" i="19"/>
  <c r="S726" i="19"/>
  <c r="R725" i="19"/>
  <c r="P723" i="19"/>
  <c r="Y732" i="19"/>
  <c r="V729" i="19"/>
  <c r="W730" i="19"/>
  <c r="R811" i="19"/>
  <c r="N807" i="19"/>
  <c r="X817" i="19"/>
  <c r="Q810" i="19"/>
  <c r="O808" i="19"/>
  <c r="W816" i="19"/>
  <c r="S812" i="19"/>
  <c r="P809" i="19"/>
  <c r="V815" i="19"/>
  <c r="T813" i="19"/>
  <c r="Y818" i="19"/>
  <c r="U814" i="19"/>
  <c r="D780" i="19"/>
  <c r="T450" i="19"/>
  <c r="N444" i="19"/>
  <c r="U451" i="19"/>
  <c r="Y455" i="19"/>
  <c r="S449" i="19"/>
  <c r="Q447" i="19"/>
  <c r="P446" i="19"/>
  <c r="W453" i="19"/>
  <c r="X454" i="19"/>
  <c r="O445" i="19"/>
  <c r="V452" i="19"/>
  <c r="R448" i="19"/>
  <c r="W797" i="19"/>
  <c r="S793" i="19"/>
  <c r="X798" i="19"/>
  <c r="Q791" i="19"/>
  <c r="Y799" i="19"/>
  <c r="U795" i="19"/>
  <c r="T794" i="19"/>
  <c r="R792" i="19"/>
  <c r="V796" i="19"/>
  <c r="P790" i="19"/>
  <c r="N788" i="19"/>
  <c r="O789" i="19"/>
  <c r="Y541" i="19"/>
  <c r="U537" i="19"/>
  <c r="Q533" i="19"/>
  <c r="W539" i="19"/>
  <c r="R534" i="19"/>
  <c r="N530" i="19"/>
  <c r="X540" i="19"/>
  <c r="O531" i="19"/>
  <c r="S535" i="19"/>
  <c r="P532" i="19"/>
  <c r="T536" i="19"/>
  <c r="V538" i="19"/>
  <c r="Q767" i="19"/>
  <c r="X774" i="19"/>
  <c r="S769" i="19"/>
  <c r="Y775" i="19"/>
  <c r="O765" i="19"/>
  <c r="U771" i="19"/>
  <c r="W773" i="19"/>
  <c r="P766" i="19"/>
  <c r="V772" i="19"/>
  <c r="N764" i="19"/>
  <c r="R768" i="19"/>
  <c r="T770" i="19"/>
  <c r="V211" i="19"/>
  <c r="X213" i="19"/>
  <c r="T209" i="19"/>
  <c r="P205" i="19"/>
  <c r="Q206" i="19"/>
  <c r="W212" i="19"/>
  <c r="N203" i="19"/>
  <c r="U210" i="19"/>
  <c r="S208" i="19"/>
  <c r="R207" i="19"/>
  <c r="Y214" i="19"/>
  <c r="O204" i="19"/>
  <c r="U536" i="19"/>
  <c r="V537" i="19"/>
  <c r="R533" i="19"/>
  <c r="X539" i="19"/>
  <c r="O530" i="19"/>
  <c r="S534" i="19"/>
  <c r="N529" i="19"/>
  <c r="Y540" i="19"/>
  <c r="Q532" i="19"/>
  <c r="P531" i="19"/>
  <c r="W538" i="19"/>
  <c r="T535" i="19"/>
  <c r="Y582" i="19"/>
  <c r="U578" i="19"/>
  <c r="Q574" i="19"/>
  <c r="N571" i="19"/>
  <c r="W580" i="19"/>
  <c r="T577" i="19"/>
  <c r="V579" i="19"/>
  <c r="S576" i="19"/>
  <c r="X581" i="19"/>
  <c r="R575" i="19"/>
  <c r="P573" i="19"/>
  <c r="O572" i="19"/>
  <c r="T306" i="19"/>
  <c r="V308" i="19"/>
  <c r="Q303" i="19"/>
  <c r="U307" i="19"/>
  <c r="X310" i="19"/>
  <c r="W309" i="19"/>
  <c r="N300" i="19"/>
  <c r="R304" i="19"/>
  <c r="O301" i="19"/>
  <c r="P302" i="19"/>
  <c r="Y311" i="19"/>
  <c r="S305" i="19"/>
  <c r="T316" i="19"/>
  <c r="V318" i="19"/>
  <c r="W319" i="19"/>
  <c r="R314" i="19"/>
  <c r="N310" i="19"/>
  <c r="Y321" i="19"/>
  <c r="S315" i="19"/>
  <c r="U317" i="19"/>
  <c r="X320" i="19"/>
  <c r="P312" i="19"/>
  <c r="O311" i="19"/>
  <c r="Q313" i="19"/>
  <c r="N795" i="19"/>
  <c r="W804" i="19"/>
  <c r="P797" i="19"/>
  <c r="U802" i="19"/>
  <c r="O796" i="19"/>
  <c r="V803" i="19"/>
  <c r="T801" i="19"/>
  <c r="Q798" i="19"/>
  <c r="Y806" i="19"/>
  <c r="R799" i="19"/>
  <c r="S800" i="19"/>
  <c r="X805" i="19"/>
  <c r="P635" i="19"/>
  <c r="W642" i="19"/>
  <c r="Y644" i="19"/>
  <c r="T639" i="19"/>
  <c r="O634" i="19"/>
  <c r="N633" i="19"/>
  <c r="X643" i="19"/>
  <c r="R637" i="19"/>
  <c r="Q636" i="19"/>
  <c r="S638" i="19"/>
  <c r="V641" i="19"/>
  <c r="U640" i="19"/>
  <c r="V55" i="20"/>
  <c r="AY23" i="10"/>
  <c r="AZ23" i="10" s="1"/>
  <c r="AY47" i="10"/>
  <c r="AZ47" i="10" s="1"/>
  <c r="AY37" i="10"/>
  <c r="AZ37" i="10" s="1"/>
  <c r="AY30" i="10"/>
  <c r="AZ30" i="10" s="1"/>
  <c r="AY13" i="10"/>
  <c r="AZ13" i="10" s="1"/>
  <c r="AY3" i="10"/>
  <c r="AZ3" i="10" s="1"/>
  <c r="AY53" i="10"/>
  <c r="AZ53" i="10" s="1"/>
  <c r="AY36" i="10"/>
  <c r="AZ36" i="10" s="1"/>
  <c r="AY12" i="10"/>
  <c r="AZ12" i="10" s="1"/>
  <c r="AY55" i="10"/>
  <c r="AZ55" i="10" s="1"/>
  <c r="AY54" i="10"/>
  <c r="AZ54" i="10" s="1"/>
  <c r="AY59" i="10"/>
  <c r="AZ59" i="10" s="1"/>
  <c r="AY52" i="10"/>
  <c r="AZ52" i="10" s="1"/>
  <c r="AY49" i="10"/>
  <c r="AZ49" i="10" s="1"/>
  <c r="AY60" i="10"/>
  <c r="AZ60" i="10" s="1"/>
  <c r="AY58" i="10"/>
  <c r="AZ58" i="10" s="1"/>
  <c r="AY57" i="10"/>
  <c r="AZ57" i="10" s="1"/>
  <c r="AY50" i="10"/>
  <c r="AZ50" i="10" s="1"/>
  <c r="AY46" i="10"/>
  <c r="AZ46" i="10" s="1"/>
  <c r="AY45" i="10"/>
  <c r="AZ45" i="10" s="1"/>
  <c r="AY43" i="10"/>
  <c r="AZ43" i="10" s="1"/>
  <c r="AY25" i="10"/>
  <c r="AZ25" i="10" s="1"/>
  <c r="AY67" i="10"/>
  <c r="AZ67" i="10" s="1"/>
  <c r="AY66" i="10"/>
  <c r="AZ66" i="10" s="1"/>
  <c r="AY62" i="10"/>
  <c r="AZ62" i="10" s="1"/>
  <c r="AY41" i="10"/>
  <c r="AZ41" i="10" s="1"/>
  <c r="AY31" i="10"/>
  <c r="AZ31" i="10" s="1"/>
  <c r="AY20" i="10"/>
  <c r="AZ20" i="10" s="1"/>
  <c r="AY11" i="10"/>
  <c r="AZ11" i="10" s="1"/>
  <c r="AY5" i="10"/>
  <c r="AZ5" i="10" s="1"/>
  <c r="AY42" i="10"/>
  <c r="AZ42" i="10" s="1"/>
  <c r="AY68" i="10"/>
  <c r="AZ68" i="10" s="1"/>
  <c r="AY63" i="10"/>
  <c r="AZ63" i="10" s="1"/>
  <c r="T40" i="10"/>
  <c r="AB75" i="16" s="1"/>
  <c r="AY32" i="10"/>
  <c r="AZ32" i="10" s="1"/>
  <c r="AY27" i="10"/>
  <c r="AZ27" i="10" s="1"/>
  <c r="AY21" i="10"/>
  <c r="AZ21" i="10" s="1"/>
  <c r="AY22" i="10"/>
  <c r="AZ22" i="10" s="1"/>
  <c r="AY38" i="10"/>
  <c r="AZ38" i="10" s="1"/>
  <c r="AY35" i="10"/>
  <c r="AZ35" i="10" s="1"/>
  <c r="AY51" i="10"/>
  <c r="AZ51" i="10" s="1"/>
  <c r="AY33" i="10"/>
  <c r="AZ33" i="10" s="1"/>
  <c r="AY6" i="10"/>
  <c r="AZ6" i="10" s="1"/>
  <c r="AY61" i="10"/>
  <c r="AZ61" i="10" s="1"/>
  <c r="AY15" i="10"/>
  <c r="AZ15" i="10" s="1"/>
  <c r="AY64" i="10"/>
  <c r="AZ64" i="10" s="1"/>
  <c r="AY28" i="10"/>
  <c r="AZ28" i="10" s="1"/>
  <c r="AY18" i="10"/>
  <c r="AZ18" i="10" s="1"/>
  <c r="AY44" i="10"/>
  <c r="AZ44" i="10" s="1"/>
  <c r="AY19" i="10"/>
  <c r="AZ19" i="10" s="1"/>
  <c r="AY9" i="10"/>
  <c r="AZ9" i="10" s="1"/>
  <c r="AY14" i="10"/>
  <c r="AZ14" i="10" s="1"/>
  <c r="AY8" i="10"/>
  <c r="AZ8" i="10" s="1"/>
  <c r="AY26" i="10"/>
  <c r="AZ26" i="10" s="1"/>
  <c r="AY16" i="10"/>
  <c r="AZ16" i="10" s="1"/>
  <c r="AY2" i="10"/>
  <c r="AZ2" i="10" s="1"/>
  <c r="AY4" i="10"/>
  <c r="AZ4" i="10" s="1"/>
  <c r="AY34" i="10"/>
  <c r="AZ34" i="10" s="1"/>
  <c r="AY17" i="10"/>
  <c r="AZ17" i="10" s="1"/>
  <c r="AY56" i="10"/>
  <c r="AZ56" i="10" s="1"/>
  <c r="AY65" i="10"/>
  <c r="AZ65" i="10" s="1"/>
  <c r="AY29" i="10"/>
  <c r="AZ29" i="10" s="1"/>
  <c r="AY39" i="10"/>
  <c r="AZ39" i="10" s="1"/>
  <c r="AY48" i="10"/>
  <c r="AZ48" i="10" s="1"/>
  <c r="AY10" i="10"/>
  <c r="AZ10" i="10" s="1"/>
  <c r="AY40" i="10"/>
  <c r="AZ40" i="10" s="1"/>
  <c r="AY7" i="10"/>
  <c r="AZ7" i="10" s="1"/>
  <c r="AY24" i="10"/>
  <c r="AZ24" i="10" s="1"/>
  <c r="AP50" i="19"/>
  <c r="AS51" i="19" s="1"/>
  <c r="J50" i="7"/>
  <c r="AP53" i="19"/>
  <c r="AS54" i="19" s="1"/>
  <c r="J53" i="7"/>
  <c r="U420" i="19"/>
  <c r="O414" i="19"/>
  <c r="V421" i="19"/>
  <c r="R417" i="19"/>
  <c r="S418" i="19"/>
  <c r="Q416" i="19"/>
  <c r="P415" i="19"/>
  <c r="X423" i="19"/>
  <c r="Y424" i="19"/>
  <c r="N413" i="19"/>
  <c r="W422" i="19"/>
  <c r="T419" i="19"/>
  <c r="V62" i="19"/>
  <c r="O55" i="19"/>
  <c r="U61" i="19"/>
  <c r="W63" i="19"/>
  <c r="T60" i="19"/>
  <c r="P56" i="19"/>
  <c r="X64" i="19"/>
  <c r="S59" i="19"/>
  <c r="N54" i="19"/>
  <c r="Q57" i="19"/>
  <c r="R58" i="19"/>
  <c r="Y65" i="19"/>
  <c r="S63" i="19"/>
  <c r="Y69" i="19"/>
  <c r="P60" i="19"/>
  <c r="W67" i="19"/>
  <c r="O59" i="19"/>
  <c r="V66" i="19"/>
  <c r="R62" i="19"/>
  <c r="T64" i="19"/>
  <c r="N58" i="19"/>
  <c r="Q61" i="19"/>
  <c r="U65" i="19"/>
  <c r="X68" i="19"/>
  <c r="O86" i="19"/>
  <c r="W94" i="19"/>
  <c r="Y96" i="19"/>
  <c r="Q88" i="19"/>
  <c r="U92" i="19"/>
  <c r="S90" i="19"/>
  <c r="T91" i="19"/>
  <c r="R89" i="19"/>
  <c r="P87" i="19"/>
  <c r="N85" i="19"/>
  <c r="V93" i="19"/>
  <c r="X95" i="19"/>
  <c r="R54" i="19"/>
  <c r="Q53" i="19"/>
  <c r="T56" i="19"/>
  <c r="X60" i="19"/>
  <c r="P52" i="19"/>
  <c r="U57" i="19"/>
  <c r="O51" i="19"/>
  <c r="N50" i="19"/>
  <c r="V58" i="19"/>
  <c r="Y61" i="19"/>
  <c r="S55" i="19"/>
  <c r="W59" i="19"/>
  <c r="S132" i="19"/>
  <c r="O128" i="19"/>
  <c r="R131" i="19"/>
  <c r="W136" i="19"/>
  <c r="U134" i="19"/>
  <c r="X137" i="19"/>
  <c r="T133" i="19"/>
  <c r="Y138" i="19"/>
  <c r="N127" i="19"/>
  <c r="P129" i="19"/>
  <c r="V135" i="19"/>
  <c r="Q130" i="19"/>
  <c r="N746" i="19"/>
  <c r="U753" i="19"/>
  <c r="O747" i="19"/>
  <c r="Q749" i="19"/>
  <c r="V754" i="19"/>
  <c r="X756" i="19"/>
  <c r="R750" i="19"/>
  <c r="S751" i="19"/>
  <c r="W755" i="19"/>
  <c r="P748" i="19"/>
  <c r="Y757" i="19"/>
  <c r="T752" i="19"/>
  <c r="P488" i="19"/>
  <c r="W495" i="19"/>
  <c r="T492" i="19"/>
  <c r="X496" i="19"/>
  <c r="V494" i="19"/>
  <c r="U493" i="19"/>
  <c r="Y497" i="19"/>
  <c r="S491" i="19"/>
  <c r="Q489" i="19"/>
  <c r="N486" i="19"/>
  <c r="R490" i="19"/>
  <c r="O487" i="19"/>
  <c r="X123" i="19"/>
  <c r="Y124" i="19"/>
  <c r="O114" i="19"/>
  <c r="Q116" i="19"/>
  <c r="P115" i="19"/>
  <c r="W122" i="19"/>
  <c r="U120" i="19"/>
  <c r="N113" i="19"/>
  <c r="T119" i="19"/>
  <c r="R117" i="19"/>
  <c r="S118" i="19"/>
  <c r="V121" i="19"/>
  <c r="T281" i="19"/>
  <c r="V283" i="19"/>
  <c r="U282" i="19"/>
  <c r="Y286" i="19"/>
  <c r="Q278" i="19"/>
  <c r="R279" i="19"/>
  <c r="P277" i="19"/>
  <c r="O276" i="19"/>
  <c r="N275" i="19"/>
  <c r="W284" i="19"/>
  <c r="X285" i="19"/>
  <c r="S280" i="19"/>
  <c r="U519" i="19"/>
  <c r="O513" i="19"/>
  <c r="V520" i="19"/>
  <c r="W521" i="19"/>
  <c r="R516" i="19"/>
  <c r="T518" i="19"/>
  <c r="P514" i="19"/>
  <c r="N512" i="19"/>
  <c r="Y523" i="19"/>
  <c r="S517" i="19"/>
  <c r="X522" i="19"/>
  <c r="Q515" i="19"/>
  <c r="AP42" i="19"/>
  <c r="AS43" i="19" s="1"/>
  <c r="J42" i="7"/>
  <c r="O141" i="19"/>
  <c r="N140" i="19"/>
  <c r="P142" i="19"/>
  <c r="Y151" i="19"/>
  <c r="U147" i="19"/>
  <c r="V148" i="19"/>
  <c r="S145" i="19"/>
  <c r="W149" i="19"/>
  <c r="Q143" i="19"/>
  <c r="T146" i="19"/>
  <c r="R144" i="19"/>
  <c r="X150" i="19"/>
  <c r="U375" i="19"/>
  <c r="Y379" i="19"/>
  <c r="Q371" i="19"/>
  <c r="N368" i="19"/>
  <c r="T374" i="19"/>
  <c r="X378" i="19"/>
  <c r="W377" i="19"/>
  <c r="S373" i="19"/>
  <c r="R372" i="19"/>
  <c r="P370" i="19"/>
  <c r="O369" i="19"/>
  <c r="V376" i="19"/>
  <c r="T82" i="19"/>
  <c r="U83" i="19"/>
  <c r="O77" i="19"/>
  <c r="Y87" i="19"/>
  <c r="W85" i="19"/>
  <c r="Q79" i="19"/>
  <c r="X86" i="19"/>
  <c r="V84" i="19"/>
  <c r="P78" i="19"/>
  <c r="R80" i="19"/>
  <c r="N76" i="19"/>
  <c r="S81" i="19"/>
  <c r="Y446" i="19"/>
  <c r="S440" i="19"/>
  <c r="W444" i="19"/>
  <c r="X445" i="19"/>
  <c r="V443" i="19"/>
  <c r="T441" i="19"/>
  <c r="N435" i="19"/>
  <c r="U442" i="19"/>
  <c r="P437" i="19"/>
  <c r="Q438" i="19"/>
  <c r="O436" i="19"/>
  <c r="R439" i="19"/>
  <c r="O131" i="19"/>
  <c r="W139" i="19"/>
  <c r="Q133" i="19"/>
  <c r="Y141" i="19"/>
  <c r="S135" i="19"/>
  <c r="U137" i="19"/>
  <c r="T136" i="19"/>
  <c r="P132" i="19"/>
  <c r="X140" i="19"/>
  <c r="N130" i="19"/>
  <c r="V138" i="19"/>
  <c r="R134" i="19"/>
  <c r="Y48" i="19"/>
  <c r="S42" i="19"/>
  <c r="W46" i="19"/>
  <c r="R41" i="19"/>
  <c r="T43" i="19"/>
  <c r="O38" i="19"/>
  <c r="N37" i="19"/>
  <c r="Q40" i="19"/>
  <c r="V45" i="19"/>
  <c r="U44" i="19"/>
  <c r="X47" i="19"/>
  <c r="P39" i="19"/>
  <c r="Q26" i="19"/>
  <c r="U30" i="19"/>
  <c r="Y34" i="19"/>
  <c r="T29" i="19"/>
  <c r="X33" i="19"/>
  <c r="N23" i="19"/>
  <c r="V31" i="19"/>
  <c r="P25" i="19"/>
  <c r="S28" i="19"/>
  <c r="R27" i="19"/>
  <c r="W32" i="19"/>
  <c r="O24" i="19"/>
  <c r="Q464" i="19"/>
  <c r="X471" i="19"/>
  <c r="R465" i="19"/>
  <c r="Y472" i="19"/>
  <c r="S466" i="19"/>
  <c r="O462" i="19"/>
  <c r="W470" i="19"/>
  <c r="T467" i="19"/>
  <c r="P463" i="19"/>
  <c r="V469" i="19"/>
  <c r="U468" i="19"/>
  <c r="N461" i="19"/>
  <c r="S87" i="19"/>
  <c r="P84" i="19"/>
  <c r="R86" i="19"/>
  <c r="X92" i="19"/>
  <c r="U89" i="19"/>
  <c r="V90" i="19"/>
  <c r="T88" i="19"/>
  <c r="Y93" i="19"/>
  <c r="Q85" i="19"/>
  <c r="N82" i="19"/>
  <c r="O83" i="19"/>
  <c r="W91" i="19"/>
  <c r="V753" i="19"/>
  <c r="P747" i="19"/>
  <c r="W754" i="19"/>
  <c r="R749" i="19"/>
  <c r="X755" i="19"/>
  <c r="N745" i="19"/>
  <c r="O746" i="19"/>
  <c r="Y756" i="19"/>
  <c r="S750" i="19"/>
  <c r="Q748" i="19"/>
  <c r="T751" i="19"/>
  <c r="U752" i="19"/>
  <c r="N810" i="19"/>
  <c r="W819" i="19"/>
  <c r="P812" i="19"/>
  <c r="X820" i="19"/>
  <c r="O811" i="19"/>
  <c r="T816" i="19"/>
  <c r="U817" i="19"/>
  <c r="V818" i="19"/>
  <c r="Q813" i="19"/>
  <c r="S815" i="19"/>
  <c r="R814" i="19"/>
  <c r="Y821" i="19"/>
  <c r="T107" i="19"/>
  <c r="U108" i="19"/>
  <c r="O102" i="19"/>
  <c r="V109" i="19"/>
  <c r="P103" i="19"/>
  <c r="X111" i="19"/>
  <c r="R105" i="19"/>
  <c r="N101" i="19"/>
  <c r="Y112" i="19"/>
  <c r="W110" i="19"/>
  <c r="Q104" i="19"/>
  <c r="S106" i="19"/>
  <c r="R335" i="19"/>
  <c r="Y342" i="19"/>
  <c r="S336" i="19"/>
  <c r="N331" i="19"/>
  <c r="Q334" i="19"/>
  <c r="O332" i="19"/>
  <c r="P333" i="19"/>
  <c r="X341" i="19"/>
  <c r="U338" i="19"/>
  <c r="W340" i="19"/>
  <c r="T337" i="19"/>
  <c r="V339" i="19"/>
  <c r="V351" i="19"/>
  <c r="P345" i="19"/>
  <c r="R347" i="19"/>
  <c r="U350" i="19"/>
  <c r="X353" i="19"/>
  <c r="T349" i="19"/>
  <c r="W352" i="19"/>
  <c r="Y354" i="19"/>
  <c r="S348" i="19"/>
  <c r="N343" i="19"/>
  <c r="Q346" i="19"/>
  <c r="O344" i="19"/>
  <c r="N334" i="19"/>
  <c r="U341" i="19"/>
  <c r="O335" i="19"/>
  <c r="X344" i="19"/>
  <c r="S339" i="19"/>
  <c r="W343" i="19"/>
  <c r="Y345" i="19"/>
  <c r="V342" i="19"/>
  <c r="P336" i="19"/>
  <c r="R338" i="19"/>
  <c r="T340" i="19"/>
  <c r="Q337" i="19"/>
  <c r="R722" i="19"/>
  <c r="Y729" i="19"/>
  <c r="S723" i="19"/>
  <c r="X728" i="19"/>
  <c r="W727" i="19"/>
  <c r="V726" i="19"/>
  <c r="U725" i="19"/>
  <c r="T724" i="19"/>
  <c r="Q721" i="19"/>
  <c r="O719" i="19"/>
  <c r="N718" i="19"/>
  <c r="P720" i="19"/>
  <c r="R757" i="19"/>
  <c r="Y764" i="19"/>
  <c r="S758" i="19"/>
  <c r="O754" i="19"/>
  <c r="U760" i="19"/>
  <c r="Q756" i="19"/>
  <c r="W762" i="19"/>
  <c r="P755" i="19"/>
  <c r="X763" i="19"/>
  <c r="T759" i="19"/>
  <c r="N753" i="19"/>
  <c r="V761" i="19"/>
  <c r="Q369" i="19"/>
  <c r="W375" i="19"/>
  <c r="S371" i="19"/>
  <c r="O367" i="19"/>
  <c r="X376" i="19"/>
  <c r="U373" i="19"/>
  <c r="R370" i="19"/>
  <c r="V374" i="19"/>
  <c r="T372" i="19"/>
  <c r="N366" i="19"/>
  <c r="Y377" i="19"/>
  <c r="P368" i="19"/>
  <c r="Y510" i="19"/>
  <c r="S504" i="19"/>
  <c r="O500" i="19"/>
  <c r="V507" i="19"/>
  <c r="P501" i="19"/>
  <c r="R503" i="19"/>
  <c r="U506" i="19"/>
  <c r="Q502" i="19"/>
  <c r="W508" i="19"/>
  <c r="X509" i="19"/>
  <c r="T505" i="19"/>
  <c r="N499" i="19"/>
  <c r="R712" i="19"/>
  <c r="Y719" i="19"/>
  <c r="S713" i="19"/>
  <c r="W717" i="19"/>
  <c r="V716" i="19"/>
  <c r="U715" i="19"/>
  <c r="N708" i="19"/>
  <c r="O709" i="19"/>
  <c r="T714" i="19"/>
  <c r="X718" i="19"/>
  <c r="P710" i="19"/>
  <c r="Q711" i="19"/>
  <c r="Q320" i="19"/>
  <c r="X327" i="19"/>
  <c r="V325" i="19"/>
  <c r="S322" i="19"/>
  <c r="N317" i="19"/>
  <c r="W326" i="19"/>
  <c r="U324" i="19"/>
  <c r="T323" i="19"/>
  <c r="Y328" i="19"/>
  <c r="O318" i="19"/>
  <c r="R321" i="19"/>
  <c r="P319" i="19"/>
  <c r="Y421" i="19"/>
  <c r="S415" i="19"/>
  <c r="P412" i="19"/>
  <c r="W419" i="19"/>
  <c r="U417" i="19"/>
  <c r="R414" i="19"/>
  <c r="X420" i="19"/>
  <c r="Q413" i="19"/>
  <c r="O411" i="19"/>
  <c r="V418" i="19"/>
  <c r="T416" i="19"/>
  <c r="N410" i="19"/>
  <c r="V728" i="19"/>
  <c r="P722" i="19"/>
  <c r="W729" i="19"/>
  <c r="U727" i="19"/>
  <c r="X730" i="19"/>
  <c r="N720" i="19"/>
  <c r="T726" i="19"/>
  <c r="Q723" i="19"/>
  <c r="O721" i="19"/>
  <c r="S725" i="19"/>
  <c r="R724" i="19"/>
  <c r="Y731" i="19"/>
  <c r="N806" i="20"/>
  <c r="N796" i="20"/>
  <c r="N816" i="20"/>
  <c r="N786" i="20"/>
  <c r="N735" i="20"/>
  <c r="N732" i="20"/>
  <c r="N710" i="20"/>
  <c r="N707" i="20"/>
  <c r="N685" i="20"/>
  <c r="N682" i="20"/>
  <c r="N798" i="20"/>
  <c r="N746" i="20"/>
  <c r="N721" i="20"/>
  <c r="N805" i="20"/>
  <c r="N772" i="20"/>
  <c r="N792" i="20"/>
  <c r="N823" i="20"/>
  <c r="N750" i="20"/>
  <c r="N747" i="20"/>
  <c r="N725" i="20"/>
  <c r="N722" i="20"/>
  <c r="N700" i="20"/>
  <c r="N697" i="20"/>
  <c r="N675" i="20"/>
  <c r="N672" i="20"/>
  <c r="N748" i="20"/>
  <c r="N602" i="20"/>
  <c r="N513" i="20"/>
  <c r="N418" i="20"/>
  <c r="N790" i="20"/>
  <c r="N765" i="20"/>
  <c r="N715" i="20"/>
  <c r="N564" i="20"/>
  <c r="N518" i="20"/>
  <c r="N358" i="20"/>
  <c r="N308" i="20"/>
  <c r="N752" i="20"/>
  <c r="N717" i="20"/>
  <c r="N684" i="20"/>
  <c r="N680" i="20"/>
  <c r="N523" i="20"/>
  <c r="N413" i="20"/>
  <c r="N811" i="20"/>
  <c r="N783" i="20"/>
  <c r="N781" i="20"/>
  <c r="N723" i="20"/>
  <c r="N650" i="20"/>
  <c r="N639" i="20"/>
  <c r="N637" i="20"/>
  <c r="N528" i="20"/>
  <c r="N373" i="20"/>
  <c r="N323" i="20"/>
  <c r="N690" i="20"/>
  <c r="N648" i="20"/>
  <c r="N620" i="20"/>
  <c r="N609" i="20"/>
  <c r="N607" i="20"/>
  <c r="N583" i="20"/>
  <c r="N533" i="20"/>
  <c r="N408" i="20"/>
  <c r="N737" i="20"/>
  <c r="N673" i="20"/>
  <c r="N659" i="20"/>
  <c r="N657" i="20"/>
  <c r="N579" i="20"/>
  <c r="N558" i="20"/>
  <c r="N458" i="20"/>
  <c r="N368" i="20"/>
  <c r="N318" i="20"/>
  <c r="N288" i="20"/>
  <c r="N278" i="20"/>
  <c r="N268" i="20"/>
  <c r="N258" i="20"/>
  <c r="N248" i="20"/>
  <c r="N795" i="20"/>
  <c r="N755" i="20"/>
  <c r="N742" i="20"/>
  <c r="N595" i="20"/>
  <c r="N567" i="20"/>
  <c r="N551" i="20"/>
  <c r="N549" i="20"/>
  <c r="N448" i="20"/>
  <c r="N433" i="20"/>
  <c r="N403" i="20"/>
  <c r="N401" i="20"/>
  <c r="N393" i="20"/>
  <c r="N298" i="20"/>
  <c r="N269" i="20"/>
  <c r="N217" i="20"/>
  <c r="N210" i="20"/>
  <c r="N61" i="20"/>
  <c r="N40" i="20"/>
  <c r="N29" i="20"/>
  <c r="N763" i="20"/>
  <c r="N731" i="20"/>
  <c r="N619" i="20"/>
  <c r="N328" i="20"/>
  <c r="N222" i="20"/>
  <c r="N215" i="20"/>
  <c r="N53" i="20"/>
  <c r="N23" i="20"/>
  <c r="N815" i="20"/>
  <c r="N780" i="20"/>
  <c r="N728" i="20"/>
  <c r="N681" i="20"/>
  <c r="N652" i="20"/>
  <c r="N640" i="20"/>
  <c r="N621" i="20"/>
  <c r="N597" i="20"/>
  <c r="N553" i="20"/>
  <c r="N466" i="20"/>
  <c r="N336" i="20"/>
  <c r="N304" i="20"/>
  <c r="N263" i="20"/>
  <c r="N227" i="20"/>
  <c r="N220" i="20"/>
  <c r="N812" i="20"/>
  <c r="N720" i="20"/>
  <c r="N662" i="20"/>
  <c r="N645" i="20"/>
  <c r="N468" i="20"/>
  <c r="N366" i="20"/>
  <c r="N338" i="20"/>
  <c r="N282" i="20"/>
  <c r="N232" i="20"/>
  <c r="N225" i="20"/>
  <c r="N777" i="20"/>
  <c r="N768" i="20"/>
  <c r="N736" i="20"/>
  <c r="N670" i="20"/>
  <c r="N667" i="20"/>
  <c r="N628" i="20"/>
  <c r="N544" i="20"/>
  <c r="N259" i="20"/>
  <c r="N237" i="20"/>
  <c r="N230" i="20"/>
  <c r="N38" i="20"/>
  <c r="N813" i="20"/>
  <c r="N600" i="20"/>
  <c r="N591" i="20"/>
  <c r="N571" i="20"/>
  <c r="N563" i="20"/>
  <c r="N516" i="20"/>
  <c r="N398" i="20"/>
  <c r="N348" i="20"/>
  <c r="N313" i="20"/>
  <c r="N303" i="20"/>
  <c r="N245" i="20"/>
  <c r="N207" i="20"/>
  <c r="N170" i="20"/>
  <c r="N162" i="20"/>
  <c r="N129" i="20"/>
  <c r="N70" i="20"/>
  <c r="N66" i="20"/>
  <c r="N59" i="20"/>
  <c r="N56" i="20"/>
  <c r="N42" i="20"/>
  <c r="N775" i="20"/>
  <c r="N701" i="20"/>
  <c r="N660" i="20"/>
  <c r="N543" i="20"/>
  <c r="N538" i="20"/>
  <c r="N353" i="20"/>
  <c r="N333" i="20"/>
  <c r="N184" i="20"/>
  <c r="N125" i="20"/>
  <c r="N117" i="20"/>
  <c r="N84" i="20"/>
  <c r="N65" i="20"/>
  <c r="N758" i="20"/>
  <c r="N617" i="20"/>
  <c r="N608" i="20"/>
  <c r="N461" i="20"/>
  <c r="N252" i="20"/>
  <c r="N180" i="20"/>
  <c r="N172" i="20"/>
  <c r="N139" i="20"/>
  <c r="N80" i="20"/>
  <c r="N72" i="20"/>
  <c r="N788" i="20"/>
  <c r="N651" i="20"/>
  <c r="N343" i="20"/>
  <c r="N219" i="20"/>
  <c r="N194" i="20"/>
  <c r="N135" i="20"/>
  <c r="N127" i="20"/>
  <c r="N94" i="20"/>
  <c r="N808" i="20"/>
  <c r="N610" i="20"/>
  <c r="N292" i="20"/>
  <c r="N249" i="20"/>
  <c r="N242" i="20"/>
  <c r="N202" i="20"/>
  <c r="N169" i="20"/>
  <c r="N110" i="20"/>
  <c r="N102" i="20"/>
  <c r="N69" i="20"/>
  <c r="N756" i="20"/>
  <c r="N635" i="20"/>
  <c r="N618" i="20"/>
  <c r="N534" i="20"/>
  <c r="N514" i="20"/>
  <c r="N498" i="20"/>
  <c r="N441" i="20"/>
  <c r="N319" i="20"/>
  <c r="N185" i="20"/>
  <c r="N175" i="20"/>
  <c r="N160" i="20"/>
  <c r="N155" i="20"/>
  <c r="N150" i="20"/>
  <c r="N145" i="20"/>
  <c r="N120" i="20"/>
  <c r="N100" i="20"/>
  <c r="N95" i="20"/>
  <c r="N729" i="20"/>
  <c r="N666" i="20"/>
  <c r="N655" i="20"/>
  <c r="N590" i="20"/>
  <c r="N488" i="20"/>
  <c r="N431" i="20"/>
  <c r="N378" i="20"/>
  <c r="N316" i="20"/>
  <c r="N291" i="20"/>
  <c r="N262" i="20"/>
  <c r="N253" i="20"/>
  <c r="N205" i="20"/>
  <c r="N140" i="20"/>
  <c r="N85" i="20"/>
  <c r="N75" i="20"/>
  <c r="N36" i="20"/>
  <c r="N11" i="20"/>
  <c r="N714" i="20"/>
  <c r="N658" i="20"/>
  <c r="N638" i="20"/>
  <c r="N625" i="20"/>
  <c r="N615" i="20"/>
  <c r="N478" i="20"/>
  <c r="N471" i="20"/>
  <c r="N234" i="20"/>
  <c r="N130" i="20"/>
  <c r="N105" i="20"/>
  <c r="N64" i="20"/>
  <c r="N791" i="20"/>
  <c r="N706" i="20"/>
  <c r="N695" i="20"/>
  <c r="N677" i="20"/>
  <c r="N631" i="20"/>
  <c r="N454" i="20"/>
  <c r="N409" i="20"/>
  <c r="N226" i="20"/>
  <c r="N821" i="20"/>
  <c r="N740" i="20"/>
  <c r="N586" i="20"/>
  <c r="N494" i="20"/>
  <c r="N481" i="20"/>
  <c r="N369" i="20"/>
  <c r="N331" i="20"/>
  <c r="N192" i="20"/>
  <c r="N137" i="20"/>
  <c r="N115" i="20"/>
  <c r="N592" i="20"/>
  <c r="N456" i="20"/>
  <c r="N236" i="20"/>
  <c r="N159" i="20"/>
  <c r="N114" i="20"/>
  <c r="N13" i="20"/>
  <c r="N727" i="20"/>
  <c r="N647" i="20"/>
  <c r="N443" i="20"/>
  <c r="N281" i="20"/>
  <c r="N246" i="20"/>
  <c r="N204" i="20"/>
  <c r="N189" i="20"/>
  <c r="N144" i="20"/>
  <c r="N111" i="20"/>
  <c r="N18" i="20"/>
  <c r="N745" i="20"/>
  <c r="N709" i="20"/>
  <c r="N632" i="20"/>
  <c r="N584" i="20"/>
  <c r="N394" i="20"/>
  <c r="N386" i="20"/>
  <c r="N383" i="20"/>
  <c r="N306" i="20"/>
  <c r="N274" i="20"/>
  <c r="N174" i="20"/>
  <c r="N147" i="20"/>
  <c r="N89" i="20"/>
  <c r="N776" i="20"/>
  <c r="N753" i="20"/>
  <c r="N705" i="20"/>
  <c r="N692" i="20"/>
  <c r="N605" i="20"/>
  <c r="N568" i="20"/>
  <c r="N529" i="20"/>
  <c r="N483" i="20"/>
  <c r="N463" i="20"/>
  <c r="N379" i="20"/>
  <c r="N239" i="20"/>
  <c r="N165" i="20"/>
  <c r="N10" i="20"/>
  <c r="N572" i="20"/>
  <c r="N556" i="20"/>
  <c r="N548" i="20"/>
  <c r="N451" i="20"/>
  <c r="N201" i="20"/>
  <c r="N195" i="20"/>
  <c r="N177" i="20"/>
  <c r="N156" i="20"/>
  <c r="N104" i="20"/>
  <c r="N92" i="20"/>
  <c r="N74" i="20"/>
  <c r="N16" i="20"/>
  <c r="N8" i="20"/>
  <c r="N773" i="20"/>
  <c r="N664" i="20"/>
  <c r="N629" i="20"/>
  <c r="N565" i="20"/>
  <c r="N429" i="20"/>
  <c r="N154" i="20"/>
  <c r="N119" i="20"/>
  <c r="N112" i="20"/>
  <c r="N438" i="20"/>
  <c r="N381" i="20"/>
  <c r="N241" i="20"/>
  <c r="N200" i="20"/>
  <c r="N164" i="20"/>
  <c r="N63" i="20"/>
  <c r="N47" i="20"/>
  <c r="N574" i="20"/>
  <c r="N428" i="20"/>
  <c r="N273" i="20"/>
  <c r="N101" i="20"/>
  <c r="N87" i="20"/>
  <c r="N25" i="20"/>
  <c r="N712" i="20"/>
  <c r="N698" i="20"/>
  <c r="N351" i="20"/>
  <c r="N339" i="20"/>
  <c r="N272" i="20"/>
  <c r="N7" i="20"/>
  <c r="N642" i="20"/>
  <c r="N627" i="20"/>
  <c r="N612" i="20"/>
  <c r="N561" i="20"/>
  <c r="N423" i="20"/>
  <c r="N770" i="20"/>
  <c r="N754" i="20"/>
  <c r="N622" i="20"/>
  <c r="N167" i="20"/>
  <c r="N48" i="20"/>
  <c r="N575" i="20"/>
  <c r="N453" i="20"/>
  <c r="N414" i="20"/>
  <c r="N289" i="20"/>
  <c r="N221" i="20"/>
  <c r="N216" i="20"/>
  <c r="N212" i="20"/>
  <c r="N179" i="20"/>
  <c r="N793" i="20"/>
  <c r="N665" i="20"/>
  <c r="N630" i="20"/>
  <c r="N187" i="20"/>
  <c r="N122" i="20"/>
  <c r="N271" i="20"/>
  <c r="N199" i="20"/>
  <c r="N151" i="20"/>
  <c r="N46" i="20"/>
  <c r="N716" i="20"/>
  <c r="N649" i="20"/>
  <c r="N599" i="20"/>
  <c r="N519" i="20"/>
  <c r="N283" i="20"/>
  <c r="N149" i="20"/>
  <c r="N109" i="20"/>
  <c r="N90" i="20"/>
  <c r="N5" i="20"/>
  <c r="N589" i="20"/>
  <c r="N582" i="20"/>
  <c r="N508" i="20"/>
  <c r="N136" i="20"/>
  <c r="N31" i="20"/>
  <c r="N71" i="20"/>
  <c r="N554" i="20"/>
  <c r="N388" i="20"/>
  <c r="N341" i="20"/>
  <c r="N190" i="20"/>
  <c r="N99" i="20"/>
  <c r="N449" i="20"/>
  <c r="N404" i="20"/>
  <c r="N346" i="20"/>
  <c r="N209" i="20"/>
  <c r="N181" i="20"/>
  <c r="N803" i="20"/>
  <c r="N329" i="20"/>
  <c r="N293" i="20"/>
  <c r="N254" i="20"/>
  <c r="N802" i="20"/>
  <c r="N687" i="20"/>
  <c r="N598" i="20"/>
  <c r="N473" i="20"/>
  <c r="N396" i="20"/>
  <c r="N231" i="20"/>
  <c r="N146" i="20"/>
  <c r="N743" i="20"/>
  <c r="N503" i="20"/>
  <c r="N197" i="20"/>
  <c r="N730" i="20"/>
  <c r="N301" i="20"/>
  <c r="N235" i="20"/>
  <c r="N214" i="20"/>
  <c r="N182" i="20"/>
  <c r="N389" i="20"/>
  <c r="N24" i="20"/>
  <c r="N801" i="20"/>
  <c r="N354" i="20"/>
  <c r="N54" i="20"/>
  <c r="N33" i="20"/>
  <c r="N702" i="20"/>
  <c r="N689" i="20"/>
  <c r="N384" i="20"/>
  <c r="N142" i="20"/>
  <c r="N679" i="20"/>
  <c r="N499" i="20"/>
  <c r="N97" i="20"/>
  <c r="N152" i="20"/>
  <c r="N694" i="20"/>
  <c r="N157" i="20"/>
  <c r="N96" i="20"/>
  <c r="N91" i="20"/>
  <c r="N693" i="20"/>
  <c r="N224" i="20"/>
  <c r="N134" i="20"/>
  <c r="N81" i="20"/>
  <c r="N124" i="20"/>
  <c r="N734" i="20"/>
  <c r="N34" i="20"/>
  <c r="N446" i="20"/>
  <c r="N374" i="20"/>
  <c r="N82" i="20"/>
  <c r="N77" i="20"/>
  <c r="N489" i="20"/>
  <c r="N539" i="20"/>
  <c r="N493" i="20"/>
  <c r="N279" i="20"/>
  <c r="N240" i="20"/>
  <c r="N363" i="20"/>
  <c r="N726" i="20"/>
  <c r="N107" i="20"/>
  <c r="N436" i="20"/>
  <c r="N79" i="20"/>
  <c r="N132" i="20"/>
  <c r="N474" i="20"/>
  <c r="N9" i="20"/>
  <c r="N52" i="20"/>
  <c r="N300" i="20"/>
  <c r="N58" i="20"/>
  <c r="N744" i="20"/>
  <c r="N312" i="20"/>
  <c r="N62" i="20"/>
  <c r="N380" i="20"/>
  <c r="N163" i="20"/>
  <c r="N465" i="20"/>
  <c r="N138" i="20"/>
  <c r="N113" i="20"/>
  <c r="N703" i="20"/>
  <c r="N22" i="20"/>
  <c r="N314" i="20"/>
  <c r="N464" i="20"/>
  <c r="N440" i="20"/>
  <c r="N460" i="20"/>
  <c r="N688" i="20"/>
  <c r="N434" i="20"/>
  <c r="N395" i="20"/>
  <c r="N614" i="20"/>
  <c r="N264" i="20"/>
  <c r="N330" i="20"/>
  <c r="N799" i="20"/>
  <c r="N570" i="20"/>
  <c r="N421" i="20"/>
  <c r="N173" i="20"/>
  <c r="N749" i="20"/>
  <c r="N733" i="20"/>
  <c r="N250" i="20"/>
  <c r="N479" i="20"/>
  <c r="N425" i="20"/>
  <c r="N604" i="20"/>
  <c r="N411" i="20"/>
  <c r="N537" i="20"/>
  <c r="N432" i="20"/>
  <c r="N280" i="20"/>
  <c r="N588" i="20"/>
  <c r="N51" i="20"/>
  <c r="N143" i="20"/>
  <c r="N320" i="20"/>
  <c r="N480" i="20"/>
  <c r="N467" i="20"/>
  <c r="N21" i="20"/>
  <c r="N594" i="20"/>
  <c r="N267" i="20"/>
  <c r="N527" i="20"/>
  <c r="N507" i="20"/>
  <c r="N233" i="20"/>
  <c r="N121" i="20"/>
  <c r="N797" i="20"/>
  <c r="N325" i="20"/>
  <c r="N457" i="20"/>
  <c r="N696" i="20"/>
  <c r="N243" i="20"/>
  <c r="N211" i="20"/>
  <c r="N560" i="20"/>
  <c r="N183" i="20"/>
  <c r="N178" i="20"/>
  <c r="N719" i="20"/>
  <c r="N419" i="20"/>
  <c r="N817" i="20"/>
  <c r="N385" i="20"/>
  <c r="N520" i="20"/>
  <c r="N510" i="20"/>
  <c r="N496" i="20"/>
  <c r="N297" i="20"/>
  <c r="N415" i="20"/>
  <c r="N542" i="20"/>
  <c r="N27" i="20"/>
  <c r="N713" i="20"/>
  <c r="N485" i="20"/>
  <c r="N357" i="20"/>
  <c r="N12" i="20"/>
  <c r="N106" i="20"/>
  <c r="N309" i="20"/>
  <c r="N400" i="20"/>
  <c r="N86" i="20"/>
  <c r="N794" i="20"/>
  <c r="N28" i="20"/>
  <c r="N57" i="20"/>
  <c r="N476" i="20"/>
  <c r="N218" i="20"/>
  <c r="N208" i="20"/>
  <c r="N445" i="20"/>
  <c r="N26" i="20"/>
  <c r="N148" i="20"/>
  <c r="N462" i="20"/>
  <c r="N536" i="20"/>
  <c r="N492" i="20"/>
  <c r="N469" i="20"/>
  <c r="N307" i="20"/>
  <c r="N517" i="20"/>
  <c r="N500" i="20"/>
  <c r="N757" i="20"/>
  <c r="N779" i="20"/>
  <c r="N166" i="20"/>
  <c r="N317" i="20"/>
  <c r="N626" i="20"/>
  <c r="N532" i="20"/>
  <c r="N430" i="20"/>
  <c r="N663" i="20"/>
  <c r="N290" i="20"/>
  <c r="N315" i="20"/>
  <c r="N774" i="20"/>
  <c r="N497" i="20"/>
  <c r="N601" i="20"/>
  <c r="N656" i="20"/>
  <c r="N332" i="20"/>
  <c r="N88" i="20"/>
  <c r="N49" i="20"/>
  <c r="N286" i="20"/>
  <c r="N581" i="20"/>
  <c r="N778" i="20"/>
  <c r="N515" i="20"/>
  <c r="N593" i="20"/>
  <c r="N265" i="20"/>
  <c r="N766" i="20"/>
  <c r="N759" i="20"/>
  <c r="N287" i="20"/>
  <c r="N352" i="20"/>
  <c r="N596" i="20"/>
  <c r="N624" i="20"/>
  <c r="N447" i="20"/>
  <c r="N176" i="20"/>
  <c r="N739" i="20"/>
  <c r="N580" i="20"/>
  <c r="N364" i="20"/>
  <c r="N247" i="20"/>
  <c r="N116" i="20"/>
  <c r="N284" i="20"/>
  <c r="N198" i="20"/>
  <c r="N294" i="20"/>
  <c r="N19" i="20"/>
  <c r="N30" i="20"/>
  <c r="N577" i="20"/>
  <c r="N108" i="20"/>
  <c r="N557" i="20"/>
  <c r="N6" i="20"/>
  <c r="N375" i="20"/>
  <c r="N360" i="20"/>
  <c r="N819" i="20"/>
  <c r="N761" i="20"/>
  <c r="N784" i="20"/>
  <c r="N361" i="20"/>
  <c r="N196" i="20"/>
  <c r="N186" i="20"/>
  <c r="N98" i="20"/>
  <c r="N410" i="20"/>
  <c r="N44" i="20"/>
  <c r="N161" i="20"/>
  <c r="N302" i="20"/>
  <c r="N704" i="20"/>
  <c r="N450" i="20"/>
  <c r="N691" i="20"/>
  <c r="N223" i="20"/>
  <c r="N587" i="20"/>
  <c r="N153" i="20"/>
  <c r="N55" i="20"/>
  <c r="N424" i="20"/>
  <c r="N39" i="20"/>
  <c r="N420" i="20"/>
  <c r="N789" i="20"/>
  <c r="N800" i="20"/>
  <c r="N818" i="20"/>
  <c r="N552" i="20"/>
  <c r="N203" i="20"/>
  <c r="N751" i="20"/>
  <c r="N559" i="20"/>
  <c r="N238" i="20"/>
  <c r="N767" i="20"/>
  <c r="N741" i="20"/>
  <c r="N32" i="20"/>
  <c r="N37" i="20"/>
  <c r="N402" i="20"/>
  <c r="N771" i="20"/>
  <c r="N340" i="20"/>
  <c r="N256" i="20"/>
  <c r="N213" i="20"/>
  <c r="N168" i="20"/>
  <c r="N158" i="20"/>
  <c r="N470" i="20"/>
  <c r="N93" i="20"/>
  <c r="N35" i="20"/>
  <c r="N444" i="20"/>
  <c r="N299" i="20"/>
  <c r="N322" i="20"/>
  <c r="N782" i="20"/>
  <c r="N311" i="20"/>
  <c r="N641" i="20"/>
  <c r="N342" i="20"/>
  <c r="N654" i="20"/>
  <c r="N390" i="20"/>
  <c r="N131" i="20"/>
  <c r="N820" i="20"/>
  <c r="N73" i="20"/>
  <c r="N78" i="20"/>
  <c r="N822" i="20"/>
  <c r="N391" i="20"/>
  <c r="N376" i="20"/>
  <c r="N370" i="20"/>
  <c r="N487" i="20"/>
  <c r="N193" i="20"/>
  <c r="N43" i="20"/>
  <c r="N814" i="20"/>
  <c r="N228" i="20"/>
  <c r="N634" i="20"/>
  <c r="N76" i="20"/>
  <c r="N399" i="20"/>
  <c r="N123" i="20"/>
  <c r="N435" i="20"/>
  <c r="N349" i="20"/>
  <c r="N206" i="20"/>
  <c r="N296" i="20"/>
  <c r="N545" i="20"/>
  <c r="N525" i="20"/>
  <c r="N397" i="20"/>
  <c r="N83" i="20"/>
  <c r="N416" i="20"/>
  <c r="N407" i="20"/>
  <c r="N103" i="20"/>
  <c r="N260" i="20"/>
  <c r="N738" i="20"/>
  <c r="N426" i="20"/>
  <c r="N257" i="20"/>
  <c r="N128" i="20"/>
  <c r="N118" i="20"/>
  <c r="N475" i="20"/>
  <c r="N511" i="20"/>
  <c r="N521" i="20"/>
  <c r="N20" i="20"/>
  <c r="N126" i="20"/>
  <c r="N266" i="20"/>
  <c r="N324" i="20"/>
  <c r="N387" i="20"/>
  <c r="N501" i="20"/>
  <c r="N321" i="20"/>
  <c r="N724" i="20"/>
  <c r="N41" i="20"/>
  <c r="N365" i="20"/>
  <c r="N392" i="20"/>
  <c r="N334" i="20"/>
  <c r="N17" i="20"/>
  <c r="N171" i="20"/>
  <c r="N611" i="20"/>
  <c r="N270" i="20"/>
  <c r="N335" i="20"/>
  <c r="N674" i="20"/>
  <c r="N524" i="20"/>
  <c r="N326" i="20"/>
  <c r="N762" i="20"/>
  <c r="N371" i="20"/>
  <c r="N644" i="20"/>
  <c r="N417" i="20"/>
  <c r="N255" i="20"/>
  <c r="N506" i="20"/>
  <c r="N191" i="20"/>
  <c r="N437" i="20"/>
  <c r="N477" i="20"/>
  <c r="N550" i="20"/>
  <c r="N678" i="20"/>
  <c r="N531" i="20"/>
  <c r="N356" i="20"/>
  <c r="N555" i="20"/>
  <c r="N509" i="20"/>
  <c r="N671" i="20"/>
  <c r="N355" i="20"/>
  <c r="N512" i="20"/>
  <c r="N285" i="20"/>
  <c r="N541" i="20"/>
  <c r="N683" i="20"/>
  <c r="N526" i="20"/>
  <c r="N482" i="20"/>
  <c r="N133" i="20"/>
  <c r="N14" i="20"/>
  <c r="N708" i="20"/>
  <c r="N455" i="20"/>
  <c r="N359" i="20"/>
  <c r="N310" i="20"/>
  <c r="N636" i="20"/>
  <c r="N764" i="20"/>
  <c r="N382" i="20"/>
  <c r="N643" i="20"/>
  <c r="N653" i="20"/>
  <c r="N275" i="20"/>
  <c r="N427" i="20"/>
  <c r="N504" i="20"/>
  <c r="N244" i="20"/>
  <c r="N472" i="20"/>
  <c r="N490" i="20"/>
  <c r="N484" i="20"/>
  <c r="N718" i="20"/>
  <c r="N327" i="20"/>
  <c r="N623" i="20"/>
  <c r="N646" i="20"/>
  <c r="N668" i="20"/>
  <c r="N530" i="20"/>
  <c r="N686" i="20"/>
  <c r="N442" i="20"/>
  <c r="N377" i="20"/>
  <c r="N459" i="20"/>
  <c r="N585" i="20"/>
  <c r="N452" i="20"/>
  <c r="N276" i="20"/>
  <c r="N439" i="20"/>
  <c r="N422" i="20"/>
  <c r="N661" i="20"/>
  <c r="N760" i="20"/>
  <c r="N566" i="20"/>
  <c r="N810" i="20"/>
  <c r="N495" i="20"/>
  <c r="N261" i="20"/>
  <c r="N562" i="20"/>
  <c r="N67" i="20"/>
  <c r="N491" i="20"/>
  <c r="N502" i="20"/>
  <c r="N141" i="20"/>
  <c r="N711" i="20"/>
  <c r="N546" i="20"/>
  <c r="N633" i="20"/>
  <c r="N804" i="20"/>
  <c r="N576" i="20"/>
  <c r="N50" i="20"/>
  <c r="N486" i="20"/>
  <c r="N613" i="20"/>
  <c r="N337" i="20"/>
  <c r="N412" i="20"/>
  <c r="N406" i="20"/>
  <c r="N769" i="20"/>
  <c r="N522" i="20"/>
  <c r="N573" i="20"/>
  <c r="N505" i="20"/>
  <c r="N372" i="20"/>
  <c r="N68" i="20"/>
  <c r="N362" i="20"/>
  <c r="N229" i="20"/>
  <c r="N669" i="20"/>
  <c r="N251" i="20"/>
  <c r="N405" i="20"/>
  <c r="N345" i="20"/>
  <c r="N540" i="20"/>
  <c r="N676" i="20"/>
  <c r="N578" i="20"/>
  <c r="N603" i="20"/>
  <c r="N785" i="20"/>
  <c r="N787" i="20"/>
  <c r="N616" i="20"/>
  <c r="N350" i="20"/>
  <c r="N277" i="20"/>
  <c r="N569" i="20"/>
  <c r="N188" i="20"/>
  <c r="N60" i="20"/>
  <c r="N347" i="20"/>
  <c r="N807" i="20"/>
  <c r="N305" i="20"/>
  <c r="N547" i="20"/>
  <c r="N295" i="20"/>
  <c r="N606" i="20"/>
  <c r="N367" i="20"/>
  <c r="N699" i="20"/>
  <c r="N344" i="20"/>
  <c r="N535" i="20"/>
  <c r="N45" i="20"/>
  <c r="N809" i="20"/>
  <c r="N15" i="20"/>
  <c r="V37" i="20"/>
  <c r="V68" i="20"/>
  <c r="O181" i="19"/>
  <c r="V188" i="19"/>
  <c r="R184" i="19"/>
  <c r="W189" i="19"/>
  <c r="Q183" i="19"/>
  <c r="U187" i="19"/>
  <c r="Y191" i="19"/>
  <c r="S185" i="19"/>
  <c r="N180" i="19"/>
  <c r="P182" i="19"/>
  <c r="T186" i="19"/>
  <c r="X190" i="19"/>
  <c r="Q389" i="19"/>
  <c r="X396" i="19"/>
  <c r="Y397" i="19"/>
  <c r="U393" i="19"/>
  <c r="N386" i="19"/>
  <c r="S391" i="19"/>
  <c r="R390" i="19"/>
  <c r="T392" i="19"/>
  <c r="V394" i="19"/>
  <c r="W395" i="19"/>
  <c r="O387" i="19"/>
  <c r="P388" i="19"/>
  <c r="Q600" i="19"/>
  <c r="X607" i="19"/>
  <c r="R601" i="19"/>
  <c r="Y608" i="19"/>
  <c r="T603" i="19"/>
  <c r="O598" i="19"/>
  <c r="W606" i="19"/>
  <c r="U604" i="19"/>
  <c r="S602" i="19"/>
  <c r="N597" i="19"/>
  <c r="P599" i="19"/>
  <c r="V605" i="19"/>
  <c r="T291" i="19"/>
  <c r="V293" i="19"/>
  <c r="W294" i="19"/>
  <c r="R289" i="19"/>
  <c r="N285" i="19"/>
  <c r="Q288" i="19"/>
  <c r="O286" i="19"/>
  <c r="Y296" i="19"/>
  <c r="P287" i="19"/>
  <c r="S290" i="19"/>
  <c r="X295" i="19"/>
  <c r="U292" i="19"/>
  <c r="Y544" i="19"/>
  <c r="U540" i="19"/>
  <c r="Q536" i="19"/>
  <c r="O534" i="19"/>
  <c r="X543" i="19"/>
  <c r="S538" i="19"/>
  <c r="R537" i="19"/>
  <c r="P535" i="19"/>
  <c r="W542" i="19"/>
  <c r="N533" i="19"/>
  <c r="V541" i="19"/>
  <c r="T539" i="19"/>
  <c r="AP52" i="19"/>
  <c r="AS53" i="19" s="1"/>
  <c r="J52" i="7"/>
  <c r="V251" i="19"/>
  <c r="P245" i="19"/>
  <c r="R247" i="19"/>
  <c r="Y254" i="19"/>
  <c r="X253" i="19"/>
  <c r="Q246" i="19"/>
  <c r="W252" i="19"/>
  <c r="N243" i="19"/>
  <c r="S248" i="19"/>
  <c r="T249" i="19"/>
  <c r="O244" i="19"/>
  <c r="U250" i="19"/>
  <c r="N771" i="19"/>
  <c r="U778" i="19"/>
  <c r="O772" i="19"/>
  <c r="S776" i="19"/>
  <c r="Y782" i="19"/>
  <c r="V779" i="19"/>
  <c r="R775" i="19"/>
  <c r="T777" i="19"/>
  <c r="P773" i="19"/>
  <c r="W780" i="19"/>
  <c r="X781" i="19"/>
  <c r="Q774" i="19"/>
  <c r="Q747" i="19"/>
  <c r="X754" i="19"/>
  <c r="S749" i="19"/>
  <c r="Y755" i="19"/>
  <c r="O745" i="19"/>
  <c r="U751" i="19"/>
  <c r="W753" i="19"/>
  <c r="P746" i="19"/>
  <c r="T750" i="19"/>
  <c r="R748" i="19"/>
  <c r="V752" i="19"/>
  <c r="N744" i="19"/>
  <c r="T415" i="19"/>
  <c r="N409" i="19"/>
  <c r="U416" i="19"/>
  <c r="Q412" i="19"/>
  <c r="X419" i="19"/>
  <c r="S414" i="19"/>
  <c r="V417" i="19"/>
  <c r="P411" i="19"/>
  <c r="Y420" i="19"/>
  <c r="R413" i="19"/>
  <c r="W418" i="19"/>
  <c r="O410" i="19"/>
  <c r="Y431" i="19"/>
  <c r="S425" i="19"/>
  <c r="N420" i="19"/>
  <c r="X430" i="19"/>
  <c r="Q423" i="19"/>
  <c r="V428" i="19"/>
  <c r="P422" i="19"/>
  <c r="W429" i="19"/>
  <c r="U427" i="19"/>
  <c r="R424" i="19"/>
  <c r="O421" i="19"/>
  <c r="T426" i="19"/>
  <c r="V485" i="19"/>
  <c r="X487" i="19"/>
  <c r="T483" i="19"/>
  <c r="Q480" i="19"/>
  <c r="U484" i="19"/>
  <c r="W486" i="19"/>
  <c r="S482" i="19"/>
  <c r="N477" i="19"/>
  <c r="P479" i="19"/>
  <c r="Y488" i="19"/>
  <c r="R481" i="19"/>
  <c r="O478" i="19"/>
  <c r="Q330" i="19"/>
  <c r="X337" i="19"/>
  <c r="W336" i="19"/>
  <c r="Y338" i="19"/>
  <c r="T333" i="19"/>
  <c r="O328" i="19"/>
  <c r="R331" i="19"/>
  <c r="N327" i="19"/>
  <c r="P329" i="19"/>
  <c r="U334" i="19"/>
  <c r="V335" i="19"/>
  <c r="S332" i="19"/>
  <c r="W73" i="19"/>
  <c r="O65" i="19"/>
  <c r="V72" i="19"/>
  <c r="P66" i="19"/>
  <c r="X74" i="19"/>
  <c r="S69" i="19"/>
  <c r="N64" i="19"/>
  <c r="R68" i="19"/>
  <c r="Y75" i="19"/>
  <c r="T70" i="19"/>
  <c r="U71" i="19"/>
  <c r="Q67" i="19"/>
  <c r="V281" i="19"/>
  <c r="P275" i="19"/>
  <c r="W282" i="19"/>
  <c r="R277" i="19"/>
  <c r="X283" i="19"/>
  <c r="Q276" i="19"/>
  <c r="T279" i="19"/>
  <c r="U280" i="19"/>
  <c r="S278" i="19"/>
  <c r="O274" i="19"/>
  <c r="Y284" i="19"/>
  <c r="N273" i="19"/>
  <c r="Q404" i="19"/>
  <c r="X411" i="19"/>
  <c r="R405" i="19"/>
  <c r="Y412" i="19"/>
  <c r="N401" i="19"/>
  <c r="T407" i="19"/>
  <c r="P403" i="19"/>
  <c r="V409" i="19"/>
  <c r="U408" i="19"/>
  <c r="S406" i="19"/>
  <c r="W410" i="19"/>
  <c r="O402" i="19"/>
  <c r="P55" i="19"/>
  <c r="O54" i="19"/>
  <c r="U60" i="19"/>
  <c r="Q56" i="19"/>
  <c r="Y64" i="19"/>
  <c r="T59" i="19"/>
  <c r="X63" i="19"/>
  <c r="R57" i="19"/>
  <c r="S58" i="19"/>
  <c r="N53" i="19"/>
  <c r="W62" i="19"/>
  <c r="V61" i="19"/>
  <c r="Y622" i="19"/>
  <c r="S616" i="19"/>
  <c r="U618" i="19"/>
  <c r="T617" i="19"/>
  <c r="O612" i="19"/>
  <c r="Q614" i="19"/>
  <c r="W620" i="19"/>
  <c r="X621" i="19"/>
  <c r="V619" i="19"/>
  <c r="N611" i="19"/>
  <c r="R615" i="19"/>
  <c r="P613" i="19"/>
  <c r="T127" i="19"/>
  <c r="U128" i="19"/>
  <c r="S126" i="19"/>
  <c r="O122" i="19"/>
  <c r="Y132" i="19"/>
  <c r="W130" i="19"/>
  <c r="Q124" i="19"/>
  <c r="N121" i="19"/>
  <c r="P123" i="19"/>
  <c r="R125" i="19"/>
  <c r="X131" i="19"/>
  <c r="V129" i="19"/>
  <c r="Y783" i="19"/>
  <c r="T778" i="19"/>
  <c r="V780" i="19"/>
  <c r="R776" i="19"/>
  <c r="X782" i="19"/>
  <c r="O773" i="19"/>
  <c r="Q775" i="19"/>
  <c r="S777" i="19"/>
  <c r="U779" i="19"/>
  <c r="N772" i="19"/>
  <c r="W781" i="19"/>
  <c r="P774" i="19"/>
  <c r="Y361" i="19"/>
  <c r="V358" i="19"/>
  <c r="R354" i="19"/>
  <c r="O351" i="19"/>
  <c r="T356" i="19"/>
  <c r="S355" i="19"/>
  <c r="X360" i="19"/>
  <c r="U357" i="19"/>
  <c r="Q353" i="19"/>
  <c r="P352" i="19"/>
  <c r="N350" i="19"/>
  <c r="W359" i="19"/>
  <c r="Y416" i="19"/>
  <c r="R409" i="19"/>
  <c r="O406" i="19"/>
  <c r="N405" i="19"/>
  <c r="V413" i="19"/>
  <c r="W414" i="19"/>
  <c r="S410" i="19"/>
  <c r="Q408" i="19"/>
  <c r="T411" i="19"/>
  <c r="X415" i="19"/>
  <c r="P407" i="19"/>
  <c r="U412" i="19"/>
  <c r="Y365" i="19"/>
  <c r="U361" i="19"/>
  <c r="Q357" i="19"/>
  <c r="W363" i="19"/>
  <c r="T360" i="19"/>
  <c r="X364" i="19"/>
  <c r="S359" i="19"/>
  <c r="R358" i="19"/>
  <c r="P356" i="19"/>
  <c r="O355" i="19"/>
  <c r="N354" i="19"/>
  <c r="V362" i="19"/>
  <c r="Y532" i="19"/>
  <c r="P523" i="19"/>
  <c r="W530" i="19"/>
  <c r="Q524" i="19"/>
  <c r="T527" i="19"/>
  <c r="O522" i="19"/>
  <c r="X531" i="19"/>
  <c r="R525" i="19"/>
  <c r="N521" i="19"/>
  <c r="S526" i="19"/>
  <c r="V529" i="19"/>
  <c r="U528" i="19"/>
  <c r="P439" i="19"/>
  <c r="W446" i="19"/>
  <c r="Q440" i="19"/>
  <c r="N437" i="19"/>
  <c r="U444" i="19"/>
  <c r="X447" i="19"/>
  <c r="Y448" i="19"/>
  <c r="O438" i="19"/>
  <c r="R441" i="19"/>
  <c r="T443" i="19"/>
  <c r="V445" i="19"/>
  <c r="S442" i="19"/>
  <c r="T425" i="19"/>
  <c r="N419" i="19"/>
  <c r="U426" i="19"/>
  <c r="Y430" i="19"/>
  <c r="O420" i="19"/>
  <c r="Q422" i="19"/>
  <c r="X429" i="19"/>
  <c r="V427" i="19"/>
  <c r="R423" i="19"/>
  <c r="S424" i="19"/>
  <c r="P421" i="19"/>
  <c r="W428" i="19"/>
  <c r="Q65" i="19"/>
  <c r="R66" i="19"/>
  <c r="N62" i="19"/>
  <c r="V70" i="19"/>
  <c r="X72" i="19"/>
  <c r="S67" i="19"/>
  <c r="O63" i="19"/>
  <c r="P64" i="19"/>
  <c r="T68" i="19"/>
  <c r="U69" i="19"/>
  <c r="Y73" i="19"/>
  <c r="W71" i="19"/>
  <c r="N691" i="19"/>
  <c r="U698" i="19"/>
  <c r="O692" i="19"/>
  <c r="S696" i="19"/>
  <c r="Y702" i="19"/>
  <c r="V699" i="19"/>
  <c r="T697" i="19"/>
  <c r="R695" i="19"/>
  <c r="Q694" i="19"/>
  <c r="W700" i="19"/>
  <c r="X701" i="19"/>
  <c r="P693" i="19"/>
  <c r="W13" i="19"/>
  <c r="V12" i="19"/>
  <c r="T10" i="19"/>
  <c r="P6" i="19"/>
  <c r="R8" i="19"/>
  <c r="N4" i="19"/>
  <c r="Q7" i="19"/>
  <c r="S9" i="19"/>
  <c r="Y15" i="19"/>
  <c r="U11" i="19"/>
  <c r="X14" i="19"/>
  <c r="O5" i="19"/>
  <c r="R772" i="19"/>
  <c r="Y779" i="19"/>
  <c r="S773" i="19"/>
  <c r="W777" i="19"/>
  <c r="T774" i="19"/>
  <c r="Q771" i="19"/>
  <c r="P770" i="19"/>
  <c r="X778" i="19"/>
  <c r="O769" i="19"/>
  <c r="V776" i="19"/>
  <c r="U775" i="19"/>
  <c r="N768" i="19"/>
  <c r="V571" i="19"/>
  <c r="R567" i="19"/>
  <c r="N563" i="19"/>
  <c r="W572" i="19"/>
  <c r="O564" i="19"/>
  <c r="X573" i="19"/>
  <c r="U570" i="19"/>
  <c r="T569" i="19"/>
  <c r="Y574" i="19"/>
  <c r="S568" i="19"/>
  <c r="Q566" i="19"/>
  <c r="P565" i="19"/>
  <c r="T514" i="19"/>
  <c r="N508" i="19"/>
  <c r="U515" i="19"/>
  <c r="Q511" i="19"/>
  <c r="Y519" i="19"/>
  <c r="W517" i="19"/>
  <c r="P510" i="19"/>
  <c r="S513" i="19"/>
  <c r="R512" i="19"/>
  <c r="O509" i="19"/>
  <c r="V516" i="19"/>
  <c r="X518" i="19"/>
  <c r="V723" i="19"/>
  <c r="P717" i="19"/>
  <c r="W724" i="19"/>
  <c r="Q718" i="19"/>
  <c r="S720" i="19"/>
  <c r="X725" i="19"/>
  <c r="O716" i="19"/>
  <c r="U722" i="19"/>
  <c r="R719" i="19"/>
  <c r="Y726" i="19"/>
  <c r="T721" i="19"/>
  <c r="N715" i="19"/>
  <c r="R42" i="19"/>
  <c r="W47" i="19"/>
  <c r="O39" i="19"/>
  <c r="V46" i="19"/>
  <c r="Q41" i="19"/>
  <c r="N38" i="19"/>
  <c r="S43" i="19"/>
  <c r="Y49" i="19"/>
  <c r="X48" i="19"/>
  <c r="U45" i="19"/>
  <c r="P40" i="19"/>
  <c r="T44" i="19"/>
  <c r="V13" i="20"/>
  <c r="V57" i="20"/>
  <c r="V51" i="20"/>
  <c r="R345" i="19"/>
  <c r="S346" i="19"/>
  <c r="N341" i="19"/>
  <c r="W350" i="19"/>
  <c r="T347" i="19"/>
  <c r="O342" i="19"/>
  <c r="Y352" i="19"/>
  <c r="X351" i="19"/>
  <c r="V349" i="19"/>
  <c r="U348" i="19"/>
  <c r="P343" i="19"/>
  <c r="Q344" i="19"/>
  <c r="T162" i="19"/>
  <c r="U163" i="19"/>
  <c r="X166" i="19"/>
  <c r="N156" i="19"/>
  <c r="P158" i="19"/>
  <c r="W165" i="19"/>
  <c r="Y167" i="19"/>
  <c r="Q159" i="19"/>
  <c r="R160" i="19"/>
  <c r="S161" i="19"/>
  <c r="O157" i="19"/>
  <c r="V164" i="19"/>
  <c r="N790" i="19"/>
  <c r="S795" i="19"/>
  <c r="X800" i="19"/>
  <c r="Q793" i="19"/>
  <c r="O791" i="19"/>
  <c r="W799" i="19"/>
  <c r="R794" i="19"/>
  <c r="P792" i="19"/>
  <c r="V798" i="19"/>
  <c r="U797" i="19"/>
  <c r="Y801" i="19"/>
  <c r="T796" i="19"/>
  <c r="P459" i="19"/>
  <c r="W466" i="19"/>
  <c r="Q460" i="19"/>
  <c r="U464" i="19"/>
  <c r="R461" i="19"/>
  <c r="T463" i="19"/>
  <c r="N457" i="19"/>
  <c r="V465" i="19"/>
  <c r="X467" i="19"/>
  <c r="Y468" i="19"/>
  <c r="S462" i="19"/>
  <c r="O458" i="19"/>
  <c r="T445" i="19"/>
  <c r="N439" i="19"/>
  <c r="U446" i="19"/>
  <c r="V447" i="19"/>
  <c r="Q442" i="19"/>
  <c r="P441" i="19"/>
  <c r="W448" i="19"/>
  <c r="Y450" i="19"/>
  <c r="S444" i="19"/>
  <c r="O440" i="19"/>
  <c r="R443" i="19"/>
  <c r="X449" i="19"/>
  <c r="P478" i="19"/>
  <c r="W485" i="19"/>
  <c r="Y487" i="19"/>
  <c r="N476" i="19"/>
  <c r="U483" i="19"/>
  <c r="R480" i="19"/>
  <c r="V484" i="19"/>
  <c r="X486" i="19"/>
  <c r="O477" i="19"/>
  <c r="Q479" i="19"/>
  <c r="S481" i="19"/>
  <c r="T482" i="19"/>
  <c r="T703" i="19"/>
  <c r="O698" i="19"/>
  <c r="X707" i="19"/>
  <c r="W706" i="19"/>
  <c r="V705" i="19"/>
  <c r="U704" i="19"/>
  <c r="N697" i="19"/>
  <c r="S702" i="19"/>
  <c r="Y708" i="19"/>
  <c r="Q700" i="19"/>
  <c r="P699" i="19"/>
  <c r="R701" i="19"/>
  <c r="O126" i="19"/>
  <c r="V133" i="19"/>
  <c r="X135" i="19"/>
  <c r="U132" i="19"/>
  <c r="N125" i="19"/>
  <c r="Q128" i="19"/>
  <c r="P127" i="19"/>
  <c r="R129" i="19"/>
  <c r="Y136" i="19"/>
  <c r="T131" i="19"/>
  <c r="S130" i="19"/>
  <c r="W134" i="19"/>
  <c r="Q459" i="19"/>
  <c r="X466" i="19"/>
  <c r="R460" i="19"/>
  <c r="Y467" i="19"/>
  <c r="V464" i="19"/>
  <c r="S461" i="19"/>
  <c r="N456" i="19"/>
  <c r="P458" i="19"/>
  <c r="W465" i="19"/>
  <c r="O457" i="19"/>
  <c r="U463" i="19"/>
  <c r="T462" i="19"/>
  <c r="V688" i="19"/>
  <c r="P682" i="19"/>
  <c r="W689" i="19"/>
  <c r="U687" i="19"/>
  <c r="X690" i="19"/>
  <c r="N680" i="19"/>
  <c r="O681" i="19"/>
  <c r="T686" i="19"/>
  <c r="S685" i="19"/>
  <c r="Q683" i="19"/>
  <c r="R684" i="19"/>
  <c r="Y691" i="19"/>
  <c r="R672" i="19"/>
  <c r="Y679" i="19"/>
  <c r="S673" i="19"/>
  <c r="P670" i="19"/>
  <c r="W677" i="19"/>
  <c r="V676" i="19"/>
  <c r="U675" i="19"/>
  <c r="N668" i="19"/>
  <c r="T674" i="19"/>
  <c r="O669" i="19"/>
  <c r="X678" i="19"/>
  <c r="Q671" i="19"/>
  <c r="W597" i="19"/>
  <c r="Y599" i="19"/>
  <c r="U595" i="19"/>
  <c r="Q591" i="19"/>
  <c r="X598" i="19"/>
  <c r="P590" i="19"/>
  <c r="N588" i="19"/>
  <c r="V596" i="19"/>
  <c r="T594" i="19"/>
  <c r="R592" i="19"/>
  <c r="O589" i="19"/>
  <c r="S593" i="19"/>
  <c r="R315" i="19"/>
  <c r="Y322" i="19"/>
  <c r="S316" i="19"/>
  <c r="N311" i="19"/>
  <c r="V319" i="19"/>
  <c r="X321" i="19"/>
  <c r="T317" i="19"/>
  <c r="U318" i="19"/>
  <c r="W320" i="19"/>
  <c r="O312" i="19"/>
  <c r="Q314" i="19"/>
  <c r="P313" i="19"/>
  <c r="P131" i="19"/>
  <c r="W138" i="19"/>
  <c r="Q132" i="19"/>
  <c r="O130" i="19"/>
  <c r="T135" i="19"/>
  <c r="V137" i="19"/>
  <c r="N129" i="19"/>
  <c r="X139" i="19"/>
  <c r="U136" i="19"/>
  <c r="S134" i="19"/>
  <c r="R133" i="19"/>
  <c r="Y140" i="19"/>
  <c r="Y356" i="19"/>
  <c r="X355" i="19"/>
  <c r="T351" i="19"/>
  <c r="U352" i="19"/>
  <c r="V353" i="19"/>
  <c r="N345" i="19"/>
  <c r="W354" i="19"/>
  <c r="S350" i="19"/>
  <c r="O346" i="19"/>
  <c r="P347" i="19"/>
  <c r="Q348" i="19"/>
  <c r="R349" i="19"/>
  <c r="Q585" i="19"/>
  <c r="U589" i="19"/>
  <c r="P584" i="19"/>
  <c r="S587" i="19"/>
  <c r="X592" i="19"/>
  <c r="Y593" i="19"/>
  <c r="W591" i="19"/>
  <c r="O583" i="19"/>
  <c r="T588" i="19"/>
  <c r="V590" i="19"/>
  <c r="N582" i="19"/>
  <c r="R586" i="19"/>
  <c r="Q434" i="19"/>
  <c r="X441" i="19"/>
  <c r="R435" i="19"/>
  <c r="Y442" i="19"/>
  <c r="V439" i="19"/>
  <c r="S436" i="19"/>
  <c r="N431" i="19"/>
  <c r="P433" i="19"/>
  <c r="U438" i="19"/>
  <c r="W440" i="19"/>
  <c r="O432" i="19"/>
  <c r="T437" i="19"/>
  <c r="X113" i="19"/>
  <c r="Y114" i="19"/>
  <c r="O104" i="19"/>
  <c r="T109" i="19"/>
  <c r="R107" i="19"/>
  <c r="N103" i="19"/>
  <c r="V111" i="19"/>
  <c r="P105" i="19"/>
  <c r="W112" i="19"/>
  <c r="S108" i="19"/>
  <c r="U110" i="19"/>
  <c r="Q106" i="19"/>
  <c r="Q220" i="19"/>
  <c r="X227" i="19"/>
  <c r="T223" i="19"/>
  <c r="N217" i="19"/>
  <c r="O218" i="19"/>
  <c r="V225" i="19"/>
  <c r="R221" i="19"/>
  <c r="U224" i="19"/>
  <c r="Y228" i="19"/>
  <c r="P219" i="19"/>
  <c r="W226" i="19"/>
  <c r="S222" i="19"/>
  <c r="N204" i="19"/>
  <c r="W213" i="19"/>
  <c r="S209" i="19"/>
  <c r="O205" i="19"/>
  <c r="P206" i="19"/>
  <c r="V212" i="19"/>
  <c r="U211" i="19"/>
  <c r="Q207" i="19"/>
  <c r="X214" i="19"/>
  <c r="T210" i="19"/>
  <c r="R208" i="19"/>
  <c r="Y215" i="19"/>
  <c r="Q697" i="19"/>
  <c r="X704" i="19"/>
  <c r="R698" i="19"/>
  <c r="N694" i="19"/>
  <c r="T700" i="19"/>
  <c r="P696" i="19"/>
  <c r="Y705" i="19"/>
  <c r="V702" i="19"/>
  <c r="U701" i="19"/>
  <c r="W703" i="19"/>
  <c r="O695" i="19"/>
  <c r="S699" i="19"/>
  <c r="P384" i="19"/>
  <c r="Q385" i="19"/>
  <c r="V390" i="19"/>
  <c r="U389" i="19"/>
  <c r="Y393" i="19"/>
  <c r="R386" i="19"/>
  <c r="O383" i="19"/>
  <c r="S387" i="19"/>
  <c r="W391" i="19"/>
  <c r="T388" i="19"/>
  <c r="N382" i="19"/>
  <c r="X392" i="19"/>
  <c r="N681" i="19"/>
  <c r="U688" i="19"/>
  <c r="O682" i="19"/>
  <c r="X691" i="19"/>
  <c r="T687" i="19"/>
  <c r="Q684" i="19"/>
  <c r="S686" i="19"/>
  <c r="Y692" i="19"/>
  <c r="R685" i="19"/>
  <c r="P683" i="19"/>
  <c r="W690" i="19"/>
  <c r="V689" i="19"/>
  <c r="AP66" i="19"/>
  <c r="AS67" i="19" s="1"/>
  <c r="J66" i="7"/>
  <c r="N377" i="19"/>
  <c r="X387" i="19"/>
  <c r="R381" i="19"/>
  <c r="Q380" i="19"/>
  <c r="P379" i="19"/>
  <c r="T383" i="19"/>
  <c r="S382" i="19"/>
  <c r="W386" i="19"/>
  <c r="O378" i="19"/>
  <c r="V385" i="19"/>
  <c r="Y388" i="19"/>
  <c r="U384" i="19"/>
  <c r="Q535" i="19"/>
  <c r="V540" i="19"/>
  <c r="R536" i="19"/>
  <c r="N532" i="19"/>
  <c r="Y543" i="19"/>
  <c r="O533" i="19"/>
  <c r="U539" i="19"/>
  <c r="P534" i="19"/>
  <c r="S537" i="19"/>
  <c r="X542" i="19"/>
  <c r="T538" i="19"/>
  <c r="W541" i="19"/>
  <c r="Q354" i="19"/>
  <c r="Y362" i="19"/>
  <c r="U358" i="19"/>
  <c r="V359" i="19"/>
  <c r="R355" i="19"/>
  <c r="T357" i="19"/>
  <c r="X361" i="19"/>
  <c r="S356" i="19"/>
  <c r="W360" i="19"/>
  <c r="P353" i="19"/>
  <c r="O352" i="19"/>
  <c r="N351" i="19"/>
  <c r="T713" i="19"/>
  <c r="N707" i="19"/>
  <c r="W716" i="19"/>
  <c r="V715" i="19"/>
  <c r="O708" i="19"/>
  <c r="U714" i="19"/>
  <c r="P709" i="19"/>
  <c r="X717" i="19"/>
  <c r="R711" i="19"/>
  <c r="Y718" i="19"/>
  <c r="S712" i="19"/>
  <c r="Q710" i="19"/>
  <c r="D816" i="19"/>
  <c r="P116" i="19"/>
  <c r="W123" i="19"/>
  <c r="Q117" i="19"/>
  <c r="V122" i="19"/>
  <c r="N114" i="19"/>
  <c r="R118" i="19"/>
  <c r="O115" i="19"/>
  <c r="Y125" i="19"/>
  <c r="T120" i="19"/>
  <c r="X124" i="19"/>
  <c r="U121" i="19"/>
  <c r="S119" i="19"/>
  <c r="Y537" i="19"/>
  <c r="U533" i="19"/>
  <c r="P528" i="19"/>
  <c r="Q529" i="19"/>
  <c r="R530" i="19"/>
  <c r="X536" i="19"/>
  <c r="N526" i="19"/>
  <c r="W535" i="19"/>
  <c r="T532" i="19"/>
  <c r="O527" i="19"/>
  <c r="V534" i="19"/>
  <c r="S531" i="19"/>
  <c r="V382" i="19"/>
  <c r="R378" i="19"/>
  <c r="N374" i="19"/>
  <c r="Y385" i="19"/>
  <c r="X384" i="19"/>
  <c r="T380" i="19"/>
  <c r="U381" i="19"/>
  <c r="S379" i="19"/>
  <c r="W383" i="19"/>
  <c r="Q377" i="19"/>
  <c r="P376" i="19"/>
  <c r="O375" i="19"/>
  <c r="T430" i="19"/>
  <c r="N424" i="19"/>
  <c r="U431" i="19"/>
  <c r="W433" i="19"/>
  <c r="R428" i="19"/>
  <c r="O425" i="19"/>
  <c r="V432" i="19"/>
  <c r="P426" i="19"/>
  <c r="Y435" i="19"/>
  <c r="Q427" i="19"/>
  <c r="S429" i="19"/>
  <c r="X434" i="19"/>
  <c r="T641" i="19"/>
  <c r="N635" i="19"/>
  <c r="W644" i="19"/>
  <c r="P637" i="19"/>
  <c r="X645" i="19"/>
  <c r="R639" i="19"/>
  <c r="Y646" i="19"/>
  <c r="S640" i="19"/>
  <c r="O636" i="19"/>
  <c r="V643" i="19"/>
  <c r="Q638" i="19"/>
  <c r="U642" i="19"/>
  <c r="T226" i="19"/>
  <c r="X230" i="19"/>
  <c r="V228" i="19"/>
  <c r="P222" i="19"/>
  <c r="W229" i="19"/>
  <c r="O221" i="19"/>
  <c r="S225" i="19"/>
  <c r="U227" i="19"/>
  <c r="N220" i="19"/>
  <c r="Q223" i="19"/>
  <c r="Y231" i="19"/>
  <c r="R224" i="19"/>
  <c r="Y572" i="19"/>
  <c r="U568" i="19"/>
  <c r="Q564" i="19"/>
  <c r="N561" i="19"/>
  <c r="W570" i="19"/>
  <c r="T567" i="19"/>
  <c r="S566" i="19"/>
  <c r="X571" i="19"/>
  <c r="R565" i="19"/>
  <c r="O562" i="19"/>
  <c r="V569" i="19"/>
  <c r="P563" i="19"/>
  <c r="V673" i="19"/>
  <c r="W674" i="19"/>
  <c r="X675" i="19"/>
  <c r="N665" i="19"/>
  <c r="Y676" i="19"/>
  <c r="S670" i="19"/>
  <c r="P667" i="19"/>
  <c r="U672" i="19"/>
  <c r="Q668" i="19"/>
  <c r="R669" i="19"/>
  <c r="T671" i="19"/>
  <c r="O666" i="19"/>
  <c r="BG6" i="10"/>
  <c r="BG32" i="10"/>
  <c r="BG20" i="10"/>
  <c r="BG45" i="10"/>
  <c r="BG60" i="10"/>
  <c r="BG11" i="10"/>
  <c r="BG9" i="10"/>
  <c r="BG28" i="10"/>
  <c r="BG12" i="10"/>
  <c r="BG7" i="10"/>
  <c r="BG63" i="10"/>
  <c r="BG40" i="10"/>
  <c r="BG61" i="10"/>
  <c r="BG68" i="10"/>
  <c r="BG67" i="10"/>
  <c r="BG37" i="10"/>
  <c r="BG51" i="10"/>
  <c r="BG66" i="10"/>
  <c r="BG65" i="10"/>
  <c r="BG31" i="10"/>
  <c r="BG64" i="10"/>
  <c r="BG44" i="10"/>
  <c r="BG62" i="10"/>
  <c r="BG25" i="10"/>
  <c r="BG36" i="10"/>
  <c r="BG33" i="10"/>
  <c r="BG49" i="10"/>
  <c r="BG48" i="10"/>
  <c r="BG59" i="10"/>
  <c r="BG56" i="10"/>
  <c r="BG22" i="10"/>
  <c r="BG24" i="10"/>
  <c r="BG10" i="10"/>
  <c r="BG13" i="10"/>
  <c r="BG42" i="10"/>
  <c r="BG16" i="10"/>
  <c r="BG39" i="10"/>
  <c r="BG53" i="10"/>
  <c r="BG57" i="10"/>
  <c r="BG47" i="10"/>
  <c r="BG15" i="10"/>
  <c r="BG30" i="10"/>
  <c r="BG54" i="10"/>
  <c r="BG41" i="10"/>
  <c r="BG3" i="10"/>
  <c r="BG58" i="10"/>
  <c r="BG35" i="10"/>
  <c r="BG18" i="10"/>
  <c r="BG27" i="10"/>
  <c r="BG21" i="10"/>
  <c r="BG2" i="10"/>
  <c r="BG26" i="10"/>
  <c r="BG43" i="10"/>
  <c r="BG19" i="10"/>
  <c r="BG52" i="10"/>
  <c r="BG55" i="10"/>
  <c r="BG8" i="10"/>
  <c r="BG50" i="10"/>
  <c r="BG4" i="10"/>
  <c r="BG14" i="10"/>
  <c r="BG34" i="10"/>
  <c r="BG46" i="10"/>
  <c r="BG38" i="10"/>
  <c r="BG17" i="10"/>
  <c r="BG5" i="10"/>
  <c r="BG23" i="10"/>
  <c r="BG29" i="10"/>
  <c r="V36" i="20"/>
  <c r="V29" i="20"/>
  <c r="V40" i="20"/>
  <c r="D12" i="19"/>
  <c r="U551" i="19"/>
  <c r="T550" i="19"/>
  <c r="P546" i="19"/>
  <c r="Y555" i="19"/>
  <c r="N544" i="19"/>
  <c r="W553" i="19"/>
  <c r="O545" i="19"/>
  <c r="X554" i="19"/>
  <c r="Q547" i="19"/>
  <c r="R548" i="19"/>
  <c r="S549" i="19"/>
  <c r="V552" i="19"/>
  <c r="R325" i="19"/>
  <c r="Y332" i="19"/>
  <c r="S326" i="19"/>
  <c r="N321" i="19"/>
  <c r="T327" i="19"/>
  <c r="U328" i="19"/>
  <c r="X331" i="19"/>
  <c r="O322" i="19"/>
  <c r="V329" i="19"/>
  <c r="P323" i="19"/>
  <c r="Q324" i="19"/>
  <c r="W330" i="19"/>
  <c r="O81" i="19"/>
  <c r="X90" i="19"/>
  <c r="V88" i="19"/>
  <c r="U87" i="19"/>
  <c r="S85" i="19"/>
  <c r="R84" i="19"/>
  <c r="W89" i="19"/>
  <c r="P82" i="19"/>
  <c r="Q83" i="19"/>
  <c r="T86" i="19"/>
  <c r="N80" i="19"/>
  <c r="Y91" i="19"/>
  <c r="Q687" i="19"/>
  <c r="X694" i="19"/>
  <c r="S689" i="19"/>
  <c r="Y695" i="19"/>
  <c r="O685" i="19"/>
  <c r="U691" i="19"/>
  <c r="W693" i="19"/>
  <c r="V692" i="19"/>
  <c r="P686" i="19"/>
  <c r="N684" i="19"/>
  <c r="T690" i="19"/>
  <c r="R688" i="19"/>
  <c r="T286" i="19"/>
  <c r="V288" i="19"/>
  <c r="O281" i="19"/>
  <c r="Y291" i="19"/>
  <c r="Q283" i="19"/>
  <c r="X290" i="19"/>
  <c r="N280" i="19"/>
  <c r="W289" i="19"/>
  <c r="R284" i="19"/>
  <c r="U287" i="19"/>
  <c r="S285" i="19"/>
  <c r="P282" i="19"/>
  <c r="R732" i="19"/>
  <c r="Y739" i="19"/>
  <c r="S733" i="19"/>
  <c r="W737" i="19"/>
  <c r="V736" i="19"/>
  <c r="U735" i="19"/>
  <c r="N728" i="19"/>
  <c r="T734" i="19"/>
  <c r="P730" i="19"/>
  <c r="Q731" i="19"/>
  <c r="O729" i="19"/>
  <c r="X738" i="19"/>
  <c r="Q772" i="19"/>
  <c r="X779" i="19"/>
  <c r="P771" i="19"/>
  <c r="S774" i="19"/>
  <c r="R773" i="19"/>
  <c r="O770" i="19"/>
  <c r="W778" i="19"/>
  <c r="Y780" i="19"/>
  <c r="T775" i="19"/>
  <c r="N769" i="19"/>
  <c r="V777" i="19"/>
  <c r="U776" i="19"/>
  <c r="P91" i="19"/>
  <c r="W98" i="19"/>
  <c r="Q92" i="19"/>
  <c r="Y100" i="19"/>
  <c r="U96" i="19"/>
  <c r="S94" i="19"/>
  <c r="R93" i="19"/>
  <c r="O90" i="19"/>
  <c r="V97" i="19"/>
  <c r="T95" i="19"/>
  <c r="X99" i="19"/>
  <c r="N89" i="19"/>
  <c r="T636" i="19"/>
  <c r="N630" i="19"/>
  <c r="W639" i="19"/>
  <c r="R634" i="19"/>
  <c r="O631" i="19"/>
  <c r="Q633" i="19"/>
  <c r="S635" i="19"/>
  <c r="P632" i="19"/>
  <c r="Y641" i="19"/>
  <c r="X640" i="19"/>
  <c r="U637" i="19"/>
  <c r="V638" i="19"/>
  <c r="Q650" i="19"/>
  <c r="X657" i="19"/>
  <c r="R651" i="19"/>
  <c r="Y658" i="19"/>
  <c r="T653" i="19"/>
  <c r="O648" i="19"/>
  <c r="V655" i="19"/>
  <c r="W656" i="19"/>
  <c r="P649" i="19"/>
  <c r="S652" i="19"/>
  <c r="U654" i="19"/>
  <c r="N647" i="19"/>
  <c r="R687" i="19"/>
  <c r="Y694" i="19"/>
  <c r="S688" i="19"/>
  <c r="T689" i="19"/>
  <c r="P685" i="19"/>
  <c r="V691" i="19"/>
  <c r="X693" i="19"/>
  <c r="W692" i="19"/>
  <c r="Q686" i="19"/>
  <c r="N683" i="19"/>
  <c r="O684" i="19"/>
  <c r="U690" i="19"/>
  <c r="AP10" i="19"/>
  <c r="AS11" i="19" s="1"/>
  <c r="J10" i="7"/>
  <c r="Y206" i="19"/>
  <c r="U202" i="19"/>
  <c r="O196" i="19"/>
  <c r="V203" i="19"/>
  <c r="T201" i="19"/>
  <c r="S200" i="19"/>
  <c r="Q198" i="19"/>
  <c r="X205" i="19"/>
  <c r="W204" i="19"/>
  <c r="N195" i="19"/>
  <c r="R199" i="19"/>
  <c r="P197" i="19"/>
  <c r="N219" i="19"/>
  <c r="U226" i="19"/>
  <c r="W228" i="19"/>
  <c r="O220" i="19"/>
  <c r="X229" i="19"/>
  <c r="P221" i="19"/>
  <c r="T225" i="19"/>
  <c r="V227" i="19"/>
  <c r="Q222" i="19"/>
  <c r="S224" i="19"/>
  <c r="R223" i="19"/>
  <c r="Y230" i="19"/>
  <c r="S806" i="19"/>
  <c r="V809" i="19"/>
  <c r="U808" i="19"/>
  <c r="N801" i="19"/>
  <c r="Y812" i="19"/>
  <c r="Q804" i="19"/>
  <c r="X811" i="19"/>
  <c r="P803" i="19"/>
  <c r="R805" i="19"/>
  <c r="T807" i="19"/>
  <c r="W810" i="19"/>
  <c r="O802" i="19"/>
  <c r="T187" i="19"/>
  <c r="N181" i="19"/>
  <c r="U188" i="19"/>
  <c r="Y192" i="19"/>
  <c r="S186" i="19"/>
  <c r="Q184" i="19"/>
  <c r="V189" i="19"/>
  <c r="R185" i="19"/>
  <c r="P183" i="19"/>
  <c r="O182" i="19"/>
  <c r="W190" i="19"/>
  <c r="X191" i="19"/>
  <c r="T601" i="19"/>
  <c r="N595" i="19"/>
  <c r="V603" i="19"/>
  <c r="Q598" i="19"/>
  <c r="S600" i="19"/>
  <c r="Y606" i="19"/>
  <c r="U602" i="19"/>
  <c r="P597" i="19"/>
  <c r="O596" i="19"/>
  <c r="W604" i="19"/>
  <c r="R599" i="19"/>
  <c r="X605" i="19"/>
  <c r="P49" i="10"/>
  <c r="Q49" i="10" s="1"/>
  <c r="AM49" i="19" s="1"/>
  <c r="AO50" i="19" s="1"/>
  <c r="P55" i="10"/>
  <c r="Q55" i="10" s="1"/>
  <c r="AM55" i="19" s="1"/>
  <c r="AO56" i="19" s="1"/>
  <c r="P39" i="10"/>
  <c r="Q39" i="10" s="1"/>
  <c r="AM39" i="19" s="1"/>
  <c r="AO40" i="19" s="1"/>
  <c r="P32" i="10"/>
  <c r="Q32" i="10" s="1"/>
  <c r="AM32" i="19" s="1"/>
  <c r="AO33" i="19" s="1"/>
  <c r="P15" i="10"/>
  <c r="Q15" i="10" s="1"/>
  <c r="AM15" i="19" s="1"/>
  <c r="AO16" i="19" s="1"/>
  <c r="P5" i="10"/>
  <c r="Q5" i="10" s="1"/>
  <c r="AM5" i="19" s="1"/>
  <c r="AO6" i="19" s="1"/>
  <c r="P52" i="10"/>
  <c r="Q52" i="10" s="1"/>
  <c r="AM52" i="19" s="1"/>
  <c r="AO53" i="19" s="1"/>
  <c r="P45" i="10"/>
  <c r="Q45" i="10" s="1"/>
  <c r="AM45" i="19" s="1"/>
  <c r="AO46" i="19" s="1"/>
  <c r="P42" i="10"/>
  <c r="Q42" i="10" s="1"/>
  <c r="AM42" i="19" s="1"/>
  <c r="AO43" i="19" s="1"/>
  <c r="P35" i="10"/>
  <c r="Q35" i="10" s="1"/>
  <c r="AM35" i="19" s="1"/>
  <c r="AO36" i="19" s="1"/>
  <c r="P28" i="10"/>
  <c r="Q28" i="10" s="1"/>
  <c r="AM28" i="19" s="1"/>
  <c r="AO29" i="19" s="1"/>
  <c r="P21" i="10"/>
  <c r="Q21" i="10" s="1"/>
  <c r="AM21" i="19" s="1"/>
  <c r="AO22" i="19" s="1"/>
  <c r="P18" i="10"/>
  <c r="Q18" i="10" s="1"/>
  <c r="AM18" i="19" s="1"/>
  <c r="AO19" i="19" s="1"/>
  <c r="P11" i="10"/>
  <c r="Q11" i="10" s="1"/>
  <c r="AM11" i="19" s="1"/>
  <c r="AO12" i="19" s="1"/>
  <c r="P54" i="10"/>
  <c r="Q54" i="10" s="1"/>
  <c r="AM54" i="19" s="1"/>
  <c r="AO55" i="19" s="1"/>
  <c r="P16" i="10"/>
  <c r="Q16" i="10" s="1"/>
  <c r="AM16" i="19" s="1"/>
  <c r="AO17" i="19" s="1"/>
  <c r="P10" i="10"/>
  <c r="Q10" i="10" s="1"/>
  <c r="AM10" i="19" s="1"/>
  <c r="AO11" i="19" s="1"/>
  <c r="P8" i="10"/>
  <c r="Q8" i="10" s="1"/>
  <c r="AM8" i="19" s="1"/>
  <c r="AO9" i="19" s="1"/>
  <c r="P3" i="10"/>
  <c r="Q3" i="10" s="1"/>
  <c r="AM3" i="19" s="1"/>
  <c r="AO4" i="19" s="1"/>
  <c r="P2" i="10"/>
  <c r="Q2" i="10" s="1"/>
  <c r="P9" i="10"/>
  <c r="Q9" i="10" s="1"/>
  <c r="AM9" i="19" s="1"/>
  <c r="AO10" i="19" s="1"/>
  <c r="P4" i="10"/>
  <c r="Q4" i="10" s="1"/>
  <c r="AM4" i="19" s="1"/>
  <c r="AO5" i="19" s="1"/>
  <c r="P29" i="10"/>
  <c r="Q29" i="10" s="1"/>
  <c r="AM29" i="19" s="1"/>
  <c r="AO30" i="19" s="1"/>
  <c r="P24" i="10"/>
  <c r="Q24" i="10" s="1"/>
  <c r="AM24" i="19" s="1"/>
  <c r="AO25" i="19" s="1"/>
  <c r="P56" i="10"/>
  <c r="Q56" i="10" s="1"/>
  <c r="AM56" i="19" s="1"/>
  <c r="AO57" i="19" s="1"/>
  <c r="P34" i="10"/>
  <c r="Q34" i="10" s="1"/>
  <c r="AM34" i="19" s="1"/>
  <c r="AO35" i="19" s="1"/>
  <c r="P65" i="10"/>
  <c r="Q65" i="10" s="1"/>
  <c r="AM65" i="19" s="1"/>
  <c r="AO66" i="19" s="1"/>
  <c r="P61" i="10"/>
  <c r="Q61" i="10" s="1"/>
  <c r="AM61" i="19" s="1"/>
  <c r="AO62" i="19" s="1"/>
  <c r="P50" i="10"/>
  <c r="Q50" i="10" s="1"/>
  <c r="AM50" i="19" s="1"/>
  <c r="AO51" i="19" s="1"/>
  <c r="P57" i="10"/>
  <c r="Q57" i="10" s="1"/>
  <c r="AM57" i="19" s="1"/>
  <c r="AO58" i="19" s="1"/>
  <c r="P30" i="10"/>
  <c r="Q30" i="10" s="1"/>
  <c r="AM30" i="19" s="1"/>
  <c r="AO31" i="19" s="1"/>
  <c r="P25" i="10"/>
  <c r="Q25" i="10" s="1"/>
  <c r="AM25" i="19" s="1"/>
  <c r="AO26" i="19" s="1"/>
  <c r="P17" i="10"/>
  <c r="Q17" i="10" s="1"/>
  <c r="AM17" i="19" s="1"/>
  <c r="AO18" i="19" s="1"/>
  <c r="P40" i="10"/>
  <c r="Q40" i="10" s="1"/>
  <c r="AM40" i="19" s="1"/>
  <c r="AO41" i="19" s="1"/>
  <c r="P53" i="10"/>
  <c r="Q53" i="10" s="1"/>
  <c r="AM53" i="19" s="1"/>
  <c r="AO54" i="19" s="1"/>
  <c r="P27" i="10"/>
  <c r="Q27" i="10" s="1"/>
  <c r="AM27" i="19" s="1"/>
  <c r="AO28" i="19" s="1"/>
  <c r="P14" i="10"/>
  <c r="Q14" i="10" s="1"/>
  <c r="AM14" i="19" s="1"/>
  <c r="AO15" i="19" s="1"/>
  <c r="P48" i="10"/>
  <c r="Q48" i="10" s="1"/>
  <c r="AM48" i="19" s="1"/>
  <c r="AO49" i="19" s="1"/>
  <c r="P66" i="10"/>
  <c r="Q66" i="10" s="1"/>
  <c r="P63" i="10"/>
  <c r="Q63" i="10" s="1"/>
  <c r="AM63" i="19" s="1"/>
  <c r="AO64" i="19" s="1"/>
  <c r="P51" i="10"/>
  <c r="Q51" i="10" s="1"/>
  <c r="AM51" i="19" s="1"/>
  <c r="AO52" i="19" s="1"/>
  <c r="P46" i="10"/>
  <c r="Q46" i="10" s="1"/>
  <c r="AM46" i="19" s="1"/>
  <c r="AO47" i="19" s="1"/>
  <c r="P43" i="10"/>
  <c r="Q43" i="10" s="1"/>
  <c r="AM43" i="19" s="1"/>
  <c r="AO44" i="19" s="1"/>
  <c r="P62" i="10"/>
  <c r="Q62" i="10" s="1"/>
  <c r="AM62" i="19" s="1"/>
  <c r="AO63" i="19" s="1"/>
  <c r="P37" i="10"/>
  <c r="Q37" i="10" s="1"/>
  <c r="AM37" i="19" s="1"/>
  <c r="AO38" i="19" s="1"/>
  <c r="P60" i="10"/>
  <c r="Q60" i="10" s="1"/>
  <c r="AM60" i="19" s="1"/>
  <c r="AO61" i="19" s="1"/>
  <c r="P33" i="10"/>
  <c r="Q33" i="10" s="1"/>
  <c r="AM33" i="19" s="1"/>
  <c r="AO34" i="19" s="1"/>
  <c r="P20" i="10"/>
  <c r="Q20" i="10" s="1"/>
  <c r="AM20" i="19" s="1"/>
  <c r="AO21" i="19" s="1"/>
  <c r="P12" i="10"/>
  <c r="Q12" i="10" s="1"/>
  <c r="AM12" i="19" s="1"/>
  <c r="AO13" i="19" s="1"/>
  <c r="P68" i="10"/>
  <c r="Q68" i="10" s="1"/>
  <c r="AM68" i="19" s="1"/>
  <c r="P38" i="10"/>
  <c r="Q38" i="10" s="1"/>
  <c r="AM38" i="19" s="1"/>
  <c r="AO39" i="19" s="1"/>
  <c r="P22" i="10"/>
  <c r="Q22" i="10" s="1"/>
  <c r="AM22" i="19" s="1"/>
  <c r="AO23" i="19" s="1"/>
  <c r="P19" i="10"/>
  <c r="Q19" i="10" s="1"/>
  <c r="AM19" i="19" s="1"/>
  <c r="AO20" i="19" s="1"/>
  <c r="P59" i="10"/>
  <c r="Q59" i="10" s="1"/>
  <c r="AM59" i="19" s="1"/>
  <c r="AO60" i="19" s="1"/>
  <c r="P6" i="10"/>
  <c r="Q6" i="10" s="1"/>
  <c r="AM6" i="19" s="1"/>
  <c r="AO7" i="19" s="1"/>
  <c r="P31" i="10"/>
  <c r="Q31" i="10" s="1"/>
  <c r="AM31" i="19" s="1"/>
  <c r="AO32" i="19" s="1"/>
  <c r="P36" i="10"/>
  <c r="Q36" i="10" s="1"/>
  <c r="AM36" i="19" s="1"/>
  <c r="AO37" i="19" s="1"/>
  <c r="P67" i="10"/>
  <c r="Q67" i="10" s="1"/>
  <c r="AM67" i="19" s="1"/>
  <c r="AO68" i="19" s="1"/>
  <c r="P64" i="10"/>
  <c r="Q64" i="10" s="1"/>
  <c r="AM64" i="19" s="1"/>
  <c r="AO65" i="19" s="1"/>
  <c r="P44" i="10"/>
  <c r="Q44" i="10" s="1"/>
  <c r="AM44" i="19" s="1"/>
  <c r="AO45" i="19" s="1"/>
  <c r="P7" i="10"/>
  <c r="Q7" i="10" s="1"/>
  <c r="AM7" i="19" s="1"/>
  <c r="AO8" i="19" s="1"/>
  <c r="P13" i="10"/>
  <c r="Q13" i="10" s="1"/>
  <c r="AM13" i="19" s="1"/>
  <c r="AO14" i="19" s="1"/>
  <c r="P41" i="10"/>
  <c r="Q41" i="10" s="1"/>
  <c r="AM41" i="19" s="1"/>
  <c r="AO42" i="19" s="1"/>
  <c r="P47" i="10"/>
  <c r="Q47" i="10" s="1"/>
  <c r="AM47" i="19" s="1"/>
  <c r="AO48" i="19" s="1"/>
  <c r="P58" i="10"/>
  <c r="Q58" i="10" s="1"/>
  <c r="AM58" i="19" s="1"/>
  <c r="AO59" i="19" s="1"/>
  <c r="P23" i="10"/>
  <c r="Q23" i="10" s="1"/>
  <c r="AM23" i="19" s="1"/>
  <c r="AO24" i="19" s="1"/>
  <c r="P26" i="10"/>
  <c r="Q26" i="10" s="1"/>
  <c r="AM26" i="19" s="1"/>
  <c r="AO27" i="19" s="1"/>
  <c r="V45" i="20"/>
  <c r="V30" i="20"/>
  <c r="V50" i="20"/>
  <c r="V20" i="20"/>
  <c r="AA780" i="19" l="1"/>
  <c r="AB780" i="19" s="1"/>
  <c r="V21" i="20"/>
  <c r="AA10" i="19"/>
  <c r="AB10" i="19" s="1"/>
  <c r="K19" i="6"/>
  <c r="V17" i="20"/>
  <c r="V19" i="20"/>
  <c r="V25" i="20"/>
  <c r="V46" i="20"/>
  <c r="O12" i="7"/>
  <c r="V10" i="20"/>
  <c r="V65" i="20"/>
  <c r="V18" i="20"/>
  <c r="AA12" i="19"/>
  <c r="AB12" i="19" s="1"/>
  <c r="AF16" i="19" s="1"/>
  <c r="V23" i="20"/>
  <c r="V60" i="20"/>
  <c r="V64" i="20"/>
  <c r="V4" i="20"/>
  <c r="AZ43" i="19"/>
  <c r="BA43" i="19" s="1"/>
  <c r="AC11" i="16"/>
  <c r="V66" i="20"/>
  <c r="AS8" i="19"/>
  <c r="BA27" i="19" s="1"/>
  <c r="AX27" i="19" s="1"/>
  <c r="AZ27" i="19" s="1"/>
  <c r="BA26" i="19"/>
  <c r="AX26" i="19" s="1"/>
  <c r="AZ26" i="19" s="1"/>
  <c r="T52" i="10"/>
  <c r="U52" i="10"/>
  <c r="V39" i="20"/>
  <c r="V26" i="20"/>
  <c r="V42" i="20"/>
  <c r="AC12" i="16"/>
  <c r="AE12" i="19"/>
  <c r="AD11" i="19"/>
  <c r="AF13" i="19"/>
  <c r="AH15" i="19"/>
  <c r="AG14" i="19"/>
  <c r="AC10" i="19"/>
  <c r="AF784" i="19"/>
  <c r="AH786" i="19"/>
  <c r="AG785" i="19"/>
  <c r="AE783" i="19"/>
  <c r="AD782" i="19"/>
  <c r="AC781" i="19"/>
  <c r="V34" i="20"/>
  <c r="U54" i="10"/>
  <c r="T54" i="10"/>
  <c r="V52" i="20"/>
  <c r="V62" i="20"/>
  <c r="BA33" i="19"/>
  <c r="AA664" i="19"/>
  <c r="AB664" i="19" s="1"/>
  <c r="AA560" i="19"/>
  <c r="AB560" i="19" s="1"/>
  <c r="AA219" i="19"/>
  <c r="AB219" i="19" s="1"/>
  <c r="AA47" i="19"/>
  <c r="AB47" i="19" s="1"/>
  <c r="AA677" i="19"/>
  <c r="AB677" i="19" s="1"/>
  <c r="AA738" i="19"/>
  <c r="AB738" i="19" s="1"/>
  <c r="AA97" i="19"/>
  <c r="AB97" i="19" s="1"/>
  <c r="AA622" i="19"/>
  <c r="AB622" i="19" s="1"/>
  <c r="AA431" i="19"/>
  <c r="AB431" i="19" s="1"/>
  <c r="AA518" i="19"/>
  <c r="AB518" i="19" s="1"/>
  <c r="AA531" i="19"/>
  <c r="AB531" i="19" s="1"/>
  <c r="AA376" i="19"/>
  <c r="AB376" i="19" s="1"/>
  <c r="AA680" i="19"/>
  <c r="AB680" i="19" s="1"/>
  <c r="AA381" i="19"/>
  <c r="AB381" i="19" s="1"/>
  <c r="AA693" i="19"/>
  <c r="AB693" i="19" s="1"/>
  <c r="AA203" i="19"/>
  <c r="AB203" i="19" s="1"/>
  <c r="AA416" i="19"/>
  <c r="AB416" i="19" s="1"/>
  <c r="AA430" i="19"/>
  <c r="AB430" i="19" s="1"/>
  <c r="AA581" i="19"/>
  <c r="AB581" i="19" s="1"/>
  <c r="AA344" i="19"/>
  <c r="AB344" i="19" s="1"/>
  <c r="AA594" i="19"/>
  <c r="AB594" i="19" s="1"/>
  <c r="AA714" i="19"/>
  <c r="AB714" i="19" s="1"/>
  <c r="AA507" i="19"/>
  <c r="AB507" i="19" s="1"/>
  <c r="AA562" i="19"/>
  <c r="AB562" i="19" s="1"/>
  <c r="AA767" i="19"/>
  <c r="AB767" i="19" s="1"/>
  <c r="AA3" i="19"/>
  <c r="AB3" i="19" s="1"/>
  <c r="AA629" i="19"/>
  <c r="AB629" i="19" s="1"/>
  <c r="AA88" i="19"/>
  <c r="AB88" i="19" s="1"/>
  <c r="AA768" i="19"/>
  <c r="AB768" i="19" s="1"/>
  <c r="AA727" i="19"/>
  <c r="AB727" i="19" s="1"/>
  <c r="AA683" i="19"/>
  <c r="AB683" i="19" s="1"/>
  <c r="AA349" i="19"/>
  <c r="AB349" i="19" s="1"/>
  <c r="AA771" i="19"/>
  <c r="AB771" i="19" s="1"/>
  <c r="AA400" i="19"/>
  <c r="AB400" i="19" s="1"/>
  <c r="AA272" i="19"/>
  <c r="AB272" i="19" s="1"/>
  <c r="AA63" i="19"/>
  <c r="AB63" i="19" s="1"/>
  <c r="AA326" i="19"/>
  <c r="AB326" i="19" s="1"/>
  <c r="AA91" i="19"/>
  <c r="AB91" i="19" s="1"/>
  <c r="AA413" i="19"/>
  <c r="AB413" i="19" s="1"/>
  <c r="AA346" i="19"/>
  <c r="AB346" i="19" s="1"/>
  <c r="AA419" i="19"/>
  <c r="AB419" i="19" s="1"/>
  <c r="AA408" i="19"/>
  <c r="AB408" i="19" s="1"/>
  <c r="AA743" i="19"/>
  <c r="AB743" i="19" s="1"/>
  <c r="AA708" i="19"/>
  <c r="AB708" i="19" s="1"/>
  <c r="AA665" i="19"/>
  <c r="AB665" i="19" s="1"/>
  <c r="AA163" i="19"/>
  <c r="AB163" i="19" s="1"/>
  <c r="AA719" i="19"/>
  <c r="AB719" i="19" s="1"/>
  <c r="AA409" i="19"/>
  <c r="AB409" i="19" s="1"/>
  <c r="AA316" i="19"/>
  <c r="AB316" i="19" s="1"/>
  <c r="AA634" i="19"/>
  <c r="AB634" i="19" s="1"/>
  <c r="AA423" i="19"/>
  <c r="AB423" i="19" s="1"/>
  <c r="AA373" i="19"/>
  <c r="AB373" i="19" s="1"/>
  <c r="AA525" i="19"/>
  <c r="AB525" i="19" s="1"/>
  <c r="AA113" i="19"/>
  <c r="AB113" i="19" s="1"/>
  <c r="AA706" i="19"/>
  <c r="AB706" i="19" s="1"/>
  <c r="AA350" i="19"/>
  <c r="AB350" i="19" s="1"/>
  <c r="AA342" i="19"/>
  <c r="AB342" i="19" s="1"/>
  <c r="AA330" i="19"/>
  <c r="AB330" i="19" s="1"/>
  <c r="AA100" i="19"/>
  <c r="AB100" i="19" s="1"/>
  <c r="AA809" i="19"/>
  <c r="AB809" i="19" s="1"/>
  <c r="AA744" i="19"/>
  <c r="AB744" i="19" s="1"/>
  <c r="AA81" i="19"/>
  <c r="AB81" i="19" s="1"/>
  <c r="AA216" i="19"/>
  <c r="AB216" i="19" s="1"/>
  <c r="AA102" i="19"/>
  <c r="AB102" i="19" s="1"/>
  <c r="AA129" i="19"/>
  <c r="AB129" i="19" s="1"/>
  <c r="AA434" i="19"/>
  <c r="AB434" i="19" s="1"/>
  <c r="AA128" i="19"/>
  <c r="AB128" i="19" s="1"/>
  <c r="AA310" i="19"/>
  <c r="AB310" i="19" s="1"/>
  <c r="AA587" i="19"/>
  <c r="AB587" i="19" s="1"/>
  <c r="AA667" i="19"/>
  <c r="AB667" i="19" s="1"/>
  <c r="AA511" i="19"/>
  <c r="AB511" i="19" s="1"/>
  <c r="AA274" i="19"/>
  <c r="AB274" i="19" s="1"/>
  <c r="AA112" i="19"/>
  <c r="AB112" i="19" s="1"/>
  <c r="AA124" i="19"/>
  <c r="AB124" i="19" s="1"/>
  <c r="AA696" i="19"/>
  <c r="AB696" i="19" s="1"/>
  <c r="AA475" i="19"/>
  <c r="AB475" i="19" s="1"/>
  <c r="AA526" i="19"/>
  <c r="AB526" i="19" s="1"/>
  <c r="AA456" i="19"/>
  <c r="AB456" i="19" s="1"/>
  <c r="AA66" i="19"/>
  <c r="AB66" i="19" s="1"/>
  <c r="AA789" i="19"/>
  <c r="AB789" i="19" s="1"/>
  <c r="AA155" i="19"/>
  <c r="AB155" i="19" s="1"/>
  <c r="AA340" i="19"/>
  <c r="AB340" i="19" s="1"/>
  <c r="AA596" i="19"/>
  <c r="AB596" i="19" s="1"/>
  <c r="AA65" i="19"/>
  <c r="AB65" i="19" s="1"/>
  <c r="AA697" i="19"/>
  <c r="AB697" i="19" s="1"/>
  <c r="AA188" i="19"/>
  <c r="AB188" i="19" s="1"/>
  <c r="AA318" i="19"/>
  <c r="AB318" i="19" s="1"/>
  <c r="AA179" i="19"/>
  <c r="AB179" i="19" s="1"/>
  <c r="AA770" i="19"/>
  <c r="AB770" i="19" s="1"/>
  <c r="AA49" i="19"/>
  <c r="AB49" i="19" s="1"/>
  <c r="AA84" i="19"/>
  <c r="AB84" i="19" s="1"/>
  <c r="AA57" i="19"/>
  <c r="AB57" i="19" s="1"/>
  <c r="AA53" i="19"/>
  <c r="AB53" i="19" s="1"/>
  <c r="AA412" i="19"/>
  <c r="AB412" i="19" s="1"/>
  <c r="AA37" i="19"/>
  <c r="AB37" i="19" s="1"/>
  <c r="AA309" i="19"/>
  <c r="AB309" i="19" s="1"/>
  <c r="AA299" i="19"/>
  <c r="AB299" i="19" s="1"/>
  <c r="AA570" i="19"/>
  <c r="AB570" i="19" s="1"/>
  <c r="AA528" i="19"/>
  <c r="AB528" i="19" s="1"/>
  <c r="AA202" i="19"/>
  <c r="AB202" i="19" s="1"/>
  <c r="AA763" i="19"/>
  <c r="AB763" i="19" s="1"/>
  <c r="AA690" i="19"/>
  <c r="AB690" i="19" s="1"/>
  <c r="AA61" i="19"/>
  <c r="AB61" i="19" s="1"/>
  <c r="AA418" i="19"/>
  <c r="AB418" i="19" s="1"/>
  <c r="AA436" i="19"/>
  <c r="AB436" i="19" s="1"/>
  <c r="AA520" i="19"/>
  <c r="AB520" i="19" s="1"/>
  <c r="AA353" i="19"/>
  <c r="AB353" i="19" s="1"/>
  <c r="AA404" i="19"/>
  <c r="AB404" i="19" s="1"/>
  <c r="AA243" i="19"/>
  <c r="AB243" i="19" s="1"/>
  <c r="AA120" i="19"/>
  <c r="AB120" i="19" s="1"/>
  <c r="AA610" i="19"/>
  <c r="AB610" i="19" s="1"/>
  <c r="AA52" i="19"/>
  <c r="AB52" i="19" s="1"/>
  <c r="AA348" i="19"/>
  <c r="AB348" i="19" s="1"/>
  <c r="AA807" i="19"/>
  <c r="AB807" i="19" s="1"/>
  <c r="AA619" i="19"/>
  <c r="AB619" i="19" s="1"/>
  <c r="AA190" i="19"/>
  <c r="AB190" i="19" s="1"/>
  <c r="AA476" i="19"/>
  <c r="AB476" i="19" s="1"/>
  <c r="AA608" i="19"/>
  <c r="AB608" i="19" s="1"/>
  <c r="AA213" i="19"/>
  <c r="AB213" i="19" s="1"/>
  <c r="AA583" i="19"/>
  <c r="AB583" i="19" s="1"/>
  <c r="AA385" i="19"/>
  <c r="AB385" i="19" s="1"/>
  <c r="AA745" i="19"/>
  <c r="AB745" i="19" s="1"/>
  <c r="AA405" i="19"/>
  <c r="AB405" i="19" s="1"/>
  <c r="AA718" i="19"/>
  <c r="AB718" i="19" s="1"/>
  <c r="AA558" i="19"/>
  <c r="AB558" i="19" s="1"/>
  <c r="AA805" i="19"/>
  <c r="AB805" i="19" s="1"/>
  <c r="AA35" i="19"/>
  <c r="AB35" i="19" s="1"/>
  <c r="AA573" i="19"/>
  <c r="AB573" i="19" s="1"/>
  <c r="AA707" i="19"/>
  <c r="AB707" i="19" s="1"/>
  <c r="AA498" i="19"/>
  <c r="AB498" i="19" s="1"/>
  <c r="AA365" i="19"/>
  <c r="AB365" i="19" s="1"/>
  <c r="AA752" i="19"/>
  <c r="AB752" i="19" s="1"/>
  <c r="AA717" i="19"/>
  <c r="AB717" i="19" s="1"/>
  <c r="AA333" i="19"/>
  <c r="AB333" i="19" s="1"/>
  <c r="AA269" i="19"/>
  <c r="AB269" i="19" s="1"/>
  <c r="AA487" i="19"/>
  <c r="AB487" i="19" s="1"/>
  <c r="AA382" i="19"/>
  <c r="AB382" i="19" s="1"/>
  <c r="AA460" i="19"/>
  <c r="AB460" i="19" s="1"/>
  <c r="AA22" i="19"/>
  <c r="AB22" i="19" s="1"/>
  <c r="AA36" i="19"/>
  <c r="AB36" i="19" s="1"/>
  <c r="AA283" i="19"/>
  <c r="AB283" i="19" s="1"/>
  <c r="AA699" i="19"/>
  <c r="AB699" i="19" s="1"/>
  <c r="AA75" i="19"/>
  <c r="AB75" i="19" s="1"/>
  <c r="AA367" i="19"/>
  <c r="AB367" i="19" s="1"/>
  <c r="AA139" i="19"/>
  <c r="AB139" i="19" s="1"/>
  <c r="AA496" i="19"/>
  <c r="AB496" i="19" s="1"/>
  <c r="AA549" i="19"/>
  <c r="AB549" i="19" s="1"/>
  <c r="AA462" i="19"/>
  <c r="AB462" i="19" s="1"/>
  <c r="AA473" i="19"/>
  <c r="AB473" i="19" s="1"/>
  <c r="AA485" i="19"/>
  <c r="AB485" i="19" s="1"/>
  <c r="AA632" i="19"/>
  <c r="AB632" i="19" s="1"/>
  <c r="AA794" i="19"/>
  <c r="AB794" i="19" s="1"/>
  <c r="AA448" i="19"/>
  <c r="AB448" i="19" s="1"/>
  <c r="AA70" i="19"/>
  <c r="AB70" i="19" s="1"/>
  <c r="AA45" i="19"/>
  <c r="AB45" i="19" s="1"/>
  <c r="AA289" i="19"/>
  <c r="AB289" i="19" s="1"/>
  <c r="AA656" i="19"/>
  <c r="AB656" i="19" s="1"/>
  <c r="AA130" i="19"/>
  <c r="AB130" i="19" s="1"/>
  <c r="AA521" i="19"/>
  <c r="AB521" i="19" s="1"/>
  <c r="AA529" i="19"/>
  <c r="AB529" i="19" s="1"/>
  <c r="AA787" i="19"/>
  <c r="AB787" i="19" s="1"/>
  <c r="AA443" i="19"/>
  <c r="AB443" i="19" s="1"/>
  <c r="AA806" i="19"/>
  <c r="AB806" i="19" s="1"/>
  <c r="AA720" i="19"/>
  <c r="AB720" i="19" s="1"/>
  <c r="AA266" i="19"/>
  <c r="AB266" i="19" s="1"/>
  <c r="AA198" i="19"/>
  <c r="AB198" i="19" s="1"/>
  <c r="AA280" i="19"/>
  <c r="AB280" i="19" s="1"/>
  <c r="AA206" i="19"/>
  <c r="AB206" i="19" s="1"/>
  <c r="AA368" i="19"/>
  <c r="AB368" i="19" s="1"/>
  <c r="AA541" i="19"/>
  <c r="AB541" i="19" s="1"/>
  <c r="AA379" i="19"/>
  <c r="AB379" i="19" s="1"/>
  <c r="AA653" i="19"/>
  <c r="AB653" i="19" s="1"/>
  <c r="AA459" i="19"/>
  <c r="AB459" i="19" s="1"/>
  <c r="AA26" i="19"/>
  <c r="AB26" i="19" s="1"/>
  <c r="AA630" i="19"/>
  <c r="AB630" i="19" s="1"/>
  <c r="AA774" i="19"/>
  <c r="AB774" i="19" s="1"/>
  <c r="AA813" i="19"/>
  <c r="AB813" i="19" s="1"/>
  <c r="AA611" i="19"/>
  <c r="AB611" i="19" s="1"/>
  <c r="AA484" i="19"/>
  <c r="AB484" i="19" s="1"/>
  <c r="AA792" i="19"/>
  <c r="AB792" i="19" s="1"/>
  <c r="AA322" i="19"/>
  <c r="AB322" i="19" s="1"/>
  <c r="AA191" i="19"/>
  <c r="AB191" i="19" s="1"/>
  <c r="AA345" i="19"/>
  <c r="AB345" i="19" s="1"/>
  <c r="AA48" i="19"/>
  <c r="AB48" i="19" s="1"/>
  <c r="AA729" i="19"/>
  <c r="AB729" i="19" s="1"/>
  <c r="AA107" i="19"/>
  <c r="AB107" i="19" s="1"/>
  <c r="AA686" i="19"/>
  <c r="AB686" i="19" s="1"/>
  <c r="AA662" i="19"/>
  <c r="AB662" i="19" s="1"/>
  <c r="AA522" i="19"/>
  <c r="AB522" i="19" s="1"/>
  <c r="AA533" i="19"/>
  <c r="AB533" i="19" s="1"/>
  <c r="AA655" i="19"/>
  <c r="AB655" i="19" s="1"/>
  <c r="AA440" i="19"/>
  <c r="AB440" i="19" s="1"/>
  <c r="AA224" i="19"/>
  <c r="AB224" i="19" s="1"/>
  <c r="AA277" i="19"/>
  <c r="AB277" i="19" s="1"/>
  <c r="AA781" i="19"/>
  <c r="AB781" i="19" s="1"/>
  <c r="AA705" i="19"/>
  <c r="AB705" i="19" s="1"/>
  <c r="AA291" i="19"/>
  <c r="AB291" i="19" s="1"/>
  <c r="AA303" i="19"/>
  <c r="AB303" i="19" s="1"/>
  <c r="AA621" i="19"/>
  <c r="AB621" i="19" s="1"/>
  <c r="AA184" i="19"/>
  <c r="AB184" i="19" s="1"/>
  <c r="AA389" i="19"/>
  <c r="AB389" i="19" s="1"/>
  <c r="AA15" i="19"/>
  <c r="AB15" i="19" s="1"/>
  <c r="AA227" i="19"/>
  <c r="AB227" i="19" s="1"/>
  <c r="AA372" i="19"/>
  <c r="AB372" i="19" s="1"/>
  <c r="AA468" i="19"/>
  <c r="AB468" i="19" s="1"/>
  <c r="AA178" i="19"/>
  <c r="AB178" i="19" s="1"/>
  <c r="AA118" i="19"/>
  <c r="AB118" i="19" s="1"/>
  <c r="AA259" i="19"/>
  <c r="AB259" i="19" s="1"/>
  <c r="AA314" i="19"/>
  <c r="AB314" i="19" s="1"/>
  <c r="AA166" i="19"/>
  <c r="AB166" i="19" s="1"/>
  <c r="AA766" i="19"/>
  <c r="AB766" i="19" s="1"/>
  <c r="AA195" i="19"/>
  <c r="AB195" i="19" s="1"/>
  <c r="AA307" i="19"/>
  <c r="AB307" i="19" s="1"/>
  <c r="AA658" i="19"/>
  <c r="AB658" i="19" s="1"/>
  <c r="AA245" i="19"/>
  <c r="AB245" i="19" s="1"/>
  <c r="AA748" i="19"/>
  <c r="AB748" i="19" s="1"/>
  <c r="AA69" i="19"/>
  <c r="AB69" i="19" s="1"/>
  <c r="AA481" i="19"/>
  <c r="AB481" i="19" s="1"/>
  <c r="AA339" i="19"/>
  <c r="AB339" i="19" s="1"/>
  <c r="AA253" i="19"/>
  <c r="AB253" i="19" s="1"/>
  <c r="AA392" i="19"/>
  <c r="AB392" i="19" s="1"/>
  <c r="AA494" i="19"/>
  <c r="AB494" i="19" s="1"/>
  <c r="AA399" i="19"/>
  <c r="AB399" i="19" s="1"/>
  <c r="AA231" i="19"/>
  <c r="AB231" i="19" s="1"/>
  <c r="AA105" i="19"/>
  <c r="AB105" i="19" s="1"/>
  <c r="AA723" i="19"/>
  <c r="AB723" i="19" s="1"/>
  <c r="AA402" i="19"/>
  <c r="AB402" i="19" s="1"/>
  <c r="AA334" i="19"/>
  <c r="AB334" i="19" s="1"/>
  <c r="AA197" i="19"/>
  <c r="AB197" i="19" s="1"/>
  <c r="AA338" i="19"/>
  <c r="AB338" i="19" s="1"/>
  <c r="AA420" i="19"/>
  <c r="AB420" i="19" s="1"/>
  <c r="AA241" i="19"/>
  <c r="AB241" i="19" s="1"/>
  <c r="AA121" i="19"/>
  <c r="AB121" i="19" s="1"/>
  <c r="AA347" i="19"/>
  <c r="AB347" i="19" s="1"/>
  <c r="AA234" i="19"/>
  <c r="AB234" i="19" s="1"/>
  <c r="AA221" i="19"/>
  <c r="AB221" i="19" s="1"/>
  <c r="AA552" i="19"/>
  <c r="AB552" i="19" s="1"/>
  <c r="AA568" i="19"/>
  <c r="AB568" i="19" s="1"/>
  <c r="AA447" i="19"/>
  <c r="AB447" i="19" s="1"/>
  <c r="AA337" i="19"/>
  <c r="AB337" i="19" s="1"/>
  <c r="AA82" i="19"/>
  <c r="AB82" i="19" s="1"/>
  <c r="AA597" i="19"/>
  <c r="AB597" i="19" s="1"/>
  <c r="AA627" i="19"/>
  <c r="AB627" i="19" s="1"/>
  <c r="AA466" i="19"/>
  <c r="AB466" i="19" s="1"/>
  <c r="AA250" i="19"/>
  <c r="AB250" i="19" s="1"/>
  <c r="AA141" i="19"/>
  <c r="AB141" i="19" s="1"/>
  <c r="AA304" i="19"/>
  <c r="AB304" i="19" s="1"/>
  <c r="AA182" i="19"/>
  <c r="AB182" i="19" s="1"/>
  <c r="AA72" i="19"/>
  <c r="AB72" i="19" s="1"/>
  <c r="AA749" i="19"/>
  <c r="AB749" i="19" s="1"/>
  <c r="AA87" i="19"/>
  <c r="AB87" i="19" s="1"/>
  <c r="AA645" i="19"/>
  <c r="AB645" i="19" s="1"/>
  <c r="AA175" i="19"/>
  <c r="AB175" i="19" s="1"/>
  <c r="AA713" i="19"/>
  <c r="AB713" i="19" s="1"/>
  <c r="AA302" i="19"/>
  <c r="AB302" i="19" s="1"/>
  <c r="AA366" i="19"/>
  <c r="AB366" i="19" s="1"/>
  <c r="AA576" i="19"/>
  <c r="AB576" i="19" s="1"/>
  <c r="AA747" i="19"/>
  <c r="AB747" i="19" s="1"/>
  <c r="AA55" i="19"/>
  <c r="AB55" i="19" s="1"/>
  <c r="AA90" i="19"/>
  <c r="AB90" i="19" s="1"/>
  <c r="AA391" i="19"/>
  <c r="AB391" i="19" s="1"/>
  <c r="AA499" i="19"/>
  <c r="AB499" i="19" s="1"/>
  <c r="AA478" i="19"/>
  <c r="AB478" i="19" s="1"/>
  <c r="AA675" i="19"/>
  <c r="AB675" i="19" s="1"/>
  <c r="AA620" i="19"/>
  <c r="AB620" i="19" s="1"/>
  <c r="AA595" i="19"/>
  <c r="AB595" i="19" s="1"/>
  <c r="AA426" i="19"/>
  <c r="AB426" i="19" s="1"/>
  <c r="AA585" i="19"/>
  <c r="AB585" i="19" s="1"/>
  <c r="AA415" i="19"/>
  <c r="AB415" i="19" s="1"/>
  <c r="AA126" i="19"/>
  <c r="AB126" i="19" s="1"/>
  <c r="AA383" i="19"/>
  <c r="AB383" i="19" s="1"/>
  <c r="AA74" i="19"/>
  <c r="AB74" i="19" s="1"/>
  <c r="AA472" i="19"/>
  <c r="AB472" i="19" s="1"/>
  <c r="AA793" i="19"/>
  <c r="AB793" i="19" s="1"/>
  <c r="AA803" i="19"/>
  <c r="AB803" i="19" s="1"/>
  <c r="AA199" i="19"/>
  <c r="AB199" i="19" s="1"/>
  <c r="AA235" i="19"/>
  <c r="AB235" i="19" s="1"/>
  <c r="AA352" i="19"/>
  <c r="AB352" i="19" s="1"/>
  <c r="AA407" i="19"/>
  <c r="AB407" i="19" s="1"/>
  <c r="AA441" i="19"/>
  <c r="AB441" i="19" s="1"/>
  <c r="AA451" i="19"/>
  <c r="AB451" i="19" s="1"/>
  <c r="AA401" i="19"/>
  <c r="AB401" i="19" s="1"/>
  <c r="AA205" i="19"/>
  <c r="AB205" i="19" s="1"/>
  <c r="AA16" i="19"/>
  <c r="AB16" i="19" s="1"/>
  <c r="AA157" i="19"/>
  <c r="AB157" i="19" s="1"/>
  <c r="AA493" i="19"/>
  <c r="AB493" i="19" s="1"/>
  <c r="AA777" i="19"/>
  <c r="AB777" i="19" s="1"/>
  <c r="AA480" i="19"/>
  <c r="AB480" i="19" s="1"/>
  <c r="AA370" i="19"/>
  <c r="AB370" i="19" s="1"/>
  <c r="AA73" i="19"/>
  <c r="AB73" i="19" s="1"/>
  <c r="AA395" i="19"/>
  <c r="AB395" i="19" s="1"/>
  <c r="AA535" i="19"/>
  <c r="AB535" i="19" s="1"/>
  <c r="AA778" i="19"/>
  <c r="AB778" i="19" s="1"/>
  <c r="AA208" i="19"/>
  <c r="AB208" i="19" s="1"/>
  <c r="AA237" i="19"/>
  <c r="AB237" i="19" s="1"/>
  <c r="AA151" i="19"/>
  <c r="AB151" i="19" s="1"/>
  <c r="AA782" i="19"/>
  <c r="AB782" i="19" s="1"/>
  <c r="AA341" i="19"/>
  <c r="AB341" i="19" s="1"/>
  <c r="AA306" i="19"/>
  <c r="AB306" i="19" s="1"/>
  <c r="AA294" i="19"/>
  <c r="AB294" i="19" s="1"/>
  <c r="AA604" i="19"/>
  <c r="AB604" i="19" s="1"/>
  <c r="AA98" i="19"/>
  <c r="AB98" i="19" s="1"/>
  <c r="AA158" i="19"/>
  <c r="AB158" i="19" s="1"/>
  <c r="AA510" i="19"/>
  <c r="AB510" i="19" s="1"/>
  <c r="AA375" i="19"/>
  <c r="AB375" i="19" s="1"/>
  <c r="AA315" i="19"/>
  <c r="AB315" i="19" s="1"/>
  <c r="AA187" i="19"/>
  <c r="AB187" i="19" s="1"/>
  <c r="AA746" i="19"/>
  <c r="AB746" i="19" s="1"/>
  <c r="AA755" i="19"/>
  <c r="AB755" i="19" s="1"/>
  <c r="AA332" i="19"/>
  <c r="AB332" i="19" s="1"/>
  <c r="AA110" i="19"/>
  <c r="AB110" i="19" s="1"/>
  <c r="AA40" i="19"/>
  <c r="AB40" i="19" s="1"/>
  <c r="AA397" i="19"/>
  <c r="AB397" i="19" s="1"/>
  <c r="AA271" i="19"/>
  <c r="AB271" i="19" s="1"/>
  <c r="AA132" i="19"/>
  <c r="AB132" i="19" s="1"/>
  <c r="AA134" i="19"/>
  <c r="AB134" i="19" s="1"/>
  <c r="AA602" i="19"/>
  <c r="AB602" i="19" s="1"/>
  <c r="AA282" i="19"/>
  <c r="AB282" i="19" s="1"/>
  <c r="AA785" i="19"/>
  <c r="AB785" i="19" s="1"/>
  <c r="AA613" i="19"/>
  <c r="AB613" i="19" s="1"/>
  <c r="AA21" i="19"/>
  <c r="AB21" i="19" s="1"/>
  <c r="AA530" i="19"/>
  <c r="AB530" i="19" s="1"/>
  <c r="AA500" i="19"/>
  <c r="AB500" i="19" s="1"/>
  <c r="AA31" i="19"/>
  <c r="AB31" i="19" s="1"/>
  <c r="AA821" i="19"/>
  <c r="AB821" i="19" s="1"/>
  <c r="AA742" i="19"/>
  <c r="AB742" i="19" s="1"/>
  <c r="AA210" i="19"/>
  <c r="AB210" i="19" s="1"/>
  <c r="AA548" i="19"/>
  <c r="AB548" i="19" s="1"/>
  <c r="AA488" i="19"/>
  <c r="AB488" i="19" s="1"/>
  <c r="AA801" i="19"/>
  <c r="AB801" i="19" s="1"/>
  <c r="AA29" i="19"/>
  <c r="AB29" i="19" s="1"/>
  <c r="AA159" i="19"/>
  <c r="AB159" i="19" s="1"/>
  <c r="AA772" i="19"/>
  <c r="AB772" i="19" s="1"/>
  <c r="AA276" i="19"/>
  <c r="AB276" i="19" s="1"/>
  <c r="AA28" i="19"/>
  <c r="AB28" i="19" s="1"/>
  <c r="AA131" i="19"/>
  <c r="AB131" i="19" s="1"/>
  <c r="AA542" i="19"/>
  <c r="AB542" i="19" s="1"/>
  <c r="AA764" i="19"/>
  <c r="AB764" i="19" s="1"/>
  <c r="AA669" i="19"/>
  <c r="AB669" i="19" s="1"/>
  <c r="AA661" i="19"/>
  <c r="AB661" i="19" s="1"/>
  <c r="AA812" i="19"/>
  <c r="AB812" i="19" s="1"/>
  <c r="AA574" i="19"/>
  <c r="AB574" i="19" s="1"/>
  <c r="AA255" i="19"/>
  <c r="AB255" i="19" s="1"/>
  <c r="AA732" i="19"/>
  <c r="AB732" i="19" s="1"/>
  <c r="AA388" i="19"/>
  <c r="AB388" i="19" s="1"/>
  <c r="AA173" i="19"/>
  <c r="AB173" i="19" s="1"/>
  <c r="AA103" i="19"/>
  <c r="AB103" i="19" s="1"/>
  <c r="AA642" i="19"/>
  <c r="AB642" i="19" s="1"/>
  <c r="AA553" i="19"/>
  <c r="AB553" i="19" s="1"/>
  <c r="AA38" i="19"/>
  <c r="AB38" i="19" s="1"/>
  <c r="AA174" i="19"/>
  <c r="AB174" i="19" s="1"/>
  <c r="AA712" i="19"/>
  <c r="AB712" i="19" s="1"/>
  <c r="AA603" i="19"/>
  <c r="AB603" i="19" s="1"/>
  <c r="AA534" i="19"/>
  <c r="AB534" i="19" s="1"/>
  <c r="AA13" i="19"/>
  <c r="AB13" i="19" s="1"/>
  <c r="AA268" i="19"/>
  <c r="AB268" i="19" s="1"/>
  <c r="AA125" i="19"/>
  <c r="AB125" i="19" s="1"/>
  <c r="AA556" i="19"/>
  <c r="AB556" i="19" s="1"/>
  <c r="AA263" i="19"/>
  <c r="AB263" i="19" s="1"/>
  <c r="AA565" i="19"/>
  <c r="AB565" i="19" s="1"/>
  <c r="AA739" i="19"/>
  <c r="AB739" i="19" s="1"/>
  <c r="AA80" i="19"/>
  <c r="AB80" i="19" s="1"/>
  <c r="AA369" i="19"/>
  <c r="AB369" i="19" s="1"/>
  <c r="AA563" i="19"/>
  <c r="AB563" i="19" s="1"/>
  <c r="AA137" i="19"/>
  <c r="AB137" i="19" s="1"/>
  <c r="AA86" i="19"/>
  <c r="AB86" i="19" s="1"/>
  <c r="AA362" i="19"/>
  <c r="AB362" i="19" s="1"/>
  <c r="AA429" i="19"/>
  <c r="AB429" i="19" s="1"/>
  <c r="AA359" i="19"/>
  <c r="AB359" i="19" s="1"/>
  <c r="AA760" i="19"/>
  <c r="AB760" i="19" s="1"/>
  <c r="AA618" i="19"/>
  <c r="AB618" i="19" s="1"/>
  <c r="AA335" i="19"/>
  <c r="AB335" i="19" s="1"/>
  <c r="AA96" i="19"/>
  <c r="AB96" i="19" s="1"/>
  <c r="AA267" i="19"/>
  <c r="AB267" i="19" s="1"/>
  <c r="AA229" i="19"/>
  <c r="AB229" i="19" s="1"/>
  <c r="AA628" i="19"/>
  <c r="AB628" i="19" s="1"/>
  <c r="AA262" i="19"/>
  <c r="AB262" i="19" s="1"/>
  <c r="AA588" i="19"/>
  <c r="AB588" i="19" s="1"/>
  <c r="AA797" i="19"/>
  <c r="AB797" i="19" s="1"/>
  <c r="AA571" i="19"/>
  <c r="AB571" i="19" s="1"/>
  <c r="AA467" i="19"/>
  <c r="AB467" i="19" s="1"/>
  <c r="AA601" i="19"/>
  <c r="AB601" i="19" s="1"/>
  <c r="AA386" i="19"/>
  <c r="AB386" i="19" s="1"/>
  <c r="AA737" i="19"/>
  <c r="AB737" i="19" s="1"/>
  <c r="AA704" i="19"/>
  <c r="AB704" i="19" s="1"/>
  <c r="AA165" i="19"/>
  <c r="AB165" i="19" s="1"/>
  <c r="AA104" i="19"/>
  <c r="AB104" i="19" s="1"/>
  <c r="AA293" i="19"/>
  <c r="AB293" i="19" s="1"/>
  <c r="AA133" i="19"/>
  <c r="AB133" i="19" s="1"/>
  <c r="AA209" i="19"/>
  <c r="AB209" i="19" s="1"/>
  <c r="AA721" i="19"/>
  <c r="AB721" i="19" s="1"/>
  <c r="AA122" i="19"/>
  <c r="AB122" i="19" s="1"/>
  <c r="AA736" i="19"/>
  <c r="AB736" i="19" s="1"/>
  <c r="AA150" i="19"/>
  <c r="AB150" i="19" s="1"/>
  <c r="AA172" i="19"/>
  <c r="AB172" i="19" s="1"/>
  <c r="AA300" i="19"/>
  <c r="AB300" i="19" s="1"/>
  <c r="AA616" i="19"/>
  <c r="AB616" i="19" s="1"/>
  <c r="AA740" i="19"/>
  <c r="AB740" i="19" s="1"/>
  <c r="AA810" i="19"/>
  <c r="AB810" i="19" s="1"/>
  <c r="AA43" i="19"/>
  <c r="AB43" i="19" s="1"/>
  <c r="AA786" i="19"/>
  <c r="AB786" i="19" s="1"/>
  <c r="AA663" i="19"/>
  <c r="AB663" i="19" s="1"/>
  <c r="AA580" i="19"/>
  <c r="AB580" i="19" s="1"/>
  <c r="AA92" i="19"/>
  <c r="AB92" i="19" s="1"/>
  <c r="AA445" i="19"/>
  <c r="AB445" i="19" s="1"/>
  <c r="AA479" i="19"/>
  <c r="AB479" i="19" s="1"/>
  <c r="AA779" i="19"/>
  <c r="AB779" i="19" s="1"/>
  <c r="AA39" i="19"/>
  <c r="AB39" i="19" s="1"/>
  <c r="AA164" i="19"/>
  <c r="AB164" i="19" s="1"/>
  <c r="AA192" i="19"/>
  <c r="AB192" i="19" s="1"/>
  <c r="AA189" i="19"/>
  <c r="AB189" i="19" s="1"/>
  <c r="AA371" i="19"/>
  <c r="AB371" i="19" s="1"/>
  <c r="AA181" i="19"/>
  <c r="AB181" i="19" s="1"/>
  <c r="AA474" i="19"/>
  <c r="AB474" i="19" s="1"/>
  <c r="AA547" i="19"/>
  <c r="AB547" i="19" s="1"/>
  <c r="AA249" i="19"/>
  <c r="AB249" i="19" s="1"/>
  <c r="AA650" i="19"/>
  <c r="AB650" i="19" s="1"/>
  <c r="AA694" i="19"/>
  <c r="AB694" i="19" s="1"/>
  <c r="AA270" i="19"/>
  <c r="AB270" i="19" s="1"/>
  <c r="AA377" i="19"/>
  <c r="AB377" i="19" s="1"/>
  <c r="AA17" i="19"/>
  <c r="AB17" i="19" s="1"/>
  <c r="AA715" i="19"/>
  <c r="AB715" i="19" s="1"/>
  <c r="AA444" i="19"/>
  <c r="AB444" i="19" s="1"/>
  <c r="AA701" i="19"/>
  <c r="AB701" i="19" s="1"/>
  <c r="AA626" i="19"/>
  <c r="AB626" i="19" s="1"/>
  <c r="AA551" i="19"/>
  <c r="AB551" i="19" s="1"/>
  <c r="AA492" i="19"/>
  <c r="AB492" i="19" s="1"/>
  <c r="AA486" i="19"/>
  <c r="AB486" i="19" s="1"/>
  <c r="AA146" i="19"/>
  <c r="AB146" i="19" s="1"/>
  <c r="AA754" i="19"/>
  <c r="AB754" i="19" s="1"/>
  <c r="AA422" i="19"/>
  <c r="AB422" i="19" s="1"/>
  <c r="AA286" i="19"/>
  <c r="AB286" i="19" s="1"/>
  <c r="AA802" i="19"/>
  <c r="AB802" i="19" s="1"/>
  <c r="AA761" i="19"/>
  <c r="AB761" i="19" s="1"/>
  <c r="AA265" i="19"/>
  <c r="AB265" i="19" s="1"/>
  <c r="AA735" i="19"/>
  <c r="AB735" i="19" s="1"/>
  <c r="AA232" i="19"/>
  <c r="AB232" i="19" s="1"/>
  <c r="AA217" i="19"/>
  <c r="AB217" i="19" s="1"/>
  <c r="AA750" i="19"/>
  <c r="AB750" i="19" s="1"/>
  <c r="AA519" i="19"/>
  <c r="AB519" i="19" s="1"/>
  <c r="AA319" i="19"/>
  <c r="AB319" i="19" s="1"/>
  <c r="AA374" i="19"/>
  <c r="AB374" i="19" s="1"/>
  <c r="AA554" i="19"/>
  <c r="AB554" i="19" s="1"/>
  <c r="AA396" i="19"/>
  <c r="AB396" i="19" s="1"/>
  <c r="AA64" i="19"/>
  <c r="AB64" i="19" s="1"/>
  <c r="AA489" i="19"/>
  <c r="AB489" i="19" s="1"/>
  <c r="AA471" i="19"/>
  <c r="AB471" i="19" s="1"/>
  <c r="AA477" i="19"/>
  <c r="AB477" i="19" s="1"/>
  <c r="AA465" i="19"/>
  <c r="AB465" i="19" s="1"/>
  <c r="AA109" i="19"/>
  <c r="AB109" i="19" s="1"/>
  <c r="AA482" i="19"/>
  <c r="AB482" i="19" s="1"/>
  <c r="AA136" i="19"/>
  <c r="AB136" i="19" s="1"/>
  <c r="AA290" i="19"/>
  <c r="AB290" i="19" s="1"/>
  <c r="AA301" i="19"/>
  <c r="AB301" i="19" s="1"/>
  <c r="AA14" i="19"/>
  <c r="AB14" i="19" s="1"/>
  <c r="AA453" i="19"/>
  <c r="AB453" i="19" s="1"/>
  <c r="AA537" i="19"/>
  <c r="AB537" i="19" s="1"/>
  <c r="AA589" i="19"/>
  <c r="AB589" i="19" s="1"/>
  <c r="AA324" i="19"/>
  <c r="AB324" i="19" s="1"/>
  <c r="AA27" i="19"/>
  <c r="AB27" i="19" s="1"/>
  <c r="AA820" i="19"/>
  <c r="AB820" i="19" s="1"/>
  <c r="AA702" i="19"/>
  <c r="AB702" i="19" s="1"/>
  <c r="AA741" i="19"/>
  <c r="AB741" i="19" s="1"/>
  <c r="AA252" i="19"/>
  <c r="AB252" i="19" s="1"/>
  <c r="AA759" i="19"/>
  <c r="AB759" i="19" s="1"/>
  <c r="AA67" i="19"/>
  <c r="AB67" i="19" s="1"/>
  <c r="AA58" i="19"/>
  <c r="AB58" i="19" s="1"/>
  <c r="AA77" i="19"/>
  <c r="AB77" i="19" s="1"/>
  <c r="AA68" i="19"/>
  <c r="AB68" i="19" s="1"/>
  <c r="AA676" i="19"/>
  <c r="AB676" i="19" s="1"/>
  <c r="AA783" i="19"/>
  <c r="AB783" i="19" s="1"/>
  <c r="AA394" i="19"/>
  <c r="AB394" i="19" s="1"/>
  <c r="AA167" i="19"/>
  <c r="AB167" i="19" s="1"/>
  <c r="AA776" i="19"/>
  <c r="AB776" i="19" s="1"/>
  <c r="AA648" i="19"/>
  <c r="AB648" i="19" s="1"/>
  <c r="AA424" i="19"/>
  <c r="AB424" i="19" s="1"/>
  <c r="AA114" i="19"/>
  <c r="AB114" i="19" s="1"/>
  <c r="AA775" i="19"/>
  <c r="AB775" i="19" s="1"/>
  <c r="AA497" i="19"/>
  <c r="AB497" i="19" s="1"/>
  <c r="AA41" i="19"/>
  <c r="AB41" i="19" s="1"/>
  <c r="AA501" i="19"/>
  <c r="AB501" i="19" s="1"/>
  <c r="AA298" i="19"/>
  <c r="AB298" i="19" s="1"/>
  <c r="AA555" i="19"/>
  <c r="AB555" i="19" s="1"/>
  <c r="AA572" i="19"/>
  <c r="AB572" i="19" s="1"/>
  <c r="AA145" i="19"/>
  <c r="AB145" i="19" s="1"/>
  <c r="AA660" i="19"/>
  <c r="AB660" i="19" s="1"/>
  <c r="AA196" i="19"/>
  <c r="AB196" i="19" s="1"/>
  <c r="AA590" i="19"/>
  <c r="AB590" i="19" s="1"/>
  <c r="AA438" i="19"/>
  <c r="AB438" i="19" s="1"/>
  <c r="AA281" i="19"/>
  <c r="AB281" i="19" s="1"/>
  <c r="AA757" i="19"/>
  <c r="AB757" i="19" s="1"/>
  <c r="AA733" i="19"/>
  <c r="AB733" i="19" s="1"/>
  <c r="AA138" i="19"/>
  <c r="AB138" i="19" s="1"/>
  <c r="AA724" i="19"/>
  <c r="AB724" i="19" s="1"/>
  <c r="AA762" i="19"/>
  <c r="AB762" i="19" s="1"/>
  <c r="AA734" i="19"/>
  <c r="AB734" i="19" s="1"/>
  <c r="AA236" i="19"/>
  <c r="AB236" i="19" s="1"/>
  <c r="AA731" i="19"/>
  <c r="AB731" i="19" s="1"/>
  <c r="AA505" i="19"/>
  <c r="AB505" i="19" s="1"/>
  <c r="AA93" i="19"/>
  <c r="AB93" i="19" s="1"/>
  <c r="AA817" i="19"/>
  <c r="AB817" i="19" s="1"/>
  <c r="AA730" i="19"/>
  <c r="AB730" i="19" s="1"/>
  <c r="AA822" i="19"/>
  <c r="AB822" i="19" s="1"/>
  <c r="AC823" i="19" s="1"/>
  <c r="AA185" i="19"/>
  <c r="AB185" i="19" s="1"/>
  <c r="AA635" i="19"/>
  <c r="AB635" i="19" s="1"/>
  <c r="AA273" i="19"/>
  <c r="AB273" i="19" s="1"/>
  <c r="AA579" i="19"/>
  <c r="AB579" i="19" s="1"/>
  <c r="AA515" i="19"/>
  <c r="AB515" i="19" s="1"/>
  <c r="AA183" i="19"/>
  <c r="AB183" i="19" s="1"/>
  <c r="AA804" i="19"/>
  <c r="AB804" i="19" s="1"/>
  <c r="AA211" i="19"/>
  <c r="AB211" i="19" s="1"/>
  <c r="AA25" i="19"/>
  <c r="AB25" i="19" s="1"/>
  <c r="AA354" i="19"/>
  <c r="AB354" i="19" s="1"/>
  <c r="AA536" i="19"/>
  <c r="AB536" i="19" s="1"/>
  <c r="AA659" i="19"/>
  <c r="AB659" i="19" s="1"/>
  <c r="AA357" i="19"/>
  <c r="AB357" i="19" s="1"/>
  <c r="AA584" i="19"/>
  <c r="AB584" i="19" s="1"/>
  <c r="AA297" i="19"/>
  <c r="AB297" i="19" s="1"/>
  <c r="AA668" i="19"/>
  <c r="AB668" i="19" s="1"/>
  <c r="AA417" i="19"/>
  <c r="AB417" i="19" s="1"/>
  <c r="AA442" i="19"/>
  <c r="AB442" i="19" s="1"/>
  <c r="AA23" i="19"/>
  <c r="AB23" i="19" s="1"/>
  <c r="AA818" i="19"/>
  <c r="AB818" i="19" s="1"/>
  <c r="AA256" i="19"/>
  <c r="AB256" i="19" s="1"/>
  <c r="AA230" i="19"/>
  <c r="AB230" i="19" s="1"/>
  <c r="AA684" i="19"/>
  <c r="AB684" i="19" s="1"/>
  <c r="AA356" i="19"/>
  <c r="AB356" i="19" s="1"/>
  <c r="AA567" i="19"/>
  <c r="AB567" i="19" s="1"/>
  <c r="AA247" i="19"/>
  <c r="AB247" i="19" s="1"/>
  <c r="AA212" i="19"/>
  <c r="AB212" i="19" s="1"/>
  <c r="AA331" i="19"/>
  <c r="AB331" i="19" s="1"/>
  <c r="AA50" i="19"/>
  <c r="AB50" i="19" s="1"/>
  <c r="AA788" i="19"/>
  <c r="AB788" i="19" s="1"/>
  <c r="AA238" i="19"/>
  <c r="AB238" i="19" s="1"/>
  <c r="AA609" i="19"/>
  <c r="AB609" i="19" s="1"/>
  <c r="AA123" i="19"/>
  <c r="AB123" i="19" s="1"/>
  <c r="AA599" i="19"/>
  <c r="AB599" i="19" s="1"/>
  <c r="AA147" i="19"/>
  <c r="AB147" i="19" s="1"/>
  <c r="AA244" i="19"/>
  <c r="AB244" i="19" s="1"/>
  <c r="AA452" i="19"/>
  <c r="AB452" i="19" s="1"/>
  <c r="AA261" i="19"/>
  <c r="AB261" i="19" s="1"/>
  <c r="AA24" i="19"/>
  <c r="AB24" i="19" s="1"/>
  <c r="AA127" i="19"/>
  <c r="AB127" i="19" s="1"/>
  <c r="AA143" i="19"/>
  <c r="AB143" i="19" s="1"/>
  <c r="AA111" i="19"/>
  <c r="AB111" i="19" s="1"/>
  <c r="AA44" i="19"/>
  <c r="AB44" i="19" s="1"/>
  <c r="AA814" i="19"/>
  <c r="AB814" i="19" s="1"/>
  <c r="AA19" i="19"/>
  <c r="AB19" i="19" s="1"/>
  <c r="AA582" i="19"/>
  <c r="AB582" i="19" s="1"/>
  <c r="AA514" i="19"/>
  <c r="AB514" i="19" s="1"/>
  <c r="AA410" i="19"/>
  <c r="AB410" i="19" s="1"/>
  <c r="AA207" i="19"/>
  <c r="AB207" i="19" s="1"/>
  <c r="AA625" i="19"/>
  <c r="AB625" i="19" s="1"/>
  <c r="AA578" i="19"/>
  <c r="AB578" i="19" s="1"/>
  <c r="AA254" i="19"/>
  <c r="AB254" i="19" s="1"/>
  <c r="AA355" i="19"/>
  <c r="AB355" i="19" s="1"/>
  <c r="AA260" i="19"/>
  <c r="AB260" i="19" s="1"/>
  <c r="AA323" i="19"/>
  <c r="AB323" i="19" s="1"/>
  <c r="AA4" i="19"/>
  <c r="AB4" i="19" s="1"/>
  <c r="AA30" i="19"/>
  <c r="AB30" i="19" s="1"/>
  <c r="AA360" i="19"/>
  <c r="AB360" i="19" s="1"/>
  <c r="AA387" i="19"/>
  <c r="AB387" i="19" s="1"/>
  <c r="AA598" i="19"/>
  <c r="AB598" i="19" s="1"/>
  <c r="AA336" i="19"/>
  <c r="AB336" i="19" s="1"/>
  <c r="AA228" i="19"/>
  <c r="AB228" i="19" s="1"/>
  <c r="AA287" i="19"/>
  <c r="AB287" i="19" s="1"/>
  <c r="AA223" i="19"/>
  <c r="AB223" i="19" s="1"/>
  <c r="AA42" i="19"/>
  <c r="AB42" i="19" s="1"/>
  <c r="AA503" i="19"/>
  <c r="AB503" i="19" s="1"/>
  <c r="AA688" i="19"/>
  <c r="AB688" i="19" s="1"/>
  <c r="AA312" i="19"/>
  <c r="AB312" i="19" s="1"/>
  <c r="AA605" i="19"/>
  <c r="AB605" i="19" s="1"/>
  <c r="AA108" i="19"/>
  <c r="AB108" i="19" s="1"/>
  <c r="AA615" i="19"/>
  <c r="AB615" i="19" s="1"/>
  <c r="AA135" i="19"/>
  <c r="AB135" i="19" s="1"/>
  <c r="AA709" i="19"/>
  <c r="AB709" i="19" s="1"/>
  <c r="AA204" i="19"/>
  <c r="AB204" i="19" s="1"/>
  <c r="AA523" i="19"/>
  <c r="AB523" i="19" s="1"/>
  <c r="AA411" i="19"/>
  <c r="AB411" i="19" s="1"/>
  <c r="AA156" i="19"/>
  <c r="AB156" i="19" s="1"/>
  <c r="AA222" i="19"/>
  <c r="AB222" i="19" s="1"/>
  <c r="AA169" i="19"/>
  <c r="AB169" i="19" s="1"/>
  <c r="AA56" i="19"/>
  <c r="AB56" i="19" s="1"/>
  <c r="AA95" i="19"/>
  <c r="AB95" i="19" s="1"/>
  <c r="AA427" i="19"/>
  <c r="AB427" i="19" s="1"/>
  <c r="AA564" i="19"/>
  <c r="AB564" i="19" s="1"/>
  <c r="AA380" i="19"/>
  <c r="AB380" i="19" s="1"/>
  <c r="AA516" i="19"/>
  <c r="AB516" i="19" s="1"/>
  <c r="AA384" i="19"/>
  <c r="AB384" i="19" s="1"/>
  <c r="AA144" i="19"/>
  <c r="AB144" i="19" s="1"/>
  <c r="AA101" i="19"/>
  <c r="AB101" i="19" s="1"/>
  <c r="AA321" i="19"/>
  <c r="AB321" i="19" s="1"/>
  <c r="AA83" i="19"/>
  <c r="AB83" i="19" s="1"/>
  <c r="AA651" i="19"/>
  <c r="AB651" i="19" s="1"/>
  <c r="AA149" i="19"/>
  <c r="AB149" i="19" s="1"/>
  <c r="AA425" i="19"/>
  <c r="AB425" i="19" s="1"/>
  <c r="AA725" i="19"/>
  <c r="AB725" i="19" s="1"/>
  <c r="AA483" i="19"/>
  <c r="AB483" i="19" s="1"/>
  <c r="AA643" i="19"/>
  <c r="AB643" i="19" s="1"/>
  <c r="AA317" i="19"/>
  <c r="AB317" i="19" s="1"/>
  <c r="AA186" i="19"/>
  <c r="AB186" i="19" s="1"/>
  <c r="AA446" i="19"/>
  <c r="AB446" i="19" s="1"/>
  <c r="AA278" i="19"/>
  <c r="AB278" i="19" s="1"/>
  <c r="AA363" i="19"/>
  <c r="AB363" i="19" s="1"/>
  <c r="AA54" i="19"/>
  <c r="AB54" i="19" s="1"/>
  <c r="AA796" i="19"/>
  <c r="AB796" i="19" s="1"/>
  <c r="AA758" i="19"/>
  <c r="AB758" i="19" s="1"/>
  <c r="AA161" i="19"/>
  <c r="AB161" i="19" s="1"/>
  <c r="AA649" i="19"/>
  <c r="AB649" i="19" s="1"/>
  <c r="AA116" i="19"/>
  <c r="AB116" i="19" s="1"/>
  <c r="AA433" i="19"/>
  <c r="AB433" i="19" s="1"/>
  <c r="AA808" i="19"/>
  <c r="AB808" i="19" s="1"/>
  <c r="AA538" i="19"/>
  <c r="AB538" i="19" s="1"/>
  <c r="AA432" i="19"/>
  <c r="AB432" i="19" s="1"/>
  <c r="AA546" i="19"/>
  <c r="AB546" i="19" s="1"/>
  <c r="AA351" i="19"/>
  <c r="AB351" i="19" s="1"/>
  <c r="AA798" i="19"/>
  <c r="AB798" i="19" s="1"/>
  <c r="AA711" i="19"/>
  <c r="AB711" i="19" s="1"/>
  <c r="AA612" i="19"/>
  <c r="AB612" i="19" s="1"/>
  <c r="AA248" i="19"/>
  <c r="AB248" i="19" s="1"/>
  <c r="AA154" i="19"/>
  <c r="AB154" i="19" s="1"/>
  <c r="AA329" i="19"/>
  <c r="AB329" i="19" s="1"/>
  <c r="AA639" i="19"/>
  <c r="AB639" i="19" s="1"/>
  <c r="AA593" i="19"/>
  <c r="AB593" i="19" s="1"/>
  <c r="AA617" i="19"/>
  <c r="AB617" i="19" s="1"/>
  <c r="AA509" i="19"/>
  <c r="AB509" i="19" s="1"/>
  <c r="AA378" i="19"/>
  <c r="AB378" i="19" s="1"/>
  <c r="AA414" i="19"/>
  <c r="AB414" i="19" s="1"/>
  <c r="AA623" i="19"/>
  <c r="AB623" i="19" s="1"/>
  <c r="AA654" i="19"/>
  <c r="AB654" i="19" s="1"/>
  <c r="AA285" i="19"/>
  <c r="AB285" i="19" s="1"/>
  <c r="AA679" i="19"/>
  <c r="AB679" i="19" s="1"/>
  <c r="AA455" i="19"/>
  <c r="AB455" i="19" s="1"/>
  <c r="AA575" i="19"/>
  <c r="AB575" i="19" s="1"/>
  <c r="AA76" i="19"/>
  <c r="AB76" i="19" s="1"/>
  <c r="AA99" i="19"/>
  <c r="AB99" i="19" s="1"/>
  <c r="AA614" i="19"/>
  <c r="AB614" i="19" s="1"/>
  <c r="AA638" i="19"/>
  <c r="AB638" i="19" s="1"/>
  <c r="AA692" i="19"/>
  <c r="AB692" i="19" s="1"/>
  <c r="AA517" i="19"/>
  <c r="AB517" i="19" s="1"/>
  <c r="AA673" i="19"/>
  <c r="AB673" i="19" s="1"/>
  <c r="AA170" i="19"/>
  <c r="AB170" i="19" s="1"/>
  <c r="AA606" i="19"/>
  <c r="AB606" i="19" s="1"/>
  <c r="AA264" i="19"/>
  <c r="AB264" i="19" s="1"/>
  <c r="AA292" i="19"/>
  <c r="AB292" i="19" s="1"/>
  <c r="AA819" i="19"/>
  <c r="AB819" i="19" s="1"/>
  <c r="AA162" i="19"/>
  <c r="AB162" i="19" s="1"/>
  <c r="AA502" i="19"/>
  <c r="AB502" i="19" s="1"/>
  <c r="AA390" i="19"/>
  <c r="AB390" i="19" s="1"/>
  <c r="AA46" i="19"/>
  <c r="AB46" i="19" s="1"/>
  <c r="AA457" i="19"/>
  <c r="AB457" i="19" s="1"/>
  <c r="AA491" i="19"/>
  <c r="AB491" i="19" s="1"/>
  <c r="AA33" i="19"/>
  <c r="AB33" i="19" s="1"/>
  <c r="AA695" i="19"/>
  <c r="AB695" i="19" s="1"/>
  <c r="AA636" i="19"/>
  <c r="AB636" i="19" s="1"/>
  <c r="AA59" i="19"/>
  <c r="AB59" i="19" s="1"/>
  <c r="AA670" i="19"/>
  <c r="AB670" i="19" s="1"/>
  <c r="AA78" i="19"/>
  <c r="AB78" i="19" s="1"/>
  <c r="AA586" i="19"/>
  <c r="AB586" i="19" s="1"/>
  <c r="AA726" i="19"/>
  <c r="AB726" i="19" s="1"/>
  <c r="AA193" i="19"/>
  <c r="AB193" i="19" s="1"/>
  <c r="AA296" i="19"/>
  <c r="AB296" i="19" s="1"/>
  <c r="AA160" i="19"/>
  <c r="AB160" i="19" s="1"/>
  <c r="AA148" i="19"/>
  <c r="AB148" i="19" s="1"/>
  <c r="AA799" i="19"/>
  <c r="AB799" i="19" s="1"/>
  <c r="AA557" i="19"/>
  <c r="AB557" i="19" s="1"/>
  <c r="AA753" i="19"/>
  <c r="AB753" i="19" s="1"/>
  <c r="AA364" i="19"/>
  <c r="AB364" i="19" s="1"/>
  <c r="AA437" i="19"/>
  <c r="AB437" i="19" s="1"/>
  <c r="AA566" i="19"/>
  <c r="AB566" i="19" s="1"/>
  <c r="AA34" i="19"/>
  <c r="AB34" i="19" s="1"/>
  <c r="AA449" i="19"/>
  <c r="AB449" i="19" s="1"/>
  <c r="AA311" i="19"/>
  <c r="AB311" i="19" s="1"/>
  <c r="AA504" i="19"/>
  <c r="AB504" i="19" s="1"/>
  <c r="AA689" i="19"/>
  <c r="AB689" i="19" s="1"/>
  <c r="AA674" i="19"/>
  <c r="AB674" i="19" s="1"/>
  <c r="AA513" i="19"/>
  <c r="AB513" i="19" s="1"/>
  <c r="AA815" i="19"/>
  <c r="AB815" i="19" s="1"/>
  <c r="AA257" i="19"/>
  <c r="AB257" i="19" s="1"/>
  <c r="AA577" i="19"/>
  <c r="AB577" i="19" s="1"/>
  <c r="AA769" i="19"/>
  <c r="AB769" i="19" s="1"/>
  <c r="AA633" i="19"/>
  <c r="AB633" i="19" s="1"/>
  <c r="AA703" i="19"/>
  <c r="AB703" i="19" s="1"/>
  <c r="AA463" i="19"/>
  <c r="AB463" i="19" s="1"/>
  <c r="AA168" i="19"/>
  <c r="AB168" i="19" s="1"/>
  <c r="AA171" i="19"/>
  <c r="AB171" i="19" s="1"/>
  <c r="AA406" i="19"/>
  <c r="AB406" i="19" s="1"/>
  <c r="AA140" i="19"/>
  <c r="AB140" i="19" s="1"/>
  <c r="AA327" i="19"/>
  <c r="AB327" i="19" s="1"/>
  <c r="AA685" i="19"/>
  <c r="AB685" i="19" s="1"/>
  <c r="AA469" i="19"/>
  <c r="AB469" i="19" s="1"/>
  <c r="AA600" i="19"/>
  <c r="AB600" i="19" s="1"/>
  <c r="AA258" i="19"/>
  <c r="AB258" i="19" s="1"/>
  <c r="AA765" i="19"/>
  <c r="AB765" i="19" s="1"/>
  <c r="AA495" i="19"/>
  <c r="AB495" i="19" s="1"/>
  <c r="AA550" i="19"/>
  <c r="AB550" i="19" s="1"/>
  <c r="AA119" i="19"/>
  <c r="AB119" i="19" s="1"/>
  <c r="AA358" i="19"/>
  <c r="AB358" i="19" s="1"/>
  <c r="AA458" i="19"/>
  <c r="AB458" i="19" s="1"/>
  <c r="AA328" i="19"/>
  <c r="AB328" i="19" s="1"/>
  <c r="AA454" i="19"/>
  <c r="AB454" i="19" s="1"/>
  <c r="AA398" i="19"/>
  <c r="AB398" i="19" s="1"/>
  <c r="AA678" i="19"/>
  <c r="AB678" i="19" s="1"/>
  <c r="AA512" i="19"/>
  <c r="AB512" i="19" s="1"/>
  <c r="AA490" i="19"/>
  <c r="AB490" i="19" s="1"/>
  <c r="AA153" i="19"/>
  <c r="AB153" i="19" s="1"/>
  <c r="AA811" i="19"/>
  <c r="AB811" i="19" s="1"/>
  <c r="AA176" i="19"/>
  <c r="AB176" i="19" s="1"/>
  <c r="AA450" i="19"/>
  <c r="AB450" i="19" s="1"/>
  <c r="AA640" i="19"/>
  <c r="AB640" i="19" s="1"/>
  <c r="AA71" i="19"/>
  <c r="AB71" i="19" s="1"/>
  <c r="AA215" i="19"/>
  <c r="AB215" i="19" s="1"/>
  <c r="AA233" i="19"/>
  <c r="AB233" i="19" s="1"/>
  <c r="AA325" i="19"/>
  <c r="AB325" i="19" s="1"/>
  <c r="AA666" i="19"/>
  <c r="AB666" i="19" s="1"/>
  <c r="AA592" i="19"/>
  <c r="AB592" i="19" s="1"/>
  <c r="AA728" i="19"/>
  <c r="AB728" i="19" s="1"/>
  <c r="AA641" i="19"/>
  <c r="AB641" i="19" s="1"/>
  <c r="AA242" i="19"/>
  <c r="AB242" i="19" s="1"/>
  <c r="AA532" i="19"/>
  <c r="AB532" i="19" s="1"/>
  <c r="AA284" i="19"/>
  <c r="AB284" i="19" s="1"/>
  <c r="AA85" i="19"/>
  <c r="AB85" i="19" s="1"/>
  <c r="AA784" i="19"/>
  <c r="AB784" i="19" s="1"/>
  <c r="AA791" i="19"/>
  <c r="AB791" i="19" s="1"/>
  <c r="AA524" i="19"/>
  <c r="AB524" i="19" s="1"/>
  <c r="AA722" i="19"/>
  <c r="AB722" i="19" s="1"/>
  <c r="AA544" i="19"/>
  <c r="AB544" i="19" s="1"/>
  <c r="AA527" i="19"/>
  <c r="AB527" i="19" s="1"/>
  <c r="AA308" i="19"/>
  <c r="AB308" i="19" s="1"/>
  <c r="AA177" i="19"/>
  <c r="AB177" i="19" s="1"/>
  <c r="AA647" i="19"/>
  <c r="AB647" i="19" s="1"/>
  <c r="AA591" i="19"/>
  <c r="AB591" i="19" s="1"/>
  <c r="AA710" i="19"/>
  <c r="AB710" i="19" s="1"/>
  <c r="AA652" i="19"/>
  <c r="AB652" i="19" s="1"/>
  <c r="AA239" i="19"/>
  <c r="AB239" i="19" s="1"/>
  <c r="AA305" i="19"/>
  <c r="AB305" i="19" s="1"/>
  <c r="AA152" i="19"/>
  <c r="AB152" i="19" s="1"/>
  <c r="AA142" i="19"/>
  <c r="AB142" i="19" s="1"/>
  <c r="AA117" i="19"/>
  <c r="AB117" i="19" s="1"/>
  <c r="AA32" i="19"/>
  <c r="AB32" i="19" s="1"/>
  <c r="AA220" i="19"/>
  <c r="AB220" i="19" s="1"/>
  <c r="AA60" i="19"/>
  <c r="AB60" i="19" s="1"/>
  <c r="AA246" i="19"/>
  <c r="AB246" i="19" s="1"/>
  <c r="AA295" i="19"/>
  <c r="AB295" i="19" s="1"/>
  <c r="AA225" i="19"/>
  <c r="AB225" i="19" s="1"/>
  <c r="AA545" i="19"/>
  <c r="AB545" i="19" s="1"/>
  <c r="AA226" i="19"/>
  <c r="AB226" i="19" s="1"/>
  <c r="AA464" i="19"/>
  <c r="AB464" i="19" s="1"/>
  <c r="AA180" i="19"/>
  <c r="AB180" i="19" s="1"/>
  <c r="AA800" i="19"/>
  <c r="AB800" i="19" s="1"/>
  <c r="AA218" i="19"/>
  <c r="AB218" i="19" s="1"/>
  <c r="AA194" i="19"/>
  <c r="AB194" i="19" s="1"/>
  <c r="AA682" i="19"/>
  <c r="AB682" i="19" s="1"/>
  <c r="AA646" i="19"/>
  <c r="AB646" i="19" s="1"/>
  <c r="AA94" i="19"/>
  <c r="AB94" i="19" s="1"/>
  <c r="AA631" i="19"/>
  <c r="AB631" i="19" s="1"/>
  <c r="AA700" i="19"/>
  <c r="AB700" i="19" s="1"/>
  <c r="AA89" i="19"/>
  <c r="AB89" i="19" s="1"/>
  <c r="AA279" i="19"/>
  <c r="AB279" i="19" s="1"/>
  <c r="AA393" i="19"/>
  <c r="AB393" i="19" s="1"/>
  <c r="AA201" i="19"/>
  <c r="AB201" i="19" s="1"/>
  <c r="AA343" i="19"/>
  <c r="AB343" i="19" s="1"/>
  <c r="AA79" i="19"/>
  <c r="AB79" i="19" s="1"/>
  <c r="AA320" i="19"/>
  <c r="AB320" i="19" s="1"/>
  <c r="AA543" i="19"/>
  <c r="AB543" i="19" s="1"/>
  <c r="AA20" i="19"/>
  <c r="AB20" i="19" s="1"/>
  <c r="AA240" i="19"/>
  <c r="AB240" i="19" s="1"/>
  <c r="AA681" i="19"/>
  <c r="AB681" i="19" s="1"/>
  <c r="AA687" i="19"/>
  <c r="AB687" i="19" s="1"/>
  <c r="AA773" i="19"/>
  <c r="AB773" i="19" s="1"/>
  <c r="AA698" i="19"/>
  <c r="AB698" i="19" s="1"/>
  <c r="AA115" i="19"/>
  <c r="AB115" i="19" s="1"/>
  <c r="AA657" i="19"/>
  <c r="AB657" i="19" s="1"/>
  <c r="AA672" i="19"/>
  <c r="AB672" i="19" s="1"/>
  <c r="AA251" i="19"/>
  <c r="AB251" i="19" s="1"/>
  <c r="AA461" i="19"/>
  <c r="AB461" i="19" s="1"/>
  <c r="AA569" i="19"/>
  <c r="AB569" i="19" s="1"/>
  <c r="AA540" i="19"/>
  <c r="AB540" i="19" s="1"/>
  <c r="AA559" i="19"/>
  <c r="AB559" i="19" s="1"/>
  <c r="AA18" i="19"/>
  <c r="AB18" i="19" s="1"/>
  <c r="AA795" i="19"/>
  <c r="AB795" i="19" s="1"/>
  <c r="AA403" i="19"/>
  <c r="AB403" i="19" s="1"/>
  <c r="AA716" i="19"/>
  <c r="AB716" i="19" s="1"/>
  <c r="AA644" i="19"/>
  <c r="AB644" i="19" s="1"/>
  <c r="AA62" i="19"/>
  <c r="AB62" i="19" s="1"/>
  <c r="AA637" i="19"/>
  <c r="AB637" i="19" s="1"/>
  <c r="AA751" i="19"/>
  <c r="AB751" i="19" s="1"/>
  <c r="AA214" i="19"/>
  <c r="AB214" i="19" s="1"/>
  <c r="AA624" i="19"/>
  <c r="AB624" i="19" s="1"/>
  <c r="AA435" i="19"/>
  <c r="AB435" i="19" s="1"/>
  <c r="AA691" i="19"/>
  <c r="AB691" i="19" s="1"/>
  <c r="AA428" i="19"/>
  <c r="AB428" i="19" s="1"/>
  <c r="AA756" i="19"/>
  <c r="AB756" i="19" s="1"/>
  <c r="AA288" i="19"/>
  <c r="AB288" i="19" s="1"/>
  <c r="AA790" i="19"/>
  <c r="AB790" i="19" s="1"/>
  <c r="AA671" i="19"/>
  <c r="AB671" i="19" s="1"/>
  <c r="AA607" i="19"/>
  <c r="AB607" i="19" s="1"/>
  <c r="AA421" i="19"/>
  <c r="AB421" i="19" s="1"/>
  <c r="AA439" i="19"/>
  <c r="AB439" i="19" s="1"/>
  <c r="AA200" i="19"/>
  <c r="AB200" i="19" s="1"/>
  <c r="AA506" i="19"/>
  <c r="AB506" i="19" s="1"/>
  <c r="AA106" i="19"/>
  <c r="AB106" i="19" s="1"/>
  <c r="AA508" i="19"/>
  <c r="AB508" i="19" s="1"/>
  <c r="AA470" i="19"/>
  <c r="AB470" i="19" s="1"/>
  <c r="AA313" i="19"/>
  <c r="AB313" i="19" s="1"/>
  <c r="AA51" i="19"/>
  <c r="AB51" i="19" s="1"/>
  <c r="AA561" i="19"/>
  <c r="AB561" i="19" s="1"/>
  <c r="AA361" i="19"/>
  <c r="AB361" i="19" s="1"/>
  <c r="AA275" i="19"/>
  <c r="AB275" i="19" s="1"/>
  <c r="AA539" i="19"/>
  <c r="AB539" i="19" s="1"/>
  <c r="AA11" i="19"/>
  <c r="AB11" i="19" s="1"/>
  <c r="V8" i="20"/>
  <c r="T45" i="10"/>
  <c r="S786" i="19"/>
  <c r="V789" i="19"/>
  <c r="N781" i="19"/>
  <c r="T787" i="19"/>
  <c r="O782" i="19"/>
  <c r="P783" i="19"/>
  <c r="W790" i="19"/>
  <c r="X791" i="19"/>
  <c r="U788" i="19"/>
  <c r="Y792" i="19"/>
  <c r="R785" i="19"/>
  <c r="Q784" i="19"/>
  <c r="V6" i="20"/>
  <c r="V49" i="20"/>
  <c r="V14" i="20"/>
  <c r="V38" i="20"/>
  <c r="V5" i="20"/>
  <c r="V31" i="20"/>
  <c r="V24" i="20"/>
  <c r="V53" i="20"/>
  <c r="U20" i="19"/>
  <c r="Y24" i="19"/>
  <c r="Q16" i="19"/>
  <c r="P15" i="19"/>
  <c r="V21" i="19"/>
  <c r="T19" i="19"/>
  <c r="W22" i="19"/>
  <c r="R17" i="19"/>
  <c r="O14" i="19"/>
  <c r="X23" i="19"/>
  <c r="S18" i="19"/>
  <c r="N13" i="19"/>
  <c r="V33" i="20"/>
  <c r="V32" i="20"/>
  <c r="V7" i="20"/>
  <c r="U51" i="10"/>
  <c r="T51" i="10"/>
  <c r="T55" i="10"/>
  <c r="V9" i="20"/>
  <c r="AB42" i="20"/>
  <c r="V54" i="20"/>
  <c r="AC13" i="19"/>
  <c r="AG17" i="19"/>
  <c r="AH18" i="19"/>
  <c r="AD14" i="19"/>
  <c r="AE15" i="19"/>
  <c r="V43" i="20"/>
  <c r="AD12" i="16"/>
  <c r="V2" i="20"/>
  <c r="D8" i="15"/>
  <c r="AB62" i="20"/>
  <c r="V41" i="20"/>
  <c r="V28" i="20"/>
  <c r="AB12" i="16"/>
  <c r="AD12" i="19"/>
  <c r="AC11" i="19"/>
  <c r="AE13" i="19"/>
  <c r="AF14" i="19"/>
  <c r="AH16" i="19"/>
  <c r="AG15" i="19"/>
  <c r="AC46" i="20"/>
  <c r="AB46" i="20"/>
  <c r="AD45" i="20"/>
  <c r="AE45" i="20" s="1"/>
  <c r="D18" i="15"/>
  <c r="T18" i="10"/>
  <c r="U19" i="10" s="1"/>
  <c r="AM2" i="19"/>
  <c r="T32" i="10"/>
  <c r="AE19" i="20"/>
  <c r="AD19" i="20"/>
  <c r="AF19" i="20"/>
  <c r="AB19" i="20"/>
  <c r="AG19" i="20"/>
  <c r="AC19" i="20"/>
  <c r="V11" i="20"/>
  <c r="I12" i="11"/>
  <c r="AM66" i="19"/>
  <c r="AO67" i="19" s="1"/>
  <c r="T31" i="10"/>
  <c r="R821" i="19"/>
  <c r="N817" i="19"/>
  <c r="BA13" i="19" s="1"/>
  <c r="AX13" i="19" s="1"/>
  <c r="AZ13" i="19" s="1"/>
  <c r="T823" i="19"/>
  <c r="Q820" i="19"/>
  <c r="P819" i="19"/>
  <c r="S822" i="19"/>
  <c r="O818" i="19"/>
  <c r="V58" i="20"/>
  <c r="AE819" i="19"/>
  <c r="AH822" i="19"/>
  <c r="AD818" i="19"/>
  <c r="AG821" i="19"/>
  <c r="AF820" i="19"/>
  <c r="AC817" i="19"/>
  <c r="U48" i="10"/>
  <c r="T48" i="10"/>
  <c r="U53" i="10"/>
  <c r="T53" i="10"/>
  <c r="V12" i="20"/>
  <c r="V44" i="20"/>
  <c r="AB11" i="16"/>
  <c r="V22" i="20"/>
  <c r="V48" i="20"/>
  <c r="V16" i="20"/>
  <c r="AG24" i="20"/>
  <c r="AD11" i="16"/>
  <c r="V59" i="20"/>
  <c r="V3" i="20"/>
  <c r="S15" i="19"/>
  <c r="W19" i="19"/>
  <c r="AZ45" i="19"/>
  <c r="BA45" i="19" s="1"/>
  <c r="R14" i="19"/>
  <c r="P12" i="19"/>
  <c r="N10" i="19"/>
  <c r="AZ44" i="19"/>
  <c r="Q13" i="19"/>
  <c r="V18" i="19"/>
  <c r="Y21" i="19"/>
  <c r="O11" i="19"/>
  <c r="X20" i="19"/>
  <c r="AZ42" i="19"/>
  <c r="BA42" i="19" s="1"/>
  <c r="AZ49" i="19"/>
  <c r="BA49" i="19" s="1"/>
  <c r="T16" i="19"/>
  <c r="U17" i="19"/>
  <c r="AZ40" i="19"/>
  <c r="BA40" i="19" s="1"/>
  <c r="AZ38" i="19"/>
  <c r="BA38" i="19" s="1"/>
  <c r="AZ39" i="19"/>
  <c r="BA39" i="19" s="1"/>
  <c r="AZ41" i="19"/>
  <c r="BA41" i="19" s="1"/>
  <c r="AZ48" i="19"/>
  <c r="AZ52" i="19"/>
  <c r="BA52" i="19" s="1"/>
  <c r="AZ47" i="19"/>
  <c r="BA47" i="19" s="1"/>
  <c r="AZ46" i="19"/>
  <c r="BA46" i="19" s="1"/>
  <c r="BA8" i="19"/>
  <c r="BA10" i="19"/>
  <c r="AX10" i="19" s="1"/>
  <c r="AZ10" i="19" s="1"/>
  <c r="BA25" i="19"/>
  <c r="AX25" i="19" s="1"/>
  <c r="AZ25" i="19" s="1"/>
  <c r="V27" i="20"/>
  <c r="J8" i="11"/>
  <c r="AC37" i="16"/>
  <c r="U43" i="10"/>
  <c r="T43" i="10"/>
  <c r="B7" i="1"/>
  <c r="BA31" i="19"/>
  <c r="L20" i="6"/>
  <c r="K20" i="6"/>
  <c r="L25" i="6"/>
  <c r="F7" i="1"/>
  <c r="BA17" i="19" l="1"/>
  <c r="AX17" i="19" s="1"/>
  <c r="AZ17" i="19" s="1"/>
  <c r="AH19" i="20"/>
  <c r="BA12" i="19"/>
  <c r="AX12" i="19" s="1"/>
  <c r="AZ12" i="19" s="1"/>
  <c r="D8" i="1"/>
  <c r="AG649" i="19"/>
  <c r="AH650" i="19"/>
  <c r="AD646" i="19"/>
  <c r="AF648" i="19"/>
  <c r="AC645" i="19"/>
  <c r="AE647" i="19"/>
  <c r="AE298" i="19"/>
  <c r="AF299" i="19"/>
  <c r="AH301" i="19"/>
  <c r="AG300" i="19"/>
  <c r="AD297" i="19"/>
  <c r="AC296" i="19"/>
  <c r="AC149" i="19"/>
  <c r="AD150" i="19"/>
  <c r="AH154" i="19"/>
  <c r="AF152" i="19"/>
  <c r="AE151" i="19"/>
  <c r="AG153" i="19"/>
  <c r="AC144" i="19"/>
  <c r="AD145" i="19"/>
  <c r="AH149" i="19"/>
  <c r="AG148" i="19"/>
  <c r="AF147" i="19"/>
  <c r="AE146" i="19"/>
  <c r="AH66" i="19"/>
  <c r="AG65" i="19"/>
  <c r="AC61" i="19"/>
  <c r="AD62" i="19"/>
  <c r="AE63" i="19"/>
  <c r="AF64" i="19"/>
  <c r="AD298" i="19"/>
  <c r="AE299" i="19"/>
  <c r="AF300" i="19"/>
  <c r="AG301" i="19"/>
  <c r="AC297" i="19"/>
  <c r="AH302" i="19"/>
  <c r="AC447" i="19"/>
  <c r="AD448" i="19"/>
  <c r="AE449" i="19"/>
  <c r="AG451" i="19"/>
  <c r="AH452" i="19"/>
  <c r="AF450" i="19"/>
  <c r="AE27" i="19"/>
  <c r="AG29" i="19"/>
  <c r="AF28" i="19"/>
  <c r="AD26" i="19"/>
  <c r="AH30" i="19"/>
  <c r="AC25" i="19"/>
  <c r="AH736" i="19"/>
  <c r="AF734" i="19"/>
  <c r="AE733" i="19"/>
  <c r="AD732" i="19"/>
  <c r="AG735" i="19"/>
  <c r="AC731" i="19"/>
  <c r="AD376" i="19"/>
  <c r="AG379" i="19"/>
  <c r="AH380" i="19"/>
  <c r="AE377" i="19"/>
  <c r="AC375" i="19"/>
  <c r="AF378" i="19"/>
  <c r="AH669" i="19"/>
  <c r="AD665" i="19"/>
  <c r="AE666" i="19"/>
  <c r="AG668" i="19"/>
  <c r="AC664" i="19"/>
  <c r="AF667" i="19"/>
  <c r="AH580" i="19"/>
  <c r="AD576" i="19"/>
  <c r="AG579" i="19"/>
  <c r="AF578" i="19"/>
  <c r="AE577" i="19"/>
  <c r="AC575" i="19"/>
  <c r="AG535" i="19"/>
  <c r="AC531" i="19"/>
  <c r="AD532" i="19"/>
  <c r="AF534" i="19"/>
  <c r="AH536" i="19"/>
  <c r="AE533" i="19"/>
  <c r="AC99" i="19"/>
  <c r="AD100" i="19"/>
  <c r="AG103" i="19"/>
  <c r="AH104" i="19"/>
  <c r="AF102" i="19"/>
  <c r="AE101" i="19"/>
  <c r="AC402" i="19"/>
  <c r="AD403" i="19"/>
  <c r="AE404" i="19"/>
  <c r="AG406" i="19"/>
  <c r="AH407" i="19"/>
  <c r="AF405" i="19"/>
  <c r="AD501" i="19"/>
  <c r="AE502" i="19"/>
  <c r="AF503" i="19"/>
  <c r="AH505" i="19"/>
  <c r="AG504" i="19"/>
  <c r="AC500" i="19"/>
  <c r="AC598" i="19"/>
  <c r="AG602" i="19"/>
  <c r="AD599" i="19"/>
  <c r="AH603" i="19"/>
  <c r="AE600" i="19"/>
  <c r="AF601" i="19"/>
  <c r="AD496" i="19"/>
  <c r="AE497" i="19"/>
  <c r="AF498" i="19"/>
  <c r="AG499" i="19"/>
  <c r="AH500" i="19"/>
  <c r="AC495" i="19"/>
  <c r="AE18" i="19"/>
  <c r="AG20" i="19"/>
  <c r="AH21" i="19"/>
  <c r="AC16" i="19"/>
  <c r="AF19" i="19"/>
  <c r="AD17" i="19"/>
  <c r="AF195" i="19"/>
  <c r="AG196" i="19"/>
  <c r="AC192" i="19"/>
  <c r="AE194" i="19"/>
  <c r="AH197" i="19"/>
  <c r="AD193" i="19"/>
  <c r="AH751" i="19"/>
  <c r="AC746" i="19"/>
  <c r="AE748" i="19"/>
  <c r="AD747" i="19"/>
  <c r="AG750" i="19"/>
  <c r="AF749" i="19"/>
  <c r="AE343" i="19"/>
  <c r="AF344" i="19"/>
  <c r="AC341" i="19"/>
  <c r="AD342" i="19"/>
  <c r="AH346" i="19"/>
  <c r="AG345" i="19"/>
  <c r="AF85" i="19"/>
  <c r="AC82" i="19"/>
  <c r="AD83" i="19"/>
  <c r="AG86" i="19"/>
  <c r="AH87" i="19"/>
  <c r="AE84" i="19"/>
  <c r="AG413" i="19"/>
  <c r="AH414" i="19"/>
  <c r="AD410" i="19"/>
  <c r="AE411" i="19"/>
  <c r="AF412" i="19"/>
  <c r="AC409" i="19"/>
  <c r="AC715" i="19"/>
  <c r="AE717" i="19"/>
  <c r="AG719" i="19"/>
  <c r="AF718" i="19"/>
  <c r="AH720" i="19"/>
  <c r="AD716" i="19"/>
  <c r="AH566" i="19"/>
  <c r="AD562" i="19"/>
  <c r="AE563" i="19"/>
  <c r="AF564" i="19"/>
  <c r="AG565" i="19"/>
  <c r="AC561" i="19"/>
  <c r="E18" i="15"/>
  <c r="D31" i="15"/>
  <c r="AH512" i="19"/>
  <c r="AE509" i="19"/>
  <c r="AG511" i="19"/>
  <c r="AD508" i="19"/>
  <c r="AC507" i="19"/>
  <c r="AF510" i="19"/>
  <c r="AF799" i="19"/>
  <c r="AC796" i="19"/>
  <c r="AD797" i="19"/>
  <c r="AH801" i="19"/>
  <c r="AE798" i="19"/>
  <c r="AG800" i="19"/>
  <c r="AE204" i="19"/>
  <c r="AF205" i="19"/>
  <c r="AD203" i="19"/>
  <c r="AH207" i="19"/>
  <c r="AC202" i="19"/>
  <c r="AG206" i="19"/>
  <c r="AE223" i="19"/>
  <c r="AC221" i="19"/>
  <c r="AD222" i="19"/>
  <c r="AH226" i="19"/>
  <c r="AF224" i="19"/>
  <c r="AG225" i="19"/>
  <c r="AG289" i="19"/>
  <c r="AF288" i="19"/>
  <c r="AH290" i="19"/>
  <c r="AC285" i="19"/>
  <c r="AE287" i="19"/>
  <c r="AD286" i="19"/>
  <c r="AF458" i="19"/>
  <c r="AH460" i="19"/>
  <c r="AE457" i="19"/>
  <c r="AG459" i="19"/>
  <c r="AC455" i="19"/>
  <c r="AD456" i="19"/>
  <c r="AC770" i="19"/>
  <c r="AE772" i="19"/>
  <c r="AD771" i="19"/>
  <c r="AF773" i="19"/>
  <c r="AG774" i="19"/>
  <c r="AH775" i="19"/>
  <c r="AC194" i="19"/>
  <c r="AD195" i="19"/>
  <c r="AE196" i="19"/>
  <c r="AG198" i="19"/>
  <c r="AH199" i="19"/>
  <c r="AF197" i="19"/>
  <c r="AD675" i="19"/>
  <c r="AF677" i="19"/>
  <c r="AH679" i="19"/>
  <c r="AC674" i="19"/>
  <c r="AE676" i="19"/>
  <c r="AG678" i="19"/>
  <c r="AF158" i="19"/>
  <c r="AE157" i="19"/>
  <c r="AG159" i="19"/>
  <c r="AD156" i="19"/>
  <c r="AH160" i="19"/>
  <c r="AC155" i="19"/>
  <c r="AF190" i="19"/>
  <c r="AE189" i="19"/>
  <c r="AG191" i="19"/>
  <c r="AH192" i="19"/>
  <c r="AC187" i="19"/>
  <c r="AD188" i="19"/>
  <c r="AD224" i="19"/>
  <c r="AC223" i="19"/>
  <c r="AH228" i="19"/>
  <c r="AG227" i="19"/>
  <c r="AE225" i="19"/>
  <c r="AF226" i="19"/>
  <c r="AD362" i="19"/>
  <c r="AE363" i="19"/>
  <c r="AF364" i="19"/>
  <c r="AG365" i="19"/>
  <c r="AC361" i="19"/>
  <c r="AH366" i="19"/>
  <c r="AD263" i="19"/>
  <c r="AG266" i="19"/>
  <c r="AE264" i="19"/>
  <c r="AH267" i="19"/>
  <c r="AF265" i="19"/>
  <c r="AC262" i="19"/>
  <c r="AH448" i="19"/>
  <c r="AF446" i="19"/>
  <c r="AE445" i="19"/>
  <c r="AG447" i="19"/>
  <c r="AD444" i="19"/>
  <c r="AC443" i="19"/>
  <c r="AG822" i="19"/>
  <c r="AH823" i="19"/>
  <c r="AD819" i="19"/>
  <c r="AF821" i="19"/>
  <c r="AE820" i="19"/>
  <c r="AC818" i="19"/>
  <c r="AH507" i="19"/>
  <c r="AE504" i="19"/>
  <c r="AC502" i="19"/>
  <c r="AG506" i="19"/>
  <c r="AD503" i="19"/>
  <c r="AF505" i="19"/>
  <c r="AC821" i="19"/>
  <c r="AD822" i="19"/>
  <c r="AE823" i="19"/>
  <c r="AG324" i="19"/>
  <c r="AD321" i="19"/>
  <c r="AF323" i="19"/>
  <c r="AE322" i="19"/>
  <c r="AC320" i="19"/>
  <c r="AH325" i="19"/>
  <c r="AC18" i="19"/>
  <c r="AG22" i="19"/>
  <c r="AE20" i="19"/>
  <c r="AH23" i="19"/>
  <c r="AF21" i="19"/>
  <c r="AD19" i="19"/>
  <c r="AE789" i="19"/>
  <c r="AF790" i="19"/>
  <c r="AH792" i="19"/>
  <c r="AC787" i="19"/>
  <c r="AG791" i="19"/>
  <c r="AD788" i="19"/>
  <c r="AG472" i="19"/>
  <c r="AH473" i="19"/>
  <c r="AF471" i="19"/>
  <c r="AE470" i="19"/>
  <c r="AC468" i="19"/>
  <c r="AD469" i="19"/>
  <c r="AC740" i="19"/>
  <c r="AH745" i="19"/>
  <c r="AE742" i="19"/>
  <c r="AD741" i="19"/>
  <c r="AG744" i="19"/>
  <c r="AF743" i="19"/>
  <c r="AC813" i="19"/>
  <c r="AE815" i="19"/>
  <c r="AD814" i="19"/>
  <c r="AH818" i="19"/>
  <c r="AG817" i="19"/>
  <c r="AF816" i="19"/>
  <c r="AD23" i="19"/>
  <c r="AG26" i="19"/>
  <c r="AE24" i="19"/>
  <c r="AH27" i="19"/>
  <c r="AC22" i="19"/>
  <c r="AF25" i="19"/>
  <c r="AG609" i="19"/>
  <c r="AH610" i="19"/>
  <c r="AC605" i="19"/>
  <c r="AE607" i="19"/>
  <c r="AF608" i="19"/>
  <c r="AD606" i="19"/>
  <c r="AC452" i="19"/>
  <c r="AD453" i="19"/>
  <c r="AH457" i="19"/>
  <c r="AE454" i="19"/>
  <c r="AF455" i="19"/>
  <c r="AG456" i="19"/>
  <c r="AC392" i="19"/>
  <c r="AD393" i="19"/>
  <c r="AE394" i="19"/>
  <c r="AF395" i="19"/>
  <c r="AH397" i="19"/>
  <c r="AG396" i="19"/>
  <c r="AF86" i="19"/>
  <c r="AC83" i="19"/>
  <c r="AE85" i="19"/>
  <c r="AD84" i="19"/>
  <c r="AH88" i="19"/>
  <c r="AG87" i="19"/>
  <c r="AH398" i="19"/>
  <c r="AD394" i="19"/>
  <c r="AG397" i="19"/>
  <c r="AE395" i="19"/>
  <c r="AF396" i="19"/>
  <c r="AC393" i="19"/>
  <c r="AG394" i="19"/>
  <c r="AF393" i="19"/>
  <c r="AE392" i="19"/>
  <c r="AC390" i="19"/>
  <c r="AH395" i="19"/>
  <c r="AD391" i="19"/>
  <c r="AC323" i="19"/>
  <c r="AE325" i="19"/>
  <c r="AD324" i="19"/>
  <c r="AG327" i="19"/>
  <c r="AH328" i="19"/>
  <c r="AF326" i="19"/>
  <c r="AG792" i="19"/>
  <c r="AE790" i="19"/>
  <c r="AH793" i="19"/>
  <c r="AD789" i="19"/>
  <c r="AC788" i="19"/>
  <c r="AF791" i="19"/>
  <c r="AH289" i="19"/>
  <c r="AG288" i="19"/>
  <c r="AD285" i="19"/>
  <c r="AF287" i="19"/>
  <c r="AC284" i="19"/>
  <c r="AE286" i="19"/>
  <c r="AD387" i="19"/>
  <c r="AG390" i="19"/>
  <c r="AE388" i="19"/>
  <c r="AF389" i="19"/>
  <c r="AH391" i="19"/>
  <c r="AC386" i="19"/>
  <c r="AD765" i="19"/>
  <c r="AG768" i="19"/>
  <c r="AC764" i="19"/>
  <c r="AE766" i="19"/>
  <c r="AF767" i="19"/>
  <c r="AH769" i="19"/>
  <c r="AG160" i="19"/>
  <c r="AH161" i="19"/>
  <c r="AD157" i="19"/>
  <c r="AF159" i="19"/>
  <c r="AE158" i="19"/>
  <c r="AC156" i="19"/>
  <c r="AC745" i="19"/>
  <c r="AD746" i="19"/>
  <c r="AF748" i="19"/>
  <c r="AH750" i="19"/>
  <c r="AE747" i="19"/>
  <c r="AG749" i="19"/>
  <c r="AF423" i="19"/>
  <c r="AG424" i="19"/>
  <c r="AH425" i="19"/>
  <c r="AD421" i="19"/>
  <c r="AE422" i="19"/>
  <c r="AC420" i="19"/>
  <c r="AG599" i="19"/>
  <c r="AF598" i="19"/>
  <c r="AE597" i="19"/>
  <c r="AC595" i="19"/>
  <c r="AH600" i="19"/>
  <c r="AD596" i="19"/>
  <c r="AG669" i="19"/>
  <c r="AD666" i="19"/>
  <c r="AH670" i="19"/>
  <c r="AC665" i="19"/>
  <c r="AF668" i="19"/>
  <c r="AE667" i="19"/>
  <c r="AC25" i="20"/>
  <c r="AB25" i="20"/>
  <c r="AE25" i="20" s="1"/>
  <c r="AF25" i="20"/>
  <c r="AH319" i="19"/>
  <c r="AG318" i="19"/>
  <c r="AD315" i="19"/>
  <c r="AE316" i="19"/>
  <c r="AC314" i="19"/>
  <c r="AF317" i="19"/>
  <c r="AE323" i="19"/>
  <c r="AF324" i="19"/>
  <c r="AH326" i="19"/>
  <c r="AD322" i="19"/>
  <c r="AC321" i="19"/>
  <c r="AG325" i="19"/>
  <c r="AE794" i="19"/>
  <c r="AH797" i="19"/>
  <c r="AF795" i="19"/>
  <c r="AC792" i="19"/>
  <c r="AD793" i="19"/>
  <c r="AG796" i="19"/>
  <c r="AG468" i="19"/>
  <c r="AH469" i="19"/>
  <c r="AE466" i="19"/>
  <c r="AF467" i="19"/>
  <c r="AC464" i="19"/>
  <c r="AD465" i="19"/>
  <c r="AE366" i="19"/>
  <c r="AG368" i="19"/>
  <c r="AC364" i="19"/>
  <c r="AD365" i="19"/>
  <c r="AH369" i="19"/>
  <c r="AF367" i="19"/>
  <c r="AG190" i="19"/>
  <c r="AH191" i="19"/>
  <c r="AF189" i="19"/>
  <c r="AD187" i="19"/>
  <c r="AC186" i="19"/>
  <c r="AE188" i="19"/>
  <c r="BA32" i="19"/>
  <c r="U20" i="10"/>
  <c r="T20" i="10"/>
  <c r="B8" i="1" s="1"/>
  <c r="AF110" i="19"/>
  <c r="AH112" i="19"/>
  <c r="AD108" i="19"/>
  <c r="AE109" i="19"/>
  <c r="AC107" i="19"/>
  <c r="AG111" i="19"/>
  <c r="AG90" i="19"/>
  <c r="AH91" i="19"/>
  <c r="AE88" i="19"/>
  <c r="AD87" i="19"/>
  <c r="AF89" i="19"/>
  <c r="AC86" i="19"/>
  <c r="AG175" i="19"/>
  <c r="AH176" i="19"/>
  <c r="AD172" i="19"/>
  <c r="AF174" i="19"/>
  <c r="AC171" i="19"/>
  <c r="AE173" i="19"/>
  <c r="AH393" i="19"/>
  <c r="AG392" i="19"/>
  <c r="AD389" i="19"/>
  <c r="AC388" i="19"/>
  <c r="AF391" i="19"/>
  <c r="AE390" i="19"/>
  <c r="AH304" i="19"/>
  <c r="AC299" i="19"/>
  <c r="AF302" i="19"/>
  <c r="AE301" i="19"/>
  <c r="AG303" i="19"/>
  <c r="AD300" i="19"/>
  <c r="AD603" i="19"/>
  <c r="AE604" i="19"/>
  <c r="AH607" i="19"/>
  <c r="AC602" i="19"/>
  <c r="AG606" i="19"/>
  <c r="AF605" i="19"/>
  <c r="AG448" i="19"/>
  <c r="AH449" i="19"/>
  <c r="AE446" i="19"/>
  <c r="AC444" i="19"/>
  <c r="AD445" i="19"/>
  <c r="AF447" i="19"/>
  <c r="AB74" i="16"/>
  <c r="H8" i="1"/>
  <c r="AE203" i="19"/>
  <c r="AF204" i="19"/>
  <c r="AD202" i="19"/>
  <c r="AG205" i="19"/>
  <c r="AC201" i="19"/>
  <c r="AH206" i="19"/>
  <c r="AG23" i="19"/>
  <c r="AF22" i="19"/>
  <c r="AC19" i="19"/>
  <c r="AH24" i="19"/>
  <c r="AE21" i="19"/>
  <c r="AD20" i="19"/>
  <c r="AG398" i="19"/>
  <c r="AH399" i="19"/>
  <c r="AE396" i="19"/>
  <c r="AC394" i="19"/>
  <c r="AD395" i="19"/>
  <c r="AF397" i="19"/>
  <c r="AD34" i="19"/>
  <c r="AC33" i="19"/>
  <c r="AE35" i="19"/>
  <c r="AH38" i="19"/>
  <c r="AG37" i="19"/>
  <c r="AF36" i="19"/>
  <c r="AE535" i="19"/>
  <c r="AH538" i="19"/>
  <c r="AG537" i="19"/>
  <c r="AF536" i="19"/>
  <c r="AD534" i="19"/>
  <c r="AC533" i="19"/>
  <c r="AH334" i="19"/>
  <c r="AF332" i="19"/>
  <c r="AG333" i="19"/>
  <c r="AE331" i="19"/>
  <c r="AD330" i="19"/>
  <c r="AC329" i="19"/>
  <c r="AG731" i="19"/>
  <c r="AH732" i="19"/>
  <c r="AD728" i="19"/>
  <c r="AE729" i="19"/>
  <c r="AF730" i="19"/>
  <c r="AC727" i="19"/>
  <c r="AG522" i="19"/>
  <c r="AH523" i="19"/>
  <c r="AC518" i="19"/>
  <c r="AF521" i="19"/>
  <c r="AD519" i="19"/>
  <c r="AE520" i="19"/>
  <c r="AH254" i="19"/>
  <c r="AE251" i="19"/>
  <c r="AC249" i="19"/>
  <c r="AG253" i="19"/>
  <c r="AD250" i="19"/>
  <c r="AF252" i="19"/>
  <c r="AC318" i="19"/>
  <c r="AE320" i="19"/>
  <c r="AF321" i="19"/>
  <c r="AG322" i="19"/>
  <c r="AD319" i="19"/>
  <c r="AH323" i="19"/>
  <c r="AF160" i="19"/>
  <c r="AC157" i="19"/>
  <c r="AE159" i="19"/>
  <c r="AD158" i="19"/>
  <c r="AG161" i="19"/>
  <c r="AH162" i="19"/>
  <c r="AE33" i="19"/>
  <c r="AG35" i="19"/>
  <c r="AF34" i="19"/>
  <c r="AD32" i="19"/>
  <c r="AC31" i="19"/>
  <c r="AH36" i="19"/>
  <c r="AH458" i="19"/>
  <c r="AG457" i="19"/>
  <c r="AD454" i="19"/>
  <c r="AE455" i="19"/>
  <c r="AF456" i="19"/>
  <c r="AC453" i="19"/>
  <c r="AH423" i="19"/>
  <c r="AF421" i="19"/>
  <c r="AC418" i="19"/>
  <c r="AE420" i="19"/>
  <c r="AG422" i="19"/>
  <c r="AD419" i="19"/>
  <c r="AC94" i="19"/>
  <c r="AD95" i="19"/>
  <c r="AF97" i="19"/>
  <c r="AG98" i="19"/>
  <c r="AH99" i="19"/>
  <c r="AE96" i="19"/>
  <c r="AE44" i="19"/>
  <c r="AC42" i="19"/>
  <c r="AH47" i="19"/>
  <c r="AD43" i="19"/>
  <c r="AG46" i="19"/>
  <c r="AF45" i="19"/>
  <c r="AH33" i="19"/>
  <c r="AG32" i="19"/>
  <c r="AF31" i="19"/>
  <c r="AD29" i="19"/>
  <c r="AC28" i="19"/>
  <c r="AE30" i="19"/>
  <c r="AD521" i="19"/>
  <c r="AE522" i="19"/>
  <c r="AF523" i="19"/>
  <c r="AG524" i="19"/>
  <c r="AH525" i="19"/>
  <c r="AC520" i="19"/>
  <c r="AH383" i="19"/>
  <c r="AE380" i="19"/>
  <c r="AF381" i="19"/>
  <c r="AC378" i="19"/>
  <c r="AG382" i="19"/>
  <c r="AD379" i="19"/>
  <c r="AF47" i="19"/>
  <c r="AC44" i="19"/>
  <c r="AG48" i="19"/>
  <c r="AE46" i="19"/>
  <c r="AH49" i="19"/>
  <c r="AD45" i="19"/>
  <c r="AD573" i="19"/>
  <c r="AC572" i="19"/>
  <c r="AH577" i="19"/>
  <c r="AG576" i="19"/>
  <c r="AF575" i="19"/>
  <c r="AE574" i="19"/>
  <c r="AG570" i="19"/>
  <c r="AC566" i="19"/>
  <c r="AF569" i="19"/>
  <c r="AH571" i="19"/>
  <c r="AE568" i="19"/>
  <c r="AD567" i="19"/>
  <c r="AD663" i="19"/>
  <c r="AE664" i="19"/>
  <c r="AF665" i="19"/>
  <c r="AH667" i="19"/>
  <c r="AG666" i="19"/>
  <c r="AC662" i="19"/>
  <c r="AH619" i="19"/>
  <c r="AD615" i="19"/>
  <c r="AE616" i="19"/>
  <c r="AG618" i="19"/>
  <c r="AF617" i="19"/>
  <c r="AC614" i="19"/>
  <c r="AG299" i="19"/>
  <c r="AD296" i="19"/>
  <c r="AE297" i="19"/>
  <c r="AF298" i="19"/>
  <c r="AC295" i="19"/>
  <c r="AH300" i="19"/>
  <c r="AC442" i="19"/>
  <c r="AD443" i="19"/>
  <c r="AG446" i="19"/>
  <c r="AF445" i="19"/>
  <c r="AE444" i="19"/>
  <c r="AH447" i="19"/>
  <c r="AG95" i="19"/>
  <c r="AH96" i="19"/>
  <c r="AE93" i="19"/>
  <c r="AC91" i="19"/>
  <c r="AF94" i="19"/>
  <c r="AD92" i="19"/>
  <c r="AC338" i="19"/>
  <c r="AE340" i="19"/>
  <c r="AH343" i="19"/>
  <c r="AF341" i="19"/>
  <c r="AG342" i="19"/>
  <c r="AD339" i="19"/>
  <c r="AH259" i="19"/>
  <c r="AC254" i="19"/>
  <c r="AE256" i="19"/>
  <c r="AD255" i="19"/>
  <c r="AF257" i="19"/>
  <c r="AG258" i="19"/>
  <c r="AE187" i="19"/>
  <c r="AF188" i="19"/>
  <c r="AC185" i="19"/>
  <c r="AH190" i="19"/>
  <c r="AD186" i="19"/>
  <c r="AG189" i="19"/>
  <c r="AD794" i="19"/>
  <c r="AH798" i="19"/>
  <c r="AF796" i="19"/>
  <c r="AE795" i="19"/>
  <c r="AG797" i="19"/>
  <c r="AC793" i="19"/>
  <c r="AH535" i="19"/>
  <c r="AD531" i="19"/>
  <c r="AE532" i="19"/>
  <c r="AF533" i="19"/>
  <c r="AG534" i="19"/>
  <c r="AC530" i="19"/>
  <c r="AE39" i="19"/>
  <c r="AC37" i="19"/>
  <c r="AF40" i="19"/>
  <c r="AD38" i="19"/>
  <c r="AG41" i="19"/>
  <c r="AH42" i="19"/>
  <c r="AH589" i="19"/>
  <c r="AG588" i="19"/>
  <c r="AE586" i="19"/>
  <c r="AF587" i="19"/>
  <c r="AC584" i="19"/>
  <c r="AD585" i="19"/>
  <c r="AE205" i="19"/>
  <c r="AF206" i="19"/>
  <c r="AD204" i="19"/>
  <c r="AH208" i="19"/>
  <c r="AC203" i="19"/>
  <c r="AG207" i="19"/>
  <c r="AG794" i="19"/>
  <c r="AE792" i="19"/>
  <c r="AH795" i="19"/>
  <c r="AF793" i="19"/>
  <c r="AD791" i="19"/>
  <c r="AC790" i="19"/>
  <c r="AD811" i="19"/>
  <c r="AH815" i="19"/>
  <c r="AF813" i="19"/>
  <c r="AC810" i="19"/>
  <c r="AE812" i="19"/>
  <c r="AG814" i="19"/>
  <c r="AD348" i="19"/>
  <c r="AH352" i="19"/>
  <c r="AE349" i="19"/>
  <c r="AG351" i="19"/>
  <c r="AC347" i="19"/>
  <c r="AF350" i="19"/>
  <c r="AG349" i="19"/>
  <c r="AD346" i="19"/>
  <c r="AE347" i="19"/>
  <c r="AC345" i="19"/>
  <c r="AF348" i="19"/>
  <c r="AH350" i="19"/>
  <c r="AG67" i="19"/>
  <c r="AF66" i="19"/>
  <c r="AH68" i="19"/>
  <c r="AE65" i="19"/>
  <c r="AC63" i="19"/>
  <c r="AD64" i="19"/>
  <c r="AH599" i="19"/>
  <c r="AD595" i="19"/>
  <c r="AC594" i="19"/>
  <c r="AE596" i="19"/>
  <c r="AF597" i="19"/>
  <c r="AG598" i="19"/>
  <c r="AG408" i="19"/>
  <c r="AH409" i="19"/>
  <c r="AC404" i="19"/>
  <c r="AE406" i="19"/>
  <c r="AD405" i="19"/>
  <c r="AF407" i="19"/>
  <c r="AG403" i="19"/>
  <c r="AH404" i="19"/>
  <c r="AF402" i="19"/>
  <c r="AE401" i="19"/>
  <c r="AC399" i="19"/>
  <c r="AD400" i="19"/>
  <c r="AG334" i="19"/>
  <c r="AD331" i="19"/>
  <c r="AE332" i="19"/>
  <c r="AF333" i="19"/>
  <c r="AC330" i="19"/>
  <c r="AH335" i="19"/>
  <c r="AF27" i="19"/>
  <c r="AC24" i="19"/>
  <c r="AD25" i="19"/>
  <c r="AG28" i="19"/>
  <c r="AE26" i="19"/>
  <c r="AH29" i="19"/>
  <c r="AE705" i="19"/>
  <c r="AF706" i="19"/>
  <c r="AD704" i="19"/>
  <c r="AC703" i="19"/>
  <c r="AG707" i="19"/>
  <c r="AH708" i="19"/>
  <c r="AG85" i="19"/>
  <c r="AH86" i="19"/>
  <c r="AD82" i="19"/>
  <c r="AE83" i="19"/>
  <c r="AC81" i="19"/>
  <c r="AF84" i="19"/>
  <c r="AH696" i="19"/>
  <c r="AF694" i="19"/>
  <c r="AE693" i="19"/>
  <c r="AD692" i="19"/>
  <c r="AC691" i="19"/>
  <c r="AG695" i="19"/>
  <c r="AE580" i="19"/>
  <c r="AG582" i="19"/>
  <c r="AH583" i="19"/>
  <c r="AC578" i="19"/>
  <c r="AF581" i="19"/>
  <c r="AD579" i="19"/>
  <c r="J9" i="11"/>
  <c r="AF443" i="19"/>
  <c r="AD441" i="19"/>
  <c r="AE442" i="19"/>
  <c r="AC440" i="19"/>
  <c r="AH445" i="19"/>
  <c r="AG444" i="19"/>
  <c r="AE562" i="19"/>
  <c r="AH565" i="19"/>
  <c r="AF563" i="19"/>
  <c r="AC560" i="19"/>
  <c r="AG564" i="19"/>
  <c r="AD561" i="19"/>
  <c r="AG284" i="19"/>
  <c r="AC280" i="19"/>
  <c r="AH285" i="19"/>
  <c r="AD281" i="19"/>
  <c r="AF283" i="19"/>
  <c r="AE282" i="19"/>
  <c r="AF121" i="19"/>
  <c r="AH123" i="19"/>
  <c r="AD119" i="19"/>
  <c r="AC118" i="19"/>
  <c r="AG122" i="19"/>
  <c r="AE120" i="19"/>
  <c r="AC243" i="19"/>
  <c r="AE245" i="19"/>
  <c r="AD244" i="19"/>
  <c r="AG247" i="19"/>
  <c r="AH248" i="19"/>
  <c r="AF246" i="19"/>
  <c r="AG463" i="19"/>
  <c r="AH464" i="19"/>
  <c r="AD460" i="19"/>
  <c r="AF462" i="19"/>
  <c r="AE461" i="19"/>
  <c r="AC459" i="19"/>
  <c r="AC258" i="19"/>
  <c r="AE260" i="19"/>
  <c r="AG262" i="19"/>
  <c r="AD259" i="19"/>
  <c r="AH263" i="19"/>
  <c r="AF261" i="19"/>
  <c r="AD588" i="19"/>
  <c r="AF590" i="19"/>
  <c r="AE589" i="19"/>
  <c r="AH592" i="19"/>
  <c r="AC587" i="19"/>
  <c r="AG591" i="19"/>
  <c r="AE695" i="19"/>
  <c r="AF696" i="19"/>
  <c r="AD694" i="19"/>
  <c r="AC693" i="19"/>
  <c r="AH698" i="19"/>
  <c r="AG697" i="19"/>
  <c r="AC613" i="19"/>
  <c r="AH618" i="19"/>
  <c r="AG617" i="19"/>
  <c r="AE615" i="19"/>
  <c r="AF616" i="19"/>
  <c r="AD614" i="19"/>
  <c r="AH649" i="19"/>
  <c r="AD645" i="19"/>
  <c r="AC644" i="19"/>
  <c r="AE646" i="19"/>
  <c r="AG648" i="19"/>
  <c r="AF647" i="19"/>
  <c r="AC412" i="19"/>
  <c r="AD413" i="19"/>
  <c r="AH417" i="19"/>
  <c r="AE414" i="19"/>
  <c r="AF415" i="19"/>
  <c r="AG416" i="19"/>
  <c r="AH10" i="19"/>
  <c r="AC5" i="19"/>
  <c r="AG9" i="19"/>
  <c r="AF8" i="19"/>
  <c r="AD6" i="19"/>
  <c r="AE7" i="19"/>
  <c r="AG249" i="19"/>
  <c r="AH250" i="19"/>
  <c r="AC245" i="19"/>
  <c r="AD246" i="19"/>
  <c r="AF248" i="19"/>
  <c r="AE247" i="19"/>
  <c r="AC669" i="19"/>
  <c r="AG673" i="19"/>
  <c r="AF672" i="19"/>
  <c r="AD670" i="19"/>
  <c r="AE671" i="19"/>
  <c r="AH674" i="19"/>
  <c r="AC506" i="19"/>
  <c r="AD507" i="19"/>
  <c r="AF509" i="19"/>
  <c r="AH511" i="19"/>
  <c r="AG510" i="19"/>
  <c r="AE508" i="19"/>
  <c r="AG502" i="19"/>
  <c r="AH503" i="19"/>
  <c r="AF501" i="19"/>
  <c r="AC498" i="19"/>
  <c r="AE500" i="19"/>
  <c r="AD499" i="19"/>
  <c r="AG329" i="19"/>
  <c r="AE327" i="19"/>
  <c r="AH330" i="19"/>
  <c r="AC325" i="19"/>
  <c r="AF328" i="19"/>
  <c r="AD326" i="19"/>
  <c r="AH756" i="19"/>
  <c r="AF754" i="19"/>
  <c r="AE753" i="19"/>
  <c r="AD752" i="19"/>
  <c r="AC751" i="19"/>
  <c r="AG755" i="19"/>
  <c r="AE273" i="19"/>
  <c r="AC271" i="19"/>
  <c r="AG275" i="19"/>
  <c r="AF274" i="19"/>
  <c r="AD272" i="19"/>
  <c r="AH276" i="19"/>
  <c r="AF814" i="19"/>
  <c r="AE813" i="19"/>
  <c r="AC811" i="19"/>
  <c r="AG815" i="19"/>
  <c r="AH816" i="19"/>
  <c r="AD812" i="19"/>
  <c r="AC798" i="19"/>
  <c r="AH803" i="19"/>
  <c r="AG802" i="19"/>
  <c r="AF801" i="19"/>
  <c r="AD799" i="19"/>
  <c r="AE800" i="19"/>
  <c r="AH269" i="19"/>
  <c r="AD265" i="19"/>
  <c r="AG268" i="19"/>
  <c r="AC264" i="19"/>
  <c r="AE266" i="19"/>
  <c r="AF267" i="19"/>
  <c r="AG674" i="19"/>
  <c r="AF673" i="19"/>
  <c r="AH675" i="19"/>
  <c r="AD671" i="19"/>
  <c r="AC670" i="19"/>
  <c r="AE672" i="19"/>
  <c r="AF789" i="19"/>
  <c r="AG790" i="19"/>
  <c r="AH791" i="19"/>
  <c r="AD787" i="19"/>
  <c r="AC786" i="19"/>
  <c r="AE788" i="19"/>
  <c r="AD308" i="19"/>
  <c r="AF310" i="19"/>
  <c r="AG311" i="19"/>
  <c r="AH312" i="19"/>
  <c r="AE309" i="19"/>
  <c r="AC307" i="19"/>
  <c r="AH413" i="19"/>
  <c r="AF411" i="19"/>
  <c r="AE410" i="19"/>
  <c r="AG412" i="19"/>
  <c r="AD409" i="19"/>
  <c r="AC408" i="19"/>
  <c r="AE58" i="19"/>
  <c r="AD57" i="19"/>
  <c r="AF59" i="19"/>
  <c r="AG60" i="19"/>
  <c r="AC56" i="19"/>
  <c r="AH61" i="19"/>
  <c r="AH453" i="19"/>
  <c r="AD449" i="19"/>
  <c r="AC448" i="19"/>
  <c r="AF451" i="19"/>
  <c r="AG452" i="19"/>
  <c r="AE450" i="19"/>
  <c r="AG344" i="19"/>
  <c r="AF343" i="19"/>
  <c r="AE342" i="19"/>
  <c r="AD341" i="19"/>
  <c r="AC340" i="19"/>
  <c r="AH345" i="19"/>
  <c r="AD623" i="19"/>
  <c r="AE624" i="19"/>
  <c r="AC622" i="19"/>
  <c r="AF625" i="19"/>
  <c r="AH627" i="19"/>
  <c r="AG626" i="19"/>
  <c r="AD486" i="19"/>
  <c r="AE487" i="19"/>
  <c r="AH490" i="19"/>
  <c r="AC485" i="19"/>
  <c r="AG489" i="19"/>
  <c r="AF488" i="19"/>
  <c r="AH527" i="19"/>
  <c r="AG526" i="19"/>
  <c r="AD523" i="19"/>
  <c r="AC522" i="19"/>
  <c r="AE524" i="19"/>
  <c r="AF525" i="19"/>
  <c r="AG27" i="19"/>
  <c r="AC23" i="19"/>
  <c r="AD24" i="19"/>
  <c r="AF26" i="19"/>
  <c r="AE25" i="19"/>
  <c r="AH28" i="19"/>
  <c r="AH219" i="19"/>
  <c r="AE216" i="19"/>
  <c r="AD215" i="19"/>
  <c r="AC214" i="19"/>
  <c r="AF217" i="19"/>
  <c r="AG218" i="19"/>
  <c r="AH534" i="19"/>
  <c r="AE531" i="19"/>
  <c r="AC529" i="19"/>
  <c r="AF532" i="19"/>
  <c r="AD530" i="19"/>
  <c r="AG533" i="19"/>
  <c r="AF70" i="19"/>
  <c r="AD68" i="19"/>
  <c r="AC67" i="19"/>
  <c r="AG71" i="19"/>
  <c r="AE69" i="19"/>
  <c r="AH72" i="19"/>
  <c r="AG105" i="19"/>
  <c r="AH106" i="19"/>
  <c r="AD102" i="19"/>
  <c r="AF104" i="19"/>
  <c r="AE103" i="19"/>
  <c r="AC101" i="19"/>
  <c r="AG418" i="19"/>
  <c r="AH419" i="19"/>
  <c r="AF417" i="19"/>
  <c r="AC414" i="19"/>
  <c r="AE416" i="19"/>
  <c r="AD415" i="19"/>
  <c r="AD583" i="19"/>
  <c r="AG586" i="19"/>
  <c r="AH587" i="19"/>
  <c r="AF585" i="19"/>
  <c r="AC582" i="19"/>
  <c r="AE584" i="19"/>
  <c r="AE228" i="19"/>
  <c r="AH231" i="19"/>
  <c r="AF229" i="19"/>
  <c r="AG230" i="19"/>
  <c r="AD227" i="19"/>
  <c r="AC226" i="19"/>
  <c r="AO3" i="19"/>
  <c r="BA24" i="19" s="1"/>
  <c r="AX24" i="19" s="1"/>
  <c r="AZ24" i="19" s="1"/>
  <c r="BA23" i="19"/>
  <c r="AX23" i="19" s="1"/>
  <c r="AZ23" i="19" s="1"/>
  <c r="AF512" i="19"/>
  <c r="AC509" i="19"/>
  <c r="AG513" i="19"/>
  <c r="AD510" i="19"/>
  <c r="AE511" i="19"/>
  <c r="AH514" i="19"/>
  <c r="AH349" i="19"/>
  <c r="AE346" i="19"/>
  <c r="AD345" i="19"/>
  <c r="AC344" i="19"/>
  <c r="AF347" i="19"/>
  <c r="AG348" i="19"/>
  <c r="AH639" i="19"/>
  <c r="AD635" i="19"/>
  <c r="AG638" i="19"/>
  <c r="AE636" i="19"/>
  <c r="AF637" i="19"/>
  <c r="AC634" i="19"/>
  <c r="AE172" i="19"/>
  <c r="AH175" i="19"/>
  <c r="AG174" i="19"/>
  <c r="AC170" i="19"/>
  <c r="AD171" i="19"/>
  <c r="AF173" i="19"/>
  <c r="AH721" i="19"/>
  <c r="AD717" i="19"/>
  <c r="AF719" i="19"/>
  <c r="AE718" i="19"/>
  <c r="AG720" i="19"/>
  <c r="AC716" i="19"/>
  <c r="AC700" i="19"/>
  <c r="AH705" i="19"/>
  <c r="AG704" i="19"/>
  <c r="AF703" i="19"/>
  <c r="AE702" i="19"/>
  <c r="AD701" i="19"/>
  <c r="AC422" i="19"/>
  <c r="AD423" i="19"/>
  <c r="AE424" i="19"/>
  <c r="AF425" i="19"/>
  <c r="AH427" i="19"/>
  <c r="AG426" i="19"/>
  <c r="AC541" i="19"/>
  <c r="AH546" i="19"/>
  <c r="AD542" i="19"/>
  <c r="AG545" i="19"/>
  <c r="AE543" i="19"/>
  <c r="AF544" i="19"/>
  <c r="AH95" i="19"/>
  <c r="AF93" i="19"/>
  <c r="AD91" i="19"/>
  <c r="AG94" i="19"/>
  <c r="AC90" i="19"/>
  <c r="AE92" i="19"/>
  <c r="AG147" i="19"/>
  <c r="AC143" i="19"/>
  <c r="AH148" i="19"/>
  <c r="AF146" i="19"/>
  <c r="AE145" i="19"/>
  <c r="AD144" i="19"/>
  <c r="AD643" i="19"/>
  <c r="AE644" i="19"/>
  <c r="AG646" i="19"/>
  <c r="AH647" i="19"/>
  <c r="AF645" i="19"/>
  <c r="AC642" i="19"/>
  <c r="AG363" i="19"/>
  <c r="AC359" i="19"/>
  <c r="AF362" i="19"/>
  <c r="AH364" i="19"/>
  <c r="AD360" i="19"/>
  <c r="AE361" i="19"/>
  <c r="AF819" i="19"/>
  <c r="AG820" i="19"/>
  <c r="AE818" i="19"/>
  <c r="AH821" i="19"/>
  <c r="AC816" i="19"/>
  <c r="AD817" i="19"/>
  <c r="AC79" i="19"/>
  <c r="AD80" i="19"/>
  <c r="AF82" i="19"/>
  <c r="AG83" i="19"/>
  <c r="AE81" i="19"/>
  <c r="AH84" i="19"/>
  <c r="AH644" i="19"/>
  <c r="AD640" i="19"/>
  <c r="AE641" i="19"/>
  <c r="AF642" i="19"/>
  <c r="AG643" i="19"/>
  <c r="AC639" i="19"/>
  <c r="AG716" i="19"/>
  <c r="AF715" i="19"/>
  <c r="AC712" i="19"/>
  <c r="AD713" i="19"/>
  <c r="AE714" i="19"/>
  <c r="AH717" i="19"/>
  <c r="AF487" i="19"/>
  <c r="AH489" i="19"/>
  <c r="AE486" i="19"/>
  <c r="AG488" i="19"/>
  <c r="AC484" i="19"/>
  <c r="AD485" i="19"/>
  <c r="AF527" i="19"/>
  <c r="AE526" i="19"/>
  <c r="AC524" i="19"/>
  <c r="AD525" i="19"/>
  <c r="AG528" i="19"/>
  <c r="AH529" i="19"/>
  <c r="AH329" i="19"/>
  <c r="AC324" i="19"/>
  <c r="AF327" i="19"/>
  <c r="AG328" i="19"/>
  <c r="AE326" i="19"/>
  <c r="AD325" i="19"/>
  <c r="AD149" i="19"/>
  <c r="AG152" i="19"/>
  <c r="AH153" i="19"/>
  <c r="AF151" i="19"/>
  <c r="AC148" i="19"/>
  <c r="AE150" i="19"/>
  <c r="AC298" i="19"/>
  <c r="AE300" i="19"/>
  <c r="AD299" i="19"/>
  <c r="AF301" i="19"/>
  <c r="AH303" i="19"/>
  <c r="AG302" i="19"/>
  <c r="AG736" i="19"/>
  <c r="AF735" i="19"/>
  <c r="AC732" i="19"/>
  <c r="AD733" i="19"/>
  <c r="AH737" i="19"/>
  <c r="AE734" i="19"/>
  <c r="AH781" i="19"/>
  <c r="AD777" i="19"/>
  <c r="AF779" i="19"/>
  <c r="AG780" i="19"/>
  <c r="AC776" i="19"/>
  <c r="AE778" i="19"/>
  <c r="AE592" i="19"/>
  <c r="AC590" i="19"/>
  <c r="AG594" i="19"/>
  <c r="AF593" i="19"/>
  <c r="AH595" i="19"/>
  <c r="AD591" i="19"/>
  <c r="AD219" i="19"/>
  <c r="AH223" i="19"/>
  <c r="AG222" i="19"/>
  <c r="AE220" i="19"/>
  <c r="AF221" i="19"/>
  <c r="AC218" i="19"/>
  <c r="AC695" i="19"/>
  <c r="AE697" i="19"/>
  <c r="AG699" i="19"/>
  <c r="AH700" i="19"/>
  <c r="AD696" i="19"/>
  <c r="AF698" i="19"/>
  <c r="AH746" i="19"/>
  <c r="AE743" i="19"/>
  <c r="AD742" i="19"/>
  <c r="AG745" i="19"/>
  <c r="AF744" i="19"/>
  <c r="AC741" i="19"/>
  <c r="AH594" i="19"/>
  <c r="AD590" i="19"/>
  <c r="AF592" i="19"/>
  <c r="AG593" i="19"/>
  <c r="AC589" i="19"/>
  <c r="AE591" i="19"/>
  <c r="AD558" i="19"/>
  <c r="AE559" i="19"/>
  <c r="AH562" i="19"/>
  <c r="AC557" i="19"/>
  <c r="AG561" i="19"/>
  <c r="AF560" i="19"/>
  <c r="AC765" i="19"/>
  <c r="AD766" i="19"/>
  <c r="AF768" i="19"/>
  <c r="AH770" i="19"/>
  <c r="AE767" i="19"/>
  <c r="AG769" i="19"/>
  <c r="AC283" i="19"/>
  <c r="AE285" i="19"/>
  <c r="AG287" i="19"/>
  <c r="AD284" i="19"/>
  <c r="AF286" i="19"/>
  <c r="AH288" i="19"/>
  <c r="AD343" i="19"/>
  <c r="AG346" i="19"/>
  <c r="AE344" i="19"/>
  <c r="AF345" i="19"/>
  <c r="AH347" i="19"/>
  <c r="AC342" i="19"/>
  <c r="AH358" i="19"/>
  <c r="AF356" i="19"/>
  <c r="AG357" i="19"/>
  <c r="AE355" i="19"/>
  <c r="AD354" i="19"/>
  <c r="AC353" i="19"/>
  <c r="AE750" i="19"/>
  <c r="AF751" i="19"/>
  <c r="AC748" i="19"/>
  <c r="AG752" i="19"/>
  <c r="AH753" i="19"/>
  <c r="AD749" i="19"/>
  <c r="AH574" i="19"/>
  <c r="AG573" i="19"/>
  <c r="AC569" i="19"/>
  <c r="AE571" i="19"/>
  <c r="AF572" i="19"/>
  <c r="AD570" i="19"/>
  <c r="AH487" i="19"/>
  <c r="AE484" i="19"/>
  <c r="AD483" i="19"/>
  <c r="AC482" i="19"/>
  <c r="AF485" i="19"/>
  <c r="AG486" i="19"/>
  <c r="AH309" i="19"/>
  <c r="AF307" i="19"/>
  <c r="AC304" i="19"/>
  <c r="AD305" i="19"/>
  <c r="AG308" i="19"/>
  <c r="AE306" i="19"/>
  <c r="AD613" i="19"/>
  <c r="AE614" i="19"/>
  <c r="AH617" i="19"/>
  <c r="AC612" i="19"/>
  <c r="AF615" i="19"/>
  <c r="AG616" i="19"/>
  <c r="AG135" i="19"/>
  <c r="AH136" i="19"/>
  <c r="AD132" i="19"/>
  <c r="AF134" i="19"/>
  <c r="AC131" i="19"/>
  <c r="AE133" i="19"/>
  <c r="AD462" i="19"/>
  <c r="AE463" i="19"/>
  <c r="AG465" i="19"/>
  <c r="AF464" i="19"/>
  <c r="AC461" i="19"/>
  <c r="AH466" i="19"/>
  <c r="AH614" i="19"/>
  <c r="AD610" i="19"/>
  <c r="AG613" i="19"/>
  <c r="AF612" i="19"/>
  <c r="AC609" i="19"/>
  <c r="AE611" i="19"/>
  <c r="AE573" i="19"/>
  <c r="AH576" i="19"/>
  <c r="AG575" i="19"/>
  <c r="AD572" i="19"/>
  <c r="AC571" i="19"/>
  <c r="AF574" i="19"/>
  <c r="AC457" i="19"/>
  <c r="AD458" i="19"/>
  <c r="AF460" i="19"/>
  <c r="AE459" i="19"/>
  <c r="AG461" i="19"/>
  <c r="AH462" i="19"/>
  <c r="AE333" i="19"/>
  <c r="AF334" i="19"/>
  <c r="AG335" i="19"/>
  <c r="AD332" i="19"/>
  <c r="AH336" i="19"/>
  <c r="AC331" i="19"/>
  <c r="AF95" i="19"/>
  <c r="AH97" i="19"/>
  <c r="AC92" i="19"/>
  <c r="AD93" i="19"/>
  <c r="AG96" i="19"/>
  <c r="AE94" i="19"/>
  <c r="AD432" i="19"/>
  <c r="AE433" i="19"/>
  <c r="AH436" i="19"/>
  <c r="AF434" i="19"/>
  <c r="AG435" i="19"/>
  <c r="AC431" i="19"/>
  <c r="BA44" i="19"/>
  <c r="AX50" i="19"/>
  <c r="AZ50" i="19" s="1"/>
  <c r="AC608" i="19"/>
  <c r="AH613" i="19"/>
  <c r="AE610" i="19"/>
  <c r="AG612" i="19"/>
  <c r="AD609" i="19"/>
  <c r="AF611" i="19"/>
  <c r="AF573" i="19"/>
  <c r="AH575" i="19"/>
  <c r="AC570" i="19"/>
  <c r="AD571" i="19"/>
  <c r="AE572" i="19"/>
  <c r="AG574" i="19"/>
  <c r="AH706" i="19"/>
  <c r="AF704" i="19"/>
  <c r="AE703" i="19"/>
  <c r="AG705" i="19"/>
  <c r="AD702" i="19"/>
  <c r="AC701" i="19"/>
  <c r="AC153" i="19"/>
  <c r="AD154" i="19"/>
  <c r="AG157" i="19"/>
  <c r="AF156" i="19"/>
  <c r="AH158" i="19"/>
  <c r="AE155" i="19"/>
  <c r="AD730" i="19"/>
  <c r="AF732" i="19"/>
  <c r="AE731" i="19"/>
  <c r="AC729" i="19"/>
  <c r="AH734" i="19"/>
  <c r="AG733" i="19"/>
  <c r="AF123" i="19"/>
  <c r="AD121" i="19"/>
  <c r="AH125" i="19"/>
  <c r="AE122" i="19"/>
  <c r="AG124" i="19"/>
  <c r="AC120" i="19"/>
  <c r="AF517" i="19"/>
  <c r="AD515" i="19"/>
  <c r="AE516" i="19"/>
  <c r="AC514" i="19"/>
  <c r="AH519" i="19"/>
  <c r="AG518" i="19"/>
  <c r="AH676" i="19"/>
  <c r="AF674" i="19"/>
  <c r="AG675" i="19"/>
  <c r="AE673" i="19"/>
  <c r="AC671" i="19"/>
  <c r="AD672" i="19"/>
  <c r="AG619" i="19"/>
  <c r="AD616" i="19"/>
  <c r="AH620" i="19"/>
  <c r="AF618" i="19"/>
  <c r="AE617" i="19"/>
  <c r="AC615" i="19"/>
  <c r="AE801" i="19"/>
  <c r="AF802" i="19"/>
  <c r="AG803" i="19"/>
  <c r="AC799" i="19"/>
  <c r="AH804" i="19"/>
  <c r="AD800" i="19"/>
  <c r="AH731" i="19"/>
  <c r="AC726" i="19"/>
  <c r="AE728" i="19"/>
  <c r="AF729" i="19"/>
  <c r="AG730" i="19"/>
  <c r="AD727" i="19"/>
  <c r="AE207" i="19"/>
  <c r="AH210" i="19"/>
  <c r="AC205" i="19"/>
  <c r="AD206" i="19"/>
  <c r="AF208" i="19"/>
  <c r="AG209" i="19"/>
  <c r="AE263" i="19"/>
  <c r="AH266" i="19"/>
  <c r="AF264" i="19"/>
  <c r="AD262" i="19"/>
  <c r="AC261" i="19"/>
  <c r="AG265" i="19"/>
  <c r="AG604" i="19"/>
  <c r="AE602" i="19"/>
  <c r="AC600" i="19"/>
  <c r="AH605" i="19"/>
  <c r="AF603" i="19"/>
  <c r="AD601" i="19"/>
  <c r="AF588" i="19"/>
  <c r="AE587" i="19"/>
  <c r="AD586" i="19"/>
  <c r="AC585" i="19"/>
  <c r="AG589" i="19"/>
  <c r="AH590" i="19"/>
  <c r="AD238" i="19"/>
  <c r="AH242" i="19"/>
  <c r="AG241" i="19"/>
  <c r="AE239" i="19"/>
  <c r="AC237" i="19"/>
  <c r="AF240" i="19"/>
  <c r="AG119" i="19"/>
  <c r="AE117" i="19"/>
  <c r="AC115" i="19"/>
  <c r="AH120" i="19"/>
  <c r="AF118" i="19"/>
  <c r="AD116" i="19"/>
  <c r="AG542" i="19"/>
  <c r="AC538" i="19"/>
  <c r="AD539" i="19"/>
  <c r="AE540" i="19"/>
  <c r="AH543" i="19"/>
  <c r="AF541" i="19"/>
  <c r="AC233" i="19"/>
  <c r="AE235" i="19"/>
  <c r="AD234" i="19"/>
  <c r="AG237" i="19"/>
  <c r="AF236" i="19"/>
  <c r="AH238" i="19"/>
  <c r="AF654" i="19"/>
  <c r="AH656" i="19"/>
  <c r="AD652" i="19"/>
  <c r="AE653" i="19"/>
  <c r="AC651" i="19"/>
  <c r="AG655" i="19"/>
  <c r="AD618" i="19"/>
  <c r="AE619" i="19"/>
  <c r="AG621" i="19"/>
  <c r="AH622" i="19"/>
  <c r="AF620" i="19"/>
  <c r="AC617" i="19"/>
  <c r="AC263" i="19"/>
  <c r="AE265" i="19"/>
  <c r="AH268" i="19"/>
  <c r="AD264" i="19"/>
  <c r="AF266" i="19"/>
  <c r="AG267" i="19"/>
  <c r="AG130" i="19"/>
  <c r="AH131" i="19"/>
  <c r="AF129" i="19"/>
  <c r="AC126" i="19"/>
  <c r="AE128" i="19"/>
  <c r="AD127" i="19"/>
  <c r="AE545" i="19"/>
  <c r="AC543" i="19"/>
  <c r="AH548" i="19"/>
  <c r="AF546" i="19"/>
  <c r="AD544" i="19"/>
  <c r="AG547" i="19"/>
  <c r="AC603" i="19"/>
  <c r="AE605" i="19"/>
  <c r="AG607" i="19"/>
  <c r="AH608" i="19"/>
  <c r="AF606" i="19"/>
  <c r="AD604" i="19"/>
  <c r="AC783" i="19"/>
  <c r="AH788" i="19"/>
  <c r="AE785" i="19"/>
  <c r="AD784" i="19"/>
  <c r="AG787" i="19"/>
  <c r="AF786" i="19"/>
  <c r="AE238" i="19"/>
  <c r="AC236" i="19"/>
  <c r="AH241" i="19"/>
  <c r="AG240" i="19"/>
  <c r="AD237" i="19"/>
  <c r="AF239" i="19"/>
  <c r="AD578" i="19"/>
  <c r="AF580" i="19"/>
  <c r="AH582" i="19"/>
  <c r="AE579" i="19"/>
  <c r="AC577" i="19"/>
  <c r="AG581" i="19"/>
  <c r="AF556" i="19"/>
  <c r="AE555" i="19"/>
  <c r="AH558" i="19"/>
  <c r="AC553" i="19"/>
  <c r="AD554" i="19"/>
  <c r="AG557" i="19"/>
  <c r="AG74" i="19"/>
  <c r="AH75" i="19"/>
  <c r="AD71" i="19"/>
  <c r="AC70" i="19"/>
  <c r="AF73" i="19"/>
  <c r="AE72" i="19"/>
  <c r="AD293" i="19"/>
  <c r="AG296" i="19"/>
  <c r="AE294" i="19"/>
  <c r="AH297" i="19"/>
  <c r="AF295" i="19"/>
  <c r="AC292" i="19"/>
  <c r="AE816" i="19"/>
  <c r="AH819" i="19"/>
  <c r="AC814" i="19"/>
  <c r="AG818" i="19"/>
  <c r="AD815" i="19"/>
  <c r="AF817" i="19"/>
  <c r="AD658" i="19"/>
  <c r="AE659" i="19"/>
  <c r="AF660" i="19"/>
  <c r="AG661" i="19"/>
  <c r="AH662" i="19"/>
  <c r="AC657" i="19"/>
  <c r="AH388" i="19"/>
  <c r="AC383" i="19"/>
  <c r="AD384" i="19"/>
  <c r="AF386" i="19"/>
  <c r="AE385" i="19"/>
  <c r="AG387" i="19"/>
  <c r="AE479" i="19"/>
  <c r="AH482" i="19"/>
  <c r="AF480" i="19"/>
  <c r="AC477" i="19"/>
  <c r="AD478" i="19"/>
  <c r="AG481" i="19"/>
  <c r="AG304" i="19"/>
  <c r="AE302" i="19"/>
  <c r="AD301" i="19"/>
  <c r="AH305" i="19"/>
  <c r="AC300" i="19"/>
  <c r="AF303" i="19"/>
  <c r="AH532" i="19"/>
  <c r="AE529" i="19"/>
  <c r="AF530" i="19"/>
  <c r="AC527" i="19"/>
  <c r="AD528" i="19"/>
  <c r="AG531" i="19"/>
  <c r="AC343" i="19"/>
  <c r="AE345" i="19"/>
  <c r="AF346" i="19"/>
  <c r="AD344" i="19"/>
  <c r="AG347" i="19"/>
  <c r="AH348" i="19"/>
  <c r="AD328" i="19"/>
  <c r="AH332" i="19"/>
  <c r="AC327" i="19"/>
  <c r="AF330" i="19"/>
  <c r="AE329" i="19"/>
  <c r="AG331" i="19"/>
  <c r="AC417" i="19"/>
  <c r="AD418" i="19"/>
  <c r="AG421" i="19"/>
  <c r="AF420" i="19"/>
  <c r="AH422" i="19"/>
  <c r="AE419" i="19"/>
  <c r="BA11" i="19"/>
  <c r="AX11" i="19" s="1"/>
  <c r="AZ11" i="19" s="1"/>
  <c r="AG676" i="19"/>
  <c r="AF675" i="19"/>
  <c r="AC672" i="19"/>
  <c r="AE674" i="19"/>
  <c r="AD673" i="19"/>
  <c r="AH677" i="19"/>
  <c r="AC462" i="19"/>
  <c r="AD463" i="19"/>
  <c r="AH467" i="19"/>
  <c r="AF465" i="19"/>
  <c r="AE464" i="19"/>
  <c r="AG466" i="19"/>
  <c r="AD633" i="19"/>
  <c r="AE634" i="19"/>
  <c r="AF635" i="19"/>
  <c r="AG636" i="19"/>
  <c r="AH637" i="19"/>
  <c r="AC632" i="19"/>
  <c r="AE308" i="19"/>
  <c r="AF309" i="19"/>
  <c r="AG310" i="19"/>
  <c r="AH311" i="19"/>
  <c r="AD307" i="19"/>
  <c r="AC306" i="19"/>
  <c r="AD594" i="19"/>
  <c r="AF596" i="19"/>
  <c r="AG597" i="19"/>
  <c r="AE595" i="19"/>
  <c r="AC593" i="19"/>
  <c r="AH598" i="19"/>
  <c r="AH556" i="19"/>
  <c r="AD552" i="19"/>
  <c r="AG555" i="19"/>
  <c r="AC551" i="19"/>
  <c r="AE553" i="19"/>
  <c r="AF554" i="19"/>
  <c r="AC675" i="19"/>
  <c r="AE677" i="19"/>
  <c r="AG679" i="19"/>
  <c r="AD676" i="19"/>
  <c r="AF678" i="19"/>
  <c r="AH680" i="19"/>
  <c r="AH65" i="19"/>
  <c r="AF63" i="19"/>
  <c r="AD61" i="19"/>
  <c r="AE62" i="19"/>
  <c r="AC60" i="19"/>
  <c r="AG64" i="19"/>
  <c r="AD101" i="19"/>
  <c r="AG104" i="19"/>
  <c r="AH105" i="19"/>
  <c r="AF103" i="19"/>
  <c r="AC100" i="19"/>
  <c r="AE102" i="19"/>
  <c r="AG356" i="19"/>
  <c r="AC352" i="19"/>
  <c r="AF355" i="19"/>
  <c r="AD353" i="19"/>
  <c r="AH357" i="19"/>
  <c r="AE354" i="19"/>
  <c r="AD427" i="19"/>
  <c r="AE428" i="19"/>
  <c r="AF429" i="19"/>
  <c r="AH431" i="19"/>
  <c r="AC426" i="19"/>
  <c r="AG430" i="19"/>
  <c r="AC710" i="19"/>
  <c r="AF713" i="19"/>
  <c r="AE712" i="19"/>
  <c r="AD711" i="19"/>
  <c r="AH715" i="19"/>
  <c r="AG714" i="19"/>
  <c r="AD357" i="19"/>
  <c r="AF359" i="19"/>
  <c r="AG360" i="19"/>
  <c r="AH361" i="19"/>
  <c r="AC356" i="19"/>
  <c r="AE358" i="19"/>
  <c r="AC124" i="19"/>
  <c r="AD125" i="19"/>
  <c r="AF127" i="19"/>
  <c r="AH129" i="19"/>
  <c r="AG128" i="19"/>
  <c r="AE126" i="19"/>
  <c r="AH363" i="19"/>
  <c r="AD359" i="19"/>
  <c r="AG362" i="19"/>
  <c r="AE360" i="19"/>
  <c r="AC358" i="19"/>
  <c r="AF361" i="19"/>
  <c r="AC735" i="19"/>
  <c r="AE737" i="19"/>
  <c r="AG739" i="19"/>
  <c r="AD736" i="19"/>
  <c r="AF738" i="19"/>
  <c r="AH740" i="19"/>
  <c r="AF428" i="19"/>
  <c r="AE427" i="19"/>
  <c r="AG429" i="19"/>
  <c r="AD426" i="19"/>
  <c r="AH430" i="19"/>
  <c r="AC425" i="19"/>
  <c r="AG458" i="19"/>
  <c r="AH459" i="19"/>
  <c r="AC454" i="19"/>
  <c r="AD455" i="19"/>
  <c r="AF457" i="19"/>
  <c r="AE456" i="19"/>
  <c r="AH741" i="19"/>
  <c r="AD737" i="19"/>
  <c r="AF739" i="19"/>
  <c r="AC736" i="19"/>
  <c r="AE738" i="19"/>
  <c r="AG740" i="19"/>
  <c r="AG254" i="19"/>
  <c r="AD251" i="19"/>
  <c r="AH255" i="19"/>
  <c r="AF253" i="19"/>
  <c r="AE252" i="19"/>
  <c r="AC250" i="19"/>
  <c r="AE303" i="19"/>
  <c r="AF304" i="19"/>
  <c r="AD302" i="19"/>
  <c r="AC301" i="19"/>
  <c r="AG305" i="19"/>
  <c r="AH306" i="19"/>
  <c r="AH634" i="19"/>
  <c r="AD630" i="19"/>
  <c r="AE631" i="19"/>
  <c r="AF632" i="19"/>
  <c r="AG633" i="19"/>
  <c r="AC629" i="19"/>
  <c r="AH274" i="19"/>
  <c r="AE271" i="19"/>
  <c r="AC269" i="19"/>
  <c r="AG273" i="19"/>
  <c r="AD270" i="19"/>
  <c r="AF272" i="19"/>
  <c r="AF135" i="19"/>
  <c r="AG136" i="19"/>
  <c r="AC132" i="19"/>
  <c r="AE134" i="19"/>
  <c r="AD133" i="19"/>
  <c r="AH137" i="19"/>
  <c r="AD136" i="19"/>
  <c r="AF138" i="19"/>
  <c r="AH140" i="19"/>
  <c r="AE137" i="19"/>
  <c r="AG139" i="19"/>
  <c r="AC135" i="19"/>
  <c r="AF155" i="19"/>
  <c r="AG156" i="19"/>
  <c r="AC152" i="19"/>
  <c r="AE154" i="19"/>
  <c r="AD153" i="19"/>
  <c r="AH157" i="19"/>
  <c r="AG204" i="19"/>
  <c r="AC200" i="19"/>
  <c r="AH205" i="19"/>
  <c r="AF203" i="19"/>
  <c r="AE202" i="19"/>
  <c r="AD201" i="19"/>
  <c r="AF370" i="19"/>
  <c r="AG371" i="19"/>
  <c r="AC367" i="19"/>
  <c r="AH372" i="19"/>
  <c r="AE369" i="19"/>
  <c r="AD368" i="19"/>
  <c r="AD223" i="19"/>
  <c r="AE224" i="19"/>
  <c r="AG226" i="19"/>
  <c r="AH227" i="19"/>
  <c r="AC222" i="19"/>
  <c r="AF225" i="19"/>
  <c r="AD750" i="19"/>
  <c r="AF752" i="19"/>
  <c r="AE751" i="19"/>
  <c r="AG753" i="19"/>
  <c r="AC749" i="19"/>
  <c r="AH754" i="19"/>
  <c r="AH711" i="19"/>
  <c r="AC706" i="19"/>
  <c r="AE708" i="19"/>
  <c r="AF709" i="19"/>
  <c r="AD707" i="19"/>
  <c r="AG710" i="19"/>
  <c r="AC775" i="19"/>
  <c r="AE777" i="19"/>
  <c r="AG779" i="19"/>
  <c r="AH780" i="19"/>
  <c r="AD776" i="19"/>
  <c r="AF778" i="19"/>
  <c r="AG294" i="19"/>
  <c r="AD291" i="19"/>
  <c r="AH295" i="19"/>
  <c r="AF293" i="19"/>
  <c r="AC290" i="19"/>
  <c r="AE292" i="19"/>
  <c r="AG492" i="19"/>
  <c r="AF491" i="19"/>
  <c r="AE490" i="19"/>
  <c r="AC488" i="19"/>
  <c r="AH493" i="19"/>
  <c r="AD489" i="19"/>
  <c r="AG195" i="19"/>
  <c r="AH196" i="19"/>
  <c r="AF194" i="19"/>
  <c r="AD192" i="19"/>
  <c r="AC191" i="19"/>
  <c r="AE193" i="19"/>
  <c r="AG314" i="19"/>
  <c r="AF313" i="19"/>
  <c r="AH315" i="19"/>
  <c r="AC310" i="19"/>
  <c r="AD311" i="19"/>
  <c r="AE312" i="19"/>
  <c r="AC476" i="19"/>
  <c r="AF479" i="19"/>
  <c r="AE478" i="19"/>
  <c r="AG480" i="19"/>
  <c r="AD477" i="19"/>
  <c r="AH481" i="19"/>
  <c r="AD352" i="19"/>
  <c r="AH356" i="19"/>
  <c r="AG355" i="19"/>
  <c r="AC351" i="19"/>
  <c r="AF354" i="19"/>
  <c r="AE353" i="19"/>
  <c r="AF67" i="19"/>
  <c r="AG68" i="19"/>
  <c r="AC64" i="19"/>
  <c r="AD65" i="19"/>
  <c r="AE66" i="19"/>
  <c r="AH69" i="19"/>
  <c r="AF207" i="19"/>
  <c r="AG208" i="19"/>
  <c r="AE206" i="19"/>
  <c r="AC204" i="19"/>
  <c r="AD205" i="19"/>
  <c r="AH209" i="19"/>
  <c r="AX8" i="19"/>
  <c r="AZ8" i="19" s="1"/>
  <c r="AX9" i="19"/>
  <c r="AZ9" i="19" s="1"/>
  <c r="AD40" i="20"/>
  <c r="AD39" i="20"/>
  <c r="AF794" i="19"/>
  <c r="AD792" i="19"/>
  <c r="AG795" i="19"/>
  <c r="AE793" i="19"/>
  <c r="AC791" i="19"/>
  <c r="AH796" i="19"/>
  <c r="AD253" i="19"/>
  <c r="AC252" i="19"/>
  <c r="AE254" i="19"/>
  <c r="AF255" i="19"/>
  <c r="AH257" i="19"/>
  <c r="AG256" i="19"/>
  <c r="AG99" i="19"/>
  <c r="AE97" i="19"/>
  <c r="AH100" i="19"/>
  <c r="AC95" i="19"/>
  <c r="AD96" i="19"/>
  <c r="AF98" i="19"/>
  <c r="AG244" i="19"/>
  <c r="AC240" i="19"/>
  <c r="AE242" i="19"/>
  <c r="AF243" i="19"/>
  <c r="AH245" i="19"/>
  <c r="AD241" i="19"/>
  <c r="AG671" i="19"/>
  <c r="AD668" i="19"/>
  <c r="AH672" i="19"/>
  <c r="AE669" i="19"/>
  <c r="AF670" i="19"/>
  <c r="AC667" i="19"/>
  <c r="AC496" i="19"/>
  <c r="AD497" i="19"/>
  <c r="AH501" i="19"/>
  <c r="AE498" i="19"/>
  <c r="AG500" i="19"/>
  <c r="AF499" i="19"/>
  <c r="AC690" i="19"/>
  <c r="AF693" i="19"/>
  <c r="AE692" i="19"/>
  <c r="AH695" i="19"/>
  <c r="AD691" i="19"/>
  <c r="AG694" i="19"/>
  <c r="AD638" i="19"/>
  <c r="AE639" i="19"/>
  <c r="AG641" i="19"/>
  <c r="AH642" i="19"/>
  <c r="AC637" i="19"/>
  <c r="AF640" i="19"/>
  <c r="AF80" i="19"/>
  <c r="AC77" i="19"/>
  <c r="AH82" i="19"/>
  <c r="AD78" i="19"/>
  <c r="AG81" i="19"/>
  <c r="AE79" i="19"/>
  <c r="AD548" i="19"/>
  <c r="AE549" i="19"/>
  <c r="AH552" i="19"/>
  <c r="AC547" i="19"/>
  <c r="AF550" i="19"/>
  <c r="AG551" i="19"/>
  <c r="AD151" i="19"/>
  <c r="AG154" i="19"/>
  <c r="AH155" i="19"/>
  <c r="AE152" i="19"/>
  <c r="AF153" i="19"/>
  <c r="AC150" i="19"/>
  <c r="AG140" i="19"/>
  <c r="AH141" i="19"/>
  <c r="AE138" i="19"/>
  <c r="AC136" i="19"/>
  <c r="AD137" i="19"/>
  <c r="AF139" i="19"/>
  <c r="AG259" i="19"/>
  <c r="AH260" i="19"/>
  <c r="AF258" i="19"/>
  <c r="AD256" i="19"/>
  <c r="AC255" i="19"/>
  <c r="AE257" i="19"/>
  <c r="AG614" i="19"/>
  <c r="AF613" i="19"/>
  <c r="AH615" i="19"/>
  <c r="AE612" i="19"/>
  <c r="AC610" i="19"/>
  <c r="AD611" i="19"/>
  <c r="AG664" i="19"/>
  <c r="AF663" i="19"/>
  <c r="AC660" i="19"/>
  <c r="AE662" i="19"/>
  <c r="AH665" i="19"/>
  <c r="AD661" i="19"/>
  <c r="AE765" i="19"/>
  <c r="AF766" i="19"/>
  <c r="AD764" i="19"/>
  <c r="AC763" i="19"/>
  <c r="AG767" i="19"/>
  <c r="AH768" i="19"/>
  <c r="AH654" i="19"/>
  <c r="AD650" i="19"/>
  <c r="AF652" i="19"/>
  <c r="AC649" i="19"/>
  <c r="AG653" i="19"/>
  <c r="AE651" i="19"/>
  <c r="AF18" i="19"/>
  <c r="AH20" i="19"/>
  <c r="AC15" i="19"/>
  <c r="AE17" i="19"/>
  <c r="AD16" i="19"/>
  <c r="AG19" i="19"/>
  <c r="AE268" i="19"/>
  <c r="AF269" i="19"/>
  <c r="AG270" i="19"/>
  <c r="AD267" i="19"/>
  <c r="AH271" i="19"/>
  <c r="AC266" i="19"/>
  <c r="AG552" i="19"/>
  <c r="AC548" i="19"/>
  <c r="AF551" i="19"/>
  <c r="AH553" i="19"/>
  <c r="AE550" i="19"/>
  <c r="AD549" i="19"/>
  <c r="AE175" i="19"/>
  <c r="AD174" i="19"/>
  <c r="AF176" i="19"/>
  <c r="AC173" i="19"/>
  <c r="AH178" i="19"/>
  <c r="AG177" i="19"/>
  <c r="AG234" i="19"/>
  <c r="AH235" i="19"/>
  <c r="AF233" i="19"/>
  <c r="AC230" i="19"/>
  <c r="AD231" i="19"/>
  <c r="AE232" i="19"/>
  <c r="AF17" i="19"/>
  <c r="AD15" i="19"/>
  <c r="AE16" i="19"/>
  <c r="AG18" i="19"/>
  <c r="AH19" i="19"/>
  <c r="AC14" i="19"/>
  <c r="AG33" i="19"/>
  <c r="AE31" i="19"/>
  <c r="AF32" i="19"/>
  <c r="AC29" i="19"/>
  <c r="AH34" i="19"/>
  <c r="AD30" i="19"/>
  <c r="AF136" i="19"/>
  <c r="AH138" i="19"/>
  <c r="AD134" i="19"/>
  <c r="AC133" i="19"/>
  <c r="AE135" i="19"/>
  <c r="AG137" i="19"/>
  <c r="AC238" i="19"/>
  <c r="AE240" i="19"/>
  <c r="AG242" i="19"/>
  <c r="AH243" i="19"/>
  <c r="AF241" i="19"/>
  <c r="AD239" i="19"/>
  <c r="AE806" i="19"/>
  <c r="AH809" i="19"/>
  <c r="AF807" i="19"/>
  <c r="AC804" i="19"/>
  <c r="AD805" i="19"/>
  <c r="AG808" i="19"/>
  <c r="AC303" i="19"/>
  <c r="AE305" i="19"/>
  <c r="AG307" i="19"/>
  <c r="AD304" i="19"/>
  <c r="AF306" i="19"/>
  <c r="AH308" i="19"/>
  <c r="AG239" i="19"/>
  <c r="AD236" i="19"/>
  <c r="AC235" i="19"/>
  <c r="AH240" i="19"/>
  <c r="AE237" i="19"/>
  <c r="AF238" i="19"/>
  <c r="AE248" i="19"/>
  <c r="AH251" i="19"/>
  <c r="AG250" i="19"/>
  <c r="AF249" i="19"/>
  <c r="AC246" i="19"/>
  <c r="AD247" i="19"/>
  <c r="AE784" i="19"/>
  <c r="AF785" i="19"/>
  <c r="AH787" i="19"/>
  <c r="AG786" i="19"/>
  <c r="AD783" i="19"/>
  <c r="AC782" i="19"/>
  <c r="AF634" i="19"/>
  <c r="AH636" i="19"/>
  <c r="AE633" i="19"/>
  <c r="AG635" i="19"/>
  <c r="AC631" i="19"/>
  <c r="AD632" i="19"/>
  <c r="AG50" i="19"/>
  <c r="AE48" i="19"/>
  <c r="AC46" i="19"/>
  <c r="AD47" i="19"/>
  <c r="AF49" i="19"/>
  <c r="AH51" i="19"/>
  <c r="AG274" i="19"/>
  <c r="AD271" i="19"/>
  <c r="AH275" i="19"/>
  <c r="AF273" i="19"/>
  <c r="AE272" i="19"/>
  <c r="AC270" i="19"/>
  <c r="AG624" i="19"/>
  <c r="AD621" i="19"/>
  <c r="AF623" i="19"/>
  <c r="AE622" i="19"/>
  <c r="AC620" i="19"/>
  <c r="AH625" i="19"/>
  <c r="AH43" i="19"/>
  <c r="AE40" i="19"/>
  <c r="AC38" i="19"/>
  <c r="AF41" i="19"/>
  <c r="AG42" i="19"/>
  <c r="AD39" i="19"/>
  <c r="AG701" i="19"/>
  <c r="AC697" i="19"/>
  <c r="AH702" i="19"/>
  <c r="AE699" i="19"/>
  <c r="AF700" i="19"/>
  <c r="AD698" i="19"/>
  <c r="AG711" i="19"/>
  <c r="AH712" i="19"/>
  <c r="AD708" i="19"/>
  <c r="AE709" i="19"/>
  <c r="AC707" i="19"/>
  <c r="AF710" i="19"/>
  <c r="AC273" i="19"/>
  <c r="AE275" i="19"/>
  <c r="AF276" i="19"/>
  <c r="AG277" i="19"/>
  <c r="AD274" i="19"/>
  <c r="AH278" i="19"/>
  <c r="AD695" i="19"/>
  <c r="AF697" i="19"/>
  <c r="AH699" i="19"/>
  <c r="AC694" i="19"/>
  <c r="AG698" i="19"/>
  <c r="AE696" i="19"/>
  <c r="AH294" i="19"/>
  <c r="AD290" i="19"/>
  <c r="AG293" i="19"/>
  <c r="AE291" i="19"/>
  <c r="AC289" i="19"/>
  <c r="AF292" i="19"/>
  <c r="AE675" i="19"/>
  <c r="AF676" i="19"/>
  <c r="AD674" i="19"/>
  <c r="AH678" i="19"/>
  <c r="AC673" i="19"/>
  <c r="AG677" i="19"/>
  <c r="AD648" i="19"/>
  <c r="AE649" i="19"/>
  <c r="AC647" i="19"/>
  <c r="AH652" i="19"/>
  <c r="AF650" i="19"/>
  <c r="AG651" i="19"/>
  <c r="AC653" i="19"/>
  <c r="AE655" i="19"/>
  <c r="AG657" i="19"/>
  <c r="AF656" i="19"/>
  <c r="AH658" i="19"/>
  <c r="AD654" i="19"/>
  <c r="AE328" i="19"/>
  <c r="AF329" i="19"/>
  <c r="AD327" i="19"/>
  <c r="AC326" i="19"/>
  <c r="AG330" i="19"/>
  <c r="AH331" i="19"/>
  <c r="AH771" i="19"/>
  <c r="AC766" i="19"/>
  <c r="AE768" i="19"/>
  <c r="AG770" i="19"/>
  <c r="AD767" i="19"/>
  <c r="AF769" i="19"/>
  <c r="AD506" i="19"/>
  <c r="AE507" i="19"/>
  <c r="AG509" i="19"/>
  <c r="AH510" i="19"/>
  <c r="AF508" i="19"/>
  <c r="AC505" i="19"/>
  <c r="AH701" i="19"/>
  <c r="AD697" i="19"/>
  <c r="AF699" i="19"/>
  <c r="AC696" i="19"/>
  <c r="AG700" i="19"/>
  <c r="AE698" i="19"/>
  <c r="AG580" i="19"/>
  <c r="AC576" i="19"/>
  <c r="AF579" i="19"/>
  <c r="AH581" i="19"/>
  <c r="AE578" i="19"/>
  <c r="AD577" i="19"/>
  <c r="AH438" i="19"/>
  <c r="AE435" i="19"/>
  <c r="AG437" i="19"/>
  <c r="AF436" i="19"/>
  <c r="AD434" i="19"/>
  <c r="AC433" i="19"/>
  <c r="AD653" i="19"/>
  <c r="AE654" i="19"/>
  <c r="AH657" i="19"/>
  <c r="AC652" i="19"/>
  <c r="AF655" i="19"/>
  <c r="AG656" i="19"/>
  <c r="AF619" i="19"/>
  <c r="AH621" i="19"/>
  <c r="AC616" i="19"/>
  <c r="AG620" i="19"/>
  <c r="AD617" i="19"/>
  <c r="AE618" i="19"/>
  <c r="AH584" i="19"/>
  <c r="AG583" i="19"/>
  <c r="AC579" i="19"/>
  <c r="AE581" i="19"/>
  <c r="AD580" i="19"/>
  <c r="AF582" i="19"/>
  <c r="AH244" i="19"/>
  <c r="AD240" i="19"/>
  <c r="AF242" i="19"/>
  <c r="AE241" i="19"/>
  <c r="AG243" i="19"/>
  <c r="AC239" i="19"/>
  <c r="AD538" i="19"/>
  <c r="AH542" i="19"/>
  <c r="AF540" i="19"/>
  <c r="AC537" i="19"/>
  <c r="AG541" i="19"/>
  <c r="AE539" i="19"/>
  <c r="AC725" i="19"/>
  <c r="AD726" i="19"/>
  <c r="AF728" i="19"/>
  <c r="AH730" i="19"/>
  <c r="AG729" i="19"/>
  <c r="AE727" i="19"/>
  <c r="AG781" i="19"/>
  <c r="AC777" i="19"/>
  <c r="AF780" i="19"/>
  <c r="AH782" i="19"/>
  <c r="AD778" i="19"/>
  <c r="AE779" i="19"/>
  <c r="AD303" i="19"/>
  <c r="AH307" i="19"/>
  <c r="AC302" i="19"/>
  <c r="AE304" i="19"/>
  <c r="AF305" i="19"/>
  <c r="AG306" i="19"/>
  <c r="AG766" i="19"/>
  <c r="AH767" i="19"/>
  <c r="AD763" i="19"/>
  <c r="AC762" i="19"/>
  <c r="AF765" i="19"/>
  <c r="AE764" i="19"/>
  <c r="AC475" i="19"/>
  <c r="AF478" i="19"/>
  <c r="AH480" i="19"/>
  <c r="AG479" i="19"/>
  <c r="AE477" i="19"/>
  <c r="AD476" i="19"/>
  <c r="AG155" i="19"/>
  <c r="AH156" i="19"/>
  <c r="AF154" i="19"/>
  <c r="AD152" i="19"/>
  <c r="AC151" i="19"/>
  <c r="AE153" i="19"/>
  <c r="AC268" i="19"/>
  <c r="AE270" i="19"/>
  <c r="AH273" i="19"/>
  <c r="AF271" i="19"/>
  <c r="AD269" i="19"/>
  <c r="AG272" i="19"/>
  <c r="AF538" i="19"/>
  <c r="AG539" i="19"/>
  <c r="AC535" i="19"/>
  <c r="AH540" i="19"/>
  <c r="AD536" i="19"/>
  <c r="AE537" i="19"/>
  <c r="AD278" i="19"/>
  <c r="AH282" i="19"/>
  <c r="AF280" i="19"/>
  <c r="AG281" i="19"/>
  <c r="AC277" i="19"/>
  <c r="AE279" i="19"/>
  <c r="AD273" i="19"/>
  <c r="AC272" i="19"/>
  <c r="AG276" i="19"/>
  <c r="AH277" i="19"/>
  <c r="AE274" i="19"/>
  <c r="AF275" i="19"/>
  <c r="AH214" i="19"/>
  <c r="AE211" i="19"/>
  <c r="AD210" i="19"/>
  <c r="AC209" i="19"/>
  <c r="AF212" i="19"/>
  <c r="AG213" i="19"/>
  <c r="AE796" i="19"/>
  <c r="AC794" i="19"/>
  <c r="AG798" i="19"/>
  <c r="AH799" i="19"/>
  <c r="AD795" i="19"/>
  <c r="AF797" i="19"/>
  <c r="AD715" i="19"/>
  <c r="AF717" i="19"/>
  <c r="AH719" i="19"/>
  <c r="AC714" i="19"/>
  <c r="AG718" i="19"/>
  <c r="AE716" i="19"/>
  <c r="AH353" i="19"/>
  <c r="AC348" i="19"/>
  <c r="AE350" i="19"/>
  <c r="AG352" i="19"/>
  <c r="AD349" i="19"/>
  <c r="AF351" i="19"/>
  <c r="AH664" i="19"/>
  <c r="AD660" i="19"/>
  <c r="AG663" i="19"/>
  <c r="AF662" i="19"/>
  <c r="AC659" i="19"/>
  <c r="AE661" i="19"/>
  <c r="AC278" i="19"/>
  <c r="AE280" i="19"/>
  <c r="AG282" i="19"/>
  <c r="AF281" i="19"/>
  <c r="AH283" i="19"/>
  <c r="AD279" i="19"/>
  <c r="AH32" i="19"/>
  <c r="AC27" i="19"/>
  <c r="AG31" i="19"/>
  <c r="AE29" i="19"/>
  <c r="AD28" i="19"/>
  <c r="AF30" i="19"/>
  <c r="AG75" i="19"/>
  <c r="AH76" i="19"/>
  <c r="AD72" i="19"/>
  <c r="AF74" i="19"/>
  <c r="AE73" i="19"/>
  <c r="AC71" i="19"/>
  <c r="AH339" i="19"/>
  <c r="AG338" i="19"/>
  <c r="AD335" i="19"/>
  <c r="AF337" i="19"/>
  <c r="AE336" i="19"/>
  <c r="AC334" i="19"/>
  <c r="AF811" i="19"/>
  <c r="AD809" i="19"/>
  <c r="AH813" i="19"/>
  <c r="AE810" i="19"/>
  <c r="AC808" i="19"/>
  <c r="AG812" i="19"/>
  <c r="AH418" i="19"/>
  <c r="AC413" i="19"/>
  <c r="AG417" i="19"/>
  <c r="AD414" i="19"/>
  <c r="AE415" i="19"/>
  <c r="AF416" i="19"/>
  <c r="AC125" i="19"/>
  <c r="AG129" i="19"/>
  <c r="AH130" i="19"/>
  <c r="AE127" i="19"/>
  <c r="AF128" i="19"/>
  <c r="AD126" i="19"/>
  <c r="AC114" i="19"/>
  <c r="AD115" i="19"/>
  <c r="AF117" i="19"/>
  <c r="AG118" i="19"/>
  <c r="AH119" i="19"/>
  <c r="AE116" i="19"/>
  <c r="AD402" i="19"/>
  <c r="AE403" i="19"/>
  <c r="AF404" i="19"/>
  <c r="AH406" i="19"/>
  <c r="AC401" i="19"/>
  <c r="AG405" i="19"/>
  <c r="AC382" i="19"/>
  <c r="AD383" i="19"/>
  <c r="AE384" i="19"/>
  <c r="AG386" i="19"/>
  <c r="AF385" i="19"/>
  <c r="AH387" i="19"/>
  <c r="I13" i="11"/>
  <c r="D15" i="15"/>
  <c r="AB76" i="16"/>
  <c r="AG761" i="19"/>
  <c r="AC757" i="19"/>
  <c r="AF760" i="19"/>
  <c r="AH762" i="19"/>
  <c r="AE759" i="19"/>
  <c r="AD758" i="19"/>
  <c r="AC658" i="19"/>
  <c r="AH663" i="19"/>
  <c r="AE660" i="19"/>
  <c r="AG662" i="19"/>
  <c r="AD659" i="19"/>
  <c r="AF661" i="19"/>
  <c r="AE685" i="19"/>
  <c r="AF686" i="19"/>
  <c r="AD684" i="19"/>
  <c r="AC683" i="19"/>
  <c r="AG687" i="19"/>
  <c r="AH688" i="19"/>
  <c r="AH716" i="19"/>
  <c r="AF714" i="19"/>
  <c r="AE713" i="19"/>
  <c r="AD712" i="19"/>
  <c r="AC711" i="19"/>
  <c r="AG715" i="19"/>
  <c r="AH239" i="19"/>
  <c r="AD235" i="19"/>
  <c r="AC234" i="19"/>
  <c r="AF237" i="19"/>
  <c r="AE236" i="19"/>
  <c r="AG238" i="19"/>
  <c r="AH264" i="19"/>
  <c r="AD260" i="19"/>
  <c r="AF262" i="19"/>
  <c r="AC259" i="19"/>
  <c r="AE261" i="19"/>
  <c r="AG263" i="19"/>
  <c r="AD313" i="19"/>
  <c r="AC312" i="19"/>
  <c r="AH317" i="19"/>
  <c r="AF315" i="19"/>
  <c r="AE314" i="19"/>
  <c r="AG316" i="19"/>
  <c r="AC34" i="19"/>
  <c r="AH39" i="19"/>
  <c r="AD35" i="19"/>
  <c r="AG38" i="19"/>
  <c r="AF37" i="19"/>
  <c r="AE36" i="19"/>
  <c r="AD457" i="19"/>
  <c r="AE458" i="19"/>
  <c r="AG460" i="19"/>
  <c r="AH461" i="19"/>
  <c r="AF459" i="19"/>
  <c r="AC456" i="19"/>
  <c r="AH544" i="19"/>
  <c r="AF542" i="19"/>
  <c r="AC539" i="19"/>
  <c r="AD540" i="19"/>
  <c r="AG543" i="19"/>
  <c r="AE541" i="19"/>
  <c r="AC84" i="19"/>
  <c r="AD85" i="19"/>
  <c r="AH89" i="19"/>
  <c r="AE86" i="19"/>
  <c r="AG88" i="19"/>
  <c r="AF87" i="19"/>
  <c r="AC109" i="19"/>
  <c r="AD110" i="19"/>
  <c r="AG113" i="19"/>
  <c r="AH114" i="19"/>
  <c r="AF112" i="19"/>
  <c r="AE111" i="19"/>
  <c r="AF629" i="19"/>
  <c r="AH631" i="19"/>
  <c r="AD627" i="19"/>
  <c r="AE628" i="19"/>
  <c r="AC626" i="19"/>
  <c r="AG630" i="19"/>
  <c r="AE791" i="19"/>
  <c r="AF792" i="19"/>
  <c r="AH794" i="19"/>
  <c r="AG793" i="19"/>
  <c r="AC789" i="19"/>
  <c r="AD790" i="19"/>
  <c r="AH360" i="19"/>
  <c r="AD356" i="19"/>
  <c r="AE357" i="19"/>
  <c r="AG359" i="19"/>
  <c r="AC355" i="19"/>
  <c r="AF358" i="19"/>
  <c r="AC139" i="19"/>
  <c r="AD140" i="19"/>
  <c r="AF142" i="19"/>
  <c r="AH144" i="19"/>
  <c r="AG143" i="19"/>
  <c r="AE141" i="19"/>
  <c r="AF171" i="19"/>
  <c r="AG172" i="19"/>
  <c r="AE170" i="19"/>
  <c r="AH173" i="19"/>
  <c r="AC168" i="19"/>
  <c r="AD169" i="19"/>
  <c r="AE293" i="19"/>
  <c r="AF294" i="19"/>
  <c r="AC291" i="19"/>
  <c r="AH296" i="19"/>
  <c r="AG295" i="19"/>
  <c r="AD292" i="19"/>
  <c r="AG807" i="19"/>
  <c r="AF806" i="19"/>
  <c r="AD804" i="19"/>
  <c r="AC803" i="19"/>
  <c r="AE805" i="19"/>
  <c r="AH808" i="19"/>
  <c r="AF185" i="19"/>
  <c r="AC182" i="19"/>
  <c r="AG186" i="19"/>
  <c r="AD183" i="19"/>
  <c r="AH187" i="19"/>
  <c r="AE184" i="19"/>
  <c r="AG741" i="19"/>
  <c r="AC737" i="19"/>
  <c r="AH742" i="19"/>
  <c r="AF740" i="19"/>
  <c r="AD738" i="19"/>
  <c r="AE739" i="19"/>
  <c r="AF100" i="19"/>
  <c r="AH102" i="19"/>
  <c r="AG101" i="19"/>
  <c r="AD98" i="19"/>
  <c r="AE99" i="19"/>
  <c r="AC97" i="19"/>
  <c r="AH609" i="19"/>
  <c r="AD605" i="19"/>
  <c r="AC604" i="19"/>
  <c r="AF607" i="19"/>
  <c r="AG608" i="19"/>
  <c r="AE606" i="19"/>
  <c r="AE775" i="19"/>
  <c r="AF776" i="19"/>
  <c r="AC773" i="19"/>
  <c r="AD774" i="19"/>
  <c r="AG777" i="19"/>
  <c r="AH778" i="19"/>
  <c r="AH403" i="19"/>
  <c r="AF401" i="19"/>
  <c r="AD399" i="19"/>
  <c r="AE400" i="19"/>
  <c r="AG402" i="19"/>
  <c r="AC398" i="19"/>
  <c r="AD780" i="19"/>
  <c r="AH784" i="19"/>
  <c r="AG783" i="19"/>
  <c r="AF782" i="19"/>
  <c r="AE781" i="19"/>
  <c r="AC779" i="19"/>
  <c r="AG477" i="19"/>
  <c r="AF476" i="19"/>
  <c r="AH478" i="19"/>
  <c r="AE475" i="19"/>
  <c r="AD474" i="19"/>
  <c r="AC473" i="19"/>
  <c r="AG180" i="19"/>
  <c r="AH181" i="19"/>
  <c r="AC176" i="19"/>
  <c r="AF179" i="19"/>
  <c r="AE178" i="19"/>
  <c r="AD177" i="19"/>
  <c r="AF125" i="19"/>
  <c r="AH127" i="19"/>
  <c r="AD123" i="19"/>
  <c r="AG126" i="19"/>
  <c r="AE124" i="19"/>
  <c r="AC122" i="19"/>
  <c r="AC308" i="19"/>
  <c r="AE310" i="19"/>
  <c r="AD309" i="19"/>
  <c r="AF311" i="19"/>
  <c r="AG312" i="19"/>
  <c r="AH313" i="19"/>
  <c r="AG229" i="19"/>
  <c r="AF228" i="19"/>
  <c r="AH230" i="19"/>
  <c r="AC225" i="19"/>
  <c r="AD226" i="19"/>
  <c r="AE227" i="19"/>
  <c r="AF463" i="19"/>
  <c r="AH465" i="19"/>
  <c r="AC460" i="19"/>
  <c r="AG464" i="19"/>
  <c r="AD461" i="19"/>
  <c r="AE462" i="19"/>
  <c r="AG453" i="19"/>
  <c r="AH454" i="19"/>
  <c r="AF452" i="19"/>
  <c r="AC449" i="19"/>
  <c r="AE451" i="19"/>
  <c r="AD450" i="19"/>
  <c r="AE720" i="19"/>
  <c r="AF721" i="19"/>
  <c r="AG722" i="19"/>
  <c r="AH723" i="19"/>
  <c r="AC718" i="19"/>
  <c r="AD719" i="19"/>
  <c r="AG353" i="19"/>
  <c r="AH354" i="19"/>
  <c r="AF352" i="19"/>
  <c r="AC349" i="19"/>
  <c r="AD350" i="19"/>
  <c r="AE351" i="19"/>
  <c r="AF57" i="19"/>
  <c r="AC54" i="19"/>
  <c r="AG58" i="19"/>
  <c r="AD55" i="19"/>
  <c r="AE56" i="19"/>
  <c r="AH59" i="19"/>
  <c r="AC113" i="19"/>
  <c r="AH118" i="19"/>
  <c r="AE115" i="19"/>
  <c r="AF116" i="19"/>
  <c r="AG117" i="19"/>
  <c r="AD114" i="19"/>
  <c r="AC526" i="19"/>
  <c r="AD527" i="19"/>
  <c r="AE528" i="19"/>
  <c r="AG530" i="19"/>
  <c r="AF529" i="19"/>
  <c r="AH531" i="19"/>
  <c r="AG776" i="19"/>
  <c r="AF775" i="19"/>
  <c r="AC772" i="19"/>
  <c r="AD773" i="19"/>
  <c r="AE774" i="19"/>
  <c r="AH777" i="19"/>
  <c r="AH686" i="19"/>
  <c r="AF684" i="19"/>
  <c r="AE683" i="19"/>
  <c r="AC681" i="19"/>
  <c r="AD682" i="19"/>
  <c r="AG685" i="19"/>
  <c r="AG433" i="19"/>
  <c r="AH434" i="19"/>
  <c r="AD430" i="19"/>
  <c r="AF432" i="19"/>
  <c r="AE431" i="19"/>
  <c r="AC429" i="19"/>
  <c r="AG120" i="19"/>
  <c r="AH121" i="19"/>
  <c r="AF119" i="19"/>
  <c r="AD117" i="19"/>
  <c r="AE118" i="19"/>
  <c r="AC116" i="19"/>
  <c r="AG199" i="19"/>
  <c r="AD196" i="19"/>
  <c r="AH200" i="19"/>
  <c r="AF198" i="19"/>
  <c r="AC195" i="19"/>
  <c r="AE197" i="19"/>
  <c r="AD593" i="19"/>
  <c r="AE594" i="19"/>
  <c r="AG596" i="19"/>
  <c r="AC592" i="19"/>
  <c r="AF595" i="19"/>
  <c r="AH597" i="19"/>
  <c r="AE218" i="19"/>
  <c r="AF219" i="19"/>
  <c r="AC216" i="19"/>
  <c r="AH221" i="19"/>
  <c r="AG220" i="19"/>
  <c r="AD217" i="19"/>
  <c r="AF604" i="19"/>
  <c r="AH606" i="19"/>
  <c r="AD602" i="19"/>
  <c r="AG605" i="19"/>
  <c r="AE603" i="19"/>
  <c r="AC601" i="19"/>
  <c r="AF453" i="19"/>
  <c r="AE452" i="19"/>
  <c r="AG454" i="19"/>
  <c r="AD451" i="19"/>
  <c r="AH455" i="19"/>
  <c r="AC450" i="19"/>
  <c r="AH497" i="19"/>
  <c r="AD493" i="19"/>
  <c r="AC492" i="19"/>
  <c r="AG496" i="19"/>
  <c r="AE494" i="19"/>
  <c r="AF495" i="19"/>
  <c r="AC680" i="19"/>
  <c r="AH685" i="19"/>
  <c r="AG684" i="19"/>
  <c r="AF683" i="19"/>
  <c r="AD681" i="19"/>
  <c r="AE682" i="19"/>
  <c r="AE811" i="19"/>
  <c r="AC809" i="19"/>
  <c r="AG813" i="19"/>
  <c r="AD810" i="19"/>
  <c r="AF812" i="19"/>
  <c r="AH814" i="19"/>
  <c r="AD323" i="19"/>
  <c r="AE324" i="19"/>
  <c r="AC322" i="19"/>
  <c r="AH327" i="19"/>
  <c r="AG326" i="19"/>
  <c r="AF325" i="19"/>
  <c r="AF609" i="19"/>
  <c r="AH611" i="19"/>
  <c r="AE608" i="19"/>
  <c r="AG610" i="19"/>
  <c r="AD607" i="19"/>
  <c r="AC606" i="19"/>
  <c r="AF211" i="19"/>
  <c r="AH213" i="19"/>
  <c r="AC208" i="19"/>
  <c r="AE210" i="19"/>
  <c r="AD209" i="19"/>
  <c r="AG212" i="19"/>
  <c r="AH56" i="19"/>
  <c r="AE53" i="19"/>
  <c r="AD52" i="19"/>
  <c r="AG55" i="19"/>
  <c r="AC51" i="19"/>
  <c r="AF54" i="19"/>
  <c r="AD27" i="19"/>
  <c r="AF29" i="19"/>
  <c r="AE28" i="19"/>
  <c r="AH31" i="19"/>
  <c r="AC26" i="19"/>
  <c r="AG30" i="19"/>
  <c r="AD735" i="19"/>
  <c r="AF737" i="19"/>
  <c r="AH739" i="19"/>
  <c r="AC734" i="19"/>
  <c r="AE736" i="19"/>
  <c r="AG738" i="19"/>
  <c r="AD396" i="19"/>
  <c r="AH400" i="19"/>
  <c r="AG399" i="19"/>
  <c r="AC395" i="19"/>
  <c r="AF398" i="19"/>
  <c r="AE397" i="19"/>
  <c r="AF140" i="19"/>
  <c r="AH142" i="19"/>
  <c r="AD138" i="19"/>
  <c r="AC137" i="19"/>
  <c r="AG141" i="19"/>
  <c r="AE139" i="19"/>
  <c r="AD288" i="19"/>
  <c r="AG291" i="19"/>
  <c r="AC287" i="19"/>
  <c r="AE289" i="19"/>
  <c r="AF290" i="19"/>
  <c r="AH292" i="19"/>
  <c r="AH377" i="19"/>
  <c r="AD373" i="19"/>
  <c r="AC372" i="19"/>
  <c r="AG376" i="19"/>
  <c r="AF375" i="19"/>
  <c r="AE374" i="19"/>
  <c r="AE125" i="19"/>
  <c r="AG127" i="19"/>
  <c r="AC123" i="19"/>
  <c r="AH128" i="19"/>
  <c r="AF126" i="19"/>
  <c r="AD124" i="19"/>
  <c r="AE338" i="19"/>
  <c r="AF339" i="19"/>
  <c r="AG340" i="19"/>
  <c r="AH341" i="19"/>
  <c r="AC336" i="19"/>
  <c r="AD337" i="19"/>
  <c r="AE715" i="19"/>
  <c r="AF716" i="19"/>
  <c r="AD714" i="19"/>
  <c r="AC713" i="19"/>
  <c r="AH718" i="19"/>
  <c r="AG717" i="19"/>
  <c r="AE162" i="19"/>
  <c r="AC160" i="19"/>
  <c r="AG164" i="19"/>
  <c r="AF163" i="19"/>
  <c r="AD161" i="19"/>
  <c r="AH165" i="19"/>
  <c r="AF44" i="19"/>
  <c r="AE43" i="19"/>
  <c r="AD42" i="19"/>
  <c r="AC41" i="19"/>
  <c r="AH46" i="19"/>
  <c r="AG45" i="19"/>
  <c r="AE538" i="19"/>
  <c r="AH541" i="19"/>
  <c r="AG540" i="19"/>
  <c r="AC536" i="19"/>
  <c r="AD537" i="19"/>
  <c r="AF539" i="19"/>
  <c r="AF78" i="19"/>
  <c r="AD76" i="19"/>
  <c r="AH80" i="19"/>
  <c r="AC75" i="19"/>
  <c r="AE77" i="19"/>
  <c r="AG79" i="19"/>
  <c r="AF649" i="19"/>
  <c r="AH651" i="19"/>
  <c r="AG650" i="19"/>
  <c r="AC646" i="19"/>
  <c r="AE648" i="19"/>
  <c r="AD647" i="19"/>
  <c r="AD243" i="19"/>
  <c r="AG246" i="19"/>
  <c r="AE244" i="19"/>
  <c r="AC242" i="19"/>
  <c r="AH247" i="19"/>
  <c r="AF245" i="19"/>
  <c r="AG200" i="19"/>
  <c r="AH201" i="19"/>
  <c r="AD197" i="19"/>
  <c r="AC196" i="19"/>
  <c r="AF199" i="19"/>
  <c r="AE198" i="19"/>
  <c r="AD442" i="19"/>
  <c r="AE443" i="19"/>
  <c r="AH446" i="19"/>
  <c r="AC441" i="19"/>
  <c r="AG445" i="19"/>
  <c r="AF444" i="19"/>
  <c r="AH659" i="19"/>
  <c r="AD655" i="19"/>
  <c r="AE656" i="19"/>
  <c r="AG658" i="19"/>
  <c r="AF657" i="19"/>
  <c r="AC654" i="19"/>
  <c r="AD796" i="19"/>
  <c r="AF798" i="19"/>
  <c r="AE797" i="19"/>
  <c r="AC795" i="19"/>
  <c r="AH800" i="19"/>
  <c r="AG799" i="19"/>
  <c r="AE755" i="19"/>
  <c r="AF756" i="19"/>
  <c r="AC753" i="19"/>
  <c r="AD754" i="19"/>
  <c r="AH758" i="19"/>
  <c r="AG757" i="19"/>
  <c r="AG57" i="19"/>
  <c r="AF56" i="19"/>
  <c r="AD54" i="19"/>
  <c r="AH58" i="19"/>
  <c r="AE55" i="19"/>
  <c r="AC53" i="19"/>
  <c r="AF61" i="19"/>
  <c r="AC58" i="19"/>
  <c r="AD59" i="19"/>
  <c r="AE60" i="19"/>
  <c r="AG62" i="19"/>
  <c r="AH63" i="19"/>
  <c r="AG279" i="19"/>
  <c r="AH280" i="19"/>
  <c r="AD276" i="19"/>
  <c r="AF278" i="19"/>
  <c r="AC275" i="19"/>
  <c r="AE277" i="19"/>
  <c r="AG378" i="19"/>
  <c r="AH379" i="19"/>
  <c r="AE376" i="19"/>
  <c r="AC374" i="19"/>
  <c r="AF377" i="19"/>
  <c r="AD375" i="19"/>
  <c r="AE352" i="19"/>
  <c r="AH355" i="19"/>
  <c r="AC350" i="19"/>
  <c r="AF353" i="19"/>
  <c r="AG354" i="19"/>
  <c r="AD351" i="19"/>
  <c r="AF380" i="19"/>
  <c r="AE379" i="19"/>
  <c r="AG381" i="19"/>
  <c r="AH382" i="19"/>
  <c r="AD378" i="19"/>
  <c r="AC377" i="19"/>
  <c r="AX51" i="19"/>
  <c r="AZ51" i="19" s="1"/>
  <c r="BA48" i="19"/>
  <c r="AH17" i="19"/>
  <c r="AC12" i="19"/>
  <c r="AD13" i="19"/>
  <c r="AF15" i="19"/>
  <c r="AG16" i="19"/>
  <c r="AE14" i="19"/>
  <c r="AG696" i="19"/>
  <c r="AF695" i="19"/>
  <c r="AC692" i="19"/>
  <c r="AE694" i="19"/>
  <c r="AD693" i="19"/>
  <c r="AH697" i="19"/>
  <c r="AD700" i="19"/>
  <c r="AG703" i="19"/>
  <c r="AF702" i="19"/>
  <c r="AC699" i="19"/>
  <c r="AE701" i="19"/>
  <c r="AH704" i="19"/>
  <c r="AH224" i="19"/>
  <c r="AC219" i="19"/>
  <c r="AG223" i="19"/>
  <c r="AF222" i="19"/>
  <c r="AD220" i="19"/>
  <c r="AE221" i="19"/>
  <c r="AC648" i="19"/>
  <c r="AG652" i="19"/>
  <c r="AD649" i="19"/>
  <c r="AE650" i="19"/>
  <c r="AF651" i="19"/>
  <c r="AH653" i="19"/>
  <c r="AF75" i="19"/>
  <c r="AG76" i="19"/>
  <c r="AC72" i="19"/>
  <c r="AE74" i="19"/>
  <c r="AH77" i="19"/>
  <c r="AD73" i="19"/>
  <c r="AE472" i="19"/>
  <c r="AG474" i="19"/>
  <c r="AF473" i="19"/>
  <c r="AD471" i="19"/>
  <c r="AC470" i="19"/>
  <c r="AH475" i="19"/>
  <c r="AG39" i="19"/>
  <c r="AE37" i="19"/>
  <c r="AC35" i="19"/>
  <c r="AD36" i="19"/>
  <c r="AH40" i="19"/>
  <c r="AF38" i="19"/>
  <c r="AH463" i="19"/>
  <c r="AE460" i="19"/>
  <c r="AF461" i="19"/>
  <c r="AD459" i="19"/>
  <c r="AC458" i="19"/>
  <c r="AG462" i="19"/>
  <c r="AE288" i="19"/>
  <c r="AF289" i="19"/>
  <c r="AH291" i="19"/>
  <c r="AD287" i="19"/>
  <c r="AC286" i="19"/>
  <c r="AG290" i="19"/>
  <c r="AG438" i="19"/>
  <c r="AH439" i="19"/>
  <c r="AD435" i="19"/>
  <c r="AF437" i="19"/>
  <c r="AE436" i="19"/>
  <c r="AC434" i="19"/>
  <c r="AF105" i="19"/>
  <c r="AG106" i="19"/>
  <c r="AC102" i="19"/>
  <c r="AE104" i="19"/>
  <c r="AD103" i="19"/>
  <c r="AH107" i="19"/>
  <c r="AC313" i="19"/>
  <c r="AE315" i="19"/>
  <c r="AH318" i="19"/>
  <c r="AG317" i="19"/>
  <c r="AF316" i="19"/>
  <c r="AD314" i="19"/>
  <c r="AD412" i="19"/>
  <c r="AE413" i="19"/>
  <c r="AC411" i="19"/>
  <c r="AG415" i="19"/>
  <c r="AF414" i="19"/>
  <c r="AH416" i="19"/>
  <c r="AD333" i="19"/>
  <c r="AF335" i="19"/>
  <c r="AC332" i="19"/>
  <c r="AG336" i="19"/>
  <c r="AE334" i="19"/>
  <c r="AH337" i="19"/>
  <c r="AD213" i="19"/>
  <c r="AF215" i="19"/>
  <c r="AE214" i="19"/>
  <c r="AC212" i="19"/>
  <c r="AH217" i="19"/>
  <c r="AG216" i="19"/>
  <c r="AE760" i="19"/>
  <c r="AF761" i="19"/>
  <c r="AG762" i="19"/>
  <c r="AD759" i="19"/>
  <c r="AH763" i="19"/>
  <c r="AC758" i="19"/>
  <c r="AE786" i="19"/>
  <c r="AG788" i="19"/>
  <c r="AH789" i="19"/>
  <c r="AD785" i="19"/>
  <c r="AC784" i="19"/>
  <c r="AF787" i="19"/>
  <c r="AG487" i="19"/>
  <c r="AH488" i="19"/>
  <c r="AD484" i="19"/>
  <c r="AC483" i="19"/>
  <c r="AF486" i="19"/>
  <c r="AE485" i="19"/>
  <c r="AH428" i="19"/>
  <c r="AD424" i="19"/>
  <c r="AC423" i="19"/>
  <c r="AE425" i="19"/>
  <c r="AG427" i="19"/>
  <c r="AF426" i="19"/>
  <c r="AE192" i="19"/>
  <c r="AH195" i="19"/>
  <c r="AC190" i="19"/>
  <c r="AF193" i="19"/>
  <c r="AG194" i="19"/>
  <c r="AD191" i="19"/>
  <c r="AG726" i="19"/>
  <c r="AH727" i="19"/>
  <c r="AD723" i="19"/>
  <c r="AE724" i="19"/>
  <c r="AC722" i="19"/>
  <c r="AF725" i="19"/>
  <c r="AH624" i="19"/>
  <c r="AD620" i="19"/>
  <c r="AC619" i="19"/>
  <c r="AE621" i="19"/>
  <c r="AG623" i="19"/>
  <c r="AF622" i="19"/>
  <c r="AD176" i="19"/>
  <c r="AH180" i="19"/>
  <c r="AG179" i="19"/>
  <c r="AF178" i="19"/>
  <c r="AE177" i="19"/>
  <c r="AC175" i="19"/>
  <c r="AF33" i="19"/>
  <c r="AD31" i="19"/>
  <c r="AG34" i="19"/>
  <c r="AH35" i="19"/>
  <c r="AE32" i="19"/>
  <c r="AC30" i="19"/>
  <c r="AG115" i="19"/>
  <c r="AH116" i="19"/>
  <c r="AC111" i="19"/>
  <c r="AE113" i="19"/>
  <c r="AF114" i="19"/>
  <c r="AD112" i="19"/>
  <c r="AD397" i="19"/>
  <c r="AC396" i="19"/>
  <c r="AG400" i="19"/>
  <c r="AF399" i="19"/>
  <c r="AH401" i="19"/>
  <c r="AE398" i="19"/>
  <c r="AG388" i="19"/>
  <c r="AH389" i="19"/>
  <c r="AE386" i="19"/>
  <c r="AC384" i="19"/>
  <c r="AD385" i="19"/>
  <c r="AF387" i="19"/>
  <c r="AH93" i="19"/>
  <c r="AF91" i="19"/>
  <c r="AD89" i="19"/>
  <c r="AE90" i="19"/>
  <c r="AG92" i="19"/>
  <c r="AC88" i="19"/>
  <c r="AD422" i="19"/>
  <c r="AE423" i="19"/>
  <c r="AF424" i="19"/>
  <c r="AG425" i="19"/>
  <c r="AC421" i="19"/>
  <c r="AH426" i="19"/>
  <c r="AG771" i="19"/>
  <c r="AH772" i="19"/>
  <c r="AD768" i="19"/>
  <c r="AC767" i="19"/>
  <c r="AE769" i="19"/>
  <c r="AF770" i="19"/>
  <c r="AF659" i="19"/>
  <c r="AH661" i="19"/>
  <c r="AE658" i="19"/>
  <c r="AG660" i="19"/>
  <c r="AD657" i="19"/>
  <c r="AC656" i="19"/>
  <c r="AF383" i="19"/>
  <c r="AG384" i="19"/>
  <c r="AH385" i="19"/>
  <c r="AC380" i="19"/>
  <c r="AD381" i="19"/>
  <c r="AE382" i="19"/>
  <c r="AC633" i="19"/>
  <c r="AH638" i="19"/>
  <c r="AE635" i="19"/>
  <c r="AF636" i="19"/>
  <c r="AG637" i="19"/>
  <c r="AD634" i="19"/>
  <c r="AD367" i="19"/>
  <c r="AG370" i="19"/>
  <c r="AC366" i="19"/>
  <c r="AF369" i="19"/>
  <c r="AE368" i="19"/>
  <c r="AH371" i="19"/>
  <c r="AF614" i="19"/>
  <c r="AH616" i="19"/>
  <c r="AE613" i="19"/>
  <c r="AG615" i="19"/>
  <c r="AC611" i="19"/>
  <c r="AD612" i="19"/>
  <c r="AE87" i="19"/>
  <c r="AC85" i="19"/>
  <c r="AG89" i="19"/>
  <c r="AF88" i="19"/>
  <c r="AH90" i="19"/>
  <c r="AD86" i="19"/>
  <c r="AH517" i="19"/>
  <c r="AF515" i="19"/>
  <c r="AC512" i="19"/>
  <c r="AD513" i="19"/>
  <c r="AG516" i="19"/>
  <c r="AE514" i="19"/>
  <c r="AG428" i="19"/>
  <c r="AH429" i="19"/>
  <c r="AF427" i="19"/>
  <c r="AC424" i="19"/>
  <c r="AD425" i="19"/>
  <c r="AE426" i="19"/>
  <c r="AD685" i="19"/>
  <c r="AG688" i="19"/>
  <c r="AC684" i="19"/>
  <c r="AE686" i="19"/>
  <c r="AF687" i="19"/>
  <c r="AH689" i="19"/>
  <c r="AD533" i="19"/>
  <c r="AF535" i="19"/>
  <c r="AC532" i="19"/>
  <c r="AG536" i="19"/>
  <c r="AE534" i="19"/>
  <c r="AH537" i="19"/>
  <c r="AE542" i="19"/>
  <c r="AH545" i="19"/>
  <c r="AG544" i="19"/>
  <c r="AC540" i="19"/>
  <c r="AD541" i="19"/>
  <c r="AF543" i="19"/>
  <c r="AD437" i="19"/>
  <c r="AE438" i="19"/>
  <c r="AG440" i="19"/>
  <c r="AC436" i="19"/>
  <c r="AF439" i="19"/>
  <c r="AH441" i="19"/>
  <c r="AD775" i="19"/>
  <c r="AF777" i="19"/>
  <c r="AH779" i="19"/>
  <c r="AE776" i="19"/>
  <c r="AG778" i="19"/>
  <c r="AC774" i="19"/>
  <c r="AF804" i="19"/>
  <c r="AG805" i="19"/>
  <c r="AH806" i="19"/>
  <c r="AC801" i="19"/>
  <c r="AE803" i="19"/>
  <c r="AD802" i="19"/>
  <c r="AE180" i="19"/>
  <c r="AG182" i="19"/>
  <c r="AD179" i="19"/>
  <c r="AC178" i="19"/>
  <c r="AF181" i="19"/>
  <c r="AH183" i="19"/>
  <c r="AF644" i="19"/>
  <c r="AH646" i="19"/>
  <c r="AC641" i="19"/>
  <c r="AG645" i="19"/>
  <c r="AE643" i="19"/>
  <c r="AD642" i="19"/>
  <c r="AH691" i="19"/>
  <c r="AC686" i="19"/>
  <c r="AE688" i="19"/>
  <c r="AD687" i="19"/>
  <c r="AF689" i="19"/>
  <c r="AG690" i="19"/>
  <c r="AD568" i="19"/>
  <c r="AE569" i="19"/>
  <c r="AH572" i="19"/>
  <c r="AG571" i="19"/>
  <c r="AC567" i="19"/>
  <c r="AF570" i="19"/>
  <c r="AC47" i="19"/>
  <c r="AF50" i="19"/>
  <c r="AH52" i="19"/>
  <c r="AD48" i="19"/>
  <c r="AE49" i="19"/>
  <c r="AG51" i="19"/>
  <c r="AG659" i="19"/>
  <c r="AH660" i="19"/>
  <c r="AC655" i="19"/>
  <c r="AF658" i="19"/>
  <c r="AD656" i="19"/>
  <c r="AE657" i="19"/>
  <c r="AF120" i="19"/>
  <c r="AE119" i="19"/>
  <c r="AC117" i="19"/>
  <c r="AD118" i="19"/>
  <c r="AG121" i="19"/>
  <c r="AH122" i="19"/>
  <c r="AG149" i="19"/>
  <c r="AE147" i="19"/>
  <c r="AF148" i="19"/>
  <c r="AD146" i="19"/>
  <c r="AH150" i="19"/>
  <c r="AC145" i="19"/>
  <c r="AD690" i="19"/>
  <c r="AG693" i="19"/>
  <c r="AF692" i="19"/>
  <c r="AH694" i="19"/>
  <c r="AC689" i="19"/>
  <c r="AE691" i="19"/>
  <c r="AD516" i="19"/>
  <c r="AE517" i="19"/>
  <c r="AH520" i="19"/>
  <c r="AC515" i="19"/>
  <c r="AG519" i="19"/>
  <c r="AF518" i="19"/>
  <c r="AE215" i="19"/>
  <c r="AD214" i="19"/>
  <c r="AG217" i="19"/>
  <c r="AF216" i="19"/>
  <c r="AC213" i="19"/>
  <c r="AH218" i="19"/>
  <c r="AG809" i="19"/>
  <c r="AE807" i="19"/>
  <c r="AH810" i="19"/>
  <c r="AD806" i="19"/>
  <c r="AC805" i="19"/>
  <c r="AF808" i="19"/>
  <c r="AD283" i="19"/>
  <c r="AF285" i="19"/>
  <c r="AE284" i="19"/>
  <c r="AG286" i="19"/>
  <c r="AH287" i="19"/>
  <c r="AC282" i="19"/>
  <c r="AG681" i="19"/>
  <c r="AC677" i="19"/>
  <c r="AH682" i="19"/>
  <c r="AF680" i="19"/>
  <c r="AD678" i="19"/>
  <c r="AE679" i="19"/>
  <c r="AE112" i="19"/>
  <c r="AD111" i="19"/>
  <c r="AF113" i="19"/>
  <c r="AH115" i="19"/>
  <c r="AC110" i="19"/>
  <c r="AG114" i="19"/>
  <c r="AC755" i="19"/>
  <c r="AE757" i="19"/>
  <c r="AG759" i="19"/>
  <c r="AH760" i="19"/>
  <c r="AF758" i="19"/>
  <c r="AD756" i="19"/>
  <c r="AE195" i="19"/>
  <c r="AF196" i="19"/>
  <c r="AD194" i="19"/>
  <c r="AH198" i="19"/>
  <c r="AC193" i="19"/>
  <c r="AG197" i="19"/>
  <c r="AC210" i="19"/>
  <c r="AG214" i="19"/>
  <c r="AD211" i="19"/>
  <c r="AE212" i="19"/>
  <c r="AF213" i="19"/>
  <c r="AH215" i="19"/>
  <c r="AH766" i="19"/>
  <c r="AD762" i="19"/>
  <c r="AC761" i="19"/>
  <c r="AE763" i="19"/>
  <c r="AF764" i="19"/>
  <c r="AG765" i="19"/>
  <c r="AG43" i="19"/>
  <c r="AD40" i="19"/>
  <c r="AH44" i="19"/>
  <c r="AF42" i="19"/>
  <c r="AE41" i="19"/>
  <c r="AC39" i="19"/>
  <c r="AE804" i="19"/>
  <c r="AH807" i="19"/>
  <c r="AF805" i="19"/>
  <c r="AG806" i="19"/>
  <c r="AD803" i="19"/>
  <c r="AC802" i="19"/>
  <c r="AC333" i="19"/>
  <c r="AE335" i="19"/>
  <c r="AH338" i="19"/>
  <c r="AF336" i="19"/>
  <c r="AD334" i="19"/>
  <c r="AG337" i="19"/>
  <c r="AC74" i="19"/>
  <c r="AD75" i="19"/>
  <c r="AG78" i="19"/>
  <c r="AE76" i="19"/>
  <c r="AH79" i="19"/>
  <c r="AF77" i="19"/>
  <c r="AF130" i="19"/>
  <c r="AC127" i="19"/>
  <c r="AE129" i="19"/>
  <c r="AD128" i="19"/>
  <c r="AG131" i="19"/>
  <c r="AH132" i="19"/>
  <c r="AC750" i="19"/>
  <c r="AE752" i="19"/>
  <c r="AD751" i="19"/>
  <c r="AG754" i="19"/>
  <c r="AH755" i="19"/>
  <c r="AF753" i="19"/>
  <c r="AH344" i="19"/>
  <c r="AG343" i="19"/>
  <c r="AF342" i="19"/>
  <c r="AE341" i="19"/>
  <c r="AD340" i="19"/>
  <c r="AC339" i="19"/>
  <c r="AF170" i="19"/>
  <c r="AH172" i="19"/>
  <c r="AC167" i="19"/>
  <c r="AD168" i="19"/>
  <c r="AE169" i="19"/>
  <c r="AG171" i="19"/>
  <c r="AH539" i="19"/>
  <c r="AD535" i="19"/>
  <c r="AG538" i="19"/>
  <c r="AE536" i="19"/>
  <c r="AF537" i="19"/>
  <c r="AC534" i="19"/>
  <c r="AD543" i="19"/>
  <c r="AF545" i="19"/>
  <c r="AC542" i="19"/>
  <c r="AG546" i="19"/>
  <c r="AE544" i="19"/>
  <c r="AH547" i="19"/>
  <c r="AC486" i="19"/>
  <c r="AH491" i="19"/>
  <c r="AG490" i="19"/>
  <c r="AD487" i="19"/>
  <c r="AF489" i="19"/>
  <c r="AE488" i="19"/>
  <c r="AF502" i="19"/>
  <c r="AE501" i="19"/>
  <c r="AG503" i="19"/>
  <c r="AH504" i="19"/>
  <c r="AD500" i="19"/>
  <c r="AC499" i="19"/>
  <c r="AG125" i="19"/>
  <c r="AH126" i="19"/>
  <c r="AE123" i="19"/>
  <c r="AC121" i="19"/>
  <c r="AF124" i="19"/>
  <c r="AD122" i="19"/>
  <c r="AD51" i="19"/>
  <c r="AH55" i="19"/>
  <c r="AC50" i="19"/>
  <c r="AF53" i="19"/>
  <c r="AG54" i="19"/>
  <c r="AE52" i="19"/>
  <c r="AF671" i="19"/>
  <c r="AC668" i="19"/>
  <c r="AE670" i="19"/>
  <c r="AH673" i="19"/>
  <c r="AG672" i="19"/>
  <c r="AD669" i="19"/>
  <c r="AG639" i="19"/>
  <c r="AF638" i="19"/>
  <c r="AD636" i="19"/>
  <c r="AC635" i="19"/>
  <c r="AH640" i="19"/>
  <c r="AE637" i="19"/>
  <c r="AE730" i="19"/>
  <c r="AF731" i="19"/>
  <c r="AG732" i="19"/>
  <c r="AD729" i="19"/>
  <c r="AC728" i="19"/>
  <c r="AH733" i="19"/>
  <c r="AF522" i="19"/>
  <c r="AE521" i="19"/>
  <c r="AG523" i="19"/>
  <c r="AC519" i="19"/>
  <c r="AH524" i="19"/>
  <c r="AD520" i="19"/>
  <c r="AE278" i="19"/>
  <c r="AG280" i="19"/>
  <c r="AH281" i="19"/>
  <c r="AC276" i="19"/>
  <c r="AD277" i="19"/>
  <c r="AF279" i="19"/>
  <c r="AG629" i="19"/>
  <c r="AE627" i="19"/>
  <c r="AC625" i="19"/>
  <c r="AH630" i="19"/>
  <c r="AF628" i="19"/>
  <c r="AD626" i="19"/>
  <c r="AE690" i="19"/>
  <c r="AF691" i="19"/>
  <c r="AH693" i="19"/>
  <c r="AG692" i="19"/>
  <c r="AD689" i="19"/>
  <c r="AC688" i="19"/>
  <c r="AG185" i="19"/>
  <c r="AH186" i="19"/>
  <c r="AD182" i="19"/>
  <c r="AE183" i="19"/>
  <c r="AC181" i="19"/>
  <c r="AF184" i="19"/>
  <c r="AH314" i="19"/>
  <c r="AG313" i="19"/>
  <c r="AD310" i="19"/>
  <c r="AE311" i="19"/>
  <c r="AC309" i="19"/>
  <c r="AF312" i="19"/>
  <c r="AD452" i="19"/>
  <c r="AE453" i="19"/>
  <c r="AF454" i="19"/>
  <c r="AH456" i="19"/>
  <c r="AG455" i="19"/>
  <c r="AC451" i="19"/>
  <c r="AC328" i="19"/>
  <c r="AE330" i="19"/>
  <c r="AG332" i="19"/>
  <c r="AH333" i="19"/>
  <c r="AF331" i="19"/>
  <c r="AD329" i="19"/>
  <c r="AH443" i="19"/>
  <c r="AC438" i="19"/>
  <c r="AF441" i="19"/>
  <c r="AD439" i="19"/>
  <c r="AG442" i="19"/>
  <c r="AE440" i="19"/>
  <c r="AD392" i="19"/>
  <c r="AF394" i="19"/>
  <c r="AG395" i="19"/>
  <c r="AH396" i="19"/>
  <c r="AE393" i="19"/>
  <c r="AC391" i="19"/>
  <c r="AH629" i="19"/>
  <c r="AD625" i="19"/>
  <c r="AF627" i="19"/>
  <c r="AC624" i="19"/>
  <c r="AG628" i="19"/>
  <c r="AE626" i="19"/>
  <c r="AG654" i="19"/>
  <c r="AE652" i="19"/>
  <c r="AF653" i="19"/>
  <c r="AD651" i="19"/>
  <c r="AC650" i="19"/>
  <c r="AH655" i="19"/>
  <c r="AC385" i="19"/>
  <c r="AH390" i="19"/>
  <c r="AF388" i="19"/>
  <c r="AD386" i="19"/>
  <c r="AE387" i="19"/>
  <c r="AG389" i="19"/>
  <c r="AF507" i="19"/>
  <c r="AH509" i="19"/>
  <c r="AC504" i="19"/>
  <c r="AG508" i="19"/>
  <c r="AD505" i="19"/>
  <c r="AE506" i="19"/>
  <c r="AH588" i="19"/>
  <c r="AF586" i="19"/>
  <c r="AC583" i="19"/>
  <c r="AG587" i="19"/>
  <c r="AD584" i="19"/>
  <c r="AE585" i="19"/>
  <c r="AC248" i="19"/>
  <c r="AE250" i="19"/>
  <c r="AH253" i="19"/>
  <c r="AF251" i="19"/>
  <c r="AD249" i="19"/>
  <c r="AG252" i="19"/>
  <c r="AC184" i="19"/>
  <c r="AD185" i="19"/>
  <c r="AG188" i="19"/>
  <c r="AH189" i="19"/>
  <c r="AF187" i="19"/>
  <c r="AE186" i="19"/>
  <c r="AG443" i="19"/>
  <c r="AH444" i="19"/>
  <c r="AF442" i="19"/>
  <c r="AD440" i="19"/>
  <c r="AE441" i="19"/>
  <c r="AC439" i="19"/>
  <c r="AC69" i="19"/>
  <c r="AD70" i="19"/>
  <c r="AG73" i="19"/>
  <c r="AE71" i="19"/>
  <c r="AH74" i="19"/>
  <c r="AF72" i="19"/>
  <c r="AD467" i="19"/>
  <c r="AE468" i="19"/>
  <c r="AC466" i="19"/>
  <c r="AH471" i="19"/>
  <c r="AG470" i="19"/>
  <c r="AF469" i="19"/>
  <c r="AF150" i="19"/>
  <c r="AC147" i="19"/>
  <c r="AE149" i="19"/>
  <c r="AG151" i="19"/>
  <c r="AH152" i="19"/>
  <c r="AD148" i="19"/>
  <c r="AE167" i="19"/>
  <c r="AG169" i="19"/>
  <c r="AF168" i="19"/>
  <c r="AC165" i="19"/>
  <c r="AH170" i="19"/>
  <c r="AD166" i="19"/>
  <c r="AC134" i="19"/>
  <c r="AD135" i="19"/>
  <c r="AE136" i="19"/>
  <c r="AG138" i="19"/>
  <c r="AF137" i="19"/>
  <c r="AH139" i="19"/>
  <c r="AF363" i="19"/>
  <c r="AC360" i="19"/>
  <c r="AH365" i="19"/>
  <c r="AE362" i="19"/>
  <c r="AG364" i="19"/>
  <c r="AD361" i="19"/>
  <c r="AH559" i="19"/>
  <c r="AD555" i="19"/>
  <c r="AG558" i="19"/>
  <c r="AE556" i="19"/>
  <c r="AF557" i="19"/>
  <c r="AC554" i="19"/>
  <c r="AF492" i="19"/>
  <c r="AG493" i="19"/>
  <c r="AC489" i="19"/>
  <c r="AE491" i="19"/>
  <c r="AH494" i="19"/>
  <c r="AD490" i="19"/>
  <c r="AH761" i="19"/>
  <c r="AD757" i="19"/>
  <c r="AF759" i="19"/>
  <c r="AG760" i="19"/>
  <c r="AC756" i="19"/>
  <c r="AE758" i="19"/>
  <c r="AD372" i="19"/>
  <c r="AE373" i="19"/>
  <c r="AG375" i="19"/>
  <c r="AH376" i="19"/>
  <c r="AF374" i="19"/>
  <c r="AC371" i="19"/>
  <c r="AD417" i="19"/>
  <c r="AE418" i="19"/>
  <c r="AH421" i="19"/>
  <c r="AC416" i="19"/>
  <c r="AG420" i="19"/>
  <c r="AF419" i="19"/>
  <c r="AE75" i="19"/>
  <c r="AH78" i="19"/>
  <c r="AF76" i="19"/>
  <c r="AD74" i="19"/>
  <c r="AG77" i="19"/>
  <c r="AC73" i="19"/>
  <c r="AE200" i="19"/>
  <c r="AC198" i="19"/>
  <c r="AD199" i="19"/>
  <c r="AH203" i="19"/>
  <c r="AG202" i="19"/>
  <c r="AF201" i="19"/>
  <c r="AG319" i="19"/>
  <c r="AF318" i="19"/>
  <c r="AC315" i="19"/>
  <c r="AD316" i="19"/>
  <c r="AE317" i="19"/>
  <c r="AH320" i="19"/>
  <c r="AG527" i="19"/>
  <c r="AH528" i="19"/>
  <c r="AF526" i="19"/>
  <c r="AD524" i="19"/>
  <c r="AE525" i="19"/>
  <c r="AC523" i="19"/>
  <c r="AC369" i="19"/>
  <c r="AF372" i="19"/>
  <c r="AD370" i="19"/>
  <c r="AH374" i="19"/>
  <c r="AG373" i="19"/>
  <c r="AE371" i="19"/>
  <c r="AD475" i="19"/>
  <c r="AG478" i="19"/>
  <c r="AF477" i="19"/>
  <c r="AE476" i="19"/>
  <c r="AH479" i="19"/>
  <c r="AC474" i="19"/>
  <c r="AE710" i="19"/>
  <c r="AF711" i="19"/>
  <c r="AG712" i="19"/>
  <c r="AD709" i="19"/>
  <c r="AH713" i="19"/>
  <c r="AC708" i="19"/>
  <c r="AH249" i="19"/>
  <c r="AF247" i="19"/>
  <c r="AC244" i="19"/>
  <c r="AE246" i="19"/>
  <c r="AG248" i="19"/>
  <c r="AD245" i="19"/>
  <c r="AH776" i="19"/>
  <c r="AF774" i="19"/>
  <c r="AD772" i="19"/>
  <c r="AC771" i="19"/>
  <c r="AE773" i="19"/>
  <c r="AG775" i="19"/>
  <c r="AE590" i="19"/>
  <c r="AH593" i="19"/>
  <c r="AD589" i="19"/>
  <c r="AG592" i="19"/>
  <c r="AC588" i="19"/>
  <c r="AF591" i="19"/>
  <c r="AD318" i="19"/>
  <c r="AG321" i="19"/>
  <c r="AF320" i="19"/>
  <c r="AE319" i="19"/>
  <c r="AC317" i="19"/>
  <c r="AH322" i="19"/>
  <c r="AD770" i="19"/>
  <c r="AE771" i="19"/>
  <c r="AG773" i="19"/>
  <c r="AH774" i="19"/>
  <c r="AF772" i="19"/>
  <c r="AC769" i="19"/>
  <c r="AC432" i="19"/>
  <c r="AD433" i="19"/>
  <c r="AF435" i="19"/>
  <c r="AE434" i="19"/>
  <c r="AH437" i="19"/>
  <c r="AG436" i="19"/>
  <c r="AF365" i="19"/>
  <c r="AE364" i="19"/>
  <c r="AD363" i="19"/>
  <c r="AC362" i="19"/>
  <c r="AG366" i="19"/>
  <c r="AH367" i="19"/>
  <c r="AG219" i="19"/>
  <c r="AD216" i="19"/>
  <c r="AC215" i="19"/>
  <c r="AH220" i="19"/>
  <c r="AF218" i="19"/>
  <c r="AE217" i="19"/>
  <c r="AG686" i="19"/>
  <c r="AH687" i="19"/>
  <c r="AD683" i="19"/>
  <c r="AE684" i="19"/>
  <c r="AC682" i="19"/>
  <c r="AF685" i="19"/>
  <c r="AF468" i="19"/>
  <c r="AD466" i="19"/>
  <c r="AG469" i="19"/>
  <c r="AE467" i="19"/>
  <c r="AC465" i="19"/>
  <c r="AH470" i="19"/>
  <c r="AG532" i="19"/>
  <c r="AD529" i="19"/>
  <c r="AF531" i="19"/>
  <c r="AH533" i="19"/>
  <c r="AE530" i="19"/>
  <c r="AC528" i="19"/>
  <c r="AF180" i="19"/>
  <c r="AD178" i="19"/>
  <c r="AH182" i="19"/>
  <c r="AE179" i="19"/>
  <c r="AG181" i="19"/>
  <c r="AC177" i="19"/>
  <c r="AG145" i="19"/>
  <c r="AH146" i="19"/>
  <c r="AC141" i="19"/>
  <c r="AD142" i="19"/>
  <c r="AE143" i="19"/>
  <c r="AF144" i="19"/>
  <c r="AH370" i="19"/>
  <c r="AD366" i="19"/>
  <c r="AF368" i="19"/>
  <c r="AC365" i="19"/>
  <c r="AG369" i="19"/>
  <c r="AE367" i="19"/>
  <c r="AG507" i="19"/>
  <c r="AH508" i="19"/>
  <c r="AD504" i="19"/>
  <c r="AC503" i="19"/>
  <c r="AF506" i="19"/>
  <c r="AE505" i="19"/>
  <c r="AF418" i="19"/>
  <c r="AD416" i="19"/>
  <c r="AG419" i="19"/>
  <c r="AE417" i="19"/>
  <c r="AC415" i="19"/>
  <c r="AH420" i="19"/>
  <c r="AF165" i="19"/>
  <c r="AE164" i="19"/>
  <c r="AH167" i="19"/>
  <c r="AC162" i="19"/>
  <c r="AG166" i="19"/>
  <c r="AD163" i="19"/>
  <c r="AH522" i="19"/>
  <c r="AD518" i="19"/>
  <c r="AC517" i="19"/>
  <c r="AG521" i="19"/>
  <c r="AE519" i="19"/>
  <c r="AF520" i="19"/>
  <c r="AD44" i="19"/>
  <c r="AF46" i="19"/>
  <c r="AH48" i="19"/>
  <c r="AG47" i="19"/>
  <c r="AC43" i="19"/>
  <c r="AE45" i="19"/>
  <c r="AF23" i="19"/>
  <c r="AE22" i="19"/>
  <c r="AH25" i="19"/>
  <c r="AC20" i="19"/>
  <c r="AG24" i="19"/>
  <c r="AD21" i="19"/>
  <c r="AH573" i="19"/>
  <c r="AD569" i="19"/>
  <c r="AG572" i="19"/>
  <c r="AF571" i="19"/>
  <c r="AC568" i="19"/>
  <c r="AE570" i="19"/>
  <c r="AC516" i="19"/>
  <c r="AD517" i="19"/>
  <c r="AG520" i="19"/>
  <c r="AF519" i="19"/>
  <c r="AH521" i="19"/>
  <c r="AE518" i="19"/>
  <c r="AF594" i="19"/>
  <c r="AH596" i="19"/>
  <c r="AD592" i="19"/>
  <c r="AG595" i="19"/>
  <c r="AE593" i="19"/>
  <c r="AC591" i="19"/>
  <c r="AG82" i="19"/>
  <c r="AE80" i="19"/>
  <c r="AF81" i="19"/>
  <c r="AD79" i="19"/>
  <c r="AH83" i="19"/>
  <c r="AC78" i="19"/>
  <c r="AG482" i="19"/>
  <c r="AD479" i="19"/>
  <c r="AE480" i="19"/>
  <c r="AH483" i="19"/>
  <c r="AC478" i="19"/>
  <c r="AF481" i="19"/>
  <c r="AH492" i="19"/>
  <c r="AG491" i="19"/>
  <c r="AF490" i="19"/>
  <c r="AE489" i="19"/>
  <c r="AC487" i="19"/>
  <c r="AD488" i="19"/>
  <c r="AG44" i="19"/>
  <c r="AC40" i="19"/>
  <c r="AF43" i="19"/>
  <c r="AE42" i="19"/>
  <c r="AH45" i="19"/>
  <c r="AD41" i="19"/>
  <c r="AH299" i="19"/>
  <c r="AE296" i="19"/>
  <c r="AG298" i="19"/>
  <c r="AC294" i="19"/>
  <c r="AD295" i="19"/>
  <c r="AF297" i="19"/>
  <c r="AF433" i="19"/>
  <c r="AG434" i="19"/>
  <c r="AH435" i="19"/>
  <c r="AD431" i="19"/>
  <c r="AE432" i="19"/>
  <c r="AC430" i="19"/>
  <c r="AC643" i="19"/>
  <c r="AF646" i="19"/>
  <c r="AH648" i="19"/>
  <c r="AG647" i="19"/>
  <c r="AD644" i="19"/>
  <c r="AE645" i="19"/>
  <c r="AH554" i="19"/>
  <c r="AF552" i="19"/>
  <c r="AC549" i="19"/>
  <c r="AE551" i="19"/>
  <c r="AG553" i="19"/>
  <c r="AD550" i="19"/>
  <c r="AG751" i="19"/>
  <c r="AH752" i="19"/>
  <c r="AD748" i="19"/>
  <c r="AC747" i="19"/>
  <c r="AF750" i="19"/>
  <c r="AE749" i="19"/>
  <c r="AC481" i="19"/>
  <c r="AF484" i="19"/>
  <c r="AH486" i="19"/>
  <c r="AD482" i="19"/>
  <c r="AE483" i="19"/>
  <c r="AG485" i="19"/>
  <c r="AF589" i="19"/>
  <c r="AH591" i="19"/>
  <c r="AG590" i="19"/>
  <c r="AE588" i="19"/>
  <c r="AD587" i="19"/>
  <c r="AC586" i="19"/>
  <c r="AE185" i="19"/>
  <c r="AC183" i="19"/>
  <c r="AH188" i="19"/>
  <c r="AF186" i="19"/>
  <c r="AG187" i="19"/>
  <c r="AD184" i="19"/>
  <c r="AG339" i="19"/>
  <c r="AF338" i="19"/>
  <c r="AH340" i="19"/>
  <c r="AC335" i="19"/>
  <c r="AE337" i="19"/>
  <c r="AD336" i="19"/>
  <c r="AG264" i="19"/>
  <c r="AC260" i="19"/>
  <c r="AE262" i="19"/>
  <c r="AD261" i="19"/>
  <c r="AF263" i="19"/>
  <c r="AH265" i="19"/>
  <c r="AC663" i="19"/>
  <c r="AE665" i="19"/>
  <c r="AH668" i="19"/>
  <c r="AF666" i="19"/>
  <c r="AD664" i="19"/>
  <c r="AG667" i="19"/>
  <c r="AG211" i="19"/>
  <c r="AC207" i="19"/>
  <c r="AD208" i="19"/>
  <c r="AH212" i="19"/>
  <c r="AF210" i="19"/>
  <c r="AE209" i="19"/>
  <c r="AH468" i="19"/>
  <c r="AC463" i="19"/>
  <c r="AF466" i="19"/>
  <c r="AG467" i="19"/>
  <c r="AD464" i="19"/>
  <c r="AE465" i="19"/>
  <c r="AH579" i="19"/>
  <c r="AE576" i="19"/>
  <c r="AC574" i="19"/>
  <c r="AG578" i="19"/>
  <c r="AD575" i="19"/>
  <c r="AF577" i="19"/>
  <c r="AG409" i="19"/>
  <c r="AH410" i="19"/>
  <c r="AD406" i="19"/>
  <c r="AF408" i="19"/>
  <c r="AE407" i="19"/>
  <c r="AC405" i="19"/>
  <c r="AE182" i="19"/>
  <c r="AH185" i="19"/>
  <c r="AF183" i="19"/>
  <c r="AD181" i="19"/>
  <c r="AG184" i="19"/>
  <c r="AC180" i="19"/>
  <c r="AE313" i="19"/>
  <c r="AF314" i="19"/>
  <c r="AH316" i="19"/>
  <c r="AG315" i="19"/>
  <c r="AD312" i="19"/>
  <c r="AC311" i="19"/>
  <c r="AF413" i="19"/>
  <c r="AD411" i="19"/>
  <c r="AH415" i="19"/>
  <c r="AC410" i="19"/>
  <c r="AE412" i="19"/>
  <c r="AG414" i="19"/>
  <c r="AC89" i="19"/>
  <c r="AD90" i="19"/>
  <c r="AG93" i="19"/>
  <c r="AE91" i="19"/>
  <c r="AH94" i="19"/>
  <c r="AF92" i="19"/>
  <c r="AC623" i="19"/>
  <c r="AG627" i="19"/>
  <c r="AD624" i="19"/>
  <c r="AE625" i="19"/>
  <c r="AH628" i="19"/>
  <c r="AF626" i="19"/>
  <c r="AD563" i="19"/>
  <c r="AG566" i="19"/>
  <c r="AC562" i="19"/>
  <c r="AH567" i="19"/>
  <c r="AE564" i="19"/>
  <c r="AF565" i="19"/>
  <c r="AG756" i="19"/>
  <c r="AF755" i="19"/>
  <c r="AC752" i="19"/>
  <c r="AD753" i="19"/>
  <c r="AE754" i="19"/>
  <c r="AH757" i="19"/>
  <c r="AE243" i="19"/>
  <c r="AH246" i="19"/>
  <c r="AF244" i="19"/>
  <c r="AD242" i="19"/>
  <c r="AG245" i="19"/>
  <c r="AC241" i="19"/>
  <c r="AD228" i="19"/>
  <c r="AG231" i="19"/>
  <c r="AF230" i="19"/>
  <c r="AH232" i="19"/>
  <c r="AE229" i="19"/>
  <c r="AC227" i="19"/>
  <c r="AG549" i="19"/>
  <c r="AC545" i="19"/>
  <c r="AE547" i="19"/>
  <c r="AF548" i="19"/>
  <c r="AH550" i="19"/>
  <c r="AD546" i="19"/>
  <c r="AE814" i="19"/>
  <c r="AD813" i="19"/>
  <c r="AF815" i="19"/>
  <c r="AC812" i="19"/>
  <c r="AH817" i="19"/>
  <c r="AG816" i="19"/>
  <c r="AC407" i="19"/>
  <c r="AD408" i="19"/>
  <c r="AH412" i="19"/>
  <c r="AG411" i="19"/>
  <c r="AF410" i="19"/>
  <c r="AE409" i="19"/>
  <c r="AD755" i="19"/>
  <c r="AF757" i="19"/>
  <c r="AH759" i="19"/>
  <c r="AC754" i="19"/>
  <c r="AG758" i="19"/>
  <c r="AE756" i="19"/>
  <c r="AG167" i="19"/>
  <c r="AC163" i="19"/>
  <c r="AH168" i="19"/>
  <c r="AD164" i="19"/>
  <c r="AE165" i="19"/>
  <c r="AF166" i="19"/>
  <c r="AG383" i="19"/>
  <c r="AD380" i="19"/>
  <c r="AE381" i="19"/>
  <c r="AH384" i="19"/>
  <c r="AF382" i="19"/>
  <c r="AC379" i="19"/>
  <c r="AD760" i="19"/>
  <c r="AF762" i="19"/>
  <c r="AE761" i="19"/>
  <c r="AC759" i="19"/>
  <c r="AG763" i="19"/>
  <c r="AH764" i="19"/>
  <c r="AD382" i="19"/>
  <c r="AE383" i="19"/>
  <c r="AH386" i="19"/>
  <c r="AG385" i="19"/>
  <c r="AC381" i="19"/>
  <c r="AF384" i="19"/>
  <c r="AH229" i="19"/>
  <c r="AC224" i="19"/>
  <c r="AG228" i="19"/>
  <c r="AF227" i="19"/>
  <c r="AD225" i="19"/>
  <c r="AE226" i="19"/>
  <c r="AC815" i="19"/>
  <c r="AH820" i="19"/>
  <c r="AG819" i="19"/>
  <c r="AF818" i="19"/>
  <c r="AD816" i="19"/>
  <c r="AE817" i="19"/>
  <c r="AE359" i="19"/>
  <c r="AH362" i="19"/>
  <c r="AF360" i="19"/>
  <c r="AG361" i="19"/>
  <c r="AC357" i="19"/>
  <c r="AD358" i="19"/>
  <c r="AF583" i="19"/>
  <c r="AD581" i="19"/>
  <c r="AC580" i="19"/>
  <c r="AE582" i="19"/>
  <c r="AH585" i="19"/>
  <c r="AG584" i="19"/>
  <c r="AF200" i="19"/>
  <c r="AH202" i="19"/>
  <c r="AE199" i="19"/>
  <c r="AG201" i="19"/>
  <c r="AC197" i="19"/>
  <c r="AD198" i="19"/>
  <c r="AC59" i="19"/>
  <c r="AE61" i="19"/>
  <c r="AF62" i="19"/>
  <c r="AD60" i="19"/>
  <c r="AH64" i="19"/>
  <c r="AG63" i="19"/>
  <c r="AG476" i="19"/>
  <c r="AC472" i="19"/>
  <c r="AF475" i="19"/>
  <c r="AH477" i="19"/>
  <c r="AE474" i="19"/>
  <c r="AD473" i="19"/>
  <c r="AG497" i="19"/>
  <c r="AH498" i="19"/>
  <c r="AC493" i="19"/>
  <c r="AE495" i="19"/>
  <c r="AD494" i="19"/>
  <c r="AF496" i="19"/>
  <c r="AC780" i="19"/>
  <c r="AG784" i="19"/>
  <c r="AF783" i="19"/>
  <c r="AE782" i="19"/>
  <c r="AD781" i="19"/>
  <c r="AH785" i="19"/>
  <c r="AF108" i="19"/>
  <c r="AD106" i="19"/>
  <c r="AH110" i="19"/>
  <c r="AG109" i="19"/>
  <c r="AE107" i="19"/>
  <c r="AC105" i="19"/>
  <c r="AH368" i="19"/>
  <c r="AF366" i="19"/>
  <c r="AD364" i="19"/>
  <c r="AC363" i="19"/>
  <c r="AE365" i="19"/>
  <c r="AG367" i="19"/>
  <c r="AC104" i="19"/>
  <c r="AD105" i="19"/>
  <c r="AG108" i="19"/>
  <c r="AE106" i="19"/>
  <c r="AF107" i="19"/>
  <c r="AH109" i="19"/>
  <c r="AE213" i="19"/>
  <c r="AF214" i="19"/>
  <c r="AG215" i="19"/>
  <c r="AC211" i="19"/>
  <c r="AD212" i="19"/>
  <c r="AH216" i="19"/>
  <c r="AE190" i="19"/>
  <c r="AH193" i="19"/>
  <c r="AF191" i="19"/>
  <c r="AD189" i="19"/>
  <c r="AG192" i="19"/>
  <c r="AC188" i="19"/>
  <c r="AE780" i="19"/>
  <c r="AF781" i="19"/>
  <c r="AH783" i="19"/>
  <c r="AG782" i="19"/>
  <c r="AC778" i="19"/>
  <c r="AD779" i="19"/>
  <c r="AC427" i="19"/>
  <c r="AD428" i="19"/>
  <c r="AH432" i="19"/>
  <c r="AG431" i="19"/>
  <c r="AF430" i="19"/>
  <c r="AE429" i="19"/>
  <c r="AG309" i="19"/>
  <c r="AF308" i="19"/>
  <c r="AH310" i="19"/>
  <c r="AE307" i="19"/>
  <c r="AD306" i="19"/>
  <c r="AC305" i="19"/>
  <c r="AH408" i="19"/>
  <c r="AD404" i="19"/>
  <c r="AF406" i="19"/>
  <c r="AC403" i="19"/>
  <c r="AG407" i="19"/>
  <c r="AE405" i="19"/>
  <c r="AC119" i="19"/>
  <c r="AD120" i="19"/>
  <c r="AG123" i="19"/>
  <c r="AE121" i="19"/>
  <c r="AH124" i="19"/>
  <c r="AF122" i="19"/>
  <c r="AG691" i="19"/>
  <c r="AH692" i="19"/>
  <c r="AD688" i="19"/>
  <c r="AE689" i="19"/>
  <c r="AC687" i="19"/>
  <c r="AF690" i="19"/>
  <c r="AE283" i="19"/>
  <c r="AF284" i="19"/>
  <c r="AG285" i="19"/>
  <c r="AC281" i="19"/>
  <c r="AD282" i="19"/>
  <c r="AH286" i="19"/>
  <c r="AE552" i="19"/>
  <c r="AH555" i="19"/>
  <c r="AD551" i="19"/>
  <c r="AF553" i="19"/>
  <c r="AC550" i="19"/>
  <c r="AG554" i="19"/>
  <c r="AF39" i="19"/>
  <c r="AD37" i="19"/>
  <c r="AC36" i="19"/>
  <c r="AG40" i="19"/>
  <c r="AH41" i="19"/>
  <c r="AE38" i="19"/>
  <c r="AE356" i="19"/>
  <c r="AF357" i="19"/>
  <c r="AG358" i="19"/>
  <c r="AH359" i="19"/>
  <c r="AD355" i="19"/>
  <c r="AC354" i="19"/>
  <c r="AH324" i="19"/>
  <c r="AE321" i="19"/>
  <c r="AF322" i="19"/>
  <c r="AD320" i="19"/>
  <c r="AC319" i="19"/>
  <c r="AG323" i="19"/>
  <c r="AC129" i="19"/>
  <c r="AD130" i="19"/>
  <c r="AF132" i="19"/>
  <c r="AE131" i="19"/>
  <c r="AG133" i="19"/>
  <c r="AH134" i="19"/>
  <c r="AC720" i="19"/>
  <c r="AH725" i="19"/>
  <c r="AF723" i="19"/>
  <c r="AE722" i="19"/>
  <c r="AG724" i="19"/>
  <c r="AD721" i="19"/>
  <c r="AG634" i="19"/>
  <c r="AH635" i="19"/>
  <c r="AC630" i="19"/>
  <c r="AD631" i="19"/>
  <c r="AF633" i="19"/>
  <c r="AE632" i="19"/>
  <c r="AH103" i="19"/>
  <c r="AE100" i="19"/>
  <c r="AD99" i="19"/>
  <c r="AC98" i="19"/>
  <c r="AG102" i="19"/>
  <c r="AF101" i="19"/>
  <c r="D11" i="15"/>
  <c r="E12" i="15" s="1"/>
  <c r="E11" i="15"/>
  <c r="D12" i="15" s="1"/>
  <c r="AF55" i="19"/>
  <c r="AD53" i="19"/>
  <c r="AH57" i="19"/>
  <c r="AG56" i="19"/>
  <c r="AE54" i="19"/>
  <c r="AC52" i="19"/>
  <c r="AC638" i="19"/>
  <c r="AH643" i="19"/>
  <c r="AF641" i="19"/>
  <c r="AE640" i="19"/>
  <c r="AG642" i="19"/>
  <c r="AD639" i="19"/>
  <c r="AE23" i="19"/>
  <c r="AH26" i="19"/>
  <c r="AD22" i="19"/>
  <c r="AF24" i="19"/>
  <c r="AG25" i="19"/>
  <c r="AC21" i="19"/>
  <c r="AF549" i="19"/>
  <c r="AD547" i="19"/>
  <c r="AE548" i="19"/>
  <c r="AG550" i="19"/>
  <c r="AH551" i="19"/>
  <c r="AC546" i="19"/>
  <c r="AE725" i="19"/>
  <c r="AF726" i="19"/>
  <c r="AD724" i="19"/>
  <c r="AC723" i="19"/>
  <c r="AH728" i="19"/>
  <c r="AG727" i="19"/>
  <c r="AC154" i="19"/>
  <c r="AD155" i="19"/>
  <c r="AH159" i="19"/>
  <c r="AE156" i="19"/>
  <c r="AG158" i="19"/>
  <c r="AF157" i="19"/>
  <c r="AF175" i="19"/>
  <c r="AD173" i="19"/>
  <c r="AG176" i="19"/>
  <c r="AC172" i="19"/>
  <c r="AE174" i="19"/>
  <c r="AH177" i="19"/>
  <c r="AH563" i="19"/>
  <c r="AD559" i="19"/>
  <c r="AG562" i="19"/>
  <c r="AF561" i="19"/>
  <c r="AC558" i="19"/>
  <c r="AE560" i="19"/>
  <c r="AF823" i="19"/>
  <c r="AD821" i="19"/>
  <c r="AE822" i="19"/>
  <c r="AC820" i="19"/>
  <c r="AD511" i="19"/>
  <c r="AE512" i="19"/>
  <c r="AC510" i="19"/>
  <c r="AF513" i="19"/>
  <c r="AH515" i="19"/>
  <c r="AG514" i="19"/>
  <c r="AE799" i="19"/>
  <c r="AD798" i="19"/>
  <c r="AH802" i="19"/>
  <c r="AC797" i="19"/>
  <c r="AG801" i="19"/>
  <c r="AF800" i="19"/>
  <c r="AH570" i="19"/>
  <c r="AD566" i="19"/>
  <c r="AG569" i="19"/>
  <c r="AE567" i="19"/>
  <c r="AF568" i="19"/>
  <c r="AC565" i="19"/>
  <c r="AC288" i="19"/>
  <c r="AE290" i="19"/>
  <c r="AH293" i="19"/>
  <c r="AF291" i="19"/>
  <c r="AD289" i="19"/>
  <c r="AG292" i="19"/>
  <c r="AH50" i="19"/>
  <c r="AC45" i="19"/>
  <c r="AF48" i="19"/>
  <c r="AD46" i="19"/>
  <c r="AE47" i="19"/>
  <c r="AG49" i="19"/>
  <c r="AC685" i="19"/>
  <c r="AD686" i="19"/>
  <c r="AF688" i="19"/>
  <c r="AH690" i="19"/>
  <c r="AE687" i="19"/>
  <c r="AG689" i="19"/>
  <c r="AH279" i="19"/>
  <c r="AE276" i="19"/>
  <c r="AF277" i="19"/>
  <c r="AC274" i="19"/>
  <c r="AD275" i="19"/>
  <c r="AG278" i="19"/>
  <c r="AF664" i="19"/>
  <c r="AH666" i="19"/>
  <c r="AE663" i="19"/>
  <c r="AD662" i="19"/>
  <c r="AC661" i="19"/>
  <c r="AG665" i="19"/>
  <c r="AC68" i="19"/>
  <c r="AG72" i="19"/>
  <c r="AD69" i="19"/>
  <c r="AF71" i="19"/>
  <c r="AE70" i="19"/>
  <c r="AH73" i="19"/>
  <c r="AD491" i="19"/>
  <c r="AE492" i="19"/>
  <c r="AF493" i="19"/>
  <c r="AH495" i="19"/>
  <c r="AC490" i="19"/>
  <c r="AG494" i="19"/>
  <c r="AD553" i="19"/>
  <c r="AG556" i="19"/>
  <c r="AC552" i="19"/>
  <c r="AF555" i="19"/>
  <c r="AE554" i="19"/>
  <c r="AH557" i="19"/>
  <c r="AE482" i="19"/>
  <c r="AG484" i="19"/>
  <c r="AF483" i="19"/>
  <c r="AC480" i="19"/>
  <c r="AH485" i="19"/>
  <c r="AD481" i="19"/>
  <c r="AG170" i="19"/>
  <c r="AH171" i="19"/>
  <c r="AD167" i="19"/>
  <c r="AE168" i="19"/>
  <c r="AC166" i="19"/>
  <c r="AF169" i="19"/>
  <c r="AF90" i="19"/>
  <c r="AG91" i="19"/>
  <c r="AC87" i="19"/>
  <c r="AE89" i="19"/>
  <c r="AD88" i="19"/>
  <c r="AH92" i="19"/>
  <c r="AC174" i="19"/>
  <c r="AD175" i="19"/>
  <c r="AG178" i="19"/>
  <c r="AH179" i="19"/>
  <c r="AE176" i="19"/>
  <c r="AF177" i="19"/>
  <c r="AE745" i="19"/>
  <c r="AF746" i="19"/>
  <c r="AD744" i="19"/>
  <c r="AC743" i="19"/>
  <c r="AH748" i="19"/>
  <c r="AG747" i="19"/>
  <c r="AE318" i="19"/>
  <c r="AF319" i="19"/>
  <c r="AC316" i="19"/>
  <c r="AH321" i="19"/>
  <c r="AG320" i="19"/>
  <c r="AD317" i="19"/>
  <c r="AF497" i="19"/>
  <c r="AE496" i="19"/>
  <c r="AG498" i="19"/>
  <c r="AH499" i="19"/>
  <c r="AC494" i="19"/>
  <c r="AD495" i="19"/>
  <c r="AF599" i="19"/>
  <c r="AH601" i="19"/>
  <c r="AC596" i="19"/>
  <c r="AE598" i="19"/>
  <c r="AD597" i="19"/>
  <c r="AG600" i="19"/>
  <c r="AF145" i="19"/>
  <c r="AH147" i="19"/>
  <c r="AC142" i="19"/>
  <c r="AG146" i="19"/>
  <c r="AD143" i="19"/>
  <c r="AE144" i="19"/>
  <c r="AD725" i="19"/>
  <c r="AG728" i="19"/>
  <c r="AC724" i="19"/>
  <c r="AE726" i="19"/>
  <c r="AH729" i="19"/>
  <c r="AF727" i="19"/>
  <c r="AC179" i="19"/>
  <c r="AD180" i="19"/>
  <c r="AF182" i="19"/>
  <c r="AG183" i="19"/>
  <c r="AE181" i="19"/>
  <c r="AH184" i="19"/>
  <c r="AG112" i="19"/>
  <c r="AE110" i="19"/>
  <c r="AC108" i="19"/>
  <c r="AD109" i="19"/>
  <c r="AH113" i="19"/>
  <c r="AF111" i="19"/>
  <c r="AH204" i="19"/>
  <c r="AC199" i="19"/>
  <c r="AD200" i="19"/>
  <c r="AE201" i="19"/>
  <c r="AG203" i="19"/>
  <c r="AF202" i="19"/>
  <c r="AH502" i="19"/>
  <c r="AG501" i="19"/>
  <c r="AD498" i="19"/>
  <c r="AE499" i="19"/>
  <c r="AF500" i="19"/>
  <c r="AC497" i="19"/>
  <c r="AF809" i="19"/>
  <c r="AG810" i="19"/>
  <c r="AC806" i="19"/>
  <c r="AH811" i="19"/>
  <c r="AD807" i="19"/>
  <c r="AE808" i="19"/>
  <c r="AC521" i="19"/>
  <c r="AD522" i="19"/>
  <c r="AH526" i="19"/>
  <c r="AE523" i="19"/>
  <c r="AF524" i="19"/>
  <c r="AG525" i="19"/>
  <c r="AC189" i="19"/>
  <c r="AD190" i="19"/>
  <c r="AF192" i="19"/>
  <c r="AG193" i="19"/>
  <c r="AH194" i="19"/>
  <c r="AE191" i="19"/>
  <c r="AF438" i="19"/>
  <c r="AH440" i="19"/>
  <c r="AC435" i="19"/>
  <c r="AE437" i="19"/>
  <c r="AG439" i="19"/>
  <c r="AD436" i="19"/>
  <c r="AC164" i="19"/>
  <c r="AD165" i="19"/>
  <c r="AH169" i="19"/>
  <c r="AF167" i="19"/>
  <c r="AG168" i="19"/>
  <c r="AE166" i="19"/>
  <c r="AD5" i="19"/>
  <c r="AH9" i="19"/>
  <c r="AG8" i="19"/>
  <c r="AE6" i="19"/>
  <c r="AC4" i="19"/>
  <c r="AF7" i="19"/>
  <c r="AD740" i="19"/>
  <c r="AF742" i="19"/>
  <c r="AE741" i="19"/>
  <c r="AC739" i="19"/>
  <c r="AH744" i="19"/>
  <c r="AG743" i="19"/>
  <c r="AH549" i="19"/>
  <c r="AD545" i="19"/>
  <c r="AG548" i="19"/>
  <c r="AE546" i="19"/>
  <c r="AC544" i="19"/>
  <c r="AF547" i="19"/>
  <c r="AD526" i="19"/>
  <c r="AE527" i="19"/>
  <c r="AG529" i="19"/>
  <c r="AH530" i="19"/>
  <c r="AC525" i="19"/>
  <c r="AF528" i="19"/>
  <c r="AC491" i="19"/>
  <c r="AE493" i="19"/>
  <c r="AG495" i="19"/>
  <c r="AH496" i="19"/>
  <c r="AF494" i="19"/>
  <c r="AD492" i="19"/>
  <c r="AC169" i="19"/>
  <c r="AD170" i="19"/>
  <c r="AF172" i="19"/>
  <c r="AH174" i="19"/>
  <c r="AE171" i="19"/>
  <c r="AG173" i="19"/>
  <c r="AH805" i="19"/>
  <c r="AE802" i="19"/>
  <c r="AF803" i="19"/>
  <c r="AD801" i="19"/>
  <c r="AG804" i="19"/>
  <c r="AC800" i="19"/>
  <c r="AC293" i="19"/>
  <c r="AE295" i="19"/>
  <c r="AF296" i="19"/>
  <c r="AH298" i="19"/>
  <c r="AD294" i="19"/>
  <c r="AG297" i="19"/>
  <c r="AC618" i="19"/>
  <c r="AF621" i="19"/>
  <c r="AH623" i="19"/>
  <c r="AG622" i="19"/>
  <c r="AE620" i="19"/>
  <c r="AD619" i="19"/>
  <c r="AF58" i="19"/>
  <c r="AE57" i="19"/>
  <c r="AH60" i="19"/>
  <c r="AG59" i="19"/>
  <c r="AD56" i="19"/>
  <c r="AC55" i="19"/>
  <c r="AH433" i="19"/>
  <c r="AG432" i="19"/>
  <c r="AE430" i="19"/>
  <c r="AF431" i="19"/>
  <c r="AC428" i="19"/>
  <c r="AD429" i="19"/>
  <c r="AH234" i="19"/>
  <c r="AG233" i="19"/>
  <c r="AE231" i="19"/>
  <c r="AC229" i="19"/>
  <c r="AD230" i="19"/>
  <c r="AF232" i="19"/>
  <c r="AF115" i="19"/>
  <c r="AE114" i="19"/>
  <c r="AD113" i="19"/>
  <c r="AG116" i="19"/>
  <c r="AH117" i="19"/>
  <c r="AC112" i="19"/>
  <c r="AE233" i="19"/>
  <c r="AG235" i="19"/>
  <c r="AF234" i="19"/>
  <c r="AH236" i="19"/>
  <c r="AC231" i="19"/>
  <c r="AD232" i="19"/>
  <c r="AF639" i="19"/>
  <c r="AH641" i="19"/>
  <c r="AE638" i="19"/>
  <c r="AG640" i="19"/>
  <c r="AC636" i="19"/>
  <c r="AD637" i="19"/>
  <c r="AG150" i="19"/>
  <c r="AH151" i="19"/>
  <c r="AF149" i="19"/>
  <c r="AD147" i="19"/>
  <c r="AC146" i="19"/>
  <c r="AE148" i="19"/>
  <c r="AC760" i="19"/>
  <c r="AH765" i="19"/>
  <c r="AE762" i="19"/>
  <c r="AD761" i="19"/>
  <c r="AF763" i="19"/>
  <c r="AG764" i="19"/>
  <c r="AF68" i="19"/>
  <c r="AC65" i="19"/>
  <c r="AE67" i="19"/>
  <c r="AH70" i="19"/>
  <c r="AG69" i="19"/>
  <c r="AD66" i="19"/>
  <c r="AD628" i="19"/>
  <c r="AE629" i="19"/>
  <c r="AH632" i="19"/>
  <c r="AC627" i="19"/>
  <c r="AF630" i="19"/>
  <c r="AG631" i="19"/>
  <c r="AD447" i="19"/>
  <c r="AE448" i="19"/>
  <c r="AH451" i="19"/>
  <c r="AF449" i="19"/>
  <c r="AC446" i="19"/>
  <c r="AG450" i="19"/>
  <c r="AC705" i="19"/>
  <c r="AD706" i="19"/>
  <c r="AF708" i="19"/>
  <c r="AH710" i="19"/>
  <c r="AG709" i="19"/>
  <c r="AE707" i="19"/>
  <c r="AG142" i="19"/>
  <c r="AF141" i="19"/>
  <c r="AD139" i="19"/>
  <c r="AH143" i="19"/>
  <c r="AE140" i="19"/>
  <c r="AC138" i="19"/>
  <c r="AG393" i="19"/>
  <c r="AH394" i="19"/>
  <c r="AF392" i="19"/>
  <c r="AC389" i="19"/>
  <c r="AD390" i="19"/>
  <c r="AE391" i="19"/>
  <c r="AC822" i="19"/>
  <c r="AD823" i="19"/>
  <c r="AD377" i="19"/>
  <c r="AG380" i="19"/>
  <c r="AC376" i="19"/>
  <c r="AF379" i="19"/>
  <c r="AH381" i="19"/>
  <c r="AE378" i="19"/>
  <c r="AG162" i="19"/>
  <c r="AE160" i="19"/>
  <c r="AC158" i="19"/>
  <c r="AH163" i="19"/>
  <c r="AF161" i="19"/>
  <c r="AD159" i="19"/>
  <c r="AF624" i="19"/>
  <c r="AH626" i="19"/>
  <c r="AC621" i="19"/>
  <c r="AE623" i="19"/>
  <c r="AD622" i="19"/>
  <c r="AG625" i="19"/>
  <c r="AE253" i="19"/>
  <c r="AC251" i="19"/>
  <c r="AG255" i="19"/>
  <c r="AD252" i="19"/>
  <c r="AF254" i="19"/>
  <c r="AH256" i="19"/>
  <c r="AG110" i="19"/>
  <c r="AH111" i="19"/>
  <c r="AE108" i="19"/>
  <c r="AC106" i="19"/>
  <c r="AF109" i="19"/>
  <c r="AD107" i="19"/>
  <c r="AF472" i="19"/>
  <c r="AH474" i="19"/>
  <c r="AG473" i="19"/>
  <c r="AE471" i="19"/>
  <c r="AD470" i="19"/>
  <c r="AC469" i="19"/>
  <c r="AC730" i="19"/>
  <c r="AF733" i="19"/>
  <c r="AE732" i="19"/>
  <c r="AH735" i="19"/>
  <c r="AD731" i="19"/>
  <c r="AG734" i="19"/>
  <c r="AD268" i="19"/>
  <c r="AG271" i="19"/>
  <c r="AF270" i="19"/>
  <c r="AE269" i="19"/>
  <c r="AH272" i="19"/>
  <c r="AC267" i="19"/>
  <c r="AG144" i="19"/>
  <c r="AD141" i="19"/>
  <c r="AE142" i="19"/>
  <c r="AF143" i="19"/>
  <c r="AC140" i="19"/>
  <c r="AH145" i="19"/>
  <c r="AH564" i="19"/>
  <c r="AG563" i="19"/>
  <c r="AC559" i="19"/>
  <c r="AF562" i="19"/>
  <c r="AE561" i="19"/>
  <c r="AD560" i="19"/>
  <c r="AC437" i="19"/>
  <c r="AD438" i="19"/>
  <c r="AG441" i="19"/>
  <c r="AE439" i="19"/>
  <c r="AH442" i="19"/>
  <c r="AF440" i="19"/>
  <c r="AE700" i="19"/>
  <c r="AF701" i="19"/>
  <c r="AG702" i="19"/>
  <c r="AC698" i="19"/>
  <c r="AD699" i="19"/>
  <c r="AH703" i="19"/>
  <c r="AG134" i="19"/>
  <c r="AE132" i="19"/>
  <c r="AD131" i="19"/>
  <c r="AF133" i="19"/>
  <c r="AH135" i="19"/>
  <c r="AC130" i="19"/>
  <c r="AH671" i="19"/>
  <c r="AF669" i="19"/>
  <c r="AC666" i="19"/>
  <c r="AG670" i="19"/>
  <c r="AE668" i="19"/>
  <c r="AD667" i="19"/>
  <c r="AE770" i="19"/>
  <c r="AF771" i="19"/>
  <c r="AH773" i="19"/>
  <c r="AG772" i="19"/>
  <c r="AD769" i="19"/>
  <c r="AC768" i="19"/>
  <c r="AE680" i="19"/>
  <c r="AF681" i="19"/>
  <c r="AH683" i="19"/>
  <c r="AG682" i="19"/>
  <c r="AC678" i="19"/>
  <c r="AD679" i="19"/>
  <c r="AC471" i="19"/>
  <c r="AH476" i="19"/>
  <c r="AD472" i="19"/>
  <c r="AF474" i="19"/>
  <c r="AE473" i="19"/>
  <c r="AG475" i="19"/>
  <c r="AG517" i="19"/>
  <c r="AH518" i="19"/>
  <c r="AE515" i="19"/>
  <c r="AF516" i="19"/>
  <c r="AD514" i="19"/>
  <c r="AC513" i="19"/>
  <c r="AG269" i="19"/>
  <c r="AH270" i="19"/>
  <c r="AF268" i="19"/>
  <c r="AE267" i="19"/>
  <c r="AD266" i="19"/>
  <c r="AC265" i="19"/>
  <c r="AG100" i="19"/>
  <c r="AH101" i="19"/>
  <c r="AD97" i="19"/>
  <c r="AE98" i="19"/>
  <c r="AF99" i="19"/>
  <c r="AC96" i="19"/>
  <c r="AD338" i="19"/>
  <c r="AH342" i="19"/>
  <c r="AG341" i="19"/>
  <c r="AF340" i="19"/>
  <c r="AC337" i="19"/>
  <c r="AE339" i="19"/>
  <c r="AD258" i="19"/>
  <c r="AF260" i="19"/>
  <c r="AE259" i="19"/>
  <c r="AG261" i="19"/>
  <c r="AH262" i="19"/>
  <c r="AC257" i="19"/>
  <c r="AF576" i="19"/>
  <c r="AE575" i="19"/>
  <c r="AC573" i="19"/>
  <c r="AH578" i="19"/>
  <c r="AG577" i="19"/>
  <c r="AD574" i="19"/>
  <c r="AC253" i="19"/>
  <c r="AE255" i="19"/>
  <c r="AD254" i="19"/>
  <c r="AF256" i="19"/>
  <c r="AG257" i="19"/>
  <c r="AH258" i="19"/>
  <c r="AC397" i="19"/>
  <c r="AD398" i="19"/>
  <c r="AF400" i="19"/>
  <c r="AG401" i="19"/>
  <c r="AE399" i="19"/>
  <c r="AH402" i="19"/>
  <c r="AG706" i="19"/>
  <c r="AH707" i="19"/>
  <c r="AD703" i="19"/>
  <c r="AE704" i="19"/>
  <c r="AF705" i="19"/>
  <c r="AC702" i="19"/>
  <c r="AG97" i="19"/>
  <c r="AE95" i="19"/>
  <c r="AH98" i="19"/>
  <c r="AF96" i="19"/>
  <c r="AD94" i="19"/>
  <c r="AC93" i="19"/>
  <c r="AE740" i="19"/>
  <c r="AF741" i="19"/>
  <c r="AG742" i="19"/>
  <c r="AH743" i="19"/>
  <c r="AC738" i="19"/>
  <c r="AD739" i="19"/>
  <c r="AH569" i="19"/>
  <c r="AE566" i="19"/>
  <c r="AF567" i="19"/>
  <c r="AC564" i="19"/>
  <c r="AD565" i="19"/>
  <c r="AG568" i="19"/>
  <c r="AE735" i="19"/>
  <c r="AF736" i="19"/>
  <c r="AC733" i="19"/>
  <c r="AH738" i="19"/>
  <c r="AD734" i="19"/>
  <c r="AG737" i="19"/>
  <c r="AD33" i="19"/>
  <c r="AG36" i="19"/>
  <c r="AF35" i="19"/>
  <c r="AC32" i="19"/>
  <c r="AE34" i="19"/>
  <c r="AH37" i="19"/>
  <c r="AC511" i="19"/>
  <c r="AD512" i="19"/>
  <c r="AG515" i="19"/>
  <c r="AE513" i="19"/>
  <c r="AH516" i="19"/>
  <c r="AF514" i="19"/>
  <c r="AD18" i="19"/>
  <c r="AH22" i="19"/>
  <c r="AF20" i="19"/>
  <c r="AG21" i="19"/>
  <c r="AC17" i="19"/>
  <c r="AE19" i="19"/>
  <c r="AH681" i="19"/>
  <c r="AD677" i="19"/>
  <c r="AF679" i="19"/>
  <c r="AC676" i="19"/>
  <c r="AE678" i="19"/>
  <c r="AG680" i="19"/>
  <c r="AH472" i="19"/>
  <c r="AC467" i="19"/>
  <c r="AD468" i="19"/>
  <c r="AG471" i="19"/>
  <c r="AF470" i="19"/>
  <c r="AE469" i="19"/>
  <c r="AD233" i="19"/>
  <c r="AE234" i="19"/>
  <c r="AF235" i="19"/>
  <c r="AH237" i="19"/>
  <c r="AG236" i="19"/>
  <c r="AC232" i="19"/>
  <c r="AH378" i="19"/>
  <c r="AG377" i="19"/>
  <c r="AC373" i="19"/>
  <c r="AD374" i="19"/>
  <c r="AF376" i="19"/>
  <c r="AE375" i="19"/>
  <c r="AH54" i="19"/>
  <c r="AD50" i="19"/>
  <c r="AC49" i="19"/>
  <c r="AG53" i="19"/>
  <c r="AF52" i="19"/>
  <c r="AE51" i="19"/>
  <c r="AH726" i="19"/>
  <c r="AF724" i="19"/>
  <c r="AE723" i="19"/>
  <c r="AD722" i="19"/>
  <c r="AG725" i="19"/>
  <c r="AC721" i="19"/>
  <c r="AH373" i="19"/>
  <c r="AG372" i="19"/>
  <c r="AD369" i="19"/>
  <c r="AF371" i="19"/>
  <c r="AC368" i="19"/>
  <c r="AE370" i="19"/>
  <c r="AD720" i="19"/>
  <c r="AF722" i="19"/>
  <c r="AE721" i="19"/>
  <c r="AH724" i="19"/>
  <c r="AG723" i="19"/>
  <c r="AC719" i="19"/>
  <c r="AG423" i="19"/>
  <c r="AH424" i="19"/>
  <c r="AE421" i="19"/>
  <c r="AF422" i="19"/>
  <c r="AD420" i="19"/>
  <c r="AC419" i="19"/>
  <c r="AG70" i="19"/>
  <c r="AE68" i="19"/>
  <c r="AH71" i="19"/>
  <c r="AD67" i="19"/>
  <c r="AF69" i="19"/>
  <c r="AC66" i="19"/>
  <c r="AC103" i="19"/>
  <c r="AH108" i="19"/>
  <c r="AF106" i="19"/>
  <c r="AD104" i="19"/>
  <c r="AE105" i="19"/>
  <c r="AG107" i="19"/>
  <c r="AD710" i="19"/>
  <c r="AG713" i="19"/>
  <c r="AF712" i="19"/>
  <c r="AE711" i="19"/>
  <c r="AH714" i="19"/>
  <c r="AC709" i="19"/>
  <c r="AF566" i="19"/>
  <c r="AG567" i="19"/>
  <c r="AC563" i="19"/>
  <c r="AD564" i="19"/>
  <c r="AH568" i="19"/>
  <c r="AE565" i="19"/>
  <c r="AE50" i="19"/>
  <c r="AC48" i="19"/>
  <c r="AD49" i="19"/>
  <c r="AH53" i="19"/>
  <c r="AG52" i="19"/>
  <c r="AF51" i="19"/>
  <c r="AG721" i="19"/>
  <c r="AC717" i="19"/>
  <c r="AH722" i="19"/>
  <c r="AD718" i="19"/>
  <c r="AE719" i="19"/>
  <c r="AF720" i="19"/>
  <c r="AF83" i="19"/>
  <c r="AC80" i="19"/>
  <c r="AH85" i="19"/>
  <c r="AD81" i="19"/>
  <c r="AG84" i="19"/>
  <c r="AE82" i="19"/>
  <c r="AD248" i="19"/>
  <c r="AH252" i="19"/>
  <c r="AG251" i="19"/>
  <c r="AF250" i="19"/>
  <c r="AE249" i="19"/>
  <c r="AC247" i="19"/>
  <c r="AH790" i="19"/>
  <c r="AG789" i="19"/>
  <c r="AC785" i="19"/>
  <c r="AE787" i="19"/>
  <c r="AD786" i="19"/>
  <c r="AF788" i="19"/>
  <c r="AD680" i="19"/>
  <c r="AH684" i="19"/>
  <c r="AG683" i="19"/>
  <c r="AE681" i="19"/>
  <c r="AF682" i="19"/>
  <c r="AC679" i="19"/>
  <c r="AD705" i="19"/>
  <c r="AG708" i="19"/>
  <c r="AC704" i="19"/>
  <c r="AE706" i="19"/>
  <c r="AH709" i="19"/>
  <c r="AF707" i="19"/>
  <c r="AG165" i="19"/>
  <c r="AH166" i="19"/>
  <c r="AD162" i="19"/>
  <c r="AF164" i="19"/>
  <c r="AC161" i="19"/>
  <c r="AE163" i="19"/>
  <c r="AD608" i="19"/>
  <c r="AE609" i="19"/>
  <c r="AF610" i="19"/>
  <c r="AC607" i="19"/>
  <c r="AH612" i="19"/>
  <c r="AG611" i="19"/>
  <c r="AG644" i="19"/>
  <c r="AD641" i="19"/>
  <c r="AH645" i="19"/>
  <c r="AF643" i="19"/>
  <c r="AC640" i="19"/>
  <c r="AE642" i="19"/>
  <c r="AH284" i="19"/>
  <c r="AD280" i="19"/>
  <c r="AF282" i="19"/>
  <c r="AE281" i="19"/>
  <c r="AG283" i="19"/>
  <c r="AC279" i="19"/>
  <c r="AD58" i="19"/>
  <c r="AG61" i="19"/>
  <c r="AH62" i="19"/>
  <c r="AE59" i="19"/>
  <c r="AF60" i="19"/>
  <c r="AC57" i="19"/>
  <c r="AH604" i="19"/>
  <c r="AD600" i="19"/>
  <c r="AF602" i="19"/>
  <c r="AC599" i="19"/>
  <c r="AG603" i="19"/>
  <c r="AE601" i="19"/>
  <c r="AE130" i="19"/>
  <c r="AH133" i="19"/>
  <c r="AC128" i="19"/>
  <c r="AF131" i="19"/>
  <c r="AD129" i="19"/>
  <c r="AG132" i="19"/>
  <c r="AE821" i="19"/>
  <c r="AF822" i="19"/>
  <c r="AG823" i="19"/>
  <c r="AD820" i="19"/>
  <c r="AC819" i="19"/>
  <c r="AF559" i="19"/>
  <c r="AH561" i="19"/>
  <c r="AC556" i="19"/>
  <c r="AE558" i="19"/>
  <c r="AD557" i="19"/>
  <c r="AG560" i="19"/>
  <c r="AG746" i="19"/>
  <c r="AH747" i="19"/>
  <c r="AD743" i="19"/>
  <c r="AE744" i="19"/>
  <c r="AC742" i="19"/>
  <c r="AF745" i="19"/>
  <c r="AG559" i="19"/>
  <c r="AC555" i="19"/>
  <c r="AH560" i="19"/>
  <c r="AD556" i="19"/>
  <c r="AF558" i="19"/>
  <c r="AE557" i="19"/>
  <c r="AF448" i="19"/>
  <c r="AE447" i="19"/>
  <c r="AC445" i="19"/>
  <c r="AG449" i="19"/>
  <c r="AD446" i="19"/>
  <c r="AH450" i="19"/>
  <c r="AF584" i="19"/>
  <c r="AH586" i="19"/>
  <c r="AE583" i="19"/>
  <c r="AD582" i="19"/>
  <c r="AC581" i="19"/>
  <c r="AG585" i="19"/>
  <c r="AC387" i="19"/>
  <c r="AD388" i="19"/>
  <c r="AH392" i="19"/>
  <c r="AF390" i="19"/>
  <c r="AG391" i="19"/>
  <c r="AE389" i="19"/>
  <c r="AF373" i="19"/>
  <c r="AH375" i="19"/>
  <c r="AE372" i="19"/>
  <c r="AC370" i="19"/>
  <c r="AD371" i="19"/>
  <c r="AG374" i="19"/>
  <c r="AE258" i="19"/>
  <c r="AG260" i="19"/>
  <c r="AF259" i="19"/>
  <c r="AH261" i="19"/>
  <c r="AC256" i="19"/>
  <c r="AD257" i="19"/>
  <c r="AC501" i="19"/>
  <c r="AD502" i="19"/>
  <c r="AH506" i="19"/>
  <c r="AE503" i="19"/>
  <c r="AF504" i="19"/>
  <c r="AG505" i="19"/>
  <c r="AC159" i="19"/>
  <c r="AD160" i="19"/>
  <c r="AF162" i="19"/>
  <c r="AH164" i="19"/>
  <c r="AG163" i="19"/>
  <c r="AE161" i="19"/>
  <c r="AE208" i="19"/>
  <c r="AH211" i="19"/>
  <c r="AD207" i="19"/>
  <c r="AC206" i="19"/>
  <c r="AG210" i="19"/>
  <c r="AF209" i="19"/>
  <c r="AF482" i="19"/>
  <c r="AH484" i="19"/>
  <c r="AC479" i="19"/>
  <c r="AE481" i="19"/>
  <c r="AD480" i="19"/>
  <c r="AG483" i="19"/>
  <c r="AC628" i="19"/>
  <c r="AE630" i="19"/>
  <c r="AG632" i="19"/>
  <c r="AH633" i="19"/>
  <c r="AF631" i="19"/>
  <c r="AD629" i="19"/>
  <c r="AE402" i="19"/>
  <c r="AD401" i="19"/>
  <c r="AH405" i="19"/>
  <c r="AG404" i="19"/>
  <c r="AC400" i="19"/>
  <c r="AF403" i="19"/>
  <c r="AC228" i="19"/>
  <c r="AH233" i="19"/>
  <c r="AF231" i="19"/>
  <c r="AD229" i="19"/>
  <c r="AE230" i="19"/>
  <c r="AG232" i="19"/>
  <c r="AE348" i="19"/>
  <c r="AF349" i="19"/>
  <c r="AD347" i="19"/>
  <c r="AG350" i="19"/>
  <c r="AC346" i="19"/>
  <c r="AH351" i="19"/>
  <c r="AE809" i="19"/>
  <c r="AG811" i="19"/>
  <c r="AF810" i="19"/>
  <c r="AD808" i="19"/>
  <c r="AC807" i="19"/>
  <c r="AH812" i="19"/>
  <c r="AG80" i="19"/>
  <c r="AH81" i="19"/>
  <c r="AE78" i="19"/>
  <c r="AC76" i="19"/>
  <c r="AD77" i="19"/>
  <c r="AF79" i="19"/>
  <c r="AD407" i="19"/>
  <c r="AE408" i="19"/>
  <c r="AG410" i="19"/>
  <c r="AC406" i="19"/>
  <c r="AF409" i="19"/>
  <c r="AH411" i="19"/>
  <c r="AF65" i="19"/>
  <c r="AH67" i="19"/>
  <c r="AG66" i="19"/>
  <c r="AC62" i="19"/>
  <c r="AD63" i="19"/>
  <c r="AE64" i="19"/>
  <c r="AD598" i="19"/>
  <c r="AE599" i="19"/>
  <c r="AC597" i="19"/>
  <c r="AH602" i="19"/>
  <c r="AF600" i="19"/>
  <c r="AG601" i="19"/>
  <c r="AD218" i="19"/>
  <c r="AE219" i="19"/>
  <c r="AH222" i="19"/>
  <c r="AF220" i="19"/>
  <c r="AG221" i="19"/>
  <c r="AC217" i="19"/>
  <c r="AD745" i="19"/>
  <c r="AG748" i="19"/>
  <c r="AC744" i="19"/>
  <c r="AH749" i="19"/>
  <c r="AF747" i="19"/>
  <c r="AE746" i="19"/>
  <c r="AG512" i="19"/>
  <c r="AH513" i="19"/>
  <c r="AD509" i="19"/>
  <c r="AF511" i="19"/>
  <c r="AC508" i="19"/>
  <c r="AE510" i="19"/>
  <c r="AC220" i="19"/>
  <c r="AF223" i="19"/>
  <c r="AE222" i="19"/>
  <c r="AD221" i="19"/>
  <c r="AG224" i="19"/>
  <c r="AH225" i="19"/>
  <c r="AD25" i="20"/>
  <c r="BA18" i="19" l="1"/>
  <c r="AX18" i="19" s="1"/>
  <c r="AZ18" i="19" s="1"/>
  <c r="AG25" i="20"/>
  <c r="I14" i="11"/>
  <c r="BA19" i="19"/>
  <c r="AX19" i="19" s="1"/>
  <c r="AZ19" i="19" s="1"/>
  <c r="D17" i="15"/>
  <c r="D33" i="15"/>
  <c r="J10" i="11"/>
  <c r="J11" i="11" l="1"/>
  <c r="D32" i="15"/>
  <c r="AD59" i="20"/>
  <c r="AB60" i="20"/>
  <c r="I15" i="11"/>
  <c r="I16" i="11" l="1"/>
  <c r="J12" i="11"/>
  <c r="J13" i="11" l="1"/>
  <c r="I17" i="11"/>
  <c r="I18" i="11" l="1"/>
  <c r="J14" i="11"/>
  <c r="J15" i="11" l="1"/>
  <c r="I19" i="11"/>
  <c r="I20" i="11" l="1"/>
  <c r="J16" i="11"/>
  <c r="J17" i="11" l="1"/>
  <c r="I21" i="11"/>
  <c r="I22" i="11" l="1"/>
  <c r="J18" i="11"/>
  <c r="J19" i="11" l="1"/>
  <c r="I23" i="11"/>
  <c r="I24" i="11" l="1"/>
  <c r="J20" i="11"/>
  <c r="J21" i="11" l="1"/>
  <c r="I25" i="11"/>
  <c r="I26" i="11" l="1"/>
  <c r="J22" i="11"/>
  <c r="J23" i="11" l="1"/>
  <c r="I27" i="11"/>
  <c r="I28" i="11" l="1"/>
  <c r="J24" i="11"/>
  <c r="J25" i="11" l="1"/>
  <c r="I29" i="11"/>
  <c r="I30" i="11" l="1"/>
  <c r="J26" i="11"/>
  <c r="J27" i="11" l="1"/>
  <c r="I31" i="11"/>
  <c r="I32" i="11" l="1"/>
  <c r="J28" i="11"/>
  <c r="J29" i="11" l="1"/>
  <c r="I33" i="11"/>
  <c r="I34" i="11" l="1"/>
  <c r="J30" i="11"/>
  <c r="J31" i="11" l="1"/>
  <c r="I35" i="11"/>
  <c r="I36" i="11" l="1"/>
  <c r="J32" i="11"/>
  <c r="J33" i="11" l="1"/>
  <c r="I37" i="11"/>
  <c r="I38" i="11" l="1"/>
  <c r="J34" i="11"/>
  <c r="J35" i="11" l="1"/>
  <c r="I39" i="11"/>
  <c r="I40" i="11" l="1"/>
  <c r="J36" i="11"/>
  <c r="J37" i="11" l="1"/>
  <c r="I41" i="11"/>
  <c r="I42" i="11" l="1"/>
  <c r="J38" i="11"/>
  <c r="J39" i="11" l="1"/>
  <c r="I43" i="11"/>
  <c r="I44" i="11" l="1"/>
  <c r="J40" i="11"/>
  <c r="J41" i="11" l="1"/>
  <c r="I45" i="11"/>
  <c r="I46" i="11" l="1"/>
  <c r="J42" i="11"/>
  <c r="J43" i="11" l="1"/>
  <c r="I47" i="11"/>
  <c r="I48" i="11" l="1"/>
  <c r="J44" i="11"/>
  <c r="J45" i="11" l="1"/>
  <c r="I49" i="11"/>
  <c r="I50" i="11" l="1"/>
  <c r="J46" i="11"/>
  <c r="J47" i="11" l="1"/>
  <c r="I51" i="11"/>
  <c r="I52" i="11" l="1"/>
  <c r="J48" i="11"/>
  <c r="J49" i="11" l="1"/>
  <c r="I53" i="11"/>
  <c r="I54" i="11" l="1"/>
  <c r="J50" i="11"/>
  <c r="J51" i="11" l="1"/>
  <c r="I55" i="11"/>
  <c r="I56" i="11" l="1"/>
  <c r="J52" i="11"/>
  <c r="J53" i="11" l="1"/>
  <c r="I57" i="11"/>
  <c r="I58" i="11" l="1"/>
  <c r="J54" i="11"/>
  <c r="J55" i="11" l="1"/>
  <c r="I59" i="11"/>
  <c r="I60" i="11" l="1"/>
  <c r="J56" i="11"/>
  <c r="J57" i="11" l="1"/>
  <c r="I61" i="11"/>
  <c r="I62" i="11" l="1"/>
  <c r="J58" i="11"/>
  <c r="J59" i="11" l="1"/>
  <c r="I63" i="11"/>
  <c r="I64" i="11" l="1"/>
  <c r="J60" i="11"/>
  <c r="J61" i="11" l="1"/>
  <c r="I65" i="11"/>
  <c r="I66" i="11" l="1"/>
  <c r="J62" i="11"/>
  <c r="J63" i="11" l="1"/>
  <c r="I67" i="11"/>
  <c r="I68" i="11" l="1"/>
  <c r="J64" i="11"/>
  <c r="J65" i="11" l="1"/>
  <c r="I69" i="11"/>
  <c r="I70" i="11" l="1"/>
  <c r="J66" i="11"/>
  <c r="J67" i="11" l="1"/>
  <c r="I71" i="11"/>
  <c r="I72" i="11" l="1"/>
  <c r="J68" i="11"/>
  <c r="J69" i="11" l="1"/>
  <c r="I73" i="11"/>
  <c r="I74" i="11" l="1"/>
  <c r="J70" i="11"/>
  <c r="J71" i="11" l="1"/>
  <c r="I75" i="11"/>
  <c r="I76" i="11" l="1"/>
  <c r="J72" i="11"/>
  <c r="J73" i="11" l="1"/>
  <c r="I77" i="11"/>
  <c r="I78" i="11" l="1"/>
  <c r="J74" i="11"/>
  <c r="J75" i="11" l="1"/>
  <c r="I79" i="11"/>
  <c r="I80" i="11" l="1"/>
  <c r="J76" i="11"/>
  <c r="J77" i="11" l="1"/>
  <c r="I81" i="11"/>
  <c r="I82" i="11" l="1"/>
  <c r="J78" i="11"/>
  <c r="J79" i="11" l="1"/>
  <c r="I83" i="11"/>
  <c r="I84" i="11" l="1"/>
  <c r="J80" i="11"/>
  <c r="J81" i="11" l="1"/>
  <c r="I85" i="11"/>
  <c r="I86" i="11" l="1"/>
  <c r="J82" i="11"/>
  <c r="J83" i="11" l="1"/>
  <c r="I87" i="11"/>
  <c r="I88" i="11" l="1"/>
  <c r="J84" i="11"/>
  <c r="J85" i="11" l="1"/>
  <c r="I89" i="11"/>
  <c r="I90" i="11" l="1"/>
  <c r="J86" i="11"/>
  <c r="J87" i="11" l="1"/>
  <c r="I91" i="11"/>
  <c r="I92" i="11" l="1"/>
  <c r="J88" i="11"/>
  <c r="J89" i="11" l="1"/>
  <c r="I93" i="11"/>
  <c r="I94" i="11" l="1"/>
  <c r="J90" i="11"/>
  <c r="J91" i="11" l="1"/>
  <c r="I95" i="11"/>
  <c r="I96" i="11" l="1"/>
  <c r="J92" i="11"/>
  <c r="J93" i="11" l="1"/>
  <c r="I97" i="11"/>
  <c r="I98" i="11" l="1"/>
  <c r="J94" i="11"/>
  <c r="J95" i="11" l="1"/>
  <c r="I99" i="11"/>
  <c r="I100" i="11" l="1"/>
  <c r="J96" i="11"/>
  <c r="J97" i="11" l="1"/>
  <c r="I101" i="11"/>
  <c r="I102" i="11" l="1"/>
  <c r="J98" i="11"/>
  <c r="J99" i="11" l="1"/>
  <c r="I103" i="11"/>
  <c r="I104" i="11" l="1"/>
  <c r="J100" i="11"/>
  <c r="J101" i="11" l="1"/>
  <c r="I105" i="11"/>
  <c r="I106" i="11" l="1"/>
  <c r="J102" i="11"/>
  <c r="J103" i="11" l="1"/>
  <c r="I107" i="11"/>
  <c r="I108" i="11" l="1"/>
  <c r="J104" i="11"/>
  <c r="J105" i="11" l="1"/>
  <c r="I109" i="11"/>
  <c r="I110" i="11" l="1"/>
  <c r="J106" i="11"/>
  <c r="J107" i="11" l="1"/>
  <c r="I111" i="11"/>
  <c r="I112" i="11" l="1"/>
  <c r="J108" i="11"/>
  <c r="J109" i="11" l="1"/>
  <c r="I113" i="11"/>
  <c r="I114" i="11" l="1"/>
  <c r="J110" i="11"/>
  <c r="J111" i="11" l="1"/>
  <c r="I115" i="11"/>
  <c r="I116" i="11" l="1"/>
  <c r="J112" i="11"/>
  <c r="J113" i="11" l="1"/>
  <c r="I117" i="11"/>
  <c r="I118" i="11" l="1"/>
  <c r="J114" i="11"/>
  <c r="J115" i="11" l="1"/>
  <c r="I119" i="11"/>
  <c r="I120" i="11" l="1"/>
  <c r="J116" i="11"/>
  <c r="J117" i="11" l="1"/>
  <c r="I121" i="11"/>
  <c r="I122" i="11" l="1"/>
  <c r="J118" i="11"/>
  <c r="J119" i="11" l="1"/>
  <c r="I123" i="11"/>
  <c r="I124" i="11" l="1"/>
  <c r="J120" i="11"/>
  <c r="J121" i="11" l="1"/>
  <c r="I125" i="11"/>
  <c r="I126" i="11" l="1"/>
  <c r="J122" i="11"/>
  <c r="J123" i="11" l="1"/>
  <c r="I127" i="11"/>
  <c r="I128" i="11" l="1"/>
  <c r="J124" i="11"/>
  <c r="J125" i="11" l="1"/>
  <c r="I129" i="11"/>
  <c r="I130" i="11" l="1"/>
  <c r="J126" i="11"/>
  <c r="J127" i="11" l="1"/>
  <c r="I131" i="11"/>
  <c r="I132" i="11" l="1"/>
  <c r="J128" i="11"/>
  <c r="J129" i="11" l="1"/>
  <c r="I133" i="11"/>
  <c r="I134" i="11" l="1"/>
  <c r="J130" i="11"/>
  <c r="J131" i="11" l="1"/>
  <c r="I135" i="11"/>
  <c r="I136" i="11" l="1"/>
  <c r="J132" i="11"/>
  <c r="J133" i="11" l="1"/>
  <c r="I137" i="11"/>
  <c r="I138" i="11" l="1"/>
  <c r="J134" i="11"/>
  <c r="J135" i="11" l="1"/>
  <c r="I139" i="11"/>
  <c r="I140" i="11" l="1"/>
  <c r="J136" i="11"/>
  <c r="J137" i="11" l="1"/>
  <c r="I141" i="11"/>
  <c r="I142" i="11" l="1"/>
  <c r="J138" i="11"/>
  <c r="J139" i="11" l="1"/>
  <c r="I143" i="11"/>
  <c r="I144" i="11" l="1"/>
  <c r="J140" i="11"/>
  <c r="J141" i="11" l="1"/>
  <c r="I145" i="11"/>
  <c r="I146" i="11" l="1"/>
  <c r="J142" i="11"/>
  <c r="J143" i="11" l="1"/>
  <c r="I147" i="11"/>
  <c r="I148" i="11" l="1"/>
  <c r="J144" i="11"/>
  <c r="J145" i="11" l="1"/>
  <c r="I149" i="11"/>
  <c r="I150" i="11" l="1"/>
  <c r="J146" i="11"/>
  <c r="J147" i="11" l="1"/>
  <c r="I151" i="11"/>
  <c r="I152" i="11" l="1"/>
  <c r="J148" i="11"/>
  <c r="J149" i="11" l="1"/>
  <c r="I153" i="11"/>
  <c r="I154" i="11" l="1"/>
  <c r="J150" i="11"/>
  <c r="J151" i="11" l="1"/>
  <c r="I155" i="11"/>
  <c r="I156" i="11" l="1"/>
  <c r="J152" i="11"/>
  <c r="J153" i="11" l="1"/>
  <c r="I157" i="11"/>
  <c r="I158" i="11" l="1"/>
  <c r="J154" i="11"/>
  <c r="J155" i="11" l="1"/>
  <c r="I159" i="11"/>
  <c r="I160" i="11" l="1"/>
  <c r="J156" i="11"/>
  <c r="J157" i="11" l="1"/>
  <c r="I161" i="11"/>
  <c r="I162" i="11" l="1"/>
  <c r="J158" i="11"/>
  <c r="J159" i="11" l="1"/>
  <c r="I163" i="11"/>
  <c r="I164" i="11" l="1"/>
  <c r="J160" i="11"/>
  <c r="J161" i="11" l="1"/>
  <c r="I165" i="11"/>
  <c r="I166" i="11" l="1"/>
  <c r="J162" i="11"/>
  <c r="J163" i="11" l="1"/>
  <c r="I167" i="11"/>
  <c r="I168" i="11" l="1"/>
  <c r="J164" i="11"/>
  <c r="J165" i="11" l="1"/>
  <c r="I169" i="11"/>
  <c r="I170" i="11" l="1"/>
  <c r="J166" i="11"/>
  <c r="J167" i="11" l="1"/>
  <c r="I171" i="11"/>
  <c r="I172" i="11" l="1"/>
  <c r="J168" i="11"/>
  <c r="J169" i="11" l="1"/>
  <c r="I173" i="11"/>
  <c r="I174" i="11" l="1"/>
  <c r="J170" i="11"/>
  <c r="J171" i="11" l="1"/>
  <c r="I175" i="11"/>
  <c r="I176" i="11" l="1"/>
  <c r="J172" i="11"/>
  <c r="J173" i="11" l="1"/>
  <c r="I177" i="11"/>
  <c r="I178" i="11" l="1"/>
  <c r="J174" i="11"/>
  <c r="J175" i="11" l="1"/>
  <c r="I179" i="11"/>
  <c r="I180" i="11" l="1"/>
  <c r="J176" i="11"/>
  <c r="J177" i="11" l="1"/>
  <c r="I181" i="11"/>
  <c r="I182" i="11" l="1"/>
  <c r="J178" i="11"/>
  <c r="J179" i="11" l="1"/>
  <c r="I183" i="11"/>
  <c r="I184" i="11" l="1"/>
  <c r="J180" i="11"/>
  <c r="J181" i="11" l="1"/>
  <c r="I185" i="11"/>
  <c r="I186" i="11" l="1"/>
  <c r="J182" i="11"/>
  <c r="J183" i="11" l="1"/>
  <c r="I187" i="11"/>
  <c r="I188" i="11" l="1"/>
  <c r="J184" i="11"/>
  <c r="J185" i="11" l="1"/>
  <c r="I189" i="11"/>
  <c r="I190" i="11" l="1"/>
  <c r="J186" i="11"/>
  <c r="J187" i="11" l="1"/>
  <c r="I191" i="11"/>
  <c r="I192" i="11" l="1"/>
  <c r="J188" i="11"/>
  <c r="J189" i="11" l="1"/>
  <c r="I193" i="11"/>
  <c r="I194" i="11" l="1"/>
  <c r="J190" i="11"/>
  <c r="J191" i="11" l="1"/>
  <c r="I195" i="11"/>
  <c r="I196" i="11" l="1"/>
  <c r="J192" i="11"/>
  <c r="J193" i="11" l="1"/>
  <c r="I197" i="11"/>
  <c r="I198" i="11" l="1"/>
  <c r="J194" i="11"/>
  <c r="J195" i="11" l="1"/>
  <c r="I199" i="11"/>
  <c r="I200" i="11" l="1"/>
  <c r="J196" i="11"/>
  <c r="J197" i="11" l="1"/>
  <c r="I201" i="11"/>
  <c r="I202" i="11" l="1"/>
  <c r="J198" i="11"/>
  <c r="J199" i="11" l="1"/>
  <c r="I203" i="11"/>
  <c r="I204" i="11" l="1"/>
  <c r="J200" i="11"/>
  <c r="J201" i="11" l="1"/>
  <c r="I205" i="11"/>
  <c r="I206" i="11" l="1"/>
  <c r="J202" i="11"/>
  <c r="J203" i="11" l="1"/>
  <c r="I207" i="11"/>
  <c r="I208" i="11" l="1"/>
  <c r="J204" i="11"/>
  <c r="J205" i="11" l="1"/>
  <c r="I209" i="11"/>
  <c r="I210" i="11" l="1"/>
  <c r="J206" i="11"/>
  <c r="J207" i="11" l="1"/>
  <c r="I211" i="11"/>
  <c r="I212" i="11" l="1"/>
  <c r="J208" i="11"/>
  <c r="J209" i="11" l="1"/>
  <c r="I213" i="11"/>
  <c r="I214" i="11" l="1"/>
  <c r="J210" i="11"/>
  <c r="J211" i="11" l="1"/>
  <c r="I215" i="11"/>
  <c r="I216" i="11" l="1"/>
  <c r="J212" i="11"/>
  <c r="J213" i="11" l="1"/>
  <c r="I217" i="11"/>
  <c r="I218" i="11" l="1"/>
  <c r="J214" i="11"/>
  <c r="J215" i="11" l="1"/>
  <c r="I219" i="11"/>
  <c r="I220" i="11" l="1"/>
  <c r="J216" i="11"/>
  <c r="J217" i="11" l="1"/>
  <c r="I221" i="11"/>
  <c r="I222" i="11" l="1"/>
  <c r="J218" i="11"/>
  <c r="J219" i="11" l="1"/>
  <c r="I223" i="11"/>
  <c r="I224" i="11" l="1"/>
  <c r="J220" i="11"/>
  <c r="J221" i="11" l="1"/>
  <c r="I225" i="11"/>
  <c r="I226" i="11" l="1"/>
  <c r="J222" i="11"/>
  <c r="J223" i="11" l="1"/>
  <c r="I227" i="11"/>
  <c r="I228" i="11" l="1"/>
  <c r="J224" i="11"/>
  <c r="J225" i="11" l="1"/>
  <c r="I229" i="11"/>
  <c r="I230" i="11" l="1"/>
  <c r="J226" i="11"/>
  <c r="J227" i="11" l="1"/>
  <c r="I231" i="11"/>
  <c r="I232" i="11" l="1"/>
  <c r="J228" i="11"/>
  <c r="J229" i="11" l="1"/>
  <c r="I233" i="11"/>
  <c r="I234" i="11" l="1"/>
  <c r="J230" i="11"/>
  <c r="J231" i="11" l="1"/>
  <c r="I235" i="11"/>
  <c r="I236" i="11" l="1"/>
  <c r="J232" i="11"/>
  <c r="J233" i="11" l="1"/>
  <c r="I237" i="11"/>
  <c r="I238" i="11" l="1"/>
  <c r="J234" i="11"/>
  <c r="J235" i="11" l="1"/>
  <c r="I239" i="11"/>
  <c r="I240" i="11" l="1"/>
  <c r="J236" i="11"/>
  <c r="J237" i="11" l="1"/>
  <c r="I241" i="11"/>
  <c r="I242" i="11" l="1"/>
  <c r="J238" i="11"/>
  <c r="J239" i="11" l="1"/>
  <c r="I243" i="11"/>
  <c r="I244" i="11" l="1"/>
  <c r="J240" i="11"/>
  <c r="J241" i="11" l="1"/>
  <c r="I245" i="11"/>
  <c r="I246" i="11" l="1"/>
  <c r="J242" i="11"/>
  <c r="J243" i="11" l="1"/>
  <c r="I247" i="11"/>
  <c r="I248" i="11" l="1"/>
  <c r="J244" i="11"/>
  <c r="J245" i="11" l="1"/>
  <c r="I249" i="11"/>
  <c r="I250" i="11" l="1"/>
  <c r="J246" i="11"/>
  <c r="J247" i="11" l="1"/>
  <c r="I251" i="11"/>
  <c r="I252" i="11" l="1"/>
  <c r="J248" i="11"/>
  <c r="J249" i="11" l="1"/>
  <c r="I253" i="11"/>
  <c r="I254" i="11" l="1"/>
  <c r="J250" i="11"/>
  <c r="J251" i="11" l="1"/>
  <c r="I255" i="11"/>
  <c r="I256" i="11" l="1"/>
  <c r="J252" i="11"/>
  <c r="J253" i="11" l="1"/>
  <c r="I257" i="11"/>
  <c r="I258" i="11" l="1"/>
  <c r="J254" i="11"/>
  <c r="J255" i="11" l="1"/>
  <c r="I259" i="11"/>
  <c r="I260" i="11" l="1"/>
  <c r="J256" i="11"/>
  <c r="J257" i="11" l="1"/>
  <c r="I261" i="11"/>
  <c r="I262" i="11" l="1"/>
  <c r="J258" i="11"/>
  <c r="J259" i="11" l="1"/>
  <c r="I263" i="11"/>
  <c r="I264" i="11" l="1"/>
  <c r="J260" i="11"/>
  <c r="J261" i="11" l="1"/>
  <c r="I265" i="11"/>
  <c r="I266" i="11" l="1"/>
  <c r="J262" i="11"/>
  <c r="J263" i="11" l="1"/>
  <c r="I267" i="11"/>
  <c r="I268" i="11" l="1"/>
  <c r="J264" i="11"/>
  <c r="J265" i="11" l="1"/>
  <c r="I269" i="11"/>
  <c r="I270" i="11" l="1"/>
  <c r="J266" i="11"/>
  <c r="J267" i="11" l="1"/>
  <c r="I271" i="11"/>
  <c r="I272" i="11" l="1"/>
  <c r="J268" i="11"/>
  <c r="J269" i="11" l="1"/>
  <c r="I273" i="11"/>
  <c r="I274" i="11" l="1"/>
  <c r="J270" i="11"/>
  <c r="J271" i="11" l="1"/>
  <c r="I275" i="11"/>
  <c r="I276" i="11" l="1"/>
  <c r="J272" i="11"/>
  <c r="J273" i="11" l="1"/>
  <c r="I277" i="11"/>
  <c r="I278" i="11" l="1"/>
  <c r="J274" i="11"/>
  <c r="J275" i="11" l="1"/>
  <c r="I279" i="11"/>
  <c r="I280" i="11" l="1"/>
  <c r="J276" i="11"/>
  <c r="J277" i="11" l="1"/>
  <c r="I281" i="11"/>
  <c r="I282" i="11" l="1"/>
  <c r="J278" i="11"/>
  <c r="J279" i="11" l="1"/>
  <c r="I283" i="11"/>
  <c r="I284" i="11" l="1"/>
  <c r="J280" i="11"/>
  <c r="J281" i="11" l="1"/>
  <c r="I285" i="11"/>
  <c r="I286" i="11" l="1"/>
  <c r="J282" i="11"/>
  <c r="J283" i="11" l="1"/>
  <c r="I287" i="11"/>
  <c r="I288" i="11" l="1"/>
  <c r="J284" i="11"/>
  <c r="J285" i="11" l="1"/>
  <c r="I289" i="11"/>
  <c r="I290" i="11" l="1"/>
  <c r="J286" i="11"/>
  <c r="J287" i="11" l="1"/>
  <c r="I291" i="11"/>
  <c r="I292" i="11" l="1"/>
  <c r="J288" i="11"/>
  <c r="J289" i="11" l="1"/>
  <c r="I293" i="11"/>
  <c r="I294" i="11" l="1"/>
  <c r="J290" i="11"/>
  <c r="J291" i="11" l="1"/>
  <c r="I295" i="11"/>
  <c r="I296" i="11" l="1"/>
  <c r="J292" i="11"/>
  <c r="J293" i="11" l="1"/>
  <c r="I297" i="11"/>
  <c r="I298" i="11" l="1"/>
  <c r="J294" i="11"/>
  <c r="J295" i="11" l="1"/>
  <c r="I299" i="11"/>
  <c r="I300" i="11" l="1"/>
  <c r="J296" i="11"/>
  <c r="J297" i="11" l="1"/>
  <c r="I301" i="11"/>
  <c r="I302" i="11" l="1"/>
  <c r="J298" i="11"/>
  <c r="J299" i="11" l="1"/>
  <c r="I303" i="11"/>
  <c r="I304" i="11" l="1"/>
  <c r="J300" i="11"/>
  <c r="J301" i="11" l="1"/>
  <c r="I305" i="11"/>
  <c r="I306" i="11" l="1"/>
  <c r="J302" i="11"/>
  <c r="J303" i="11" l="1"/>
  <c r="I307" i="11"/>
  <c r="I308" i="11" l="1"/>
  <c r="J304" i="11"/>
  <c r="J305" i="11" l="1"/>
  <c r="I309" i="11"/>
  <c r="I310" i="11" l="1"/>
  <c r="J306" i="11"/>
  <c r="J307" i="11" l="1"/>
  <c r="I311" i="11"/>
  <c r="I312" i="11" l="1"/>
  <c r="J308" i="11"/>
  <c r="J309" i="11" l="1"/>
  <c r="I313" i="11"/>
  <c r="I314" i="11" l="1"/>
  <c r="J310" i="11"/>
  <c r="J311" i="11" l="1"/>
  <c r="I315" i="11"/>
  <c r="I316" i="11" l="1"/>
  <c r="J312" i="11"/>
  <c r="J313" i="11" l="1"/>
  <c r="I317" i="11"/>
  <c r="I318" i="11" l="1"/>
  <c r="J314" i="11"/>
  <c r="J315" i="11" l="1"/>
  <c r="I319" i="11"/>
  <c r="I320" i="11" l="1"/>
  <c r="J316" i="11"/>
  <c r="J317" i="11" l="1"/>
  <c r="I321" i="11"/>
  <c r="I322" i="11" l="1"/>
  <c r="J318" i="11"/>
  <c r="J319" i="11" l="1"/>
  <c r="I323" i="11"/>
  <c r="I324" i="11" l="1"/>
  <c r="J320" i="11"/>
  <c r="J321" i="11" l="1"/>
  <c r="I325" i="11"/>
  <c r="I326" i="11" l="1"/>
  <c r="J322" i="11"/>
  <c r="J323" i="11" l="1"/>
  <c r="I327" i="11"/>
  <c r="I328" i="11" l="1"/>
  <c r="J324" i="11"/>
  <c r="J325" i="11" l="1"/>
  <c r="I329" i="11"/>
  <c r="I330" i="11" l="1"/>
  <c r="J326" i="11"/>
  <c r="J327" i="11" l="1"/>
  <c r="I331" i="11"/>
  <c r="I332" i="11" l="1"/>
  <c r="J328" i="11"/>
  <c r="J329" i="11" l="1"/>
  <c r="I333" i="11"/>
  <c r="I334" i="11" l="1"/>
  <c r="J330" i="11"/>
  <c r="J331" i="11" l="1"/>
  <c r="I335" i="11"/>
  <c r="I336" i="11" l="1"/>
  <c r="J332" i="11"/>
  <c r="J333" i="11" l="1"/>
  <c r="I337" i="11"/>
  <c r="I338" i="11" l="1"/>
  <c r="J334" i="11"/>
  <c r="J335" i="11" l="1"/>
  <c r="I339" i="11"/>
  <c r="I340" i="11" l="1"/>
  <c r="J336" i="11"/>
  <c r="J337" i="11" l="1"/>
  <c r="I341" i="11"/>
  <c r="I342" i="11" l="1"/>
  <c r="J338" i="11"/>
  <c r="J339" i="11" l="1"/>
  <c r="I343" i="11"/>
  <c r="I344" i="11" l="1"/>
  <c r="J340" i="11"/>
  <c r="J341" i="11" l="1"/>
  <c r="I345" i="11"/>
  <c r="I346" i="11" l="1"/>
  <c r="J342" i="11"/>
  <c r="J343" i="11" l="1"/>
  <c r="I347" i="11"/>
  <c r="I348" i="11" l="1"/>
  <c r="J344" i="11"/>
  <c r="J345" i="11" l="1"/>
  <c r="I349" i="11"/>
  <c r="I350" i="11" l="1"/>
  <c r="J346" i="11"/>
  <c r="J347" i="11" l="1"/>
  <c r="I351" i="11"/>
  <c r="I352" i="11" l="1"/>
  <c r="J348" i="11"/>
  <c r="J349" i="11" l="1"/>
  <c r="I353" i="11"/>
  <c r="I354" i="11" l="1"/>
  <c r="J350" i="11"/>
  <c r="J351" i="11" l="1"/>
  <c r="I355" i="11"/>
  <c r="I356" i="11" l="1"/>
  <c r="J352" i="11"/>
  <c r="J353" i="11" l="1"/>
  <c r="I357" i="11"/>
  <c r="I358" i="11" l="1"/>
  <c r="J354" i="11"/>
  <c r="J355" i="11" l="1"/>
  <c r="I359" i="11"/>
  <c r="I360" i="11" l="1"/>
  <c r="J356" i="11"/>
  <c r="J357" i="11" l="1"/>
  <c r="I361" i="11"/>
  <c r="I362" i="11" l="1"/>
  <c r="J358" i="11"/>
  <c r="J359" i="11" l="1"/>
  <c r="I363" i="11"/>
  <c r="I364" i="11" l="1"/>
  <c r="J360" i="11"/>
  <c r="J361" i="11" l="1"/>
  <c r="I365" i="11"/>
  <c r="I366" i="11" l="1"/>
  <c r="J362" i="11"/>
  <c r="J363" i="11" l="1"/>
  <c r="I367" i="11"/>
  <c r="I368" i="11" l="1"/>
  <c r="J364" i="11"/>
  <c r="J365" i="11" l="1"/>
  <c r="I369" i="11"/>
  <c r="I370" i="11" l="1"/>
  <c r="J366" i="11"/>
  <c r="J367" i="11" l="1"/>
  <c r="I371" i="11"/>
  <c r="I372" i="11" l="1"/>
  <c r="J368" i="11"/>
  <c r="J369" i="11" l="1"/>
  <c r="I373" i="11"/>
  <c r="I374" i="11" l="1"/>
  <c r="J370" i="11"/>
  <c r="J371" i="11" l="1"/>
  <c r="I375" i="11"/>
  <c r="I376" i="11" l="1"/>
  <c r="J372" i="11"/>
  <c r="J373" i="11" l="1"/>
  <c r="I377" i="11"/>
  <c r="I378" i="11" l="1"/>
  <c r="J374" i="11"/>
  <c r="J375" i="11" l="1"/>
  <c r="I379" i="11"/>
  <c r="I380" i="11" l="1"/>
  <c r="J376" i="11"/>
  <c r="J377" i="11" l="1"/>
  <c r="I381" i="11"/>
  <c r="I382" i="11" l="1"/>
  <c r="J378" i="11"/>
  <c r="J379" i="11" l="1"/>
  <c r="I383" i="11"/>
  <c r="I384" i="11" l="1"/>
  <c r="J380" i="11"/>
  <c r="J381" i="11" l="1"/>
  <c r="I385" i="11"/>
  <c r="I386" i="11" l="1"/>
  <c r="J382" i="11"/>
  <c r="J383" i="11" l="1"/>
  <c r="I387" i="11"/>
  <c r="I388" i="11" l="1"/>
  <c r="J384" i="11"/>
  <c r="J385" i="11" l="1"/>
  <c r="I389" i="11"/>
  <c r="I390" i="11" l="1"/>
  <c r="J386" i="11"/>
  <c r="J387" i="11" l="1"/>
  <c r="I391" i="11"/>
  <c r="I392" i="11" l="1"/>
  <c r="J388" i="11"/>
  <c r="J389" i="11" l="1"/>
  <c r="I393" i="11"/>
  <c r="I394" i="11" l="1"/>
  <c r="J390" i="11"/>
  <c r="J391" i="11" l="1"/>
  <c r="I395" i="11"/>
  <c r="I396" i="11" l="1"/>
  <c r="J392" i="11"/>
  <c r="J393" i="11" l="1"/>
  <c r="I397" i="11"/>
  <c r="I398" i="11" l="1"/>
  <c r="J394" i="11"/>
  <c r="J395" i="11" l="1"/>
  <c r="I399" i="11"/>
  <c r="I400" i="11" l="1"/>
  <c r="J396" i="11"/>
  <c r="J397" i="11" l="1"/>
  <c r="I401" i="11"/>
  <c r="I402" i="11" l="1"/>
  <c r="J398" i="11"/>
  <c r="J399" i="11" l="1"/>
  <c r="I403" i="11"/>
  <c r="I404" i="11" l="1"/>
  <c r="J400" i="11"/>
  <c r="J401" i="11" l="1"/>
  <c r="I405" i="11"/>
  <c r="I406" i="11" l="1"/>
  <c r="J402" i="11"/>
  <c r="J403" i="11" l="1"/>
  <c r="I407" i="11"/>
  <c r="I408" i="11" l="1"/>
  <c r="J404" i="11"/>
  <c r="J405" i="11" l="1"/>
  <c r="I409" i="11"/>
  <c r="I410" i="11" l="1"/>
  <c r="J406" i="11"/>
  <c r="J407" i="11" l="1"/>
  <c r="I411" i="11"/>
  <c r="I412" i="11" l="1"/>
  <c r="J408" i="11"/>
  <c r="J409" i="11" l="1"/>
  <c r="I413" i="11"/>
  <c r="I414" i="11" l="1"/>
  <c r="J410" i="11"/>
  <c r="J411" i="11" l="1"/>
  <c r="I415" i="11"/>
  <c r="I416" i="11" l="1"/>
  <c r="J412" i="11"/>
  <c r="J413" i="11" l="1"/>
  <c r="I417" i="11"/>
  <c r="I418" i="11" l="1"/>
  <c r="J414" i="11"/>
  <c r="J415" i="11" l="1"/>
  <c r="I419" i="11"/>
  <c r="I420" i="11" l="1"/>
  <c r="J416" i="11"/>
  <c r="J417" i="11" l="1"/>
  <c r="I421" i="11"/>
  <c r="I422" i="11" l="1"/>
  <c r="J418" i="11"/>
  <c r="J419" i="11" l="1"/>
  <c r="I423" i="11"/>
  <c r="I424" i="11" l="1"/>
  <c r="J420" i="11"/>
  <c r="J421" i="11" l="1"/>
  <c r="I425" i="11"/>
  <c r="I426" i="11" l="1"/>
  <c r="J422" i="11"/>
  <c r="J423" i="11" l="1"/>
  <c r="I427" i="11"/>
  <c r="I428" i="11" l="1"/>
  <c r="J424" i="11"/>
  <c r="J425" i="11" l="1"/>
  <c r="I429" i="11"/>
  <c r="I430" i="11" l="1"/>
  <c r="J426" i="11"/>
  <c r="J427" i="11" l="1"/>
  <c r="I431" i="11"/>
  <c r="I432" i="11" l="1"/>
  <c r="J428" i="11"/>
  <c r="J429" i="11" l="1"/>
  <c r="I433" i="11"/>
  <c r="I434" i="11" l="1"/>
  <c r="J430" i="11"/>
  <c r="J431" i="11" l="1"/>
  <c r="I435" i="11"/>
  <c r="I436" i="11" l="1"/>
  <c r="J432" i="11"/>
  <c r="J433" i="11" l="1"/>
  <c r="I437" i="11"/>
  <c r="I438" i="11" l="1"/>
  <c r="J434" i="11"/>
  <c r="J435" i="11" l="1"/>
  <c r="I439" i="11"/>
  <c r="I440" i="11" l="1"/>
  <c r="J436" i="11"/>
  <c r="J437" i="11" l="1"/>
  <c r="I441" i="11"/>
  <c r="I442" i="11" l="1"/>
  <c r="J438" i="11"/>
  <c r="J439" i="11" l="1"/>
  <c r="I443" i="11"/>
  <c r="I444" i="11" l="1"/>
  <c r="J440" i="11"/>
  <c r="J441" i="11" l="1"/>
  <c r="I445" i="11"/>
  <c r="I446" i="11" l="1"/>
  <c r="J442" i="11"/>
  <c r="J443" i="11" l="1"/>
  <c r="I447" i="11"/>
  <c r="I448" i="11" l="1"/>
  <c r="J444" i="11"/>
  <c r="J445" i="11" l="1"/>
  <c r="I449" i="11"/>
  <c r="I450" i="11" l="1"/>
  <c r="J446" i="11"/>
  <c r="J447" i="11" l="1"/>
  <c r="I451" i="11"/>
  <c r="I452" i="11" l="1"/>
  <c r="J448" i="11"/>
  <c r="J449" i="11" l="1"/>
  <c r="I453" i="11"/>
  <c r="I454" i="11" l="1"/>
  <c r="J450" i="11"/>
  <c r="J451" i="11" l="1"/>
  <c r="I455" i="11"/>
  <c r="I456" i="11" l="1"/>
  <c r="J452" i="11"/>
  <c r="J453" i="11" l="1"/>
  <c r="I457" i="11"/>
  <c r="I458" i="11" l="1"/>
  <c r="J454" i="11"/>
  <c r="J455" i="11" l="1"/>
  <c r="I459" i="11"/>
  <c r="I460" i="11" l="1"/>
  <c r="J456" i="11"/>
  <c r="P52" i="11"/>
  <c r="AB455" i="11" s="1"/>
  <c r="P55" i="11"/>
  <c r="P53" i="11"/>
  <c r="P56" i="11"/>
  <c r="P54" i="11"/>
  <c r="AB6" i="11" l="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54" i="11"/>
  <c r="AB55" i="11"/>
  <c r="AB56" i="11"/>
  <c r="AB57" i="11"/>
  <c r="AB58" i="11"/>
  <c r="AB59" i="11"/>
  <c r="AB60" i="11"/>
  <c r="AB61" i="11"/>
  <c r="AB62" i="11"/>
  <c r="AB63" i="11"/>
  <c r="AB64" i="11"/>
  <c r="AB65" i="11"/>
  <c r="AB66" i="11"/>
  <c r="AB67" i="11"/>
  <c r="AB68" i="11"/>
  <c r="AB69" i="11"/>
  <c r="AB70" i="11"/>
  <c r="AB71" i="11"/>
  <c r="AB72" i="11"/>
  <c r="AB73" i="11"/>
  <c r="AB74" i="11"/>
  <c r="AB75" i="11"/>
  <c r="AB76" i="11"/>
  <c r="AB77" i="11"/>
  <c r="AB78" i="11"/>
  <c r="AB79" i="11"/>
  <c r="AB80" i="11"/>
  <c r="AB81" i="11"/>
  <c r="AB82" i="11"/>
  <c r="AB83" i="11"/>
  <c r="AB84" i="11"/>
  <c r="AB85" i="11"/>
  <c r="AB86" i="11"/>
  <c r="AB87" i="11"/>
  <c r="AB88" i="11"/>
  <c r="AB89" i="11"/>
  <c r="AB90" i="11"/>
  <c r="AB91" i="11"/>
  <c r="AB92" i="11"/>
  <c r="AB93" i="11"/>
  <c r="AB94" i="11"/>
  <c r="AB95" i="11"/>
  <c r="AB96" i="11"/>
  <c r="AB97" i="11"/>
  <c r="AB98" i="11"/>
  <c r="AB99" i="11"/>
  <c r="AB100" i="11"/>
  <c r="AB101" i="11"/>
  <c r="AB102" i="11"/>
  <c r="AB103" i="11"/>
  <c r="AB104" i="11"/>
  <c r="AB105" i="11"/>
  <c r="AB106" i="11"/>
  <c r="AB107" i="11"/>
  <c r="AB108" i="11"/>
  <c r="AB109" i="11"/>
  <c r="AB110" i="11"/>
  <c r="AB111" i="11"/>
  <c r="AB112" i="11"/>
  <c r="AB113" i="11"/>
  <c r="AB114" i="11"/>
  <c r="AB115" i="11"/>
  <c r="AB116" i="11"/>
  <c r="AB117" i="11"/>
  <c r="AB118" i="11"/>
  <c r="AB119" i="11"/>
  <c r="AB120" i="11"/>
  <c r="AB121" i="11"/>
  <c r="AB122" i="11"/>
  <c r="AB123" i="11"/>
  <c r="AB124" i="11"/>
  <c r="AB125" i="11"/>
  <c r="AB126" i="11"/>
  <c r="AB127" i="11"/>
  <c r="AB128" i="11"/>
  <c r="AB129" i="11"/>
  <c r="AB130" i="11"/>
  <c r="AB131" i="11"/>
  <c r="AB132" i="11"/>
  <c r="AB133" i="11"/>
  <c r="AB134" i="11"/>
  <c r="AB135" i="11"/>
  <c r="AB136" i="11"/>
  <c r="AB137" i="11"/>
  <c r="AB138" i="11"/>
  <c r="AB139" i="11"/>
  <c r="AB140" i="11"/>
  <c r="AB141" i="11"/>
  <c r="AB142" i="11"/>
  <c r="AB143" i="11"/>
  <c r="AB144" i="11"/>
  <c r="AB145" i="11"/>
  <c r="AB146" i="11"/>
  <c r="AB147" i="11"/>
  <c r="AB148" i="11"/>
  <c r="AB149" i="11"/>
  <c r="AB150" i="11"/>
  <c r="AB151" i="11"/>
  <c r="AB152" i="11"/>
  <c r="AB153" i="11"/>
  <c r="AB154" i="11"/>
  <c r="AB155" i="11"/>
  <c r="AB156" i="11"/>
  <c r="AB157" i="11"/>
  <c r="AB158" i="11"/>
  <c r="AB159" i="11"/>
  <c r="AB160" i="11"/>
  <c r="AB161" i="11"/>
  <c r="AB162" i="11"/>
  <c r="AB163" i="11"/>
  <c r="AB164" i="11"/>
  <c r="AB165" i="11"/>
  <c r="AB166" i="11"/>
  <c r="AB167" i="11"/>
  <c r="AB168" i="11"/>
  <c r="AB169" i="11"/>
  <c r="AB170" i="11"/>
  <c r="AB171" i="11"/>
  <c r="AB172" i="11"/>
  <c r="AB173" i="11"/>
  <c r="AB174" i="11"/>
  <c r="AB175" i="11"/>
  <c r="AB176" i="11"/>
  <c r="AB177" i="11"/>
  <c r="AB178" i="11"/>
  <c r="AB179" i="11"/>
  <c r="AB180" i="11"/>
  <c r="AB181" i="11"/>
  <c r="AB182" i="11"/>
  <c r="AB183" i="11"/>
  <c r="AB184" i="11"/>
  <c r="AB185" i="11"/>
  <c r="AB186" i="11"/>
  <c r="AB187" i="11"/>
  <c r="AB188" i="11"/>
  <c r="AB189" i="11"/>
  <c r="AB190" i="11"/>
  <c r="AB191" i="11"/>
  <c r="AB192" i="11"/>
  <c r="AB193" i="11"/>
  <c r="AB194" i="11"/>
  <c r="AB195" i="11"/>
  <c r="AB196" i="11"/>
  <c r="AB197" i="11"/>
  <c r="AB198" i="11"/>
  <c r="AB199" i="11"/>
  <c r="AB200" i="11"/>
  <c r="AB201" i="11"/>
  <c r="AB202" i="11"/>
  <c r="AB203" i="11"/>
  <c r="AB204" i="11"/>
  <c r="AB205" i="11"/>
  <c r="AB206" i="11"/>
  <c r="AB207" i="11"/>
  <c r="AB208" i="11"/>
  <c r="AB209" i="11"/>
  <c r="AB210" i="11"/>
  <c r="AB211" i="11"/>
  <c r="AB212" i="11"/>
  <c r="AB213" i="11"/>
  <c r="AB214" i="11"/>
  <c r="AB215" i="11"/>
  <c r="AB216" i="11"/>
  <c r="AB217" i="11"/>
  <c r="AB218" i="11"/>
  <c r="AB219" i="11"/>
  <c r="AB220" i="11"/>
  <c r="AB221" i="11"/>
  <c r="AB222" i="11"/>
  <c r="AB223" i="11"/>
  <c r="AB224" i="11"/>
  <c r="AB225" i="11"/>
  <c r="AB226" i="11"/>
  <c r="AB227" i="11"/>
  <c r="AB228" i="11"/>
  <c r="AB229" i="11"/>
  <c r="AB230" i="11"/>
  <c r="AB231" i="11"/>
  <c r="AB232" i="11"/>
  <c r="AB233" i="11"/>
  <c r="AB234" i="11"/>
  <c r="AB235" i="11"/>
  <c r="AB236" i="11"/>
  <c r="AB237" i="11"/>
  <c r="AB238" i="11"/>
  <c r="AB239" i="11"/>
  <c r="AB240" i="11"/>
  <c r="AB241" i="11"/>
  <c r="AB242" i="11"/>
  <c r="AB243" i="11"/>
  <c r="AB244" i="11"/>
  <c r="AB245" i="11"/>
  <c r="AB246" i="11"/>
  <c r="AB247" i="11"/>
  <c r="AB248" i="11"/>
  <c r="AB249" i="11"/>
  <c r="AB250" i="11"/>
  <c r="AB251" i="11"/>
  <c r="AB252" i="11"/>
  <c r="AB253" i="11"/>
  <c r="AB254" i="11"/>
  <c r="AB255" i="11"/>
  <c r="AB256" i="11"/>
  <c r="AB257" i="11"/>
  <c r="AB258" i="11"/>
  <c r="AB259" i="11"/>
  <c r="AB260" i="11"/>
  <c r="AB261" i="11"/>
  <c r="AB262" i="11"/>
  <c r="AB263" i="11"/>
  <c r="AB264" i="11"/>
  <c r="AB265" i="11"/>
  <c r="AB266" i="11"/>
  <c r="AB267" i="11"/>
  <c r="AB268" i="11"/>
  <c r="AB269" i="11"/>
  <c r="AB270" i="11"/>
  <c r="AB271" i="11"/>
  <c r="AB272" i="11"/>
  <c r="AB273" i="11"/>
  <c r="AB274" i="11"/>
  <c r="AB275" i="11"/>
  <c r="AB276" i="11"/>
  <c r="AB277" i="11"/>
  <c r="AB278" i="11"/>
  <c r="AB279" i="11"/>
  <c r="AB280" i="11"/>
  <c r="AB281" i="11"/>
  <c r="AB282" i="11"/>
  <c r="AB283" i="11"/>
  <c r="AB284" i="11"/>
  <c r="AB285" i="11"/>
  <c r="AB286" i="11"/>
  <c r="AB287" i="11"/>
  <c r="AB288" i="11"/>
  <c r="AB289" i="11"/>
  <c r="AB290" i="11"/>
  <c r="AB291" i="11"/>
  <c r="AB292" i="11"/>
  <c r="AB293" i="11"/>
  <c r="AB294" i="11"/>
  <c r="AB295" i="11"/>
  <c r="AB296" i="11"/>
  <c r="AB297" i="11"/>
  <c r="AB298" i="11"/>
  <c r="AB299" i="11"/>
  <c r="AB300" i="11"/>
  <c r="AB301" i="11"/>
  <c r="AB302" i="11"/>
  <c r="AB303" i="11"/>
  <c r="AB304" i="11"/>
  <c r="AB305" i="11"/>
  <c r="AB306" i="11"/>
  <c r="AB307" i="11"/>
  <c r="AB308" i="11"/>
  <c r="AB309" i="11"/>
  <c r="AB310" i="11"/>
  <c r="AB311" i="11"/>
  <c r="AB312" i="11"/>
  <c r="AB313" i="11"/>
  <c r="AB314" i="11"/>
  <c r="AB315" i="11"/>
  <c r="AB316" i="11"/>
  <c r="AB317" i="11"/>
  <c r="AB318" i="11"/>
  <c r="AB319" i="11"/>
  <c r="AB320" i="11"/>
  <c r="AB321" i="11"/>
  <c r="AB322" i="11"/>
  <c r="AB323" i="11"/>
  <c r="AB324" i="11"/>
  <c r="AB325" i="11"/>
  <c r="AB326" i="11"/>
  <c r="AB327" i="11"/>
  <c r="AB328" i="11"/>
  <c r="AB329" i="11"/>
  <c r="AB330" i="11"/>
  <c r="AB331" i="11"/>
  <c r="AB332" i="11"/>
  <c r="AB333" i="11"/>
  <c r="AB334" i="11"/>
  <c r="AB335" i="11"/>
  <c r="AB336" i="11"/>
  <c r="AB337" i="11"/>
  <c r="AB338" i="11"/>
  <c r="AB339" i="11"/>
  <c r="AB340" i="11"/>
  <c r="AB341" i="11"/>
  <c r="AB342" i="11"/>
  <c r="AB343" i="11"/>
  <c r="AB344" i="11"/>
  <c r="AB345" i="11"/>
  <c r="AB346" i="11"/>
  <c r="AB347" i="11"/>
  <c r="AB348" i="11"/>
  <c r="AB349" i="11"/>
  <c r="AB350" i="11"/>
  <c r="AB351" i="11"/>
  <c r="AB352" i="11"/>
  <c r="AB353" i="11"/>
  <c r="AB354" i="11"/>
  <c r="AB355" i="11"/>
  <c r="AB356" i="11"/>
  <c r="AB357" i="11"/>
  <c r="AB358" i="11"/>
  <c r="AB359" i="11"/>
  <c r="AB360" i="11"/>
  <c r="AB361" i="11"/>
  <c r="AB362" i="11"/>
  <c r="AB363" i="11"/>
  <c r="AB364" i="11"/>
  <c r="AB365" i="11"/>
  <c r="AB366" i="11"/>
  <c r="AB367" i="11"/>
  <c r="AB368" i="11"/>
  <c r="AB369" i="11"/>
  <c r="AB370" i="11"/>
  <c r="AB371" i="11"/>
  <c r="AB372" i="11"/>
  <c r="AB373" i="11"/>
  <c r="AB374" i="11"/>
  <c r="AB375" i="11"/>
  <c r="AB376" i="11"/>
  <c r="AB377" i="11"/>
  <c r="AB378" i="11"/>
  <c r="AB379" i="11"/>
  <c r="AB380" i="11"/>
  <c r="AB381" i="11"/>
  <c r="AB382" i="11"/>
  <c r="AB383" i="11"/>
  <c r="AB384" i="11"/>
  <c r="AB385" i="11"/>
  <c r="AB386" i="11"/>
  <c r="AB387" i="11"/>
  <c r="AB388" i="11"/>
  <c r="AB389" i="11"/>
  <c r="AB390" i="11"/>
  <c r="AB391" i="11"/>
  <c r="AB392" i="11"/>
  <c r="AB393" i="11"/>
  <c r="AB394" i="11"/>
  <c r="AB395" i="11"/>
  <c r="AB396" i="11"/>
  <c r="AB397" i="11"/>
  <c r="AB398" i="11"/>
  <c r="AB399" i="11"/>
  <c r="AB400" i="11"/>
  <c r="AB401" i="11"/>
  <c r="AB402" i="11"/>
  <c r="AB403" i="11"/>
  <c r="AB404" i="11"/>
  <c r="AB405" i="11"/>
  <c r="AB406" i="11"/>
  <c r="AB407" i="11"/>
  <c r="AB408" i="11"/>
  <c r="AB409" i="11"/>
  <c r="AB410" i="11"/>
  <c r="AB411" i="11"/>
  <c r="AB412" i="11"/>
  <c r="AB413" i="11"/>
  <c r="AB414" i="11"/>
  <c r="AB415" i="11"/>
  <c r="AB416" i="11"/>
  <c r="AB417" i="11"/>
  <c r="AB418" i="11"/>
  <c r="AB419" i="11"/>
  <c r="AB420" i="11"/>
  <c r="AB421" i="11"/>
  <c r="AB422" i="11"/>
  <c r="AB423" i="11"/>
  <c r="AB424" i="11"/>
  <c r="AB425" i="11"/>
  <c r="AB426" i="11"/>
  <c r="AB427" i="11"/>
  <c r="AB428" i="11"/>
  <c r="AB429" i="11"/>
  <c r="AB430" i="11"/>
  <c r="AB431" i="11"/>
  <c r="AB432" i="11"/>
  <c r="AB433" i="11"/>
  <c r="AB434" i="11"/>
  <c r="AB435" i="11"/>
  <c r="AB436" i="11"/>
  <c r="AB437" i="11"/>
  <c r="AB438" i="11"/>
  <c r="AB439" i="11"/>
  <c r="AB440" i="11"/>
  <c r="AB441" i="11"/>
  <c r="AB442" i="11"/>
  <c r="AB443" i="11"/>
  <c r="AB444" i="11"/>
  <c r="AB445" i="11"/>
  <c r="AB446" i="11"/>
  <c r="AB447" i="11"/>
  <c r="AB448" i="11"/>
  <c r="AB449" i="11"/>
  <c r="AB450" i="11"/>
  <c r="AB451" i="11"/>
  <c r="AB452" i="11"/>
  <c r="AB453" i="11"/>
  <c r="AB454" i="11"/>
  <c r="J457" i="11"/>
  <c r="AB456" i="11"/>
  <c r="I461" i="11"/>
  <c r="I462" i="11" l="1"/>
  <c r="J458" i="11"/>
  <c r="AB457" i="11"/>
  <c r="J459" i="11" l="1"/>
  <c r="AB458" i="11"/>
  <c r="I463" i="11"/>
  <c r="I464" i="11" l="1"/>
  <c r="J460" i="11"/>
  <c r="AB459" i="11"/>
  <c r="J461" i="11" l="1"/>
  <c r="AB460" i="11"/>
  <c r="I465" i="11"/>
  <c r="I466" i="11" l="1"/>
  <c r="J462" i="11"/>
  <c r="AB461" i="11"/>
  <c r="J463" i="11" l="1"/>
  <c r="AB462" i="11"/>
  <c r="I467" i="11"/>
  <c r="I468" i="11" l="1"/>
  <c r="J464" i="11"/>
  <c r="AB463" i="11"/>
  <c r="J465" i="11" l="1"/>
  <c r="AB464" i="11"/>
  <c r="I469" i="11"/>
  <c r="I470" i="11" l="1"/>
  <c r="J466" i="11"/>
  <c r="AB465" i="11"/>
  <c r="J467" i="11" l="1"/>
  <c r="AB466" i="11"/>
  <c r="I471" i="11"/>
  <c r="I472" i="11" l="1"/>
  <c r="J468" i="11"/>
  <c r="AB467" i="11"/>
  <c r="J469" i="11" l="1"/>
  <c r="AB468" i="11"/>
  <c r="I473" i="11"/>
  <c r="I474" i="11" l="1"/>
  <c r="J470" i="11"/>
  <c r="AB469" i="11"/>
  <c r="J471" i="11" l="1"/>
  <c r="AB470" i="11"/>
  <c r="I475" i="11"/>
  <c r="I476" i="11" l="1"/>
  <c r="J472" i="11"/>
  <c r="AB471" i="11"/>
  <c r="J473" i="11" l="1"/>
  <c r="AB472" i="11"/>
  <c r="I477" i="11"/>
  <c r="I478" i="11" l="1"/>
  <c r="J474" i="11"/>
  <c r="AB473" i="11"/>
  <c r="J475" i="11" l="1"/>
  <c r="AB474" i="11"/>
  <c r="I479" i="11"/>
  <c r="I480" i="11" l="1"/>
  <c r="J476" i="11"/>
  <c r="AB475" i="11"/>
  <c r="J477" i="11" l="1"/>
  <c r="AB476" i="11"/>
  <c r="I481" i="11"/>
  <c r="I482" i="11" l="1"/>
  <c r="J478" i="11"/>
  <c r="AB477" i="11"/>
  <c r="J479" i="11" l="1"/>
  <c r="AB478" i="11"/>
  <c r="I483" i="11"/>
  <c r="I484" i="11" l="1"/>
  <c r="J480" i="11"/>
  <c r="AB479" i="11"/>
  <c r="J481" i="11" l="1"/>
  <c r="AB480" i="11"/>
  <c r="I485" i="11"/>
  <c r="I486" i="11" l="1"/>
  <c r="J482" i="11"/>
  <c r="AB481" i="11"/>
  <c r="J483" i="11" l="1"/>
  <c r="AB482" i="11"/>
  <c r="I487" i="11"/>
  <c r="I488" i="11" l="1"/>
  <c r="J484" i="11"/>
  <c r="AB483" i="11"/>
  <c r="J485" i="11" l="1"/>
  <c r="AB484" i="11"/>
  <c r="I489" i="11"/>
  <c r="I490" i="11" l="1"/>
  <c r="J486" i="11"/>
  <c r="AB485" i="11"/>
  <c r="J487" i="11" l="1"/>
  <c r="AB486" i="11"/>
  <c r="I491" i="11"/>
  <c r="I492" i="11" l="1"/>
  <c r="J488" i="11"/>
  <c r="AB487" i="11"/>
  <c r="J489" i="11" l="1"/>
  <c r="AB488" i="11"/>
  <c r="I493" i="11"/>
  <c r="I494" i="11" l="1"/>
  <c r="J490" i="11"/>
  <c r="AB489" i="11"/>
  <c r="J491" i="11" l="1"/>
  <c r="AB490" i="11"/>
  <c r="I495" i="11"/>
  <c r="I496" i="11" l="1"/>
  <c r="J492" i="11"/>
  <c r="AB491" i="11"/>
  <c r="J493" i="11" l="1"/>
  <c r="AB492" i="11"/>
  <c r="I497" i="11"/>
  <c r="I498" i="11" l="1"/>
  <c r="J494" i="11"/>
  <c r="AB493" i="11"/>
  <c r="J495" i="11" l="1"/>
  <c r="AB494" i="11"/>
  <c r="I499" i="11"/>
  <c r="I500" i="11" l="1"/>
  <c r="J496" i="11"/>
  <c r="AB495" i="11"/>
  <c r="J497" i="11" l="1"/>
  <c r="AB496" i="11"/>
  <c r="I501" i="11"/>
  <c r="I502" i="11" l="1"/>
  <c r="J498" i="11"/>
  <c r="AB497" i="11"/>
  <c r="J499" i="11" l="1"/>
  <c r="AB498" i="11"/>
  <c r="I503" i="11"/>
  <c r="I504" i="11" l="1"/>
  <c r="J500" i="11"/>
  <c r="AB499" i="11"/>
  <c r="J501" i="11" l="1"/>
  <c r="AB500" i="11"/>
  <c r="I505" i="11"/>
  <c r="I506" i="11" l="1"/>
  <c r="J502" i="11"/>
  <c r="AB501" i="11"/>
  <c r="J503" i="11" l="1"/>
  <c r="AB502" i="11"/>
  <c r="I507" i="11"/>
  <c r="I508" i="11" l="1"/>
  <c r="J504" i="11"/>
  <c r="AB503" i="11"/>
  <c r="J505" i="11" l="1"/>
  <c r="AB504" i="11"/>
  <c r="I509" i="11"/>
  <c r="I510" i="11" l="1"/>
  <c r="J506" i="11"/>
  <c r="AB505" i="11"/>
  <c r="J507" i="11" l="1"/>
  <c r="AB506" i="11"/>
  <c r="I511" i="11"/>
  <c r="I512" i="11" l="1"/>
  <c r="J508" i="11"/>
  <c r="AB507" i="11"/>
  <c r="J509" i="11" l="1"/>
  <c r="AB508" i="11"/>
  <c r="I513" i="11"/>
  <c r="I514" i="11" l="1"/>
  <c r="J510" i="11"/>
  <c r="AB509" i="11"/>
  <c r="J511" i="11" l="1"/>
  <c r="AB510" i="11"/>
  <c r="I515" i="11"/>
  <c r="I516" i="11" l="1"/>
  <c r="J512" i="11"/>
  <c r="AB511" i="11"/>
  <c r="J513" i="11" l="1"/>
  <c r="AB512" i="11"/>
  <c r="I517" i="11"/>
  <c r="I518" i="11" l="1"/>
  <c r="J514" i="11"/>
  <c r="AB513" i="11"/>
  <c r="J515" i="11" l="1"/>
  <c r="AB514" i="11"/>
  <c r="I519" i="11"/>
  <c r="I520" i="11" l="1"/>
  <c r="J516" i="11"/>
  <c r="AB515" i="11"/>
  <c r="J517" i="11" l="1"/>
  <c r="AB516" i="11"/>
  <c r="I521" i="11"/>
  <c r="I522" i="11" l="1"/>
  <c r="J518" i="11"/>
  <c r="AB517" i="11"/>
  <c r="J519" i="11" l="1"/>
  <c r="AB518" i="11"/>
  <c r="I523" i="11"/>
  <c r="I524" i="11" l="1"/>
  <c r="J520" i="11"/>
  <c r="AB519" i="11"/>
  <c r="J521" i="11" l="1"/>
  <c r="AB520" i="11"/>
  <c r="I525" i="11"/>
  <c r="I526" i="11" l="1"/>
  <c r="J522" i="11"/>
  <c r="AB521" i="11"/>
  <c r="J523" i="11" l="1"/>
  <c r="AB522" i="11"/>
  <c r="I527" i="11"/>
  <c r="I528" i="11" l="1"/>
  <c r="J524" i="11"/>
  <c r="AB523" i="11"/>
  <c r="J525" i="11" l="1"/>
  <c r="AB524" i="11"/>
  <c r="I529" i="11"/>
  <c r="I530" i="11" l="1"/>
  <c r="J526" i="11"/>
  <c r="AB525" i="11"/>
  <c r="J527" i="11" l="1"/>
  <c r="AB526" i="11"/>
  <c r="I531" i="11"/>
  <c r="I532" i="11" l="1"/>
  <c r="J528" i="11"/>
  <c r="AB527" i="11"/>
  <c r="J529" i="11" l="1"/>
  <c r="AB528" i="11"/>
  <c r="I533" i="11"/>
  <c r="I534" i="11" l="1"/>
  <c r="J530" i="11"/>
  <c r="AB529" i="11"/>
  <c r="J531" i="11" l="1"/>
  <c r="AB530" i="11"/>
  <c r="I535" i="11"/>
  <c r="I536" i="11" l="1"/>
  <c r="J532" i="11"/>
  <c r="AB531" i="11"/>
  <c r="J533" i="11" l="1"/>
  <c r="AB532" i="11"/>
  <c r="I537" i="11"/>
  <c r="I538" i="11" l="1"/>
  <c r="J534" i="11"/>
  <c r="AB533" i="11"/>
  <c r="J535" i="11" l="1"/>
  <c r="AB534" i="11"/>
  <c r="I539" i="11"/>
  <c r="I540" i="11" l="1"/>
  <c r="J536" i="11"/>
  <c r="AB535" i="11"/>
  <c r="J537" i="11" l="1"/>
  <c r="AB536" i="11"/>
  <c r="I541" i="11"/>
  <c r="I542" i="11" l="1"/>
  <c r="J538" i="11"/>
  <c r="AB537" i="11"/>
  <c r="J539" i="11" l="1"/>
  <c r="AB538" i="11"/>
  <c r="I543" i="11"/>
  <c r="I544" i="11" l="1"/>
  <c r="J540" i="11"/>
  <c r="AB539" i="11"/>
  <c r="J541" i="11" l="1"/>
  <c r="AB540" i="11"/>
  <c r="I545" i="11"/>
  <c r="I546" i="11" l="1"/>
  <c r="J542" i="11"/>
  <c r="AB541" i="11"/>
  <c r="J543" i="11" l="1"/>
  <c r="AB542" i="11"/>
  <c r="I547" i="11"/>
  <c r="I548" i="11" l="1"/>
  <c r="J544" i="11"/>
  <c r="AB543" i="11"/>
  <c r="J545" i="11" l="1"/>
  <c r="AB544" i="11"/>
  <c r="I549" i="11"/>
  <c r="I550" i="11" l="1"/>
  <c r="J546" i="11"/>
  <c r="AB545" i="11"/>
  <c r="J547" i="11" l="1"/>
  <c r="AB546" i="11"/>
  <c r="I551" i="11"/>
  <c r="I552" i="11" l="1"/>
  <c r="J548" i="11"/>
  <c r="AB547" i="11"/>
  <c r="J549" i="11" l="1"/>
  <c r="AB548" i="11"/>
  <c r="I553" i="11"/>
  <c r="I554" i="11" l="1"/>
  <c r="J550" i="11"/>
  <c r="AB549" i="11"/>
  <c r="J551" i="11" l="1"/>
  <c r="AB550" i="11"/>
  <c r="I555" i="11"/>
  <c r="I556" i="11" l="1"/>
  <c r="J552" i="11"/>
  <c r="AB551" i="11"/>
  <c r="J553" i="11" l="1"/>
  <c r="AB552" i="11"/>
  <c r="I557" i="11"/>
  <c r="I558" i="11" l="1"/>
  <c r="J554" i="11"/>
  <c r="AB553" i="11"/>
  <c r="J555" i="11" l="1"/>
  <c r="AB554" i="11"/>
  <c r="I559" i="11"/>
  <c r="I560" i="11" l="1"/>
  <c r="J556" i="11"/>
  <c r="AB555" i="11"/>
  <c r="J557" i="11" l="1"/>
  <c r="AB556" i="11"/>
  <c r="I561" i="11"/>
  <c r="I562" i="11" l="1"/>
  <c r="J558" i="11"/>
  <c r="AB557" i="11"/>
  <c r="J559" i="11" l="1"/>
  <c r="AB558" i="11"/>
  <c r="I563" i="11"/>
  <c r="I564" i="11" l="1"/>
  <c r="J560" i="11"/>
  <c r="AB559" i="11"/>
  <c r="J561" i="11" l="1"/>
  <c r="AB560" i="11"/>
  <c r="I565" i="11"/>
  <c r="I566" i="11" l="1"/>
  <c r="J562" i="11"/>
  <c r="AB561" i="11"/>
  <c r="J563" i="11" l="1"/>
  <c r="AB562" i="11"/>
  <c r="I567" i="11"/>
  <c r="I568" i="11" l="1"/>
  <c r="J564" i="11"/>
  <c r="AB563" i="11"/>
  <c r="J565" i="11" l="1"/>
  <c r="AB564" i="11"/>
  <c r="I569" i="11"/>
  <c r="I570" i="11" l="1"/>
  <c r="J566" i="11"/>
  <c r="AB565" i="11"/>
  <c r="J567" i="11" l="1"/>
  <c r="AB566" i="11"/>
  <c r="I571" i="11"/>
  <c r="I572" i="11" l="1"/>
  <c r="J568" i="11"/>
  <c r="AB567" i="11"/>
  <c r="J569" i="11" l="1"/>
  <c r="AB568" i="11"/>
  <c r="I573" i="11"/>
  <c r="I574" i="11" l="1"/>
  <c r="J570" i="11"/>
  <c r="AB569" i="11"/>
  <c r="J571" i="11" l="1"/>
  <c r="AB570" i="11"/>
  <c r="I575" i="11"/>
  <c r="I576" i="11" l="1"/>
  <c r="J572" i="11"/>
  <c r="AB571" i="11"/>
  <c r="J573" i="11" l="1"/>
  <c r="AB572" i="11"/>
  <c r="I577" i="11"/>
  <c r="I578" i="11" l="1"/>
  <c r="J574" i="11"/>
  <c r="AB573" i="11"/>
  <c r="J575" i="11" l="1"/>
  <c r="AB574" i="11"/>
  <c r="I579" i="11"/>
  <c r="I580" i="11" l="1"/>
  <c r="J576" i="11"/>
  <c r="AB575" i="11"/>
  <c r="J577" i="11" l="1"/>
  <c r="AB576" i="11"/>
  <c r="I581" i="11"/>
  <c r="I582" i="11" l="1"/>
  <c r="J578" i="11"/>
  <c r="AB577" i="11"/>
  <c r="J579" i="11" l="1"/>
  <c r="AB578" i="11"/>
  <c r="I583" i="11"/>
  <c r="I584" i="11" l="1"/>
  <c r="J580" i="11"/>
  <c r="AB579" i="11"/>
  <c r="J581" i="11" l="1"/>
  <c r="AB580" i="11"/>
  <c r="I585" i="11"/>
  <c r="I586" i="11" l="1"/>
  <c r="J582" i="11"/>
  <c r="AB581" i="11"/>
  <c r="J583" i="11" l="1"/>
  <c r="AB582" i="11"/>
  <c r="I587" i="11"/>
  <c r="I588" i="11" l="1"/>
  <c r="J584" i="11"/>
  <c r="AB583" i="11"/>
  <c r="J585" i="11" l="1"/>
  <c r="AB584" i="11"/>
  <c r="I589" i="11"/>
  <c r="I590" i="11" l="1"/>
  <c r="J586" i="11"/>
  <c r="AB585" i="11"/>
  <c r="J587" i="11" l="1"/>
  <c r="AB586" i="11"/>
  <c r="I591" i="11"/>
  <c r="I592" i="11" l="1"/>
  <c r="J588" i="11"/>
  <c r="AB587" i="11"/>
  <c r="J589" i="11" l="1"/>
  <c r="AB588" i="11"/>
  <c r="I593" i="11"/>
  <c r="I594" i="11" l="1"/>
  <c r="J590" i="11"/>
  <c r="AB589" i="11"/>
  <c r="J591" i="11" l="1"/>
  <c r="AB590" i="11"/>
  <c r="I595" i="11"/>
  <c r="I596" i="11" l="1"/>
  <c r="J592" i="11"/>
  <c r="AB591" i="11"/>
  <c r="J593" i="11" l="1"/>
  <c r="AB592" i="11"/>
  <c r="I597" i="11"/>
  <c r="I598" i="11" l="1"/>
  <c r="J594" i="11"/>
  <c r="AB593" i="11"/>
  <c r="J595" i="11" l="1"/>
  <c r="AB594" i="11"/>
  <c r="I599" i="11"/>
  <c r="I600" i="11" l="1"/>
  <c r="J596" i="11"/>
  <c r="AB595" i="11"/>
  <c r="J597" i="11" l="1"/>
  <c r="AB596" i="11"/>
  <c r="I601" i="11"/>
  <c r="I602" i="11" l="1"/>
  <c r="J598" i="11"/>
  <c r="AB597" i="11"/>
  <c r="J599" i="11" l="1"/>
  <c r="AB598" i="11"/>
  <c r="I603" i="11"/>
  <c r="I604" i="11" l="1"/>
  <c r="J600" i="11"/>
  <c r="AB599" i="11"/>
  <c r="J601" i="11" l="1"/>
  <c r="AB600" i="11"/>
  <c r="I605" i="11"/>
  <c r="I606" i="11" l="1"/>
  <c r="J602" i="11"/>
  <c r="AB601" i="11"/>
  <c r="J603" i="11" l="1"/>
  <c r="AB602" i="11"/>
  <c r="I607" i="11"/>
  <c r="I608" i="11" l="1"/>
  <c r="J604" i="11"/>
  <c r="AB603" i="11"/>
  <c r="J605" i="11" l="1"/>
  <c r="AB604" i="11"/>
  <c r="I609" i="11"/>
  <c r="I610" i="11" l="1"/>
  <c r="J606" i="11"/>
  <c r="AB605" i="11"/>
  <c r="J607" i="11" l="1"/>
  <c r="AB606" i="11"/>
  <c r="I611" i="11"/>
  <c r="I612" i="11" l="1"/>
  <c r="J608" i="11"/>
  <c r="AB607" i="11"/>
  <c r="J609" i="11" l="1"/>
  <c r="AB608" i="11"/>
  <c r="I613" i="11"/>
  <c r="I614" i="11" l="1"/>
  <c r="J610" i="11"/>
  <c r="AB609" i="11"/>
  <c r="J611" i="11" l="1"/>
  <c r="AB610" i="11"/>
  <c r="I615" i="11"/>
  <c r="I616" i="11" l="1"/>
  <c r="J612" i="11"/>
  <c r="AB611" i="11"/>
  <c r="J613" i="11" l="1"/>
  <c r="AB612" i="11"/>
  <c r="I617" i="11"/>
  <c r="I618" i="11" l="1"/>
  <c r="J614" i="11"/>
  <c r="AB613" i="11"/>
  <c r="J615" i="11" l="1"/>
  <c r="AB614" i="11"/>
  <c r="I619" i="11"/>
  <c r="I620" i="11" l="1"/>
  <c r="J616" i="11"/>
  <c r="AB615" i="11"/>
  <c r="J617" i="11" l="1"/>
  <c r="AB616" i="11"/>
  <c r="I621" i="11"/>
  <c r="I622" i="11" l="1"/>
  <c r="J618" i="11"/>
  <c r="AB617" i="11"/>
  <c r="J619" i="11" l="1"/>
  <c r="AB618" i="11"/>
  <c r="I623" i="11"/>
  <c r="I624" i="11" l="1"/>
  <c r="J620" i="11"/>
  <c r="AB619" i="11"/>
  <c r="J621" i="11" l="1"/>
  <c r="AB620" i="11"/>
  <c r="I625" i="11"/>
  <c r="I626" i="11" l="1"/>
  <c r="J622" i="11"/>
  <c r="AB621" i="11"/>
  <c r="J623" i="11" l="1"/>
  <c r="AB622" i="11"/>
  <c r="I627" i="11"/>
  <c r="I628" i="11" l="1"/>
  <c r="J624" i="11"/>
  <c r="AB623" i="11"/>
  <c r="J625" i="11" l="1"/>
  <c r="AB624" i="11"/>
  <c r="I629" i="11"/>
  <c r="I630" i="11" l="1"/>
  <c r="J626" i="11"/>
  <c r="AB625" i="11"/>
  <c r="J627" i="11" l="1"/>
  <c r="AB626" i="11"/>
  <c r="I631" i="11"/>
  <c r="I632" i="11" l="1"/>
  <c r="J628" i="11"/>
  <c r="AB627" i="11"/>
  <c r="J629" i="11" l="1"/>
  <c r="AB628" i="11"/>
  <c r="I633" i="11"/>
  <c r="I634" i="11" l="1"/>
  <c r="J630" i="11"/>
  <c r="AB629" i="11"/>
  <c r="J631" i="11" l="1"/>
  <c r="AB630" i="11"/>
  <c r="I635" i="11"/>
  <c r="I636" i="11" l="1"/>
  <c r="J632" i="11"/>
  <c r="AB631" i="11"/>
  <c r="J633" i="11" l="1"/>
  <c r="AB632" i="11"/>
  <c r="I637" i="11"/>
  <c r="I638" i="11" l="1"/>
  <c r="J634" i="11"/>
  <c r="AB633" i="11"/>
  <c r="J635" i="11" l="1"/>
  <c r="AB634" i="11"/>
  <c r="I639" i="11"/>
  <c r="I640" i="11" l="1"/>
  <c r="J636" i="11"/>
  <c r="AB635" i="11"/>
  <c r="J637" i="11" l="1"/>
  <c r="AB636" i="11"/>
  <c r="I641" i="11"/>
  <c r="I642" i="11" l="1"/>
  <c r="J638" i="11"/>
  <c r="AB637" i="11"/>
  <c r="J639" i="11" l="1"/>
  <c r="AB638" i="11"/>
  <c r="I643" i="11"/>
  <c r="I644" i="11" l="1"/>
  <c r="J640" i="11"/>
  <c r="AB639" i="11"/>
  <c r="J641" i="11" l="1"/>
  <c r="AB640" i="11"/>
  <c r="I645" i="11"/>
  <c r="I646" i="11" l="1"/>
  <c r="J642" i="11"/>
  <c r="AB641" i="11"/>
  <c r="J643" i="11" l="1"/>
  <c r="AB642" i="11"/>
  <c r="I647" i="11"/>
  <c r="I648" i="11" l="1"/>
  <c r="J644" i="11"/>
  <c r="AB643" i="11"/>
  <c r="J645" i="11" l="1"/>
  <c r="AB644" i="11"/>
  <c r="I649" i="11"/>
  <c r="I650" i="11" l="1"/>
  <c r="J646" i="11"/>
  <c r="AB645" i="11"/>
  <c r="J647" i="11" l="1"/>
  <c r="AB646" i="11"/>
  <c r="I651" i="11"/>
  <c r="I652" i="11" l="1"/>
  <c r="J648" i="11"/>
  <c r="AB647" i="11"/>
  <c r="J649" i="11" l="1"/>
  <c r="AB648" i="11"/>
  <c r="I653" i="11"/>
  <c r="I654" i="11" l="1"/>
  <c r="J650" i="11"/>
  <c r="AB649" i="11"/>
  <c r="J651" i="11" l="1"/>
  <c r="AB650" i="11"/>
  <c r="I655" i="11"/>
  <c r="I656" i="11" l="1"/>
  <c r="J652" i="11"/>
  <c r="AB651" i="11"/>
  <c r="J653" i="11" l="1"/>
  <c r="AB652" i="11"/>
  <c r="I657" i="11"/>
  <c r="I658" i="11" l="1"/>
  <c r="J654" i="11"/>
  <c r="AB653" i="11"/>
  <c r="J655" i="11" l="1"/>
  <c r="AB654" i="11"/>
  <c r="I659" i="11"/>
  <c r="I660" i="11" l="1"/>
  <c r="J656" i="11"/>
  <c r="AB655" i="11"/>
  <c r="J657" i="11" l="1"/>
  <c r="AB656" i="11"/>
  <c r="I661" i="11"/>
  <c r="I662" i="11" l="1"/>
  <c r="J658" i="11"/>
  <c r="AB657" i="11"/>
  <c r="J659" i="11" l="1"/>
  <c r="AB658" i="11"/>
  <c r="I663" i="11"/>
  <c r="I664" i="11" l="1"/>
  <c r="J660" i="11"/>
  <c r="AB659" i="11"/>
  <c r="J661" i="11" l="1"/>
  <c r="AB660" i="11"/>
  <c r="I665" i="11"/>
  <c r="I666" i="11" l="1"/>
  <c r="J662" i="11"/>
  <c r="AB661" i="11"/>
  <c r="J663" i="11" l="1"/>
  <c r="AB662" i="11"/>
  <c r="I667" i="11"/>
  <c r="I668" i="11" l="1"/>
  <c r="J664" i="11"/>
  <c r="AB663" i="11"/>
  <c r="J665" i="11" l="1"/>
  <c r="AB664" i="11"/>
  <c r="I669" i="11"/>
  <c r="I670" i="11" l="1"/>
  <c r="J666" i="11"/>
  <c r="AB665" i="11"/>
  <c r="J667" i="11" l="1"/>
  <c r="AB666" i="11"/>
  <c r="I671" i="11"/>
  <c r="I672" i="11" l="1"/>
  <c r="J668" i="11"/>
  <c r="AB667" i="11"/>
  <c r="J669" i="11" l="1"/>
  <c r="AB668" i="11"/>
  <c r="I673" i="11"/>
  <c r="I674" i="11" l="1"/>
  <c r="J670" i="11"/>
  <c r="AB669" i="11"/>
  <c r="J671" i="11" l="1"/>
  <c r="AB670" i="11"/>
  <c r="I675" i="11"/>
  <c r="I676" i="11" l="1"/>
  <c r="J672" i="11"/>
  <c r="AB671" i="11"/>
  <c r="J673" i="11" l="1"/>
  <c r="AB672" i="11"/>
  <c r="I677" i="11"/>
  <c r="I678" i="11" l="1"/>
  <c r="J674" i="11"/>
  <c r="AB673" i="11"/>
  <c r="J675" i="11" l="1"/>
  <c r="AB674" i="11"/>
  <c r="I679" i="11"/>
  <c r="I680" i="11" l="1"/>
  <c r="J676" i="11"/>
  <c r="AB675" i="11"/>
  <c r="J677" i="11" l="1"/>
  <c r="AB676" i="11"/>
  <c r="I681" i="11"/>
  <c r="I682" i="11" l="1"/>
  <c r="J678" i="11"/>
  <c r="AB677" i="11"/>
  <c r="J679" i="11" l="1"/>
  <c r="AB678" i="11"/>
  <c r="I683" i="11"/>
  <c r="I684" i="11" l="1"/>
  <c r="J680" i="11"/>
  <c r="AB679" i="11"/>
  <c r="J681" i="11" l="1"/>
  <c r="AB680" i="11"/>
  <c r="I685" i="11"/>
  <c r="I686" i="11" l="1"/>
  <c r="J682" i="11"/>
  <c r="AB681" i="11"/>
  <c r="J683" i="11" l="1"/>
  <c r="AB682" i="11"/>
  <c r="I687" i="11"/>
  <c r="I688" i="11" l="1"/>
  <c r="J684" i="11"/>
  <c r="AB683" i="11"/>
  <c r="J685" i="11" l="1"/>
  <c r="AB684" i="11"/>
  <c r="I689" i="11"/>
  <c r="I690" i="11" l="1"/>
  <c r="J686" i="11"/>
  <c r="AB685" i="11"/>
  <c r="J687" i="11" l="1"/>
  <c r="AB686" i="11"/>
  <c r="I691" i="11"/>
  <c r="I692" i="11" l="1"/>
  <c r="J688" i="11"/>
  <c r="AB687" i="11"/>
  <c r="J689" i="11" l="1"/>
  <c r="AB688" i="11"/>
  <c r="I693" i="11"/>
  <c r="I694" i="11" l="1"/>
  <c r="J690" i="11"/>
  <c r="AB689" i="11"/>
  <c r="J691" i="11" l="1"/>
  <c r="AB690" i="11"/>
  <c r="I695" i="11"/>
  <c r="I696" i="11" l="1"/>
  <c r="J692" i="11"/>
  <c r="AB691" i="11"/>
  <c r="J693" i="11" l="1"/>
  <c r="AB692" i="11"/>
  <c r="I697" i="11"/>
  <c r="I698" i="11" l="1"/>
  <c r="J694" i="11"/>
  <c r="AB693" i="11"/>
  <c r="J695" i="11" l="1"/>
  <c r="AB694" i="11"/>
  <c r="I699" i="11"/>
  <c r="I700" i="11" l="1"/>
  <c r="J696" i="11"/>
  <c r="AB695" i="11"/>
  <c r="J697" i="11" l="1"/>
  <c r="AB696" i="11"/>
  <c r="I701" i="11"/>
  <c r="I702" i="11" l="1"/>
  <c r="J698" i="11"/>
  <c r="AB697" i="11"/>
  <c r="J699" i="11" l="1"/>
  <c r="AB698" i="11"/>
  <c r="I703" i="11"/>
  <c r="I704" i="11" l="1"/>
  <c r="J700" i="11"/>
  <c r="AB699" i="11"/>
  <c r="J701" i="11" l="1"/>
  <c r="AB700" i="11"/>
  <c r="I705" i="11"/>
  <c r="I706" i="11" l="1"/>
  <c r="J702" i="11"/>
  <c r="AB701" i="11"/>
  <c r="J703" i="11" l="1"/>
  <c r="AB702" i="11"/>
  <c r="I707" i="11"/>
  <c r="I708" i="11" l="1"/>
  <c r="J704" i="11"/>
  <c r="AB703" i="11"/>
  <c r="J705" i="11" l="1"/>
  <c r="AB704" i="11"/>
  <c r="I709" i="11"/>
  <c r="I710" i="11" l="1"/>
  <c r="J706" i="11"/>
  <c r="AB705" i="11"/>
  <c r="J707" i="11" l="1"/>
  <c r="AB706" i="11"/>
  <c r="I711" i="11"/>
  <c r="I712" i="11" l="1"/>
  <c r="J708" i="11"/>
  <c r="AB707" i="11"/>
  <c r="J709" i="11" l="1"/>
  <c r="AB708" i="11"/>
  <c r="I713" i="11"/>
  <c r="I714" i="11" l="1"/>
  <c r="J710" i="11"/>
  <c r="AB709" i="11"/>
  <c r="J711" i="11" l="1"/>
  <c r="AB710" i="11"/>
  <c r="I715" i="11"/>
  <c r="I716" i="11" l="1"/>
  <c r="J712" i="11"/>
  <c r="AB711" i="11"/>
  <c r="J713" i="11" l="1"/>
  <c r="AB712" i="11"/>
  <c r="I717" i="11"/>
  <c r="I718" i="11" l="1"/>
  <c r="J714" i="11"/>
  <c r="AB713" i="11"/>
  <c r="J715" i="11" l="1"/>
  <c r="AB714" i="11"/>
  <c r="I719" i="11"/>
  <c r="I720" i="11" l="1"/>
  <c r="J716" i="11"/>
  <c r="AB715" i="11"/>
  <c r="J717" i="11" l="1"/>
  <c r="AB716" i="11"/>
  <c r="I721" i="11"/>
  <c r="I722" i="11" l="1"/>
  <c r="J718" i="11"/>
  <c r="AB717" i="11"/>
  <c r="J719" i="11" l="1"/>
  <c r="AB718" i="11"/>
  <c r="I723" i="11"/>
  <c r="I724" i="11" l="1"/>
  <c r="J720" i="11"/>
  <c r="AB719" i="11"/>
  <c r="J721" i="11" l="1"/>
  <c r="AB720" i="11"/>
  <c r="I725" i="11"/>
  <c r="I726" i="11" l="1"/>
  <c r="J722" i="11"/>
  <c r="AB721" i="11"/>
  <c r="J723" i="11" l="1"/>
  <c r="AB722" i="11"/>
  <c r="I727" i="11"/>
  <c r="I728" i="11" l="1"/>
  <c r="J724" i="11"/>
  <c r="AB723" i="11"/>
  <c r="J725" i="11" l="1"/>
  <c r="AB724" i="11"/>
  <c r="I729" i="11"/>
  <c r="I730" i="11" l="1"/>
  <c r="J726" i="11"/>
  <c r="AB725" i="11"/>
  <c r="J727" i="11" l="1"/>
  <c r="AB726" i="11"/>
  <c r="I731" i="11"/>
  <c r="I732" i="11" l="1"/>
  <c r="J728" i="11"/>
  <c r="AB727" i="11"/>
  <c r="J729" i="11" l="1"/>
  <c r="AB728" i="11"/>
  <c r="I733" i="11"/>
  <c r="I734" i="11" l="1"/>
  <c r="J730" i="11"/>
  <c r="AB729" i="11"/>
  <c r="J731" i="11" l="1"/>
  <c r="AB730" i="11"/>
  <c r="I735" i="11"/>
  <c r="I736" i="11" l="1"/>
  <c r="J732" i="11"/>
  <c r="AB731" i="11"/>
  <c r="J733" i="11" l="1"/>
  <c r="AB732" i="11"/>
  <c r="I737" i="11"/>
  <c r="I738" i="11" l="1"/>
  <c r="J734" i="11"/>
  <c r="AB733" i="11"/>
  <c r="J735" i="11" l="1"/>
  <c r="AB734" i="11"/>
  <c r="I739" i="11"/>
  <c r="I740" i="11" l="1"/>
  <c r="J736" i="11"/>
  <c r="AB735" i="11"/>
  <c r="J737" i="11" l="1"/>
  <c r="AB736" i="11"/>
  <c r="I741" i="11"/>
  <c r="I742" i="11" l="1"/>
  <c r="J738" i="11"/>
  <c r="AB737" i="11"/>
  <c r="J739" i="11" l="1"/>
  <c r="AB738" i="11"/>
  <c r="I743" i="11"/>
  <c r="I744" i="11" l="1"/>
  <c r="J740" i="11"/>
  <c r="AB739" i="11"/>
  <c r="J741" i="11" l="1"/>
  <c r="AB740" i="11"/>
  <c r="I745" i="11"/>
  <c r="I746" i="11" l="1"/>
  <c r="J742" i="11"/>
  <c r="AB741" i="11"/>
  <c r="J743" i="11" l="1"/>
  <c r="AB742" i="11"/>
  <c r="I747" i="11"/>
  <c r="I748" i="11" l="1"/>
  <c r="J744" i="11"/>
  <c r="AB743" i="11"/>
  <c r="J745" i="11" l="1"/>
  <c r="AB744" i="11"/>
  <c r="I749" i="11"/>
  <c r="I750" i="11" l="1"/>
  <c r="J746" i="11"/>
  <c r="AB745" i="11"/>
  <c r="J747" i="11" l="1"/>
  <c r="AB746" i="11"/>
  <c r="I751" i="11"/>
  <c r="I752" i="11" l="1"/>
  <c r="J748" i="11"/>
  <c r="AB747" i="11"/>
  <c r="J749" i="11" l="1"/>
  <c r="AB748" i="11"/>
  <c r="I753" i="11"/>
  <c r="I754" i="11" l="1"/>
  <c r="J750" i="11"/>
  <c r="AB749" i="11"/>
  <c r="J751" i="11" l="1"/>
  <c r="AB750" i="11"/>
  <c r="I755" i="11"/>
  <c r="I756" i="11" l="1"/>
  <c r="J752" i="11"/>
  <c r="AB751" i="11"/>
  <c r="J753" i="11" l="1"/>
  <c r="AB752" i="11"/>
  <c r="I757" i="11"/>
  <c r="I758" i="11" l="1"/>
  <c r="J754" i="11"/>
  <c r="AB753" i="11"/>
  <c r="J755" i="11" l="1"/>
  <c r="AB754" i="11"/>
  <c r="I759" i="11"/>
  <c r="I760" i="11" l="1"/>
  <c r="J756" i="11"/>
  <c r="AB755" i="11"/>
  <c r="J757" i="11" l="1"/>
  <c r="AB756" i="11"/>
  <c r="I761" i="11"/>
  <c r="I762" i="11" l="1"/>
  <c r="J758" i="11"/>
  <c r="AB757" i="11"/>
  <c r="J759" i="11" l="1"/>
  <c r="AB758" i="11"/>
  <c r="I763" i="11"/>
  <c r="I764" i="11" l="1"/>
  <c r="J760" i="11"/>
  <c r="AB759" i="11"/>
  <c r="J761" i="11" l="1"/>
  <c r="AB760" i="11"/>
  <c r="I765" i="11"/>
  <c r="I766" i="11" l="1"/>
  <c r="J762" i="11"/>
  <c r="AB761" i="11"/>
  <c r="J763" i="11" l="1"/>
  <c r="AB762" i="11"/>
  <c r="I767" i="11"/>
  <c r="I768" i="11" l="1"/>
  <c r="J764" i="11"/>
  <c r="AB763" i="11"/>
  <c r="J765" i="11" l="1"/>
  <c r="AB764" i="11"/>
  <c r="I769" i="11"/>
  <c r="I770" i="11" l="1"/>
  <c r="J766" i="11"/>
  <c r="AB765" i="11"/>
  <c r="J767" i="11" l="1"/>
  <c r="AB766" i="11"/>
  <c r="I771" i="11"/>
  <c r="I772" i="11" l="1"/>
  <c r="J768" i="11"/>
  <c r="AB767" i="11"/>
  <c r="J769" i="11" l="1"/>
  <c r="AB768" i="11"/>
  <c r="I773" i="11"/>
  <c r="I774" i="11" l="1"/>
  <c r="J770" i="11"/>
  <c r="AB769" i="11"/>
  <c r="J771" i="11" l="1"/>
  <c r="AB770" i="11"/>
  <c r="I775" i="11"/>
  <c r="I776" i="11" l="1"/>
  <c r="J772" i="11"/>
  <c r="AB771" i="11"/>
  <c r="J773" i="11" l="1"/>
  <c r="AB772" i="11"/>
  <c r="I777" i="11"/>
  <c r="I778" i="11" l="1"/>
  <c r="J774" i="11"/>
  <c r="AB773" i="11"/>
  <c r="J775" i="11" l="1"/>
  <c r="AB774" i="11"/>
  <c r="I779" i="11"/>
  <c r="I780" i="11" l="1"/>
  <c r="J776" i="11"/>
  <c r="AB775" i="11"/>
  <c r="J777" i="11" l="1"/>
  <c r="AB776" i="11"/>
  <c r="I781" i="11"/>
  <c r="I782" i="11" l="1"/>
  <c r="J778" i="11"/>
  <c r="AB777" i="11"/>
  <c r="J779" i="11" l="1"/>
  <c r="AB778" i="11"/>
  <c r="I783" i="11"/>
  <c r="I784" i="11" l="1"/>
  <c r="J780" i="11"/>
  <c r="AB779" i="11"/>
  <c r="J781" i="11" l="1"/>
  <c r="AB780" i="11"/>
  <c r="I785" i="11"/>
  <c r="I786" i="11" l="1"/>
  <c r="J782" i="11"/>
  <c r="AB781" i="11"/>
  <c r="J783" i="11" l="1"/>
  <c r="AB782" i="11"/>
  <c r="I787" i="11"/>
  <c r="J784" i="11" l="1"/>
  <c r="AB783" i="11"/>
  <c r="I788" i="11"/>
  <c r="I789" i="11" l="1"/>
  <c r="J785" i="11"/>
  <c r="AB784" i="11"/>
  <c r="J786" i="11" l="1"/>
  <c r="AB785" i="11"/>
  <c r="I790" i="11"/>
  <c r="I791" i="11" l="1"/>
  <c r="J787" i="11"/>
  <c r="AB786" i="11"/>
  <c r="J788" i="11" l="1"/>
  <c r="AB787" i="11"/>
  <c r="I792" i="11"/>
  <c r="I793" i="11" l="1"/>
  <c r="J789" i="11"/>
  <c r="AB788" i="11"/>
  <c r="J790" i="11" l="1"/>
  <c r="AB789" i="11"/>
  <c r="I794" i="11"/>
  <c r="I795" i="11" l="1"/>
  <c r="J791" i="11"/>
  <c r="AB790" i="11"/>
  <c r="J792" i="11" l="1"/>
  <c r="P28" i="11"/>
  <c r="P30" i="11" s="1"/>
  <c r="P25" i="11"/>
  <c r="P27" i="11"/>
  <c r="P29" i="11"/>
  <c r="P26" i="11"/>
  <c r="AB791" i="11"/>
  <c r="I796" i="11"/>
  <c r="I797" i="11" l="1"/>
  <c r="J793" i="11"/>
  <c r="AB792" i="11"/>
  <c r="J794" i="11" l="1"/>
  <c r="AB793" i="11"/>
  <c r="I798" i="11"/>
  <c r="I799" i="11" l="1"/>
  <c r="J795" i="11"/>
  <c r="AB794" i="11"/>
  <c r="J796" i="11" l="1"/>
  <c r="AB795" i="11"/>
  <c r="I800" i="11"/>
  <c r="I801" i="11" l="1"/>
  <c r="J797" i="11"/>
  <c r="AB796" i="11"/>
  <c r="J798" i="11" l="1"/>
  <c r="AB797" i="11"/>
  <c r="I802" i="11"/>
  <c r="I803" i="11" l="1"/>
  <c r="J799" i="11"/>
  <c r="AB798" i="11"/>
  <c r="J800" i="11" l="1"/>
  <c r="AB799" i="11"/>
  <c r="I804" i="11"/>
  <c r="I805" i="11" l="1"/>
  <c r="J801" i="11"/>
  <c r="AB800" i="11"/>
  <c r="J802" i="11" l="1"/>
  <c r="AB801" i="11"/>
  <c r="I806" i="11"/>
  <c r="I807" i="11" l="1"/>
  <c r="J803" i="11"/>
  <c r="AB802" i="11"/>
  <c r="J804" i="11" l="1"/>
  <c r="AB803" i="11"/>
  <c r="I808" i="11"/>
  <c r="I809" i="11" l="1"/>
  <c r="J805" i="11"/>
  <c r="AB804" i="11"/>
  <c r="J806" i="11" l="1"/>
  <c r="AB805" i="11"/>
  <c r="I810" i="11"/>
  <c r="I811" i="11" l="1"/>
  <c r="J807" i="11"/>
  <c r="AB806" i="11"/>
  <c r="J808" i="11" l="1"/>
  <c r="AB807" i="11"/>
  <c r="I812" i="11"/>
  <c r="I813" i="11" l="1"/>
  <c r="J809" i="11"/>
  <c r="AB808" i="11"/>
  <c r="J810" i="11" l="1"/>
  <c r="AB809" i="11"/>
  <c r="I814" i="11"/>
  <c r="I815" i="11" l="1"/>
  <c r="J811" i="11"/>
  <c r="AB810" i="11"/>
  <c r="J812" i="11" l="1"/>
  <c r="AB811" i="11"/>
  <c r="I816" i="11"/>
  <c r="AB816" i="11" l="1"/>
  <c r="L816" i="11"/>
  <c r="M816" i="11" s="1"/>
  <c r="AJ816" i="19" s="1"/>
  <c r="AK816" i="19" s="1"/>
  <c r="I817" i="11"/>
  <c r="J813" i="11"/>
  <c r="AB812" i="11"/>
  <c r="J814" i="11" l="1"/>
  <c r="AB813" i="11"/>
  <c r="L817" i="11"/>
  <c r="M817" i="11" s="1"/>
  <c r="AJ817" i="19" s="1"/>
  <c r="AK817" i="19" s="1"/>
  <c r="AB817" i="11"/>
  <c r="I818" i="11"/>
  <c r="AB818" i="11" l="1"/>
  <c r="L818" i="11"/>
  <c r="M818" i="11" s="1"/>
  <c r="AJ818" i="19" s="1"/>
  <c r="AK818" i="19" s="1"/>
  <c r="I819" i="11"/>
  <c r="J815" i="11"/>
  <c r="AB814" i="11"/>
  <c r="P16" i="11" l="1"/>
  <c r="P22" i="11"/>
  <c r="E16" i="1" s="1"/>
  <c r="P14" i="11"/>
  <c r="D16" i="1" s="1"/>
  <c r="P15" i="11"/>
  <c r="P13" i="11"/>
  <c r="P17" i="11"/>
  <c r="P23" i="11"/>
  <c r="P18" i="11"/>
  <c r="C16" i="1" s="1"/>
  <c r="P60" i="11"/>
  <c r="AB815" i="11"/>
  <c r="AB819" i="11"/>
  <c r="L819" i="11"/>
  <c r="M819" i="11" s="1"/>
  <c r="AJ819" i="19" s="1"/>
  <c r="AK819" i="19" s="1"/>
  <c r="I820" i="11"/>
  <c r="L6" i="11" l="1"/>
  <c r="M6" i="11" s="1"/>
  <c r="AJ6" i="19" s="1"/>
  <c r="AK6" i="19" s="1"/>
  <c r="L7" i="11"/>
  <c r="M7" i="11" s="1"/>
  <c r="AJ7" i="19" s="1"/>
  <c r="AK7" i="19" s="1"/>
  <c r="L8" i="11"/>
  <c r="M8" i="11" s="1"/>
  <c r="AJ8" i="19" s="1"/>
  <c r="AK8" i="19" s="1"/>
  <c r="L9" i="11"/>
  <c r="M9" i="11" s="1"/>
  <c r="L10" i="11"/>
  <c r="M10" i="11" s="1"/>
  <c r="AJ10" i="19" s="1"/>
  <c r="AK10" i="19" s="1"/>
  <c r="L11" i="11"/>
  <c r="M11" i="11" s="1"/>
  <c r="AJ11" i="19" s="1"/>
  <c r="AK11" i="19" s="1"/>
  <c r="L12" i="11"/>
  <c r="M12" i="11" s="1"/>
  <c r="L13" i="11"/>
  <c r="M13" i="11" s="1"/>
  <c r="AJ13" i="19" s="1"/>
  <c r="AK13" i="19" s="1"/>
  <c r="L14" i="11"/>
  <c r="M14" i="11" s="1"/>
  <c r="AJ14" i="19" s="1"/>
  <c r="AK14" i="19" s="1"/>
  <c r="L15" i="11"/>
  <c r="M15" i="11" s="1"/>
  <c r="AJ15" i="19" s="1"/>
  <c r="AK15" i="19" s="1"/>
  <c r="L16" i="11"/>
  <c r="M16" i="11" s="1"/>
  <c r="AJ16" i="19" s="1"/>
  <c r="AK16" i="19" s="1"/>
  <c r="L17" i="11"/>
  <c r="M17" i="11" s="1"/>
  <c r="AJ17" i="19" s="1"/>
  <c r="AK17" i="19" s="1"/>
  <c r="L18" i="11"/>
  <c r="M18" i="11" s="1"/>
  <c r="AJ18" i="19" s="1"/>
  <c r="AK18" i="19" s="1"/>
  <c r="L19" i="11"/>
  <c r="M19" i="11" s="1"/>
  <c r="AJ19" i="19" s="1"/>
  <c r="AK19" i="19" s="1"/>
  <c r="L20" i="11"/>
  <c r="M20" i="11" s="1"/>
  <c r="AJ20" i="19" s="1"/>
  <c r="AK20" i="19" s="1"/>
  <c r="L21" i="11"/>
  <c r="M21" i="11" s="1"/>
  <c r="AJ21" i="19" s="1"/>
  <c r="AK21" i="19" s="1"/>
  <c r="L22" i="11"/>
  <c r="M22" i="11" s="1"/>
  <c r="AJ22" i="19" s="1"/>
  <c r="AK22" i="19" s="1"/>
  <c r="L23" i="11"/>
  <c r="M23" i="11" s="1"/>
  <c r="AJ23" i="19" s="1"/>
  <c r="AK23" i="19" s="1"/>
  <c r="L24" i="11"/>
  <c r="M24" i="11" s="1"/>
  <c r="AJ24" i="19" s="1"/>
  <c r="AK24" i="19" s="1"/>
  <c r="L25" i="11"/>
  <c r="M25" i="11" s="1"/>
  <c r="AJ25" i="19" s="1"/>
  <c r="AK25" i="19" s="1"/>
  <c r="L26" i="11"/>
  <c r="M26" i="11" s="1"/>
  <c r="AJ26" i="19" s="1"/>
  <c r="AK26" i="19" s="1"/>
  <c r="L27" i="11"/>
  <c r="M27" i="11" s="1"/>
  <c r="AJ27" i="19" s="1"/>
  <c r="AK27" i="19" s="1"/>
  <c r="L28" i="11"/>
  <c r="M28" i="11" s="1"/>
  <c r="AJ28" i="19" s="1"/>
  <c r="AK28" i="19" s="1"/>
  <c r="L29" i="11"/>
  <c r="M29" i="11" s="1"/>
  <c r="AJ29" i="19" s="1"/>
  <c r="AK29" i="19" s="1"/>
  <c r="L30" i="11"/>
  <c r="M30" i="11" s="1"/>
  <c r="AJ30" i="19" s="1"/>
  <c r="AK30" i="19" s="1"/>
  <c r="L31" i="11"/>
  <c r="M31" i="11" s="1"/>
  <c r="AJ31" i="19" s="1"/>
  <c r="AK31" i="19" s="1"/>
  <c r="L32" i="11"/>
  <c r="M32" i="11" s="1"/>
  <c r="AJ32" i="19" s="1"/>
  <c r="AK32" i="19" s="1"/>
  <c r="L33" i="11"/>
  <c r="M33" i="11" s="1"/>
  <c r="AJ33" i="19" s="1"/>
  <c r="AK33" i="19" s="1"/>
  <c r="L34" i="11"/>
  <c r="M34" i="11" s="1"/>
  <c r="AJ34" i="19" s="1"/>
  <c r="AK34" i="19" s="1"/>
  <c r="L35" i="11"/>
  <c r="M35" i="11" s="1"/>
  <c r="AJ35" i="19" s="1"/>
  <c r="AK35" i="19" s="1"/>
  <c r="L36" i="11"/>
  <c r="M36" i="11" s="1"/>
  <c r="AJ36" i="19" s="1"/>
  <c r="AK36" i="19" s="1"/>
  <c r="L37" i="11"/>
  <c r="M37" i="11" s="1"/>
  <c r="AJ37" i="19" s="1"/>
  <c r="AK37" i="19" s="1"/>
  <c r="L38" i="11"/>
  <c r="M38" i="11" s="1"/>
  <c r="AJ38" i="19" s="1"/>
  <c r="AK38" i="19" s="1"/>
  <c r="L39" i="11"/>
  <c r="M39" i="11" s="1"/>
  <c r="AJ39" i="19" s="1"/>
  <c r="AK39" i="19" s="1"/>
  <c r="L40" i="11"/>
  <c r="M40" i="11" s="1"/>
  <c r="AJ40" i="19" s="1"/>
  <c r="AK40" i="19" s="1"/>
  <c r="L41" i="11"/>
  <c r="M41" i="11" s="1"/>
  <c r="AJ41" i="19" s="1"/>
  <c r="AK41" i="19" s="1"/>
  <c r="L42" i="11"/>
  <c r="M42" i="11" s="1"/>
  <c r="AJ42" i="19" s="1"/>
  <c r="AK42" i="19" s="1"/>
  <c r="L43" i="11"/>
  <c r="M43" i="11" s="1"/>
  <c r="AJ43" i="19" s="1"/>
  <c r="AK43" i="19" s="1"/>
  <c r="L44" i="11"/>
  <c r="M44" i="11" s="1"/>
  <c r="AJ44" i="19" s="1"/>
  <c r="AK44" i="19" s="1"/>
  <c r="L45" i="11"/>
  <c r="M45" i="11" s="1"/>
  <c r="AJ45" i="19" s="1"/>
  <c r="AK45" i="19" s="1"/>
  <c r="L46" i="11"/>
  <c r="M46" i="11" s="1"/>
  <c r="AJ46" i="19" s="1"/>
  <c r="AK46" i="19" s="1"/>
  <c r="L47" i="11"/>
  <c r="M47" i="11" s="1"/>
  <c r="AJ47" i="19" s="1"/>
  <c r="AK47" i="19" s="1"/>
  <c r="L48" i="11"/>
  <c r="M48" i="11" s="1"/>
  <c r="AJ48" i="19" s="1"/>
  <c r="AK48" i="19" s="1"/>
  <c r="L49" i="11"/>
  <c r="M49" i="11" s="1"/>
  <c r="AJ49" i="19" s="1"/>
  <c r="AK49" i="19" s="1"/>
  <c r="L50" i="11"/>
  <c r="M50" i="11" s="1"/>
  <c r="AJ50" i="19" s="1"/>
  <c r="AK50" i="19" s="1"/>
  <c r="L51" i="11"/>
  <c r="M51" i="11" s="1"/>
  <c r="AJ51" i="19" s="1"/>
  <c r="AK51" i="19" s="1"/>
  <c r="L52" i="11"/>
  <c r="M52" i="11" s="1"/>
  <c r="AJ52" i="19" s="1"/>
  <c r="AK52" i="19" s="1"/>
  <c r="L53" i="11"/>
  <c r="M53" i="11" s="1"/>
  <c r="AJ53" i="19" s="1"/>
  <c r="AK53" i="19" s="1"/>
  <c r="L54" i="11"/>
  <c r="M54" i="11" s="1"/>
  <c r="AJ54" i="19" s="1"/>
  <c r="AK54" i="19" s="1"/>
  <c r="L55" i="11"/>
  <c r="M55" i="11" s="1"/>
  <c r="AJ55" i="19" s="1"/>
  <c r="AK55" i="19" s="1"/>
  <c r="L56" i="11"/>
  <c r="M56" i="11" s="1"/>
  <c r="AJ56" i="19" s="1"/>
  <c r="AK56" i="19" s="1"/>
  <c r="L57" i="11"/>
  <c r="M57" i="11" s="1"/>
  <c r="AJ57" i="19" s="1"/>
  <c r="AK57" i="19" s="1"/>
  <c r="L58" i="11"/>
  <c r="M58" i="11" s="1"/>
  <c r="AJ58" i="19" s="1"/>
  <c r="AK58" i="19" s="1"/>
  <c r="L59" i="11"/>
  <c r="M59" i="11" s="1"/>
  <c r="AJ59" i="19" s="1"/>
  <c r="AK59" i="19" s="1"/>
  <c r="L60" i="11"/>
  <c r="M60" i="11" s="1"/>
  <c r="AJ60" i="19" s="1"/>
  <c r="AK60" i="19" s="1"/>
  <c r="L61" i="11"/>
  <c r="M61" i="11" s="1"/>
  <c r="AJ61" i="19" s="1"/>
  <c r="AK61" i="19" s="1"/>
  <c r="L62" i="11"/>
  <c r="M62" i="11" s="1"/>
  <c r="AJ62" i="19" s="1"/>
  <c r="AK62" i="19" s="1"/>
  <c r="L63" i="11"/>
  <c r="M63" i="11" s="1"/>
  <c r="AJ63" i="19" s="1"/>
  <c r="AK63" i="19" s="1"/>
  <c r="L64" i="11"/>
  <c r="M64" i="11" s="1"/>
  <c r="AJ64" i="19" s="1"/>
  <c r="AK64" i="19" s="1"/>
  <c r="L65" i="11"/>
  <c r="M65" i="11" s="1"/>
  <c r="AJ65" i="19" s="1"/>
  <c r="AK65" i="19" s="1"/>
  <c r="L66" i="11"/>
  <c r="M66" i="11" s="1"/>
  <c r="AJ66" i="19" s="1"/>
  <c r="AK66" i="19" s="1"/>
  <c r="L67" i="11"/>
  <c r="M67" i="11" s="1"/>
  <c r="AJ67" i="19" s="1"/>
  <c r="AK67" i="19" s="1"/>
  <c r="L68" i="11"/>
  <c r="M68" i="11" s="1"/>
  <c r="AJ68" i="19" s="1"/>
  <c r="AK68" i="19" s="1"/>
  <c r="L69" i="11"/>
  <c r="M69" i="11" s="1"/>
  <c r="AJ69" i="19" s="1"/>
  <c r="AK69" i="19" s="1"/>
  <c r="L70" i="11"/>
  <c r="M70" i="11" s="1"/>
  <c r="AJ70" i="19" s="1"/>
  <c r="AK70" i="19" s="1"/>
  <c r="L71" i="11"/>
  <c r="M71" i="11" s="1"/>
  <c r="AJ71" i="19" s="1"/>
  <c r="AK71" i="19" s="1"/>
  <c r="L72" i="11"/>
  <c r="M72" i="11" s="1"/>
  <c r="AJ72" i="19" s="1"/>
  <c r="AK72" i="19" s="1"/>
  <c r="L73" i="11"/>
  <c r="M73" i="11" s="1"/>
  <c r="AJ73" i="19" s="1"/>
  <c r="AK73" i="19" s="1"/>
  <c r="L74" i="11"/>
  <c r="M74" i="11" s="1"/>
  <c r="AJ74" i="19" s="1"/>
  <c r="AK74" i="19" s="1"/>
  <c r="L75" i="11"/>
  <c r="M75" i="11" s="1"/>
  <c r="AJ75" i="19" s="1"/>
  <c r="AK75" i="19" s="1"/>
  <c r="L76" i="11"/>
  <c r="M76" i="11" s="1"/>
  <c r="AJ76" i="19" s="1"/>
  <c r="AK76" i="19" s="1"/>
  <c r="L77" i="11"/>
  <c r="M77" i="11" s="1"/>
  <c r="AJ77" i="19" s="1"/>
  <c r="AK77" i="19" s="1"/>
  <c r="L78" i="11"/>
  <c r="M78" i="11" s="1"/>
  <c r="AJ78" i="19" s="1"/>
  <c r="AK78" i="19" s="1"/>
  <c r="L79" i="11"/>
  <c r="M79" i="11" s="1"/>
  <c r="AJ79" i="19" s="1"/>
  <c r="AK79" i="19" s="1"/>
  <c r="L80" i="11"/>
  <c r="M80" i="11" s="1"/>
  <c r="AJ80" i="19" s="1"/>
  <c r="AK80" i="19" s="1"/>
  <c r="L81" i="11"/>
  <c r="M81" i="11" s="1"/>
  <c r="AJ81" i="19" s="1"/>
  <c r="AK81" i="19" s="1"/>
  <c r="L82" i="11"/>
  <c r="M82" i="11" s="1"/>
  <c r="AJ82" i="19" s="1"/>
  <c r="AK82" i="19" s="1"/>
  <c r="L83" i="11"/>
  <c r="M83" i="11" s="1"/>
  <c r="AJ83" i="19" s="1"/>
  <c r="AK83" i="19" s="1"/>
  <c r="L84" i="11"/>
  <c r="M84" i="11" s="1"/>
  <c r="AJ84" i="19" s="1"/>
  <c r="AK84" i="19" s="1"/>
  <c r="L85" i="11"/>
  <c r="M85" i="11" s="1"/>
  <c r="AJ85" i="19" s="1"/>
  <c r="AK85" i="19" s="1"/>
  <c r="L86" i="11"/>
  <c r="M86" i="11" s="1"/>
  <c r="AJ86" i="19" s="1"/>
  <c r="AK86" i="19" s="1"/>
  <c r="L87" i="11"/>
  <c r="M87" i="11" s="1"/>
  <c r="AJ87" i="19" s="1"/>
  <c r="AK87" i="19" s="1"/>
  <c r="L88" i="11"/>
  <c r="M88" i="11" s="1"/>
  <c r="AJ88" i="19" s="1"/>
  <c r="AK88" i="19" s="1"/>
  <c r="L89" i="11"/>
  <c r="M89" i="11" s="1"/>
  <c r="AJ89" i="19" s="1"/>
  <c r="AK89" i="19" s="1"/>
  <c r="L90" i="11"/>
  <c r="M90" i="11" s="1"/>
  <c r="AJ90" i="19" s="1"/>
  <c r="AK90" i="19" s="1"/>
  <c r="L91" i="11"/>
  <c r="M91" i="11" s="1"/>
  <c r="AJ91" i="19" s="1"/>
  <c r="AK91" i="19" s="1"/>
  <c r="L92" i="11"/>
  <c r="M92" i="11" s="1"/>
  <c r="AJ92" i="19" s="1"/>
  <c r="AK92" i="19" s="1"/>
  <c r="L93" i="11"/>
  <c r="M93" i="11" s="1"/>
  <c r="AJ93" i="19" s="1"/>
  <c r="AK93" i="19" s="1"/>
  <c r="L94" i="11"/>
  <c r="M94" i="11" s="1"/>
  <c r="AJ94" i="19" s="1"/>
  <c r="AK94" i="19" s="1"/>
  <c r="L95" i="11"/>
  <c r="M95" i="11" s="1"/>
  <c r="AJ95" i="19" s="1"/>
  <c r="AK95" i="19" s="1"/>
  <c r="L96" i="11"/>
  <c r="M96" i="11" s="1"/>
  <c r="AJ96" i="19" s="1"/>
  <c r="AK96" i="19" s="1"/>
  <c r="L97" i="11"/>
  <c r="M97" i="11" s="1"/>
  <c r="AJ97" i="19" s="1"/>
  <c r="AK97" i="19" s="1"/>
  <c r="L98" i="11"/>
  <c r="M98" i="11" s="1"/>
  <c r="AJ98" i="19" s="1"/>
  <c r="AK98" i="19" s="1"/>
  <c r="L99" i="11"/>
  <c r="M99" i="11" s="1"/>
  <c r="AJ99" i="19" s="1"/>
  <c r="AK99" i="19" s="1"/>
  <c r="L100" i="11"/>
  <c r="M100" i="11" s="1"/>
  <c r="AJ100" i="19" s="1"/>
  <c r="AK100" i="19" s="1"/>
  <c r="L101" i="11"/>
  <c r="M101" i="11" s="1"/>
  <c r="AJ101" i="19" s="1"/>
  <c r="AK101" i="19" s="1"/>
  <c r="L102" i="11"/>
  <c r="M102" i="11" s="1"/>
  <c r="AJ102" i="19" s="1"/>
  <c r="AK102" i="19" s="1"/>
  <c r="L103" i="11"/>
  <c r="M103" i="11" s="1"/>
  <c r="AJ103" i="19" s="1"/>
  <c r="AK103" i="19" s="1"/>
  <c r="L104" i="11"/>
  <c r="M104" i="11" s="1"/>
  <c r="AJ104" i="19" s="1"/>
  <c r="AK104" i="19" s="1"/>
  <c r="L105" i="11"/>
  <c r="M105" i="11" s="1"/>
  <c r="AJ105" i="19" s="1"/>
  <c r="AK105" i="19" s="1"/>
  <c r="L106" i="11"/>
  <c r="M106" i="11" s="1"/>
  <c r="AJ106" i="19" s="1"/>
  <c r="AK106" i="19" s="1"/>
  <c r="L107" i="11"/>
  <c r="M107" i="11" s="1"/>
  <c r="AJ107" i="19" s="1"/>
  <c r="AK107" i="19" s="1"/>
  <c r="L108" i="11"/>
  <c r="M108" i="11" s="1"/>
  <c r="AJ108" i="19" s="1"/>
  <c r="AK108" i="19" s="1"/>
  <c r="L109" i="11"/>
  <c r="M109" i="11" s="1"/>
  <c r="AJ109" i="19" s="1"/>
  <c r="AK109" i="19" s="1"/>
  <c r="L110" i="11"/>
  <c r="M110" i="11" s="1"/>
  <c r="AJ110" i="19" s="1"/>
  <c r="AK110" i="19" s="1"/>
  <c r="L111" i="11"/>
  <c r="M111" i="11" s="1"/>
  <c r="AJ111" i="19" s="1"/>
  <c r="AK111" i="19" s="1"/>
  <c r="L112" i="11"/>
  <c r="M112" i="11" s="1"/>
  <c r="AJ112" i="19" s="1"/>
  <c r="AK112" i="19" s="1"/>
  <c r="L113" i="11"/>
  <c r="M113" i="11" s="1"/>
  <c r="AJ113" i="19" s="1"/>
  <c r="AK113" i="19" s="1"/>
  <c r="L114" i="11"/>
  <c r="M114" i="11" s="1"/>
  <c r="AJ114" i="19" s="1"/>
  <c r="AK114" i="19" s="1"/>
  <c r="L115" i="11"/>
  <c r="M115" i="11" s="1"/>
  <c r="AJ115" i="19" s="1"/>
  <c r="AK115" i="19" s="1"/>
  <c r="L116" i="11"/>
  <c r="M116" i="11" s="1"/>
  <c r="AJ116" i="19" s="1"/>
  <c r="AK116" i="19" s="1"/>
  <c r="L117" i="11"/>
  <c r="M117" i="11" s="1"/>
  <c r="AJ117" i="19" s="1"/>
  <c r="AK117" i="19" s="1"/>
  <c r="L118" i="11"/>
  <c r="M118" i="11" s="1"/>
  <c r="AJ118" i="19" s="1"/>
  <c r="AK118" i="19" s="1"/>
  <c r="L119" i="11"/>
  <c r="M119" i="11" s="1"/>
  <c r="AJ119" i="19" s="1"/>
  <c r="AK119" i="19" s="1"/>
  <c r="L120" i="11"/>
  <c r="M120" i="11" s="1"/>
  <c r="AJ120" i="19" s="1"/>
  <c r="AK120" i="19" s="1"/>
  <c r="L121" i="11"/>
  <c r="M121" i="11" s="1"/>
  <c r="AJ121" i="19" s="1"/>
  <c r="AK121" i="19" s="1"/>
  <c r="L122" i="11"/>
  <c r="M122" i="11" s="1"/>
  <c r="AJ122" i="19" s="1"/>
  <c r="AK122" i="19" s="1"/>
  <c r="L123" i="11"/>
  <c r="M123" i="11" s="1"/>
  <c r="AJ123" i="19" s="1"/>
  <c r="AK123" i="19" s="1"/>
  <c r="L124" i="11"/>
  <c r="M124" i="11" s="1"/>
  <c r="AJ124" i="19" s="1"/>
  <c r="AK124" i="19" s="1"/>
  <c r="L125" i="11"/>
  <c r="M125" i="11" s="1"/>
  <c r="AJ125" i="19" s="1"/>
  <c r="AK125" i="19" s="1"/>
  <c r="L126" i="11"/>
  <c r="M126" i="11" s="1"/>
  <c r="AJ126" i="19" s="1"/>
  <c r="AK126" i="19" s="1"/>
  <c r="L127" i="11"/>
  <c r="M127" i="11" s="1"/>
  <c r="AJ127" i="19" s="1"/>
  <c r="AK127" i="19" s="1"/>
  <c r="L128" i="11"/>
  <c r="M128" i="11" s="1"/>
  <c r="AJ128" i="19" s="1"/>
  <c r="AK128" i="19" s="1"/>
  <c r="L129" i="11"/>
  <c r="M129" i="11" s="1"/>
  <c r="AJ129" i="19" s="1"/>
  <c r="AK129" i="19" s="1"/>
  <c r="L130" i="11"/>
  <c r="M130" i="11" s="1"/>
  <c r="AJ130" i="19" s="1"/>
  <c r="AK130" i="19" s="1"/>
  <c r="L131" i="11"/>
  <c r="M131" i="11" s="1"/>
  <c r="AJ131" i="19" s="1"/>
  <c r="AK131" i="19" s="1"/>
  <c r="L132" i="11"/>
  <c r="M132" i="11" s="1"/>
  <c r="AJ132" i="19" s="1"/>
  <c r="AK132" i="19" s="1"/>
  <c r="L133" i="11"/>
  <c r="M133" i="11" s="1"/>
  <c r="AJ133" i="19" s="1"/>
  <c r="AK133" i="19" s="1"/>
  <c r="L134" i="11"/>
  <c r="M134" i="11" s="1"/>
  <c r="AJ134" i="19" s="1"/>
  <c r="AK134" i="19" s="1"/>
  <c r="L135" i="11"/>
  <c r="M135" i="11" s="1"/>
  <c r="AJ135" i="19" s="1"/>
  <c r="AK135" i="19" s="1"/>
  <c r="L136" i="11"/>
  <c r="M136" i="11" s="1"/>
  <c r="AJ136" i="19" s="1"/>
  <c r="AK136" i="19" s="1"/>
  <c r="L137" i="11"/>
  <c r="M137" i="11" s="1"/>
  <c r="AJ137" i="19" s="1"/>
  <c r="AK137" i="19" s="1"/>
  <c r="L138" i="11"/>
  <c r="M138" i="11" s="1"/>
  <c r="AJ138" i="19" s="1"/>
  <c r="AK138" i="19" s="1"/>
  <c r="L139" i="11"/>
  <c r="M139" i="11" s="1"/>
  <c r="AJ139" i="19" s="1"/>
  <c r="AK139" i="19" s="1"/>
  <c r="L140" i="11"/>
  <c r="M140" i="11" s="1"/>
  <c r="AJ140" i="19" s="1"/>
  <c r="AK140" i="19" s="1"/>
  <c r="L141" i="11"/>
  <c r="M141" i="11" s="1"/>
  <c r="AJ141" i="19" s="1"/>
  <c r="AK141" i="19" s="1"/>
  <c r="L142" i="11"/>
  <c r="M142" i="11" s="1"/>
  <c r="AJ142" i="19" s="1"/>
  <c r="AK142" i="19" s="1"/>
  <c r="L143" i="11"/>
  <c r="M143" i="11" s="1"/>
  <c r="AJ143" i="19" s="1"/>
  <c r="AK143" i="19" s="1"/>
  <c r="L144" i="11"/>
  <c r="M144" i="11" s="1"/>
  <c r="AJ144" i="19" s="1"/>
  <c r="AK144" i="19" s="1"/>
  <c r="L145" i="11"/>
  <c r="M145" i="11" s="1"/>
  <c r="AJ145" i="19" s="1"/>
  <c r="AK145" i="19" s="1"/>
  <c r="L146" i="11"/>
  <c r="M146" i="11" s="1"/>
  <c r="AJ146" i="19" s="1"/>
  <c r="AK146" i="19" s="1"/>
  <c r="L147" i="11"/>
  <c r="M147" i="11" s="1"/>
  <c r="AJ147" i="19" s="1"/>
  <c r="AK147" i="19" s="1"/>
  <c r="L148" i="11"/>
  <c r="M148" i="11" s="1"/>
  <c r="AJ148" i="19" s="1"/>
  <c r="AK148" i="19" s="1"/>
  <c r="L149" i="11"/>
  <c r="M149" i="11" s="1"/>
  <c r="AJ149" i="19" s="1"/>
  <c r="AK149" i="19" s="1"/>
  <c r="L150" i="11"/>
  <c r="M150" i="11" s="1"/>
  <c r="AJ150" i="19" s="1"/>
  <c r="AK150" i="19" s="1"/>
  <c r="L151" i="11"/>
  <c r="M151" i="11" s="1"/>
  <c r="AJ151" i="19" s="1"/>
  <c r="AK151" i="19" s="1"/>
  <c r="L152" i="11"/>
  <c r="M152" i="11" s="1"/>
  <c r="AJ152" i="19" s="1"/>
  <c r="AK152" i="19" s="1"/>
  <c r="L153" i="11"/>
  <c r="M153" i="11" s="1"/>
  <c r="AJ153" i="19" s="1"/>
  <c r="AK153" i="19" s="1"/>
  <c r="L154" i="11"/>
  <c r="M154" i="11" s="1"/>
  <c r="AJ154" i="19" s="1"/>
  <c r="AK154" i="19" s="1"/>
  <c r="L155" i="11"/>
  <c r="M155" i="11" s="1"/>
  <c r="AJ155" i="19" s="1"/>
  <c r="AK155" i="19" s="1"/>
  <c r="L156" i="11"/>
  <c r="M156" i="11" s="1"/>
  <c r="AJ156" i="19" s="1"/>
  <c r="AK156" i="19" s="1"/>
  <c r="L157" i="11"/>
  <c r="M157" i="11" s="1"/>
  <c r="AJ157" i="19" s="1"/>
  <c r="AK157" i="19" s="1"/>
  <c r="L158" i="11"/>
  <c r="M158" i="11" s="1"/>
  <c r="AJ158" i="19" s="1"/>
  <c r="AK158" i="19" s="1"/>
  <c r="L159" i="11"/>
  <c r="M159" i="11" s="1"/>
  <c r="AJ159" i="19" s="1"/>
  <c r="AK159" i="19" s="1"/>
  <c r="L160" i="11"/>
  <c r="M160" i="11" s="1"/>
  <c r="AJ160" i="19" s="1"/>
  <c r="AK160" i="19" s="1"/>
  <c r="L161" i="11"/>
  <c r="M161" i="11" s="1"/>
  <c r="AJ161" i="19" s="1"/>
  <c r="AK161" i="19" s="1"/>
  <c r="L162" i="11"/>
  <c r="M162" i="11" s="1"/>
  <c r="AJ162" i="19" s="1"/>
  <c r="AK162" i="19" s="1"/>
  <c r="L163" i="11"/>
  <c r="M163" i="11" s="1"/>
  <c r="AJ163" i="19" s="1"/>
  <c r="AK163" i="19" s="1"/>
  <c r="L164" i="11"/>
  <c r="M164" i="11" s="1"/>
  <c r="AJ164" i="19" s="1"/>
  <c r="AK164" i="19" s="1"/>
  <c r="L165" i="11"/>
  <c r="M165" i="11" s="1"/>
  <c r="AJ165" i="19" s="1"/>
  <c r="AK165" i="19" s="1"/>
  <c r="L166" i="11"/>
  <c r="M166" i="11" s="1"/>
  <c r="AJ166" i="19" s="1"/>
  <c r="AK166" i="19" s="1"/>
  <c r="L167" i="11"/>
  <c r="M167" i="11" s="1"/>
  <c r="AJ167" i="19" s="1"/>
  <c r="AK167" i="19" s="1"/>
  <c r="L168" i="11"/>
  <c r="M168" i="11" s="1"/>
  <c r="AJ168" i="19" s="1"/>
  <c r="AK168" i="19" s="1"/>
  <c r="L169" i="11"/>
  <c r="M169" i="11" s="1"/>
  <c r="AJ169" i="19" s="1"/>
  <c r="AK169" i="19" s="1"/>
  <c r="L170" i="11"/>
  <c r="M170" i="11" s="1"/>
  <c r="AJ170" i="19" s="1"/>
  <c r="AK170" i="19" s="1"/>
  <c r="L171" i="11"/>
  <c r="M171" i="11" s="1"/>
  <c r="AJ171" i="19" s="1"/>
  <c r="AK171" i="19" s="1"/>
  <c r="L172" i="11"/>
  <c r="M172" i="11" s="1"/>
  <c r="AJ172" i="19" s="1"/>
  <c r="AK172" i="19" s="1"/>
  <c r="L173" i="11"/>
  <c r="M173" i="11" s="1"/>
  <c r="AJ173" i="19" s="1"/>
  <c r="AK173" i="19" s="1"/>
  <c r="L174" i="11"/>
  <c r="M174" i="11" s="1"/>
  <c r="AJ174" i="19" s="1"/>
  <c r="AK174" i="19" s="1"/>
  <c r="L175" i="11"/>
  <c r="M175" i="11" s="1"/>
  <c r="AJ175" i="19" s="1"/>
  <c r="AK175" i="19" s="1"/>
  <c r="L176" i="11"/>
  <c r="M176" i="11" s="1"/>
  <c r="AJ176" i="19" s="1"/>
  <c r="AK176" i="19" s="1"/>
  <c r="L177" i="11"/>
  <c r="M177" i="11" s="1"/>
  <c r="AJ177" i="19" s="1"/>
  <c r="AK177" i="19" s="1"/>
  <c r="L178" i="11"/>
  <c r="M178" i="11" s="1"/>
  <c r="AJ178" i="19" s="1"/>
  <c r="AK178" i="19" s="1"/>
  <c r="L179" i="11"/>
  <c r="M179" i="11" s="1"/>
  <c r="AJ179" i="19" s="1"/>
  <c r="AK179" i="19" s="1"/>
  <c r="L180" i="11"/>
  <c r="M180" i="11" s="1"/>
  <c r="AJ180" i="19" s="1"/>
  <c r="AK180" i="19" s="1"/>
  <c r="L181" i="11"/>
  <c r="M181" i="11" s="1"/>
  <c r="AJ181" i="19" s="1"/>
  <c r="AK181" i="19" s="1"/>
  <c r="L182" i="11"/>
  <c r="M182" i="11" s="1"/>
  <c r="AJ182" i="19" s="1"/>
  <c r="AK182" i="19" s="1"/>
  <c r="L183" i="11"/>
  <c r="M183" i="11" s="1"/>
  <c r="AJ183" i="19" s="1"/>
  <c r="AK183" i="19" s="1"/>
  <c r="L184" i="11"/>
  <c r="M184" i="11" s="1"/>
  <c r="AJ184" i="19" s="1"/>
  <c r="AK184" i="19" s="1"/>
  <c r="L185" i="11"/>
  <c r="M185" i="11" s="1"/>
  <c r="AJ185" i="19" s="1"/>
  <c r="AK185" i="19" s="1"/>
  <c r="L186" i="11"/>
  <c r="M186" i="11" s="1"/>
  <c r="AJ186" i="19" s="1"/>
  <c r="AK186" i="19" s="1"/>
  <c r="L187" i="11"/>
  <c r="M187" i="11" s="1"/>
  <c r="AJ187" i="19" s="1"/>
  <c r="AK187" i="19" s="1"/>
  <c r="L188" i="11"/>
  <c r="M188" i="11" s="1"/>
  <c r="AJ188" i="19" s="1"/>
  <c r="AK188" i="19" s="1"/>
  <c r="L189" i="11"/>
  <c r="M189" i="11" s="1"/>
  <c r="AJ189" i="19" s="1"/>
  <c r="AK189" i="19" s="1"/>
  <c r="L190" i="11"/>
  <c r="M190" i="11" s="1"/>
  <c r="AJ190" i="19" s="1"/>
  <c r="AK190" i="19" s="1"/>
  <c r="L191" i="11"/>
  <c r="M191" i="11" s="1"/>
  <c r="AJ191" i="19" s="1"/>
  <c r="AK191" i="19" s="1"/>
  <c r="L192" i="11"/>
  <c r="M192" i="11" s="1"/>
  <c r="AJ192" i="19" s="1"/>
  <c r="AK192" i="19" s="1"/>
  <c r="L193" i="11"/>
  <c r="M193" i="11" s="1"/>
  <c r="AJ193" i="19" s="1"/>
  <c r="AK193" i="19" s="1"/>
  <c r="L194" i="11"/>
  <c r="M194" i="11" s="1"/>
  <c r="AJ194" i="19" s="1"/>
  <c r="AK194" i="19" s="1"/>
  <c r="L195" i="11"/>
  <c r="M195" i="11" s="1"/>
  <c r="AJ195" i="19" s="1"/>
  <c r="AK195" i="19" s="1"/>
  <c r="L196" i="11"/>
  <c r="M196" i="11" s="1"/>
  <c r="AJ196" i="19" s="1"/>
  <c r="AK196" i="19" s="1"/>
  <c r="L197" i="11"/>
  <c r="M197" i="11" s="1"/>
  <c r="AJ197" i="19" s="1"/>
  <c r="AK197" i="19" s="1"/>
  <c r="L198" i="11"/>
  <c r="M198" i="11" s="1"/>
  <c r="AJ198" i="19" s="1"/>
  <c r="AK198" i="19" s="1"/>
  <c r="L199" i="11"/>
  <c r="M199" i="11" s="1"/>
  <c r="AJ199" i="19" s="1"/>
  <c r="AK199" i="19" s="1"/>
  <c r="L200" i="11"/>
  <c r="M200" i="11" s="1"/>
  <c r="AJ200" i="19" s="1"/>
  <c r="AK200" i="19" s="1"/>
  <c r="L201" i="11"/>
  <c r="M201" i="11" s="1"/>
  <c r="AJ201" i="19" s="1"/>
  <c r="AK201" i="19" s="1"/>
  <c r="L202" i="11"/>
  <c r="M202" i="11" s="1"/>
  <c r="AJ202" i="19" s="1"/>
  <c r="AK202" i="19" s="1"/>
  <c r="L203" i="11"/>
  <c r="M203" i="11" s="1"/>
  <c r="AJ203" i="19" s="1"/>
  <c r="AK203" i="19" s="1"/>
  <c r="L204" i="11"/>
  <c r="M204" i="11" s="1"/>
  <c r="AJ204" i="19" s="1"/>
  <c r="AK204" i="19" s="1"/>
  <c r="L205" i="11"/>
  <c r="M205" i="11" s="1"/>
  <c r="AJ205" i="19" s="1"/>
  <c r="AK205" i="19" s="1"/>
  <c r="L206" i="11"/>
  <c r="M206" i="11" s="1"/>
  <c r="AJ206" i="19" s="1"/>
  <c r="AK206" i="19" s="1"/>
  <c r="L207" i="11"/>
  <c r="M207" i="11" s="1"/>
  <c r="AJ207" i="19" s="1"/>
  <c r="AK207" i="19" s="1"/>
  <c r="L208" i="11"/>
  <c r="M208" i="11" s="1"/>
  <c r="AJ208" i="19" s="1"/>
  <c r="AK208" i="19" s="1"/>
  <c r="L209" i="11"/>
  <c r="M209" i="11" s="1"/>
  <c r="AJ209" i="19" s="1"/>
  <c r="AK209" i="19" s="1"/>
  <c r="L210" i="11"/>
  <c r="M210" i="11" s="1"/>
  <c r="AJ210" i="19" s="1"/>
  <c r="AK210" i="19" s="1"/>
  <c r="L211" i="11"/>
  <c r="M211" i="11" s="1"/>
  <c r="AJ211" i="19" s="1"/>
  <c r="AK211" i="19" s="1"/>
  <c r="L212" i="11"/>
  <c r="M212" i="11" s="1"/>
  <c r="AJ212" i="19" s="1"/>
  <c r="AK212" i="19" s="1"/>
  <c r="L213" i="11"/>
  <c r="M213" i="11" s="1"/>
  <c r="AJ213" i="19" s="1"/>
  <c r="AK213" i="19" s="1"/>
  <c r="L214" i="11"/>
  <c r="M214" i="11" s="1"/>
  <c r="AJ214" i="19" s="1"/>
  <c r="AK214" i="19" s="1"/>
  <c r="L215" i="11"/>
  <c r="M215" i="11" s="1"/>
  <c r="AJ215" i="19" s="1"/>
  <c r="AK215" i="19" s="1"/>
  <c r="L216" i="11"/>
  <c r="M216" i="11" s="1"/>
  <c r="AJ216" i="19" s="1"/>
  <c r="AK216" i="19" s="1"/>
  <c r="L217" i="11"/>
  <c r="M217" i="11" s="1"/>
  <c r="AJ217" i="19" s="1"/>
  <c r="AK217" i="19" s="1"/>
  <c r="L218" i="11"/>
  <c r="M218" i="11" s="1"/>
  <c r="AJ218" i="19" s="1"/>
  <c r="AK218" i="19" s="1"/>
  <c r="L219" i="11"/>
  <c r="M219" i="11" s="1"/>
  <c r="AJ219" i="19" s="1"/>
  <c r="AK219" i="19" s="1"/>
  <c r="L220" i="11"/>
  <c r="M220" i="11" s="1"/>
  <c r="AJ220" i="19" s="1"/>
  <c r="AK220" i="19" s="1"/>
  <c r="L221" i="11"/>
  <c r="M221" i="11" s="1"/>
  <c r="AJ221" i="19" s="1"/>
  <c r="AK221" i="19" s="1"/>
  <c r="L222" i="11"/>
  <c r="M222" i="11" s="1"/>
  <c r="AJ222" i="19" s="1"/>
  <c r="AK222" i="19" s="1"/>
  <c r="L223" i="11"/>
  <c r="M223" i="11" s="1"/>
  <c r="AJ223" i="19" s="1"/>
  <c r="AK223" i="19" s="1"/>
  <c r="L224" i="11"/>
  <c r="M224" i="11" s="1"/>
  <c r="AJ224" i="19" s="1"/>
  <c r="AK224" i="19" s="1"/>
  <c r="L225" i="11"/>
  <c r="M225" i="11" s="1"/>
  <c r="AJ225" i="19" s="1"/>
  <c r="AK225" i="19" s="1"/>
  <c r="L226" i="11"/>
  <c r="M226" i="11" s="1"/>
  <c r="AJ226" i="19" s="1"/>
  <c r="AK226" i="19" s="1"/>
  <c r="L227" i="11"/>
  <c r="M227" i="11" s="1"/>
  <c r="AJ227" i="19" s="1"/>
  <c r="AK227" i="19" s="1"/>
  <c r="L228" i="11"/>
  <c r="M228" i="11" s="1"/>
  <c r="AJ228" i="19" s="1"/>
  <c r="AK228" i="19" s="1"/>
  <c r="L229" i="11"/>
  <c r="M229" i="11" s="1"/>
  <c r="AJ229" i="19" s="1"/>
  <c r="AK229" i="19" s="1"/>
  <c r="L230" i="11"/>
  <c r="M230" i="11" s="1"/>
  <c r="AJ230" i="19" s="1"/>
  <c r="AK230" i="19" s="1"/>
  <c r="L231" i="11"/>
  <c r="M231" i="11" s="1"/>
  <c r="AJ231" i="19" s="1"/>
  <c r="AK231" i="19" s="1"/>
  <c r="L232" i="11"/>
  <c r="M232" i="11" s="1"/>
  <c r="AJ232" i="19" s="1"/>
  <c r="AK232" i="19" s="1"/>
  <c r="L233" i="11"/>
  <c r="M233" i="11" s="1"/>
  <c r="AJ233" i="19" s="1"/>
  <c r="AK233" i="19" s="1"/>
  <c r="L234" i="11"/>
  <c r="M234" i="11" s="1"/>
  <c r="AJ234" i="19" s="1"/>
  <c r="AK234" i="19" s="1"/>
  <c r="L235" i="11"/>
  <c r="M235" i="11" s="1"/>
  <c r="AJ235" i="19" s="1"/>
  <c r="AK235" i="19" s="1"/>
  <c r="L236" i="11"/>
  <c r="M236" i="11" s="1"/>
  <c r="AJ236" i="19" s="1"/>
  <c r="AK236" i="19" s="1"/>
  <c r="L237" i="11"/>
  <c r="M237" i="11" s="1"/>
  <c r="AJ237" i="19" s="1"/>
  <c r="AK237" i="19" s="1"/>
  <c r="L238" i="11"/>
  <c r="M238" i="11" s="1"/>
  <c r="AJ238" i="19" s="1"/>
  <c r="AK238" i="19" s="1"/>
  <c r="L239" i="11"/>
  <c r="M239" i="11" s="1"/>
  <c r="AJ239" i="19" s="1"/>
  <c r="AK239" i="19" s="1"/>
  <c r="L240" i="11"/>
  <c r="M240" i="11" s="1"/>
  <c r="AJ240" i="19" s="1"/>
  <c r="AK240" i="19" s="1"/>
  <c r="L241" i="11"/>
  <c r="M241" i="11" s="1"/>
  <c r="AJ241" i="19" s="1"/>
  <c r="AK241" i="19" s="1"/>
  <c r="L242" i="11"/>
  <c r="M242" i="11" s="1"/>
  <c r="AJ242" i="19" s="1"/>
  <c r="AK242" i="19" s="1"/>
  <c r="L243" i="11"/>
  <c r="M243" i="11" s="1"/>
  <c r="AJ243" i="19" s="1"/>
  <c r="AK243" i="19" s="1"/>
  <c r="L244" i="11"/>
  <c r="M244" i="11" s="1"/>
  <c r="AJ244" i="19" s="1"/>
  <c r="AK244" i="19" s="1"/>
  <c r="L245" i="11"/>
  <c r="M245" i="11" s="1"/>
  <c r="AJ245" i="19" s="1"/>
  <c r="AK245" i="19" s="1"/>
  <c r="L246" i="11"/>
  <c r="M246" i="11" s="1"/>
  <c r="AJ246" i="19" s="1"/>
  <c r="AK246" i="19" s="1"/>
  <c r="L247" i="11"/>
  <c r="M247" i="11" s="1"/>
  <c r="AJ247" i="19" s="1"/>
  <c r="AK247" i="19" s="1"/>
  <c r="L248" i="11"/>
  <c r="M248" i="11" s="1"/>
  <c r="AJ248" i="19" s="1"/>
  <c r="AK248" i="19" s="1"/>
  <c r="L249" i="11"/>
  <c r="M249" i="11" s="1"/>
  <c r="AJ249" i="19" s="1"/>
  <c r="AK249" i="19" s="1"/>
  <c r="L250" i="11"/>
  <c r="M250" i="11" s="1"/>
  <c r="AJ250" i="19" s="1"/>
  <c r="AK250" i="19" s="1"/>
  <c r="L251" i="11"/>
  <c r="M251" i="11" s="1"/>
  <c r="AJ251" i="19" s="1"/>
  <c r="AK251" i="19" s="1"/>
  <c r="L252" i="11"/>
  <c r="M252" i="11" s="1"/>
  <c r="AJ252" i="19" s="1"/>
  <c r="AK252" i="19" s="1"/>
  <c r="L253" i="11"/>
  <c r="M253" i="11" s="1"/>
  <c r="AJ253" i="19" s="1"/>
  <c r="AK253" i="19" s="1"/>
  <c r="L254" i="11"/>
  <c r="M254" i="11" s="1"/>
  <c r="AJ254" i="19" s="1"/>
  <c r="AK254" i="19" s="1"/>
  <c r="L255" i="11"/>
  <c r="M255" i="11" s="1"/>
  <c r="AJ255" i="19" s="1"/>
  <c r="AK255" i="19" s="1"/>
  <c r="L256" i="11"/>
  <c r="M256" i="11" s="1"/>
  <c r="AJ256" i="19" s="1"/>
  <c r="AK256" i="19" s="1"/>
  <c r="L257" i="11"/>
  <c r="M257" i="11" s="1"/>
  <c r="AJ257" i="19" s="1"/>
  <c r="AK257" i="19" s="1"/>
  <c r="L258" i="11"/>
  <c r="M258" i="11" s="1"/>
  <c r="AJ258" i="19" s="1"/>
  <c r="AK258" i="19" s="1"/>
  <c r="L259" i="11"/>
  <c r="M259" i="11" s="1"/>
  <c r="AJ259" i="19" s="1"/>
  <c r="AK259" i="19" s="1"/>
  <c r="L260" i="11"/>
  <c r="M260" i="11" s="1"/>
  <c r="AJ260" i="19" s="1"/>
  <c r="AK260" i="19" s="1"/>
  <c r="L261" i="11"/>
  <c r="M261" i="11" s="1"/>
  <c r="AJ261" i="19" s="1"/>
  <c r="AK261" i="19" s="1"/>
  <c r="L262" i="11"/>
  <c r="M262" i="11" s="1"/>
  <c r="AJ262" i="19" s="1"/>
  <c r="AK262" i="19" s="1"/>
  <c r="L263" i="11"/>
  <c r="M263" i="11" s="1"/>
  <c r="AJ263" i="19" s="1"/>
  <c r="AK263" i="19" s="1"/>
  <c r="L264" i="11"/>
  <c r="M264" i="11" s="1"/>
  <c r="AJ264" i="19" s="1"/>
  <c r="AK264" i="19" s="1"/>
  <c r="L265" i="11"/>
  <c r="M265" i="11" s="1"/>
  <c r="AJ265" i="19" s="1"/>
  <c r="AK265" i="19" s="1"/>
  <c r="L266" i="11"/>
  <c r="M266" i="11" s="1"/>
  <c r="AJ266" i="19" s="1"/>
  <c r="AK266" i="19" s="1"/>
  <c r="L267" i="11"/>
  <c r="M267" i="11" s="1"/>
  <c r="AJ267" i="19" s="1"/>
  <c r="AK267" i="19" s="1"/>
  <c r="L268" i="11"/>
  <c r="M268" i="11" s="1"/>
  <c r="AJ268" i="19" s="1"/>
  <c r="AK268" i="19" s="1"/>
  <c r="L269" i="11"/>
  <c r="M269" i="11" s="1"/>
  <c r="AJ269" i="19" s="1"/>
  <c r="AK269" i="19" s="1"/>
  <c r="L270" i="11"/>
  <c r="M270" i="11" s="1"/>
  <c r="AJ270" i="19" s="1"/>
  <c r="AK270" i="19" s="1"/>
  <c r="L271" i="11"/>
  <c r="M271" i="11" s="1"/>
  <c r="AJ271" i="19" s="1"/>
  <c r="AK271" i="19" s="1"/>
  <c r="L272" i="11"/>
  <c r="M272" i="11" s="1"/>
  <c r="AJ272" i="19" s="1"/>
  <c r="AK272" i="19" s="1"/>
  <c r="L273" i="11"/>
  <c r="M273" i="11" s="1"/>
  <c r="AJ273" i="19" s="1"/>
  <c r="AK273" i="19" s="1"/>
  <c r="L274" i="11"/>
  <c r="M274" i="11" s="1"/>
  <c r="AJ274" i="19" s="1"/>
  <c r="AK274" i="19" s="1"/>
  <c r="L275" i="11"/>
  <c r="M275" i="11" s="1"/>
  <c r="AJ275" i="19" s="1"/>
  <c r="AK275" i="19" s="1"/>
  <c r="L276" i="11"/>
  <c r="M276" i="11" s="1"/>
  <c r="AJ276" i="19" s="1"/>
  <c r="AK276" i="19" s="1"/>
  <c r="L277" i="11"/>
  <c r="M277" i="11" s="1"/>
  <c r="AJ277" i="19" s="1"/>
  <c r="AK277" i="19" s="1"/>
  <c r="L278" i="11"/>
  <c r="M278" i="11" s="1"/>
  <c r="AJ278" i="19" s="1"/>
  <c r="AK278" i="19" s="1"/>
  <c r="L279" i="11"/>
  <c r="M279" i="11" s="1"/>
  <c r="AJ279" i="19" s="1"/>
  <c r="AK279" i="19" s="1"/>
  <c r="L280" i="11"/>
  <c r="M280" i="11" s="1"/>
  <c r="AJ280" i="19" s="1"/>
  <c r="AK280" i="19" s="1"/>
  <c r="L281" i="11"/>
  <c r="M281" i="11" s="1"/>
  <c r="AJ281" i="19" s="1"/>
  <c r="AK281" i="19" s="1"/>
  <c r="L282" i="11"/>
  <c r="M282" i="11" s="1"/>
  <c r="AJ282" i="19" s="1"/>
  <c r="AK282" i="19" s="1"/>
  <c r="L283" i="11"/>
  <c r="M283" i="11" s="1"/>
  <c r="AJ283" i="19" s="1"/>
  <c r="AK283" i="19" s="1"/>
  <c r="L284" i="11"/>
  <c r="M284" i="11" s="1"/>
  <c r="AJ284" i="19" s="1"/>
  <c r="AK284" i="19" s="1"/>
  <c r="L285" i="11"/>
  <c r="M285" i="11" s="1"/>
  <c r="AJ285" i="19" s="1"/>
  <c r="AK285" i="19" s="1"/>
  <c r="L286" i="11"/>
  <c r="M286" i="11" s="1"/>
  <c r="AJ286" i="19" s="1"/>
  <c r="AK286" i="19" s="1"/>
  <c r="L287" i="11"/>
  <c r="M287" i="11" s="1"/>
  <c r="AJ287" i="19" s="1"/>
  <c r="AK287" i="19" s="1"/>
  <c r="L288" i="11"/>
  <c r="M288" i="11" s="1"/>
  <c r="AJ288" i="19" s="1"/>
  <c r="AK288" i="19" s="1"/>
  <c r="L289" i="11"/>
  <c r="M289" i="11" s="1"/>
  <c r="AJ289" i="19" s="1"/>
  <c r="AK289" i="19" s="1"/>
  <c r="L290" i="11"/>
  <c r="M290" i="11" s="1"/>
  <c r="AJ290" i="19" s="1"/>
  <c r="AK290" i="19" s="1"/>
  <c r="L291" i="11"/>
  <c r="M291" i="11" s="1"/>
  <c r="AJ291" i="19" s="1"/>
  <c r="AK291" i="19" s="1"/>
  <c r="L292" i="11"/>
  <c r="M292" i="11" s="1"/>
  <c r="AJ292" i="19" s="1"/>
  <c r="AK292" i="19" s="1"/>
  <c r="L293" i="11"/>
  <c r="M293" i="11" s="1"/>
  <c r="AJ293" i="19" s="1"/>
  <c r="AK293" i="19" s="1"/>
  <c r="L294" i="11"/>
  <c r="M294" i="11" s="1"/>
  <c r="AJ294" i="19" s="1"/>
  <c r="AK294" i="19" s="1"/>
  <c r="L295" i="11"/>
  <c r="M295" i="11" s="1"/>
  <c r="AJ295" i="19" s="1"/>
  <c r="AK295" i="19" s="1"/>
  <c r="L296" i="11"/>
  <c r="M296" i="11" s="1"/>
  <c r="AJ296" i="19" s="1"/>
  <c r="AK296" i="19" s="1"/>
  <c r="L297" i="11"/>
  <c r="M297" i="11" s="1"/>
  <c r="AJ297" i="19" s="1"/>
  <c r="AK297" i="19" s="1"/>
  <c r="L298" i="11"/>
  <c r="M298" i="11" s="1"/>
  <c r="AJ298" i="19" s="1"/>
  <c r="AK298" i="19" s="1"/>
  <c r="L299" i="11"/>
  <c r="M299" i="11" s="1"/>
  <c r="AJ299" i="19" s="1"/>
  <c r="AK299" i="19" s="1"/>
  <c r="L300" i="11"/>
  <c r="M300" i="11" s="1"/>
  <c r="AJ300" i="19" s="1"/>
  <c r="AK300" i="19" s="1"/>
  <c r="L301" i="11"/>
  <c r="M301" i="11" s="1"/>
  <c r="AJ301" i="19" s="1"/>
  <c r="AK301" i="19" s="1"/>
  <c r="L302" i="11"/>
  <c r="M302" i="11" s="1"/>
  <c r="AJ302" i="19" s="1"/>
  <c r="AK302" i="19" s="1"/>
  <c r="L303" i="11"/>
  <c r="M303" i="11" s="1"/>
  <c r="AJ303" i="19" s="1"/>
  <c r="AK303" i="19" s="1"/>
  <c r="L304" i="11"/>
  <c r="M304" i="11" s="1"/>
  <c r="AJ304" i="19" s="1"/>
  <c r="AK304" i="19" s="1"/>
  <c r="L305" i="11"/>
  <c r="M305" i="11" s="1"/>
  <c r="AJ305" i="19" s="1"/>
  <c r="AK305" i="19" s="1"/>
  <c r="L306" i="11"/>
  <c r="M306" i="11" s="1"/>
  <c r="AJ306" i="19" s="1"/>
  <c r="AK306" i="19" s="1"/>
  <c r="L307" i="11"/>
  <c r="M307" i="11" s="1"/>
  <c r="AJ307" i="19" s="1"/>
  <c r="AK307" i="19" s="1"/>
  <c r="L308" i="11"/>
  <c r="M308" i="11" s="1"/>
  <c r="AJ308" i="19" s="1"/>
  <c r="AK308" i="19" s="1"/>
  <c r="L309" i="11"/>
  <c r="M309" i="11" s="1"/>
  <c r="AJ309" i="19" s="1"/>
  <c r="AK309" i="19" s="1"/>
  <c r="L310" i="11"/>
  <c r="M310" i="11" s="1"/>
  <c r="AJ310" i="19" s="1"/>
  <c r="AK310" i="19" s="1"/>
  <c r="L311" i="11"/>
  <c r="M311" i="11" s="1"/>
  <c r="AJ311" i="19" s="1"/>
  <c r="AK311" i="19" s="1"/>
  <c r="L312" i="11"/>
  <c r="M312" i="11" s="1"/>
  <c r="AJ312" i="19" s="1"/>
  <c r="AK312" i="19" s="1"/>
  <c r="L313" i="11"/>
  <c r="M313" i="11" s="1"/>
  <c r="AJ313" i="19" s="1"/>
  <c r="AK313" i="19" s="1"/>
  <c r="L314" i="11"/>
  <c r="M314" i="11" s="1"/>
  <c r="AJ314" i="19" s="1"/>
  <c r="AK314" i="19" s="1"/>
  <c r="L315" i="11"/>
  <c r="M315" i="11" s="1"/>
  <c r="AJ315" i="19" s="1"/>
  <c r="AK315" i="19" s="1"/>
  <c r="L316" i="11"/>
  <c r="M316" i="11" s="1"/>
  <c r="AJ316" i="19" s="1"/>
  <c r="AK316" i="19" s="1"/>
  <c r="L317" i="11"/>
  <c r="M317" i="11" s="1"/>
  <c r="AJ317" i="19" s="1"/>
  <c r="AK317" i="19" s="1"/>
  <c r="L318" i="11"/>
  <c r="M318" i="11" s="1"/>
  <c r="AJ318" i="19" s="1"/>
  <c r="AK318" i="19" s="1"/>
  <c r="L319" i="11"/>
  <c r="M319" i="11" s="1"/>
  <c r="AJ319" i="19" s="1"/>
  <c r="AK319" i="19" s="1"/>
  <c r="L320" i="11"/>
  <c r="M320" i="11" s="1"/>
  <c r="AJ320" i="19" s="1"/>
  <c r="AK320" i="19" s="1"/>
  <c r="L321" i="11"/>
  <c r="M321" i="11" s="1"/>
  <c r="AJ321" i="19" s="1"/>
  <c r="AK321" i="19" s="1"/>
  <c r="L322" i="11"/>
  <c r="M322" i="11" s="1"/>
  <c r="AJ322" i="19" s="1"/>
  <c r="AK322" i="19" s="1"/>
  <c r="L323" i="11"/>
  <c r="M323" i="11" s="1"/>
  <c r="AJ323" i="19" s="1"/>
  <c r="AK323" i="19" s="1"/>
  <c r="L324" i="11"/>
  <c r="M324" i="11" s="1"/>
  <c r="AJ324" i="19" s="1"/>
  <c r="AK324" i="19" s="1"/>
  <c r="L325" i="11"/>
  <c r="M325" i="11" s="1"/>
  <c r="AJ325" i="19" s="1"/>
  <c r="AK325" i="19" s="1"/>
  <c r="L326" i="11"/>
  <c r="M326" i="11" s="1"/>
  <c r="AJ326" i="19" s="1"/>
  <c r="AK326" i="19" s="1"/>
  <c r="L327" i="11"/>
  <c r="M327" i="11" s="1"/>
  <c r="AJ327" i="19" s="1"/>
  <c r="AK327" i="19" s="1"/>
  <c r="L328" i="11"/>
  <c r="M328" i="11" s="1"/>
  <c r="AJ328" i="19" s="1"/>
  <c r="AK328" i="19" s="1"/>
  <c r="L329" i="11"/>
  <c r="M329" i="11" s="1"/>
  <c r="AJ329" i="19" s="1"/>
  <c r="AK329" i="19" s="1"/>
  <c r="L330" i="11"/>
  <c r="M330" i="11" s="1"/>
  <c r="AJ330" i="19" s="1"/>
  <c r="AK330" i="19" s="1"/>
  <c r="L331" i="11"/>
  <c r="M331" i="11" s="1"/>
  <c r="AJ331" i="19" s="1"/>
  <c r="AK331" i="19" s="1"/>
  <c r="L332" i="11"/>
  <c r="M332" i="11" s="1"/>
  <c r="AJ332" i="19" s="1"/>
  <c r="AK332" i="19" s="1"/>
  <c r="L333" i="11"/>
  <c r="M333" i="11" s="1"/>
  <c r="AJ333" i="19" s="1"/>
  <c r="AK333" i="19" s="1"/>
  <c r="L334" i="11"/>
  <c r="M334" i="11" s="1"/>
  <c r="AJ334" i="19" s="1"/>
  <c r="AK334" i="19" s="1"/>
  <c r="L335" i="11"/>
  <c r="M335" i="11" s="1"/>
  <c r="AJ335" i="19" s="1"/>
  <c r="AK335" i="19" s="1"/>
  <c r="L336" i="11"/>
  <c r="M336" i="11" s="1"/>
  <c r="AJ336" i="19" s="1"/>
  <c r="AK336" i="19" s="1"/>
  <c r="L337" i="11"/>
  <c r="M337" i="11" s="1"/>
  <c r="AJ337" i="19" s="1"/>
  <c r="AK337" i="19" s="1"/>
  <c r="L338" i="11"/>
  <c r="M338" i="11" s="1"/>
  <c r="AJ338" i="19" s="1"/>
  <c r="AK338" i="19" s="1"/>
  <c r="L339" i="11"/>
  <c r="M339" i="11" s="1"/>
  <c r="AJ339" i="19" s="1"/>
  <c r="AK339" i="19" s="1"/>
  <c r="L340" i="11"/>
  <c r="M340" i="11" s="1"/>
  <c r="AJ340" i="19" s="1"/>
  <c r="AK340" i="19" s="1"/>
  <c r="L341" i="11"/>
  <c r="M341" i="11" s="1"/>
  <c r="AJ341" i="19" s="1"/>
  <c r="AK341" i="19" s="1"/>
  <c r="L342" i="11"/>
  <c r="M342" i="11" s="1"/>
  <c r="AJ342" i="19" s="1"/>
  <c r="AK342" i="19" s="1"/>
  <c r="L343" i="11"/>
  <c r="M343" i="11" s="1"/>
  <c r="AJ343" i="19" s="1"/>
  <c r="AK343" i="19" s="1"/>
  <c r="L344" i="11"/>
  <c r="M344" i="11" s="1"/>
  <c r="AJ344" i="19" s="1"/>
  <c r="AK344" i="19" s="1"/>
  <c r="L345" i="11"/>
  <c r="M345" i="11" s="1"/>
  <c r="AJ345" i="19" s="1"/>
  <c r="AK345" i="19" s="1"/>
  <c r="L346" i="11"/>
  <c r="M346" i="11" s="1"/>
  <c r="AJ346" i="19" s="1"/>
  <c r="AK346" i="19" s="1"/>
  <c r="L347" i="11"/>
  <c r="M347" i="11" s="1"/>
  <c r="AJ347" i="19" s="1"/>
  <c r="AK347" i="19" s="1"/>
  <c r="L348" i="11"/>
  <c r="M348" i="11" s="1"/>
  <c r="AJ348" i="19" s="1"/>
  <c r="AK348" i="19" s="1"/>
  <c r="L349" i="11"/>
  <c r="M349" i="11" s="1"/>
  <c r="AJ349" i="19" s="1"/>
  <c r="AK349" i="19" s="1"/>
  <c r="L350" i="11"/>
  <c r="M350" i="11" s="1"/>
  <c r="AJ350" i="19" s="1"/>
  <c r="AK350" i="19" s="1"/>
  <c r="L351" i="11"/>
  <c r="M351" i="11" s="1"/>
  <c r="AJ351" i="19" s="1"/>
  <c r="AK351" i="19" s="1"/>
  <c r="L352" i="11"/>
  <c r="M352" i="11" s="1"/>
  <c r="AJ352" i="19" s="1"/>
  <c r="AK352" i="19" s="1"/>
  <c r="L353" i="11"/>
  <c r="M353" i="11" s="1"/>
  <c r="AJ353" i="19" s="1"/>
  <c r="AK353" i="19" s="1"/>
  <c r="L354" i="11"/>
  <c r="M354" i="11" s="1"/>
  <c r="AJ354" i="19" s="1"/>
  <c r="AK354" i="19" s="1"/>
  <c r="L355" i="11"/>
  <c r="M355" i="11" s="1"/>
  <c r="AJ355" i="19" s="1"/>
  <c r="AK355" i="19" s="1"/>
  <c r="L356" i="11"/>
  <c r="M356" i="11" s="1"/>
  <c r="AJ356" i="19" s="1"/>
  <c r="AK356" i="19" s="1"/>
  <c r="L357" i="11"/>
  <c r="M357" i="11" s="1"/>
  <c r="AJ357" i="19" s="1"/>
  <c r="AK357" i="19" s="1"/>
  <c r="L358" i="11"/>
  <c r="M358" i="11" s="1"/>
  <c r="AJ358" i="19" s="1"/>
  <c r="AK358" i="19" s="1"/>
  <c r="L359" i="11"/>
  <c r="M359" i="11" s="1"/>
  <c r="AJ359" i="19" s="1"/>
  <c r="AK359" i="19" s="1"/>
  <c r="L360" i="11"/>
  <c r="M360" i="11" s="1"/>
  <c r="AJ360" i="19" s="1"/>
  <c r="AK360" i="19" s="1"/>
  <c r="L361" i="11"/>
  <c r="M361" i="11" s="1"/>
  <c r="AJ361" i="19" s="1"/>
  <c r="AK361" i="19" s="1"/>
  <c r="L362" i="11"/>
  <c r="M362" i="11" s="1"/>
  <c r="AJ362" i="19" s="1"/>
  <c r="AK362" i="19" s="1"/>
  <c r="L363" i="11"/>
  <c r="M363" i="11" s="1"/>
  <c r="AJ363" i="19" s="1"/>
  <c r="AK363" i="19" s="1"/>
  <c r="L364" i="11"/>
  <c r="M364" i="11" s="1"/>
  <c r="AJ364" i="19" s="1"/>
  <c r="AK364" i="19" s="1"/>
  <c r="L365" i="11"/>
  <c r="M365" i="11" s="1"/>
  <c r="AJ365" i="19" s="1"/>
  <c r="AK365" i="19" s="1"/>
  <c r="L366" i="11"/>
  <c r="M366" i="11" s="1"/>
  <c r="AJ366" i="19" s="1"/>
  <c r="AK366" i="19" s="1"/>
  <c r="L367" i="11"/>
  <c r="M367" i="11" s="1"/>
  <c r="AJ367" i="19" s="1"/>
  <c r="AK367" i="19" s="1"/>
  <c r="L368" i="11"/>
  <c r="M368" i="11" s="1"/>
  <c r="AJ368" i="19" s="1"/>
  <c r="AK368" i="19" s="1"/>
  <c r="L369" i="11"/>
  <c r="M369" i="11" s="1"/>
  <c r="AJ369" i="19" s="1"/>
  <c r="AK369" i="19" s="1"/>
  <c r="L370" i="11"/>
  <c r="M370" i="11" s="1"/>
  <c r="AJ370" i="19" s="1"/>
  <c r="AK370" i="19" s="1"/>
  <c r="L371" i="11"/>
  <c r="M371" i="11" s="1"/>
  <c r="AJ371" i="19" s="1"/>
  <c r="AK371" i="19" s="1"/>
  <c r="L372" i="11"/>
  <c r="M372" i="11" s="1"/>
  <c r="AJ372" i="19" s="1"/>
  <c r="AK372" i="19" s="1"/>
  <c r="L373" i="11"/>
  <c r="M373" i="11" s="1"/>
  <c r="AJ373" i="19" s="1"/>
  <c r="AK373" i="19" s="1"/>
  <c r="L374" i="11"/>
  <c r="M374" i="11" s="1"/>
  <c r="AJ374" i="19" s="1"/>
  <c r="AK374" i="19" s="1"/>
  <c r="L375" i="11"/>
  <c r="M375" i="11" s="1"/>
  <c r="AJ375" i="19" s="1"/>
  <c r="AK375" i="19" s="1"/>
  <c r="L376" i="11"/>
  <c r="M376" i="11" s="1"/>
  <c r="AJ376" i="19" s="1"/>
  <c r="AK376" i="19" s="1"/>
  <c r="L377" i="11"/>
  <c r="M377" i="11" s="1"/>
  <c r="AJ377" i="19" s="1"/>
  <c r="AK377" i="19" s="1"/>
  <c r="L378" i="11"/>
  <c r="M378" i="11" s="1"/>
  <c r="AJ378" i="19" s="1"/>
  <c r="AK378" i="19" s="1"/>
  <c r="L379" i="11"/>
  <c r="M379" i="11" s="1"/>
  <c r="AJ379" i="19" s="1"/>
  <c r="AK379" i="19" s="1"/>
  <c r="L380" i="11"/>
  <c r="M380" i="11" s="1"/>
  <c r="AJ380" i="19" s="1"/>
  <c r="AK380" i="19" s="1"/>
  <c r="L381" i="11"/>
  <c r="M381" i="11" s="1"/>
  <c r="AJ381" i="19" s="1"/>
  <c r="AK381" i="19" s="1"/>
  <c r="L382" i="11"/>
  <c r="M382" i="11" s="1"/>
  <c r="AJ382" i="19" s="1"/>
  <c r="AK382" i="19" s="1"/>
  <c r="L383" i="11"/>
  <c r="M383" i="11" s="1"/>
  <c r="AJ383" i="19" s="1"/>
  <c r="AK383" i="19" s="1"/>
  <c r="L384" i="11"/>
  <c r="M384" i="11" s="1"/>
  <c r="AJ384" i="19" s="1"/>
  <c r="AK384" i="19" s="1"/>
  <c r="L385" i="11"/>
  <c r="M385" i="11" s="1"/>
  <c r="AJ385" i="19" s="1"/>
  <c r="AK385" i="19" s="1"/>
  <c r="L386" i="11"/>
  <c r="M386" i="11" s="1"/>
  <c r="AJ386" i="19" s="1"/>
  <c r="AK386" i="19" s="1"/>
  <c r="L387" i="11"/>
  <c r="M387" i="11" s="1"/>
  <c r="AJ387" i="19" s="1"/>
  <c r="AK387" i="19" s="1"/>
  <c r="L388" i="11"/>
  <c r="M388" i="11" s="1"/>
  <c r="AJ388" i="19" s="1"/>
  <c r="AK388" i="19" s="1"/>
  <c r="L389" i="11"/>
  <c r="M389" i="11" s="1"/>
  <c r="AJ389" i="19" s="1"/>
  <c r="AK389" i="19" s="1"/>
  <c r="L390" i="11"/>
  <c r="M390" i="11" s="1"/>
  <c r="AJ390" i="19" s="1"/>
  <c r="AK390" i="19" s="1"/>
  <c r="L391" i="11"/>
  <c r="M391" i="11" s="1"/>
  <c r="AJ391" i="19" s="1"/>
  <c r="AK391" i="19" s="1"/>
  <c r="L392" i="11"/>
  <c r="M392" i="11" s="1"/>
  <c r="AJ392" i="19" s="1"/>
  <c r="AK392" i="19" s="1"/>
  <c r="L393" i="11"/>
  <c r="M393" i="11" s="1"/>
  <c r="AJ393" i="19" s="1"/>
  <c r="AK393" i="19" s="1"/>
  <c r="L394" i="11"/>
  <c r="M394" i="11" s="1"/>
  <c r="AJ394" i="19" s="1"/>
  <c r="AK394" i="19" s="1"/>
  <c r="L395" i="11"/>
  <c r="M395" i="11" s="1"/>
  <c r="AJ395" i="19" s="1"/>
  <c r="AK395" i="19" s="1"/>
  <c r="L396" i="11"/>
  <c r="M396" i="11" s="1"/>
  <c r="AJ396" i="19" s="1"/>
  <c r="AK396" i="19" s="1"/>
  <c r="L397" i="11"/>
  <c r="M397" i="11" s="1"/>
  <c r="AJ397" i="19" s="1"/>
  <c r="AK397" i="19" s="1"/>
  <c r="L398" i="11"/>
  <c r="M398" i="11" s="1"/>
  <c r="AJ398" i="19" s="1"/>
  <c r="AK398" i="19" s="1"/>
  <c r="L399" i="11"/>
  <c r="M399" i="11" s="1"/>
  <c r="AJ399" i="19" s="1"/>
  <c r="AK399" i="19" s="1"/>
  <c r="L400" i="11"/>
  <c r="M400" i="11" s="1"/>
  <c r="AJ400" i="19" s="1"/>
  <c r="AK400" i="19" s="1"/>
  <c r="L401" i="11"/>
  <c r="M401" i="11" s="1"/>
  <c r="AJ401" i="19" s="1"/>
  <c r="AK401" i="19" s="1"/>
  <c r="L402" i="11"/>
  <c r="M402" i="11" s="1"/>
  <c r="AJ402" i="19" s="1"/>
  <c r="AK402" i="19" s="1"/>
  <c r="L403" i="11"/>
  <c r="M403" i="11" s="1"/>
  <c r="AJ403" i="19" s="1"/>
  <c r="AK403" i="19" s="1"/>
  <c r="L404" i="11"/>
  <c r="M404" i="11" s="1"/>
  <c r="AJ404" i="19" s="1"/>
  <c r="AK404" i="19" s="1"/>
  <c r="L405" i="11"/>
  <c r="M405" i="11" s="1"/>
  <c r="AJ405" i="19" s="1"/>
  <c r="AK405" i="19" s="1"/>
  <c r="L406" i="11"/>
  <c r="M406" i="11" s="1"/>
  <c r="AJ406" i="19" s="1"/>
  <c r="AK406" i="19" s="1"/>
  <c r="L407" i="11"/>
  <c r="M407" i="11" s="1"/>
  <c r="AJ407" i="19" s="1"/>
  <c r="AK407" i="19" s="1"/>
  <c r="L408" i="11"/>
  <c r="M408" i="11" s="1"/>
  <c r="AJ408" i="19" s="1"/>
  <c r="AK408" i="19" s="1"/>
  <c r="L409" i="11"/>
  <c r="M409" i="11" s="1"/>
  <c r="AJ409" i="19" s="1"/>
  <c r="AK409" i="19" s="1"/>
  <c r="L410" i="11"/>
  <c r="M410" i="11" s="1"/>
  <c r="AJ410" i="19" s="1"/>
  <c r="AK410" i="19" s="1"/>
  <c r="L411" i="11"/>
  <c r="M411" i="11" s="1"/>
  <c r="AJ411" i="19" s="1"/>
  <c r="AK411" i="19" s="1"/>
  <c r="L412" i="11"/>
  <c r="M412" i="11" s="1"/>
  <c r="AJ412" i="19" s="1"/>
  <c r="AK412" i="19" s="1"/>
  <c r="L413" i="11"/>
  <c r="M413" i="11" s="1"/>
  <c r="AJ413" i="19" s="1"/>
  <c r="AK413" i="19" s="1"/>
  <c r="L414" i="11"/>
  <c r="M414" i="11" s="1"/>
  <c r="AJ414" i="19" s="1"/>
  <c r="AK414" i="19" s="1"/>
  <c r="L415" i="11"/>
  <c r="M415" i="11" s="1"/>
  <c r="AJ415" i="19" s="1"/>
  <c r="AK415" i="19" s="1"/>
  <c r="L416" i="11"/>
  <c r="M416" i="11" s="1"/>
  <c r="AJ416" i="19" s="1"/>
  <c r="AK416" i="19" s="1"/>
  <c r="L417" i="11"/>
  <c r="M417" i="11" s="1"/>
  <c r="AJ417" i="19" s="1"/>
  <c r="AK417" i="19" s="1"/>
  <c r="L418" i="11"/>
  <c r="M418" i="11" s="1"/>
  <c r="AJ418" i="19" s="1"/>
  <c r="AK418" i="19" s="1"/>
  <c r="L419" i="11"/>
  <c r="M419" i="11" s="1"/>
  <c r="AJ419" i="19" s="1"/>
  <c r="AK419" i="19" s="1"/>
  <c r="L420" i="11"/>
  <c r="M420" i="11" s="1"/>
  <c r="AJ420" i="19" s="1"/>
  <c r="AK420" i="19" s="1"/>
  <c r="L421" i="11"/>
  <c r="M421" i="11" s="1"/>
  <c r="AJ421" i="19" s="1"/>
  <c r="AK421" i="19" s="1"/>
  <c r="L422" i="11"/>
  <c r="M422" i="11" s="1"/>
  <c r="AJ422" i="19" s="1"/>
  <c r="AK422" i="19" s="1"/>
  <c r="L423" i="11"/>
  <c r="M423" i="11" s="1"/>
  <c r="AJ423" i="19" s="1"/>
  <c r="AK423" i="19" s="1"/>
  <c r="L424" i="11"/>
  <c r="M424" i="11" s="1"/>
  <c r="AJ424" i="19" s="1"/>
  <c r="AK424" i="19" s="1"/>
  <c r="L425" i="11"/>
  <c r="M425" i="11" s="1"/>
  <c r="AJ425" i="19" s="1"/>
  <c r="AK425" i="19" s="1"/>
  <c r="L426" i="11"/>
  <c r="M426" i="11" s="1"/>
  <c r="AJ426" i="19" s="1"/>
  <c r="AK426" i="19" s="1"/>
  <c r="L427" i="11"/>
  <c r="M427" i="11" s="1"/>
  <c r="AJ427" i="19" s="1"/>
  <c r="AK427" i="19" s="1"/>
  <c r="L428" i="11"/>
  <c r="M428" i="11" s="1"/>
  <c r="AJ428" i="19" s="1"/>
  <c r="AK428" i="19" s="1"/>
  <c r="L429" i="11"/>
  <c r="M429" i="11" s="1"/>
  <c r="AJ429" i="19" s="1"/>
  <c r="AK429" i="19" s="1"/>
  <c r="L430" i="11"/>
  <c r="M430" i="11" s="1"/>
  <c r="AJ430" i="19" s="1"/>
  <c r="AK430" i="19" s="1"/>
  <c r="L431" i="11"/>
  <c r="M431" i="11" s="1"/>
  <c r="AJ431" i="19" s="1"/>
  <c r="AK431" i="19" s="1"/>
  <c r="L432" i="11"/>
  <c r="M432" i="11" s="1"/>
  <c r="AJ432" i="19" s="1"/>
  <c r="AK432" i="19" s="1"/>
  <c r="L433" i="11"/>
  <c r="M433" i="11" s="1"/>
  <c r="AJ433" i="19" s="1"/>
  <c r="AK433" i="19" s="1"/>
  <c r="L434" i="11"/>
  <c r="M434" i="11" s="1"/>
  <c r="AJ434" i="19" s="1"/>
  <c r="AK434" i="19" s="1"/>
  <c r="L435" i="11"/>
  <c r="M435" i="11" s="1"/>
  <c r="AJ435" i="19" s="1"/>
  <c r="AK435" i="19" s="1"/>
  <c r="L436" i="11"/>
  <c r="M436" i="11" s="1"/>
  <c r="AJ436" i="19" s="1"/>
  <c r="AK436" i="19" s="1"/>
  <c r="L437" i="11"/>
  <c r="M437" i="11" s="1"/>
  <c r="AJ437" i="19" s="1"/>
  <c r="AK437" i="19" s="1"/>
  <c r="L438" i="11"/>
  <c r="M438" i="11" s="1"/>
  <c r="AJ438" i="19" s="1"/>
  <c r="AK438" i="19" s="1"/>
  <c r="L439" i="11"/>
  <c r="M439" i="11" s="1"/>
  <c r="AJ439" i="19" s="1"/>
  <c r="AK439" i="19" s="1"/>
  <c r="L440" i="11"/>
  <c r="M440" i="11" s="1"/>
  <c r="AJ440" i="19" s="1"/>
  <c r="AK440" i="19" s="1"/>
  <c r="L441" i="11"/>
  <c r="M441" i="11" s="1"/>
  <c r="AJ441" i="19" s="1"/>
  <c r="AK441" i="19" s="1"/>
  <c r="L442" i="11"/>
  <c r="M442" i="11" s="1"/>
  <c r="AJ442" i="19" s="1"/>
  <c r="AK442" i="19" s="1"/>
  <c r="L443" i="11"/>
  <c r="M443" i="11" s="1"/>
  <c r="AJ443" i="19" s="1"/>
  <c r="AK443" i="19" s="1"/>
  <c r="L444" i="11"/>
  <c r="M444" i="11" s="1"/>
  <c r="AJ444" i="19" s="1"/>
  <c r="AK444" i="19" s="1"/>
  <c r="L445" i="11"/>
  <c r="M445" i="11" s="1"/>
  <c r="AJ445" i="19" s="1"/>
  <c r="AK445" i="19" s="1"/>
  <c r="L446" i="11"/>
  <c r="M446" i="11" s="1"/>
  <c r="AJ446" i="19" s="1"/>
  <c r="AK446" i="19" s="1"/>
  <c r="L447" i="11"/>
  <c r="M447" i="11" s="1"/>
  <c r="AJ447" i="19" s="1"/>
  <c r="AK447" i="19" s="1"/>
  <c r="L448" i="11"/>
  <c r="M448" i="11" s="1"/>
  <c r="AJ448" i="19" s="1"/>
  <c r="AK448" i="19" s="1"/>
  <c r="L449" i="11"/>
  <c r="M449" i="11" s="1"/>
  <c r="AJ449" i="19" s="1"/>
  <c r="AK449" i="19" s="1"/>
  <c r="L450" i="11"/>
  <c r="M450" i="11" s="1"/>
  <c r="AJ450" i="19" s="1"/>
  <c r="AK450" i="19" s="1"/>
  <c r="L451" i="11"/>
  <c r="M451" i="11" s="1"/>
  <c r="AJ451" i="19" s="1"/>
  <c r="AK451" i="19" s="1"/>
  <c r="L452" i="11"/>
  <c r="M452" i="11" s="1"/>
  <c r="AJ452" i="19" s="1"/>
  <c r="AK452" i="19" s="1"/>
  <c r="L453" i="11"/>
  <c r="M453" i="11" s="1"/>
  <c r="AJ453" i="19" s="1"/>
  <c r="AK453" i="19" s="1"/>
  <c r="L454" i="11"/>
  <c r="M454" i="11" s="1"/>
  <c r="AJ454" i="19" s="1"/>
  <c r="AK454" i="19" s="1"/>
  <c r="L455" i="11"/>
  <c r="M455" i="11" s="1"/>
  <c r="AJ455" i="19" s="1"/>
  <c r="AK455" i="19" s="1"/>
  <c r="L456" i="11"/>
  <c r="M456" i="11" s="1"/>
  <c r="AJ456" i="19" s="1"/>
  <c r="AK456" i="19" s="1"/>
  <c r="L457" i="11"/>
  <c r="M457" i="11" s="1"/>
  <c r="AJ457" i="19" s="1"/>
  <c r="AK457" i="19" s="1"/>
  <c r="L458" i="11"/>
  <c r="M458" i="11" s="1"/>
  <c r="AJ458" i="19" s="1"/>
  <c r="AK458" i="19" s="1"/>
  <c r="L459" i="11"/>
  <c r="M459" i="11" s="1"/>
  <c r="AJ459" i="19" s="1"/>
  <c r="AK459" i="19" s="1"/>
  <c r="L460" i="11"/>
  <c r="M460" i="11" s="1"/>
  <c r="AJ460" i="19" s="1"/>
  <c r="AK460" i="19" s="1"/>
  <c r="L461" i="11"/>
  <c r="M461" i="11" s="1"/>
  <c r="AJ461" i="19" s="1"/>
  <c r="AK461" i="19" s="1"/>
  <c r="L462" i="11"/>
  <c r="M462" i="11" s="1"/>
  <c r="AJ462" i="19" s="1"/>
  <c r="AK462" i="19" s="1"/>
  <c r="L463" i="11"/>
  <c r="M463" i="11" s="1"/>
  <c r="AJ463" i="19" s="1"/>
  <c r="AK463" i="19" s="1"/>
  <c r="L464" i="11"/>
  <c r="M464" i="11" s="1"/>
  <c r="AJ464" i="19" s="1"/>
  <c r="AK464" i="19" s="1"/>
  <c r="L465" i="11"/>
  <c r="M465" i="11" s="1"/>
  <c r="AJ465" i="19" s="1"/>
  <c r="AK465" i="19" s="1"/>
  <c r="L466" i="11"/>
  <c r="M466" i="11" s="1"/>
  <c r="AJ466" i="19" s="1"/>
  <c r="AK466" i="19" s="1"/>
  <c r="L467" i="11"/>
  <c r="M467" i="11" s="1"/>
  <c r="AJ467" i="19" s="1"/>
  <c r="AK467" i="19" s="1"/>
  <c r="L468" i="11"/>
  <c r="M468" i="11" s="1"/>
  <c r="AJ468" i="19" s="1"/>
  <c r="AK468" i="19" s="1"/>
  <c r="L469" i="11"/>
  <c r="M469" i="11" s="1"/>
  <c r="AJ469" i="19" s="1"/>
  <c r="AK469" i="19" s="1"/>
  <c r="L470" i="11"/>
  <c r="M470" i="11" s="1"/>
  <c r="AJ470" i="19" s="1"/>
  <c r="AK470" i="19" s="1"/>
  <c r="L471" i="11"/>
  <c r="M471" i="11" s="1"/>
  <c r="AJ471" i="19" s="1"/>
  <c r="AK471" i="19" s="1"/>
  <c r="L472" i="11"/>
  <c r="M472" i="11" s="1"/>
  <c r="AJ472" i="19" s="1"/>
  <c r="AK472" i="19" s="1"/>
  <c r="L473" i="11"/>
  <c r="M473" i="11" s="1"/>
  <c r="AJ473" i="19" s="1"/>
  <c r="AK473" i="19" s="1"/>
  <c r="L474" i="11"/>
  <c r="M474" i="11" s="1"/>
  <c r="AJ474" i="19" s="1"/>
  <c r="AK474" i="19" s="1"/>
  <c r="L475" i="11"/>
  <c r="M475" i="11" s="1"/>
  <c r="AJ475" i="19" s="1"/>
  <c r="AK475" i="19" s="1"/>
  <c r="L476" i="11"/>
  <c r="M476" i="11" s="1"/>
  <c r="AJ476" i="19" s="1"/>
  <c r="AK476" i="19" s="1"/>
  <c r="L477" i="11"/>
  <c r="M477" i="11" s="1"/>
  <c r="AJ477" i="19" s="1"/>
  <c r="AK477" i="19" s="1"/>
  <c r="L478" i="11"/>
  <c r="M478" i="11" s="1"/>
  <c r="AJ478" i="19" s="1"/>
  <c r="AK478" i="19" s="1"/>
  <c r="L479" i="11"/>
  <c r="M479" i="11" s="1"/>
  <c r="AJ479" i="19" s="1"/>
  <c r="AK479" i="19" s="1"/>
  <c r="L480" i="11"/>
  <c r="M480" i="11" s="1"/>
  <c r="AJ480" i="19" s="1"/>
  <c r="AK480" i="19" s="1"/>
  <c r="L481" i="11"/>
  <c r="M481" i="11" s="1"/>
  <c r="AJ481" i="19" s="1"/>
  <c r="AK481" i="19" s="1"/>
  <c r="L482" i="11"/>
  <c r="M482" i="11" s="1"/>
  <c r="AJ482" i="19" s="1"/>
  <c r="AK482" i="19" s="1"/>
  <c r="L483" i="11"/>
  <c r="M483" i="11" s="1"/>
  <c r="AJ483" i="19" s="1"/>
  <c r="AK483" i="19" s="1"/>
  <c r="L484" i="11"/>
  <c r="M484" i="11" s="1"/>
  <c r="AJ484" i="19" s="1"/>
  <c r="AK484" i="19" s="1"/>
  <c r="L485" i="11"/>
  <c r="M485" i="11" s="1"/>
  <c r="AJ485" i="19" s="1"/>
  <c r="AK485" i="19" s="1"/>
  <c r="L486" i="11"/>
  <c r="M486" i="11" s="1"/>
  <c r="AJ486" i="19" s="1"/>
  <c r="AK486" i="19" s="1"/>
  <c r="L487" i="11"/>
  <c r="M487" i="11" s="1"/>
  <c r="AJ487" i="19" s="1"/>
  <c r="AK487" i="19" s="1"/>
  <c r="L488" i="11"/>
  <c r="M488" i="11" s="1"/>
  <c r="AJ488" i="19" s="1"/>
  <c r="AK488" i="19" s="1"/>
  <c r="L489" i="11"/>
  <c r="M489" i="11" s="1"/>
  <c r="AJ489" i="19" s="1"/>
  <c r="AK489" i="19" s="1"/>
  <c r="L490" i="11"/>
  <c r="M490" i="11" s="1"/>
  <c r="AJ490" i="19" s="1"/>
  <c r="AK490" i="19" s="1"/>
  <c r="L491" i="11"/>
  <c r="M491" i="11" s="1"/>
  <c r="AJ491" i="19" s="1"/>
  <c r="AK491" i="19" s="1"/>
  <c r="L492" i="11"/>
  <c r="M492" i="11" s="1"/>
  <c r="AJ492" i="19" s="1"/>
  <c r="AK492" i="19" s="1"/>
  <c r="L493" i="11"/>
  <c r="M493" i="11" s="1"/>
  <c r="AJ493" i="19" s="1"/>
  <c r="AK493" i="19" s="1"/>
  <c r="L494" i="11"/>
  <c r="M494" i="11" s="1"/>
  <c r="AJ494" i="19" s="1"/>
  <c r="AK494" i="19" s="1"/>
  <c r="L495" i="11"/>
  <c r="M495" i="11" s="1"/>
  <c r="AJ495" i="19" s="1"/>
  <c r="AK495" i="19" s="1"/>
  <c r="L496" i="11"/>
  <c r="M496" i="11" s="1"/>
  <c r="AJ496" i="19" s="1"/>
  <c r="AK496" i="19" s="1"/>
  <c r="L497" i="11"/>
  <c r="M497" i="11" s="1"/>
  <c r="AJ497" i="19" s="1"/>
  <c r="AK497" i="19" s="1"/>
  <c r="L498" i="11"/>
  <c r="M498" i="11" s="1"/>
  <c r="AJ498" i="19" s="1"/>
  <c r="AK498" i="19" s="1"/>
  <c r="L499" i="11"/>
  <c r="M499" i="11" s="1"/>
  <c r="AJ499" i="19" s="1"/>
  <c r="AK499" i="19" s="1"/>
  <c r="L500" i="11"/>
  <c r="M500" i="11" s="1"/>
  <c r="AJ500" i="19" s="1"/>
  <c r="AK500" i="19" s="1"/>
  <c r="L501" i="11"/>
  <c r="M501" i="11" s="1"/>
  <c r="AJ501" i="19" s="1"/>
  <c r="AK501" i="19" s="1"/>
  <c r="L502" i="11"/>
  <c r="M502" i="11" s="1"/>
  <c r="AJ502" i="19" s="1"/>
  <c r="AK502" i="19" s="1"/>
  <c r="L503" i="11"/>
  <c r="M503" i="11" s="1"/>
  <c r="AJ503" i="19" s="1"/>
  <c r="AK503" i="19" s="1"/>
  <c r="L504" i="11"/>
  <c r="M504" i="11" s="1"/>
  <c r="AJ504" i="19" s="1"/>
  <c r="AK504" i="19" s="1"/>
  <c r="L505" i="11"/>
  <c r="M505" i="11" s="1"/>
  <c r="AJ505" i="19" s="1"/>
  <c r="AK505" i="19" s="1"/>
  <c r="L506" i="11"/>
  <c r="M506" i="11" s="1"/>
  <c r="AJ506" i="19" s="1"/>
  <c r="AK506" i="19" s="1"/>
  <c r="L507" i="11"/>
  <c r="M507" i="11" s="1"/>
  <c r="AJ507" i="19" s="1"/>
  <c r="AK507" i="19" s="1"/>
  <c r="L508" i="11"/>
  <c r="M508" i="11" s="1"/>
  <c r="AJ508" i="19" s="1"/>
  <c r="AK508" i="19" s="1"/>
  <c r="L509" i="11"/>
  <c r="M509" i="11" s="1"/>
  <c r="AJ509" i="19" s="1"/>
  <c r="AK509" i="19" s="1"/>
  <c r="L510" i="11"/>
  <c r="M510" i="11" s="1"/>
  <c r="AJ510" i="19" s="1"/>
  <c r="AK510" i="19" s="1"/>
  <c r="L511" i="11"/>
  <c r="M511" i="11" s="1"/>
  <c r="AJ511" i="19" s="1"/>
  <c r="AK511" i="19" s="1"/>
  <c r="L512" i="11"/>
  <c r="M512" i="11" s="1"/>
  <c r="AJ512" i="19" s="1"/>
  <c r="AK512" i="19" s="1"/>
  <c r="L513" i="11"/>
  <c r="M513" i="11" s="1"/>
  <c r="AJ513" i="19" s="1"/>
  <c r="AK513" i="19" s="1"/>
  <c r="L514" i="11"/>
  <c r="M514" i="11" s="1"/>
  <c r="AJ514" i="19" s="1"/>
  <c r="AK514" i="19" s="1"/>
  <c r="L515" i="11"/>
  <c r="M515" i="11" s="1"/>
  <c r="AJ515" i="19" s="1"/>
  <c r="AK515" i="19" s="1"/>
  <c r="L516" i="11"/>
  <c r="M516" i="11" s="1"/>
  <c r="AJ516" i="19" s="1"/>
  <c r="AK516" i="19" s="1"/>
  <c r="L517" i="11"/>
  <c r="M517" i="11" s="1"/>
  <c r="AJ517" i="19" s="1"/>
  <c r="AK517" i="19" s="1"/>
  <c r="L518" i="11"/>
  <c r="M518" i="11" s="1"/>
  <c r="AJ518" i="19" s="1"/>
  <c r="AK518" i="19" s="1"/>
  <c r="L519" i="11"/>
  <c r="M519" i="11" s="1"/>
  <c r="AJ519" i="19" s="1"/>
  <c r="AK519" i="19" s="1"/>
  <c r="L520" i="11"/>
  <c r="M520" i="11" s="1"/>
  <c r="AJ520" i="19" s="1"/>
  <c r="AK520" i="19" s="1"/>
  <c r="L521" i="11"/>
  <c r="M521" i="11" s="1"/>
  <c r="AJ521" i="19" s="1"/>
  <c r="AK521" i="19" s="1"/>
  <c r="L522" i="11"/>
  <c r="M522" i="11" s="1"/>
  <c r="AJ522" i="19" s="1"/>
  <c r="AK522" i="19" s="1"/>
  <c r="L523" i="11"/>
  <c r="M523" i="11" s="1"/>
  <c r="AJ523" i="19" s="1"/>
  <c r="AK523" i="19" s="1"/>
  <c r="L524" i="11"/>
  <c r="M524" i="11" s="1"/>
  <c r="AJ524" i="19" s="1"/>
  <c r="AK524" i="19" s="1"/>
  <c r="L525" i="11"/>
  <c r="M525" i="11" s="1"/>
  <c r="AJ525" i="19" s="1"/>
  <c r="AK525" i="19" s="1"/>
  <c r="L526" i="11"/>
  <c r="M526" i="11" s="1"/>
  <c r="AJ526" i="19" s="1"/>
  <c r="AK526" i="19" s="1"/>
  <c r="L527" i="11"/>
  <c r="M527" i="11" s="1"/>
  <c r="AJ527" i="19" s="1"/>
  <c r="AK527" i="19" s="1"/>
  <c r="L528" i="11"/>
  <c r="M528" i="11" s="1"/>
  <c r="AJ528" i="19" s="1"/>
  <c r="AK528" i="19" s="1"/>
  <c r="L529" i="11"/>
  <c r="M529" i="11" s="1"/>
  <c r="AJ529" i="19" s="1"/>
  <c r="AK529" i="19" s="1"/>
  <c r="L530" i="11"/>
  <c r="M530" i="11" s="1"/>
  <c r="AJ530" i="19" s="1"/>
  <c r="AK530" i="19" s="1"/>
  <c r="L531" i="11"/>
  <c r="M531" i="11" s="1"/>
  <c r="AJ531" i="19" s="1"/>
  <c r="AK531" i="19" s="1"/>
  <c r="L532" i="11"/>
  <c r="M532" i="11" s="1"/>
  <c r="AJ532" i="19" s="1"/>
  <c r="AK532" i="19" s="1"/>
  <c r="L533" i="11"/>
  <c r="M533" i="11" s="1"/>
  <c r="AJ533" i="19" s="1"/>
  <c r="AK533" i="19" s="1"/>
  <c r="L534" i="11"/>
  <c r="M534" i="11" s="1"/>
  <c r="AJ534" i="19" s="1"/>
  <c r="AK534" i="19" s="1"/>
  <c r="L535" i="11"/>
  <c r="M535" i="11" s="1"/>
  <c r="AJ535" i="19" s="1"/>
  <c r="AK535" i="19" s="1"/>
  <c r="L536" i="11"/>
  <c r="M536" i="11" s="1"/>
  <c r="AJ536" i="19" s="1"/>
  <c r="AK536" i="19" s="1"/>
  <c r="L537" i="11"/>
  <c r="M537" i="11" s="1"/>
  <c r="AJ537" i="19" s="1"/>
  <c r="AK537" i="19" s="1"/>
  <c r="L538" i="11"/>
  <c r="M538" i="11" s="1"/>
  <c r="AJ538" i="19" s="1"/>
  <c r="AK538" i="19" s="1"/>
  <c r="L539" i="11"/>
  <c r="M539" i="11" s="1"/>
  <c r="AJ539" i="19" s="1"/>
  <c r="AK539" i="19" s="1"/>
  <c r="L540" i="11"/>
  <c r="M540" i="11" s="1"/>
  <c r="AJ540" i="19" s="1"/>
  <c r="AK540" i="19" s="1"/>
  <c r="L541" i="11"/>
  <c r="M541" i="11" s="1"/>
  <c r="AJ541" i="19" s="1"/>
  <c r="AK541" i="19" s="1"/>
  <c r="L542" i="11"/>
  <c r="M542" i="11" s="1"/>
  <c r="AJ542" i="19" s="1"/>
  <c r="AK542" i="19" s="1"/>
  <c r="L543" i="11"/>
  <c r="M543" i="11" s="1"/>
  <c r="AJ543" i="19" s="1"/>
  <c r="AK543" i="19" s="1"/>
  <c r="L544" i="11"/>
  <c r="M544" i="11" s="1"/>
  <c r="AJ544" i="19" s="1"/>
  <c r="AK544" i="19" s="1"/>
  <c r="L545" i="11"/>
  <c r="M545" i="11" s="1"/>
  <c r="AJ545" i="19" s="1"/>
  <c r="AK545" i="19" s="1"/>
  <c r="L546" i="11"/>
  <c r="M546" i="11" s="1"/>
  <c r="AJ546" i="19" s="1"/>
  <c r="AK546" i="19" s="1"/>
  <c r="L547" i="11"/>
  <c r="M547" i="11" s="1"/>
  <c r="AJ547" i="19" s="1"/>
  <c r="AK547" i="19" s="1"/>
  <c r="L548" i="11"/>
  <c r="M548" i="11" s="1"/>
  <c r="AJ548" i="19" s="1"/>
  <c r="AK548" i="19" s="1"/>
  <c r="L549" i="11"/>
  <c r="M549" i="11" s="1"/>
  <c r="AJ549" i="19" s="1"/>
  <c r="AK549" i="19" s="1"/>
  <c r="L550" i="11"/>
  <c r="M550" i="11" s="1"/>
  <c r="AJ550" i="19" s="1"/>
  <c r="AK550" i="19" s="1"/>
  <c r="L551" i="11"/>
  <c r="M551" i="11" s="1"/>
  <c r="AJ551" i="19" s="1"/>
  <c r="AK551" i="19" s="1"/>
  <c r="L552" i="11"/>
  <c r="M552" i="11" s="1"/>
  <c r="AJ552" i="19" s="1"/>
  <c r="AK552" i="19" s="1"/>
  <c r="L553" i="11"/>
  <c r="M553" i="11" s="1"/>
  <c r="AJ553" i="19" s="1"/>
  <c r="AK553" i="19" s="1"/>
  <c r="L554" i="11"/>
  <c r="M554" i="11" s="1"/>
  <c r="AJ554" i="19" s="1"/>
  <c r="AK554" i="19" s="1"/>
  <c r="L555" i="11"/>
  <c r="M555" i="11" s="1"/>
  <c r="AJ555" i="19" s="1"/>
  <c r="AK555" i="19" s="1"/>
  <c r="L556" i="11"/>
  <c r="M556" i="11" s="1"/>
  <c r="AJ556" i="19" s="1"/>
  <c r="AK556" i="19" s="1"/>
  <c r="L557" i="11"/>
  <c r="M557" i="11" s="1"/>
  <c r="AJ557" i="19" s="1"/>
  <c r="AK557" i="19" s="1"/>
  <c r="L558" i="11"/>
  <c r="M558" i="11" s="1"/>
  <c r="AJ558" i="19" s="1"/>
  <c r="AK558" i="19" s="1"/>
  <c r="L559" i="11"/>
  <c r="M559" i="11" s="1"/>
  <c r="AJ559" i="19" s="1"/>
  <c r="AK559" i="19" s="1"/>
  <c r="L560" i="11"/>
  <c r="M560" i="11" s="1"/>
  <c r="AJ560" i="19" s="1"/>
  <c r="AK560" i="19" s="1"/>
  <c r="L561" i="11"/>
  <c r="M561" i="11" s="1"/>
  <c r="AJ561" i="19" s="1"/>
  <c r="AK561" i="19" s="1"/>
  <c r="L562" i="11"/>
  <c r="M562" i="11" s="1"/>
  <c r="AJ562" i="19" s="1"/>
  <c r="AK562" i="19" s="1"/>
  <c r="L563" i="11"/>
  <c r="M563" i="11" s="1"/>
  <c r="AJ563" i="19" s="1"/>
  <c r="AK563" i="19" s="1"/>
  <c r="L564" i="11"/>
  <c r="M564" i="11" s="1"/>
  <c r="AJ564" i="19" s="1"/>
  <c r="AK564" i="19" s="1"/>
  <c r="L565" i="11"/>
  <c r="M565" i="11" s="1"/>
  <c r="AJ565" i="19" s="1"/>
  <c r="AK565" i="19" s="1"/>
  <c r="L566" i="11"/>
  <c r="M566" i="11" s="1"/>
  <c r="AJ566" i="19" s="1"/>
  <c r="AK566" i="19" s="1"/>
  <c r="L567" i="11"/>
  <c r="M567" i="11" s="1"/>
  <c r="AJ567" i="19" s="1"/>
  <c r="AK567" i="19" s="1"/>
  <c r="L568" i="11"/>
  <c r="M568" i="11" s="1"/>
  <c r="AJ568" i="19" s="1"/>
  <c r="AK568" i="19" s="1"/>
  <c r="L569" i="11"/>
  <c r="M569" i="11" s="1"/>
  <c r="AJ569" i="19" s="1"/>
  <c r="AK569" i="19" s="1"/>
  <c r="L570" i="11"/>
  <c r="M570" i="11" s="1"/>
  <c r="AJ570" i="19" s="1"/>
  <c r="AK570" i="19" s="1"/>
  <c r="L571" i="11"/>
  <c r="M571" i="11" s="1"/>
  <c r="AJ571" i="19" s="1"/>
  <c r="AK571" i="19" s="1"/>
  <c r="L572" i="11"/>
  <c r="M572" i="11" s="1"/>
  <c r="AJ572" i="19" s="1"/>
  <c r="AK572" i="19" s="1"/>
  <c r="L573" i="11"/>
  <c r="M573" i="11" s="1"/>
  <c r="AJ573" i="19" s="1"/>
  <c r="AK573" i="19" s="1"/>
  <c r="L574" i="11"/>
  <c r="M574" i="11" s="1"/>
  <c r="AJ574" i="19" s="1"/>
  <c r="AK574" i="19" s="1"/>
  <c r="L575" i="11"/>
  <c r="M575" i="11" s="1"/>
  <c r="AJ575" i="19" s="1"/>
  <c r="AK575" i="19" s="1"/>
  <c r="L576" i="11"/>
  <c r="M576" i="11" s="1"/>
  <c r="AJ576" i="19" s="1"/>
  <c r="AK576" i="19" s="1"/>
  <c r="L577" i="11"/>
  <c r="M577" i="11" s="1"/>
  <c r="AJ577" i="19" s="1"/>
  <c r="AK577" i="19" s="1"/>
  <c r="L578" i="11"/>
  <c r="M578" i="11" s="1"/>
  <c r="AJ578" i="19" s="1"/>
  <c r="AK578" i="19" s="1"/>
  <c r="L579" i="11"/>
  <c r="M579" i="11" s="1"/>
  <c r="AJ579" i="19" s="1"/>
  <c r="AK579" i="19" s="1"/>
  <c r="L580" i="11"/>
  <c r="M580" i="11" s="1"/>
  <c r="AJ580" i="19" s="1"/>
  <c r="AK580" i="19" s="1"/>
  <c r="L581" i="11"/>
  <c r="M581" i="11" s="1"/>
  <c r="AJ581" i="19" s="1"/>
  <c r="AK581" i="19" s="1"/>
  <c r="L582" i="11"/>
  <c r="M582" i="11" s="1"/>
  <c r="AJ582" i="19" s="1"/>
  <c r="AK582" i="19" s="1"/>
  <c r="L583" i="11"/>
  <c r="M583" i="11" s="1"/>
  <c r="AJ583" i="19" s="1"/>
  <c r="AK583" i="19" s="1"/>
  <c r="L584" i="11"/>
  <c r="M584" i="11" s="1"/>
  <c r="AJ584" i="19" s="1"/>
  <c r="AK584" i="19" s="1"/>
  <c r="L585" i="11"/>
  <c r="M585" i="11" s="1"/>
  <c r="AJ585" i="19" s="1"/>
  <c r="AK585" i="19" s="1"/>
  <c r="L586" i="11"/>
  <c r="M586" i="11" s="1"/>
  <c r="AJ586" i="19" s="1"/>
  <c r="AK586" i="19" s="1"/>
  <c r="L587" i="11"/>
  <c r="M587" i="11" s="1"/>
  <c r="AJ587" i="19" s="1"/>
  <c r="AK587" i="19" s="1"/>
  <c r="L588" i="11"/>
  <c r="M588" i="11" s="1"/>
  <c r="AJ588" i="19" s="1"/>
  <c r="AK588" i="19" s="1"/>
  <c r="L589" i="11"/>
  <c r="M589" i="11" s="1"/>
  <c r="AJ589" i="19" s="1"/>
  <c r="AK589" i="19" s="1"/>
  <c r="L590" i="11"/>
  <c r="M590" i="11" s="1"/>
  <c r="AJ590" i="19" s="1"/>
  <c r="AK590" i="19" s="1"/>
  <c r="L591" i="11"/>
  <c r="M591" i="11" s="1"/>
  <c r="AJ591" i="19" s="1"/>
  <c r="AK591" i="19" s="1"/>
  <c r="L592" i="11"/>
  <c r="M592" i="11" s="1"/>
  <c r="AJ592" i="19" s="1"/>
  <c r="AK592" i="19" s="1"/>
  <c r="L593" i="11"/>
  <c r="M593" i="11" s="1"/>
  <c r="AJ593" i="19" s="1"/>
  <c r="AK593" i="19" s="1"/>
  <c r="L594" i="11"/>
  <c r="M594" i="11" s="1"/>
  <c r="AJ594" i="19" s="1"/>
  <c r="AK594" i="19" s="1"/>
  <c r="L595" i="11"/>
  <c r="M595" i="11" s="1"/>
  <c r="AJ595" i="19" s="1"/>
  <c r="AK595" i="19" s="1"/>
  <c r="L596" i="11"/>
  <c r="M596" i="11" s="1"/>
  <c r="AJ596" i="19" s="1"/>
  <c r="AK596" i="19" s="1"/>
  <c r="L597" i="11"/>
  <c r="M597" i="11" s="1"/>
  <c r="AJ597" i="19" s="1"/>
  <c r="AK597" i="19" s="1"/>
  <c r="L598" i="11"/>
  <c r="M598" i="11" s="1"/>
  <c r="AJ598" i="19" s="1"/>
  <c r="AK598" i="19" s="1"/>
  <c r="L599" i="11"/>
  <c r="M599" i="11" s="1"/>
  <c r="AJ599" i="19" s="1"/>
  <c r="AK599" i="19" s="1"/>
  <c r="L600" i="11"/>
  <c r="M600" i="11" s="1"/>
  <c r="AJ600" i="19" s="1"/>
  <c r="AK600" i="19" s="1"/>
  <c r="L601" i="11"/>
  <c r="M601" i="11" s="1"/>
  <c r="AJ601" i="19" s="1"/>
  <c r="AK601" i="19" s="1"/>
  <c r="L602" i="11"/>
  <c r="M602" i="11" s="1"/>
  <c r="AJ602" i="19" s="1"/>
  <c r="AK602" i="19" s="1"/>
  <c r="L603" i="11"/>
  <c r="M603" i="11" s="1"/>
  <c r="AJ603" i="19" s="1"/>
  <c r="AK603" i="19" s="1"/>
  <c r="L604" i="11"/>
  <c r="M604" i="11" s="1"/>
  <c r="AJ604" i="19" s="1"/>
  <c r="AK604" i="19" s="1"/>
  <c r="L605" i="11"/>
  <c r="M605" i="11" s="1"/>
  <c r="AJ605" i="19" s="1"/>
  <c r="AK605" i="19" s="1"/>
  <c r="L606" i="11"/>
  <c r="M606" i="11" s="1"/>
  <c r="AJ606" i="19" s="1"/>
  <c r="AK606" i="19" s="1"/>
  <c r="L607" i="11"/>
  <c r="M607" i="11" s="1"/>
  <c r="AJ607" i="19" s="1"/>
  <c r="AK607" i="19" s="1"/>
  <c r="L608" i="11"/>
  <c r="M608" i="11" s="1"/>
  <c r="AJ608" i="19" s="1"/>
  <c r="AK608" i="19" s="1"/>
  <c r="L609" i="11"/>
  <c r="M609" i="11" s="1"/>
  <c r="AJ609" i="19" s="1"/>
  <c r="AK609" i="19" s="1"/>
  <c r="L610" i="11"/>
  <c r="M610" i="11" s="1"/>
  <c r="AJ610" i="19" s="1"/>
  <c r="AK610" i="19" s="1"/>
  <c r="L611" i="11"/>
  <c r="M611" i="11" s="1"/>
  <c r="AJ611" i="19" s="1"/>
  <c r="AK611" i="19" s="1"/>
  <c r="L612" i="11"/>
  <c r="M612" i="11" s="1"/>
  <c r="AJ612" i="19" s="1"/>
  <c r="AK612" i="19" s="1"/>
  <c r="L613" i="11"/>
  <c r="M613" i="11" s="1"/>
  <c r="AJ613" i="19" s="1"/>
  <c r="AK613" i="19" s="1"/>
  <c r="L614" i="11"/>
  <c r="M614" i="11" s="1"/>
  <c r="AJ614" i="19" s="1"/>
  <c r="AK614" i="19" s="1"/>
  <c r="L615" i="11"/>
  <c r="M615" i="11" s="1"/>
  <c r="AJ615" i="19" s="1"/>
  <c r="AK615" i="19" s="1"/>
  <c r="L616" i="11"/>
  <c r="M616" i="11" s="1"/>
  <c r="AJ616" i="19" s="1"/>
  <c r="AK616" i="19" s="1"/>
  <c r="L617" i="11"/>
  <c r="M617" i="11" s="1"/>
  <c r="AJ617" i="19" s="1"/>
  <c r="AK617" i="19" s="1"/>
  <c r="L618" i="11"/>
  <c r="M618" i="11" s="1"/>
  <c r="AJ618" i="19" s="1"/>
  <c r="AK618" i="19" s="1"/>
  <c r="L619" i="11"/>
  <c r="M619" i="11" s="1"/>
  <c r="AJ619" i="19" s="1"/>
  <c r="AK619" i="19" s="1"/>
  <c r="L620" i="11"/>
  <c r="M620" i="11" s="1"/>
  <c r="AJ620" i="19" s="1"/>
  <c r="AK620" i="19" s="1"/>
  <c r="L621" i="11"/>
  <c r="M621" i="11" s="1"/>
  <c r="AJ621" i="19" s="1"/>
  <c r="AK621" i="19" s="1"/>
  <c r="L622" i="11"/>
  <c r="M622" i="11" s="1"/>
  <c r="AJ622" i="19" s="1"/>
  <c r="AK622" i="19" s="1"/>
  <c r="L623" i="11"/>
  <c r="M623" i="11" s="1"/>
  <c r="AJ623" i="19" s="1"/>
  <c r="AK623" i="19" s="1"/>
  <c r="L624" i="11"/>
  <c r="M624" i="11" s="1"/>
  <c r="AJ624" i="19" s="1"/>
  <c r="AK624" i="19" s="1"/>
  <c r="L625" i="11"/>
  <c r="M625" i="11" s="1"/>
  <c r="AJ625" i="19" s="1"/>
  <c r="AK625" i="19" s="1"/>
  <c r="L626" i="11"/>
  <c r="M626" i="11" s="1"/>
  <c r="AJ626" i="19" s="1"/>
  <c r="AK626" i="19" s="1"/>
  <c r="L627" i="11"/>
  <c r="M627" i="11" s="1"/>
  <c r="AJ627" i="19" s="1"/>
  <c r="AK627" i="19" s="1"/>
  <c r="L628" i="11"/>
  <c r="M628" i="11" s="1"/>
  <c r="AJ628" i="19" s="1"/>
  <c r="AK628" i="19" s="1"/>
  <c r="L629" i="11"/>
  <c r="M629" i="11" s="1"/>
  <c r="AJ629" i="19" s="1"/>
  <c r="AK629" i="19" s="1"/>
  <c r="L630" i="11"/>
  <c r="M630" i="11" s="1"/>
  <c r="AJ630" i="19" s="1"/>
  <c r="AK630" i="19" s="1"/>
  <c r="L631" i="11"/>
  <c r="M631" i="11" s="1"/>
  <c r="AJ631" i="19" s="1"/>
  <c r="AK631" i="19" s="1"/>
  <c r="L632" i="11"/>
  <c r="M632" i="11" s="1"/>
  <c r="AJ632" i="19" s="1"/>
  <c r="AK632" i="19" s="1"/>
  <c r="L633" i="11"/>
  <c r="M633" i="11" s="1"/>
  <c r="AJ633" i="19" s="1"/>
  <c r="AK633" i="19" s="1"/>
  <c r="L634" i="11"/>
  <c r="M634" i="11" s="1"/>
  <c r="AJ634" i="19" s="1"/>
  <c r="AK634" i="19" s="1"/>
  <c r="L635" i="11"/>
  <c r="M635" i="11" s="1"/>
  <c r="AJ635" i="19" s="1"/>
  <c r="AK635" i="19" s="1"/>
  <c r="L636" i="11"/>
  <c r="M636" i="11" s="1"/>
  <c r="AJ636" i="19" s="1"/>
  <c r="AK636" i="19" s="1"/>
  <c r="L637" i="11"/>
  <c r="M637" i="11" s="1"/>
  <c r="AJ637" i="19" s="1"/>
  <c r="AK637" i="19" s="1"/>
  <c r="L638" i="11"/>
  <c r="M638" i="11" s="1"/>
  <c r="AJ638" i="19" s="1"/>
  <c r="AK638" i="19" s="1"/>
  <c r="L639" i="11"/>
  <c r="M639" i="11" s="1"/>
  <c r="AJ639" i="19" s="1"/>
  <c r="AK639" i="19" s="1"/>
  <c r="L640" i="11"/>
  <c r="M640" i="11" s="1"/>
  <c r="AJ640" i="19" s="1"/>
  <c r="AK640" i="19" s="1"/>
  <c r="L641" i="11"/>
  <c r="M641" i="11" s="1"/>
  <c r="AJ641" i="19" s="1"/>
  <c r="AK641" i="19" s="1"/>
  <c r="L642" i="11"/>
  <c r="M642" i="11" s="1"/>
  <c r="AJ642" i="19" s="1"/>
  <c r="AK642" i="19" s="1"/>
  <c r="L643" i="11"/>
  <c r="M643" i="11" s="1"/>
  <c r="AJ643" i="19" s="1"/>
  <c r="AK643" i="19" s="1"/>
  <c r="L644" i="11"/>
  <c r="M644" i="11" s="1"/>
  <c r="AJ644" i="19" s="1"/>
  <c r="AK644" i="19" s="1"/>
  <c r="L645" i="11"/>
  <c r="M645" i="11" s="1"/>
  <c r="AJ645" i="19" s="1"/>
  <c r="AK645" i="19" s="1"/>
  <c r="L646" i="11"/>
  <c r="M646" i="11" s="1"/>
  <c r="AJ646" i="19" s="1"/>
  <c r="AK646" i="19" s="1"/>
  <c r="L647" i="11"/>
  <c r="M647" i="11" s="1"/>
  <c r="AJ647" i="19" s="1"/>
  <c r="AK647" i="19" s="1"/>
  <c r="L648" i="11"/>
  <c r="M648" i="11" s="1"/>
  <c r="AJ648" i="19" s="1"/>
  <c r="AK648" i="19" s="1"/>
  <c r="L649" i="11"/>
  <c r="M649" i="11" s="1"/>
  <c r="AJ649" i="19" s="1"/>
  <c r="AK649" i="19" s="1"/>
  <c r="L650" i="11"/>
  <c r="M650" i="11" s="1"/>
  <c r="AJ650" i="19" s="1"/>
  <c r="AK650" i="19" s="1"/>
  <c r="L651" i="11"/>
  <c r="M651" i="11" s="1"/>
  <c r="AJ651" i="19" s="1"/>
  <c r="AK651" i="19" s="1"/>
  <c r="L652" i="11"/>
  <c r="M652" i="11" s="1"/>
  <c r="AJ652" i="19" s="1"/>
  <c r="AK652" i="19" s="1"/>
  <c r="L653" i="11"/>
  <c r="M653" i="11" s="1"/>
  <c r="AJ653" i="19" s="1"/>
  <c r="AK653" i="19" s="1"/>
  <c r="L654" i="11"/>
  <c r="M654" i="11" s="1"/>
  <c r="AJ654" i="19" s="1"/>
  <c r="AK654" i="19" s="1"/>
  <c r="L655" i="11"/>
  <c r="M655" i="11" s="1"/>
  <c r="AJ655" i="19" s="1"/>
  <c r="AK655" i="19" s="1"/>
  <c r="L656" i="11"/>
  <c r="M656" i="11" s="1"/>
  <c r="AJ656" i="19" s="1"/>
  <c r="AK656" i="19" s="1"/>
  <c r="L657" i="11"/>
  <c r="M657" i="11" s="1"/>
  <c r="AJ657" i="19" s="1"/>
  <c r="AK657" i="19" s="1"/>
  <c r="L658" i="11"/>
  <c r="M658" i="11" s="1"/>
  <c r="AJ658" i="19" s="1"/>
  <c r="AK658" i="19" s="1"/>
  <c r="L659" i="11"/>
  <c r="M659" i="11" s="1"/>
  <c r="AJ659" i="19" s="1"/>
  <c r="AK659" i="19" s="1"/>
  <c r="L660" i="11"/>
  <c r="M660" i="11" s="1"/>
  <c r="AJ660" i="19" s="1"/>
  <c r="AK660" i="19" s="1"/>
  <c r="L661" i="11"/>
  <c r="M661" i="11" s="1"/>
  <c r="AJ661" i="19" s="1"/>
  <c r="AK661" i="19" s="1"/>
  <c r="L662" i="11"/>
  <c r="M662" i="11" s="1"/>
  <c r="AJ662" i="19" s="1"/>
  <c r="AK662" i="19" s="1"/>
  <c r="L663" i="11"/>
  <c r="M663" i="11" s="1"/>
  <c r="AJ663" i="19" s="1"/>
  <c r="AK663" i="19" s="1"/>
  <c r="L664" i="11"/>
  <c r="M664" i="11" s="1"/>
  <c r="AJ664" i="19" s="1"/>
  <c r="AK664" i="19" s="1"/>
  <c r="L665" i="11"/>
  <c r="M665" i="11" s="1"/>
  <c r="AJ665" i="19" s="1"/>
  <c r="AK665" i="19" s="1"/>
  <c r="L666" i="11"/>
  <c r="M666" i="11" s="1"/>
  <c r="AJ666" i="19" s="1"/>
  <c r="AK666" i="19" s="1"/>
  <c r="L667" i="11"/>
  <c r="M667" i="11" s="1"/>
  <c r="AJ667" i="19" s="1"/>
  <c r="AK667" i="19" s="1"/>
  <c r="L668" i="11"/>
  <c r="M668" i="11" s="1"/>
  <c r="AJ668" i="19" s="1"/>
  <c r="AK668" i="19" s="1"/>
  <c r="L669" i="11"/>
  <c r="M669" i="11" s="1"/>
  <c r="AJ669" i="19" s="1"/>
  <c r="AK669" i="19" s="1"/>
  <c r="L670" i="11"/>
  <c r="M670" i="11" s="1"/>
  <c r="AJ670" i="19" s="1"/>
  <c r="AK670" i="19" s="1"/>
  <c r="L671" i="11"/>
  <c r="M671" i="11" s="1"/>
  <c r="AJ671" i="19" s="1"/>
  <c r="AK671" i="19" s="1"/>
  <c r="L672" i="11"/>
  <c r="M672" i="11" s="1"/>
  <c r="AJ672" i="19" s="1"/>
  <c r="AK672" i="19" s="1"/>
  <c r="L673" i="11"/>
  <c r="M673" i="11" s="1"/>
  <c r="AJ673" i="19" s="1"/>
  <c r="AK673" i="19" s="1"/>
  <c r="L674" i="11"/>
  <c r="M674" i="11" s="1"/>
  <c r="AJ674" i="19" s="1"/>
  <c r="AK674" i="19" s="1"/>
  <c r="L675" i="11"/>
  <c r="M675" i="11" s="1"/>
  <c r="AJ675" i="19" s="1"/>
  <c r="AK675" i="19" s="1"/>
  <c r="L676" i="11"/>
  <c r="M676" i="11" s="1"/>
  <c r="AJ676" i="19" s="1"/>
  <c r="AK676" i="19" s="1"/>
  <c r="L677" i="11"/>
  <c r="M677" i="11" s="1"/>
  <c r="AJ677" i="19" s="1"/>
  <c r="AK677" i="19" s="1"/>
  <c r="L678" i="11"/>
  <c r="M678" i="11" s="1"/>
  <c r="AJ678" i="19" s="1"/>
  <c r="AK678" i="19" s="1"/>
  <c r="L679" i="11"/>
  <c r="M679" i="11" s="1"/>
  <c r="AJ679" i="19" s="1"/>
  <c r="AK679" i="19" s="1"/>
  <c r="L680" i="11"/>
  <c r="M680" i="11" s="1"/>
  <c r="AJ680" i="19" s="1"/>
  <c r="AK680" i="19" s="1"/>
  <c r="L681" i="11"/>
  <c r="M681" i="11" s="1"/>
  <c r="AJ681" i="19" s="1"/>
  <c r="AK681" i="19" s="1"/>
  <c r="L682" i="11"/>
  <c r="M682" i="11" s="1"/>
  <c r="AJ682" i="19" s="1"/>
  <c r="AK682" i="19" s="1"/>
  <c r="L683" i="11"/>
  <c r="M683" i="11" s="1"/>
  <c r="AJ683" i="19" s="1"/>
  <c r="AK683" i="19" s="1"/>
  <c r="L684" i="11"/>
  <c r="M684" i="11" s="1"/>
  <c r="AJ684" i="19" s="1"/>
  <c r="AK684" i="19" s="1"/>
  <c r="L685" i="11"/>
  <c r="M685" i="11" s="1"/>
  <c r="AJ685" i="19" s="1"/>
  <c r="AK685" i="19" s="1"/>
  <c r="L686" i="11"/>
  <c r="M686" i="11" s="1"/>
  <c r="AJ686" i="19" s="1"/>
  <c r="AK686" i="19" s="1"/>
  <c r="L687" i="11"/>
  <c r="M687" i="11" s="1"/>
  <c r="AJ687" i="19" s="1"/>
  <c r="AK687" i="19" s="1"/>
  <c r="L688" i="11"/>
  <c r="M688" i="11" s="1"/>
  <c r="AJ688" i="19" s="1"/>
  <c r="AK688" i="19" s="1"/>
  <c r="L689" i="11"/>
  <c r="M689" i="11" s="1"/>
  <c r="AJ689" i="19" s="1"/>
  <c r="AK689" i="19" s="1"/>
  <c r="L690" i="11"/>
  <c r="M690" i="11" s="1"/>
  <c r="AJ690" i="19" s="1"/>
  <c r="AK690" i="19" s="1"/>
  <c r="L691" i="11"/>
  <c r="M691" i="11" s="1"/>
  <c r="AJ691" i="19" s="1"/>
  <c r="AK691" i="19" s="1"/>
  <c r="L692" i="11"/>
  <c r="M692" i="11" s="1"/>
  <c r="AJ692" i="19" s="1"/>
  <c r="AK692" i="19" s="1"/>
  <c r="L693" i="11"/>
  <c r="M693" i="11" s="1"/>
  <c r="AJ693" i="19" s="1"/>
  <c r="AK693" i="19" s="1"/>
  <c r="L694" i="11"/>
  <c r="M694" i="11" s="1"/>
  <c r="AJ694" i="19" s="1"/>
  <c r="AK694" i="19" s="1"/>
  <c r="L695" i="11"/>
  <c r="M695" i="11" s="1"/>
  <c r="AJ695" i="19" s="1"/>
  <c r="AK695" i="19" s="1"/>
  <c r="L696" i="11"/>
  <c r="M696" i="11" s="1"/>
  <c r="AJ696" i="19" s="1"/>
  <c r="AK696" i="19" s="1"/>
  <c r="L697" i="11"/>
  <c r="M697" i="11" s="1"/>
  <c r="AJ697" i="19" s="1"/>
  <c r="AK697" i="19" s="1"/>
  <c r="L698" i="11"/>
  <c r="M698" i="11" s="1"/>
  <c r="AJ698" i="19" s="1"/>
  <c r="AK698" i="19" s="1"/>
  <c r="L699" i="11"/>
  <c r="M699" i="11" s="1"/>
  <c r="AJ699" i="19" s="1"/>
  <c r="AK699" i="19" s="1"/>
  <c r="L700" i="11"/>
  <c r="M700" i="11" s="1"/>
  <c r="AJ700" i="19" s="1"/>
  <c r="AK700" i="19" s="1"/>
  <c r="L701" i="11"/>
  <c r="M701" i="11" s="1"/>
  <c r="AJ701" i="19" s="1"/>
  <c r="AK701" i="19" s="1"/>
  <c r="L702" i="11"/>
  <c r="M702" i="11" s="1"/>
  <c r="AJ702" i="19" s="1"/>
  <c r="AK702" i="19" s="1"/>
  <c r="L703" i="11"/>
  <c r="M703" i="11" s="1"/>
  <c r="AJ703" i="19" s="1"/>
  <c r="AK703" i="19" s="1"/>
  <c r="L704" i="11"/>
  <c r="M704" i="11" s="1"/>
  <c r="AJ704" i="19" s="1"/>
  <c r="AK704" i="19" s="1"/>
  <c r="L705" i="11"/>
  <c r="M705" i="11" s="1"/>
  <c r="AJ705" i="19" s="1"/>
  <c r="AK705" i="19" s="1"/>
  <c r="L706" i="11"/>
  <c r="M706" i="11" s="1"/>
  <c r="AJ706" i="19" s="1"/>
  <c r="AK706" i="19" s="1"/>
  <c r="L707" i="11"/>
  <c r="M707" i="11" s="1"/>
  <c r="AJ707" i="19" s="1"/>
  <c r="AK707" i="19" s="1"/>
  <c r="L708" i="11"/>
  <c r="M708" i="11" s="1"/>
  <c r="AJ708" i="19" s="1"/>
  <c r="AK708" i="19" s="1"/>
  <c r="L709" i="11"/>
  <c r="M709" i="11" s="1"/>
  <c r="AJ709" i="19" s="1"/>
  <c r="AK709" i="19" s="1"/>
  <c r="L710" i="11"/>
  <c r="M710" i="11" s="1"/>
  <c r="AJ710" i="19" s="1"/>
  <c r="AK710" i="19" s="1"/>
  <c r="L711" i="11"/>
  <c r="M711" i="11" s="1"/>
  <c r="AJ711" i="19" s="1"/>
  <c r="AK711" i="19" s="1"/>
  <c r="L712" i="11"/>
  <c r="M712" i="11" s="1"/>
  <c r="AJ712" i="19" s="1"/>
  <c r="AK712" i="19" s="1"/>
  <c r="L713" i="11"/>
  <c r="M713" i="11" s="1"/>
  <c r="AJ713" i="19" s="1"/>
  <c r="AK713" i="19" s="1"/>
  <c r="L714" i="11"/>
  <c r="M714" i="11" s="1"/>
  <c r="AJ714" i="19" s="1"/>
  <c r="AK714" i="19" s="1"/>
  <c r="L715" i="11"/>
  <c r="M715" i="11" s="1"/>
  <c r="AJ715" i="19" s="1"/>
  <c r="AK715" i="19" s="1"/>
  <c r="L716" i="11"/>
  <c r="M716" i="11" s="1"/>
  <c r="AJ716" i="19" s="1"/>
  <c r="AK716" i="19" s="1"/>
  <c r="L717" i="11"/>
  <c r="M717" i="11" s="1"/>
  <c r="AJ717" i="19" s="1"/>
  <c r="AK717" i="19" s="1"/>
  <c r="L718" i="11"/>
  <c r="M718" i="11" s="1"/>
  <c r="AJ718" i="19" s="1"/>
  <c r="AK718" i="19" s="1"/>
  <c r="L719" i="11"/>
  <c r="M719" i="11" s="1"/>
  <c r="AJ719" i="19" s="1"/>
  <c r="AK719" i="19" s="1"/>
  <c r="L720" i="11"/>
  <c r="M720" i="11" s="1"/>
  <c r="AJ720" i="19" s="1"/>
  <c r="AK720" i="19" s="1"/>
  <c r="L721" i="11"/>
  <c r="M721" i="11" s="1"/>
  <c r="AJ721" i="19" s="1"/>
  <c r="AK721" i="19" s="1"/>
  <c r="L722" i="11"/>
  <c r="M722" i="11" s="1"/>
  <c r="AJ722" i="19" s="1"/>
  <c r="AK722" i="19" s="1"/>
  <c r="L723" i="11"/>
  <c r="M723" i="11" s="1"/>
  <c r="AJ723" i="19" s="1"/>
  <c r="AK723" i="19" s="1"/>
  <c r="L724" i="11"/>
  <c r="M724" i="11" s="1"/>
  <c r="AJ724" i="19" s="1"/>
  <c r="AK724" i="19" s="1"/>
  <c r="L725" i="11"/>
  <c r="M725" i="11" s="1"/>
  <c r="AJ725" i="19" s="1"/>
  <c r="AK725" i="19" s="1"/>
  <c r="L726" i="11"/>
  <c r="M726" i="11" s="1"/>
  <c r="AJ726" i="19" s="1"/>
  <c r="AK726" i="19" s="1"/>
  <c r="L727" i="11"/>
  <c r="M727" i="11" s="1"/>
  <c r="AJ727" i="19" s="1"/>
  <c r="AK727" i="19" s="1"/>
  <c r="L728" i="11"/>
  <c r="M728" i="11" s="1"/>
  <c r="AJ728" i="19" s="1"/>
  <c r="AK728" i="19" s="1"/>
  <c r="L729" i="11"/>
  <c r="M729" i="11" s="1"/>
  <c r="AJ729" i="19" s="1"/>
  <c r="AK729" i="19" s="1"/>
  <c r="L730" i="11"/>
  <c r="M730" i="11" s="1"/>
  <c r="AJ730" i="19" s="1"/>
  <c r="AK730" i="19" s="1"/>
  <c r="L731" i="11"/>
  <c r="M731" i="11" s="1"/>
  <c r="AJ731" i="19" s="1"/>
  <c r="AK731" i="19" s="1"/>
  <c r="L732" i="11"/>
  <c r="M732" i="11" s="1"/>
  <c r="AJ732" i="19" s="1"/>
  <c r="AK732" i="19" s="1"/>
  <c r="L733" i="11"/>
  <c r="M733" i="11" s="1"/>
  <c r="AJ733" i="19" s="1"/>
  <c r="AK733" i="19" s="1"/>
  <c r="L734" i="11"/>
  <c r="M734" i="11" s="1"/>
  <c r="AJ734" i="19" s="1"/>
  <c r="AK734" i="19" s="1"/>
  <c r="L735" i="11"/>
  <c r="M735" i="11" s="1"/>
  <c r="AJ735" i="19" s="1"/>
  <c r="AK735" i="19" s="1"/>
  <c r="L736" i="11"/>
  <c r="M736" i="11" s="1"/>
  <c r="AJ736" i="19" s="1"/>
  <c r="AK736" i="19" s="1"/>
  <c r="L737" i="11"/>
  <c r="M737" i="11" s="1"/>
  <c r="AJ737" i="19" s="1"/>
  <c r="AK737" i="19" s="1"/>
  <c r="L738" i="11"/>
  <c r="M738" i="11" s="1"/>
  <c r="AJ738" i="19" s="1"/>
  <c r="AK738" i="19" s="1"/>
  <c r="L739" i="11"/>
  <c r="M739" i="11" s="1"/>
  <c r="AJ739" i="19" s="1"/>
  <c r="AK739" i="19" s="1"/>
  <c r="L740" i="11"/>
  <c r="M740" i="11" s="1"/>
  <c r="AJ740" i="19" s="1"/>
  <c r="AK740" i="19" s="1"/>
  <c r="L741" i="11"/>
  <c r="M741" i="11" s="1"/>
  <c r="AJ741" i="19" s="1"/>
  <c r="AK741" i="19" s="1"/>
  <c r="L742" i="11"/>
  <c r="M742" i="11" s="1"/>
  <c r="AJ742" i="19" s="1"/>
  <c r="AK742" i="19" s="1"/>
  <c r="L743" i="11"/>
  <c r="M743" i="11" s="1"/>
  <c r="AJ743" i="19" s="1"/>
  <c r="AK743" i="19" s="1"/>
  <c r="L744" i="11"/>
  <c r="M744" i="11" s="1"/>
  <c r="AJ744" i="19" s="1"/>
  <c r="AK744" i="19" s="1"/>
  <c r="L745" i="11"/>
  <c r="M745" i="11" s="1"/>
  <c r="AJ745" i="19" s="1"/>
  <c r="AK745" i="19" s="1"/>
  <c r="L746" i="11"/>
  <c r="M746" i="11" s="1"/>
  <c r="AJ746" i="19" s="1"/>
  <c r="AK746" i="19" s="1"/>
  <c r="L747" i="11"/>
  <c r="M747" i="11" s="1"/>
  <c r="AJ747" i="19" s="1"/>
  <c r="AK747" i="19" s="1"/>
  <c r="L748" i="11"/>
  <c r="M748" i="11" s="1"/>
  <c r="AJ748" i="19" s="1"/>
  <c r="AK748" i="19" s="1"/>
  <c r="L749" i="11"/>
  <c r="M749" i="11" s="1"/>
  <c r="AJ749" i="19" s="1"/>
  <c r="AK749" i="19" s="1"/>
  <c r="L750" i="11"/>
  <c r="M750" i="11" s="1"/>
  <c r="AJ750" i="19" s="1"/>
  <c r="AK750" i="19" s="1"/>
  <c r="L751" i="11"/>
  <c r="M751" i="11" s="1"/>
  <c r="AJ751" i="19" s="1"/>
  <c r="AK751" i="19" s="1"/>
  <c r="L752" i="11"/>
  <c r="M752" i="11" s="1"/>
  <c r="AJ752" i="19" s="1"/>
  <c r="AK752" i="19" s="1"/>
  <c r="L753" i="11"/>
  <c r="M753" i="11" s="1"/>
  <c r="AJ753" i="19" s="1"/>
  <c r="AK753" i="19" s="1"/>
  <c r="L754" i="11"/>
  <c r="M754" i="11" s="1"/>
  <c r="AJ754" i="19" s="1"/>
  <c r="AK754" i="19" s="1"/>
  <c r="L755" i="11"/>
  <c r="M755" i="11" s="1"/>
  <c r="AJ755" i="19" s="1"/>
  <c r="AK755" i="19" s="1"/>
  <c r="L756" i="11"/>
  <c r="M756" i="11" s="1"/>
  <c r="AJ756" i="19" s="1"/>
  <c r="AK756" i="19" s="1"/>
  <c r="L757" i="11"/>
  <c r="M757" i="11" s="1"/>
  <c r="AJ757" i="19" s="1"/>
  <c r="AK757" i="19" s="1"/>
  <c r="L758" i="11"/>
  <c r="M758" i="11" s="1"/>
  <c r="AJ758" i="19" s="1"/>
  <c r="AK758" i="19" s="1"/>
  <c r="L759" i="11"/>
  <c r="M759" i="11" s="1"/>
  <c r="AJ759" i="19" s="1"/>
  <c r="AK759" i="19" s="1"/>
  <c r="L760" i="11"/>
  <c r="M760" i="11" s="1"/>
  <c r="AJ760" i="19" s="1"/>
  <c r="AK760" i="19" s="1"/>
  <c r="L761" i="11"/>
  <c r="M761" i="11" s="1"/>
  <c r="AJ761" i="19" s="1"/>
  <c r="AK761" i="19" s="1"/>
  <c r="L762" i="11"/>
  <c r="M762" i="11" s="1"/>
  <c r="AJ762" i="19" s="1"/>
  <c r="AK762" i="19" s="1"/>
  <c r="L763" i="11"/>
  <c r="M763" i="11" s="1"/>
  <c r="AJ763" i="19" s="1"/>
  <c r="AK763" i="19" s="1"/>
  <c r="L764" i="11"/>
  <c r="M764" i="11" s="1"/>
  <c r="AJ764" i="19" s="1"/>
  <c r="AK764" i="19" s="1"/>
  <c r="L765" i="11"/>
  <c r="M765" i="11" s="1"/>
  <c r="AJ765" i="19" s="1"/>
  <c r="AK765" i="19" s="1"/>
  <c r="L766" i="11"/>
  <c r="M766" i="11" s="1"/>
  <c r="AJ766" i="19" s="1"/>
  <c r="AK766" i="19" s="1"/>
  <c r="L767" i="11"/>
  <c r="M767" i="11" s="1"/>
  <c r="AJ767" i="19" s="1"/>
  <c r="AK767" i="19" s="1"/>
  <c r="L768" i="11"/>
  <c r="M768" i="11" s="1"/>
  <c r="AJ768" i="19" s="1"/>
  <c r="AK768" i="19" s="1"/>
  <c r="L769" i="11"/>
  <c r="M769" i="11" s="1"/>
  <c r="AJ769" i="19" s="1"/>
  <c r="AK769" i="19" s="1"/>
  <c r="L770" i="11"/>
  <c r="M770" i="11" s="1"/>
  <c r="AJ770" i="19" s="1"/>
  <c r="AK770" i="19" s="1"/>
  <c r="L771" i="11"/>
  <c r="M771" i="11" s="1"/>
  <c r="AJ771" i="19" s="1"/>
  <c r="AK771" i="19" s="1"/>
  <c r="L772" i="11"/>
  <c r="M772" i="11" s="1"/>
  <c r="AJ772" i="19" s="1"/>
  <c r="AK772" i="19" s="1"/>
  <c r="L773" i="11"/>
  <c r="M773" i="11" s="1"/>
  <c r="AJ773" i="19" s="1"/>
  <c r="AK773" i="19" s="1"/>
  <c r="L774" i="11"/>
  <c r="M774" i="11" s="1"/>
  <c r="AJ774" i="19" s="1"/>
  <c r="AK774" i="19" s="1"/>
  <c r="L775" i="11"/>
  <c r="M775" i="11" s="1"/>
  <c r="AJ775" i="19" s="1"/>
  <c r="AK775" i="19" s="1"/>
  <c r="L776" i="11"/>
  <c r="M776" i="11" s="1"/>
  <c r="AJ776" i="19" s="1"/>
  <c r="AK776" i="19" s="1"/>
  <c r="L777" i="11"/>
  <c r="M777" i="11" s="1"/>
  <c r="AJ777" i="19" s="1"/>
  <c r="AK777" i="19" s="1"/>
  <c r="L778" i="11"/>
  <c r="M778" i="11" s="1"/>
  <c r="AJ778" i="19" s="1"/>
  <c r="AK778" i="19" s="1"/>
  <c r="L779" i="11"/>
  <c r="M779" i="11" s="1"/>
  <c r="AJ779" i="19" s="1"/>
  <c r="AK779" i="19" s="1"/>
  <c r="L780" i="11"/>
  <c r="M780" i="11" s="1"/>
  <c r="L781" i="11"/>
  <c r="M781" i="11" s="1"/>
  <c r="AJ781" i="19" s="1"/>
  <c r="AK781" i="19" s="1"/>
  <c r="L782" i="11"/>
  <c r="M782" i="11" s="1"/>
  <c r="AJ782" i="19" s="1"/>
  <c r="AK782" i="19" s="1"/>
  <c r="L783" i="11"/>
  <c r="M783" i="11" s="1"/>
  <c r="AJ783" i="19" s="1"/>
  <c r="AK783" i="19" s="1"/>
  <c r="L784" i="11"/>
  <c r="M784" i="11" s="1"/>
  <c r="AJ784" i="19" s="1"/>
  <c r="AK784" i="19" s="1"/>
  <c r="L785" i="11"/>
  <c r="M785" i="11" s="1"/>
  <c r="AJ785" i="19" s="1"/>
  <c r="AK785" i="19" s="1"/>
  <c r="L786" i="11"/>
  <c r="M786" i="11" s="1"/>
  <c r="AJ786" i="19" s="1"/>
  <c r="AK786" i="19" s="1"/>
  <c r="L787" i="11"/>
  <c r="M787" i="11" s="1"/>
  <c r="AJ787" i="19" s="1"/>
  <c r="AK787" i="19" s="1"/>
  <c r="L788" i="11"/>
  <c r="M788" i="11" s="1"/>
  <c r="AJ788" i="19" s="1"/>
  <c r="AK788" i="19" s="1"/>
  <c r="L789" i="11"/>
  <c r="M789" i="11" s="1"/>
  <c r="AJ789" i="19" s="1"/>
  <c r="AK789" i="19" s="1"/>
  <c r="L790" i="11"/>
  <c r="M790" i="11" s="1"/>
  <c r="AJ790" i="19" s="1"/>
  <c r="AK790" i="19" s="1"/>
  <c r="L791" i="11"/>
  <c r="M791" i="11" s="1"/>
  <c r="AJ791" i="19" s="1"/>
  <c r="AK791" i="19" s="1"/>
  <c r="L792" i="11"/>
  <c r="M792" i="11" s="1"/>
  <c r="AJ792" i="19" s="1"/>
  <c r="AK792" i="19" s="1"/>
  <c r="L793" i="11"/>
  <c r="M793" i="11" s="1"/>
  <c r="AJ793" i="19" s="1"/>
  <c r="AK793" i="19" s="1"/>
  <c r="L794" i="11"/>
  <c r="M794" i="11" s="1"/>
  <c r="AJ794" i="19" s="1"/>
  <c r="AK794" i="19" s="1"/>
  <c r="L795" i="11"/>
  <c r="M795" i="11" s="1"/>
  <c r="AJ795" i="19" s="1"/>
  <c r="AK795" i="19" s="1"/>
  <c r="L796" i="11"/>
  <c r="M796" i="11" s="1"/>
  <c r="AJ796" i="19" s="1"/>
  <c r="AK796" i="19" s="1"/>
  <c r="L797" i="11"/>
  <c r="M797" i="11" s="1"/>
  <c r="AJ797" i="19" s="1"/>
  <c r="AK797" i="19" s="1"/>
  <c r="L798" i="11"/>
  <c r="M798" i="11" s="1"/>
  <c r="AJ798" i="19" s="1"/>
  <c r="AK798" i="19" s="1"/>
  <c r="L799" i="11"/>
  <c r="M799" i="11" s="1"/>
  <c r="AJ799" i="19" s="1"/>
  <c r="AK799" i="19" s="1"/>
  <c r="L800" i="11"/>
  <c r="M800" i="11" s="1"/>
  <c r="AJ800" i="19" s="1"/>
  <c r="AK800" i="19" s="1"/>
  <c r="L801" i="11"/>
  <c r="M801" i="11" s="1"/>
  <c r="AJ801" i="19" s="1"/>
  <c r="AK801" i="19" s="1"/>
  <c r="L802" i="11"/>
  <c r="M802" i="11" s="1"/>
  <c r="AJ802" i="19" s="1"/>
  <c r="AK802" i="19" s="1"/>
  <c r="L803" i="11"/>
  <c r="M803" i="11" s="1"/>
  <c r="AJ803" i="19" s="1"/>
  <c r="AK803" i="19" s="1"/>
  <c r="L804" i="11"/>
  <c r="M804" i="11" s="1"/>
  <c r="AJ804" i="19" s="1"/>
  <c r="AK804" i="19" s="1"/>
  <c r="L805" i="11"/>
  <c r="M805" i="11" s="1"/>
  <c r="AJ805" i="19" s="1"/>
  <c r="AK805" i="19" s="1"/>
  <c r="L806" i="11"/>
  <c r="M806" i="11" s="1"/>
  <c r="AJ806" i="19" s="1"/>
  <c r="AK806" i="19" s="1"/>
  <c r="L807" i="11"/>
  <c r="M807" i="11" s="1"/>
  <c r="AJ807" i="19" s="1"/>
  <c r="AK807" i="19" s="1"/>
  <c r="L808" i="11"/>
  <c r="M808" i="11" s="1"/>
  <c r="AJ808" i="19" s="1"/>
  <c r="AK808" i="19" s="1"/>
  <c r="L809" i="11"/>
  <c r="M809" i="11" s="1"/>
  <c r="AJ809" i="19" s="1"/>
  <c r="AK809" i="19" s="1"/>
  <c r="L810" i="11"/>
  <c r="M810" i="11" s="1"/>
  <c r="AJ810" i="19" s="1"/>
  <c r="AK810" i="19" s="1"/>
  <c r="L811" i="11"/>
  <c r="M811" i="11" s="1"/>
  <c r="AJ811" i="19" s="1"/>
  <c r="AK811" i="19" s="1"/>
  <c r="L812" i="11"/>
  <c r="M812" i="11" s="1"/>
  <c r="AJ812" i="19" s="1"/>
  <c r="AK812" i="19" s="1"/>
  <c r="L813" i="11"/>
  <c r="M813" i="11" s="1"/>
  <c r="AJ813" i="19" s="1"/>
  <c r="AK813" i="19" s="1"/>
  <c r="L814" i="11"/>
  <c r="M814" i="11" s="1"/>
  <c r="AJ814" i="19" s="1"/>
  <c r="AK814" i="19" s="1"/>
  <c r="L815" i="11"/>
  <c r="M815" i="11" s="1"/>
  <c r="AJ815" i="19" s="1"/>
  <c r="AK815" i="19" s="1"/>
  <c r="P58" i="11"/>
  <c r="P57" i="11"/>
  <c r="P59" i="11"/>
  <c r="P37" i="11"/>
  <c r="P36" i="11"/>
  <c r="AB820" i="11"/>
  <c r="L820" i="11"/>
  <c r="M820" i="11" s="1"/>
  <c r="AJ820" i="19" s="1"/>
  <c r="AK820" i="19" s="1"/>
  <c r="I821" i="11"/>
  <c r="C39" i="1"/>
  <c r="C40" i="1"/>
  <c r="N15" i="1"/>
  <c r="P33" i="11"/>
  <c r="P35" i="11"/>
  <c r="P34" i="11"/>
  <c r="AB821" i="11" l="1"/>
  <c r="L821" i="11"/>
  <c r="M821" i="11" s="1"/>
  <c r="AJ821" i="19" s="1"/>
  <c r="AK821" i="19" s="1"/>
  <c r="I822" i="11"/>
  <c r="AJ9" i="19"/>
  <c r="AK9" i="19" s="1"/>
  <c r="BA22" i="19" s="1"/>
  <c r="AX22" i="19" s="1"/>
  <c r="AZ22" i="19" s="1"/>
  <c r="P20" i="11"/>
  <c r="H16" i="1" s="1"/>
  <c r="P19" i="11"/>
  <c r="G16" i="1" s="1"/>
  <c r="O15" i="1" s="1"/>
  <c r="AJ780" i="19"/>
  <c r="AK780" i="19" s="1"/>
  <c r="P40" i="11"/>
  <c r="G6" i="15" s="1"/>
  <c r="AJ12" i="19"/>
  <c r="AK12" i="19" s="1"/>
  <c r="P41" i="11"/>
  <c r="L822" i="11" l="1"/>
  <c r="M822" i="11" s="1"/>
  <c r="AJ822" i="19" s="1"/>
  <c r="AK822" i="19" s="1"/>
  <c r="AB82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3" authorId="0" shapeId="0" xr:uid="{00000000-0006-0000-0400-000001000000}">
      <text>
        <r>
          <rPr>
            <sz val="10"/>
            <rFont val="Arial"/>
            <family val="2"/>
          </rPr>
          <t>Sheet2 column C adds 14.0 °C to the GISTEMP anomaly to get absolute °C; this reverses it. NASA uses 14.0 °C as the 1951-1980 global mean estimate.</t>
        </r>
      </text>
    </comment>
    <comment ref="I4" authorId="0" shapeId="0" xr:uid="{00000000-0006-0000-0400-000002000000}">
      <text>
        <r>
          <rPr>
            <sz val="10"/>
            <rFont val="Arial"/>
            <family val="2"/>
          </rPr>
          <t>Conventional preindustrial CO2 concentration (~1750). Only shifts the log axis; does not change the slope or R².</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 authorId="0" shapeId="0" xr:uid="{00000000-0006-0000-0600-000001000000}">
      <text>
        <r>
          <rPr>
            <sz val="10"/>
            <rFont val="Arial"/>
            <family val="2"/>
          </rPr>
          <t>NRLTSI2 monthly mean total solar irradiance (NOAA Climate Data Record, Coddington et al. 2016), downloaded from LASP LISIRD (nrl2_tsi_P1M) on 2026-09-19. Values are hardcoded inputs. Record used through Dec 2023 only; the TSIS-1 instrument record for 2024-26 sits on a different absolute scale (~+1 W/m²) and was not spliced in.</t>
        </r>
      </text>
    </comment>
    <comment ref="O3" authorId="0" shapeId="0" xr:uid="{00000000-0006-0000-0600-000002000000}">
      <text>
        <r>
          <rPr>
            <sz val="10"/>
            <rFont val="Arial"/>
            <family val="2"/>
          </rPr>
          <t>Earth reflects ~30% of incoming sunlight. Radiative forcing from a TSI change = ΔTSI × (1 - albedo) / 4; the /4 spreads the solar-disk flux over the whole sphere.</t>
        </r>
      </text>
    </comment>
    <comment ref="O4" authorId="0" shapeId="0" xr:uid="{00000000-0006-0000-0600-000003000000}">
      <text>
        <r>
          <rPr>
            <sz val="10"/>
            <rFont val="Arial"/>
            <family val="2"/>
          </rPr>
          <t>Myhre et al. (1998) simplified expression: ΔF = 5.35 × ln(C/C0) W/m².</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 authorId="0" shapeId="0" xr:uid="{00000000-0006-0000-0700-000001000000}">
      <text>
        <r>
          <rPr>
            <sz val="10"/>
            <rFont val="Arial"/>
            <family val="2"/>
          </rPr>
          <t>ONI from 3 months earlier. Global temperature lags tropical Pacific SST by roughly a season; the lag test at right shows 3 months maximizes the correlation.</t>
        </r>
      </text>
    </comment>
    <comment ref="F1" authorId="0" shapeId="0" xr:uid="{00000000-0006-0000-0700-000002000000}">
      <text>
        <r>
          <rPr>
            <sz val="10"/>
            <rFont val="Arial"/>
            <family val="2"/>
          </rPr>
          <t>NOAA CPC Oceanic Niño Index (ONI): 3-month running mean of ERSSTv5 Niño 3.4 SST anomalies relative to centered 30-year base periods. Each season (e.g. DJF) is placed at its center month (Jan). Downloaded 2026-09-19 from cpc.ncep.noaa.gov/data/indices/oni.ascii.txt. Available Jul 1958 - Jul 2026. Hardcoded inputs.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 authorId="0" shapeId="0" xr:uid="{00000000-0006-0000-0800-000001000000}">
      <text>
        <r>
          <rPr>
            <sz val="10"/>
            <rFont val="Arial"/>
            <family val="2"/>
          </rPr>
          <t>AOD from 7 months earlier. The lag test at right peaks at 6-8 months, consistent with the ocean mixed layer taking about half a year to respond to a forcing pulse. The first 7 rows are hardcoded from the same source (Aug 1957 - Feb 1958).</t>
        </r>
      </text>
    </comment>
    <comment ref="G1" authorId="0" shapeId="0" xr:uid="{00000000-0006-0000-0800-000002000000}">
      <text>
        <r>
          <rPr>
            <sz val="10"/>
            <rFont val="Arial"/>
            <family val="2"/>
          </rPr>
          <t>Global mean stratospheric aerosol optical depth (550 nm), monthly. Source: ClimateIndicator/forcing-timeseries (Forster et al., Indicators of Global Climate Change), output/volcanic_sAOD_ERF_monthly.csv, downloaded from GitHub 2026-09-19. Built from CMIP7 input4MIPs (1750-2023), GloSSAC v2.23 satellite record, and OMPS-LP for 2025. Hardcoded inputs; blank for 2026 (not yet published).</t>
        </r>
      </text>
    </comment>
    <comment ref="H1" authorId="0" shapeId="0" xr:uid="{00000000-0006-0000-0800-000003000000}">
      <text>
        <r>
          <rPr>
            <sz val="10"/>
            <rFont val="Arial"/>
            <family val="2"/>
          </rPr>
          <t>Volcanic effective radiative forcing from the same file, relative to the 9500 BC - 1749 AD background. Includes the positive stratospheric water-vapour forcing from Hunga Tonga (2022 onward). Not used as a regressor; shown for the forcing comparison.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 authorId="0" shapeId="0" xr:uid="{00000000-0006-0000-0900-000001000000}">
      <text>
        <r>
          <rPr>
            <sz val="10"/>
            <rFont val="Arial"/>
            <family val="2"/>
          </rPr>
          <t>Effective radiative forcing (W/m² relative to 1750), annual, from ClimateIndicator/forcing-timeseries output/ERF_best.csv, 1750-2025 (Forster et al., Indicators of Global Climate Change 2025; the AR6 methodology updated annually). Downloaded from GitHub 2026-09-19; replaces the 1750-2024 vintage after the Sept 2026 review (differences ≤0.01 W/m² in overlapping years). Columns E-J, M, N are hardcoded inputs; "other GHG" is the sum of CH4, N2O and all halogenated species; "other anthro" sums O3, land use, contrails, BC on snow and stratospheric H2O. 2025 values are from the definitive IGCC 2025a release (July 2026).</t>
        </r>
      </text>
    </comment>
    <comment ref="AN1" authorId="0" shapeId="0" xr:uid="{00000000-0006-0000-0900-000003000000}">
      <text>
        <r>
          <rPr>
            <sz val="10"/>
            <rFont val="Arial"/>
            <family val="2"/>
          </rPr>
          <t>Helper copies so that LINEST gets adjacent regressor columns. Do not edit.</t>
        </r>
      </text>
    </comment>
    <comment ref="T3" authorId="0" shapeId="0" xr:uid="{00000000-0006-0000-0900-000002000000}">
      <text>
        <r>
          <rPr>
            <sz val="10"/>
            <rFont val="Arial"/>
            <family val="2"/>
          </rPr>
          <t>AR6 assessed ERF for doubled CO2: 3.93 ± 0.47 W/m². Multiply a °C-per-W/m² slope by F2x to express it as °C per doubling, comparable to the transient climate response (TCR; AR6 best estimate 1.8 °C, likely 1.4-2.2).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P3" authorId="0" shapeId="0" xr:uid="{00000000-0006-0000-0A00-000002000000}">
      <text>
        <r>
          <rPr>
            <sz val="10"/>
            <rFont val="Arial"/>
            <family val="2"/>
          </rPr>
          <t>Leave at 0. Filtering CO2 through a one-box response raises its coefficient monotonically with τ (toward the equilibrium response) without a clear optimum in R²: a 66-year record cannot identify the ocean heat-uptake timescale for a slowly ramping forcing. This is the transient-vs-equilibrium identification problem.</t>
        </r>
      </text>
    </comment>
    <comment ref="P4" authorId="0" shapeId="0" xr:uid="{00000000-0006-0000-0A00-000003000000}">
      <text>
        <r>
          <rPr>
            <sz val="10"/>
            <rFont val="Arial"/>
            <family val="2"/>
          </rPr>
          <t>Grid search: R² peaks at 5-6 months. Represents the time for tropical Pacific heat to spread into the global mean.</t>
        </r>
      </text>
    </comment>
    <comment ref="P5" authorId="0" shapeId="0" xr:uid="{00000000-0006-0000-0A00-000004000000}">
      <text>
        <r>
          <rPr>
            <sz val="10"/>
            <rFont val="Arial"/>
            <family val="2"/>
          </rPr>
          <t>Grid search: R² plateau at 12-15 months. Ocean mixed-layer response time to a forcing pulse.</t>
        </r>
      </text>
    </comment>
    <comment ref="P6" authorId="0" shapeId="0" xr:uid="{00000000-0006-0000-0A00-000005000000}">
      <text>
        <r>
          <rPr>
            <sz val="10"/>
            <rFont val="Arial"/>
            <family val="2"/>
          </rPr>
          <t>R² is insensitive to this value (TSI varies slowly). Set equal to τ_AOD on the argument that the climate system has one mixed-layer response time regardless of which forcing is applied.</t>
        </r>
      </text>
    </comment>
    <comment ref="O62" authorId="0" shapeId="0" xr:uid="{00000000-0006-0000-0A00-000001000000}">
      <text>
        <r>
          <rPr>
            <sz val="10"/>
            <rFont val="Arial"/>
            <family val="2"/>
          </rPr>
          <t>Script: same one-box recursion as columns H:J; τ grid {0,1,2,3,4,6,9,12,18,24,36,48,60} months for ENSO and AOD; OLS of anomaly on log2(CO2), R(ONI), R(AOD). Blocked CV uses 7 contiguous blocks (1958-67, 68-77, 78-87, 88-97, 98-2007, 2008-15, 2016-25); for each block, τ is chosen by maximum training R² on the other six blocks and coefficients are fitted there, then the held-out block is predicted. Pooled R² is computed on the concatenated out-of-fold predictions. Added after the Sept 2026 review (GPT) showed that selecting τ on 1958-95 alone by training R² degrades the 1996-2025 holdout.</t>
        </r>
      </text>
    </comment>
  </commentList>
</comments>
</file>

<file path=xl/sharedStrings.xml><?xml version="1.0" encoding="utf-8"?>
<sst xmlns="http://schemas.openxmlformats.org/spreadsheetml/2006/main" count="5387" uniqueCount="3315">
  <si>
    <t>Global temperature vs CO2, with natural-variability controls</t>
  </si>
  <si>
    <t>NASA GISTEMP v4 monthly anomalies × Mauna Loa CO2, Mar 1958 - Aug 2026, plus solar, ENSO, volcanic and full-forcing datasets. All numbers below are live links to the analysis tabs.</t>
  </si>
  <si>
    <t>Headline results</t>
  </si>
  <si>
    <t>Anthro-ERF regression scaled to F2x, °C per doubling (NOT TCR)</t>
  </si>
  <si>
    <t>Descriptive slope of T on log2(CO2), °C per doubling (NOT a response estimate)</t>
  </si>
  <si>
    <t>Detrended annual r (R² 0.40)</t>
  </si>
  <si>
    <t>Unexplained 2023-2025 residual (°C)</t>
  </si>
  <si>
    <t>Correlation of year-to-year wiggles after removing a linear time trend from both series. Shows the link is not only a shared trend; it does not remove ENSO or identify CO2 separately.</t>
  </si>
  <si>
    <t>How the fit improves as each control is added (monthly data)</t>
  </si>
  <si>
    <t>Model</t>
  </si>
  <si>
    <t>Months</t>
  </si>
  <si>
    <t>CO2, °C per doubling</t>
  </si>
  <si>
    <t>R²</t>
  </si>
  <si>
    <t>R² of previous model, same months</t>
  </si>
  <si>
    <t>Residual σ (°C)</t>
  </si>
  <si>
    <t>Lag-1 autocorr. (monthly)</t>
  </si>
  <si>
    <t>Added control coefficient</t>
  </si>
  <si>
    <t>Lag recovered</t>
  </si>
  <si>
    <t>Tab</t>
  </si>
  <si>
    <t>Residual σ</t>
  </si>
  <si>
    <t>CO2 only</t>
  </si>
  <si>
    <t>Analysis</t>
  </si>
  <si>
    <t>+ ENSO (ONI, lag 3 mo)</t>
  </si>
  <si>
    <t>3 months</t>
  </si>
  <si>
    <t>ENSO</t>
  </si>
  <si>
    <t>+ ENSO</t>
  </si>
  <si>
    <t>+ volcanic AOD (lag 7 mo)</t>
  </si>
  <si>
    <t>6-8 months</t>
  </si>
  <si>
    <t>Volcanic</t>
  </si>
  <si>
    <t>+ volcanic</t>
  </si>
  <si>
    <t>+ solar TSI (through 2023)</t>
  </si>
  <si>
    <t>~11-yr cycle</t>
  </si>
  <si>
    <t>Solar / Volcanic</t>
  </si>
  <si>
    <t>kernels</t>
  </si>
  <si>
    <t>Exponential responses instead of single lags (CO2+ENSO+AOD)</t>
  </si>
  <si>
    <t>τ: ENSO 6 mo, AOD 12 mo</t>
  </si>
  <si>
    <t>Kernel</t>
  </si>
  <si>
    <t>Read each row against the "same months" column, not the row above. The CO2 column is NOT on matched months: the solar row's 2.64 is a window effect (CO2-only on the same 783 months is already 2.640, Volcanic!N31; see Analysis!H18 for end-point sensitivity). Coefficient units: ONI in °C of Niño 3.4 anomaly; AOD unitless (Pinatubo peak ≈ 0.11); TSI in W/m².</t>
  </si>
  <si>
    <t>What each control found</t>
  </si>
  <si>
    <t>Solar (TSI)</t>
  </si>
  <si>
    <t>ENSO (ONI)</t>
  </si>
  <si>
    <t>The dominant short-term noise. Best lag 3 months, ~0.09 °C per unit ONI, both consistent with textbook values (the lag was selected on this record, so this is consistency, not independent recovery). The ONI series used has essentially zero linear trend over the sample (its 30-year base periods are re-centred), so it absorbs none of the CO2 trend here and the CO2 coefficient does not materially move. ONI is not a complete ENSO control (RONI and ERSSTv6 exist; see data note).</t>
  </si>
  <si>
    <t>Volcanic (AOD)</t>
  </si>
  <si>
    <t>Best lag 6-8 months; implied peak cooling Pinatubo -0.25, Agung -0.18, El Chichón -0.13 °C. Transient response to a pulse (~0.13 °C per W/m²) is far below the sustained-forcing response (~0.40), which is why summing forcings of different duration and regressing makes the fit worse.</t>
  </si>
  <si>
    <t>Response kernels</t>
  </si>
  <si>
    <t>Replacing single lags with one-box exponential responses (τ ≈ 6 months for ENSO, 12 for volcanic AOD) improves the fit on identical months (R² 0.898 → 0.904) and leaves the CO2 coefficient at 2.70. τ was chosen on the full record; under blocked 7-fold cross-validation with τ and coefficients chosen out-of-fold, the same τ values are selected in nearly every fold and the pooled out-of-fold R² is 0.887 (CO2-only 0.838), so the specification is not an in-sample artefact, though the ΔR² is modestly optimistic. Filtering CO2 the same way has no R² optimum: the record cannot separate transient from equilibrium response.</t>
  </si>
  <si>
    <t>Full forcing (ERF)</t>
  </si>
  <si>
    <t>What this analysis does and does not show</t>
  </si>
  <si>
    <t>Sources: NASA GISTEMP v4; NOAA GML Mauna Loa CO2; NRLTSI2 (LASP LISIRD); NOAA CPC ONI; ClimateIndicator/forcing-timeseries (Forster et al.) for volcanic AOD and all ERF series. Download dates and provenance are in the header-cell comments on each tab.</t>
  </si>
  <si>
    <t>Year</t>
  </si>
  <si>
    <t>Jan</t>
  </si>
  <si>
    <t>Feb</t>
  </si>
  <si>
    <t>Mar</t>
  </si>
  <si>
    <t>Apr</t>
  </si>
  <si>
    <t>May</t>
  </si>
  <si>
    <t>Jun</t>
  </si>
  <si>
    <t>Jul</t>
  </si>
  <si>
    <t>Aug</t>
  </si>
  <si>
    <t>Sep</t>
  </si>
  <si>
    <t>Oct</t>
  </si>
  <si>
    <t>Nov</t>
  </si>
  <si>
    <t>Dec</t>
  </si>
  <si>
    <t>***</t>
  </si>
  <si>
    <t>Month/Year</t>
  </si>
  <si>
    <t>Monthly Value</t>
  </si>
  <si>
    <t>1/1880</t>
  </si>
  <si>
    <t>2/1880</t>
  </si>
  <si>
    <t>3/1880</t>
  </si>
  <si>
    <t>4/1880</t>
  </si>
  <si>
    <t>5/1880</t>
  </si>
  <si>
    <t>6/1880</t>
  </si>
  <si>
    <t>7/1880</t>
  </si>
  <si>
    <t>8/1880</t>
  </si>
  <si>
    <t>9/1880</t>
  </si>
  <si>
    <t>10/1880</t>
  </si>
  <si>
    <t>11/1880</t>
  </si>
  <si>
    <t>12/1880</t>
  </si>
  <si>
    <t>1/1881</t>
  </si>
  <si>
    <t>2/1881</t>
  </si>
  <si>
    <t>3/1881</t>
  </si>
  <si>
    <t>4/1881</t>
  </si>
  <si>
    <t>5/1881</t>
  </si>
  <si>
    <t>6/1881</t>
  </si>
  <si>
    <t>7/1881</t>
  </si>
  <si>
    <t>8/1881</t>
  </si>
  <si>
    <t>9/1881</t>
  </si>
  <si>
    <t>10/1881</t>
  </si>
  <si>
    <t>11/1881</t>
  </si>
  <si>
    <t>12/1881</t>
  </si>
  <si>
    <t>1/1882</t>
  </si>
  <si>
    <t>2/1882</t>
  </si>
  <si>
    <t>3/1882</t>
  </si>
  <si>
    <t>4/1882</t>
  </si>
  <si>
    <t>5/1882</t>
  </si>
  <si>
    <t>6/1882</t>
  </si>
  <si>
    <t>7/1882</t>
  </si>
  <si>
    <t>8/1882</t>
  </si>
  <si>
    <t>9/1882</t>
  </si>
  <si>
    <t>10/1882</t>
  </si>
  <si>
    <t>11/1882</t>
  </si>
  <si>
    <t>12/1882</t>
  </si>
  <si>
    <t>1/1883</t>
  </si>
  <si>
    <t>2/1883</t>
  </si>
  <si>
    <t>3/1883</t>
  </si>
  <si>
    <t>4/1883</t>
  </si>
  <si>
    <t>5/1883</t>
  </si>
  <si>
    <t>6/1883</t>
  </si>
  <si>
    <t>7/1883</t>
  </si>
  <si>
    <t>8/1883</t>
  </si>
  <si>
    <t>9/1883</t>
  </si>
  <si>
    <t>10/1883</t>
  </si>
  <si>
    <t>11/1883</t>
  </si>
  <si>
    <t>12/1883</t>
  </si>
  <si>
    <t>1/1884</t>
  </si>
  <si>
    <t>2/1884</t>
  </si>
  <si>
    <t>3/1884</t>
  </si>
  <si>
    <t>4/1884</t>
  </si>
  <si>
    <t>5/1884</t>
  </si>
  <si>
    <t>6/1884</t>
  </si>
  <si>
    <t>7/1884</t>
  </si>
  <si>
    <t>8/1884</t>
  </si>
  <si>
    <t>9/1884</t>
  </si>
  <si>
    <t>10/1884</t>
  </si>
  <si>
    <t>11/1884</t>
  </si>
  <si>
    <t>12/1884</t>
  </si>
  <si>
    <t>1/1885</t>
  </si>
  <si>
    <t>2/1885</t>
  </si>
  <si>
    <t>3/1885</t>
  </si>
  <si>
    <t>4/1885</t>
  </si>
  <si>
    <t>5/1885</t>
  </si>
  <si>
    <t>6/1885</t>
  </si>
  <si>
    <t>7/1885</t>
  </si>
  <si>
    <t>8/1885</t>
  </si>
  <si>
    <t>9/1885</t>
  </si>
  <si>
    <t>10/1885</t>
  </si>
  <si>
    <t>11/1885</t>
  </si>
  <si>
    <t>12/1885</t>
  </si>
  <si>
    <t>1/1886</t>
  </si>
  <si>
    <t>2/1886</t>
  </si>
  <si>
    <t>3/1886</t>
  </si>
  <si>
    <t>4/1886</t>
  </si>
  <si>
    <t>5/1886</t>
  </si>
  <si>
    <t>6/1886</t>
  </si>
  <si>
    <t>7/1886</t>
  </si>
  <si>
    <t>8/1886</t>
  </si>
  <si>
    <t>9/1886</t>
  </si>
  <si>
    <t>10/1886</t>
  </si>
  <si>
    <t>11/1886</t>
  </si>
  <si>
    <t>12/1886</t>
  </si>
  <si>
    <t>1/1887</t>
  </si>
  <si>
    <t>2/1887</t>
  </si>
  <si>
    <t>3/1887</t>
  </si>
  <si>
    <t>4/1887</t>
  </si>
  <si>
    <t>5/1887</t>
  </si>
  <si>
    <t>6/1887</t>
  </si>
  <si>
    <t>7/1887</t>
  </si>
  <si>
    <t>8/1887</t>
  </si>
  <si>
    <t>9/1887</t>
  </si>
  <si>
    <t>10/1887</t>
  </si>
  <si>
    <t>11/1887</t>
  </si>
  <si>
    <t>12/1887</t>
  </si>
  <si>
    <t>1/1888</t>
  </si>
  <si>
    <t>2/1888</t>
  </si>
  <si>
    <t>3/1888</t>
  </si>
  <si>
    <t>4/1888</t>
  </si>
  <si>
    <t>5/1888</t>
  </si>
  <si>
    <t>6/1888</t>
  </si>
  <si>
    <t>7/1888</t>
  </si>
  <si>
    <t>8/1888</t>
  </si>
  <si>
    <t>9/1888</t>
  </si>
  <si>
    <t>10/1888</t>
  </si>
  <si>
    <t>11/1888</t>
  </si>
  <si>
    <t>12/1888</t>
  </si>
  <si>
    <t>1/1889</t>
  </si>
  <si>
    <t>2/1889</t>
  </si>
  <si>
    <t>3/1889</t>
  </si>
  <si>
    <t>4/1889</t>
  </si>
  <si>
    <t>5/1889</t>
  </si>
  <si>
    <t>6/1889</t>
  </si>
  <si>
    <t>7/1889</t>
  </si>
  <si>
    <t>8/1889</t>
  </si>
  <si>
    <t>9/1889</t>
  </si>
  <si>
    <t>10/1889</t>
  </si>
  <si>
    <t>11/1889</t>
  </si>
  <si>
    <t>12/1889</t>
  </si>
  <si>
    <t>1/1890</t>
  </si>
  <si>
    <t>2/1890</t>
  </si>
  <si>
    <t>3/1890</t>
  </si>
  <si>
    <t>4/1890</t>
  </si>
  <si>
    <t>5/1890</t>
  </si>
  <si>
    <t>6/1890</t>
  </si>
  <si>
    <t>7/1890</t>
  </si>
  <si>
    <t>8/1890</t>
  </si>
  <si>
    <t>9/1890</t>
  </si>
  <si>
    <t>10/1890</t>
  </si>
  <si>
    <t>11/1890</t>
  </si>
  <si>
    <t>12/1890</t>
  </si>
  <si>
    <t>1/1891</t>
  </si>
  <si>
    <t>2/1891</t>
  </si>
  <si>
    <t>3/1891</t>
  </si>
  <si>
    <t>4/1891</t>
  </si>
  <si>
    <t>5/1891</t>
  </si>
  <si>
    <t>6/1891</t>
  </si>
  <si>
    <t>7/1891</t>
  </si>
  <si>
    <t>8/1891</t>
  </si>
  <si>
    <t>9/1891</t>
  </si>
  <si>
    <t>10/1891</t>
  </si>
  <si>
    <t>11/1891</t>
  </si>
  <si>
    <t>12/1891</t>
  </si>
  <si>
    <t>1/1892</t>
  </si>
  <si>
    <t>2/1892</t>
  </si>
  <si>
    <t>3/1892</t>
  </si>
  <si>
    <t>4/1892</t>
  </si>
  <si>
    <t>5/1892</t>
  </si>
  <si>
    <t>6/1892</t>
  </si>
  <si>
    <t>7/1892</t>
  </si>
  <si>
    <t>8/1892</t>
  </si>
  <si>
    <t>9/1892</t>
  </si>
  <si>
    <t>10/1892</t>
  </si>
  <si>
    <t>11/1892</t>
  </si>
  <si>
    <t>12/1892</t>
  </si>
  <si>
    <t>1/1893</t>
  </si>
  <si>
    <t>2/1893</t>
  </si>
  <si>
    <t>3/1893</t>
  </si>
  <si>
    <t>4/1893</t>
  </si>
  <si>
    <t>5/1893</t>
  </si>
  <si>
    <t>6/1893</t>
  </si>
  <si>
    <t>7/1893</t>
  </si>
  <si>
    <t>8/1893</t>
  </si>
  <si>
    <t>9/1893</t>
  </si>
  <si>
    <t>10/1893</t>
  </si>
  <si>
    <t>11/1893</t>
  </si>
  <si>
    <t>12/1893</t>
  </si>
  <si>
    <t>1/1894</t>
  </si>
  <si>
    <t>2/1894</t>
  </si>
  <si>
    <t>3/1894</t>
  </si>
  <si>
    <t>4/1894</t>
  </si>
  <si>
    <t>5/1894</t>
  </si>
  <si>
    <t>6/1894</t>
  </si>
  <si>
    <t>7/1894</t>
  </si>
  <si>
    <t>8/1894</t>
  </si>
  <si>
    <t>9/1894</t>
  </si>
  <si>
    <t>10/1894</t>
  </si>
  <si>
    <t>11/1894</t>
  </si>
  <si>
    <t>12/1894</t>
  </si>
  <si>
    <t>1/1895</t>
  </si>
  <si>
    <t>2/1895</t>
  </si>
  <si>
    <t>3/1895</t>
  </si>
  <si>
    <t>4/1895</t>
  </si>
  <si>
    <t>5/1895</t>
  </si>
  <si>
    <t>6/1895</t>
  </si>
  <si>
    <t>7/1895</t>
  </si>
  <si>
    <t>8/1895</t>
  </si>
  <si>
    <t>9/1895</t>
  </si>
  <si>
    <t>10/1895</t>
  </si>
  <si>
    <t>11/1895</t>
  </si>
  <si>
    <t>12/1895</t>
  </si>
  <si>
    <t>1/1896</t>
  </si>
  <si>
    <t>2/1896</t>
  </si>
  <si>
    <t>3/1896</t>
  </si>
  <si>
    <t>4/1896</t>
  </si>
  <si>
    <t>5/1896</t>
  </si>
  <si>
    <t>6/1896</t>
  </si>
  <si>
    <t>7/1896</t>
  </si>
  <si>
    <t>8/1896</t>
  </si>
  <si>
    <t>9/1896</t>
  </si>
  <si>
    <t>10/1896</t>
  </si>
  <si>
    <t>11/1896</t>
  </si>
  <si>
    <t>12/1896</t>
  </si>
  <si>
    <t>1/1897</t>
  </si>
  <si>
    <t>2/1897</t>
  </si>
  <si>
    <t>3/1897</t>
  </si>
  <si>
    <t>4/1897</t>
  </si>
  <si>
    <t>5/1897</t>
  </si>
  <si>
    <t>6/1897</t>
  </si>
  <si>
    <t>7/1897</t>
  </si>
  <si>
    <t>8/1897</t>
  </si>
  <si>
    <t>9/1897</t>
  </si>
  <si>
    <t>10/1897</t>
  </si>
  <si>
    <t>11/1897</t>
  </si>
  <si>
    <t>12/1897</t>
  </si>
  <si>
    <t>1/1898</t>
  </si>
  <si>
    <t>2/1898</t>
  </si>
  <si>
    <t>3/1898</t>
  </si>
  <si>
    <t>4/1898</t>
  </si>
  <si>
    <t>5/1898</t>
  </si>
  <si>
    <t>6/1898</t>
  </si>
  <si>
    <t>7/1898</t>
  </si>
  <si>
    <t>8/1898</t>
  </si>
  <si>
    <t>9/1898</t>
  </si>
  <si>
    <t>10/1898</t>
  </si>
  <si>
    <t>11/1898</t>
  </si>
  <si>
    <t>12/1898</t>
  </si>
  <si>
    <t>1/1899</t>
  </si>
  <si>
    <t>2/1899</t>
  </si>
  <si>
    <t>3/1899</t>
  </si>
  <si>
    <t>4/1899</t>
  </si>
  <si>
    <t>5/1899</t>
  </si>
  <si>
    <t>6/1899</t>
  </si>
  <si>
    <t>7/1899</t>
  </si>
  <si>
    <t>8/1899</t>
  </si>
  <si>
    <t>9/1899</t>
  </si>
  <si>
    <t>10/1899</t>
  </si>
  <si>
    <t>11/1899</t>
  </si>
  <si>
    <t>12/1899</t>
  </si>
  <si>
    <t>1/1900</t>
  </si>
  <si>
    <t>2/1900</t>
  </si>
  <si>
    <t>3/1900</t>
  </si>
  <si>
    <t>4/1900</t>
  </si>
  <si>
    <t>5/1900</t>
  </si>
  <si>
    <t>6/1900</t>
  </si>
  <si>
    <t>7/1900</t>
  </si>
  <si>
    <t>8/1900</t>
  </si>
  <si>
    <t>9/1900</t>
  </si>
  <si>
    <t>10/1900</t>
  </si>
  <si>
    <t>11/1900</t>
  </si>
  <si>
    <t>12/1900</t>
  </si>
  <si>
    <t>1/1901</t>
  </si>
  <si>
    <t>2/1901</t>
  </si>
  <si>
    <t>3/1901</t>
  </si>
  <si>
    <t>4/1901</t>
  </si>
  <si>
    <t>5/1901</t>
  </si>
  <si>
    <t>6/1901</t>
  </si>
  <si>
    <t>7/1901</t>
  </si>
  <si>
    <t>8/1901</t>
  </si>
  <si>
    <t>9/1901</t>
  </si>
  <si>
    <t>10/1901</t>
  </si>
  <si>
    <t>11/1901</t>
  </si>
  <si>
    <t>12/1901</t>
  </si>
  <si>
    <t>1/1902</t>
  </si>
  <si>
    <t>2/1902</t>
  </si>
  <si>
    <t>3/1902</t>
  </si>
  <si>
    <t>4/1902</t>
  </si>
  <si>
    <t>5/1902</t>
  </si>
  <si>
    <t>6/1902</t>
  </si>
  <si>
    <t>7/1902</t>
  </si>
  <si>
    <t>8/1902</t>
  </si>
  <si>
    <t>9/1902</t>
  </si>
  <si>
    <t>10/1902</t>
  </si>
  <si>
    <t>11/1902</t>
  </si>
  <si>
    <t>12/1902</t>
  </si>
  <si>
    <t>1/1903</t>
  </si>
  <si>
    <t>2/1903</t>
  </si>
  <si>
    <t>3/1903</t>
  </si>
  <si>
    <t>4/1903</t>
  </si>
  <si>
    <t>5/1903</t>
  </si>
  <si>
    <t>6/1903</t>
  </si>
  <si>
    <t>7/1903</t>
  </si>
  <si>
    <t>8/1903</t>
  </si>
  <si>
    <t>9/1903</t>
  </si>
  <si>
    <t>10/1903</t>
  </si>
  <si>
    <t>11/1903</t>
  </si>
  <si>
    <t>12/1903</t>
  </si>
  <si>
    <t>1/1904</t>
  </si>
  <si>
    <t>2/1904</t>
  </si>
  <si>
    <t>3/1904</t>
  </si>
  <si>
    <t>4/1904</t>
  </si>
  <si>
    <t>5/1904</t>
  </si>
  <si>
    <t>6/1904</t>
  </si>
  <si>
    <t>7/1904</t>
  </si>
  <si>
    <t>8/1904</t>
  </si>
  <si>
    <t>9/1904</t>
  </si>
  <si>
    <t>10/1904</t>
  </si>
  <si>
    <t>11/1904</t>
  </si>
  <si>
    <t>12/1904</t>
  </si>
  <si>
    <t>1/1905</t>
  </si>
  <si>
    <t>2/1905</t>
  </si>
  <si>
    <t>3/1905</t>
  </si>
  <si>
    <t>4/1905</t>
  </si>
  <si>
    <t>5/1905</t>
  </si>
  <si>
    <t>6/1905</t>
  </si>
  <si>
    <t>7/1905</t>
  </si>
  <si>
    <t>8/1905</t>
  </si>
  <si>
    <t>9/1905</t>
  </si>
  <si>
    <t>10/1905</t>
  </si>
  <si>
    <t>11/1905</t>
  </si>
  <si>
    <t>12/1905</t>
  </si>
  <si>
    <t>1/1906</t>
  </si>
  <si>
    <t>2/1906</t>
  </si>
  <si>
    <t>3/1906</t>
  </si>
  <si>
    <t>4/1906</t>
  </si>
  <si>
    <t>5/1906</t>
  </si>
  <si>
    <t>6/1906</t>
  </si>
  <si>
    <t>7/1906</t>
  </si>
  <si>
    <t>8/1906</t>
  </si>
  <si>
    <t>9/1906</t>
  </si>
  <si>
    <t>10/1906</t>
  </si>
  <si>
    <t>11/1906</t>
  </si>
  <si>
    <t>12/1906</t>
  </si>
  <si>
    <t>1/1907</t>
  </si>
  <si>
    <t>2/1907</t>
  </si>
  <si>
    <t>3/1907</t>
  </si>
  <si>
    <t>4/1907</t>
  </si>
  <si>
    <t>5/1907</t>
  </si>
  <si>
    <t>6/1907</t>
  </si>
  <si>
    <t>7/1907</t>
  </si>
  <si>
    <t>8/1907</t>
  </si>
  <si>
    <t>9/1907</t>
  </si>
  <si>
    <t>10/1907</t>
  </si>
  <si>
    <t>11/1907</t>
  </si>
  <si>
    <t>12/1907</t>
  </si>
  <si>
    <t>1/1908</t>
  </si>
  <si>
    <t>2/1908</t>
  </si>
  <si>
    <t>3/1908</t>
  </si>
  <si>
    <t>4/1908</t>
  </si>
  <si>
    <t>5/1908</t>
  </si>
  <si>
    <t>6/1908</t>
  </si>
  <si>
    <t>7/1908</t>
  </si>
  <si>
    <t>8/1908</t>
  </si>
  <si>
    <t>9/1908</t>
  </si>
  <si>
    <t>10/1908</t>
  </si>
  <si>
    <t>11/1908</t>
  </si>
  <si>
    <t>12/1908</t>
  </si>
  <si>
    <t>1/1909</t>
  </si>
  <si>
    <t>2/1909</t>
  </si>
  <si>
    <t>3/1909</t>
  </si>
  <si>
    <t>4/1909</t>
  </si>
  <si>
    <t>5/1909</t>
  </si>
  <si>
    <t>6/1909</t>
  </si>
  <si>
    <t>7/1909</t>
  </si>
  <si>
    <t>8/1909</t>
  </si>
  <si>
    <t>9/1909</t>
  </si>
  <si>
    <t>10/1909</t>
  </si>
  <si>
    <t>11/1909</t>
  </si>
  <si>
    <t>12/1909</t>
  </si>
  <si>
    <t>1/1910</t>
  </si>
  <si>
    <t>2/1910</t>
  </si>
  <si>
    <t>3/1910</t>
  </si>
  <si>
    <t>4/1910</t>
  </si>
  <si>
    <t>5/1910</t>
  </si>
  <si>
    <t>6/1910</t>
  </si>
  <si>
    <t>7/1910</t>
  </si>
  <si>
    <t>8/1910</t>
  </si>
  <si>
    <t>9/1910</t>
  </si>
  <si>
    <t>10/1910</t>
  </si>
  <si>
    <t>11/1910</t>
  </si>
  <si>
    <t>12/1910</t>
  </si>
  <si>
    <t>1/1911</t>
  </si>
  <si>
    <t>2/1911</t>
  </si>
  <si>
    <t>3/1911</t>
  </si>
  <si>
    <t>4/1911</t>
  </si>
  <si>
    <t>5/1911</t>
  </si>
  <si>
    <t>6/1911</t>
  </si>
  <si>
    <t>7/1911</t>
  </si>
  <si>
    <t>8/1911</t>
  </si>
  <si>
    <t>9/1911</t>
  </si>
  <si>
    <t>10/1911</t>
  </si>
  <si>
    <t>11/1911</t>
  </si>
  <si>
    <t>12/1911</t>
  </si>
  <si>
    <t>1/1912</t>
  </si>
  <si>
    <t>2/1912</t>
  </si>
  <si>
    <t>3/1912</t>
  </si>
  <si>
    <t>4/1912</t>
  </si>
  <si>
    <t>5/1912</t>
  </si>
  <si>
    <t>6/1912</t>
  </si>
  <si>
    <t>7/1912</t>
  </si>
  <si>
    <t>8/1912</t>
  </si>
  <si>
    <t>9/1912</t>
  </si>
  <si>
    <t>10/1912</t>
  </si>
  <si>
    <t>11/1912</t>
  </si>
  <si>
    <t>12/1912</t>
  </si>
  <si>
    <t>1/1913</t>
  </si>
  <si>
    <t>2/1913</t>
  </si>
  <si>
    <t>3/1913</t>
  </si>
  <si>
    <t>4/1913</t>
  </si>
  <si>
    <t>5/1913</t>
  </si>
  <si>
    <t>6/1913</t>
  </si>
  <si>
    <t>7/1913</t>
  </si>
  <si>
    <t>8/1913</t>
  </si>
  <si>
    <t>9/1913</t>
  </si>
  <si>
    <t>10/1913</t>
  </si>
  <si>
    <t>11/1913</t>
  </si>
  <si>
    <t>12/1913</t>
  </si>
  <si>
    <t>1/1914</t>
  </si>
  <si>
    <t>2/1914</t>
  </si>
  <si>
    <t>3/1914</t>
  </si>
  <si>
    <t>4/1914</t>
  </si>
  <si>
    <t>5/1914</t>
  </si>
  <si>
    <t>6/1914</t>
  </si>
  <si>
    <t>7/1914</t>
  </si>
  <si>
    <t>8/1914</t>
  </si>
  <si>
    <t>9/1914</t>
  </si>
  <si>
    <t>10/1914</t>
  </si>
  <si>
    <t>11/1914</t>
  </si>
  <si>
    <t>12/1914</t>
  </si>
  <si>
    <t>1/1915</t>
  </si>
  <si>
    <t>2/1915</t>
  </si>
  <si>
    <t>3/1915</t>
  </si>
  <si>
    <t>4/1915</t>
  </si>
  <si>
    <t>5/1915</t>
  </si>
  <si>
    <t>6/1915</t>
  </si>
  <si>
    <t>7/1915</t>
  </si>
  <si>
    <t>8/1915</t>
  </si>
  <si>
    <t>9/1915</t>
  </si>
  <si>
    <t>10/1915</t>
  </si>
  <si>
    <t>11/1915</t>
  </si>
  <si>
    <t>12/1915</t>
  </si>
  <si>
    <t>1/1916</t>
  </si>
  <si>
    <t>2/1916</t>
  </si>
  <si>
    <t>3/1916</t>
  </si>
  <si>
    <t>4/1916</t>
  </si>
  <si>
    <t>5/1916</t>
  </si>
  <si>
    <t>6/1916</t>
  </si>
  <si>
    <t>7/1916</t>
  </si>
  <si>
    <t>8/1916</t>
  </si>
  <si>
    <t>9/1916</t>
  </si>
  <si>
    <t>10/1916</t>
  </si>
  <si>
    <t>11/1916</t>
  </si>
  <si>
    <t>12/1916</t>
  </si>
  <si>
    <t>1/1917</t>
  </si>
  <si>
    <t>2/1917</t>
  </si>
  <si>
    <t>3/1917</t>
  </si>
  <si>
    <t>4/1917</t>
  </si>
  <si>
    <t>5/1917</t>
  </si>
  <si>
    <t>6/1917</t>
  </si>
  <si>
    <t>7/1917</t>
  </si>
  <si>
    <t>8/1917</t>
  </si>
  <si>
    <t>9/1917</t>
  </si>
  <si>
    <t>10/1917</t>
  </si>
  <si>
    <t>11/1917</t>
  </si>
  <si>
    <t>12/1917</t>
  </si>
  <si>
    <t>1/1918</t>
  </si>
  <si>
    <t>2/1918</t>
  </si>
  <si>
    <t>3/1918</t>
  </si>
  <si>
    <t>4/1918</t>
  </si>
  <si>
    <t>5/1918</t>
  </si>
  <si>
    <t>6/1918</t>
  </si>
  <si>
    <t>7/1918</t>
  </si>
  <si>
    <t>8/1918</t>
  </si>
  <si>
    <t>9/1918</t>
  </si>
  <si>
    <t>10/1918</t>
  </si>
  <si>
    <t>11/1918</t>
  </si>
  <si>
    <t>12/1918</t>
  </si>
  <si>
    <t>1/1919</t>
  </si>
  <si>
    <t>2/1919</t>
  </si>
  <si>
    <t>3/1919</t>
  </si>
  <si>
    <t>4/1919</t>
  </si>
  <si>
    <t>5/1919</t>
  </si>
  <si>
    <t>6/1919</t>
  </si>
  <si>
    <t>7/1919</t>
  </si>
  <si>
    <t>8/1919</t>
  </si>
  <si>
    <t>9/1919</t>
  </si>
  <si>
    <t>10/1919</t>
  </si>
  <si>
    <t>11/1919</t>
  </si>
  <si>
    <t>12/1919</t>
  </si>
  <si>
    <t>1/1920</t>
  </si>
  <si>
    <t>2/1920</t>
  </si>
  <si>
    <t>3/1920</t>
  </si>
  <si>
    <t>4/1920</t>
  </si>
  <si>
    <t>5/1920</t>
  </si>
  <si>
    <t>6/1920</t>
  </si>
  <si>
    <t>7/1920</t>
  </si>
  <si>
    <t>8/1920</t>
  </si>
  <si>
    <t>9/1920</t>
  </si>
  <si>
    <t>10/1920</t>
  </si>
  <si>
    <t>11/1920</t>
  </si>
  <si>
    <t>12/1920</t>
  </si>
  <si>
    <t>1/1921</t>
  </si>
  <si>
    <t>2/1921</t>
  </si>
  <si>
    <t>3/1921</t>
  </si>
  <si>
    <t>4/1921</t>
  </si>
  <si>
    <t>5/1921</t>
  </si>
  <si>
    <t>6/1921</t>
  </si>
  <si>
    <t>7/1921</t>
  </si>
  <si>
    <t>8/1921</t>
  </si>
  <si>
    <t>9/1921</t>
  </si>
  <si>
    <t>10/1921</t>
  </si>
  <si>
    <t>11/1921</t>
  </si>
  <si>
    <t>12/1921</t>
  </si>
  <si>
    <t>1/1922</t>
  </si>
  <si>
    <t>2/1922</t>
  </si>
  <si>
    <t>3/1922</t>
  </si>
  <si>
    <t>4/1922</t>
  </si>
  <si>
    <t>5/1922</t>
  </si>
  <si>
    <t>6/1922</t>
  </si>
  <si>
    <t>7/1922</t>
  </si>
  <si>
    <t>8/1922</t>
  </si>
  <si>
    <t>9/1922</t>
  </si>
  <si>
    <t>10/1922</t>
  </si>
  <si>
    <t>11/1922</t>
  </si>
  <si>
    <t>12/1922</t>
  </si>
  <si>
    <t>1/1923</t>
  </si>
  <si>
    <t>2/1923</t>
  </si>
  <si>
    <t>3/1923</t>
  </si>
  <si>
    <t>4/1923</t>
  </si>
  <si>
    <t>5/1923</t>
  </si>
  <si>
    <t>6/1923</t>
  </si>
  <si>
    <t>7/1923</t>
  </si>
  <si>
    <t>8/1923</t>
  </si>
  <si>
    <t>9/1923</t>
  </si>
  <si>
    <t>10/1923</t>
  </si>
  <si>
    <t>11/1923</t>
  </si>
  <si>
    <t>12/1923</t>
  </si>
  <si>
    <t>1/1924</t>
  </si>
  <si>
    <t>2/1924</t>
  </si>
  <si>
    <t>3/1924</t>
  </si>
  <si>
    <t>4/1924</t>
  </si>
  <si>
    <t>5/1924</t>
  </si>
  <si>
    <t>6/1924</t>
  </si>
  <si>
    <t>7/1924</t>
  </si>
  <si>
    <t>8/1924</t>
  </si>
  <si>
    <t>9/1924</t>
  </si>
  <si>
    <t>10/1924</t>
  </si>
  <si>
    <t>11/1924</t>
  </si>
  <si>
    <t>12/1924</t>
  </si>
  <si>
    <t>1/1925</t>
  </si>
  <si>
    <t>2/1925</t>
  </si>
  <si>
    <t>3/1925</t>
  </si>
  <si>
    <t>4/1925</t>
  </si>
  <si>
    <t>5/1925</t>
  </si>
  <si>
    <t>6/1925</t>
  </si>
  <si>
    <t>7/1925</t>
  </si>
  <si>
    <t>8/1925</t>
  </si>
  <si>
    <t>9/1925</t>
  </si>
  <si>
    <t>10/1925</t>
  </si>
  <si>
    <t>11/1925</t>
  </si>
  <si>
    <t>12/1925</t>
  </si>
  <si>
    <t>1/1926</t>
  </si>
  <si>
    <t>2/1926</t>
  </si>
  <si>
    <t>3/1926</t>
  </si>
  <si>
    <t>4/1926</t>
  </si>
  <si>
    <t>5/1926</t>
  </si>
  <si>
    <t>6/1926</t>
  </si>
  <si>
    <t>7/1926</t>
  </si>
  <si>
    <t>8/1926</t>
  </si>
  <si>
    <t>9/1926</t>
  </si>
  <si>
    <t>10/1926</t>
  </si>
  <si>
    <t>11/1926</t>
  </si>
  <si>
    <t>12/1926</t>
  </si>
  <si>
    <t>1/1927</t>
  </si>
  <si>
    <t>2/1927</t>
  </si>
  <si>
    <t>3/1927</t>
  </si>
  <si>
    <t>4/1927</t>
  </si>
  <si>
    <t>5/1927</t>
  </si>
  <si>
    <t>6/1927</t>
  </si>
  <si>
    <t>7/1927</t>
  </si>
  <si>
    <t>8/1927</t>
  </si>
  <si>
    <t>9/1927</t>
  </si>
  <si>
    <t>10/1927</t>
  </si>
  <si>
    <t>11/1927</t>
  </si>
  <si>
    <t>12/1927</t>
  </si>
  <si>
    <t>1/1928</t>
  </si>
  <si>
    <t>2/1928</t>
  </si>
  <si>
    <t>3/1928</t>
  </si>
  <si>
    <t>4/1928</t>
  </si>
  <si>
    <t>5/1928</t>
  </si>
  <si>
    <t>6/1928</t>
  </si>
  <si>
    <t>7/1928</t>
  </si>
  <si>
    <t>8/1928</t>
  </si>
  <si>
    <t>9/1928</t>
  </si>
  <si>
    <t>10/1928</t>
  </si>
  <si>
    <t>11/1928</t>
  </si>
  <si>
    <t>12/1928</t>
  </si>
  <si>
    <t>1/1929</t>
  </si>
  <si>
    <t>2/1929</t>
  </si>
  <si>
    <t>3/1929</t>
  </si>
  <si>
    <t>4/1929</t>
  </si>
  <si>
    <t>5/1929</t>
  </si>
  <si>
    <t>6/1929</t>
  </si>
  <si>
    <t>7/1929</t>
  </si>
  <si>
    <t>8/1929</t>
  </si>
  <si>
    <t>9/1929</t>
  </si>
  <si>
    <t>10/1929</t>
  </si>
  <si>
    <t>11/1929</t>
  </si>
  <si>
    <t>12/1929</t>
  </si>
  <si>
    <t>1/1930</t>
  </si>
  <si>
    <t>2/1930</t>
  </si>
  <si>
    <t>3/1930</t>
  </si>
  <si>
    <t>4/1930</t>
  </si>
  <si>
    <t>5/1930</t>
  </si>
  <si>
    <t>6/1930</t>
  </si>
  <si>
    <t>7/1930</t>
  </si>
  <si>
    <t>8/1930</t>
  </si>
  <si>
    <t>9/1930</t>
  </si>
  <si>
    <t>10/1930</t>
  </si>
  <si>
    <t>11/1930</t>
  </si>
  <si>
    <t>12/1930</t>
  </si>
  <si>
    <t>1/1931</t>
  </si>
  <si>
    <t>2/1931</t>
  </si>
  <si>
    <t>3/1931</t>
  </si>
  <si>
    <t>4/1931</t>
  </si>
  <si>
    <t>5/1931</t>
  </si>
  <si>
    <t>6/1931</t>
  </si>
  <si>
    <t>7/1931</t>
  </si>
  <si>
    <t>8/1931</t>
  </si>
  <si>
    <t>9/1931</t>
  </si>
  <si>
    <t>10/1931</t>
  </si>
  <si>
    <t>11/1931</t>
  </si>
  <si>
    <t>12/1931</t>
  </si>
  <si>
    <t>1/1932</t>
  </si>
  <si>
    <t>2/1932</t>
  </si>
  <si>
    <t>3/1932</t>
  </si>
  <si>
    <t>4/1932</t>
  </si>
  <si>
    <t>5/1932</t>
  </si>
  <si>
    <t>6/1932</t>
  </si>
  <si>
    <t>7/1932</t>
  </si>
  <si>
    <t>8/1932</t>
  </si>
  <si>
    <t>9/1932</t>
  </si>
  <si>
    <t>10/1932</t>
  </si>
  <si>
    <t>11/1932</t>
  </si>
  <si>
    <t>12/1932</t>
  </si>
  <si>
    <t>1/1933</t>
  </si>
  <si>
    <t>2/1933</t>
  </si>
  <si>
    <t>3/1933</t>
  </si>
  <si>
    <t>4/1933</t>
  </si>
  <si>
    <t>5/1933</t>
  </si>
  <si>
    <t>6/1933</t>
  </si>
  <si>
    <t>7/1933</t>
  </si>
  <si>
    <t>8/1933</t>
  </si>
  <si>
    <t>9/1933</t>
  </si>
  <si>
    <t>10/1933</t>
  </si>
  <si>
    <t>11/1933</t>
  </si>
  <si>
    <t>12/1933</t>
  </si>
  <si>
    <t>1/1934</t>
  </si>
  <si>
    <t>2/1934</t>
  </si>
  <si>
    <t>3/1934</t>
  </si>
  <si>
    <t>4/1934</t>
  </si>
  <si>
    <t>5/1934</t>
  </si>
  <si>
    <t>6/1934</t>
  </si>
  <si>
    <t>7/1934</t>
  </si>
  <si>
    <t>8/1934</t>
  </si>
  <si>
    <t>9/1934</t>
  </si>
  <si>
    <t>10/1934</t>
  </si>
  <si>
    <t>11/1934</t>
  </si>
  <si>
    <t>12/1934</t>
  </si>
  <si>
    <t>1/1935</t>
  </si>
  <si>
    <t>2/1935</t>
  </si>
  <si>
    <t>3/1935</t>
  </si>
  <si>
    <t>4/1935</t>
  </si>
  <si>
    <t>5/1935</t>
  </si>
  <si>
    <t>6/1935</t>
  </si>
  <si>
    <t>7/1935</t>
  </si>
  <si>
    <t>8/1935</t>
  </si>
  <si>
    <t>9/1935</t>
  </si>
  <si>
    <t>10/1935</t>
  </si>
  <si>
    <t>11/1935</t>
  </si>
  <si>
    <t>12/1935</t>
  </si>
  <si>
    <t>1/1936</t>
  </si>
  <si>
    <t>2/1936</t>
  </si>
  <si>
    <t>3/1936</t>
  </si>
  <si>
    <t>4/1936</t>
  </si>
  <si>
    <t>5/1936</t>
  </si>
  <si>
    <t>6/1936</t>
  </si>
  <si>
    <t>7/1936</t>
  </si>
  <si>
    <t>8/1936</t>
  </si>
  <si>
    <t>9/1936</t>
  </si>
  <si>
    <t>10/1936</t>
  </si>
  <si>
    <t>11/1936</t>
  </si>
  <si>
    <t>12/1936</t>
  </si>
  <si>
    <t>1/1937</t>
  </si>
  <si>
    <t>2/1937</t>
  </si>
  <si>
    <t>3/1937</t>
  </si>
  <si>
    <t>4/1937</t>
  </si>
  <si>
    <t>5/1937</t>
  </si>
  <si>
    <t>6/1937</t>
  </si>
  <si>
    <t>7/1937</t>
  </si>
  <si>
    <t>8/1937</t>
  </si>
  <si>
    <t>9/1937</t>
  </si>
  <si>
    <t>10/1937</t>
  </si>
  <si>
    <t>11/1937</t>
  </si>
  <si>
    <t>12/1937</t>
  </si>
  <si>
    <t>1/1938</t>
  </si>
  <si>
    <t>2/1938</t>
  </si>
  <si>
    <t>3/1938</t>
  </si>
  <si>
    <t>4/1938</t>
  </si>
  <si>
    <t>5/1938</t>
  </si>
  <si>
    <t>6/1938</t>
  </si>
  <si>
    <t>7/1938</t>
  </si>
  <si>
    <t>8/1938</t>
  </si>
  <si>
    <t>9/1938</t>
  </si>
  <si>
    <t>10/1938</t>
  </si>
  <si>
    <t>11/1938</t>
  </si>
  <si>
    <t>12/1938</t>
  </si>
  <si>
    <t>1/1939</t>
  </si>
  <si>
    <t>2/1939</t>
  </si>
  <si>
    <t>3/1939</t>
  </si>
  <si>
    <t>4/1939</t>
  </si>
  <si>
    <t>5/1939</t>
  </si>
  <si>
    <t>6/1939</t>
  </si>
  <si>
    <t>7/1939</t>
  </si>
  <si>
    <t>8/1939</t>
  </si>
  <si>
    <t>9/1939</t>
  </si>
  <si>
    <t>10/1939</t>
  </si>
  <si>
    <t>11/1939</t>
  </si>
  <si>
    <t>12/1939</t>
  </si>
  <si>
    <t>1/1940</t>
  </si>
  <si>
    <t>2/1940</t>
  </si>
  <si>
    <t>3/1940</t>
  </si>
  <si>
    <t>4/1940</t>
  </si>
  <si>
    <t>5/1940</t>
  </si>
  <si>
    <t>6/1940</t>
  </si>
  <si>
    <t>7/1940</t>
  </si>
  <si>
    <t>8/1940</t>
  </si>
  <si>
    <t>9/1940</t>
  </si>
  <si>
    <t>10/1940</t>
  </si>
  <si>
    <t>11/1940</t>
  </si>
  <si>
    <t>12/1940</t>
  </si>
  <si>
    <t>1/1941</t>
  </si>
  <si>
    <t>2/1941</t>
  </si>
  <si>
    <t>3/1941</t>
  </si>
  <si>
    <t>4/1941</t>
  </si>
  <si>
    <t>5/1941</t>
  </si>
  <si>
    <t>6/1941</t>
  </si>
  <si>
    <t>7/1941</t>
  </si>
  <si>
    <t>8/1941</t>
  </si>
  <si>
    <t>9/1941</t>
  </si>
  <si>
    <t>10/1941</t>
  </si>
  <si>
    <t>11/1941</t>
  </si>
  <si>
    <t>12/1941</t>
  </si>
  <si>
    <t>1/1942</t>
  </si>
  <si>
    <t>2/1942</t>
  </si>
  <si>
    <t>3/1942</t>
  </si>
  <si>
    <t>4/1942</t>
  </si>
  <si>
    <t>5/1942</t>
  </si>
  <si>
    <t>6/1942</t>
  </si>
  <si>
    <t>7/1942</t>
  </si>
  <si>
    <t>8/1942</t>
  </si>
  <si>
    <t>9/1942</t>
  </si>
  <si>
    <t>10/1942</t>
  </si>
  <si>
    <t>11/1942</t>
  </si>
  <si>
    <t>12/1942</t>
  </si>
  <si>
    <t>1/1943</t>
  </si>
  <si>
    <t>2/1943</t>
  </si>
  <si>
    <t>3/1943</t>
  </si>
  <si>
    <t>4/1943</t>
  </si>
  <si>
    <t>5/1943</t>
  </si>
  <si>
    <t>6/1943</t>
  </si>
  <si>
    <t>7/1943</t>
  </si>
  <si>
    <t>8/1943</t>
  </si>
  <si>
    <t>9/1943</t>
  </si>
  <si>
    <t>10/1943</t>
  </si>
  <si>
    <t>11/1943</t>
  </si>
  <si>
    <t>12/1943</t>
  </si>
  <si>
    <t>1/1944</t>
  </si>
  <si>
    <t>2/1944</t>
  </si>
  <si>
    <t>3/1944</t>
  </si>
  <si>
    <t>4/1944</t>
  </si>
  <si>
    <t>5/1944</t>
  </si>
  <si>
    <t>6/1944</t>
  </si>
  <si>
    <t>7/1944</t>
  </si>
  <si>
    <t>8/1944</t>
  </si>
  <si>
    <t>9/1944</t>
  </si>
  <si>
    <t>10/1944</t>
  </si>
  <si>
    <t>11/1944</t>
  </si>
  <si>
    <t>12/1944</t>
  </si>
  <si>
    <t>1/1945</t>
  </si>
  <si>
    <t>2/1945</t>
  </si>
  <si>
    <t>3/1945</t>
  </si>
  <si>
    <t>4/1945</t>
  </si>
  <si>
    <t>5/1945</t>
  </si>
  <si>
    <t>6/1945</t>
  </si>
  <si>
    <t>7/1945</t>
  </si>
  <si>
    <t>8/1945</t>
  </si>
  <si>
    <t>9/1945</t>
  </si>
  <si>
    <t>10/1945</t>
  </si>
  <si>
    <t>11/1945</t>
  </si>
  <si>
    <t>12/1945</t>
  </si>
  <si>
    <t>1/1946</t>
  </si>
  <si>
    <t>2/1946</t>
  </si>
  <si>
    <t>3/1946</t>
  </si>
  <si>
    <t>4/1946</t>
  </si>
  <si>
    <t>5/1946</t>
  </si>
  <si>
    <t>6/1946</t>
  </si>
  <si>
    <t>7/1946</t>
  </si>
  <si>
    <t>8/1946</t>
  </si>
  <si>
    <t>9/1946</t>
  </si>
  <si>
    <t>10/1946</t>
  </si>
  <si>
    <t>11/1946</t>
  </si>
  <si>
    <t>12/1946</t>
  </si>
  <si>
    <t>1/1947</t>
  </si>
  <si>
    <t>2/1947</t>
  </si>
  <si>
    <t>3/1947</t>
  </si>
  <si>
    <t>4/1947</t>
  </si>
  <si>
    <t>5/1947</t>
  </si>
  <si>
    <t>6/1947</t>
  </si>
  <si>
    <t>7/1947</t>
  </si>
  <si>
    <t>8/1947</t>
  </si>
  <si>
    <t>9/1947</t>
  </si>
  <si>
    <t>10/1947</t>
  </si>
  <si>
    <t>11/1947</t>
  </si>
  <si>
    <t>12/1947</t>
  </si>
  <si>
    <t>1/1948</t>
  </si>
  <si>
    <t>2/1948</t>
  </si>
  <si>
    <t>3/1948</t>
  </si>
  <si>
    <t>4/1948</t>
  </si>
  <si>
    <t>5/1948</t>
  </si>
  <si>
    <t>6/1948</t>
  </si>
  <si>
    <t>7/1948</t>
  </si>
  <si>
    <t>8/1948</t>
  </si>
  <si>
    <t>9/1948</t>
  </si>
  <si>
    <t>10/1948</t>
  </si>
  <si>
    <t>11/1948</t>
  </si>
  <si>
    <t>12/1948</t>
  </si>
  <si>
    <t>1/1949</t>
  </si>
  <si>
    <t>2/1949</t>
  </si>
  <si>
    <t>3/1949</t>
  </si>
  <si>
    <t>4/1949</t>
  </si>
  <si>
    <t>5/1949</t>
  </si>
  <si>
    <t>6/1949</t>
  </si>
  <si>
    <t>7/1949</t>
  </si>
  <si>
    <t>8/1949</t>
  </si>
  <si>
    <t>9/1949</t>
  </si>
  <si>
    <t>10/1949</t>
  </si>
  <si>
    <t>11/1949</t>
  </si>
  <si>
    <t>12/1949</t>
  </si>
  <si>
    <t>1/1950</t>
  </si>
  <si>
    <t>2/1950</t>
  </si>
  <si>
    <t>3/1950</t>
  </si>
  <si>
    <t>4/1950</t>
  </si>
  <si>
    <t>5/1950</t>
  </si>
  <si>
    <t>6/1950</t>
  </si>
  <si>
    <t>7/1950</t>
  </si>
  <si>
    <t>8/1950</t>
  </si>
  <si>
    <t>9/1950</t>
  </si>
  <si>
    <t>10/1950</t>
  </si>
  <si>
    <t>11/1950</t>
  </si>
  <si>
    <t>12/1950</t>
  </si>
  <si>
    <t>1/1951</t>
  </si>
  <si>
    <t>2/1951</t>
  </si>
  <si>
    <t>3/1951</t>
  </si>
  <si>
    <t>4/1951</t>
  </si>
  <si>
    <t>5/1951</t>
  </si>
  <si>
    <t>6/1951</t>
  </si>
  <si>
    <t>7/1951</t>
  </si>
  <si>
    <t>8/1951</t>
  </si>
  <si>
    <t>9/1951</t>
  </si>
  <si>
    <t>10/1951</t>
  </si>
  <si>
    <t>11/1951</t>
  </si>
  <si>
    <t>12/1951</t>
  </si>
  <si>
    <t>1/1952</t>
  </si>
  <si>
    <t>2/1952</t>
  </si>
  <si>
    <t>3/1952</t>
  </si>
  <si>
    <t>4/1952</t>
  </si>
  <si>
    <t>5/1952</t>
  </si>
  <si>
    <t>6/1952</t>
  </si>
  <si>
    <t>7/1952</t>
  </si>
  <si>
    <t>8/1952</t>
  </si>
  <si>
    <t>9/1952</t>
  </si>
  <si>
    <t>10/1952</t>
  </si>
  <si>
    <t>11/1952</t>
  </si>
  <si>
    <t>12/1952</t>
  </si>
  <si>
    <t>1/1953</t>
  </si>
  <si>
    <t>2/1953</t>
  </si>
  <si>
    <t>3/1953</t>
  </si>
  <si>
    <t>4/1953</t>
  </si>
  <si>
    <t>5/1953</t>
  </si>
  <si>
    <t>6/1953</t>
  </si>
  <si>
    <t>7/1953</t>
  </si>
  <si>
    <t>8/1953</t>
  </si>
  <si>
    <t>9/1953</t>
  </si>
  <si>
    <t>10/1953</t>
  </si>
  <si>
    <t>11/1953</t>
  </si>
  <si>
    <t>12/1953</t>
  </si>
  <si>
    <t>1/1954</t>
  </si>
  <si>
    <t>2/1954</t>
  </si>
  <si>
    <t>3/1954</t>
  </si>
  <si>
    <t>4/1954</t>
  </si>
  <si>
    <t>5/1954</t>
  </si>
  <si>
    <t>6/1954</t>
  </si>
  <si>
    <t>7/1954</t>
  </si>
  <si>
    <t>8/1954</t>
  </si>
  <si>
    <t>9/1954</t>
  </si>
  <si>
    <t>10/1954</t>
  </si>
  <si>
    <t>11/1954</t>
  </si>
  <si>
    <t>12/1954</t>
  </si>
  <si>
    <t>1/1955</t>
  </si>
  <si>
    <t>2/1955</t>
  </si>
  <si>
    <t>3/1955</t>
  </si>
  <si>
    <t>4/1955</t>
  </si>
  <si>
    <t>5/1955</t>
  </si>
  <si>
    <t>6/1955</t>
  </si>
  <si>
    <t>7/1955</t>
  </si>
  <si>
    <t>8/1955</t>
  </si>
  <si>
    <t>9/1955</t>
  </si>
  <si>
    <t>10/1955</t>
  </si>
  <si>
    <t>11/1955</t>
  </si>
  <si>
    <t>12/1955</t>
  </si>
  <si>
    <t>1/1956</t>
  </si>
  <si>
    <t>2/1956</t>
  </si>
  <si>
    <t>3/1956</t>
  </si>
  <si>
    <t>4/1956</t>
  </si>
  <si>
    <t>5/1956</t>
  </si>
  <si>
    <t>6/1956</t>
  </si>
  <si>
    <t>7/1956</t>
  </si>
  <si>
    <t>8/1956</t>
  </si>
  <si>
    <t>9/1956</t>
  </si>
  <si>
    <t>10/1956</t>
  </si>
  <si>
    <t>11/1956</t>
  </si>
  <si>
    <t>12/1956</t>
  </si>
  <si>
    <t>1/1957</t>
  </si>
  <si>
    <t>2/1957</t>
  </si>
  <si>
    <t>3/1957</t>
  </si>
  <si>
    <t>4/1957</t>
  </si>
  <si>
    <t>5/1957</t>
  </si>
  <si>
    <t>6/1957</t>
  </si>
  <si>
    <t>7/1957</t>
  </si>
  <si>
    <t>8/1957</t>
  </si>
  <si>
    <t>9/1957</t>
  </si>
  <si>
    <t>10/1957</t>
  </si>
  <si>
    <t>11/1957</t>
  </si>
  <si>
    <t>12/1957</t>
  </si>
  <si>
    <t>1/1958</t>
  </si>
  <si>
    <t>2/1958</t>
  </si>
  <si>
    <t>3/1958</t>
  </si>
  <si>
    <t>4/1958</t>
  </si>
  <si>
    <t>5/1958</t>
  </si>
  <si>
    <t>6/1958</t>
  </si>
  <si>
    <t>7/1958</t>
  </si>
  <si>
    <t>8/1958</t>
  </si>
  <si>
    <t>9/1958</t>
  </si>
  <si>
    <t>10/1958</t>
  </si>
  <si>
    <t>11/1958</t>
  </si>
  <si>
    <t>12/1958</t>
  </si>
  <si>
    <t>1/1959</t>
  </si>
  <si>
    <t>2/1959</t>
  </si>
  <si>
    <t>3/1959</t>
  </si>
  <si>
    <t>4/1959</t>
  </si>
  <si>
    <t>5/1959</t>
  </si>
  <si>
    <t>6/1959</t>
  </si>
  <si>
    <t>7/1959</t>
  </si>
  <si>
    <t>8/1959</t>
  </si>
  <si>
    <t>9/1959</t>
  </si>
  <si>
    <t>10/1959</t>
  </si>
  <si>
    <t>11/1959</t>
  </si>
  <si>
    <t>12/1959</t>
  </si>
  <si>
    <t>1/1960</t>
  </si>
  <si>
    <t>2/1960</t>
  </si>
  <si>
    <t>3/1960</t>
  </si>
  <si>
    <t>4/1960</t>
  </si>
  <si>
    <t>5/1960</t>
  </si>
  <si>
    <t>6/1960</t>
  </si>
  <si>
    <t>7/1960</t>
  </si>
  <si>
    <t>8/1960</t>
  </si>
  <si>
    <t>9/1960</t>
  </si>
  <si>
    <t>10/1960</t>
  </si>
  <si>
    <t>11/1960</t>
  </si>
  <si>
    <t>12/1960</t>
  </si>
  <si>
    <t>1/1961</t>
  </si>
  <si>
    <t>2/1961</t>
  </si>
  <si>
    <t>3/1961</t>
  </si>
  <si>
    <t>4/1961</t>
  </si>
  <si>
    <t>5/1961</t>
  </si>
  <si>
    <t>6/1961</t>
  </si>
  <si>
    <t>7/1961</t>
  </si>
  <si>
    <t>8/1961</t>
  </si>
  <si>
    <t>9/1961</t>
  </si>
  <si>
    <t>10/1961</t>
  </si>
  <si>
    <t>11/1961</t>
  </si>
  <si>
    <t>12/1961</t>
  </si>
  <si>
    <t>1/1962</t>
  </si>
  <si>
    <t>2/1962</t>
  </si>
  <si>
    <t>3/1962</t>
  </si>
  <si>
    <t>4/1962</t>
  </si>
  <si>
    <t>5/1962</t>
  </si>
  <si>
    <t>6/1962</t>
  </si>
  <si>
    <t>7/1962</t>
  </si>
  <si>
    <t>8/1962</t>
  </si>
  <si>
    <t>9/1962</t>
  </si>
  <si>
    <t>10/1962</t>
  </si>
  <si>
    <t>11/1962</t>
  </si>
  <si>
    <t>12/1962</t>
  </si>
  <si>
    <t>1/1963</t>
  </si>
  <si>
    <t>2/1963</t>
  </si>
  <si>
    <t>3/1963</t>
  </si>
  <si>
    <t>4/1963</t>
  </si>
  <si>
    <t>5/1963</t>
  </si>
  <si>
    <t>6/1963</t>
  </si>
  <si>
    <t>7/1963</t>
  </si>
  <si>
    <t>8/1963</t>
  </si>
  <si>
    <t>9/1963</t>
  </si>
  <si>
    <t>10/1963</t>
  </si>
  <si>
    <t>11/1963</t>
  </si>
  <si>
    <t>12/1963</t>
  </si>
  <si>
    <t>1/1964</t>
  </si>
  <si>
    <t>2/1964</t>
  </si>
  <si>
    <t>3/1964</t>
  </si>
  <si>
    <t>4/1964</t>
  </si>
  <si>
    <t>5/1964</t>
  </si>
  <si>
    <t>6/1964</t>
  </si>
  <si>
    <t>7/1964</t>
  </si>
  <si>
    <t>8/1964</t>
  </si>
  <si>
    <t>9/1964</t>
  </si>
  <si>
    <t>10/1964</t>
  </si>
  <si>
    <t>11/1964</t>
  </si>
  <si>
    <t>12/1964</t>
  </si>
  <si>
    <t>1/1965</t>
  </si>
  <si>
    <t>2/1965</t>
  </si>
  <si>
    <t>3/1965</t>
  </si>
  <si>
    <t>4/1965</t>
  </si>
  <si>
    <t>5/1965</t>
  </si>
  <si>
    <t>6/1965</t>
  </si>
  <si>
    <t>7/1965</t>
  </si>
  <si>
    <t>8/1965</t>
  </si>
  <si>
    <t>9/1965</t>
  </si>
  <si>
    <t>10/1965</t>
  </si>
  <si>
    <t>11/1965</t>
  </si>
  <si>
    <t>12/1965</t>
  </si>
  <si>
    <t>1/1966</t>
  </si>
  <si>
    <t>2/1966</t>
  </si>
  <si>
    <t>3/1966</t>
  </si>
  <si>
    <t>4/1966</t>
  </si>
  <si>
    <t>5/1966</t>
  </si>
  <si>
    <t>6/1966</t>
  </si>
  <si>
    <t>7/1966</t>
  </si>
  <si>
    <t>8/1966</t>
  </si>
  <si>
    <t>9/1966</t>
  </si>
  <si>
    <t>10/1966</t>
  </si>
  <si>
    <t>11/1966</t>
  </si>
  <si>
    <t>12/1966</t>
  </si>
  <si>
    <t>1/1967</t>
  </si>
  <si>
    <t>2/1967</t>
  </si>
  <si>
    <t>3/1967</t>
  </si>
  <si>
    <t>4/1967</t>
  </si>
  <si>
    <t>5/1967</t>
  </si>
  <si>
    <t>6/1967</t>
  </si>
  <si>
    <t>7/1967</t>
  </si>
  <si>
    <t>8/1967</t>
  </si>
  <si>
    <t>9/1967</t>
  </si>
  <si>
    <t>10/1967</t>
  </si>
  <si>
    <t>11/1967</t>
  </si>
  <si>
    <t>12/1967</t>
  </si>
  <si>
    <t>1/1968</t>
  </si>
  <si>
    <t>2/1968</t>
  </si>
  <si>
    <t>3/1968</t>
  </si>
  <si>
    <t>4/1968</t>
  </si>
  <si>
    <t>5/1968</t>
  </si>
  <si>
    <t>6/1968</t>
  </si>
  <si>
    <t>7/1968</t>
  </si>
  <si>
    <t>8/1968</t>
  </si>
  <si>
    <t>9/1968</t>
  </si>
  <si>
    <t>10/1968</t>
  </si>
  <si>
    <t>11/1968</t>
  </si>
  <si>
    <t>12/1968</t>
  </si>
  <si>
    <t>1/1969</t>
  </si>
  <si>
    <t>2/1969</t>
  </si>
  <si>
    <t>3/1969</t>
  </si>
  <si>
    <t>4/1969</t>
  </si>
  <si>
    <t>5/1969</t>
  </si>
  <si>
    <t>6/1969</t>
  </si>
  <si>
    <t>7/1969</t>
  </si>
  <si>
    <t>8/1969</t>
  </si>
  <si>
    <t>9/1969</t>
  </si>
  <si>
    <t>10/1969</t>
  </si>
  <si>
    <t>11/1969</t>
  </si>
  <si>
    <t>12/1969</t>
  </si>
  <si>
    <t>1/1970</t>
  </si>
  <si>
    <t>2/1970</t>
  </si>
  <si>
    <t>3/1970</t>
  </si>
  <si>
    <t>4/1970</t>
  </si>
  <si>
    <t>5/1970</t>
  </si>
  <si>
    <t>6/1970</t>
  </si>
  <si>
    <t>7/1970</t>
  </si>
  <si>
    <t>8/1970</t>
  </si>
  <si>
    <t>9/1970</t>
  </si>
  <si>
    <t>10/1970</t>
  </si>
  <si>
    <t>11/1970</t>
  </si>
  <si>
    <t>12/1970</t>
  </si>
  <si>
    <t>1/1971</t>
  </si>
  <si>
    <t>2/1971</t>
  </si>
  <si>
    <t>3/1971</t>
  </si>
  <si>
    <t>4/1971</t>
  </si>
  <si>
    <t>5/1971</t>
  </si>
  <si>
    <t>6/1971</t>
  </si>
  <si>
    <t>7/1971</t>
  </si>
  <si>
    <t>8/1971</t>
  </si>
  <si>
    <t>9/1971</t>
  </si>
  <si>
    <t>10/1971</t>
  </si>
  <si>
    <t>11/1971</t>
  </si>
  <si>
    <t>12/1971</t>
  </si>
  <si>
    <t>1/1972</t>
  </si>
  <si>
    <t>2/1972</t>
  </si>
  <si>
    <t>3/1972</t>
  </si>
  <si>
    <t>4/1972</t>
  </si>
  <si>
    <t>5/1972</t>
  </si>
  <si>
    <t>6/1972</t>
  </si>
  <si>
    <t>7/1972</t>
  </si>
  <si>
    <t>8/1972</t>
  </si>
  <si>
    <t>9/1972</t>
  </si>
  <si>
    <t>10/1972</t>
  </si>
  <si>
    <t>11/1972</t>
  </si>
  <si>
    <t>12/1972</t>
  </si>
  <si>
    <t>1/1973</t>
  </si>
  <si>
    <t>2/1973</t>
  </si>
  <si>
    <t>3/1973</t>
  </si>
  <si>
    <t>4/1973</t>
  </si>
  <si>
    <t>5/1973</t>
  </si>
  <si>
    <t>6/1973</t>
  </si>
  <si>
    <t>7/1973</t>
  </si>
  <si>
    <t>8/1973</t>
  </si>
  <si>
    <t>9/1973</t>
  </si>
  <si>
    <t>10/1973</t>
  </si>
  <si>
    <t>11/1973</t>
  </si>
  <si>
    <t>12/1973</t>
  </si>
  <si>
    <t>1/1974</t>
  </si>
  <si>
    <t>2/1974</t>
  </si>
  <si>
    <t>3/1974</t>
  </si>
  <si>
    <t>4/1974</t>
  </si>
  <si>
    <t>5/1974</t>
  </si>
  <si>
    <t>6/1974</t>
  </si>
  <si>
    <t>7/1974</t>
  </si>
  <si>
    <t>8/1974</t>
  </si>
  <si>
    <t>9/1974</t>
  </si>
  <si>
    <t>10/1974</t>
  </si>
  <si>
    <t>11/1974</t>
  </si>
  <si>
    <t>12/1974</t>
  </si>
  <si>
    <t>1/1975</t>
  </si>
  <si>
    <t>2/1975</t>
  </si>
  <si>
    <t>3/1975</t>
  </si>
  <si>
    <t>4/1975</t>
  </si>
  <si>
    <t>5/1975</t>
  </si>
  <si>
    <t>6/1975</t>
  </si>
  <si>
    <t>7/1975</t>
  </si>
  <si>
    <t>8/1975</t>
  </si>
  <si>
    <t>9/1975</t>
  </si>
  <si>
    <t>10/1975</t>
  </si>
  <si>
    <t>11/1975</t>
  </si>
  <si>
    <t>12/1975</t>
  </si>
  <si>
    <t>1/1976</t>
  </si>
  <si>
    <t>2/1976</t>
  </si>
  <si>
    <t>3/1976</t>
  </si>
  <si>
    <t>4/1976</t>
  </si>
  <si>
    <t>5/1976</t>
  </si>
  <si>
    <t>6/1976</t>
  </si>
  <si>
    <t>7/1976</t>
  </si>
  <si>
    <t>8/1976</t>
  </si>
  <si>
    <t>9/1976</t>
  </si>
  <si>
    <t>10/1976</t>
  </si>
  <si>
    <t>11/1976</t>
  </si>
  <si>
    <t>12/1976</t>
  </si>
  <si>
    <t>1/1977</t>
  </si>
  <si>
    <t>2/1977</t>
  </si>
  <si>
    <t>3/1977</t>
  </si>
  <si>
    <t>4/1977</t>
  </si>
  <si>
    <t>5/1977</t>
  </si>
  <si>
    <t>6/1977</t>
  </si>
  <si>
    <t>7/1977</t>
  </si>
  <si>
    <t>8/1977</t>
  </si>
  <si>
    <t>9/1977</t>
  </si>
  <si>
    <t>10/1977</t>
  </si>
  <si>
    <t>11/1977</t>
  </si>
  <si>
    <t>12/1977</t>
  </si>
  <si>
    <t>1/1978</t>
  </si>
  <si>
    <t>2/1978</t>
  </si>
  <si>
    <t>3/1978</t>
  </si>
  <si>
    <t>4/1978</t>
  </si>
  <si>
    <t>5/1978</t>
  </si>
  <si>
    <t>6/1978</t>
  </si>
  <si>
    <t>7/1978</t>
  </si>
  <si>
    <t>8/1978</t>
  </si>
  <si>
    <t>9/1978</t>
  </si>
  <si>
    <t>10/1978</t>
  </si>
  <si>
    <t>11/1978</t>
  </si>
  <si>
    <t>12/1978</t>
  </si>
  <si>
    <t>1/1979</t>
  </si>
  <si>
    <t>2/1979</t>
  </si>
  <si>
    <t>3/1979</t>
  </si>
  <si>
    <t>4/1979</t>
  </si>
  <si>
    <t>5/1979</t>
  </si>
  <si>
    <t>6/1979</t>
  </si>
  <si>
    <t>7/1979</t>
  </si>
  <si>
    <t>8/1979</t>
  </si>
  <si>
    <t>9/1979</t>
  </si>
  <si>
    <t>10/1979</t>
  </si>
  <si>
    <t>11/1979</t>
  </si>
  <si>
    <t>12/1979</t>
  </si>
  <si>
    <t>1/1980</t>
  </si>
  <si>
    <t>2/1980</t>
  </si>
  <si>
    <t>3/1980</t>
  </si>
  <si>
    <t>4/1980</t>
  </si>
  <si>
    <t>5/1980</t>
  </si>
  <si>
    <t>6/1980</t>
  </si>
  <si>
    <t>7/1980</t>
  </si>
  <si>
    <t>8/1980</t>
  </si>
  <si>
    <t>9/1980</t>
  </si>
  <si>
    <t>10/1980</t>
  </si>
  <si>
    <t>11/1980</t>
  </si>
  <si>
    <t>12/1980</t>
  </si>
  <si>
    <t>1/1981</t>
  </si>
  <si>
    <t>2/1981</t>
  </si>
  <si>
    <t>3/1981</t>
  </si>
  <si>
    <t>4/1981</t>
  </si>
  <si>
    <t>5/1981</t>
  </si>
  <si>
    <t>6/1981</t>
  </si>
  <si>
    <t>7/1981</t>
  </si>
  <si>
    <t>8/1981</t>
  </si>
  <si>
    <t>9/1981</t>
  </si>
  <si>
    <t>10/1981</t>
  </si>
  <si>
    <t>11/1981</t>
  </si>
  <si>
    <t>12/1981</t>
  </si>
  <si>
    <t>1/1982</t>
  </si>
  <si>
    <t>2/1982</t>
  </si>
  <si>
    <t>3/1982</t>
  </si>
  <si>
    <t>4/1982</t>
  </si>
  <si>
    <t>5/1982</t>
  </si>
  <si>
    <t>6/1982</t>
  </si>
  <si>
    <t>7/1982</t>
  </si>
  <si>
    <t>8/1982</t>
  </si>
  <si>
    <t>9/1982</t>
  </si>
  <si>
    <t>10/1982</t>
  </si>
  <si>
    <t>11/1982</t>
  </si>
  <si>
    <t>12/1982</t>
  </si>
  <si>
    <t>1/1983</t>
  </si>
  <si>
    <t>2/1983</t>
  </si>
  <si>
    <t>3/1983</t>
  </si>
  <si>
    <t>4/1983</t>
  </si>
  <si>
    <t>5/1983</t>
  </si>
  <si>
    <t>6/1983</t>
  </si>
  <si>
    <t>7/1983</t>
  </si>
  <si>
    <t>8/1983</t>
  </si>
  <si>
    <t>9/1983</t>
  </si>
  <si>
    <t>10/1983</t>
  </si>
  <si>
    <t>11/1983</t>
  </si>
  <si>
    <t>12/1983</t>
  </si>
  <si>
    <t>1/1984</t>
  </si>
  <si>
    <t>2/1984</t>
  </si>
  <si>
    <t>3/1984</t>
  </si>
  <si>
    <t>4/1984</t>
  </si>
  <si>
    <t>5/1984</t>
  </si>
  <si>
    <t>6/1984</t>
  </si>
  <si>
    <t>7/1984</t>
  </si>
  <si>
    <t>8/1984</t>
  </si>
  <si>
    <t>9/1984</t>
  </si>
  <si>
    <t>10/1984</t>
  </si>
  <si>
    <t>11/1984</t>
  </si>
  <si>
    <t>12/1984</t>
  </si>
  <si>
    <t>1/1985</t>
  </si>
  <si>
    <t>2/1985</t>
  </si>
  <si>
    <t>3/1985</t>
  </si>
  <si>
    <t>4/1985</t>
  </si>
  <si>
    <t>5/1985</t>
  </si>
  <si>
    <t>6/1985</t>
  </si>
  <si>
    <t>7/1985</t>
  </si>
  <si>
    <t>8/1985</t>
  </si>
  <si>
    <t>9/1985</t>
  </si>
  <si>
    <t>10/1985</t>
  </si>
  <si>
    <t>11/1985</t>
  </si>
  <si>
    <t>12/1985</t>
  </si>
  <si>
    <t>1/1986</t>
  </si>
  <si>
    <t>2/1986</t>
  </si>
  <si>
    <t>3/1986</t>
  </si>
  <si>
    <t>4/1986</t>
  </si>
  <si>
    <t>5/1986</t>
  </si>
  <si>
    <t>6/1986</t>
  </si>
  <si>
    <t>7/1986</t>
  </si>
  <si>
    <t>8/1986</t>
  </si>
  <si>
    <t>9/1986</t>
  </si>
  <si>
    <t>10/1986</t>
  </si>
  <si>
    <t>11/1986</t>
  </si>
  <si>
    <t>12/1986</t>
  </si>
  <si>
    <t>1/1987</t>
  </si>
  <si>
    <t>2/1987</t>
  </si>
  <si>
    <t>3/1987</t>
  </si>
  <si>
    <t>4/1987</t>
  </si>
  <si>
    <t>5/1987</t>
  </si>
  <si>
    <t>6/1987</t>
  </si>
  <si>
    <t>7/1987</t>
  </si>
  <si>
    <t>8/1987</t>
  </si>
  <si>
    <t>9/1987</t>
  </si>
  <si>
    <t>10/1987</t>
  </si>
  <si>
    <t>11/1987</t>
  </si>
  <si>
    <t>12/1987</t>
  </si>
  <si>
    <t>1/1988</t>
  </si>
  <si>
    <t>2/1988</t>
  </si>
  <si>
    <t>3/1988</t>
  </si>
  <si>
    <t>4/1988</t>
  </si>
  <si>
    <t>5/1988</t>
  </si>
  <si>
    <t>6/1988</t>
  </si>
  <si>
    <t>7/1988</t>
  </si>
  <si>
    <t>8/1988</t>
  </si>
  <si>
    <t>9/1988</t>
  </si>
  <si>
    <t>10/1988</t>
  </si>
  <si>
    <t>11/1988</t>
  </si>
  <si>
    <t>12/1988</t>
  </si>
  <si>
    <t>1/1989</t>
  </si>
  <si>
    <t>2/1989</t>
  </si>
  <si>
    <t>3/1989</t>
  </si>
  <si>
    <t>4/1989</t>
  </si>
  <si>
    <t>5/1989</t>
  </si>
  <si>
    <t>6/1989</t>
  </si>
  <si>
    <t>7/1989</t>
  </si>
  <si>
    <t>8/1989</t>
  </si>
  <si>
    <t>9/1989</t>
  </si>
  <si>
    <t>10/1989</t>
  </si>
  <si>
    <t>11/1989</t>
  </si>
  <si>
    <t>12/1989</t>
  </si>
  <si>
    <t>1/1990</t>
  </si>
  <si>
    <t>2/1990</t>
  </si>
  <si>
    <t>3/1990</t>
  </si>
  <si>
    <t>4/1990</t>
  </si>
  <si>
    <t>5/1990</t>
  </si>
  <si>
    <t>6/1990</t>
  </si>
  <si>
    <t>7/1990</t>
  </si>
  <si>
    <t>8/1990</t>
  </si>
  <si>
    <t>9/1990</t>
  </si>
  <si>
    <t>10/1990</t>
  </si>
  <si>
    <t>11/1990</t>
  </si>
  <si>
    <t>12/1990</t>
  </si>
  <si>
    <t>1/1991</t>
  </si>
  <si>
    <t>2/1991</t>
  </si>
  <si>
    <t>3/1991</t>
  </si>
  <si>
    <t>4/1991</t>
  </si>
  <si>
    <t>5/1991</t>
  </si>
  <si>
    <t>6/1991</t>
  </si>
  <si>
    <t>7/1991</t>
  </si>
  <si>
    <t>8/1991</t>
  </si>
  <si>
    <t>9/1991</t>
  </si>
  <si>
    <t>10/1991</t>
  </si>
  <si>
    <t>11/1991</t>
  </si>
  <si>
    <t>12/1991</t>
  </si>
  <si>
    <t>1/1992</t>
  </si>
  <si>
    <t>2/1992</t>
  </si>
  <si>
    <t>3/1992</t>
  </si>
  <si>
    <t>4/1992</t>
  </si>
  <si>
    <t>5/1992</t>
  </si>
  <si>
    <t>6/1992</t>
  </si>
  <si>
    <t>7/1992</t>
  </si>
  <si>
    <t>8/1992</t>
  </si>
  <si>
    <t>9/1992</t>
  </si>
  <si>
    <t>10/1992</t>
  </si>
  <si>
    <t>11/1992</t>
  </si>
  <si>
    <t>12/1992</t>
  </si>
  <si>
    <t>1/1993</t>
  </si>
  <si>
    <t>2/1993</t>
  </si>
  <si>
    <t>3/1993</t>
  </si>
  <si>
    <t>4/1993</t>
  </si>
  <si>
    <t>5/1993</t>
  </si>
  <si>
    <t>6/1993</t>
  </si>
  <si>
    <t>7/1993</t>
  </si>
  <si>
    <t>8/1993</t>
  </si>
  <si>
    <t>9/1993</t>
  </si>
  <si>
    <t>10/1993</t>
  </si>
  <si>
    <t>11/1993</t>
  </si>
  <si>
    <t>12/1993</t>
  </si>
  <si>
    <t>1/1994</t>
  </si>
  <si>
    <t>2/1994</t>
  </si>
  <si>
    <t>3/1994</t>
  </si>
  <si>
    <t>4/1994</t>
  </si>
  <si>
    <t>5/1994</t>
  </si>
  <si>
    <t>6/1994</t>
  </si>
  <si>
    <t>7/1994</t>
  </si>
  <si>
    <t>8/1994</t>
  </si>
  <si>
    <t>9/1994</t>
  </si>
  <si>
    <t>10/1994</t>
  </si>
  <si>
    <t>11/1994</t>
  </si>
  <si>
    <t>12/1994</t>
  </si>
  <si>
    <t>1/1995</t>
  </si>
  <si>
    <t>2/1995</t>
  </si>
  <si>
    <t>3/1995</t>
  </si>
  <si>
    <t>4/1995</t>
  </si>
  <si>
    <t>5/1995</t>
  </si>
  <si>
    <t>6/1995</t>
  </si>
  <si>
    <t>7/1995</t>
  </si>
  <si>
    <t>8/1995</t>
  </si>
  <si>
    <t>9/1995</t>
  </si>
  <si>
    <t>10/1995</t>
  </si>
  <si>
    <t>11/1995</t>
  </si>
  <si>
    <t>12/1995</t>
  </si>
  <si>
    <t>1/1996</t>
  </si>
  <si>
    <t>2/1996</t>
  </si>
  <si>
    <t>3/1996</t>
  </si>
  <si>
    <t>4/1996</t>
  </si>
  <si>
    <t>5/1996</t>
  </si>
  <si>
    <t>6/1996</t>
  </si>
  <si>
    <t>7/1996</t>
  </si>
  <si>
    <t>8/1996</t>
  </si>
  <si>
    <t>9/1996</t>
  </si>
  <si>
    <t>10/1996</t>
  </si>
  <si>
    <t>11/1996</t>
  </si>
  <si>
    <t>12/1996</t>
  </si>
  <si>
    <t>1/1997</t>
  </si>
  <si>
    <t>2/1997</t>
  </si>
  <si>
    <t>3/1997</t>
  </si>
  <si>
    <t>4/1997</t>
  </si>
  <si>
    <t>5/1997</t>
  </si>
  <si>
    <t>6/1997</t>
  </si>
  <si>
    <t>7/1997</t>
  </si>
  <si>
    <t>8/1997</t>
  </si>
  <si>
    <t>9/1997</t>
  </si>
  <si>
    <t>10/1997</t>
  </si>
  <si>
    <t>11/1997</t>
  </si>
  <si>
    <t>12/1997</t>
  </si>
  <si>
    <t>1/1998</t>
  </si>
  <si>
    <t>2/1998</t>
  </si>
  <si>
    <t>3/1998</t>
  </si>
  <si>
    <t>4/1998</t>
  </si>
  <si>
    <t>5/1998</t>
  </si>
  <si>
    <t>6/1998</t>
  </si>
  <si>
    <t>7/1998</t>
  </si>
  <si>
    <t>8/1998</t>
  </si>
  <si>
    <t>9/1998</t>
  </si>
  <si>
    <t>10/1998</t>
  </si>
  <si>
    <t>11/1998</t>
  </si>
  <si>
    <t>12/1998</t>
  </si>
  <si>
    <t>1/1999</t>
  </si>
  <si>
    <t>2/1999</t>
  </si>
  <si>
    <t>3/1999</t>
  </si>
  <si>
    <t>4/1999</t>
  </si>
  <si>
    <t>5/1999</t>
  </si>
  <si>
    <t>6/1999</t>
  </si>
  <si>
    <t>7/1999</t>
  </si>
  <si>
    <t>8/1999</t>
  </si>
  <si>
    <t>9/1999</t>
  </si>
  <si>
    <t>10/1999</t>
  </si>
  <si>
    <t>11/1999</t>
  </si>
  <si>
    <t>12/1999</t>
  </si>
  <si>
    <t>1/2000</t>
  </si>
  <si>
    <t>2/2000</t>
  </si>
  <si>
    <t>3/2000</t>
  </si>
  <si>
    <t>4/2000</t>
  </si>
  <si>
    <t>5/2000</t>
  </si>
  <si>
    <t>6/2000</t>
  </si>
  <si>
    <t>7/2000</t>
  </si>
  <si>
    <t>8/2000</t>
  </si>
  <si>
    <t>9/2000</t>
  </si>
  <si>
    <t>10/2000</t>
  </si>
  <si>
    <t>11/2000</t>
  </si>
  <si>
    <t>12/2000</t>
  </si>
  <si>
    <t>1/2001</t>
  </si>
  <si>
    <t>2/2001</t>
  </si>
  <si>
    <t>3/2001</t>
  </si>
  <si>
    <t>4/2001</t>
  </si>
  <si>
    <t>5/2001</t>
  </si>
  <si>
    <t>6/2001</t>
  </si>
  <si>
    <t>7/2001</t>
  </si>
  <si>
    <t>8/2001</t>
  </si>
  <si>
    <t>9/2001</t>
  </si>
  <si>
    <t>10/2001</t>
  </si>
  <si>
    <t>11/2001</t>
  </si>
  <si>
    <t>12/2001</t>
  </si>
  <si>
    <t>1/2002</t>
  </si>
  <si>
    <t>2/2002</t>
  </si>
  <si>
    <t>3/2002</t>
  </si>
  <si>
    <t>4/2002</t>
  </si>
  <si>
    <t>5/2002</t>
  </si>
  <si>
    <t>6/2002</t>
  </si>
  <si>
    <t>7/2002</t>
  </si>
  <si>
    <t>8/2002</t>
  </si>
  <si>
    <t>9/2002</t>
  </si>
  <si>
    <t>10/2002</t>
  </si>
  <si>
    <t>11/2002</t>
  </si>
  <si>
    <t>12/2002</t>
  </si>
  <si>
    <t>1/2003</t>
  </si>
  <si>
    <t>2/2003</t>
  </si>
  <si>
    <t>3/2003</t>
  </si>
  <si>
    <t>4/2003</t>
  </si>
  <si>
    <t>5/2003</t>
  </si>
  <si>
    <t>6/2003</t>
  </si>
  <si>
    <t>7/2003</t>
  </si>
  <si>
    <t>8/2003</t>
  </si>
  <si>
    <t>9/2003</t>
  </si>
  <si>
    <t>10/2003</t>
  </si>
  <si>
    <t>11/2003</t>
  </si>
  <si>
    <t>12/2003</t>
  </si>
  <si>
    <t>1/2004</t>
  </si>
  <si>
    <t>2/2004</t>
  </si>
  <si>
    <t>3/2004</t>
  </si>
  <si>
    <t>4/2004</t>
  </si>
  <si>
    <t>5/2004</t>
  </si>
  <si>
    <t>6/2004</t>
  </si>
  <si>
    <t>7/2004</t>
  </si>
  <si>
    <t>8/2004</t>
  </si>
  <si>
    <t>9/2004</t>
  </si>
  <si>
    <t>10/2004</t>
  </si>
  <si>
    <t>11/2004</t>
  </si>
  <si>
    <t>12/2004</t>
  </si>
  <si>
    <t>1/2005</t>
  </si>
  <si>
    <t>2/2005</t>
  </si>
  <si>
    <t>3/2005</t>
  </si>
  <si>
    <t>4/2005</t>
  </si>
  <si>
    <t>5/2005</t>
  </si>
  <si>
    <t>6/2005</t>
  </si>
  <si>
    <t>7/2005</t>
  </si>
  <si>
    <t>8/2005</t>
  </si>
  <si>
    <t>9/2005</t>
  </si>
  <si>
    <t>10/2005</t>
  </si>
  <si>
    <t>11/2005</t>
  </si>
  <si>
    <t>12/2005</t>
  </si>
  <si>
    <t>1/2006</t>
  </si>
  <si>
    <t>2/2006</t>
  </si>
  <si>
    <t>3/2006</t>
  </si>
  <si>
    <t>4/2006</t>
  </si>
  <si>
    <t>5/2006</t>
  </si>
  <si>
    <t>6/2006</t>
  </si>
  <si>
    <t>7/2006</t>
  </si>
  <si>
    <t>8/2006</t>
  </si>
  <si>
    <t>9/2006</t>
  </si>
  <si>
    <t>10/2006</t>
  </si>
  <si>
    <t>11/2006</t>
  </si>
  <si>
    <t>12/2006</t>
  </si>
  <si>
    <t>1/2007</t>
  </si>
  <si>
    <t>2/2007</t>
  </si>
  <si>
    <t>3/2007</t>
  </si>
  <si>
    <t>4/2007</t>
  </si>
  <si>
    <t>5/2007</t>
  </si>
  <si>
    <t>6/2007</t>
  </si>
  <si>
    <t>7/2007</t>
  </si>
  <si>
    <t>8/2007</t>
  </si>
  <si>
    <t>9/2007</t>
  </si>
  <si>
    <t>10/2007</t>
  </si>
  <si>
    <t>11/2007</t>
  </si>
  <si>
    <t>12/2007</t>
  </si>
  <si>
    <t>1/2008</t>
  </si>
  <si>
    <t>2/2008</t>
  </si>
  <si>
    <t>3/2008</t>
  </si>
  <si>
    <t>4/2008</t>
  </si>
  <si>
    <t>5/2008</t>
  </si>
  <si>
    <t>6/2008</t>
  </si>
  <si>
    <t>7/2008</t>
  </si>
  <si>
    <t>8/2008</t>
  </si>
  <si>
    <t>9/2008</t>
  </si>
  <si>
    <t>10/2008</t>
  </si>
  <si>
    <t>11/2008</t>
  </si>
  <si>
    <t>12/2008</t>
  </si>
  <si>
    <t>1/2009</t>
  </si>
  <si>
    <t>2/2009</t>
  </si>
  <si>
    <t>3/2009</t>
  </si>
  <si>
    <t>4/2009</t>
  </si>
  <si>
    <t>5/2009</t>
  </si>
  <si>
    <t>6/2009</t>
  </si>
  <si>
    <t>7/2009</t>
  </si>
  <si>
    <t>8/2009</t>
  </si>
  <si>
    <t>9/2009</t>
  </si>
  <si>
    <t>10/2009</t>
  </si>
  <si>
    <t>11/2009</t>
  </si>
  <si>
    <t>12/2009</t>
  </si>
  <si>
    <t>1/2010</t>
  </si>
  <si>
    <t>2/2010</t>
  </si>
  <si>
    <t>3/2010</t>
  </si>
  <si>
    <t>4/2010</t>
  </si>
  <si>
    <t>5/2010</t>
  </si>
  <si>
    <t>6/2010</t>
  </si>
  <si>
    <t>7/2010</t>
  </si>
  <si>
    <t>8/2010</t>
  </si>
  <si>
    <t>9/2010</t>
  </si>
  <si>
    <t>10/2010</t>
  </si>
  <si>
    <t>11/2010</t>
  </si>
  <si>
    <t>12/2010</t>
  </si>
  <si>
    <t>1/2011</t>
  </si>
  <si>
    <t>2/2011</t>
  </si>
  <si>
    <t>3/2011</t>
  </si>
  <si>
    <t>4/2011</t>
  </si>
  <si>
    <t>5/2011</t>
  </si>
  <si>
    <t>6/2011</t>
  </si>
  <si>
    <t>7/2011</t>
  </si>
  <si>
    <t>8/2011</t>
  </si>
  <si>
    <t>9/2011</t>
  </si>
  <si>
    <t>10/2011</t>
  </si>
  <si>
    <t>11/2011</t>
  </si>
  <si>
    <t>12/2011</t>
  </si>
  <si>
    <t>1/2012</t>
  </si>
  <si>
    <t>2/2012</t>
  </si>
  <si>
    <t>3/2012</t>
  </si>
  <si>
    <t>4/2012</t>
  </si>
  <si>
    <t>5/2012</t>
  </si>
  <si>
    <t>6/2012</t>
  </si>
  <si>
    <t>7/2012</t>
  </si>
  <si>
    <t>8/2012</t>
  </si>
  <si>
    <t>9/2012</t>
  </si>
  <si>
    <t>10/2012</t>
  </si>
  <si>
    <t>11/2012</t>
  </si>
  <si>
    <t>12/2012</t>
  </si>
  <si>
    <t>1/2013</t>
  </si>
  <si>
    <t>2/2013</t>
  </si>
  <si>
    <t>3/2013</t>
  </si>
  <si>
    <t>4/2013</t>
  </si>
  <si>
    <t>5/2013</t>
  </si>
  <si>
    <t>6/2013</t>
  </si>
  <si>
    <t>7/2013</t>
  </si>
  <si>
    <t>8/2013</t>
  </si>
  <si>
    <t>9/2013</t>
  </si>
  <si>
    <t>10/2013</t>
  </si>
  <si>
    <t>11/2013</t>
  </si>
  <si>
    <t>12/2013</t>
  </si>
  <si>
    <t>1/2014</t>
  </si>
  <si>
    <t>2/2014</t>
  </si>
  <si>
    <t>3/2014</t>
  </si>
  <si>
    <t>4/2014</t>
  </si>
  <si>
    <t>5/2014</t>
  </si>
  <si>
    <t>6/2014</t>
  </si>
  <si>
    <t>7/2014</t>
  </si>
  <si>
    <t>8/2014</t>
  </si>
  <si>
    <t>9/2014</t>
  </si>
  <si>
    <t>10/2014</t>
  </si>
  <si>
    <t>11/2014</t>
  </si>
  <si>
    <t>12/2014</t>
  </si>
  <si>
    <t>1/2015</t>
  </si>
  <si>
    <t>2/2015</t>
  </si>
  <si>
    <t>3/2015</t>
  </si>
  <si>
    <t>4/2015</t>
  </si>
  <si>
    <t>5/2015</t>
  </si>
  <si>
    <t>6/2015</t>
  </si>
  <si>
    <t>7/2015</t>
  </si>
  <si>
    <t>8/2015</t>
  </si>
  <si>
    <t>9/2015</t>
  </si>
  <si>
    <t>10/2015</t>
  </si>
  <si>
    <t>11/2015</t>
  </si>
  <si>
    <t>12/2015</t>
  </si>
  <si>
    <t>1/2016</t>
  </si>
  <si>
    <t>2/2016</t>
  </si>
  <si>
    <t>3/2016</t>
  </si>
  <si>
    <t>4/2016</t>
  </si>
  <si>
    <t>5/2016</t>
  </si>
  <si>
    <t>6/2016</t>
  </si>
  <si>
    <t>7/2016</t>
  </si>
  <si>
    <t>8/2016</t>
  </si>
  <si>
    <t>9/2016</t>
  </si>
  <si>
    <t>10/2016</t>
  </si>
  <si>
    <t>11/2016</t>
  </si>
  <si>
    <t>12/2016</t>
  </si>
  <si>
    <t>1/2017</t>
  </si>
  <si>
    <t>2/2017</t>
  </si>
  <si>
    <t>3/2017</t>
  </si>
  <si>
    <t>4/2017</t>
  </si>
  <si>
    <t>5/2017</t>
  </si>
  <si>
    <t>6/2017</t>
  </si>
  <si>
    <t>7/2017</t>
  </si>
  <si>
    <t>8/2017</t>
  </si>
  <si>
    <t>9/2017</t>
  </si>
  <si>
    <t>10/2017</t>
  </si>
  <si>
    <t>11/2017</t>
  </si>
  <si>
    <t>12/2017</t>
  </si>
  <si>
    <t>1/2018</t>
  </si>
  <si>
    <t>2/2018</t>
  </si>
  <si>
    <t>3/2018</t>
  </si>
  <si>
    <t>4/2018</t>
  </si>
  <si>
    <t>5/2018</t>
  </si>
  <si>
    <t>6/2018</t>
  </si>
  <si>
    <t>7/2018</t>
  </si>
  <si>
    <t>8/2018</t>
  </si>
  <si>
    <t>9/2018</t>
  </si>
  <si>
    <t>10/2018</t>
  </si>
  <si>
    <t>11/2018</t>
  </si>
  <si>
    <t>12/2018</t>
  </si>
  <si>
    <t>1/2019</t>
  </si>
  <si>
    <t>2/2019</t>
  </si>
  <si>
    <t>3/2019</t>
  </si>
  <si>
    <t>4/2019</t>
  </si>
  <si>
    <t>5/2019</t>
  </si>
  <si>
    <t>6/2019</t>
  </si>
  <si>
    <t>7/2019</t>
  </si>
  <si>
    <t>8/2019</t>
  </si>
  <si>
    <t>9/2019</t>
  </si>
  <si>
    <t>10/2019</t>
  </si>
  <si>
    <t>11/2019</t>
  </si>
  <si>
    <t>12/2019</t>
  </si>
  <si>
    <t>1/2020</t>
  </si>
  <si>
    <t>2/2020</t>
  </si>
  <si>
    <t>3/2020</t>
  </si>
  <si>
    <t>4/2020</t>
  </si>
  <si>
    <t>5/2020</t>
  </si>
  <si>
    <t>6/2020</t>
  </si>
  <si>
    <t>7/2020</t>
  </si>
  <si>
    <t>8/2020</t>
  </si>
  <si>
    <t>9/2020</t>
  </si>
  <si>
    <t>10/2020</t>
  </si>
  <si>
    <t>11/2020</t>
  </si>
  <si>
    <t>12/2020</t>
  </si>
  <si>
    <t>1/2021</t>
  </si>
  <si>
    <t>2/2021</t>
  </si>
  <si>
    <t>3/2021</t>
  </si>
  <si>
    <t>4/2021</t>
  </si>
  <si>
    <t>5/2021</t>
  </si>
  <si>
    <t>6/2021</t>
  </si>
  <si>
    <t>7/2021</t>
  </si>
  <si>
    <t>8/2021</t>
  </si>
  <si>
    <t>9/2021</t>
  </si>
  <si>
    <t>10/2021</t>
  </si>
  <si>
    <t>11/2021</t>
  </si>
  <si>
    <t>12/2021</t>
  </si>
  <si>
    <t>1/2022</t>
  </si>
  <si>
    <t>2/2022</t>
  </si>
  <si>
    <t>3/2022</t>
  </si>
  <si>
    <t>4/2022</t>
  </si>
  <si>
    <t>5/2022</t>
  </si>
  <si>
    <t>6/2022</t>
  </si>
  <si>
    <t>7/2022</t>
  </si>
  <si>
    <t>8/2022</t>
  </si>
  <si>
    <t>9/2022</t>
  </si>
  <si>
    <t>10/2022</t>
  </si>
  <si>
    <t>11/2022</t>
  </si>
  <si>
    <t>12/2022</t>
  </si>
  <si>
    <t>1/2023</t>
  </si>
  <si>
    <t>2/2023</t>
  </si>
  <si>
    <t>3/2023</t>
  </si>
  <si>
    <t>4/2023</t>
  </si>
  <si>
    <t>5/2023</t>
  </si>
  <si>
    <t>6/2023</t>
  </si>
  <si>
    <t>7/2023</t>
  </si>
  <si>
    <t>8/2023</t>
  </si>
  <si>
    <t>9/2023</t>
  </si>
  <si>
    <t>10/2023</t>
  </si>
  <si>
    <t>11/2023</t>
  </si>
  <si>
    <t>12/2023</t>
  </si>
  <si>
    <t>1/2024</t>
  </si>
  <si>
    <t>2/2024</t>
  </si>
  <si>
    <t>3/2024</t>
  </si>
  <si>
    <t>4/2024</t>
  </si>
  <si>
    <t>5/2024</t>
  </si>
  <si>
    <t>6/2024</t>
  </si>
  <si>
    <t>7/2024</t>
  </si>
  <si>
    <t>8/2024</t>
  </si>
  <si>
    <t>9/2024</t>
  </si>
  <si>
    <t>10/2024</t>
  </si>
  <si>
    <t>11/2024</t>
  </si>
  <si>
    <t>12/2024</t>
  </si>
  <si>
    <t>1/2025</t>
  </si>
  <si>
    <t>2/2025</t>
  </si>
  <si>
    <t>3/2025</t>
  </si>
  <si>
    <t>4/2025</t>
  </si>
  <si>
    <t>5/2025</t>
  </si>
  <si>
    <t>6/2025</t>
  </si>
  <si>
    <t>7/2025</t>
  </si>
  <si>
    <t>8/2025</t>
  </si>
  <si>
    <t>9/2025</t>
  </si>
  <si>
    <t>10/2025</t>
  </si>
  <si>
    <t>11/2025</t>
  </si>
  <si>
    <t>12/2025</t>
  </si>
  <si>
    <t>1/2026</t>
  </si>
  <si>
    <t>2/2026</t>
  </si>
  <si>
    <t>3/2026</t>
  </si>
  <si>
    <t>4/2026</t>
  </si>
  <si>
    <t>5/2026</t>
  </si>
  <si>
    <t>6/2026</t>
  </si>
  <si>
    <t>7/2026</t>
  </si>
  <si>
    <t>8/2026</t>
  </si>
  <si>
    <t>9/2026</t>
  </si>
  <si>
    <t>10/2026</t>
  </si>
  <si>
    <t>11/2026</t>
  </si>
  <si>
    <t>12/2026</t>
  </si>
  <si>
    <t>Temp</t>
  </si>
  <si>
    <t>Year (decimal)</t>
  </si>
  <si>
    <t>Temp (°F)</t>
  </si>
  <si>
    <t>CO2 (ppm)</t>
  </si>
  <si>
    <t>Anomaly (°C vs 1951-80)</t>
  </si>
  <si>
    <t>log2(CO2/preindustrial)</t>
  </si>
  <si>
    <t>Assumptions (edit yellow cells)</t>
  </si>
  <si>
    <t>GISTEMP absolute baseline (°C)</t>
  </si>
  <si>
    <t>Preindustrial CO2 (ppm)</t>
  </si>
  <si>
    <t>Fit statistics (all monthly pairs)</t>
  </si>
  <si>
    <t>Months in fit</t>
  </si>
  <si>
    <t>Slope, °C per 100 ppm</t>
  </si>
  <si>
    <t>Intercept (°C at 0 ppm)</t>
  </si>
  <si>
    <t>R², anomaly vs CO2</t>
  </si>
  <si>
    <t>Slope, °C per doubling of CO2</t>
  </si>
  <si>
    <t>R², anomaly vs log2(CO2)</t>
  </si>
  <si>
    <t>Correlation r</t>
  </si>
  <si>
    <t>Note: residuals are strongly autocorrelated (monthly ENSO/volcanic noise), so naive standard errors on these slopes would be too small. Slopes and R² are descriptive.</t>
  </si>
  <si>
    <t>End-point sensitivity: monthly CO2-only slope (°C per doubling) by last month included</t>
  </si>
  <si>
    <t>through Dec 2022</t>
  </si>
  <si>
    <t>through Dec 2023</t>
  </si>
  <si>
    <t>through Dec 2024</t>
  </si>
  <si>
    <t>through Dec 2025</t>
  </si>
  <si>
    <t>through Aug 2026 (all)</t>
  </si>
  <si>
    <t>The last three years lever the slope by ~0.15 °C per doubling. Any coefficient comparison must be made on identical months.</t>
  </si>
  <si>
    <t>Mean CO2 (ppm)</t>
  </si>
  <si>
    <t>Mean anomaly (°C)</t>
  </si>
  <si>
    <t>Mean log2(CO2/280)</t>
  </si>
  <si>
    <t>Anomaly, linear time trend removed</t>
  </si>
  <si>
    <t>log2 CO2, linear time trend removed</t>
  </si>
  <si>
    <t>Fit residual (anomaly - log fit)</t>
  </si>
  <si>
    <t>Annual-mean fit (full calendar years only)</t>
  </si>
  <si>
    <t>Years in fit</t>
  </si>
  <si>
    <t>Intercept</t>
  </si>
  <si>
    <t>R², annual anomaly vs log2(CO2)</t>
  </si>
  <si>
    <t>Lag-1 autocorrelation of fit residuals</t>
  </si>
  <si>
    <t>Anomaly time trend: intercept</t>
  </si>
  <si>
    <t>Anomaly time trend: slope (°C/yr)</t>
  </si>
  <si>
    <t>log2 CO2 time trend: intercept</t>
  </si>
  <si>
    <t>log2 CO2 time trend: slope (/yr)</t>
  </si>
  <si>
    <t>DETRENDED TEST: r between residual series</t>
  </si>
  <si>
    <t>Detrended R²</t>
  </si>
  <si>
    <t>Naive OLS standard error of slope</t>
  </si>
  <si>
    <t>AR(1) inflation factor √((1+ρ)/(1-ρ))</t>
  </si>
  <si>
    <t>Adjusted standard error</t>
  </si>
  <si>
    <t>95% interval, low / high (°C per doubling)</t>
  </si>
  <si>
    <t>Split sample: slope 1959-1991 / 1992-2025</t>
  </si>
  <si>
    <t>Split difference ÷ combined AR(1)-adjusted SE (t-like)</t>
  </si>
  <si>
    <t>Summary of central results</t>
  </si>
  <si>
    <t>Monthly fit: °C per CO2 doubling</t>
  </si>
  <si>
    <t>Annual fit: °C per CO2 doubling</t>
  </si>
  <si>
    <t>Detrended annual r</t>
  </si>
  <si>
    <t>822 months, 1958-2026</t>
  </si>
  <si>
    <t>67 full years, 1959-2025</t>
  </si>
  <si>
    <t>linear time trend removed from both series</t>
  </si>
  <si>
    <t>Caution: these are descriptive observational regressions over 1958-2026, not estimates of equilibrium climate sensitivity.</t>
  </si>
  <si>
    <t>See the Solar, ENSO, Volcanic and Forcing tabs for the natural-variability controls and the full-forcing comparison.</t>
  </si>
  <si>
    <t>How to read this sheet</t>
  </si>
  <si>
    <t>1. Annual means remove most of the month-to-month autocorrelation (lag-1 falls from ~0.64 monthly to ~0.25), so the 67 years are closer to independent observations than the 822 months.</t>
  </si>
  <si>
    <t>2. The detrended test answers "are these just two things rising with time?": a straight-line time trend is removed from BOTH series and the leftover wiggles are correlated. A high r here cannot be produced by a shared trend.</t>
  </si>
  <si>
    <t>3. Tests deliberately omitted: regressing anomaly on CO2 plus time (CO2 and time correlate at ~0.99 here, so the coefficients are unstable and uninformative), and 5- or 10-year differences (CO2 moves only ~0.03-0.07 doublings per step, so ENSO noise swamps the signal and R² collapses regardless of the true relationship).</t>
  </si>
  <si>
    <t>4. Uncertainty: the naive OLS standard error is inflated by the AR(1) factor (Grok/GPT review, Sept 2026); the resulting 95% interval (~2.5 to 3.0 °C per doubling) reflects time-series error only, not forcing or dataset uncertainty. Newey-West standard errors with 1-6 lags give 0.120-0.126, so the AR(1) heuristic is adequate here. The split-sample slopes (1959-1991 vs 1992-2025) differ (~2.6 vs ~3.2) but only by ~1.3 combined adjusted SEs (K22), so the difference is suggestive, not established. The direction is what the forcing data predict: net anthropogenic forcing grew faster than CO2 alone once aerosol offset stopped growing (Forcing tab, T42:U42), which is a reason to prefer the anthropogenic-ERF regression over the CO2 proxy for any response estimate.</t>
  </si>
  <si>
    <t>5. None of these fits is a climate sensitivity estimate. They describe the observed 1958-2026 co-variation; other forcings (methane, aerosols, solar, volcanic) and ocean lag are not separated out.</t>
  </si>
  <si>
    <t>Anomaly (°C)</t>
  </si>
  <si>
    <t>log2(CO2/280)</t>
  </si>
  <si>
    <t>TSI (W/m²), NRLTSI2</t>
  </si>
  <si>
    <t>Mean TSI (W/m²)</t>
  </si>
  <si>
    <t>CO2-fit residual (from Annual!H)</t>
  </si>
  <si>
    <t>Multiple-regression fitted anomaly</t>
  </si>
  <si>
    <t>Assumptions</t>
  </si>
  <si>
    <t>Planetary albedo (fraction reflected)</t>
  </si>
  <si>
    <t>CO2 forcing coefficient (W/m² per ln)</t>
  </si>
  <si>
    <t>Does the Sun explain it? (annual means, 1959-2023)</t>
  </si>
  <si>
    <t>TSI: mean (W/m²)</t>
  </si>
  <si>
    <t>TSI: max minus min (W/m²)</t>
  </si>
  <si>
    <t>TSI linear trend, W/m² per decade</t>
  </si>
  <si>
    <t>R², anomaly vs TSI alone</t>
  </si>
  <si>
    <t>r, CO2-fit residual vs TSI</t>
  </si>
  <si>
    <t>R², anomaly vs log2(CO2) alone</t>
  </si>
  <si>
    <t>Multiple regression: anomaly = a + b·log2(CO2) + c·TSI</t>
  </si>
  <si>
    <t xml:space="preserve">  a (intercept)</t>
  </si>
  <si>
    <t xml:space="preserve">  b: °C per CO2 doubling</t>
  </si>
  <si>
    <t xml:space="preserve">  c: °C per W/m² of TSI</t>
  </si>
  <si>
    <t xml:space="preserve">  R²</t>
  </si>
  <si>
    <t xml:space="preserve">  implied °C per W/m² of solar FORCING</t>
  </si>
  <si>
    <t>Forcing comparison over the record</t>
  </si>
  <si>
    <t>Solar-cycle forcing amplitude (W/m²)</t>
  </si>
  <si>
    <t>CO2 forcing change, Mar 1958 to Dec 2023 (W/m²)</t>
  </si>
  <si>
    <t>Ratio CO2 / solar cycle</t>
  </si>
  <si>
    <t>Expected solar-cycle temperature swing (°C)</t>
  </si>
  <si>
    <t>1. TSI alone: essentially zero explanatory power (R² ~0.00) and no trend over 1959-2023. The Sun cannot account for the warming trend in this record.</t>
  </si>
  <si>
    <t>2. But the Sun is not zero: the ~11-year cycle shows up as a small positive correlation with the leftovers of the CO2 fit, and in the multiple regression as ~0.07 °C per W/m² of TSI, i.e. a ~0.1 °C peak-to-trough cycle. That matches the published estimate, and finding it is a good sign the data and method are sound.</t>
  </si>
  <si>
    <t>4. Forcing arithmetic: the whole solar cycle is worth ~0.25 W/m²; CO2 forcing grew ~1.5 W/m² across the record, about six times the cycle amplitude, and it is a one-way trend rather than an oscillation.</t>
  </si>
  <si>
    <t>5. Same caveats as elsewhere: descriptive regressions on a 65-year record, not a sensitivity estimate. Aerosols, other greenhouse gases, volcanoes and ENSO are still not in the model.</t>
  </si>
  <si>
    <t>ONI lagged 3 mo</t>
  </si>
  <si>
    <t>TSI (W/m²)</t>
  </si>
  <si>
    <t>ONI (same month)</t>
  </si>
  <si>
    <t>Residual after CO2-only fit</t>
  </si>
  <si>
    <t>Fitted: CO2 + ENSO</t>
  </si>
  <si>
    <t>Residual after CO2 + ENSO</t>
  </si>
  <si>
    <t>ENSO-adjusted anomaly</t>
  </si>
  <si>
    <t>Monthly regressions</t>
  </si>
  <si>
    <t>CO2-only fit (all 822 months)</t>
  </si>
  <si>
    <t xml:space="preserve">  intercept</t>
  </si>
  <si>
    <t xml:space="preserve">  slope, °C per doubling</t>
  </si>
  <si>
    <t xml:space="preserve">  residual std dev (°C)</t>
  </si>
  <si>
    <t xml:space="preserve">  lag-1 autocorrelation of residuals (monthly)</t>
  </si>
  <si>
    <t>Lag test: r between CO2-only residual and ONI lagged k months</t>
  </si>
  <si>
    <t>lag k (months)</t>
  </si>
  <si>
    <t>r</t>
  </si>
  <si>
    <t>Two-factor: anomaly = a + b·log2(CO2) + c·ONI(lag 3)</t>
  </si>
  <si>
    <t xml:space="preserve">  a</t>
  </si>
  <si>
    <t xml:space="preserve">  c: °C per unit ONI</t>
  </si>
  <si>
    <t xml:space="preserve">  months in fit</t>
  </si>
  <si>
    <t xml:space="preserve">  lag-1 autocorrelation of residuals</t>
  </si>
  <si>
    <t xml:space="preserve">  R², ENSO-adjusted anomaly vs log2(CO2)</t>
  </si>
  <si>
    <t xml:space="preserve">  R² of CO2-only fit on the same months</t>
  </si>
  <si>
    <t>Three-factor: + d·TSI (months through Dec 2023 only)</t>
  </si>
  <si>
    <t xml:space="preserve">  d: °C per W/m² TSI</t>
  </si>
  <si>
    <t xml:space="preserve">  R² of two-factor on the same months</t>
  </si>
  <si>
    <t>Recent residual check</t>
  </si>
  <si>
    <t xml:space="preserve">  mean residual after CO2+ENSO, 2023-2025 (°C)</t>
  </si>
  <si>
    <t xml:space="preserve">  mean residual, 1959-2022 (°C)</t>
  </si>
  <si>
    <t>1. ENSO is the dominant short-term noise. Adding lagged ONI raises monthly R² from 0.86 to 0.89 and cuts residual scatter by ~12%; the coefficient (~0.09 °C per unit ONI) matches the published ~0.1 °C per °C of Niño 3.4.</t>
  </si>
  <si>
    <t>4. What is still unexplained: the largest negative residuals are Jul-Sep 1992 and Apr 1964 (Pinatubo and Agung eruptions), so volcanic aerosols are the next control. The 2023-2025 residual is positive (~+0.14 °C): the recent warmth exceeds what CO2 + El Niño predict, which is an open question in the literature (aerosol reductions from shipping-fuel rules, solar cycle 25 maximum, and possibly cloud feedback are candidates).</t>
  </si>
  <si>
    <t>5. Residuals remain autocorrelated (lag-1 ~0.55), so these are still descriptive fits, not estimates of equilibrium climate sensitivity.</t>
  </si>
  <si>
    <t>Strat. AOD lagged 7 mo</t>
  </si>
  <si>
    <t>Strat. AOD (same month)</t>
  </si>
  <si>
    <t>Volcanic ERF (W/m²)</t>
  </si>
  <si>
    <t>Fitted: CO2+ENSO+AOD</t>
  </si>
  <si>
    <t>Residual after CO2+ENSO+AOD</t>
  </si>
  <si>
    <t>Residual after CO2+ENSO (from ENSO tab)</t>
  </si>
  <si>
    <t>Decimal year</t>
  </si>
  <si>
    <t>Lag test: r between CO2+ENSO residual and AOD lagged k months</t>
  </si>
  <si>
    <t>lag k</t>
  </si>
  <si>
    <t>Three-factor: anomaly = a + b·log2(CO2) + c·ONI(lag 3) + d·AOD(lag 7)</t>
  </si>
  <si>
    <t xml:space="preserve">  d: °C per unit stratospheric AOD</t>
  </si>
  <si>
    <t xml:space="preserve">  R² of CO2+ENSO on the same months</t>
  </si>
  <si>
    <t>Four-factor: + e·TSI (months through Dec 2023)</t>
  </si>
  <si>
    <t xml:space="preserve">  d: °C per unit AOD</t>
  </si>
  <si>
    <t xml:space="preserve">  e: °C per W/m² TSI</t>
  </si>
  <si>
    <t xml:space="preserve">  R² of CO2+ENSO+AOD on the same months</t>
  </si>
  <si>
    <t xml:space="preserve">  CO2-only slope on those same months (°C per doubling)</t>
  </si>
  <si>
    <t>Implied cooling at peak AOD (d × peak monthly AOD)</t>
  </si>
  <si>
    <t xml:space="preserve">  Agung (peak AOD, 1963-64)</t>
  </si>
  <si>
    <t xml:space="preserve">  El Chichón (peak AOD, 1982-83)</t>
  </si>
  <si>
    <t xml:space="preserve">  Pinatubo (peak AOD, 1991-92)</t>
  </si>
  <si>
    <t xml:space="preserve">  Implied transient response, °C per W/m² (d ÷ ERF per unit AOD)</t>
  </si>
  <si>
    <t xml:space="preserve">  mean residual after 3 factors, 2023-2025 (°C)</t>
  </si>
  <si>
    <t xml:space="preserve">  mean residual, Jan-Jul 2026 (°C)</t>
  </si>
  <si>
    <t>1. Volcanic aerosols are the third natural control. Adding lagged stratospheric AOD raises monthly R² from 0.89 to 0.90 and the coefficient (~-2.2 °C per unit AOD) implies peak cooling of ~-0.2 °C for Agung and Pinatubo and ~-0.1 °C for El Chichón, consistent with published estimates (Pinatubo ~-0.3 °C with uncertainty). Most of the 1964 and 1992 residuals on the ENSO tab are now accounted for.</t>
  </si>
  <si>
    <t>4. The implied transient response to volcanic forcing (~0.13 °C per W/m²) is much smaller than the ~0.4 °C per W/m² implied by the solar cycle or the ~0.8 needed for equilibrium sensitivity. That is expected: a 1-2 year pulse never gets close to equilibrium, so regressing on AOD says little about long-run sensitivity.</t>
  </si>
  <si>
    <t>5. Still unexplained: 2023-2025 residuals remain positive (~+0.15 °C). Volcanoes do not help; Hunga Tonga (2022) added stratospheric water vapour (a small warming) but little sulfate. The remaining candidates are anthropogenic: the 2020 shipping-fuel sulfur cut, declining Chinese SO2, and cloud feedback. Anthropogenic aerosol forcing is the logical next control.</t>
  </si>
  <si>
    <t>6. Data note: AOD comes from the ClimateIndicator forcing-timeseries repository, which merges CMIP7 (to 2023), GloSSAC satellite data, and OMPS-LP (2025). 2026 is not yet published, so the lagged column covers through Jul 2026 and the Aug 2026 row is excluded.</t>
  </si>
  <si>
    <t>Mean ONI lag 3</t>
  </si>
  <si>
    <t>ERF CO2</t>
  </si>
  <si>
    <t>ERF CH4</t>
  </si>
  <si>
    <t>ERF N2O</t>
  </si>
  <si>
    <t>ERF other GHG (all non-CO2 GHGs)</t>
  </si>
  <si>
    <t>ERF aerosols (ARI + ACI)</t>
  </si>
  <si>
    <t>ERF other anthro (O3, land use, contrails, BC on snow, strat H2O)</t>
  </si>
  <si>
    <t>ERF GHG total</t>
  </si>
  <si>
    <t>ERF anthropogenic total</t>
  </si>
  <si>
    <t>ERF solar</t>
  </si>
  <si>
    <t>ERF volcanic</t>
  </si>
  <si>
    <t>ERF total</t>
  </si>
  <si>
    <t>Fitted: anthro ERF + ENSO</t>
  </si>
  <si>
    <t>Residual</t>
  </si>
  <si>
    <t>helper: anthro ERF</t>
  </si>
  <si>
    <t>helper: ONI</t>
  </si>
  <si>
    <t>helper: aerosol ERF</t>
  </si>
  <si>
    <t>helper: volcanic ERF</t>
  </si>
  <si>
    <t>helper: fitted, volcanic-ERF variant</t>
  </si>
  <si>
    <t>helper: residual, volcanic-ERF variant</t>
  </si>
  <si>
    <t>Anomaly with non-CO2 human forcing and ENSO removed</t>
  </si>
  <si>
    <t>Warming from CO2 since 1959</t>
  </si>
  <si>
    <t>from other GHG</t>
  </si>
  <si>
    <t>from ozone, land use, other</t>
  </si>
  <si>
    <t>from aerosols</t>
  </si>
  <si>
    <t>Observed since 1959</t>
  </si>
  <si>
    <t>Observed, ENSO removed</t>
  </si>
  <si>
    <t>Assumption</t>
  </si>
  <si>
    <t>Forcing for a CO2 doubling, F2x (W/m²)  |  5-95% half-width</t>
  </si>
  <si>
    <t>Implied F2x from this file: slope of CO2 ERF on log2(CO2/280)</t>
  </si>
  <si>
    <t>Annual fits, 1959-2025 (67 years)</t>
  </si>
  <si>
    <t>Single-regressor fits</t>
  </si>
  <si>
    <t xml:space="preserve">  log2(CO2): °C per doubling</t>
  </si>
  <si>
    <t xml:space="preserve">  anthropogenic ERF: °C per W/m²</t>
  </si>
  <si>
    <t xml:space="preserve">  total ERF (anthro + solar + volcanic): °C per W/m²</t>
  </si>
  <si>
    <t xml:space="preserve">  GHG ERF only: °C per W/m²</t>
  </si>
  <si>
    <t>Two-factor: anomaly = a + b·anthro ERF + c·ONI</t>
  </si>
  <si>
    <t xml:space="preserve">  b: °C per W/m²</t>
  </si>
  <si>
    <t xml:space="preserve">  b × F2x, °C per doubling (historical regression, not TCR)</t>
  </si>
  <si>
    <t xml:space="preserve">  naive SE of b → AR(1)-adjusted SE</t>
  </si>
  <si>
    <t xml:space="preserve">  h: °C per W/m² of aerosol forcing</t>
  </si>
  <si>
    <t xml:space="preserve">  correlation between GHG and aerosol ERF series</t>
  </si>
  <si>
    <t>End-to-end check</t>
  </si>
  <si>
    <t xml:space="preserve">  anthro ERF change, 1959 to 2025 (W/m²)</t>
  </si>
  <si>
    <t xml:space="preserve">  fitted warming over the same span (°C)</t>
  </si>
  <si>
    <t>Recent residual check (anthro ERF + ENSO model)</t>
  </si>
  <si>
    <t xml:space="preserve">  mean residual 2023-2025 (°C)</t>
  </si>
  <si>
    <t xml:space="preserve">  mean residual 1959-2022 (°C)</t>
  </si>
  <si>
    <t xml:space="preserve">  aerosol ERF change 2019 to 2025 (W/m²)</t>
  </si>
  <si>
    <t xml:space="preserve">  implied temperature effect at b (°C)</t>
  </si>
  <si>
    <t>Variant: volcanic ERF as its own regressor: anomaly = a + b·anthro ERF + v·volcanic ERF + c·ONI</t>
  </si>
  <si>
    <t xml:space="preserve">  b: °C per W/m² (anthro)</t>
  </si>
  <si>
    <t xml:space="preserve">  v: °C per W/m² (volcanic, annual mean)</t>
  </si>
  <si>
    <t xml:space="preserve">  b × F2x, this variant (not TCR)</t>
  </si>
  <si>
    <t xml:space="preserve">  correlation, log2(CO2) vs anthro ERF (why they are interchangeable)</t>
  </si>
  <si>
    <t xml:space="preserve">  CO2 share of anthro ERF, 1959 → 2025 (NOT constant)</t>
  </si>
  <si>
    <t xml:space="preserve">  95% interval on b × F2x including F2x uncertainty (5-95% → σ = 0.47/1.645), low / high</t>
  </si>
  <si>
    <t xml:space="preserve">  b × F2x using this file's implied F2x (T4) instead of 3.93</t>
  </si>
  <si>
    <t xml:space="preserve">  mean residual 2023-2025, volcanic-ERF variant (includes Hunga Tonga H2O in ERF)</t>
  </si>
  <si>
    <t>CO2 alone (non-CO2 human forcing and ENSO removed at the fitted coefficients)</t>
  </si>
  <si>
    <t xml:space="preserve">  slope of adjusted anomaly on log2(CO2): °C per doubling</t>
  </si>
  <si>
    <t xml:space="preserve">  check: b × implied F2x from this file (T14 × T4)</t>
  </si>
  <si>
    <t>Attribution of fitted warming, 1959 → 2025 (ΔERF × b)</t>
  </si>
  <si>
    <t xml:space="preserve">  CO2 (°C)</t>
  </si>
  <si>
    <t xml:space="preserve">  other greenhouse gases (°C)</t>
  </si>
  <si>
    <t xml:space="preserve">  ozone, land use, contrails, BC on snow, strat. H2O (°C)</t>
  </si>
  <si>
    <t xml:space="preserve">  aerosols (°C)</t>
  </si>
  <si>
    <t xml:space="preserve">  total fitted anthropogenic (°C)  |  observed change 1959→2025</t>
  </si>
  <si>
    <t>1. Replacing log2(CO2) with total anthropogenic ERF (all greenhouse gases, aerosols, ozone, land use) gives ~0.40 °C per W/m². Multiplied by the 3.93 W/m² of a CO2 doubling that is ~1.6 °C, inside the IPCC AR6 likely range for the transient climate response (1.4-2.2, best 1.8). This is the only number in the workbook that can be set beside a published transient-response metric at all, because the regressor contains everything humans have done rather than CO2 standing in for it; it is still a historical-regression scaling, not TCR (see note 7).</t>
  </si>
  <si>
    <t>2. The R² is essentially the same as for log2(CO2) alone because the two series are almost perfectly collinear (r ≈ 0.997, cell T41), NOT because CO2 is a constant share of human forcing: its share falls from ~2.3× net anthropogenic ERF in 1959 (aerosols then offset most of the GHG forcing) to ~0.75× in 2025 (cells T42:U42). Collinearity means log2(CO2) proxies for the whole anthropogenic package, which is why its "2.7 °C per doubling" is not a CO2-only response. (Corrected after the Sept 2026 review; the earlier wording was wrong.)</t>
  </si>
  <si>
    <t>5. Recent warmth: after anthropogenic forcing and ENSO, 2023-2025 sit ~+0.14 °C above the fit (T31), and ~+0.13 with volcanic ERF (which carries the Hunga Tonga water-vapour term) as its own regressor (T45). In the IGCC 2025 file aerosol ERF rises +0.15 W/m² from 2019 to 2025 (T33), worth ~0.06 °C at this slope (T34): the shipping-fuel sulfur cut and other aerosol declines explain part, not most, of the excess. IGCC itself attributes some of the 2024-25 aerosol change to biomass burning. Remaining candidates are Earth-albedo decline (less low cloud), solar cycle 25 peak (~+0.05), and internal variability. Open question as of 2025-26; the earlier wording here ("not supported at any meaningful size") was too strong and was corrected after the Sept 2026 review.</t>
  </si>
  <si>
    <t>8. CO2 alone (T47:U55, added Sept 2026): the descriptive 2.7 °C per doubling attributes all co-trending human forcing to CO2. Removing the non-CO2 anthropogenic forcing and ENSO from the temperature at the fitted coefficients, then regressing on log2(CO2), gives ~1.6 °C per doubling, which is b × F2x by construction and is the CO2-only transient number. Attribution of the 1959-2025 fitted warming: CO2 ~60%, other GHGs ~30%, ozone/land use/other ~14%, aerosols ~-2% net (aerosols were already large in 1959 and are about the same size in 2025, having risen and fallen in between). Assumes equal warming per W/m² across agents.</t>
  </si>
  <si>
    <t>6. Same caveat as everywhere: descriptive regressions; a 66-year single-realisation record cannot pin down equilibrium climate sensitivity. But the F2x-scaled number here is a legitimate observational constraint of the kind published in the literature (e.g. Otto et al. 2013, Lewis &amp; Curry), and it lands where they do.</t>
  </si>
  <si>
    <t>Response: log2 CO2 (τ_CO2)</t>
  </si>
  <si>
    <t>Response: ONI (τ_ENSO)</t>
  </si>
  <si>
    <t>Response: AOD (τ_AOD)</t>
  </si>
  <si>
    <t>Response: TSI (τ_TSI)</t>
  </si>
  <si>
    <t>Fitted: CO2+ENSO+AOD (kernel)</t>
  </si>
  <si>
    <t>Residual (kernel)</t>
  </si>
  <si>
    <t>helper: prediction from 1958-95 training fit</t>
  </si>
  <si>
    <t>Response time constants (edit yellow cells; months)</t>
  </si>
  <si>
    <t>a = e^(-1/τ)</t>
  </si>
  <si>
    <t>τ_CO2 (0 = no filtering)</t>
  </si>
  <si>
    <t>τ_ENSO</t>
  </si>
  <si>
    <t>τ_AOD</t>
  </si>
  <si>
    <t>τ_TSI</t>
  </si>
  <si>
    <t>Response y(t) = a·y(t-1) + (1-a)·x(t): a one-box exponential response, equivalent to a distributed lag with weights (1-a)·a^k.</t>
  </si>
  <si>
    <t>Monthly regressions with exponential-response regressors</t>
  </si>
  <si>
    <t>k (months)</t>
  </si>
  <si>
    <t>ENSO weight</t>
  </si>
  <si>
    <t>AOD weight</t>
  </si>
  <si>
    <t>Three-factor: anomaly = a + b·R(log2 CO2) + c·R(ONI) + d·R(AOD)</t>
  </si>
  <si>
    <t xml:space="preserve">  c: °C per unit ONI (response)</t>
  </si>
  <si>
    <t xml:space="preserve">  d: °C per unit AOD (response)</t>
  </si>
  <si>
    <t xml:space="preserve">  R² of single-lag model (Volcanic tab) on the same months</t>
  </si>
  <si>
    <t xml:space="preserve">  R² of this model on those same months (check: equals R² above)</t>
  </si>
  <si>
    <t xml:space="preserve">  months in that same-month comparison</t>
  </si>
  <si>
    <t>Four-factor: + e·R(TSI) (months through Dec 2023)</t>
  </si>
  <si>
    <t xml:space="preserve">  e ÷ ((1-albedo)/4): °C per W/m² of solar forcing</t>
  </si>
  <si>
    <t>Implied peak effects (coefficient × peak of the response series)</t>
  </si>
  <si>
    <t xml:space="preserve">  Pinatubo cooling (°C)</t>
  </si>
  <si>
    <t xml:space="preserve">  Agung cooling (°C)</t>
  </si>
  <si>
    <t xml:space="preserve">  El Chichón cooling (°C)</t>
  </si>
  <si>
    <t xml:space="preserve">  1997-98 El Niño warming (°C)</t>
  </si>
  <si>
    <t xml:space="preserve">  2015-16 El Niño warming (°C)</t>
  </si>
  <si>
    <t>Recent residual check (kernel model)</t>
  </si>
  <si>
    <t>1. Each control now enters through an exponential response instead of a single lag: the temperature effect of this month's ONI or AOD is spread over the following months with weights (1-a)·a^k. This is the one-box energy-balance form used in the published regression literature (e.g. Foster &amp; Rahmstorf 2011 use lags; Lean &amp; Rind 2008 and the energy-budget papers use response kernels).</t>
  </si>
  <si>
    <t>2. On identical months the kernel model beats the single-lag model (R² 0.904 vs 0.898) with the same number of free parameters once τ is fixed. The selected time constants (~6 months ENSO, ~12 months volcanic) are consistent with the physics: transport for ENSO, mixed-layer heat capacity for a forcing pulse.</t>
  </si>
  <si>
    <t>3. Coefficients on the response series are larger than on the raw series (ENSO ~0.14 vs 0.09, AOD ~-3.4 vs -2.2) because the response series are smoother with smaller peaks; the implied peak effects (Pinatubo ~-0.26 °C, 1997-98 and 2015-16 El Niños ~+0.22 to +0.26 °C) are what to compare, and they are close to the single-lag values and to the literature.</t>
  </si>
  <si>
    <t>4. The CO2 coefficient is unchanged (~2.70). τ_CO2 is deliberately 0: raising it increases the coefficient without any R² optimum, which is the transient-vs-equilibrium identification problem stated as a spreadsheet experiment. Try it.</t>
  </si>
  <si>
    <t>5. TSI: the coefficient roughly doubles with τ_TSI = 12 because the response series has smaller amplitude, but the implied response per W/m² of solar forcing (~0.40) is essentially the same as the sustained-forcing response on the Forcing tab, which is what a consistent one-box model should give. R² does not depend on τ_TSI.</t>
  </si>
  <si>
    <t>7. Validation (revised after the Sept 2026 review): P51:P60 is a coefficient holdout only, because τ was chosen on the full record. A fully nested test is at P62:Q70. Choosing τ on 1958-95 alone by training R² picks long τ (24, 24) and the 1996-2025 holdout degrades (R² 0.61, bias -0.085 °C): a single early split cannot identify τ_ENSO and the max-R² rule over-smooths. Under blocked 7-fold cross-validation, with τ and coefficients both chosen out-of-fold, every fold selects τ_ENSO of 6-9 and most select τ_AOD of 12, and the pooled out-of-fold R² is 0.887 vs 0.904 in-sample (CO2-only: 0.838). The kernel specification survives nested validation; the τ values are stable; the in-sample ΔR² is modestly optimistic.</t>
  </si>
  <si>
    <t>8. Initialisation: each response series starts at the first available raw value, so the first few months carry that arbitrary state (ONI has only 3 months of spin-up before the fit starts at row 9). With τ ≤ 12 the effect on a 67-year regression is negligible, but it is a modelling choice, not data.</t>
  </si>
  <si>
    <t>6. The 2023-2025 residual is still ~+0.15 °C. Better lag structure for the natural controls does not explain the recent excess; that conclusion is robust to this methodological change.</t>
  </si>
  <si>
    <t xml:space="preserve">  a (training)</t>
  </si>
  <si>
    <t xml:space="preserve">  b: °C per CO2 doubling (training only)</t>
  </si>
  <si>
    <t xml:space="preserve">  c: ONI (training)</t>
  </si>
  <si>
    <t xml:space="preserve">  d: AOD (training)</t>
  </si>
  <si>
    <t xml:space="preserve">  R² in the training period</t>
  </si>
  <si>
    <t xml:space="preserve">  holdout R² on 1996-2025 (training coefficients, no refit)</t>
  </si>
  <si>
    <t xml:space="preserve">  mean prediction error 1996-2025 (°C, observed minus predicted)</t>
  </si>
  <si>
    <t xml:space="preserve">  mean prediction error 2023-2025 (°C)</t>
  </si>
  <si>
    <t xml:space="preserve">  b refit on 1996-2025 only</t>
  </si>
  <si>
    <t>Nested validation (computed offline in Python from these same columns; hardcoded results, see comment)</t>
  </si>
  <si>
    <t>Single split, τ chosen on 1958-95 by max training R² (τ_ENSO 24, τ_AOD 24): holdout R² / bias</t>
  </si>
  <si>
    <t>Single split, τ fixed at (6,12): holdout R² / bias</t>
  </si>
  <si>
    <t>Single split, τ fixed at (3,12): holdout R² / bias</t>
  </si>
  <si>
    <t>Blocked 7-fold CV, τ AND coefficients chosen out-of-fold: pooled R² / bias</t>
  </si>
  <si>
    <t xml:space="preserve">   τ chosen per fold: ENSO 6,6,6,6,9,6,9; AOD 9,12,12,24,12,12,12</t>
  </si>
  <si>
    <t>Blocked 7-fold CV, τ fixed at (6,12), coefficients out-of-fold: pooled R² / bias</t>
  </si>
  <si>
    <t>Blocked 7-fold CV, CO2-only model: pooled R²</t>
  </si>
  <si>
    <t>In-sample R², τ (6,12), same rows</t>
  </si>
  <si>
    <t>Land-Ocean: Global Means</t>
  </si>
  <si>
    <t>J-D</t>
  </si>
  <si>
    <t>D-N</t>
  </si>
  <si>
    <t>DJF</t>
  </si>
  <si>
    <t>MAM</t>
  </si>
  <si>
    <t>JJA</t>
  </si>
  <si>
    <t>SON</t>
  </si>
  <si>
    <t>Average</t>
  </si>
  <si>
    <t>C</t>
  </si>
  <si>
    <t>F</t>
  </si>
  <si>
    <t># --------------------------------------------------------------------</t>
  </si>
  <si>
    <t># USE OF NOAA GML DATA</t>
  </si>
  <si>
    <t>#</t>
  </si>
  <si>
    <t># These data are made freely available to the public and the scientific</t>
  </si>
  <si>
    <t># community in the belief that their wide dissemination will lead to</t>
  </si>
  <si>
    <t># greater understanding and new scientific insights. To ensure that GML</t>
  </si>
  <si>
    <t># receives fair credit for their work please include relevant citation</t>
  </si>
  <si>
    <t># text in publications. We encourage users to contact the data providers</t>
  </si>
  <si>
    <t># who can provide detailed information about the measurements and</t>
  </si>
  <si>
    <t># scientific insight.  In cases where the data are central to a</t>
  </si>
  <si>
    <t># publication</t>
  </si>
  <si>
    <t xml:space="preserve"> coauthorship for data providers may be appropriate.</t>
  </si>
  <si>
    <t># Contact:  Xin Lan (xin.lan@noaa.gov)</t>
  </si>
  <si>
    <t># File Creation: Sat Sep  5 03:55:38 2026</t>
  </si>
  <si>
    <t># See gml.noaa.gov/ccgg/trends/ for additional details.</t>
  </si>
  <si>
    <t># Data from March 1958 through April 1974 have been obtained by C. David Keeling</t>
  </si>
  <si>
    <t># of the Scripps Institution of Oceanography (SIO) and were obtained from the</t>
  </si>
  <si>
    <t># Scripps website (scrippsco2.ucsd.edu).</t>
  </si>
  <si>
    <t># Monthly mean CO2 constructed from daily mean values.</t>
  </si>
  <si>
    <t># Scripps data downloaded from http://scrippsco2.ucsd.edu/data/atmospheric_co2</t>
  </si>
  <si>
    <t># Monthly values are corrected to center of month based on average seasonal</t>
  </si>
  <si>
    <t># cycle. Missing days can be asymmetric which would produce a high or low bias.</t>
  </si>
  <si>
    <t># Missing months have been interpolated</t>
  </si>
  <si>
    <t xml:space="preserve"> for NOAA data indicated by negative stdev</t>
  </si>
  <si>
    <t># and uncertainty. We have no information for SIO data about Ndays</t>
  </si>
  <si>
    <t xml:space="preserve"> stdv</t>
  </si>
  <si>
    <t xml:space="preserve"> unc</t>
  </si>
  <si>
    <t># so that they are also indicated by negative numbers</t>
  </si>
  <si>
    <t># NOTE: Due to the eruption of the Mauna Loa Volcano</t>
  </si>
  <si>
    <t xml:space="preserve"> measurements from Mauna Loa Observatory</t>
  </si>
  <si>
    <t># were suspended as of Nov. 29</t>
  </si>
  <si>
    <t xml:space="preserve"> 2022 and resumed in July 2023.</t>
  </si>
  <si>
    <t># Observations starting from December 2022 to July 4</t>
  </si>
  <si>
    <t xml:space="preserve"> 2023 are from a site at the</t>
  </si>
  <si>
    <t># Maunakea Observatories</t>
  </si>
  <si>
    <t xml:space="preserve"> approximately 21 miles north of the Mauna Loa Observatory.</t>
  </si>
  <si>
    <t>year</t>
  </si>
  <si>
    <t>month</t>
  </si>
  <si>
    <t>decimal date</t>
  </si>
  <si>
    <t>average</t>
  </si>
  <si>
    <t>deseasonalized</t>
  </si>
  <si>
    <t>ndays</t>
  </si>
  <si>
    <t>sdev</t>
  </si>
  <si>
    <t>unc</t>
  </si>
  <si>
    <t># File Creation: Sat Sep  5 03:55:47 2026</t>
  </si>
  <si>
    <t># The estimated uncertainty in the annual mean is the standard deviation</t>
  </si>
  <si>
    <t># of the differences of annual mean values determined independently by</t>
  </si>
  <si>
    <t># NOAA/ESRL and the Scripps Institution of Oceanography.</t>
  </si>
  <si>
    <t># NOTE: In general</t>
  </si>
  <si>
    <t xml:space="preserve"> the data presented for the last year are subject to change</t>
  </si>
  <si>
    <t># depending on recalibration of the reference gas mixtures used</t>
  </si>
  <si>
    <t xml:space="preserve"> and other quality</t>
  </si>
  <si>
    <t># control procedures. Occasionally</t>
  </si>
  <si>
    <t xml:space="preserve"> earlier years may also be changed for the same</t>
  </si>
  <si>
    <t># reasons.  Usually these changes are minor.</t>
  </si>
  <si>
    <t># CO2 expressed as a mole fraction in dry air</t>
  </si>
  <si>
    <t xml:space="preserve"> micromol/mol</t>
  </si>
  <si>
    <t xml:space="preserve"> abbreviated as ppm</t>
  </si>
  <si>
    <t>mean</t>
  </si>
  <si>
    <t>The 2023-2025 residual: a budget</t>
  </si>
  <si>
    <t>Two residuals are computed in this workbook and they already include different things, so each candidate is compared only with the residual it is NOT already part of. All links are live; the documented inputs are in blue. EXPLORATORY RESIDUAL BUDGET, NOT A FORMAL ATTRIBUTION ANALYSIS.</t>
  </si>
  <si>
    <t>A. Monthly model: CO2 (proxy) + ENSO + sulfate AOD, single lags</t>
  </si>
  <si>
    <t>Residual to explain, mean 2023-2025 (°C)</t>
  </si>
  <si>
    <t>Volcanic!N39; kernel version Kernel!P40 gives</t>
  </si>
  <si>
    <t>Candidates not in that model:</t>
  </si>
  <si>
    <t xml:space="preserve">  1. Aerosol forcing rise 2019 → 2025 (IGCC 2025) × 0.41 °C per W/m²</t>
  </si>
  <si>
    <t>Forcing!T33 × Forcing!T14. IGCC attributes part of the 2024-25 change to biomass burning, part to shipping-fuel sulfur.</t>
  </si>
  <si>
    <t xml:space="preserve">  2. Solar cycle 25 near maximum: 2023-25 TSI above the 1959-2023 mean × solar coefficient</t>
  </si>
  <si>
    <t>NOAA Solar CDR v3 (NNLTSI1) yearly values (input D22) × Solar!O18. The coefficient is fitted on 1959-2023 so the years being explained do not enter it; see Sensitivity tab.</t>
  </si>
  <si>
    <t xml:space="preserve">  3. Hunga Tonga stratospheric water vapour, 2023-25 mean ERF × response</t>
  </si>
  <si>
    <t>Pulse response (Volcanic!N36 ≈ 0.13 °C per W/m²): low estimate. At the sustained response (Forcing!T14) it would be</t>
  </si>
  <si>
    <t xml:space="preserve">  Sum of candidates, low / high (°C)</t>
  </si>
  <si>
    <t xml:space="preserve">  Left after candidates, low / high (°C)</t>
  </si>
  <si>
    <t>B. Annual model: full anthropogenic ERF (aerosols included) + volcanic ERF (water vapour included) + ENSO</t>
  </si>
  <si>
    <t>Forcing!T45. Aerosol change and Hunga Tonga H2O are inside this model, so only solar remains as a forcing candidate.</t>
  </si>
  <si>
    <t xml:space="preserve">  Solar cycle 25 (as above)</t>
  </si>
  <si>
    <t xml:space="preserve">  Left after solar (°C)</t>
  </si>
  <si>
    <t xml:space="preserve">  Compare: standard deviation of the annual residuals, and the standard error of a 3-year mean allowing for their autocorrelation</t>
  </si>
  <si>
    <t>Forcing!Q2:Q68; AR(1) factor from Forcing!T18</t>
  </si>
  <si>
    <t>Documented inputs</t>
  </si>
  <si>
    <t xml:space="preserve">  (superseded) TSI level assumed for 2024-25 = the 2023 NRLTSI2 annual mean; kept for comparison</t>
  </si>
  <si>
    <t>← solar line as first estimated (°C)</t>
  </si>
  <si>
    <t xml:space="preserve">  Hunga Tonga stratospheric H2O ERF, mean 2023-2025 (W/m²)</t>
  </si>
  <si>
    <t>ClimateIndicator volcanic_sAOD_ERF_monthly.csv, ERF_H2O column: 0.18 (2023), 0.15 (2024), 0.12 (2025). Hardcoded; not in the workbook's monthly AOD.</t>
  </si>
  <si>
    <t xml:space="preserve">  Solar CDR v3: mean TSI 2023-25 minus mean 1959-2023 (W/m²)</t>
  </si>
  <si>
    <t>From the yearly v3 series on the Sensitivity tab (2023: 1362.45, 2024: 1362.56, 2025: 1362.42; record mean 1361.66).</t>
  </si>
  <si>
    <t>How to read this</t>
  </si>
  <si>
    <t>1. In the monthly model, the three forcings the literature names for 2023-25 (aerosol decline, solar maximum, Hunga Tonga water vapour), valued at this workbook's own fitted responses, sum to roughly the residual. That is stronger than "open question" and weaker than "explained": each line has its own uncertainty, and the water-vapour line spans a factor of three depending on whether the pulse or sustained response applies. The solar line now uses the actual NOAA Solar CDR v3 values for 2023-25 rather than an assumed level.</t>
  </si>
  <si>
    <t>2. In the annual model, aerosols and water vapour are already fitted, and ~0.13 °C remains. Solar accounts for roughly half. What is left (~0.07 °C) is about one standard error of a 3-year mean residual, so it cannot be distinguished from single-realisation noise with this record. It also cannot be ruled out as something real, e.g. the low-cloud / albedo decline reported in CERES data, which is not a separate line here because it may be the mechanism through which the aerosol change acts rather than an addition to it.</t>
  </si>
  <si>
    <t>3. Both residuals are relative to models fitted over the whole record, so "solar" here means the departure of the cycle-25 maximum from the average solar level in the fit, not the full cycle amplitude. Caution: refitting the solar coefficient with 2024-25 included raises it (Sensitivity tab), because those years are both solar-maximum and unusually warm; using the 1959-2023 coefficient avoids letting the years being explained shape the explanation.</t>
  </si>
  <si>
    <t>ONI v6 (ERSSTv6), same month</t>
  </si>
  <si>
    <t>ONI v6 lag 3</t>
  </si>
  <si>
    <t>AOD: GloSSAC v2.24 from 1979, CMIP7 before (same month)</t>
  </si>
  <si>
    <t>AOD updated, lag 7</t>
  </si>
  <si>
    <t>ONI v5 lag 3 (baseline, from Volcanic)</t>
  </si>
  <si>
    <t>AOD baseline lag 7 (from Volcanic)</t>
  </si>
  <si>
    <t>x: log2</t>
  </si>
  <si>
    <t>x: ONI v6 lag3</t>
  </si>
  <si>
    <t>x: AOD baseline</t>
  </si>
  <si>
    <t>x: ONI v5 lag3</t>
  </si>
  <si>
    <t>x: AOD updated</t>
  </si>
  <si>
    <t>resid: ONI v6</t>
  </si>
  <si>
    <t>resid: AOD updated</t>
  </si>
  <si>
    <t>resid: both</t>
  </si>
  <si>
    <t>TSI, NOAA Solar CDR v3 yearly (W/m²)</t>
  </si>
  <si>
    <t>TSI NRLTSI2 annual (Solar tab)</t>
  </si>
  <si>
    <t>Sensitivity of the three-factor monthly model (CO2 + ENSO lag 3 + AOD lag 7; rows 9-822, 814 months) to updated control datasets, and of the annual solar model to the NOAA Solar CDR v3</t>
  </si>
  <si>
    <t>Baseline values link to the Volcanic and Solar tabs; the variants are fitted here by LINEST on the same months/years. Inputs (blue): ONI v6 from NOAA CPC (ERSSTv6), Jan 1950 - Jul 2026; GloSSAC v2.24 global-mean 550 nm stratospheric AOD from the NASA GISS reduction (tau_reff_GloSSAC.v2.24.nc, area-weighted over 24 latitude bands), Jan 1979 - Dec 2025, with CMIP7 values before 1979 as in the baseline; NOAA Solar CDR v3 (NNLTSI1, tsi_v03r00_yearly_s1610_e2025_c20260305.nc), yearly means 1959-2025.</t>
  </si>
  <si>
    <t>Statistic</t>
  </si>
  <si>
    <t>ONI v6</t>
  </si>
  <si>
    <t>AOD updated</t>
  </si>
  <si>
    <t>Both</t>
  </si>
  <si>
    <t>Baseline (Volcanic tab)</t>
  </si>
  <si>
    <t xml:space="preserve">  implied Pinatubo peak cooling, d × peak AOD (°C)</t>
  </si>
  <si>
    <t>Dataset agreement</t>
  </si>
  <si>
    <t xml:space="preserve">  ONI v6 vs v5: correlation over the overlap (Jul 1958 - Jul 2026)</t>
  </si>
  <si>
    <t xml:space="preserve">  AOD updated vs baseline: correlation, 1979-2025 (rows 252-815)</t>
  </si>
  <si>
    <t xml:space="preserve">  AOD mean 1979-2025: updated / baseline</t>
  </si>
  <si>
    <t xml:space="preserve">  TSI v3 vs NRLTSI2, annual 1959-2023: correlation / mean offset (W/m²)</t>
  </si>
  <si>
    <t>Solar sensitivity: annual anomaly = a + b·log2(CO2) + e·TSI</t>
  </si>
  <si>
    <t>v3, 1959-2023</t>
  </si>
  <si>
    <t>v3, 1959-2025</t>
  </si>
  <si>
    <t>NRLTSI2, 1959-2023 (Solar tab)</t>
  </si>
  <si>
    <t xml:space="preserve">  e: °C per W/m² of TSI</t>
  </si>
  <si>
    <t xml:space="preserve">  TSI linear trend 1959-2025, W/m² per decade</t>
  </si>
  <si>
    <t xml:space="preserve">  R², anomaly vs TSI alone, 1959-2025</t>
  </si>
  <si>
    <t>1. ONI v6 (ERSSTv6) is statistically indistinguishable from the v5 series used throughout (r &gt; 0.999, no drift between them). Every coefficient changes in the third or fourth decimal. RONI on ERSSTv6 was not supplied and remains untested; RONI itself, on the v5 basis CPC publishes, was tested in v1.4 and is reported in Open Items section A.</t>
  </si>
  <si>
    <t>2. GloSSAC v2.24 agrees with the ClimateIndicator AOD series to r ≈ 0.99 and has the same Pinatubo peak, but a lower quiet-period background (≈0.010 vs 0.014). That makes eruptions stand out more against background, so the volcanic coefficient strengthens (≈ -2.6 vs -2.2 °C per unit AOD) and the implied Pinatubo cooling rises to ≈ -0.28 °C; R² rises by 0.001 and the CO2 slope moves by -0.02. The 2023-25 residual is unchanged at ≈ +0.15 °C.</t>
  </si>
  <si>
    <t>3. NOAA Solar CDR v3 (NNLTSI1) sits 0.56 W/m² above NRLTSI2 on a new absolute scale (TSIS-1), with r ≈ 0.995 between the two annual series and no relative trend; the offset goes into the intercept and the solar coefficient on the common 1959-2023 window is unchanged (0.068 vs 0.067 °C per W/m²). Extending the fit to 2025 raises the coefficient to ≈ 0.09 because 2024-25 are both solar-maximum years and unusually warm years; that is the solar term absorbing part of the 2023-25 residual, not new information about the Sun, and it is why the Recent 2023-25 tab uses the 1959-2023 coefficient. TSI still has no meaningful trend and R² ≈ 0.04 on its own.</t>
  </si>
  <si>
    <t>4. Conclusion: none of the three superseded-dataset warnings in the Summary changes any result. Method for the monthly cases is identical to the Volcanic tab (single lags of 3 and 7 months, OLS on rows 9-822); kernel and annual-forcing models were not rerun and, given the agreement above, would move by similar amounts.</t>
  </si>
  <si>
    <t>ERF uncertainty propagated through the anthropogenic-ERF regression (Forcing!T13:T17). IGCC 2025 5-95% percentile files; script erf_uncertainty.py; values hardcoded (blue)</t>
  </si>
  <si>
    <t>Case (annual anomaly = a + b·anthro ERF + c·ONI lag 3, 1959-2025)</t>
  </si>
  <si>
    <t>b, °C per W/m²</t>
  </si>
  <si>
    <t>b × F2x, °C per doubling</t>
  </si>
  <si>
    <t>Note</t>
  </si>
  <si>
    <t xml:space="preserve">  Best estimate (live link)</t>
  </si>
  <si>
    <t>F2x = Forcing!T3</t>
  </si>
  <si>
    <t xml:space="preserve">  Anthropogenic total at its pointwise 5th percentile</t>
  </si>
  <si>
    <t>2025 value 2.35 W/m² (best 3.10). Pointwise percentiles are envelopes, not ensemble members</t>
  </si>
  <si>
    <t xml:space="preserve">  Anthropogenic total at its pointwise 95th percentile</t>
  </si>
  <si>
    <t>2025 value 3.83 W/m²</t>
  </si>
  <si>
    <t xml:space="preserve">  Aerosol (ARI + ACI) series × 1.67 (its 2019 5th pct / best), others best</t>
  </si>
  <si>
    <t>Aerosol ERF 2019: -1.11 best, 5-95% -1.86 to -0.45</t>
  </si>
  <si>
    <t xml:space="preserve">  Aerosol series × 0.41 (its 2019 95th pct / best)</t>
  </si>
  <si>
    <t xml:space="preserve">  WMGHG (CO2+CH4+N2O+halogens) series × 0.91 / × 1.09</t>
  </si>
  <si>
    <t>0.4423 / 0.3802</t>
  </si>
  <si>
    <t>1.738 / 1.494</t>
  </si>
  <si>
    <t>WMGHG 2019 5-95% is ±9%; ±12% for CO2 alone</t>
  </si>
  <si>
    <t>CO2 1.50-1.72; O3 1.54-1.68; ARI 1.55-1.66; ACI 1.59-1.60</t>
  </si>
  <si>
    <t xml:space="preserve">  Monte Carlo, 20,000 draws: each of 11 components scaled independently, normal, sd = 2019 half-width / 1.645. 5th / 50th / 95th, sd</t>
  </si>
  <si>
    <t>1.46 / 1.60 / 1.77</t>
  </si>
  <si>
    <t>sd 0.095 (ERF uncertainty alone)</t>
  </si>
  <si>
    <t xml:space="preserve">  Same, CO2 ERF held at best (non-CO2 ERF uncertainty only)</t>
  </si>
  <si>
    <t>1.50 / 1.60 / 1.72</t>
  </si>
  <si>
    <t>sd 0.068</t>
  </si>
  <si>
    <t xml:space="preserve">  Full: all components + F2x scaled by the same draw as CO2 ERF + AR(1) regression noise (Forcing!U19)</t>
  </si>
  <si>
    <t>1.43 / 1.60 / 1.78</t>
  </si>
  <si>
    <t>sd 0.107; 2.5-97.5% 1.39-1.81</t>
  </si>
  <si>
    <t xml:space="preserve">  Quadrature, treated as independent: time-series 0.066, F2x 0.117, non-CO2 ERF 0.068 → total SE</t>
  </si>
  <si>
    <t>90% 1.36-1.85; 95% 1.31-1.90. Compare Forcing!T43:U43 (1.34-1.87, no ERF term)</t>
  </si>
  <si>
    <t>How to read this block</t>
  </si>
  <si>
    <t>4. Conclusion: adding ERF uncertainty widens the headline interval by roughly 0.05 °C per doubling at each end and does not change the finding. The Summary tile caption "aerosol-ERF uncertainty not propagated" is superseded by this block.</t>
  </si>
  <si>
    <t>Sources and citations</t>
  </si>
  <si>
    <t>Every input series and every literature comparison used in this workbook. Dataset retrieval dates are those recorded in the header-cell comments of the tab named. All references checked against publisher records on 2026-10-23: section A against Crossref and DataCite, section C against Crossref, with the outcome in each row's Status cell. One correction resulted, at L8. Row 36 is not a reference and carries no claim: it is a placeholder for a low-cloud and albedo estimate this workbook does not cite.</t>
  </si>
  <si>
    <t>A. Datasets</t>
  </si>
  <si>
    <t>Dataset</t>
  </si>
  <si>
    <t>Provider and URL</t>
  </si>
  <si>
    <t>Version / file</t>
  </si>
  <si>
    <t>Retrieved</t>
  </si>
  <si>
    <t>Variable used</t>
  </si>
  <si>
    <t>Transformation in this workbook</t>
  </si>
  <si>
    <t>Coverage used</t>
  </si>
  <si>
    <t>Where in workbook</t>
  </si>
  <si>
    <t>Terms</t>
  </si>
  <si>
    <t>Citation</t>
  </si>
  <si>
    <t>1</t>
  </si>
  <si>
    <t>Global surface temperature, GISTEMP v4, Land-Ocean Temperature Index, monthly</t>
  </si>
  <si>
    <t>NASA GISS, https://data.giss.nasa.gov/gistemp/</t>
  </si>
  <si>
    <t>GLB.Ts+dSST.csv</t>
  </si>
  <si>
    <t>Monthly anomaly, °C vs 1951-1980</t>
  </si>
  <si>
    <t>+14.0 °C and °F on Temp Dev; reversed on Analysis (I3 assumption)</t>
  </si>
  <si>
    <t>Mar 1958 - Aug 2026 (822 months)</t>
  </si>
  <si>
    <t>GLB.Ts+dSST (4) → Temp Dev, C, F → F Plus CO2 → Analysis</t>
  </si>
  <si>
    <t>US Government work, public domain; cite</t>
  </si>
  <si>
    <t>Lenssen et al. (2019), J. Geophys. Res. Atmos. 124, 6307-6326, doi:10.1029/2018JD029522</t>
  </si>
  <si>
    <t>2</t>
  </si>
  <si>
    <t>Atmospheric CO2, Mauna Loa monthly mean</t>
  </si>
  <si>
    <t>NOAA GML, https://gml.noaa.gov/ccgg/trends/</t>
  </si>
  <si>
    <t>co2_mm_mlo.csv, file created 2026-09-05</t>
  </si>
  <si>
    <t>"average" column, ppm (seasonal cycle retained)</t>
  </si>
  <si>
    <t>log2(CO2/280) on Analysis (I4 assumption)</t>
  </si>
  <si>
    <t>Mar 1958 - Aug 2026</t>
  </si>
  <si>
    <t>co2_mm_mlo → F Plus CO2 col C → Analysis</t>
  </si>
  <si>
    <t>Free; NOAA GML requests citation</t>
  </si>
  <si>
    <t>CORRECTED in v1.7.11. The DOI previously here, 10.15138/9N0H-ZH07, is "Trends in globally-averaged CO2 determined from NOAA Global Monitoring Laboratory measurements" (checked against DataCite 2026-10-23): the global product, not this series. Cite instead the NOAA GML Mauna Loa record, Lan, Tans and Thoning, gml.noaa.gov/ccgg/trends/ , AND Keeling, C.D. et al. (1976), Atmospheric carbon dioxide variations at Mauna Loa Observatory, Hawaii, Tellus 28(6), 538-551, doi:10.1111/j.2153-3490.1976.tb00701.x, verified against Crossref 2026-10-23. The Keeling citation is not optional here: the imported file header states that March 1958 through April 1974 was obtained by C. David Keeling of Scripps, and this workbook's series begins March 1958, so the first sixteen years of its CO2 input are Scripps data.</t>
  </si>
  <si>
    <t>3</t>
  </si>
  <si>
    <t>Total solar irradiance, NRLTSI2 (NOAA Solar CDR v2.1), monthly</t>
  </si>
  <si>
    <t>LASP LISIRD, https://lasp.colorado.edu/lisird/</t>
  </si>
  <si>
    <t>nrl2_tsi_P1M</t>
  </si>
  <si>
    <t>2026-09-19</t>
  </si>
  <si>
    <t>Monthly mean TSI, W/m²</t>
  </si>
  <si>
    <t>None; annual means on Solar tab</t>
  </si>
  <si>
    <t>Jan 1958 - Dec 2023</t>
  </si>
  <si>
    <t>Solar!D, Solar!I</t>
  </si>
  <si>
    <t>NOAA Climate Data Record use agreement, resolved 2026-10-23 against the agency's own document: UseAgreement_01B-32.pdf, "Fair Use of NOAA's CDR Data Sets, Algorithms and Documentation", states that "the CDR data sets are non-proprietary, publicly available, and no restrictions are placed upon their use". Citation and acknowledgement are urged, not required, and there is no notification requirement, so redistributing these values is permitted. The one carve-out is the CDR production software, which that document places outside the Open Data policies; this workbook ships none of it. Applies to items 3 and 4, which share this cell's text.</t>
  </si>
  <si>
    <t>Coddington et al. (2016), Bull. Amer. Meteor. Soc. 97, 1265-1282, doi:10.1175/BAMS-D-14-00265.1</t>
  </si>
  <si>
    <t>4</t>
  </si>
  <si>
    <t>Total solar irradiance, NOAA Solar CDR v3 (NNLTSI1), yearly</t>
  </si>
  <si>
    <t>NOAA NCEI, https://www.ncei.noaa.gov/products/climate-data-records/total-solar-irradiance</t>
  </si>
  <si>
    <t>tsi_v03r00_yearly_s1610_e2025_c20260305.nc</t>
  </si>
  <si>
    <t>2026-09-21</t>
  </si>
  <si>
    <t>Yearly mean TSI, W/m²</t>
  </si>
  <si>
    <t>None</t>
  </si>
  <si>
    <t>1959-2025</t>
  </si>
  <si>
    <t>Sensitivity!AL; Recent 2023-25!D22</t>
  </si>
  <si>
    <t>File metadata: Coddington, Lean, Lindholm, Pilewskie, NOAA CDR Program (2026)</t>
  </si>
  <si>
    <t>5</t>
  </si>
  <si>
    <t>ENSO, Oceanic Niño Index on ERSSTv5</t>
  </si>
  <si>
    <t>NOAA CPC, https://www.cpc.ncep.noaa.gov/products/analysis_monitoring/ensostuff/ONI_v5.php</t>
  </si>
  <si>
    <t>oni.ascii.txt</t>
  </si>
  <si>
    <t>3-month running mean Niño 3.4 anomaly, centred 30-yr bases</t>
  </si>
  <si>
    <t>Season placed at centre month; lagged 3 months</t>
  </si>
  <si>
    <t>Jul 1958 - Jul 2026</t>
  </si>
  <si>
    <t>ENSO!F, ENSO!D</t>
  </si>
  <si>
    <t>US Government work, public domain</t>
  </si>
  <si>
    <t>Huang et al. (2017), J. Climate 30, 8179-8205, doi:10.1175/JCLI-D-16-0836.1</t>
  </si>
  <si>
    <t>6</t>
  </si>
  <si>
    <t>ENSO, Oceanic Niño Index on ERSSTv6</t>
  </si>
  <si>
    <t>NOAA CPC, https://www.cpc.ncep.noaa.gov/products/analysis_monitoring/ensostuff/ONI_v6.php</t>
  </si>
  <si>
    <t>Year-by-season table (ONIv6.xlsx)</t>
  </si>
  <si>
    <t>As above</t>
  </si>
  <si>
    <t>Jan 1950 - Jul 2026</t>
  </si>
  <si>
    <t>Sensitivity!D</t>
  </si>
  <si>
    <t>7</t>
  </si>
  <si>
    <t>Stratospheric aerosol optical depth and volcanic ERF, monthly</t>
  </si>
  <si>
    <t>ClimateIndicator / IGCC, https://github.com/ClimateIndicator/forcing-timeseries (Zenodo doi:10.5281/zenodo.10706344)</t>
  </si>
  <si>
    <t>output/volcanic_sAOD_ERF_monthly.csv</t>
  </si>
  <si>
    <t>stratospheric_AOD (550 nm, global mean); volcanic_ERF; ERF_H2O</t>
  </si>
  <si>
    <t>Lagged 7 months (Volcanic); τ = 12 mo response (Kernel)</t>
  </si>
  <si>
    <t>Aug 1957 - Dec 2025</t>
  </si>
  <si>
    <t>Volcanic!G:H; Kernel!F; Recent 2023-25!D21</t>
  </si>
  <si>
    <t>MIT Licence, Copyright (c) 2023 Chris Smith; verified against the repository clone at commit 852f4f7 on 2026-10-23. Requires the copyright and permission notices to travel with any copy: see THIRD-PARTY-NOTICES and section F.</t>
  </si>
  <si>
    <t>Forster, P.M. et al. (2026), Indicators of Global Climate Change 2025: annual update of key indicators of the state of the climate system and human influence, Earth Syst. Sci. Data 18(6), 3889-3933, doi:10.5194/essd-18-3889-2026, published 11 June 2026; verified against Crossref 2026-10-23, which closes the CHECK that stood here. For the data rather than the paper, the repository's own deposit is doi:10.5281/zenodo.10706344. The 2025 values here are the published ones, checked 2026-10-23 and worth recording because the repository says otherwise. Its README still warns that "2025 data is preliminary; in many cases it is based on extrapolations and estimates. The data will not be final until IGCC 2025 is published in early summer 2026." That text is stale: git shows it was added on 2026-03-24 in the 2025-prelim merge and the README has not been touched since, while the output files were revised on 2026-05-29 and 2026-06-08, after the paper's revision round. The direct check settles it. The paper states total anthropogenic ERF of 3.10 [2.35 to 3.83] W/m2 in 2025, of which 2.37 from CO2, and aerosol of -0.96 [-1.58 to -0.40]. These files give anthro 3.1035 with p05 2.3460 and p95 3.8347, CO2 2.3709, aerosol -0.9618: the best estimates and the total anthropogenic range agree exactly at the paper's precision. One small difference, recorded rather than smoothed over: the aerosol range here is -1.6003 to -0.3891 against the paper's -1.58 to -0.40, 0.02 and 0.01 apart, which is what a pointwise percentile envelope gives against an ensemble quantile. Sensitivity!AA52 already flags that distinction. Note also that origin/main is still 852f4f7 as of 2026-10-23, so there is no newer commit to pull.</t>
  </si>
  <si>
    <t>8</t>
  </si>
  <si>
    <t>Stratospheric aerosol optical depth, GloSSAC v2.24 (GISS zonal-mean reduction)</t>
  </si>
  <si>
    <t>NASA GISS, https://data.giss.nasa.gov/modelforce/strataer/ ; underlying: NASA ASDC GloSSAC</t>
  </si>
  <si>
    <t>tau_reff_GloSSAC.v2.24.nc</t>
  </si>
  <si>
    <t>tau (550 nm) in 24 latitude bands</t>
  </si>
  <si>
    <t>Area-weighted global mean; spliced with item 7 before 1979</t>
  </si>
  <si>
    <t>Jan 1979 - Dec 2025</t>
  </si>
  <si>
    <t>Sensitivity!F</t>
  </si>
  <si>
    <t>NASA data, public domain; cite GloSSAC</t>
  </si>
  <si>
    <t>Kovilakam et al. (2020), Earth Syst. Sci. Data 12, 2607-2634, doi:10.5194/essd-12-2607-2020</t>
  </si>
  <si>
    <t>9</t>
  </si>
  <si>
    <t>Effective radiative forcing, annual, 61 components</t>
  </si>
  <si>
    <t>ClimateIndicator / IGCC, as item 7</t>
  </si>
  <si>
    <t>output/ERF_best.csv (1750-2025)</t>
  </si>
  <si>
    <t>All components</t>
  </si>
  <si>
    <t>Aggregated on Forcing tab into CO2, other GHG, aerosols, other anthro, solar, volcanic</t>
  </si>
  <si>
    <t>Forcing!E:N</t>
  </si>
  <si>
    <t>As item 7</t>
  </si>
  <si>
    <t>10</t>
  </si>
  <si>
    <t>Effective radiative forcing uncertainty, 5th and 95th percentile series</t>
  </si>
  <si>
    <t>output/ERF_p05.csv, ERF_p95.csv, ERF_best/p05/p95_aggregates.csv</t>
  </si>
  <si>
    <t>Per-component percentiles; halogen and anthro aggregates</t>
  </si>
  <si>
    <t>Relative 2019 widths used as scale factors in a Monte Carlo (erf_uncertainty.py)</t>
  </si>
  <si>
    <t>Sensitivity!AA35:AH53 (hardcoded)</t>
  </si>
  <si>
    <t>B. Assumptions (yellow cells)</t>
  </si>
  <si>
    <t>Cell</t>
  </si>
  <si>
    <t>Value</t>
  </si>
  <si>
    <t>Basis</t>
  </si>
  <si>
    <t>Analysis!I3</t>
  </si>
  <si>
    <t>14.0 °C</t>
  </si>
  <si>
    <t>GISTEMP 1951-1980 absolute global mean; intercept only</t>
  </si>
  <si>
    <t>NASA GISS GISTEMP FAQ</t>
  </si>
  <si>
    <t>Analysis!I4</t>
  </si>
  <si>
    <t>280 ppm</t>
  </si>
  <si>
    <t>Conventional preindustrial CO2; x-axis offset only</t>
  </si>
  <si>
    <t>IPCC AR6 WG1 Ch. 2</t>
  </si>
  <si>
    <t>Solar!O3</t>
  </si>
  <si>
    <t>0.30</t>
  </si>
  <si>
    <t>Planetary albedo, TSI → forcing: ΔTSI × (1 − albedo) / 4</t>
  </si>
  <si>
    <t>Standard; IPCC AR6 WG1 Ch. 7</t>
  </si>
  <si>
    <t>Solar!O4</t>
  </si>
  <si>
    <t>5.35 W/m² per ln(CO2)</t>
  </si>
  <si>
    <t>Simplified CO2 forcing expression</t>
  </si>
  <si>
    <t>Myhre et al. (1998), Geophys. Res. Lett. 25, 2715-2718, doi:10.1029/98GL01908</t>
  </si>
  <si>
    <t>Forcing!T3, U3</t>
  </si>
  <si>
    <t>3.93 ± 0.47 W/m²</t>
  </si>
  <si>
    <t>ERF for doubled CO2, 5-95%</t>
  </si>
  <si>
    <t>IPCC AR6 WG1 Ch. 7 (Forster et al. 2021), doi:10.1017/9781009157896.009</t>
  </si>
  <si>
    <t>Kernel!P3:P6</t>
  </si>
  <si>
    <t>τ = 0, 6, 12, 12 months</t>
  </si>
  <si>
    <t>Response time constants; grid search, validated out-of-fold (Kernel!P62:Q70; validate_kernels.py)</t>
  </si>
  <si>
    <t>This workbook</t>
  </si>
  <si>
    <t>Recent 2023-25!D21</t>
  </si>
  <si>
    <t>0.15 W/m²</t>
  </si>
  <si>
    <t>Hunga Tonga stratospheric H2O ERF, 2023-25 mean</t>
  </si>
  <si>
    <t>Item 7, ERF_H2O column</t>
  </si>
  <si>
    <t>C. Literature comparisons ("consistent with published values")</t>
  </si>
  <si>
    <t>Used for</t>
  </si>
  <si>
    <t>Reference</t>
  </si>
  <si>
    <t>DOI</t>
  </si>
  <si>
    <t>Status</t>
  </si>
  <si>
    <t>TCR best estimate 1.8 °C, likely 1.4-2.2; ECS; F2x; aerosol ERF range</t>
  </si>
  <si>
    <t>IPCC AR6 WG1, Chapter 7, Forster, P. et al., The Earth's Energy Budget, Climate Feedbacks and Climate Sensitivity, in Climate Change 2021: The Physical Science Basis, Cambridge University Press, doi:10.1017/9781009157896.009. Checked against the publisher record 2026-10-23: the title carries no comma before "and Climate Sensitivity", so the form used here was already correct; only the chapter DOI was missing.</t>
  </si>
  <si>
    <t>10.1017/9781009157896.009</t>
  </si>
  <si>
    <t>verified 2026-10-23 against Crossref</t>
  </si>
  <si>
    <t>ENSO, volcanic and solar regression coefficients and lags (ENSO ~3 mo; volcanic ~6-8 mo; solar ~0.1 °C cycle)</t>
  </si>
  <si>
    <t>Foster, G. and Rahmstorf, S. (2011). Global temperature evolution 1979-2010. Environ. Res. Lett. 6, 044022</t>
  </si>
  <si>
    <t>10.1088/1748-9326/6/4/044022</t>
  </si>
  <si>
    <t>Solar-cycle amplitude ~0.1 °C; response kernels</t>
  </si>
  <si>
    <t>Lean, J.L. and Rind, D.H. (2008). How natural and anthropogenic influences alter global and regional surface temperatures: 1889 to 2006. Geophys. Res. Lett. 35, L18701</t>
  </si>
  <si>
    <t>10.1029/2008GL034864</t>
  </si>
  <si>
    <t>Observational TCR estimates from the historical energy budget</t>
  </si>
  <si>
    <t>Otto, A. et al. (2013). Energy budget constraints on climate response. Nature Geosci. 6, 415-416</t>
  </si>
  <si>
    <t>10.1038/ngeo1836</t>
  </si>
  <si>
    <t>Observational TCR/ECS estimates</t>
  </si>
  <si>
    <t>Lewis, N. and Curry, J. (2018). The impact of recent forcing and ocean heat uptake data on estimates of climate sensitivity. J. Climate 31, 6051-6071</t>
  </si>
  <si>
    <t>10.1175/JCLI-D-17-0667.1</t>
  </si>
  <si>
    <t>IMO 2020 shipping-sulfur forcing (~0.1-0.2 W/m²)</t>
  </si>
  <si>
    <t>Yuan, T. et al. (2024). Abrupt reduction in shipping emission as an inadvertent geoengineering termination shock produces substantial radiative warming. Commun. Earth Environ. 5, 281</t>
  </si>
  <si>
    <t>10.1038/s43247-024-01442-3</t>
  </si>
  <si>
    <t>Hunga Tonga stratospheric water vapour forcing</t>
  </si>
  <si>
    <t/>
  </si>
  <si>
    <t>verified 2026-10-23 against Crossref; reference completed in v1.7.11</t>
  </si>
  <si>
    <t>Newer estimates of the recent low-cloud / albedo decline</t>
  </si>
  <si>
    <t>[to be added if cited]</t>
  </si>
  <si>
    <t>open</t>
  </si>
  <si>
    <t>Statements in the workbook of the form "consistent with textbook / published values" refer to the entries in section C. Where a statement is a comparison with the IPCC range, the workbook text says so and describes it as a comparison, not a validation.</t>
  </si>
  <si>
    <t>Does: over 1959-2025, log2(CO2) and anthropogenic ERF are interchangeable regressors (r = 0.997). GISTEMP regressed on that proxy plus ONI has in-sample R² ≈ 0.89 monthly and ≈ 0.95 annual; both are dominated by the shared trend, and after linear detrending the annual r is 0.64 (R² 0.40). On matched months, adding ONI, AOD or TSI leaves the CO2 slope within ~0.02 of its CO2-only value. Blocked cross-validation with lag structure and coefficients chosen out-of-fold gives pooled R² 0.887 (Kernel!P62:Q70). Scaling the anthropogenic-ERF slope by F2x gives 1.61 °C per doubling (95% 1.34 to 1.87 with F2x uncertainty; 1.43 to 1.78 at 90% with IGCC ERF uncertainty propagated, Sensitivity!AC46), which is numerically inside the AR6 TCR likely range; that is a comparison, not a validation, since it is not the TCR estimand.</t>
  </si>
  <si>
    <t>No trend since 1958 in the TSI record used, and R² ≈ 0.00 on its own, so the Sun cannot be the warming trend in that record (confirmed with NOAA Solar CDR v3 on the Sensitivity tab). But an 11-year cycle consistent with the published ~0.1 °C swing appears in the residuals at ~0.07 °C per W/m² of TSI (~0.40 per W/m² of forcing). Adding TSI moves the CO2 slope from 2.640 to 2.644 on the same months; the apparent drop to 2.64 from 2.73 is the shorter window, not the Sun.</t>
  </si>
  <si>
    <t>2. The lag test peaks at 6-8 months: a short forcing pulse takes about half a year to show in the global mean because the ocean mixed layer has to cool first. Same pattern as the 3-month ENSO lag and the solar cycle: the fitted lags are consistent with known physics.</t>
  </si>
  <si>
    <t>2. The lag test peaks at 3 months, the known delay for tropical Pacific heat to spread into the global mean. Obtaining that value from the data is consistent with the known physics, though it does not by itself validate the model.</t>
  </si>
  <si>
    <t>Sources: NASA GISTEMP v4 land+ocean monthly anomalies (tab GLB.Ts+dSST (4), via Temp Dev, C, F); NOAA GML Mauna Loa monthly mean CO2 (tab co2_mm_mlo, via F Plus CO2). Full provenance on the Sources tab and in DATA_SOURCES.md.</t>
  </si>
  <si>
    <t>Data vintages (Sept 2026 review): ERF from the IGCC 2025 file (1750-2025), with its 5-95% percentile files used for uncertainty propagation. Main analysis uses NOAA CPC ONI on ERSSTv5, ClimateIndicator sulfate AOD (GloSSAC v2.23 basis) and NRLTSI2. The successors (ONI on ERSSTv6, GloSSAC v2.24, NOAA Solar CDR v3) were rerun on the Sensitivity tab; no result changes materially. Monthly AOD is sulfate only; Hunga Tonga stratospheric water vapour appears only in the annual volcanic ERF on the Forcing tab and in the Recent 2023-25 budget. HadCRUT5 and Berkeley Earth were run in place of GISTEMP (Sensitivity tab); the headline slopes change by at most 0.05 and the 2023-25 residual by 0.02-0.03 °C.</t>
  </si>
  <si>
    <t>4. Tested on the Sensitivity tab (AA55:AH86): with HadCRUT5 in place of GISTEMP the monthly residual is +0.13 and the annual residuals +0.11 / +0.10, so what remains after solar is about 0.05 °C rather than 0.07. Berkeley Earth (to Dec 2024) gives values close to GISTEMP. Dataset choice adds roughly ±0.02-0.03 °C to the uncertainty of every line on this tab. RONI instead of ONI remains untested.</t>
  </si>
  <si>
    <t>HadCRUT5 anomaly, °C (rebased to 1951-1980; input)</t>
  </si>
  <si>
    <t>Berkeley Earth anomaly, °C (1951-1980; input, to Dec 2024)</t>
  </si>
  <si>
    <t>resid: HadCRUT5, three-factor monthly</t>
  </si>
  <si>
    <t>resid: Berkeley, three-factor monthly</t>
  </si>
  <si>
    <t>HadCRUT5 annual mean</t>
  </si>
  <si>
    <t>Berkeley annual mean</t>
  </si>
  <si>
    <t>Other temperature datasets: HadCRUT5 (Met Office) and Berkeley Earth in place of GISTEMP, same regressors, same months</t>
  </si>
  <si>
    <t>Inputs (blue, columns AP:AQ): HadCRUT.5.1.0.0 analysis summary series, global monthly ensemble mean, shifted from its 1961-1990 base by subtracting its own 1951-1980 mean (-0.075 °C); Berkeley Earth Land_and_Ocean_complete.txt, air-temperature-over-sea-ice version, 1951-1980 base, available to Dec 2024. GISTEMP is the workbook's own column. All fits below are live LINEST formulas; the monthly model is the Volcanic-tab three-factor model on rows 9-822 (Berkeley: rows 9-803), the annual models are the Forcing-tab regressions.</t>
  </si>
  <si>
    <t>GISTEMP (baseline)</t>
  </si>
  <si>
    <t>HadCRUT5</t>
  </si>
  <si>
    <t>Berkeley Earth (to Dec 2024)</t>
  </si>
  <si>
    <t>GISTEMP on Berkeley's months / years</t>
  </si>
  <si>
    <t>Monthly: anomaly = a + b·log2(CO2) + c·ONI lag 3 + d·AOD lag 7</t>
  </si>
  <si>
    <t xml:space="preserve">  residual standard error (°C)</t>
  </si>
  <si>
    <t xml:space="preserve">  mean residual 2023-2025 (°C); Berkeley 2023-2024 only</t>
  </si>
  <si>
    <t>Annual: anomaly = a + b·anthropogenic ERF + c·ONI lag 3 (Forcing!T13:T17)</t>
  </si>
  <si>
    <t xml:space="preserve">  b × F2x (°C per doubling; historical regression, not TCR)</t>
  </si>
  <si>
    <t xml:space="preserve">  mean residual 2023-2025 (°C); Berkeley 2023-2024</t>
  </si>
  <si>
    <t xml:space="preserve">  b × F2x with volcanic ERF as its own regressor (Forcing!T40)</t>
  </si>
  <si>
    <t xml:space="preserve">  mean residual 2023-2025, volcanic-ERF variant (Forcing!T45)</t>
  </si>
  <si>
    <t>Dataset agreement with GISTEMP, monthly: correlation / mean difference (°C)</t>
  </si>
  <si>
    <t xml:space="preserve">  HadCRUT5, Mar 1958 - Aug 2026</t>
  </si>
  <si>
    <t xml:space="preserve">  Berkeley Earth, Mar 1958 - Dec 2024</t>
  </si>
  <si>
    <t>1. The three datasets agree with GISTEMP to r ≈ 0.99 monthly and within ±0.01 °C in mean level. HadCRUT5 reproduces the GISTEMP coefficients almost exactly (CO2 slope 2.73 vs 2.73; ENSO 0.094 vs 0.093). Berkeley Earth runs warmer over time: its CO2 slope on the same months to Dec 2024 is 2.80 against 2.68 for GISTEMP (column AE), a difference of about 0.12 °C per doubling, or 0.07 on the ERF-scaled value (1.66 vs 1.59 on the same years). That is a real difference in the trend of the two records, consistent with the Berkeley record's slightly larger long-term warming, and it is inside the AR(1) interval for the slope (Forcing!T20:U20).</t>
  </si>
  <si>
    <t>2. The ERF-scaled value is 1.61 (GISTEMP), 1.62 (HadCRUT5) and 1.66 (Berkeley, to 2024). All sit inside the intervals on the Forcing tab and in the ERF-uncertainty block above; dataset choice contributes roughly ±0.03 on the headline, less than F2x (±0.12) and comparable to the non-CO2 ERF term.</t>
  </si>
  <si>
    <t>3. The 2023-25 residual is the quantity most sensitive to dataset: HadCRUT5 gives +0.13 monthly and +0.11 annual (+0.10 with volcanic ERF) against GISTEMP's +0.15 / +0.14 / +0.13. HadCRUT5 warms slightly less than GISTEMP in 2023-25, mainly in the Arctic where the two datasets treat coverage differently. Berkeley is only available to Dec 2024 here, so its 2023-24 residual is not directly comparable. The Recent 2023-25 tab budget is therefore built on the higher of the two full-record values; with HadCRUT5, what remains after solar is about 0.05 °C rather than 0.07.</t>
  </si>
  <si>
    <t>4. Conclusion: no result depends on the choice of temperature dataset. The residual budget on the Recent 2023-25 tab should be read with ±0.02-0.03 °C of dataset uncertainty on top of the sampling uncertainty already stated there.</t>
  </si>
  <si>
    <t>A. Datasets (continued): other temperature records used on the Sensitivity tab</t>
  </si>
  <si>
    <t>11</t>
  </si>
  <si>
    <t>Global surface temperature, HadCRUT5 (HadCRUT.5.1.0.0 analysis, ensemble mean), monthly</t>
  </si>
  <si>
    <t>Met Office Hadley Centre, https://www.metoffice.gov.uk/hadobs/hadcrut5/</t>
  </si>
  <si>
    <t>HadCRUT.5.1.0.0.analysis.summary_series.global.monthly.csv</t>
  </si>
  <si>
    <t>Anomaly (deg C), 1961-1990 base</t>
  </si>
  <si>
    <t>Rebased to 1951-1980 by subtracting the series' own 1951-1980 mean (-0.075 °C)</t>
  </si>
  <si>
    <t>Sensitivity!AP; stats AA55:AH86</t>
  </si>
  <si>
    <t>Open Government Licence v3</t>
  </si>
  <si>
    <t>Morice et al. (2021), J. Geophys. Res. Atmos. 126, e2019JD032361, doi:10.1029/2019JD032361</t>
  </si>
  <si>
    <t>12</t>
  </si>
  <si>
    <t>Global surface temperature, Berkeley Earth land + ocean, monthly (air temperature over sea ice)</t>
  </si>
  <si>
    <t>Berkeley Earth, https://berkeleyearth.org/data/</t>
  </si>
  <si>
    <t>Land_and_Ocean_complete.txt</t>
  </si>
  <si>
    <t>Monthly anomaly, °C, 1951-1980 base</t>
  </si>
  <si>
    <t>1951-1980 mean removed (0.017 °C); first block of the file used</t>
  </si>
  <si>
    <t>Mar 1958 - Dec 2024</t>
  </si>
  <si>
    <t>Sensitivity!AQ; stats AA55:AH86</t>
  </si>
  <si>
    <t>CC BY 4.0</t>
  </si>
  <si>
    <t>Rohde and Hausfather (2020), Earth Syst. Sci. Data 12, 3469-3479, doi:10.5194/essd-12-3469-2020</t>
  </si>
  <si>
    <t>CERES EBAF Ed4.2.1 and NCEI ocean heat content: Earth's energy imbalance as an independent check</t>
  </si>
  <si>
    <t>Two independent observations of the planetary energy imbalance. CERES measures the net radiation N at the top of the atmosphere from satellites (incoming solar − reflected SW − outgoing LW). Argo floats measure where that energy goes: the rate of change of 0-2000 m ocean heat content (OHC) should account for most of N. Neither series is a regressor in this workbook; they are observations the fitted forcing and temperature series must be consistent with (N ≈ F − λ·ΔT). Monthly CERES values (columns Q-V) carry a ±10 W/m² seasonal cycle, so comparisons use calendar-year means. Data items 13 and 14 on Sources.</t>
  </si>
  <si>
    <t>TOA net, N (W/m²)</t>
  </si>
  <si>
    <t>Outgoing LW (W/m²)</t>
  </si>
  <si>
    <t>Reflected SW (W/m²)</t>
  </si>
  <si>
    <t>ERF total, F (W/m²)</t>
  </si>
  <si>
    <t>Mean anomaly, ΔT (°C)</t>
  </si>
  <si>
    <t>F − N (W/m²)</t>
  </si>
  <si>
    <t>OHC 0-2000 m, annual mean (10²² J)</t>
  </si>
  <si>
    <t>dOHC/dt, centred (10²² J/yr)</t>
  </si>
  <si>
    <t>Ocean heat uptake, 0-2000 m (W/m²)</t>
  </si>
  <si>
    <t>Uptake / N</t>
  </si>
  <si>
    <t>Summary statistics, 2005-2025 (full Argo era)</t>
  </si>
  <si>
    <t>Month</t>
  </si>
  <si>
    <t>TOA net (W/m²)</t>
  </si>
  <si>
    <t>Season end month</t>
  </si>
  <si>
    <t>OHC 0-2000 m anomaly (10²² J)</t>
  </si>
  <si>
    <t>Mean N, W/m²</t>
  </si>
  <si>
    <t>Trend in N, W/m² per decade</t>
  </si>
  <si>
    <t>Trend in ERF total F, W/m² per decade</t>
  </si>
  <si>
    <t>Trend in reflected SW, W/m² per decade</t>
  </si>
  <si>
    <t>Trend in outgoing LW, W/m² per decade</t>
  </si>
  <si>
    <t>Trend in anomaly, °C per decade</t>
  </si>
  <si>
    <t>Energy-budget consistency: ΔN = ΔF − λ·ΔT, 2016-2025 mean minus 2005-2014 mean</t>
  </si>
  <si>
    <t>ΔT, °C</t>
  </si>
  <si>
    <t>ΔF, W/m² (ERF total, Forcing tab)</t>
  </si>
  <si>
    <t>ΔN observed, W/m² (CERES)</t>
  </si>
  <si>
    <t>ECS assumed for the check, °C (AR6 best estimate)</t>
  </si>
  <si>
    <t>λ implied, W/m² per °C  (= F2x / ECS, F2x from Forcing!T3)</t>
  </si>
  <si>
    <t>ΔN predicted, W/m²  (= ΔF − λ·ΔT)</t>
  </si>
  <si>
    <t>ΔN observed − predicted, W/m²</t>
  </si>
  <si>
    <t>λ implied by observations, W/m² per °C  (= (ΔF − ΔN) / ΔT)</t>
  </si>
  <si>
    <t>ECS implied by observations, °C  (= F2x / λ)</t>
  </si>
  <si>
    <t>Ocean heat uptake vs satellite imbalance, 2006-2024 (centred differences)</t>
  </si>
  <si>
    <t>Mean 0-2000 m ocean heat uptake, W/m²</t>
  </si>
  <si>
    <t>Mean N over the same years, W/m²</t>
  </si>
  <si>
    <t>Ratio, uptake / N</t>
  </si>
  <si>
    <t>Trend in ocean heat uptake, W/m² per decade</t>
  </si>
  <si>
    <t>Trend in N over the same years, W/m² per decade</t>
  </si>
  <si>
    <t>Correlation, annual uptake vs N</t>
  </si>
  <si>
    <t>OHC rise 2005 to 2025, 10²² J</t>
  </si>
  <si>
    <t>Conversion, W/m² per 10²² J/yr  (= 10²² / (5.1007×10¹⁴ m² × 3.15576×10⁷ s))</t>
  </si>
  <si>
    <t>Reading the check</t>
  </si>
  <si>
    <t>With AR6 values for F2x and ECS, the rise in ERF over the period predicts a rise in N of about 0.25 W/m²; CERES observes about 0.5 W/m². The excess is real and is the subject of current literature (the 2010s-2020s decline in reflected SW: cloud and sea-ice albedo, aerosol clean-up, IMO 2020). It is not evidence that the temperature regression is wrong, but it is a reason not to treat a 20-year energy-budget ECS as robust: ΔT is only ~0.36 °C and the pattern effect is unaccounted for.</t>
  </si>
  <si>
    <t>The useful confirmations are the signs and magnitudes: N is positive every year, its trend is the same order as the ERF trend, and nearly all the growth in N is in reflected SW (falling), not outgoing LW (rising, as expected from a warming surface). Any model in which forcing is not rising would need N to be flat or falling.</t>
  </si>
  <si>
    <t>The ocean closes the loop from below, but only partly. NCEI 0-2000 m heat uptake averages about 0.65 W/m² against a CERES N of about 1.0 over the same years, a ratio near 0.66. Published budgets put ~89% of N in the whole ocean (von Schuckmann et al. 2023); the gap here is the deep ocean below 2000 m (~0.05-0.1 W/m²), the ~10% in land, ice and atmosphere, and the fact that the NCEI product runs low relative to IAP/Cheng et al. OHC has risen every year since 2005 without exception. Two honest caveats: the 2006-2024 trend in ocean uptake (~0.15 W/m² per decade) is only a third of the CERES trend in N (~0.45), and the year-to-year correlation is essentially zero. Annual N is noisy, the centred OHC difference smooths over three years, and Argo sampling error on a single year is of order 0.3 W/m², so the agreement to look for is in the multi-year means, not the annual values. Whether the recent CERES trend is fully reflected in the ocean is an open question in the literature.</t>
  </si>
  <si>
    <t>CERES absolute accuracy is ±1-2 W/m²; the multi-year mean of N is anchored to Argo OHC by the CERES team itself (Loeb et al. 2021), so the two series are not fully independent in level. They are independent in trend and interannual variation, which is what is compared here.</t>
  </si>
  <si>
    <t>13</t>
  </si>
  <si>
    <t>Top-of-atmosphere radiative fluxes, CERES EBAF Ed4.2.1, global monthly means</t>
  </si>
  <si>
    <t>NASA LaRC ASDC, https://ceres.larc.nasa.gov/data/ (doi:10.5067/TERRA-AQUA-NOAA20/CERES/EBAF_L3B004.2.1)</t>
  </si>
  <si>
    <t>CERES_EBAF_Edition4.2.1_200003-202605.nc, global-mean variables via OPeNDAP</t>
  </si>
  <si>
    <t>2026-09-22</t>
  </si>
  <si>
    <t>gtoa_net_all_mon, gtoa_lw_all_mon, gtoa_sw_all_mon (W/m²)</t>
  </si>
  <si>
    <t>Calendar-year means on CERES tab; compared with Forcing ERF and anomaly (not a regressor)</t>
  </si>
  <si>
    <t>Mar 2000 - May 2026 (315 months); annual 2001-2025</t>
  </si>
  <si>
    <t>14</t>
  </si>
  <si>
    <t>Global ocean heat content anomaly, 0-2000 m, 3-month (seasonal) series</t>
  </si>
  <si>
    <t>NOAA NCEI, https://www.ncei.noaa.gov/access/global-ocean-heat-content/ (Levitus et al. 2012 method, updated)</t>
  </si>
  <si>
    <t>ohc2000m_levitus_climdash_seasonal.csv</t>
  </si>
  <si>
    <t>OHC anomaly, 10²² J, world ocean 0-2000 m</t>
  </si>
  <si>
    <t>Calendar-year means; centred annual difference × 0.6212 → W/m² ocean heat uptake on CERES tab (not a regressor)</t>
  </si>
  <si>
    <t>Mar 2005 - Mar 2026 (85 seasons); annual uptake 2006-2024</t>
  </si>
  <si>
    <t>Anthropogenic ERF gives 0.40 °C per W/m², 1.6 °C per doubling when scaled by F2x (not TCR), inside the IPCC range. log2(CO2) and anthropogenic ERF are almost perfectly collinear (r = 0.997), so either fits equally well; this does NOT mean CO2 is a constant share of human forcing (its share falls from ~2.3× to ~0.75× of net anthropogenic ERF as aerosol offset shrinks), and the regression does not separate the components. Splitting human forcing into a warming term and an aerosol term gives the same response to each: 0.409 against 0.414 °C per W/m², a difference of -0.005 (Forcing!T21:T22). CORRECTED in v1.6: before that revision this split omitted the other anthropogenic column and reported 0.47 against 0.37, which was an omitted-variable artefact. The two series are nearly orthogonal over this record, so the regression does separate them, but because aerosol ERF is the widest uncertainty in AR6 the data fix the aerosol contribution rather than the response per W/m². See Open Items section B. Giving volcanic ERF its own coefficient gives R² 0.96 and leaves the F2x-scaled (not TCR) value at ~1.59. Aerosol ERF changes ~0.15 W/m² 2019-25 in this dataset, worth ~0.06 °C, so it explains part but not most of the 2023-25 excess.</t>
  </si>
  <si>
    <t>Does not: estimate equilibrium climate sensitivity (a 66-year single-realisation record cannot), and "scaled to F2x" means an observational regression estimate, not the formal 1%-per-year model experiment; establish causation by itself (that rests on radiative physics and fingerprints such as stratospheric cooling); or fully explain the 2023-25 excess warmth: the Recent 2023-25 tab accounts for roughly half of the annual-model residual with solar cycle 25, and the remainder (~0.07 °C) is about one standard error of a 3-year mean. Read that last comparison with the qualifier added in v1.7 at Recent 2023-25!B30:B32: the asymptotic AR(1) formula gives 0.067 for that standard error, the exact AR(1) variance of a mean of three gives 0.058, so the remainder is about 1.2 SE, and the residual BEFORE the solar line is about 2.2 SE. The budget is exploratory and the solar line carries its own unstated uncertainty.</t>
  </si>
  <si>
    <t>Statistics: all fits are ordinary least squares with autocorrelated residuals (lag-1 ≈ 0.5 monthly, ≈ 0.3 annual; effective n ≈ 40 annual). The monthly effective n of ≈ 290 quoted here before v1.7 came from the AR(1) factor and overstates the independent information: Newey-West out to 96 lags implies a variance inflation near 14, i.e. an effective n nearer 60 monthly (Diagnostics section D item 5). Nothing published rests on the monthly slope. AR(1)-inflated standard errors and 95% intervals are given for the two headline slopes (Annual!K17:L20, Forcing!T19:U20). Lag and τ values were chosen in-sample; Kernel!P51:P60 is only a coefficient holdout with τ fixed. The nested check is Kernel!P62:Q70: a single 1958-95 split cannot identify τ (long τ, degraded holdout), but blocked 7-fold cross-validation selects the same τ values out-of-fold and gives pooled R² 0.887 vs 0.904 in-sample. Newey-West SEs (1-6 lags) on the annual slope, 0.120-0.126, confirm the AR(1) correction.</t>
  </si>
  <si>
    <t>Out-of-sample validation and residual diagnostics (added 2026-10-22)</t>
  </si>
  <si>
    <t>The two tables above are in-sample. The blocked cross-validation on the Kernel tab and the specification tests on the Diagnostics tab are the out-of-sample and residual checks.</t>
  </si>
  <si>
    <t>Out-of-sample fit: blocked 7-fold cross-validation, tau and coefficients chosen out-of-fold</t>
  </si>
  <si>
    <t>In-sample R^2</t>
  </si>
  <si>
    <t>Out-of-fold R^2</t>
  </si>
  <si>
    <t>Bias (degC)</t>
  </si>
  <si>
    <t>Source</t>
  </si>
  <si>
    <t>CO2 only (monthly)</t>
  </si>
  <si>
    <t>Kernel!P69</t>
  </si>
  <si>
    <t>CO2 + ENSO + AOD, exponential responses</t>
  </si>
  <si>
    <t>Kernel!P66:Q66</t>
  </si>
  <si>
    <t>Same, tau fixed at (6, 12)</t>
  </si>
  <si>
    <t>Kernel!P68:Q68</t>
  </si>
  <si>
    <t>Judge the gain from the natural-variability controls on the out-of-fold column, 0.838 to 0.887, rather than on the in-sample 0.861 to 0.904 above. Bias is the mean out-of-fold prediction error in degC. Read the pooled figures with one caveat added in v1.6: pooled out-of-fold R^2 is dominated by the cross-decade trend, which a monotone CO2-only regressor extrapolates across blocks, so the CO2-only benchmark flatters itself. Within each fold the CO2-only R^2 is near zero or negative while the three-factor model cuts the RMSE in every fold; validate_kernels.py now prints both.</t>
  </si>
  <si>
    <t>Heteroskedasticity and variance clustering (Diagnostics tab)</t>
  </si>
  <si>
    <t>Breusch-Pagan and White on the monthly three-factor residuals are marginal to significant (p about 0.03 and 0.004) but the auxiliary regressions explain only 1 to 3 per cent of the squared residuals. The large ARCH statistics turn out to be an artefact of the level autocorrelation already documented here: after filtering it out, ARCH-LM at q = 1 falls from about 42 to under 1 (p about 0.4) and Breusch-Pagan is far from significant. On the two annual models almost nothing is detected (Breusch-Pagan p = 0.28 and 0.40), the one marginal statistic being White on the CO2-proxy model at p = 0.035 on 67 points. The corrections are not interchangeable: HC3, robust to heteroskedasticity alone, raises the slope standard errors by 18 per cent (annual CO2 proxy), 4 per cent (annual ERF) and 9 per cent (monthly); the AR(1) inflation addresses serial correlation only; Newey-West covers both. On both annual slopes the AR(1)-inflated standard errors published here are the widest or within a per cent of the widest of the four measures, so no published interval changes. The monthly slope, on which no interval is published, is the one place the AR(1) factor is not the conservative choice.</t>
  </si>
  <si>
    <t>Detail and live formulas: Diagnostics!AW5:BB51. Standard errors for all three slopes, naive against HC3, Newey-West and AR(1)-inflated: Diagnostics!AX31:BA33. The three questions the reviews left open, RONI as the ENSO control, whether the GHG-aerosol split is identified, and the CERES shortwave candidate for the 2023-25 remainder, are worked through on the Open Items tab.</t>
  </si>
  <si>
    <t>Version</t>
  </si>
  <si>
    <t>Date of this revision</t>
  </si>
  <si>
    <t>2026-10-22</t>
  </si>
  <si>
    <t>Maintainer</t>
  </si>
  <si>
    <t>Russ Nida</t>
  </si>
  <si>
    <t>Sept 2026 multi-model review: AR(1)-inflated standard errors and a Newey-West cross-check added (Annual!K17:L20, Forcing!T19:U20); the single-split holdout was replaced by blocked 7-fold cross-validation (Kernel!P62:Q70); the Sensitivity tab was added for dataset and ERF-uncertainty robustness.</t>
  </si>
  <si>
    <t>2026-10-22 (v1.1): Diagnostics tab added (Breusch-Pagan, White, ARCH-LM, the AR(1)-filtered variants, subset residual spreads, and HC3 / Newey-West slope standard errors); this section added; code provenance recorded in Sources section E.</t>
  </si>
  <si>
    <t>2026-10-22 (v1.2): after GPT and Grok reviews of v1.1, the heteroskedasticity conclusion was restated to separate what HC3, the AR(1) inflation and Newey-West each correct for; the published 2.74 degC-per-doubling slope was added to both the residual tests and the standard-error comparison, which it had been missing; and the fact that at monthly resolution the Newey-West standard error exceeds the AR(1)-inflated figure is now stated explicitly rather than left to the table.</t>
  </si>
  <si>
    <t>2026-10-22 (v1.3): the two external scripts the blue cells depend on, erf_uncertainty.py and validate_kernels.py, were reconstructed from the method notes and now travel with the workbook, so every pasted result can be regenerated; Sources section E records what each reproduces exactly and where the kernel cross-validation differs. No number in the workbook was changed.</t>
  </si>
  <si>
    <t>2026-10-22 (v1.4): Open Items tab added, closing the three questions the reviews left open. RONI was tested as the ENSO control and is not an improvement: the change it makes to the CO2 coefficient is entirely attributable to its own secular trend, and it makes the 2023-25 residual larger rather than smaller. The GHG-aerosol split was shown to be separable, the series being nearly orthogonal, with the unidentified part isolated to the aerosol series magnitude, and the data cannot reject the equal-response assumption the headline regression makes. The CERES shortwave decline was excluded as an independent forcing line. RONI v5 added as Sources item 15 with a CHECK marker. No headline number changed.</t>
  </si>
  <si>
    <t>2026-10-22 (v1.5): wording precision after a further review. Three causal claims were pulled back to what the analysis demonstrates: RONI's effect is attributed to its secular trend, with the construction argument and the measured association with the warming (Open Items row 14) labelled separately; the CERES conclusion now says the shortwave change cannot be treated as an independent forcing line rather than that it is shown to be dominated by feedback; and the ratio against total ERF (1.50) is distinguished from the ratio against the CERES net imbalance (2.4), which a script comment had conflated. Two factual corrections in the Full forcing note above: the GHG-aerosol split now reads 0.47 and 0.37 degC per W/m2, matching Forcing!T21:T22, and its identification is stated precisely. No headline number changed.</t>
  </si>
  <si>
    <t>2026-10-22 (v1.5.1): packaging fix only, no content change. From v1.4 the Sources sheet stored its rows out of order internally (row 45 was written after rows 46 to 48), which is invalid in the file format even though the cells were correct, so Excel repaired the file on open and discarded that sheet's cells. The rows are now written in order and the builder checks the ordering for every sheet before saving. If you have a copy that Excel offered to repair, replace it with this one; nothing in it needed recovering.</t>
  </si>
  <si>
    <t>2026-10-22 (v1.6): corrections after an independent review on a fresh account. The material one: the GHG-versus-aerosol split regression omitted the other anthropogenic forcing column, so its warming regressor was not the headline regressor and the 0.47-against-0.37 difference it reported was an omitted-variable artefact. Forcing!AQ now carries GHG + other anthro, and the two responses come out at 0.409 and 0.414, indistinguishable, which supports the headline specification rather than complicating it. Also: the kernel cross-validation convention was partly recovered (calendar-decade folds reproduce Kernel!O67 and P66 exactly); the significant ARCH statistic on the annual ERF residuals is now named and explained rather than passed over; the 2016-2026 spread figure is now measured about the two sub-period means (0.97) instead of about a mean that straddles the 2023 step (1.14); the monthly Newey-West standard error is shown not to have converged at 12 lags, the converged value being about twice the AR(1) figure; the CERES shortwave line is now also given at the pulse response rate, which is the internally consistent one; RONI is reported as a structural uncertainty of about +0.06 rather than a closed item; and several stale figures in the original notes were corrected (Forcing!S61, S62, S65, Volcanic!M46, ENSO!M37, Solar!N31). No headline interval changed.</t>
  </si>
  <si>
    <t>2026-10-22 (v1.7): finishing the v1.6 round. Three places where v1.6 added corrected text without removing what it superseded are now clean: Open Items!AA3 said four blue cells where there are two, Sources!B56 still said three scripts after a fourth was listed, and validate_kernels.py carried both its old and new provenance paragraphs. The 2016-2026 spread ratio now reads 0.97 everywhere, matching the cell, and the monthly Newey-West ratio reads 2.2 everywhere. Forcing!AQ2:AQ68 and T21:T23 now carry correct cached values, so the file reads the same whether or not it has been opened in Excel. Beyond that: Summary!B29's monthly effective n of 290 is corrected to about 60 with the reason; Summary!B28 and new Recent 2023-25!B30:B33 record that the exact AR(1) standard error of a three-year mean is 0.058 rather than 0.067, making the remainder about 1.2 SE and the residual before the solar line about 2.2 SE; and the Sensitivity notes at AA43, AA50, AA51 and AA52 are corrected (the aerosol minimum is -1.49 in 1991, the CO2 and F2x offset is partial rather than near-exact, and three components have zero-bounded ranges that a symmetric normal does not mirror). No headline interval changed.</t>
  </si>
  <si>
    <t>2026-10-22 (v1.7.1): three loose ends, no content change. The three cells added to Recent 2023-25 in v1.7 now carry cached values like the Forcing ones, so the whole-file claim in the row above holds for them too; the Markdown export's preamble now works out for itself which tabs ship without cached values instead of naming a stale pair; and erf_uncertainty.py's runtime message now quotes the same tolerance as its header.</t>
  </si>
  <si>
    <t>2026-10-22 (v1.7.2): packaging only, no content change. The eight cross-reference cells in rows 38-40, added in v1.4, had shipped without cached values, so any tool reading the file without recalculating it saw them empty; they now carry caches, as Forcing and Recent already did. The Markdown export's inventory of recalculated cells was also narrowed: it had been counting cells that are blank by design, which made eight original tabs look as though they shipped uncached. Only the two generated tabs, Diagnostics and Open Items, now appear there.</t>
  </si>
  <si>
    <t>2026-10-22 (v1.7.3): a real defect, found only because the file was opened and saved in Excel and the Excel-computed cache compared against the export. Seven formulas in Diagnostics section C passed a lone boolean array to SUMPRODUCT, for example =SUMPRODUCT(($B$9:$B$822&gt;=2016)) at AX42. Excel does not coerce a bare boolean array to numbers, so those seven returned 0 and the eighteen cells that divide by them showed #DIV/0!; LibreOffice does coerce it, so the pasted figures, all four scripts and every Markdown export have been numerically right the whole time while the live Excel display was wrong. The seven now read SUMPRODUCT(--(...)), which both engines evaluate the same way, and nothing downstream changed. The condition dates from v1.1, when the tab was added: Diagnostics ships with no cached values, so Excel recomputed it on open and showed the errors to anyone who opened the file, while every review in the chain, including the adversarial ones, read the LibreOffice-derived Markdown and saw correct numbers. Checking one engine's output against itself is not a check.</t>
  </si>
  <si>
    <t>3. Adding TSI barely moves the CO2 coefficient. The apparent 2.74 to ~2.66 shift is the shorter window the TSI series forces (ending 2023), not the Sun: on the same months the CO2-only slope is already 2.640 (Volcanic!N31), and Sensitivity!AB22:AC22 gives 2.662 against 2.715 on the two windows. TSI and log2(CO2) are nearly orthogonal.</t>
  </si>
  <si>
    <t>3. The CO2 coefficient barely moves (2.73 to 2.75 °C per doubling). ONI is detrended by construction (centred 30-year base periods), so it is close to orthogonal to the CO2 trend and absorbs almost none of it. Note that this is a property of the index convention, not a finding: an ENSO index built without re-centred bases, such as RONI, does carry a trend and does take some of the signal (Open Items section A).</t>
  </si>
  <si>
    <t>3. The CO2 coefficient barely moves (2.75 to 2.73). The three large eruptions all sit in the first half of the record, so stratospheric AOD does carry a small sample trend and absorbs a little of the CO2 signal, but the effect is 0.02 °C per doubling.</t>
  </si>
  <si>
    <t>helper: GHG + other anthropogenic ERF (K + J)</t>
  </si>
  <si>
    <t>Do greenhouse gases and the other anthropogenic terms get the same response as aerosols? anomaly = a + g·(GHG + other anthro ERF) + h·aerosol ERF + c·ONI</t>
  </si>
  <si>
    <t xml:space="preserve">  g: °C per W/m² of GHG + other anthropogenic forcing</t>
  </si>
  <si>
    <t>3. Adding solar and volcanic forcing to make a single "total ERF" regressor makes the fit WORSE (R² drops from 0.93 to 0.87), but giving volcanic ERF its own coefficient (variant at T36:T40) improves it (R² ~0.96) and lowers the F2x-scaled value slightly (~1.59).</t>
  </si>
  <si>
    <t>4. Separating the warming terms from aerosols gives essentially the same response to each: g = 0.409 against h = 0.414 °C per W/m², a difference of -0.005 (t = -0.05). CORRECTED 2026-10-22 (v1.6): until then this regression used GHG ERF alone as the warming regressor and omitted column J, the other anthropogenic terms (ozone, land use, contrails, BC on snow, stratospheric water vapour), which trend 0.13 to 0.48 W/m² and correlate 0.98 with GHG. Their effect was absorbed into g, producing an apparent 0.47-against-0.37 split that was an omitted-variable artefact. With the full anthropogenic total restored, the two responses are indistinguishable, which is what the headline single-ERF regression assumes. Aerosol ERF is still by far the most uncertain term (AR6: -1.3, range -2.0 to -0.6); see Open Items section B for what that does and does not leave identified.</t>
  </si>
  <si>
    <t>7. Uncertainty: the AR(1)-adjusted interval (T20:U20) covers time-series error only. Adding the AR6 F2x uncertainty (3.93 ± 0.47, 5-95%) in quadrature widens it to T43:U43; using the F2x implied by this file's own CO2 ERF (T4, ~3.84) gives T44. Aerosol ERF uncertainty IS now propagated: see Sensitivity!AA35:AA53, which supersedes the earlier statement here that it was not.</t>
  </si>
  <si>
    <t>e: residual, monthly three-factor (Volcanic!J)</t>
  </si>
  <si>
    <t>e^2</t>
  </si>
  <si>
    <t>x1: log2(CO2/280) (Volcanic!C)</t>
  </si>
  <si>
    <t>x2: ONI lag 3 (Volcanic!D)</t>
  </si>
  <si>
    <t>x3: strat. AOD lag 7 (Volcanic!E)</t>
  </si>
  <si>
    <t>x1^2</t>
  </si>
  <si>
    <t>x2^2</t>
  </si>
  <si>
    <t>x3^2</t>
  </si>
  <si>
    <t>x1*x2</t>
  </si>
  <si>
    <t>x1*x3</t>
  </si>
  <si>
    <t>x2*x3</t>
  </si>
  <si>
    <t>e^2 lag 1</t>
  </si>
  <si>
    <t>e^2 lag 2</t>
  </si>
  <si>
    <t>e^2 lag 3</t>
  </si>
  <si>
    <t>e^2 lag 4</t>
  </si>
  <si>
    <t>e^2 lag 5</t>
  </si>
  <si>
    <t>e^2 lag 6</t>
  </si>
  <si>
    <t>e^2 lag 7</t>
  </si>
  <si>
    <t>e^2 lag 8</t>
  </si>
  <si>
    <t>e^2 lag 9</t>
  </si>
  <si>
    <t>e^2 lag 10</t>
  </si>
  <si>
    <t>e^2 lag 11</t>
  </si>
  <si>
    <t>e^2 lag 12</t>
  </si>
  <si>
    <t>u: AR(1)-filtered residual, u(t) = e(t) - rho*e(t-1)</t>
  </si>
  <si>
    <t>u^2</t>
  </si>
  <si>
    <t>u^2 lag 1</t>
  </si>
  <si>
    <t>u^2 lag 2</t>
  </si>
  <si>
    <t>u^2 lag 3</t>
  </si>
  <si>
    <t>u^2 lag 4</t>
  </si>
  <si>
    <t>u^2 lag 5</t>
  </si>
  <si>
    <t>u^2 lag 6</t>
  </si>
  <si>
    <t>e_k: residual, kernel model (Kernel!M)</t>
  </si>
  <si>
    <t>e_k^2</t>
  </si>
  <si>
    <t>e_a^2: squared residual, annual ERF model (Forcing!Q, rows 2-68 = 1959-2025)</t>
  </si>
  <si>
    <t>strat. AOD, same month (Volcanic!G)</t>
  </si>
  <si>
    <t>e_a^2 lag 1</t>
  </si>
  <si>
    <t>e_c^2: squared residual, annual CO2-proxy model (Annual!H, rows 2-68)</t>
  </si>
  <si>
    <t>x: mean log2(CO2/280) (Annual!E)</t>
  </si>
  <si>
    <t>x^2</t>
  </si>
  <si>
    <t>e_c^2 lag 1</t>
  </si>
  <si>
    <t>Residual diagnostics: heteroskedasticity and variance clustering</t>
  </si>
  <si>
    <t>Added 2026-10-22. The workbook already tested and corrected for residual autocorrelation (lag-1, AR(1)-inflated standard errors, a Newey-West cross-check) but had no formal heteroskedasticity test, which a multi-model review flagged. This tab supplies them, together with the check that decides whether they matter: how far the robust standard errors differ from the ones already published.</t>
  </si>
  <si>
    <t>A. Heteroskedasticity and ARCH tests</t>
  </si>
  <si>
    <t>Test</t>
  </si>
  <si>
    <t>Statistic (LM)</t>
  </si>
  <si>
    <t>df</t>
  </si>
  <si>
    <t>p-value</t>
  </si>
  <si>
    <t>Auxiliary R^2</t>
  </si>
  <si>
    <t>Ranges used</t>
  </si>
  <si>
    <t>Monthly three-factor model, single lags: e on log2(CO2/280), ONI(t-3), AOD(t-7)</t>
  </si>
  <si>
    <t>Breusch-Pagan, Koenker (studentized)</t>
  </si>
  <si>
    <t>D9:D822 on E9:G822</t>
  </si>
  <si>
    <t>Breusch-Pagan, classic (assumes normal residuals)</t>
  </si>
  <si>
    <t>same ranges as the row above</t>
  </si>
  <si>
    <t>White, levels + squares + cross-products</t>
  </si>
  <si>
    <t>D9:D822 on E9:M822</t>
  </si>
  <si>
    <t>ARCH-LM, q = 1</t>
  </si>
  <si>
    <t>D10:D822 on N10:N822</t>
  </si>
  <si>
    <t>ARCH-LM, q = 6</t>
  </si>
  <si>
    <t>D15:D822 on N15:S822</t>
  </si>
  <si>
    <t>ARCH-LM, q = 12</t>
  </si>
  <si>
    <t>D21:D822 on N21:Y822</t>
  </si>
  <si>
    <t>The same tests after removing the level autocorrelation: u(t) = e(t) - rho*e(t-1), column AA</t>
  </si>
  <si>
    <t>rho, lag-1 autocorrelation of e (feeds column AA)</t>
  </si>
  <si>
    <t>C9:C821 against C10:C822</t>
  </si>
  <si>
    <t>Breusch-Pagan, Koenker, on u</t>
  </si>
  <si>
    <t>AB10:AB822 on E10:G822</t>
  </si>
  <si>
    <t>ARCH-LM on u, q = 1</t>
  </si>
  <si>
    <t>AB11:AB822 on AC11:AC822</t>
  </si>
  <si>
    <t>ARCH-LM on u, q = 6</t>
  </si>
  <si>
    <t>AB16:AB822 on AC16:AH822</t>
  </si>
  <si>
    <t>The other fitted models in this workbook</t>
  </si>
  <si>
    <t>Kernel model: Breusch-Pagan, Koenker</t>
  </si>
  <si>
    <t>AK9:AK815 on Kernel!H9:J815</t>
  </si>
  <si>
    <t>Annual anthropogenic-ERF model: Breusch-Pagan, Koenker</t>
  </si>
  <si>
    <t>AM2:AM68 on Forcing!AN2:AO68</t>
  </si>
  <si>
    <t>Annual anthropogenic-ERF model: ARCH-LM, q = 1</t>
  </si>
  <si>
    <t>AM3:AM68 on AO3:AO68</t>
  </si>
  <si>
    <t>Annual CO2-proxy model: Breusch-Pagan, Koenker</t>
  </si>
  <si>
    <t>AP2:AP68 on AQ2:AQ68</t>
  </si>
  <si>
    <t>Annual CO2-proxy model: White, level + square</t>
  </si>
  <si>
    <t>AP2:AP68 on AQ2:AR68</t>
  </si>
  <si>
    <t>Annual CO2-proxy model: ARCH-LM, q = 1</t>
  </si>
  <si>
    <t>AP3:AP68 on AS3:AS68</t>
  </si>
  <si>
    <t>B. Does any of it move the published intervals?</t>
  </si>
  <si>
    <t>Slope</t>
  </si>
  <si>
    <t>Naive OLS SE</t>
  </si>
  <si>
    <t>HC3 robust SE</t>
  </si>
  <si>
    <t>Newey-West SE</t>
  </si>
  <si>
    <t>AR(1)-inflated SE (the one used in this workbook)</t>
  </si>
  <si>
    <t>Annual: degC per CO2 doubling, behind the published 2.51-2.98 interval (Annual!K4)</t>
  </si>
  <si>
    <t>Newey-West at 6 lags; 1 to 6 lags span 0.1202-0.1260 (Annual!J34). HC3 / naive = 1.18; AR(1) factor = 1.30</t>
  </si>
  <si>
    <t>Annual: degC per W/m2 of anthropogenic ERF, behind the 1.61 headline (Forcing!T14)</t>
  </si>
  <si>
    <t>Newey-West at 6 lags. HC3 / naive = 1.04; AR(1) factor = 1.45</t>
  </si>
  <si>
    <t>Monthly: degC per CO2 doubling (Volcanic!N15); no interval is published on it</t>
  </si>
  <si>
    <t>Newey-West at 12 lags, about 1.4x the AR(1)-inflated figure: at monthly resolution the AR(1) factor understates the dependence. HC3 / naive = 1.09</t>
  </si>
  <si>
    <t>The three corrections are not interchangeable. HC3 is robust to heteroskedasticity alone; the AR(1) inflation addresses serial correlation only, through an effective-sample-size adjustment; Newey-West is robust to both together. On both annual rows the AR(1)-inflated standard error published in this workbook is the widest or within a per cent of the widest, which is why section A changes no interval. The monthly row is the exception, discussed in section D item 5, where the Newey-West figure is also shown not to have converged at 12 lags. Blue cells come from residual_diagnostics.py; everything else on this tab is live.</t>
  </si>
  <si>
    <t>C. Where the residual spread actually sits (monthly three-factor residuals)</t>
  </si>
  <si>
    <t>Subset</t>
  </si>
  <si>
    <t>n</t>
  </si>
  <si>
    <t>Mean (degC)</t>
  </si>
  <si>
    <t>SD (degC)</t>
  </si>
  <si>
    <t>SD / all-month SD</t>
  </si>
  <si>
    <t>1958-1970</t>
  </si>
  <si>
    <t>1971-1985 (Agung, El Chichon)</t>
  </si>
  <si>
    <t>1986-2000 (Pinatubo)</t>
  </si>
  <si>
    <t>2001-2015</t>
  </si>
  <si>
    <t>2016-2026</t>
  </si>
  <si>
    <t>largest spread and a displaced mean</t>
  </si>
  <si>
    <t>All months (Mar 1958 - Aug 2026)</t>
  </si>
  <si>
    <t>Stratospheric AOD &gt; 0.01, same month</t>
  </si>
  <si>
    <t>Stratospheric AOD &lt;= 0.01, same month</t>
  </si>
  <si>
    <t>|ONI(t-3)| &gt;= 1.0 (strong ENSO)</t>
  </si>
  <si>
    <t>|ONI(t-3)| &lt; 0.5 (ENSO-neutral)</t>
  </si>
  <si>
    <t>Before 1992 (pre-Pinatubo)</t>
  </si>
  <si>
    <t>1992 onward</t>
  </si>
  <si>
    <t>Variance ratio, high vs low stratospheric AOD (F)</t>
  </si>
  <si>
    <t>two-sided</t>
  </si>
  <si>
    <t>Variance ratio, before 1992 vs 1992 onward (F)</t>
  </si>
  <si>
    <t>2016-2026, spread about the 2016-2022 and 2023-2025 means separately</t>
  </si>
  <si>
    <t>the row above measures the mean shift; this one measures the spread</t>
  </si>
  <si>
    <t>D. Reading these results</t>
  </si>
  <si>
    <t>1. The variance does depend on the regressors, but weakly, and the honest test is the filtered one. Breusch-Pagan on the raw monthly three-factor residuals is marginal (Koenker p around 0.03) and White is significant (p around 0.004), but an LM statistic of n times the auxiliary R-squared assumes independent errors in that auxiliary regression, and with lag-1 around 0.50 those p-values are not valid. The valid version is row 17, Breusch-Pagan on the AR(1)-filtered residuals, which finds nothing (p around 0.57). Either way the auxiliary regressions explain only 1 to 3 per cent of the variation in the squared residuals</t>
  </si>
  <si>
    <t>2. The large ARCH statistics are an artefact of the autocorrelation this workbook already documents, not evidence of volatility clustering. An AR(1) process in the levels produces autocorrelated squares, so ARCH-LM over-rejects when applied to residuals with lag-1 around 0.5. Removing that structure first (column AA, rho in AX16) collapses the result: ARCH-LM at q = 1 falls from about 42 to under 1 (p around 0.4), q = 6 from about 54 to about 10 (p around 0.14), and Breusch-Pagan on the filtered residuals is far from significant. Rows 17 to 19 are therefore the tests to read, and rows 11 to 13 are the ones that mislead.</t>
  </si>
  <si>
    <t>3. On the two annual models, which carry every published interval in this workbook, almost nothing is detected, with one exception worth naming rather than skipping. Anthropogenic-ERF model: Breusch-Pagan p = 0.28, White p = 0.73, but ARCH-LM at q = 1 is significant at p = 0.0075 (row 24). That one is a single-event effect, not the mechanism of item 2: it is driven by the 1992 and 1993 Pinatubo residuals (-0.254 and -0.185), and after AR(1) filtering it vanishes entirely (LM 0.001, p 0.97), whereas a pure AR(1) artefact at this rho would predict an LM near 1.1. CO2-proxy model, the one behind the published 2.51 to 2.98 interval: Breusch-Pagan p = 0.40, and ARCH-LM insignificant at q = 1, the only lag this tab tests for it (residual_diagnostics.py also runs q = 6 and 12, likewise insignificant). Its one marginal statistic is White at p = 0.035 on 67 points with an auxiliary R-squared of 0.10. Section B shows neither moves anything: HC3 on that slope is 0.1093 against the 0.1201 already published</t>
  </si>
  <si>
    <t>4. No published interval changes, but the three corrections are not interchangeable and should not be run together in one sentence. HC3 is robust to heteroskedasticity alone, and raises the slope standard errors by 18 per cent (annual CO2 proxy), 4 per cent (annual ERF) and 9 per cent (monthly). The AR(1) inflation addresses serial correlation only, through an effective-sample-size adjustment. Newey-West is robust to both together. On both annual rows the AR(1)-inflated standard error this workbook publishes is the widest or within a per cent of the widest of the four measures: ERF 0.0167 against 0.0125 for Newey-West at 6 lags; CO2 proxy 0.1201 against 0.1202 at 6 lags, where the widest lag choice in 1 to 6 gives 0.1260 and would move the 95 per cent interval from 2.51-2.98 to 2.50-2.99. So the heteroskedasticity found in section A is not a reason to widen any published interval.</t>
  </si>
  <si>
    <t>5. The monthly row is the exception, and the published figure understates it. At 12 lags the Newey-West standard error is 0.081, about 1.4 times the AR(1)-inflated 0.057, but it has not converged there: 0.067 at 6 lags, 0.081 at 12, 0.100 at 24, 0.112 at 36, 0.121 at 60, 0.1225 at 96, with the residual autocorrelation showing bumps near lags 12 and 24. The converged value is about 0.122, which is about 2.2 times the AR(1) figure and, tellingly, equal to the annual CO2-proxy slope standard error of 0.1201. So at monthly resolution the AR(1) factor understates the dependence by about half. No interval in this workbook rests on the monthly slope (every published interval is annual: Annual!J20:L20, Forcing!S43:U43, Sensitivity!AC46), so nothing propagates, but the monthly AR(1) figure should not be quoted as a bound, and the 'effective n of about 290 monthly' at Summary!B29 is not supported by the autocorrelation function</t>
  </si>
  <si>
    <t>6. The recent warmth is a shift in the mean, not a widening of the spread, and row 52 is the figure that shows it. Measured about its own mean the 2016-2026 subset has a standard deviation 1.14 times the all-month value (row 42), but that subset straddles a step: the 2016-2022 mean is -0.008 and the 2023-2025 mean is +0.146. Measured about those two means separately the ratio is 0.97 (row 52), so the spread is if anything slightly narrower than the record as a whole and the 1.14 is the mean shift being counted as spread. That supports treating the 2023-2025 excess as a forcing and response question, as the Recent 2023-25 tab does, rather than as a change in noise</t>
  </si>
  <si>
    <t>7. Caveats. These are in-sample diagnostics on residuals from models whose lag structure was selected in sample, and the LM tests assume the auxiliary regressions are themselves correctly specified. The subset standard deviations in section C are descriptive: the subsets were chosen because eruptions and ENSO extremes are where clustering would be expected, not by a search. Two further structural notes. The monthly CO2 regressor keeps the Mauna Loa seasonal cycle (about plus or minus 0.027 doublings), which is not a forcing; using the deseasonalised column moves the slope from 2.7274 to 2.7359 and the residual standard deviation from 0.1221 to 0.1215, so it is negligible for the slopes, but the monthly residuals retain a calendar-month structure of about 0.10 degC range that survives deseasonalisation and is the source of the lag-12 and lag-24 bumps noted in item 5. And the same record was used to select the lag structure, to run these diagnostics and to compute the 2023-2025 budget</t>
  </si>
  <si>
    <t>E. Method and provenance</t>
  </si>
  <si>
    <t>Sections A and C are live Excel formulas on the helper columns of this tab, which link to Volcanic!J (monthly three-factor residual), Kernel!M (kernel residual), Forcing!Q (annual ERF residual) and Annual!H (annual CO2-proxy residual). Row numbering matches those tabs, so Diagnostics!C100 is the residual for the same month as Volcanic!J100.</t>
  </si>
  <si>
    <t>LM statistics are n times the auxiliary R-squared, referred to chi-square with the degrees of freedom shown. p-values use CHIDIST and FDIST so the file stays readable in older Excel versions and in LibreOffice.</t>
  </si>
  <si>
    <t>The six blue cells in section B (HC3 and Newey-West standard errors) need matrix operations that are impractical as worksheet formulas, so they are computed by residual_diagnostics.py and pasted, following the convention of Kernel!P62:Q70 and Sensitivity!AC44:AD47. That script also recomputes the naive and AR(1)-inflated figures, so it independently reproduces Annual!K17:K19, Forcing!T19:U19 and every live statistic on this tab. See Sources section E.</t>
  </si>
  <si>
    <t>RONI v5, same month (NOAA CPC, pasted input: see Sources item 15)</t>
  </si>
  <si>
    <t>RONI v5 lag 3</t>
  </si>
  <si>
    <t>Anomaly (degC)</t>
  </si>
  <si>
    <t>x: log2(CO2/280)</t>
  </si>
  <si>
    <t>x: strat. AOD lag 7</t>
  </si>
  <si>
    <t>x: ONI v5 lag 3 (baseline)</t>
  </si>
  <si>
    <t>x: RONI v5 lag 3</t>
  </si>
  <si>
    <t>x: RONI v5 lag 3, linear trend removed</t>
  </si>
  <si>
    <t>Mean anomaly (degC)</t>
  </si>
  <si>
    <t>x: anthropogenic ERF</t>
  </si>
  <si>
    <t>x: ONI v5 lag 3, annual mean (baseline)</t>
  </si>
  <si>
    <t>x: RONI v5 lag 3, annual mean</t>
  </si>
  <si>
    <t>x: RONI v5 annual mean, linear trend removed</t>
  </si>
  <si>
    <t>x: GHG + other anthropogenic ERF</t>
  </si>
  <si>
    <t>x: aerosol ERF x the scale factor in AB30</t>
  </si>
  <si>
    <t>x: ONI v5 lag 3, annual mean</t>
  </si>
  <si>
    <t>Residual of the split regression (feeds the lag-1 figure in AB42)</t>
  </si>
  <si>
    <t>RONI minus ONI, same month (divergence)</t>
  </si>
  <si>
    <t>x: decimal year</t>
  </si>
  <si>
    <t>x: GISTEMP anomaly</t>
  </si>
  <si>
    <t>Open items: RONI, the GHG-aerosol split, and the 2023-25 remainder</t>
  </si>
  <si>
    <t>Added 2026-10-22 (v1.4). Three questions the reviews left open. A: RONI in place of ONI, flagged untested since September. B: whether the GHG-versus-aerosol response split is identified, and if not, which quantity is not. C: whether the CERES shortwave decline can account for the roughly 0.07 degC that remains in 2023-2025 after solar. Everything here is a live formula on the helper columns to the left except the two blue cells in section B, which need a covariance matrix; open_items.py recomputes all of it.</t>
  </si>
  <si>
    <t>A. RONI instead of ONI as the ENSO control</t>
  </si>
  <si>
    <t>Index properties over the fit window (rows 9-822)</t>
  </si>
  <si>
    <t>RONI lag 3: linear trend, degC per decade</t>
  </si>
  <si>
    <t xml:space="preserve">   slope per year (feeds column N)</t>
  </si>
  <si>
    <t xml:space="preserve">   intercept (feeds column N)</t>
  </si>
  <si>
    <t>ONI lag 3: linear trend, degC per decade</t>
  </si>
  <si>
    <t>correlation between RONI and ONI, same month</t>
  </si>
  <si>
    <t>standard deviation, RONI then ONI, same month</t>
  </si>
  <si>
    <t>peak of the 2023-24 event, RONI then ONI (calendar 2023)</t>
  </si>
  <si>
    <t>divergence RONI - ONI against the GISTEMP anomaly: correlation, slope per degC, R^2 on time alone, R^2 adding the anomaly, anomaly coefficient</t>
  </si>
  <si>
    <t>Monthly three-factor model on identical months: anomaly = a + b*log2(CO2) + c*ENSO(t-3) + d*AOD(t-7)</t>
  </si>
  <si>
    <t>ENSO control</t>
  </si>
  <si>
    <t>b, degC per doubling</t>
  </si>
  <si>
    <t>c, ENSO</t>
  </si>
  <si>
    <t>d, AOD</t>
  </si>
  <si>
    <t>a</t>
  </si>
  <si>
    <t>R^2</t>
  </si>
  <si>
    <t>SE of estimate</t>
  </si>
  <si>
    <t>mean residual 2023-2025</t>
  </si>
  <si>
    <t>Source block</t>
  </si>
  <si>
    <t>ONI v5 (baseline, = Volcanic!N15)</t>
  </si>
  <si>
    <t>columns F:H</t>
  </si>
  <si>
    <t>RONI v5</t>
  </si>
  <si>
    <t>columns I:K</t>
  </si>
  <si>
    <t>RONI v5, linear trend removed</t>
  </si>
  <si>
    <t>columns L:N</t>
  </si>
  <si>
    <t>Annual model: mean anomaly = a + b*anthropogenic ERF + c*ENSO lag 3</t>
  </si>
  <si>
    <t>b, degC per W/m2</t>
  </si>
  <si>
    <t>b x F2x</t>
  </si>
  <si>
    <t>ONI v5 (baseline, = Forcing!T14)</t>
  </si>
  <si>
    <t>columns Q:R</t>
  </si>
  <si>
    <t>columns S:T</t>
  </si>
  <si>
    <t>columns U:V</t>
  </si>
  <si>
    <t>Inputs used by the columns above</t>
  </si>
  <si>
    <t>annual RONI trend: slope per year (feeds column V)</t>
  </si>
  <si>
    <t xml:space="preserve">   intercept (feeds column V)</t>
  </si>
  <si>
    <t>aerosol-series scale factor used in section B (edit: AR6 2019 p05/best = 1.67)</t>
  </si>
  <si>
    <t>Reading section A, revised in v1.6. RONI makes the fit worse, not better, and raises the CO2 coefficient by about 0.09 monthly and the headline annual value from 1.607 to 1.665. That shift is entirely attributable to RONI's secular trend: removing its linear trend returns the coefficient to the ONI baseline to within 0.0001 (rows 17 and 19). Two cautions about how far that goes. Detrending any regressor hands its trend variance back to log2(CO2), which is nearly linear in time, so the detrending result is close to a tautology and is not evidence about which index is right. And ONI's own flat trend is equally a product of its convention, its re-centred 30-year bases, so preferring it is an assumption that no forced change in the tropical Pacific SST gradient belongs with the ENSO term. What the record cannot do is settle that question. So this is better reported as a structural uncertainty of about +0.06 degC per doubling on the headline, roughly twice the dataset sensitivity of plus or minus 0.03 at Sensitivity!AA84, than as a closed item. On construction, RONI is the Nino 3.4 anomaly minus the tropical-mean SST anomaly, so it falls mechanically if the tropical mean warms faster than Nino 3.4, and empirically the divergence tracks the warming (row 14). Separately from all of that, the 2023-2025 residual gets LARGER under RONI, because RONI scores the 2023-24 El Nino near 1.5 against ONI's 2.0, so the recent excess is not an artefact of the ENSO index.</t>
  </si>
  <si>
    <t>B. Is the GHG-versus-aerosol response split identified?</t>
  </si>
  <si>
    <t>correlation between the warming-term and aerosol ERF series, 1959-2025 (GHG + other anthro against aerosol; Forcing!T24 is the GHG-only version)</t>
  </si>
  <si>
    <t>aerosol ERF in 1959, at its deepest, and in 2025 (W/m2)</t>
  </si>
  <si>
    <t>GHG ERF in 1959 and 2025 (W/m2)</t>
  </si>
  <si>
    <t>Split regression (Forcing!AQ:AS): anomaly = a + g*(GHG + other anthro) + h*aerosol + c*ONI. CORRECTED in v1.6: see row 51</t>
  </si>
  <si>
    <t>g: response to GHG + other anthropogenic forcing, degC per W/m2</t>
  </si>
  <si>
    <t>h: aerosol response, degC per W/m2</t>
  </si>
  <si>
    <t>R^2 of the split regression</t>
  </si>
  <si>
    <t>lag-1 autocorrelation of its residuals (column Z)</t>
  </si>
  <si>
    <t>a: intercept</t>
  </si>
  <si>
    <t>c: ONI coefficient</t>
  </si>
  <si>
    <t>g - h, its AR(1) SE, t and two-sided p</t>
  </si>
  <si>
    <t>95% interval on g - h</t>
  </si>
  <si>
    <t>correlation between the two estimates</t>
  </si>
  <si>
    <t>The same regression with the aerosol series scaled by AB30 (columns W:Y)</t>
  </si>
  <si>
    <t>Quantity</t>
  </si>
  <si>
    <t>g</t>
  </si>
  <si>
    <t>h</t>
  </si>
  <si>
    <t>h x scale</t>
  </si>
  <si>
    <t>scaled-aerosol split</t>
  </si>
  <si>
    <t>Reading section B, corrected in v1.6. Until that revision this regression used GHG ERF alone as the warming regressor and omitted Forcing column J, the other anthropogenic terms (ozone, land use, contrails, BC on snow, stratospheric water vapour), even though the headline regressor is L = K + I + J. Column J trends 0.13 to 0.48 W/m2 and correlates 0.98 with GHG, so its effect was absorbed into g, which is why g came out at 0.467 against a headline b of 0.409. The apparent 0.10 difference between the GHG and aerosol responses was an omitted-variable artefact. With J restored the two responses are 0.409 and 0.414, a difference of -0.005 (row 45), so they are indistinguishable, which is exactly what the headline single-ERF regression assumes. What remains true, and is the real content of this section: the warming-term and aerosol series are nearly orthogonal over this record (row 35), so the regression separates them and the two estimates are almost uncorrelated; and scaling the aerosol series by s scales h by exactly 1/s while leaving h x s and the R^2 unchanged (row 50 against row 40), so the aerosol CONTRIBUTION is identified and the response per W/m2 is not, because the series magnitude is uncertain by a factor of four at AR6's 5-95%. Note also what a failure to reject does not buy: the 95% interval on g - h is -0.20 to +0.19, so the test is weak, and the right reading is that the data give no reason to prefer different responses, not that they confirm equal ones.</t>
  </si>
  <si>
    <t>C. Can the CERES shortwave decline explain the 2023-25 remainder?</t>
  </si>
  <si>
    <t>Quantity (CERES annual, W/m2)</t>
  </si>
  <si>
    <t>2001-2022 mean</t>
  </si>
  <si>
    <t>2023-2025 mean</t>
  </si>
  <si>
    <t>Change</t>
  </si>
  <si>
    <t>Reflected shortwave</t>
  </si>
  <si>
    <t>Outgoing longwave</t>
  </si>
  <si>
    <t>Net imbalance N</t>
  </si>
  <si>
    <t>Total ERF, same two windows</t>
  </si>
  <si>
    <t>The SW change treated as a forcing, degC: at the sustained response (Forcing!T14) then at the pulse response (Volcanic!N36)</t>
  </si>
  <si>
    <t xml:space="preserve">   as a multiple of the remainder after solar (Recent 2023-25!D17)</t>
  </si>
  <si>
    <t xml:space="preserve">   the SW change as a multiple of the whole change in total ERF</t>
  </si>
  <si>
    <t>for scale: the aerosol line already in the budget (Forcing!T34), degC</t>
  </si>
  <si>
    <t>Reading section C, revised in v1.6. The shortwave decline cannot be entered in the residual budget as an independent forcing line, and that holds at either response rate. At the sustained rate it implies 0.53 degC, 7.7 times the remainder; at the pulse rate that Forcing!S61 argues is appropriate for short-lived forcing, and that the Recent 2023-25 tab itself uses for Hunga Tonga over this very window, it implies 0.16 degC, still 2.4 times the remainder. The pulse rate is the internally consistent one for a three-year flux change, so read row 59's second figure. The raw shortwave change is also 1.50 times the whole change in total ERF between the same two windows (row 61; against the change in the CERES net imbalance the ratio is about 2.4, and the two should not be conflated). A top-of-atmosphere flux change mixes externally forced cloud and albedo change, feedback to the warming, and internal variability, and nothing here decomposes it. What these numbers establish is that the whole SW change cannot be treated as forcing: the implied warming exceeds both the remainder and the independently estimated change in forcing, and the fitted response coefficient already contains whatever part of the SW change is feedback, so adding it would count that part twice. Consistent with that, outgoing longwave rose by about as much as absorbed shortwave over the same window while the net imbalance rose far less. The roughly 0.07 degC remains unexplained.</t>
  </si>
  <si>
    <t>D. Method and provenance</t>
  </si>
  <si>
    <t>Column C is pasted input data: RONI v5 from NOAA CPC, Sources item 15. Re-ingested in v1.7.10 straight from RONI.v5.ascii.txt at two decimals, with that file's sha256 recorded at Sources!E45, replacing the one-decimal HTML transcription of 2026-10-22. The checks, retested on the published values: correlation 0.9527 with ONI over 812 same-month pairs; the expected decade-by-decade divergence; the 1982-83 and 2023-24 events in the right relative positions; and the largest month-to-month divergence from ONI is 0.78, in January 1992, where RONI is 2.32 against ONI 1.54. CORRECTED in v1.7.11: the note here previously said every difference was within 0.76. That was an artifact of the rounding. At one decimal RONI read 2.3 for that month, giving exactly 0.76; the published 2.32 gives 0.78. Nothing else in the checks moved. The series is now verified against a checksummed download rather than a text extraction, so the earlier caveat that it was confirmed but not cryptographically verified no longer applies.</t>
  </si>
  <si>
    <t>Everything else is live. The three monthly variants in rows 17-19 use repeated regressor blocks (F:H, I:K, L:N) because LINEST needs contiguous columns, which is the same pattern the Sensitivity tab uses. Mean residuals over 2023-2025 are computed as the mean observation minus the fitted mean, which is exact for a linear fit. The two blue cells in row 45 and row 47 are the standard error of g - h and the correlation of the two estimates; both need the coefficient covariance matrix, which LINEST does not return, so they come from open_items.py, which also recomputes every live figure on this tab.</t>
  </si>
  <si>
    <t>Added v1.7: how large is that standard error, exactly?</t>
  </si>
  <si>
    <t xml:space="preserve">  Exact AR(1) standard error of a mean of three annual residuals</t>
  </si>
  <si>
    <t>E18 uses the asymptotic factor sqrt((1+rho)/(1-rho))/sqrt(3), which overstates it for n = 3</t>
  </si>
  <si>
    <t xml:space="preserve">  Remainder after solar (D17), in units of that standard error</t>
  </si>
  <si>
    <t>about 1.2 SE, so still not distinguishable from noise</t>
  </si>
  <si>
    <t xml:space="preserve">  Residual BEFORE the solar line (D15), in the same units</t>
  </si>
  <si>
    <t>about 2.2 SE: the excess is only insignificant after a solar line whose own uncertainty is not propagated</t>
  </si>
  <si>
    <t xml:space="preserve">  Single-component ranges, widest first (b × F2x). ACI appears because AA50 discusses it, not because it is wide: it is the narrowest of the eleven</t>
  </si>
  <si>
    <t>1. The biggest ERF uncertainty (aerosol-cloud interactions, ±75%) barely moves the result. The regression responds to the change in forcing across 1959-2025, and net aerosol forcing changed little between those endpoints (-0.91 to -0.96 W/m²; it deepened through the 1980s to about -1.4 and reached -1.49 in 1991, then recovered). Scaling the aerosol series therefore changes the shape of the forcing curve, not its trend, and the fitted slope moves by only about ±0.03 °C per doubling. Ozone and CO2 matter more because their series trend.</t>
  </si>
  <si>
    <t>2. CO2-ERF uncertainty and F2x uncertainty are the same physical quantity. Scaling the CO2 series down makes b larger and F2x smaller, partly offsetting: a ±12% scaling of CO2 moves b × F2x by about ±7% (AC43), not zero, because CO2 is 0.7 to 2.3× of the regressor rather than all of it. Treating the two as independent (row 47, and Forcing!T43:U43) therefore overstates the width. The full Monte Carlo (row 46), which ties them together, gives 1.43-1.78 (90%), narrower than the quadrature 1.36-1.85.</t>
  </si>
  <si>
    <t>3. Method limits: component uncertainties are sampled as independent normal scale factors on the best-estimate time series, which is how the IGCC ensemble is built for most components, but not for all. Three components have percentile ranges bounded at zero (ARI -0.469 to -0.001, BC on snow -0.000 to +0.180, stratospheric H2O -0.000 to +0.100), so a symmetric normal flips their sign in about 5 to 7 per cent of draws. Those three are small enough that the headline is unaffected (ARI's whole single-component range is 1.55 to 1.66), but the sampling does not mirror the IGCC ensemble for them. The scheme also ignores the ARI/ACI correlation and any shape uncertainty. The pointwise percentile rows (38-39) are shown because reviewers asked for them, but percentile envelopes are not ensemble members and should not be read as a fit to a plausible forcing history. The 1000-member IGCC ensemble itself is not published in the repository.</t>
  </si>
  <si>
    <t>15</t>
  </si>
  <si>
    <t>ENSO, Relative Oceanic Nino Index (RONI) on ERSSTv5</t>
  </si>
  <si>
    <t>NOAA CPC, https://www.cpc.ncep.noaa.gov/products/analysis_monitoring/enso/roni/v5/</t>
  </si>
  <si>
    <t>RONI.v5.ascii.txt, 917 rows at two decimals. sha256 7a967b53758712c973d8547d9bb12d2cc3177b881c147677182214925f3519e9. NOT RONI.ascii.txt, which is a different series: see note below row 48.</t>
  </si>
  <si>
    <t>3-month running mean Nino 3.4 anomaly minus the tropical-mean SST anomaly, 1991-2020 base period</t>
  </si>
  <si>
    <t>Season placed at centre month; lagged 3 months, as for ONI. Also used with its linear trend removed</t>
  </si>
  <si>
    <t>Jan 1950 - May 2026 (so the lagged regressor reaches Aug 2026)</t>
  </si>
  <si>
    <t>Open Items!C (pasted), then D, K, N, T, V; results at Open Items!AA5:AI32</t>
  </si>
  <si>
    <t>US Government work, public domain. CHECK resolved 2026-10-23: CPC requests no citation for RONI on the v5 page, the v6 page, the indices page or the NWS service-change notice; the public-domain basis is NOAA site-wide language. The notice is NWS PNS 26-05 (NOUS41 KWBC 131940, issued 2026-01-13), which requests no citation or acknowledgement and gives no literature reference at all. Weigh that evidence for what it is: an official notice that is silent is weaker than a terms page that says so explicitly. The citation at L45 is good practice, not a required form.</t>
  </si>
  <si>
    <t>L'Heureux, M.L. et al. (2024), A Relative Sea Surface Temperature Index for Classifying ENSO Events in a Changing Climate, J. Climate 37(4), 1197-1211, doi:10.1175/JCLI-D-23-0406.1, for the index; Huang et al. (2017), doi:10.1175/JCLI-D-16-0836.1, for the ERSSTv5 basis (as item 6). Verified against Crossref 2026-10-23, and the paper is also named in the reference code's own header. Reference implementation of the method: https://github.com/michellelheureux/Relative-SST/ , given in the paper's data availability statement as code to compute the index from ERSSTv5. CAUTION, repository checked 2026-10-23 at commit 6931301: the notebook that computes the index there is compute_relNino34_RONI_ERSSTv6.ipynb and reads ERSSTv6 from NOAA PSL, not v5, so running it as it stands reproduces the operational basis rather than the v5 series used here; the only ERSSTv5 in that repository is for rescaling NMME forecasts in a separate notebook. The repository makes the method reproducible; it does not establish the v5 basis. The v1.7.9 entry here cited the two ERSSTv6 papers, neither of which defines the index.</t>
  </si>
  <si>
    <t>D. Known omissions</t>
  </si>
  <si>
    <t>Anthropogenic waste heat (~0.04 W/m² global mean, ~1 to 1.5% of total ERF; datacenters ~0.0002 to 0.0004 W/m²) is not included in the AR6 ERF series. It co-varies with CO2 and is absorbed into the anthropogenic coefficients; its 2019 to 2025 change (~0.003 W/m², about 0.001 °C at Forcing!T14) is negligible against the 2023 to 2025 residual on the Recent 2023-25 tab. It also leaves the CERES tab's λ and ECS check effectively unchanged, since its decade-to-decade change is a few thousandths of a W/m².</t>
  </si>
  <si>
    <t>Basis: global primary energy use ~620 EJ/yr (~19 to 20 TW) spread over 5.10×10¹⁴ m². Datacenter electricity 2025: ~485 TWh (IEA, Key Questions on Energy and AI, 2026) to ~788 TWh (Energy Institute, Statistical Review of World Energy 2026, S&amp;amp;P Global data), multiplied by ~2 to 2.5 for primary energy (power-plant conversion losses), giving ~1,000 to 2,000 TWh/yr. Comparable published estimate: Flanner, M.G. (2009), Integrating anthropogenic heat flux with global climate models, Geophys. Res. Lett. 36, L02801, doi:10.1029/2008GL036465 (verified against Crossref 2026-10-23: Flanner, M.G., single author, Geophys. Res. Lett. 36(2), article 2008GL036465, 2009). Documentation only; no cells depend on these values.</t>
  </si>
  <si>
    <t>Item 15, resolved 2026-10-23 (v1.7.10). The RONI series is now ingested directly from RONI.v5.ascii.txt with the sha256 recorded at E45, so the CHECK closes against a download rather than the HTML transcription it carried from 2026-10-22. The transcription was faithful: every one of its 917 values was the exact one-decimal rounding of the published two-decimal value under ties-toward-positive-infinity, tested against five conventions, with no transcription errors. Ninety-four of the 917 published values sit exactly on a rounding tie, so the convention mattered for about one value in ten. Recovering the second decimal changed no reported figure: the RONI headline moved 1.6650 to 1.6649 and the structural uncertainty +0.0583 to +0.0582. WARNING, and the reason E45 names the file: CPC publishes two RONI series and they are not vintages of one another. RONI.ascii.txt is the operational index adopted for official ENSO monitoring on 2026-02-01 (NWS PNS 26-05); RONI.v5.ascii.txt is the ERSSTv5 basis used here, for consistency with the ONI v5 input at item 5. Over the 917 shared seasons only 49 values (5.3 per cent) are identical, the mean absolute difference is 0.0799, the largest is 0.52 at MJJ 1952, and 43 seasons (4.7 per cent) fall on opposite sides of the plus or minus 0.5 event threshold. The v5 file also lags by three seasons, ending AMJ 2026 against JAS 2026. Anything that says only CPC RONI is now ambiguous. On permanence, treat the v5 file as unassured. PNS 26-05 says the legacy Nino 3.4 and Oceanic Nino Index files will continue to be updated and that no legacy data files or web links would change at implementation, but it names neither of those as RONI.v5.ascii.txt and does not mention that file at all; the only RONI file it points to is the operational one. Checked here on 2026-10-23: the CPC indices page lists RONI.ascii.txt and oni.ascii.txt and does not list RONI.v5.ascii.txt, which resolves and returns data but is unlinked. The sha256 at E45 and the retrieval date are therefore the record if that file moves or stops being updated.</t>
  </si>
  <si>
    <t>E. Code and offline computations</t>
  </si>
  <si>
    <t>Script</t>
  </si>
  <si>
    <t>What it computes</t>
  </si>
  <si>
    <t>Cells it feeds</t>
  </si>
  <si>
    <t>erf_uncertainty.py</t>
  </si>
  <si>
    <t>Monte Carlo over the 11 IGCC 2025 ERF components, 20,000 draws, each component scaled by a normal draw with sd = its 2019 5-95% half-width / 1.645; propagated through the annual anthropogenic-ERF regression to b and to b x F2x. Also the deterministic percentile, scaled-series, single-component and quadrature cases.</t>
  </si>
  <si>
    <t>Sensitivity!AC44:AD47 (pasted, blue); described at Sensitivity!AA35 and AA44:AA47</t>
  </si>
  <si>
    <t>Included with the workbook from 2026-10-22 (v1.3). A reconstruction from the method notes, not the September original: it reproduces every deterministic case exactly and all three Monte Carlo percentile triplets at 20,000 draws. Needs ERF_best_aggregates.csv, ERF_p05_aggregates.csv and ERF_p95_aggregates.csv from the repository in item 10 above; those three files should travel with it.</t>
  </si>
  <si>
    <t>validate_kernels.py</t>
  </si>
  <si>
    <t>Grid search over tau_ENSO and tau_AOD with blocked 7-fold cross-validation, tau and coefficients chosen out-of-fold; also the single-split holdouts and the CO2-only benchmark.</t>
  </si>
  <si>
    <t>Kernel!P62:Q70 (pasted, blue); summarised at Summary!B36:F41</t>
  </si>
  <si>
    <t>Included with the workbook from 2026-10-22 (v1.3). A reconstruction, not the September original: exact on Kernel!P13:P20, P52:P60, P63:Q65 and P70. PARTLY RESOLVED in v1.6 after an independent review: cutting the 807 months into calendar decades rather than equal row-count blocks reproduces the pasted per-fold tau pattern at O67 exactly, all 14 selections, and gives P66 = 0.8866, i.e. the pasted 0.887. So the original used decade folds. P68, Q66, Q68 and P69 still differ (0.8896 against 0.889, +0.0017 against 0.003, -0.0000 against 0.003, 0.8456 against 0.838), so something further about the original run is still unaccounted for, and P69 in particular has no recoverable provenance under any partition, row range or metric tried. Needs no external data.</t>
  </si>
  <si>
    <t>residual_diagnostics.py</t>
  </si>
  <si>
    <t>Breusch-Pagan (classic and Koenker), White, ARCH-LM at q = 1, 6, 12, the same tests on AR(1)-filtered residuals, subset residual spreads, and naive / HC3 / Newey-West / AR(1)-inflated standard errors for all three fitted slopes. It recomputes the naive and AR(1)-inflated figures too, so it independently reproduces Annual!K17:K19 and Forcing!T19:U19.</t>
  </si>
  <si>
    <t>Diagnostics!AY31:AZ33 (pasted, blue). Everything else on the Diagnostics tab is a live formula, so the script doubles as an independent check of that tab.</t>
  </si>
  <si>
    <t>Included with the workbook from 2026-10-22. Written for this workbook, so it is not a reconstruction. Needs no external data.</t>
  </si>
  <si>
    <t>open_items.py</t>
  </si>
  <si>
    <t>The three questions the reviews left open: RONI against ONI as the ENSO control, whether the GHG-aerosol response split is identified, and whether the CERES shortwave decline can account for the 2023-25 remainder. Also the divergence diagnostics at Open Items row 14.</t>
  </si>
  <si>
    <t>Open Items!AC45 and AB47 (pasted, blue). Everything else on that tab is a live formula.</t>
  </si>
  <si>
    <t>Added 2026-10-22 with the Open Items tab. Written for this workbook, so it is not a reconstruction. Needs roni_v5_cpc.csv (item 15 above).</t>
  </si>
  <si>
    <t>Convention: any result shown in blue in this workbook was computed outside Excel and pasted. These four scripts are the only external code the workbook depends on and all four travel with it, so every blue cell can be regenerated. Two of them are reconstructions written from the method notes rather than the September originals; each states in its own header exactly which pasted figures it reproduces and where it differs, and those statements are the audit trail, not these cells.</t>
  </si>
  <si>
    <t>2026-10-22 (v1.7.4): packaging only, no content change. This is the v1.7.3 workbook opened and saved in Microsoft Excel 16.0300, so every formula now carries Excel's own cached value and the Markdown export no longer falls back to a LibreOffice recalculation for any cell. That closes the loop the v1.7.3 defect opened: the seven coerced SUMPRODUCT formulas have now been confirmed by the engine that exposed them, and the two engines were reconciled across the whole file, 120,565 numeric cells on all 19 sheets with no difference beyond 1e-9 relative, and 107,465 formulas unchanged by the round trip. Diagnostics section C computes in Excel and the file contains no error-valued cell. Headline cells unmoved: Forcing!T14 0.4088266, Forcing!T17 1.6066886, Annual!K4 2.7423885.</t>
  </si>
  <si>
    <t>Workbook version</t>
  </si>
  <si>
    <t>Revision history: moved to the Change log tab in v1.7.5. The thirteen entries from v1.0 through v1.7.4 are there verbatim, with the version, date and type of each in their own columns, followed by the entries for the moves themselves.</t>
  </si>
  <si>
    <t>1.7.11</t>
  </si>
  <si>
    <t>2026-10-23</t>
  </si>
  <si>
    <t>v1.0 = the Sept 2026 state; v1.1 to v1.7.4 were all issued 2026-10-22; v1.7.5 and v1.7.6 on 2026-10-23.</t>
  </si>
  <si>
    <t>Jenkins, S., Smith, C., Allen, M. and Grainger, R. (2023), Tonga eruption increases chance of temporary surface temperature anomaly above 1.5 degC, Nature Climate Change 13(2), 127-129, doi:10.1038/s41558-022-01568-2. Completed in v1.7.11: the entry here gave author and year only. Verified against Crossref 2026-10-23. Recorded as the intended reference on the author-and-year match, which is all the placeholder specified, so confirm it is the paper meant before relying on it.</t>
  </si>
  <si>
    <t>10.1038/s41558-022-01568-2</t>
  </si>
  <si>
    <t>CERES tab, columns Q:V monthly and the annual means; N17:N20 energy-balance check</t>
  </si>
  <si>
    <t>NASA data, openly available, citation requested, on the same basis as item 8. Recorded in v1.7.11: this cell was blank from the row's creation, which is not a finding of no restriction.</t>
  </si>
  <si>
    <t>Loeb, N.G. et al. (2018), Clouds and the Earth's Radiant Energy System (CERES) Energy Balanced and Filled (EBAF) Top-of-Atmosphere (TOA) Edition-4.0 Data Product, J. Climate 31(2), 895-918, doi:10.1175/JCLI-D-17-0208.1; verified against Crossref 2026-10-23. Cite with the product DOI already at D43.</t>
  </si>
  <si>
    <t>CERES tab, N30:N36 ocean heat uptake against the CERES imbalance</t>
  </si>
  <si>
    <t>US Government work, public domain, citation requested, on the same basis as items 1, 5, 6 and 15. Recorded in v1.7.11: this cell was blank from the row's creation, which is not a finding of no restriction.</t>
  </si>
  <si>
    <t>Levitus, S. et al. (2012), World ocean heat content and thermosteric sea level change (0-2000 m), 1955-2010, Geophys. Res. Lett. 39(10), article 2012GL051106, doi:10.1029/2012GL051106; verified against Crossref 2026-10-23. The file name at E44 already names this source.</t>
  </si>
  <si>
    <t>F. Terms of use</t>
  </si>
  <si>
    <t>What this section covers, and what it cannot. The licences below apply only to the original work in this file: the workbook structure, the formulas, the diagnostic and sensitivity panels, the written notes and readings, the Markdown exports, and the four scripts in section E. They do not and cannot apply to the input data. Column K above is the authority for every dataset, and most of it is United States Government work in the public domain, which no one can place under a licence. Items 3, 4, 7, 9, 10, 11 and 12 are governed by the repository and agency terms recorded there, not by anything stated here.</t>
  </si>
  <si>
    <t>Workbook and documentation: Creative Commons Attribution 4.0 International (CC BY 4.0). Copyright (c) 2026 Russ Nida. You may share and adapt this work, including commercially, provided you give appropriate credit, link to the licence and indicate whether you made changes. The full licence is at https://creativecommons.org/licenses/by/4.0/ . CC BY 4.0 was chosen to match the terms of the ClimateIndicator forcing series this analysis depends on, and to leave journal and preprint routes open; it is deliberately not a NonCommercial or ShareAlike licence.</t>
  </si>
  <si>
    <t>The four scripts in section E: MIT Licence, Copyright (c) 2026 Russ Nida. Creative Commons advises against CC terms for software, so the code carries a software licence of its own. The full text travels with the repository as LICENSE; CC BY 4.0 for the content is in LICENSE-CONTENT.md.</t>
  </si>
  <si>
    <t>Attribution you owe onward if you reuse this. Four inputs are not public domain and their own requirements survive any reuse of this workbook. The ClimateIndicator forcing-timeseries repository, items 7, 9 and 10, is MIT, Copyright (c) 2023 Chris Smith, corrected in v1.7.9 from the CC BY 4.0 this file recorded until then; MIT requires that the copyright notice and the permission notice travel with any copy, which is a stricter form of attribution than a citation line, so the repository carries them in THIRD-PARTY-NOTICES. HadCRUT5 (item 11) is Open Government Licence v3 and Berkeley Earth (item 12) is CC BY 4.0, both satisfied by attribution. Items 3 and 4, the two solar irradiance series, are subject to the NOAA Climate Data Record use agreement rather than a free licence. NOAA GML asks for citation of the Mauna Loa record and NASA for GISTEMP and GloSSAC. Reusing this file does not discharge any of it.</t>
  </si>
  <si>
    <t>Before a public release: nothing outstanding, as of v1.7.11 on 2026-10-23. Every item this file has carried is closed and each closure is recorded where it belongs rather than only here. The repository licence at K13 was corrected to MIT in v1.7.9 against the clone. RONI's provenance and citation closed in v1.7.10 against a checksummed download and the publisher record. In v1.7.11: the section A citations were checked against Crossref and DataCite, six of seven reproducing exactly and L8 corrected, where the DOI named the wrong product and the Scripps credit that the data file's own header requests was missing entirely; the NOAA Climate Data Record terms at K9 and K10 resolved against the agency's use agreement, which places no restrictions on use; items 13 and 14, which had location, terms and citation all blank, now carry all three; and the IGCC 2025 data was confirmed to be the published assessment rather than the preliminary extrapolations its own README still warns about, by comparing the shipped values against the paper. See L13 for that comparison and its one small unresolved difference in the aerosol percentile range. The section C literature was verified in the same pass: all six references carrying DOIs reproduce exactly against Crossref, and the Jenkins entry, which had held author and year only, is completed. Row 36 is a placeholder rather than an unverified claim, since it cites nothing. What remains is judgement rather than verification: whether to publish, and under what terms, which section F states above.</t>
  </si>
  <si>
    <t>Change log</t>
  </si>
  <si>
    <t>Revision history for Climate_Change_Analysis_2, moved here from Summary!B52:B64 in v1.7.5. The version, date and maintainer cells stay on Summary at B47:C50. Entry text is verbatim as written at each revision, including the date prefix that column B now duplicates, so that the move can be checked against v1.7.4 string by string. Type is a reading aid rather than a formal classification, taken from how each entry describes itself: Content adds analysis, Correction fixes something that was wrong whether in a formula, a number or a statement, Wording changes how a correct point is put without changing what is claimed, Documentation adds reference material without touching the analysis, and Packaging changes none of those.</t>
  </si>
  <si>
    <t>Date</t>
  </si>
  <si>
    <t>Type</t>
  </si>
  <si>
    <t>What changed</t>
  </si>
  <si>
    <t>v1.0</t>
  </si>
  <si>
    <t>Sept 2026</t>
  </si>
  <si>
    <t>Content</t>
  </si>
  <si>
    <t>v1.1</t>
  </si>
  <si>
    <t>v1.2</t>
  </si>
  <si>
    <t>Wording</t>
  </si>
  <si>
    <t>v1.3</t>
  </si>
  <si>
    <t>v1.4</t>
  </si>
  <si>
    <t>v1.5</t>
  </si>
  <si>
    <t>v1.5.1</t>
  </si>
  <si>
    <t>Packaging</t>
  </si>
  <si>
    <t>v1.6</t>
  </si>
  <si>
    <t>Correction</t>
  </si>
  <si>
    <t>v1.7</t>
  </si>
  <si>
    <t>v1.7.1</t>
  </si>
  <si>
    <t>v1.7.2</t>
  </si>
  <si>
    <t>v1.7.3</t>
  </si>
  <si>
    <t>v1.7.4</t>
  </si>
  <si>
    <t>v1.7.5</t>
  </si>
  <si>
    <t>Documentation</t>
  </si>
  <si>
    <t>2026-10-23 (v1.7.5): three reference tabs added and the revision history moved. This Change Log tab now holds the 13 entries that were at Summary!B52:B64, verbatim, so the move can be diffed against v1.7.4 string by string; Summary keeps the version, date and maintainer cells at B47:C50 and points here. An Acronyms tab defines every abbreviation and symbol the workbook uses, compiled by scanning all cells of all 19 sheets rather than from recollection, so the list cannot contain an acronym the workbook does not use or omit one it does. A Glossary tab defines the statistical and climate terms in the sense this workbook uses them, including the four local conventions (blue cells, yellow cells, the CHECK marker, and the warning that the headline figure is not a TCR) and two editing traps (LINEST's reversed coefficient order, and the SUMPRODUCT boolean coercion behind the v1.7.3 defect). Every cell reference cited on the two new reference tabs was checked to resolve to a non-empty cell before the tabs were written, which caught two errors in the drafts: a cross-validation block cited at Kernel!P62 that begins at O62, and a claim that NNLTSI1 at Sources!C10 was a typo for NRLTSI2. It is not. NOAA's own metadata for the series gives NNLTSI as NASA NOAA LASP Total Solar Irradiance and states that CDR version 3 carries the NNL version 1 model, the numbering restarted to distinguish it from the original Naval Research Laboratory formulation, so NNLTSI1 and NRLTSI2 are two models and the workbook was already correct. No formula, value or input changed anywhere: the three new tabs are text only, and every numeric cell is still the one Excel cached at v1.7.4.</t>
  </si>
  <si>
    <t>v1.7.6</t>
  </si>
  <si>
    <t>2026-10-23 (v1.7.6): corrections to the three reference tabs added hours earlier, after an independent review. Three Glossary entries stated the opposite of this workbook's own findings, which is why this entry is typed Correction and not Documentation. ONI against RONI had the trend direction backwards: ONI is detrended by construction through its re-centred 30-year bases and carries -0.005 degC per decade (Open Items!AB10), so it absorbs almost none of the CO2 signal, while RONI subtracts the tropical mean and carries -0.083 (AB7), and it is that trend competing with log2(CO2) which moves the headline. ENSO!M37 had said so since v1.1, and the Acronyms entry for RONI repeated the same reversal. Albedo said the workbook tests and rejects the CERES shortwave decline as an explanation of the 2023-25 remainder, which is the claim v1.5 deliberately withdrew: Open Items!AA63 establishes only that the whole shortwave change cannot be entered as an independent forcing line, Recent 2023-25!B26 adds that it may be the mechanism through which the aerosol change acts, and the remainder is unexplained rather than explained away. Autocorrelation quoted 0.36 to 0.6 for the monthly models from a cell holding an annual figure; monthly runs 0.47 to 0.64 and annual 0.25 to 0.36. Four smaller errors: the ARCH collapse was cited to AW56, which covers the annual models, rather than AW55; ERSST called v6 an untested successor when Sensitivity!AA29 reports it tested and indistinguishable; Monte Carlo claimed to handle correlated inputs when AA52 says components are sampled independently and the ARI/ACI correlation ignored, its real advantage being the CO2-to-F2x tie at row 46; and one tab name was miscased. The Acronyms completeness claim was false too: v1.7.5 checked only that every listed term occurs in the workbook and never the reverse, and the reverse scan found 25 real abbreviations and symbols missing, NASA among them. All are now listed and the note says what was actually checked. Two stale cells outside the new tabs were also corrected. Summary!D48 said v1.1 to v1.7.1 were all issued 2026-10-22, stale since v1.7.2. Sensitivity!AA29 said RONI was not supplied and remains untested, stale since v1.4, when Open Items section A tested it; it now says what does remain untested, which is RONI on ERSSTv6. One citation is recorded rather than changed: seven cells, the v1.0 entry above among them, cite the blocked cross-validation block as Kernel!P62:Q70, where its labels begin at O62. As a range that is harmless, because P62:Q70 contains every value in the block and P62 is only an empty cell at its top edge. It is wrong only as a single-cell citation, which is what the v1.7.5 Glossary draft had; the Glossary now gives O62:Q70, which also covers the labels. No formula, value or input changed.</t>
  </si>
  <si>
    <t>v1.7.7</t>
  </si>
  <si>
    <t>2026-10-23 (v1.7.7): four corrections to the v1.7.6 reference tabs after a further review. The Change log note at A2 carried a half-applied edit. The clause defining the Type column was replaced without removing the sentence that introduced it, so the note read 'Type is taken from each entry's own description of itself: Type is a reading aid rather than a formal classification...'. The duplicate lead-in is gone. That is the second substitution in two revisions to report success while leaving the text wrong, after the double-escaped Sensitivity!AA29 replacement in v1.7.6, so the builder now prints all three tab notes in full at build time, where a half-applied edit is visible, instead of trusting that a replacement which matched did the right thing. The Glossary autocorrelation entry gave Forcing!T18 as 0.358, where the cell holds 0.357451 and rounds to 0.357. The Acronyms entry for lambda said it is not fitted here and appears in the consistency check only, which understates it: CERES!N17 computes the lambda implied by the assumed ECS and N20 the lambda implied by the observations, so it is computed, just not regressed. Last, the v1.7.6 entry's note about Kernel!P62 was softened in place. It had called the v1.0 citation an inaccuracy when P62:Q70 as a range contains every value in the block, and it named one cell where seven use that form. That is the only edit this log has made to an existing entry, and it is recorded here rather than left silent; the thirteen entries migrated from Summary remain untouched and diffable against v1.7.4. No formula, value or input changed.</t>
  </si>
  <si>
    <t>v1.7.8</t>
  </si>
  <si>
    <t>2026-10-23 (v1.7.8): terms of use stated, ahead of a public repository. Until now Sources column K recorded the terms of all sixteen inputs and the file said nothing about its own, so the default a recipient had to assume was all rights reserved, which strictly means the reviewers it was sent to could not redistribute it. Sources section F now states CC BY 4.0 on the workbook, its notes and the Markdown exports, and the MIT licence on the four scripts in section E, Creative Commons advising against CC terms for software. CC BY 4.0 rather than a NonCommercial or ShareAlike licence for three reasons: NonCommercial is deliberately undefined and would create doubt for industry readers, ShareAlike would bind anyone lifting a figure into a report, and both can collide with journal and preprint requirements for CC BY. Neither licence touches the inputs. Most are United States Government work in the public domain, which cannot be placed under a licence at all, and section F says so explicitly, points to column K as the authority, and lists the attribution that survives onward reuse for the three inputs that are not public domain. Section F also names the three CHECK markers that should be resolved before publication rather than after, because a public repository asserts them to strangers. No formula, value or input changed.</t>
  </si>
  <si>
    <t>v1.7.9</t>
  </si>
  <si>
    <t>2026-10-23 (v1.7.9): the ClimateIndicator licence was wrong, and so were three things v1.7.8 said about item numbers. Sources item 7 recorded the forcing-timeseries repository as CC BY 4.0 with a CHECK marker. A reviewer queried it and the clone settles it: at commit 852f4f7, the commit these ERF inputs came from, the repository LICENSE reads MIT, Copyright (c) 2023 Chris Smith, and nothing in the repository mentions Creative Commons. K13 now reads MIT, and items 9 and 10 follow it. This matters beyond accuracy, because MIT requires the copyright and permission notices to travel with any copy, which a citation line does not satisfy, so the repository now carries THIRD-PARTY-NOTICES with the upstream text. CHECK item 1 therefore closes as corrected rather than confirmed, which is the more useful outcome: the marker was carrying a real error rather than an unverified guess. Three errors of my own in the v1.7.8 section F are also fixed, all the same mistake of reading spreadsheet rows as item numbers: the scope paragraph named items 7, 15 and 16 where it meant 7, 9 and 10, and the attribution paragraph put the NOAA Climate Data Record use agreement on items 9 and 10 when it governs items 3 and 4, the two solar irradiance series. Reading the item column to fix those turned up a gap nobody had raised: items 13 and 14, CERES EBAF and the NCEI ocean heat content series, have no terms recorded in column K at all, and section F now says so, because a blank cell is not a finding of no restriction. Last, the Markdown preamble claimed that every formula cell ships with a cached value. It does not: 393 do not, the blank-by-design guards on Diagnostics, Kernel, ENSO and six other tabs, whose recalculated value is blank too, which is why no cell’s displayed value comes from the recalculation. The preamble now says that instead. The old wording was what led a reviewer to conclude the workbook they held could not be the one the manifest describes. No formula, value or input changed.</t>
  </si>
  <si>
    <t>v1.7.10</t>
  </si>
  <si>
    <t>2026-10-23 (v1.7.10): RONI re-ingested from the file the workbook said did not exist. Sources item 15 recorded the series as transcribed from an HTML table because CPC published no file for it. CPC does publish one, at https://www.cpc.ncep.noaa.gov/data/indices/RONI.v5.ascii.txt, 917 rows at two decimals where the HTML table gives one. Column C of Open Items now carries those published values, 735 of its 819 rows changing in the second decimal, and the CHECK marker closes against a download with a recorded sha256 rather than a text extraction. The superseded transcription was not at fault: all 917 of its values are the exact one-decimal rounding of the published values under ties-toward-positive-infinity, with no transcription errors, which was tested against five rounding conventions. Only the premise was wrong. Recovering the second decimal moves nothing that is reported: the RONI headline goes from 1.6650 to 1.6649 and the structural uncertainty from +0.0583 to +0.0582, with the detrended variant identical to four decimals. A separate finding, not previously on any list: the two RONI files CPC publishes are different series, not different vintages of one. Over the 917 shared seasons only 5.3 per cent of values are identical, the mean absolute difference is 0.08, the largest is 0.52 at MJJ 1952, and 4.7 per cent of seasons fall on opposite sides of the plus or minus 0.5 event threshold, so the two disagree about event classification for roughly one season in twenty. RONI.ascii.txt is the operational series CPC adopted for official ENSO monitoring on 2026-02-01; RONI.v5.ascii.txt is the ERSSTv5 basis, which is the one consistent with this workbook's ONI input. Sources now names the file rather than saying CPC RONI, because that phrase has come to denote the other series. The citation at L45 was also wrong: it gave the two ERSSTv6 papers, neither of which defines the index. The index paper is L'Heureux et al. (2024), verified against Crossref. Two CHECK markers close with this revision: the RONI provenance, and the citation question at K45, which resolves as no, CPC requests no citation for RONI, on the authority of NWS PNS 26-05, which requests none and cites nothing. Two further provenance records were folded in before this build was saved, and both needed correcting first. The paper's data availability statement points to https://github.com/michellelheureux/Relative-SST/ as code computing the index from ERSSTv5, and that was offered as the authoritative tie between the file name and the v5 basis. Cloning it shows otherwise: at commit 6931301 the computing notebook is compute_relNino34_RONI_ERSSTv6.ipynb, reading ERSSTv6 from NOAA PSL, and the only ERSSTv5 in the repository rescales NMME forecasts in a different notebook. It is recorded at L45 as the reference implementation of the method, with that caveat, and not as evidence of the basis. Second, PNS 26-05's promise that legacy files keep being updated was offered as making the v5 file's survival expected. It names the legacy Nino 3.4 and Oceanic Nino Index files and never mentions RONI.v5.ascii.txt, and the CPC indices page, checked here, lists RONI.ascii.txt and oni.ascii.txt but not the v5 file, which resolves while unlinked. B49 therefore keeps the permanence caveat rather than retiring it.</t>
  </si>
  <si>
    <t>v1.7.11</t>
  </si>
  <si>
    <t>2026-10-23 (v1.7.11): the three remaining pre-publication items closed, and a new one opened in the process. Every citation in section A was checked against the publisher record rather than re-read: Lenssen 2019, Coddington 2016, Huang 2017, Kovilakam 2020, Morice 2021 and Rohde and Hausfather 2020 all reproduce exactly as written, which is six of seven. The seventh was wrong. L8 cited doi:10.15138/9N0H-ZH07 for the Mauna Loa CO2 record, and DataCite gives that as 'Trends in globally-averaged CO2 determined from NOAA Global Monitoring Laboratory measurements', a different product. Worse, the correct citation is two-part and the second half was missing entirely: the imported file header states that March 1958 through April 1974 was obtained by C. David Keeling of Scripps, and this workbook's series starts in March 1958, so sixteen years of its CO2 input are Scripps data that the workbook was not crediting. L8 now carries both, with Keeling et al. (1976) verified. L13's CHECK closes: the IGCC 2025 paper is Forster et al. (2026), Earth Syst. Sci. Data 18(6), 3889-3933, doi:10.5194/essd-18-3889-2026, published 11 June 2026. The NOAA Climate Data Record question closes too, on the agency's own document: UseAgreement_01B-32.pdf states that the CDR data sets are non-proprietary and publicly available with no restrictions on use, citation urged rather than required, no notification requirement, and the only carve-out is production software this workbook does not ship. Items 13 and 14 had columns J, K and L blank on both rows, not just the terms column, so the workbook used CERES EBAF and the NCEI ocean heat content series while naming no paper for either; both now carry their location, terms and citation, Loeb et al. (2018) and Levitus et al. (2012), both verified. One handed-over finding did not survive checking: the IPCC AR6 Chapter 7 title was said to need a serial comma, and the publisher record has none before 'and Climate Sensitivity', so the form already here was right; what was missing was the chapter DOI, now added. The new item is at L13 and it is not cosmetic. The ClimateIndicator README at commit 852f4f7, the commit these ERF files came from, warns that 2025 values are preliminary and based on extrapolations and estimates, not final until IGCC 2025 published. That paper appeared four days before the commit and nothing in the repository says whether the commit's output is the final assessment. That was opened and closed within this revision. Re-pulling settles nothing, because origin/main is still 852f4f7 four months on, so there is no newer commit; but the published paper settles it directly. Forster et al. give total anthropogenic ERF of 3.10 [2.35 to 3.83] W/m2 for 2025, with 2.37 from CO2 and aerosol -0.96 [-1.58 to -0.40]. The shipped files give anthro 3.1035, p05 2.3460, p95 3.8347, CO2 2.3709, aerosol -0.9618, so the best estimates and the total anthropogenic range agree exactly at the paper's precision. The README warning is stale text: git shows it entered on 2026-03-24 with the 2025-prelim merge and the README has not been touched since, while the output files were revised on 2026-05-29 and 2026-06-08, after the paper's revision round. One difference is recorded rather than smoothed over: the aerosol percentile range here is -1.6003 to -0.3891 against the paper's -1.58 to -0.40, which is a pointwise envelope against an ensemble quantile, a distinction Sensitivity!AA52 already draws. With that, nothing stands between this file and publication except the decision to publish. One correction fell out of the audit rather than a review. Open Items!AA66 said every month-to-month RONI minus ONI difference was within 0.76, and at two decimals one pair reaches 0.78: January 1992, RONI 2.32 against ONI 1.54. The old bound was an artifact of the rounding, since the one-decimal RONI read 2.3 there and 2.3 minus 1.54 is exactly 0.76. AA66 is rewritten: it had also still described the HTML transcription, asserted that CPC publishes no ascii file, and ended with a caveat about not being cryptographically verified, all three superseded by the re-ingestion two revisions earlier. The correlation, the decade-by-decade divergence and the event positions all still hold.</t>
  </si>
  <si>
    <t>Acronyms and symbols</t>
  </si>
  <si>
    <t>Every abbreviation and symbol used anywhere in this workbook. Compiled in v1.7.5 by scanning all cells of the 19 analysis sheets, then completed in v1.7.6 by the reverse scan v1.7.5 had skipped. The v1.7.5 check only confirmed that every listed term occurs in the workbook, which says nothing about terms the workbook uses that the list had missed; the reverse scan found 38 unlisted tokens, NASA among them, of which 13 were column references or emphasis in running text and 25 were real, and those 25 are now here. Column C gives one place the term appears, located by the scan, not the only place. Chemical formulae are written without subscripts, as the cells write them.</t>
  </si>
  <si>
    <t>Acronym</t>
  </si>
  <si>
    <t>Expansion</t>
  </si>
  <si>
    <t>One place it appears</t>
  </si>
  <si>
    <t>ACI</t>
  </si>
  <si>
    <t>Aerosol-cloud interactions. The indirect aerosol forcing term, aerosols changing cloud brightness and lifetime.</t>
  </si>
  <si>
    <t>Forcing!I1</t>
  </si>
  <si>
    <t>AOD</t>
  </si>
  <si>
    <t>Aerosol optical depth. Here the global-mean 550 nm stratospheric value, unitless; the Pinatubo peak is about 0.11.</t>
  </si>
  <si>
    <t>Volcanic!E1</t>
  </si>
  <si>
    <t>AR(1)</t>
  </si>
  <si>
    <t>First-order autoregressive. A series whose value correlates with its own previous value; the reason this workbook inflates its standard errors.</t>
  </si>
  <si>
    <t>Annual!J18</t>
  </si>
  <si>
    <t>AR6</t>
  </si>
  <si>
    <t>The IPCC Sixth Assessment Report, 2021. Source of the F2x and ECS values used for comparison.</t>
  </si>
  <si>
    <t>Forcing!S59</t>
  </si>
  <si>
    <t>ARCH</t>
  </si>
  <si>
    <t>Autoregressive conditional heteroskedasticity. Variance that clusters in time rather than staying constant.</t>
  </si>
  <si>
    <t>Diagnostics!AW5</t>
  </si>
  <si>
    <t>ARCH-LM</t>
  </si>
  <si>
    <t>The Lagrange multiplier test for ARCH effects, run here at q = 1, 6 and 12 lags.</t>
  </si>
  <si>
    <t>Diagnostics!AW11</t>
  </si>
  <si>
    <t>ARI</t>
  </si>
  <si>
    <t>Aerosol-radiation interactions. The direct aerosol forcing term, aerosols scattering and absorbing radiation.</t>
  </si>
  <si>
    <t>ASDC</t>
  </si>
  <si>
    <t>Atmospheric Science Data Center, NASA. Holds the underlying GloSSAC aerosol product.</t>
  </si>
  <si>
    <t>Sources!D14</t>
  </si>
  <si>
    <t>BC</t>
  </si>
  <si>
    <t>Black carbon. Soot; its deposition on snow is one of the other anthropogenic forcing terms.</t>
  </si>
  <si>
    <t>Forcing!J1</t>
  </si>
  <si>
    <t>Creative Commons Attribution 4.0. Share and adapt with credit, including commercially; no NonCommercial or ShareAlike restriction. From v1.7.8 the licence on this workbook's own content, and the licence on Berkeley Earth, item 12. It was also recorded for the ClimateIndicator repository until v1.7.9, when checking the repository showed that to be MIT. See Sources section F.</t>
  </si>
  <si>
    <t>Sources!K13</t>
  </si>
  <si>
    <t>MIT</t>
  </si>
  <si>
    <t>The permissive software licence on the four scripts in Sources section E, chosen because Creative Commons advises against CC terms for code. Share, modify and embed with the copyright notice retained and no warranty given.</t>
  </si>
  <si>
    <t>Sources!B61</t>
  </si>
  <si>
    <t>CDR</t>
  </si>
  <si>
    <t>Climate Data Record. A long, consistently processed satellite series; used here for NOAA's solar irradiance record.</t>
  </si>
  <si>
    <t>Recent 2023-25!E9</t>
  </si>
  <si>
    <t>CERES</t>
  </si>
  <si>
    <t>Clouds and the Earth's Radiant Energy System. The NASA satellite instruments measuring top-of-atmosphere radiation.</t>
  </si>
  <si>
    <t>Open Items!AA3</t>
  </si>
  <si>
    <t>CH4</t>
  </si>
  <si>
    <t>Methane.</t>
  </si>
  <si>
    <t>Forcing!F1</t>
  </si>
  <si>
    <t>CMIP7</t>
  </si>
  <si>
    <t>Coupled Model Intercomparison Project Phase 7. One input to the merged forcing series, covering years to 2023.</t>
  </si>
  <si>
    <t>Volcanic!M49</t>
  </si>
  <si>
    <t>CO2</t>
  </si>
  <si>
    <t>Carbon dioxide.</t>
  </si>
  <si>
    <t>Analysis!D1</t>
  </si>
  <si>
    <t>CPC</t>
  </si>
  <si>
    <t>Climate Prediction Center, NOAA. Publisher of the ONI and RONI indices.</t>
  </si>
  <si>
    <t>Open Items!C1</t>
  </si>
  <si>
    <t>CV</t>
  </si>
  <si>
    <t>Cross-validation. Fitting on part of the record and scoring on the held-out part; see Blocked k-fold cross-validation in the Glossary.</t>
  </si>
  <si>
    <t>Kernel!O49</t>
  </si>
  <si>
    <t>Digital Object Identifier. A permanent citation handle for a dataset or paper.</t>
  </si>
  <si>
    <t>Sources!L13</t>
  </si>
  <si>
    <t>EBAF</t>
  </si>
  <si>
    <t>Energy Balanced and Filled. The CERES product that fills gaps and constrains the global mean, used at Ed4.2.1.</t>
  </si>
  <si>
    <t>CERES!A1</t>
  </si>
  <si>
    <t>ECS</t>
  </si>
  <si>
    <t>Equilibrium climate sensitivity. The eventual warming from doubled CO2 once the system has fully adjusted.</t>
  </si>
  <si>
    <t>CERES!N16</t>
  </si>
  <si>
    <t>El Nino-Southern Oscillation. The tropical Pacific mode that dominates year-to-year global temperature wiggles; controlled for throughout.</t>
  </si>
  <si>
    <t>Analysis!H15</t>
  </si>
  <si>
    <t>ERF</t>
  </si>
  <si>
    <t>Effective radiative forcing, W/m2. See the Glossary entry; this is the regressor behind the headline figure.</t>
  </si>
  <si>
    <t>Annual!J34</t>
  </si>
  <si>
    <t>ERSST</t>
  </si>
  <si>
    <t>Extended Reconstructed Sea Surface Temperature, NOAA. v5 underlies the ONI used throughout. v6 was tested on the Sensitivity tab and is statistically indistinguishable from v5, r above 0.999 with no drift, every coefficient changing in the third or fourth decimal.</t>
  </si>
  <si>
    <t>Sensitivity!D1</t>
  </si>
  <si>
    <t>F2x</t>
  </si>
  <si>
    <t>The effective radiative forcing of a doubling of CO2, taken as 3.93 W/m2 with an AR6 5-95% range of plus or minus 0.47.</t>
  </si>
  <si>
    <t>Forcing!S3</t>
  </si>
  <si>
    <t>GHG</t>
  </si>
  <si>
    <t>Greenhouse gas.</t>
  </si>
  <si>
    <t>Forcing!H1</t>
  </si>
  <si>
    <t>GISS</t>
  </si>
  <si>
    <t>Goddard Institute for Space Studies, NASA. Produces GISTEMP and the stratospheric aerosol reduction used here.</t>
  </si>
  <si>
    <t>Sensitivity!AA3</t>
  </si>
  <si>
    <t>GISTEMP</t>
  </si>
  <si>
    <t>GISS Surface Temperature Analysis. The temperature record this workbook regresses, at v4.</t>
  </si>
  <si>
    <t>Analysis!H3</t>
  </si>
  <si>
    <t>GLB.Ts+dSST</t>
  </si>
  <si>
    <t>The GISTEMP file name for global land-surface air temperature combined with sea surface temperature. The raw import tab.</t>
  </si>
  <si>
    <t>Analysis!H16</t>
  </si>
  <si>
    <t>GloSSAC</t>
  </si>
  <si>
    <t>Global Space-based Stratospheric Aerosol Climatology. The satellite aerosol record behind the AOD series, at v2.23.</t>
  </si>
  <si>
    <t>GML</t>
  </si>
  <si>
    <t>Global Monitoring Laboratory, NOAA. Publisher of the Mauna Loa CO2 record.</t>
  </si>
  <si>
    <t>H2O</t>
  </si>
  <si>
    <t>Water vapour. In the forcing context, stratospheric water vapour from methane oxidation, and the Hunga Tonga injection.</t>
  </si>
  <si>
    <t>HadCRUT</t>
  </si>
  <si>
    <t>Hadley Centre and Climatic Research Unit Temperature. An alternative temperature record, run as a robustness check at HadCRUT5.</t>
  </si>
  <si>
    <t>Recent 2023-25!B28</t>
  </si>
  <si>
    <t>HC3</t>
  </si>
  <si>
    <t>Heteroskedasticity-consistent covariance estimator, type 3. Corrects standard errors for non-constant variance but not for autocorrelation.</t>
  </si>
  <si>
    <t>Diagnostics!AY30</t>
  </si>
  <si>
    <t>IGCC</t>
  </si>
  <si>
    <t>Indicators of Global Climate Change. The annually updated forcing assessment supplying the ERF series and its uncertainty.</t>
  </si>
  <si>
    <t>Forcing!S63</t>
  </si>
  <si>
    <t>IMO</t>
  </si>
  <si>
    <t>International Maritime Organization. Its 2020 shipping-fuel sulfur limit is one candidate for the recent shortwave change.</t>
  </si>
  <si>
    <t>CERES!N34</t>
  </si>
  <si>
    <t>IPCC</t>
  </si>
  <si>
    <t>Intergovernmental Panel on Climate Change.</t>
  </si>
  <si>
    <t>LASP</t>
  </si>
  <si>
    <t>Laboratory for Atmospheric and Space Physics, University of Colorado. Hosts LISIRD.</t>
  </si>
  <si>
    <t>Sources!D9</t>
  </si>
  <si>
    <t>LISIRD</t>
  </si>
  <si>
    <t>LASP Interactive Solar Irradiance Datacenter. Source of the NRLTSI2 solar series.</t>
  </si>
  <si>
    <t>LM</t>
  </si>
  <si>
    <t>Lagrange multiplier. The test statistic form used for the ARCH and Breusch-Pagan tests.</t>
  </si>
  <si>
    <t>Diagnostics!AX6</t>
  </si>
  <si>
    <t>LW</t>
  </si>
  <si>
    <t>Longwave. Outgoing thermal radiation at the top of the atmosphere.</t>
  </si>
  <si>
    <t>CERES!A2</t>
  </si>
  <si>
    <t>MLO</t>
  </si>
  <si>
    <t>Mauna Loa Observatory. Site of the CO2 record. Appears only in lower case, in the NOAA file and tab names co2_mm_mlo and co2_annmean_mlo.</t>
  </si>
  <si>
    <t>N2O</t>
  </si>
  <si>
    <t>Nitrous oxide.</t>
  </si>
  <si>
    <t>Forcing!G1</t>
  </si>
  <si>
    <t>NCEI</t>
  </si>
  <si>
    <t>National Centers for Environmental Information, NOAA. Source of the ocean heat content series.</t>
  </si>
  <si>
    <t>NNLTSI1</t>
  </si>
  <si>
    <t>NASA NOAA LASP Total Solar Irradiance, model version 1. The solar variability model behind NOAA Solar CDR v3. The naming is confusing and deliberately so on NOAA's part: the CDR release is version 3 while the model it uses is version 1, the numbering having been restarted to distinguish these models from their original Naval Research Laboratory formulation. So NNLTSI1 and NRLTSI2 are different models, not a typo for one another, and the workbook is right to treat them as two series.</t>
  </si>
  <si>
    <t>NOAA</t>
  </si>
  <si>
    <t>National Oceanic and Atmospheric Administration.</t>
  </si>
  <si>
    <t>NRLTSI2</t>
  </si>
  <si>
    <t>Naval Research Laboratory Total Solar Irradiance model, version 2, delivered as NOAA Solar CDR v2.1 and obtained here from LASP LISIRD. The main solar input, monthly. Its successor model is NNLTSI1 in CDR v3, which sits 0.56 W/m2 higher on the TSIS-1 absolute scale; see Sensitivity!AA31.</t>
  </si>
  <si>
    <t>Solar!D1</t>
  </si>
  <si>
    <t>O3</t>
  </si>
  <si>
    <t>Ozone. One of the other anthropogenic forcing terms.</t>
  </si>
  <si>
    <t>OHC</t>
  </si>
  <si>
    <t>Ocean heat content. Here the 0-2000 m layer, whose rate of change should account for most of the top-of-atmosphere imbalance.</t>
  </si>
  <si>
    <t>OLS</t>
  </si>
  <si>
    <t>Ordinary least squares. The unadjusted regression, whose standard errors this workbook treats as too small.</t>
  </si>
  <si>
    <t>Annual!J17</t>
  </si>
  <si>
    <t>OMPS-LP</t>
  </si>
  <si>
    <t>Ozone Mapping and Profiler Suite, Limb Profiler. Supplies the 2025 aerosol values in the merged series.</t>
  </si>
  <si>
    <t>ONI</t>
  </si>
  <si>
    <t>Oceanic Nino Index. The ENSO measure used as the control, in degrees C of Nino 3.4 anomaly, applied at a three-month lag.</t>
  </si>
  <si>
    <t>ENSO!D1</t>
  </si>
  <si>
    <t>Coefficient of determination. The share of variance a regression accounts for.</t>
  </si>
  <si>
    <t>Diagnostics!BA6</t>
  </si>
  <si>
    <t>RMSE</t>
  </si>
  <si>
    <t>Root mean square error. Used to compare models fold by fold in the cross-validation.</t>
  </si>
  <si>
    <t>Summary!B41</t>
  </si>
  <si>
    <t>RONI</t>
  </si>
  <si>
    <t>Relative Oceanic Nino Index. Nino 3.4 measured against the tropical-mean SST anomaly, which means it falls as the wider tropics warm faster than Nino 3.4 and so carries a -0.083 degC per decade trend of its own, against -0.005 for ONI. That trend competes with log2(CO2), which is why substituting RONI moves the headline. Tested in v1.4 and carried as a structural uncertainty, not adopted. See the Glossary entry for the full comparison.</t>
  </si>
  <si>
    <t>ENSO!M37</t>
  </si>
  <si>
    <t>AI</t>
  </si>
  <si>
    <t>Artificial intelligence. Appears only in the title of the IEA report cited in the datacentre waste-heat note, which is documentation and feeds no cell.</t>
  </si>
  <si>
    <t>Sources!B48</t>
  </si>
  <si>
    <t>AQUA</t>
  </si>
  <si>
    <t>NASA's Aqua satellite, one of the three platforms named in the CERES EBAF data DOI.</t>
  </si>
  <si>
    <t>Sources!D43</t>
  </si>
  <si>
    <t>BAMS</t>
  </si>
  <si>
    <t>Bulletin of the American Meteorological Society. Appears inside the DOI of the Coddington et al. (2016) solar irradiance paper.</t>
  </si>
  <si>
    <t>Sources!L9</t>
  </si>
  <si>
    <t>DJF, MAM, JJA, SON</t>
  </si>
  <si>
    <t>December-January-February, March-April-May, June-July-August, September-October-November. The four three-month seasons, as GISTEMP column headers. None of them feeds the analysis, which uses monthly and annual values.</t>
  </si>
  <si>
    <t>GLB.Ts+dSST (4)!P2</t>
  </si>
  <si>
    <t>EJ</t>
  </si>
  <si>
    <t>Exajoule, 10^18 joules. Used for global primary energy in the waste-heat note.</t>
  </si>
  <si>
    <t>ESRL</t>
  </si>
  <si>
    <t>Earth System Research Laboratories, NOAA. The former name of the division that is now GML, preserved in the header text of the downloaded CO2 file.</t>
  </si>
  <si>
    <t>co2_annmean_mlo!A31</t>
  </si>
  <si>
    <t>FAQ</t>
  </si>
  <si>
    <t>Frequently asked questions. The GISTEMP FAQ page is cited as a source document.</t>
  </si>
  <si>
    <t>Sources!E19</t>
  </si>
  <si>
    <t>GPT</t>
  </si>
  <si>
    <t>The OpenAI model family, named where a review note records which models raised a point.</t>
  </si>
  <si>
    <t>HTML</t>
  </si>
  <si>
    <t>HyperText Markup Language. Relevant because CPC publishes RONI only as an HTML table with no plain-text file, which is why Sources item 15 carries a CHECK marker.</t>
  </si>
  <si>
    <t>Open Items!AA66</t>
  </si>
  <si>
    <t>IAP</t>
  </si>
  <si>
    <t>Institute of Atmospheric Physics, Chinese Academy of Sciences. Its ocean heat content product runs higher than the NCEI one used here, which the CERES tab notes as part of the gap in the energy budget.</t>
  </si>
  <si>
    <t>CERES!N36</t>
  </si>
  <si>
    <t>IEA</t>
  </si>
  <si>
    <t>International Energy Agency. Source of the datacentre electricity figure in the waste-heat note.</t>
  </si>
  <si>
    <t>JCLI</t>
  </si>
  <si>
    <t>Journal of Climate. Appears inside the DOI of the Huang et al. (2017) ERSST paper.</t>
  </si>
  <si>
    <t>Sources!L11</t>
  </si>
  <si>
    <t>LaRC</t>
  </si>
  <si>
    <t>Langley Research Center, NASA. Hosts the CERES data archive.</t>
  </si>
  <si>
    <t>NASA</t>
  </si>
  <si>
    <t>National Aeronautics and Space Administration. Source of GISTEMP, the GISS stratospheric aerosol reduction and the CERES products.</t>
  </si>
  <si>
    <t>NOAA20</t>
  </si>
  <si>
    <t>The NOAA-20 satellite, one of the three platforms named in the CERES EBAF data DOI.</t>
  </si>
  <si>
    <t>OPeNDAP</t>
  </si>
  <si>
    <t>Open-source Project for a Network Data Access Protocol. The service through which the global-mean CERES variables were retrieved rather than downloading the whole file.</t>
  </si>
  <si>
    <t>Sources!E43</t>
  </si>
  <si>
    <t>TERRA</t>
  </si>
  <si>
    <t>NASA's Terra satellite, one of the three platforms named in the CERES EBAF data DOI.</t>
  </si>
  <si>
    <t>TSIS-1</t>
  </si>
  <si>
    <t>Total and Spectral Solar Irradiance Sensor 1. Its measurements define the newer absolute scale on which NOAA Solar CDR v3 sits 0.56 W/m2 above NRLTSI2; the offset goes into the intercept and changes no coefficient.</t>
  </si>
  <si>
    <t>Sensitivity!AA31</t>
  </si>
  <si>
    <t>TW, TWh</t>
  </si>
  <si>
    <t>Terawatt and terawatt-hour, 10^12 watts and 10^12 watt-hours. Units in the waste-heat note.</t>
  </si>
  <si>
    <t>URL</t>
  </si>
  <si>
    <t>Uniform Resource Locator. A column heading on the Sources tab.</t>
  </si>
  <si>
    <t>Sources!D6</t>
  </si>
  <si>
    <t>US</t>
  </si>
  <si>
    <t>United States. In the public-domain rights statement for the federal datasets.</t>
  </si>
  <si>
    <t>Sources!K7</t>
  </si>
  <si>
    <t>delta, written as a Greek capital</t>
  </si>
  <si>
    <t>Change in, or difference between. Used as delta-R-squared for a change in fit and delta-T for a temperature change.</t>
  </si>
  <si>
    <t>Forcing!S50</t>
  </si>
  <si>
    <t>lambda, written as a Greek letter</t>
  </si>
  <si>
    <t>The climate feedback parameter, W/m2 per degC, in the energy-balance relation N is approximately F minus lambda times delta-T. Computed, not regressed, in the CERES consistency check: N17 gives the lambda implied by the assumed ECS, F2x divided by ECS, and N20 the lambda implied by the observations, (delta-F minus delta-N) divided by delta-T.</t>
  </si>
  <si>
    <t>rho, written as a Greek letter</t>
  </si>
  <si>
    <t>The lag-1 autocorrelation of a residual series, used both for the AR(1) filter and inside the inflation factor sqrt((1+rho)/(1-rho)).</t>
  </si>
  <si>
    <t>sigma, written as a Greek letter</t>
  </si>
  <si>
    <t>A standard deviation, as in residual sigma in degC.</t>
  </si>
  <si>
    <t>Forcing!S43</t>
  </si>
  <si>
    <t>tau, written as a Greek letter</t>
  </si>
  <si>
    <t>The response time constant of a one-box exponential kernel, in months: about 6 for ENSO and 12 for volcanic AOD.</t>
  </si>
  <si>
    <t>Kernel!H1</t>
  </si>
  <si>
    <t>SD</t>
  </si>
  <si>
    <t>Standard deviation. The spread of a set of values about their own mean.</t>
  </si>
  <si>
    <t>Diagnostics!AZ37</t>
  </si>
  <si>
    <t>SE</t>
  </si>
  <si>
    <t>Standard error. The estimated sampling uncertainty of a coefficient.</t>
  </si>
  <si>
    <t>Annual!J22</t>
  </si>
  <si>
    <t>SIO</t>
  </si>
  <si>
    <t>Scripps Institution of Oceanography. Originated the Mauna Loa CO2 measurements.</t>
  </si>
  <si>
    <t>co2_mm_mlo!A26</t>
  </si>
  <si>
    <t>SO2</t>
  </si>
  <si>
    <t>Sulfur dioxide. The precursor of sulfate aerosol.</t>
  </si>
  <si>
    <t>Volcanic!M48</t>
  </si>
  <si>
    <t>SST</t>
  </si>
  <si>
    <t>Sea surface temperature.</t>
  </si>
  <si>
    <t>SW</t>
  </si>
  <si>
    <t>Shortwave. Incoming or reflected solar radiation; the CERES reflected shortwave decline is the section C candidate.</t>
  </si>
  <si>
    <t>TCR</t>
  </si>
  <si>
    <t>Transient climate response. Warming at the time CO2 doubles under a 1 percent per year increase. The headline figure here is NOT a TCR; see the Glossary.</t>
  </si>
  <si>
    <t>Forcing!S17</t>
  </si>
  <si>
    <t>TOA</t>
  </si>
  <si>
    <t>Top of atmosphere. Where the satellite radiation budget is measured.</t>
  </si>
  <si>
    <t>CERES!C4</t>
  </si>
  <si>
    <t>TSI</t>
  </si>
  <si>
    <t>Total solar irradiance, W/m2. The solar input series.</t>
  </si>
  <si>
    <t>W/m2</t>
  </si>
  <si>
    <t>Watts per square metre. The unit of radiative forcing and of the energy imbalance.</t>
  </si>
  <si>
    <t>Diagnostics!AW32</t>
  </si>
  <si>
    <t>WMGHG</t>
  </si>
  <si>
    <t>Well-mixed greenhouse gases: CO2, methane, nitrous oxide and the halogenated gases, which are evenly distributed enough to be treated as one term.</t>
  </si>
  <si>
    <t>Sensitivity!AA42</t>
  </si>
  <si>
    <t>Glossary</t>
  </si>
  <si>
    <t>Statistical and climate terms in the sense this workbook uses them, which is not always the textbook sense: where the workbook restricts a term or warns against a reading, the entry says so. Includes this file's four local conventions (blue cells, yellow cells, the CHECK marker, and why the headline figure is not a TCR) and two traps worth knowing before editing any formula here. Every cell reference in column C was checked to resolve before this tab was written. Expansions of abbreviations are on the Acronyms tab.</t>
  </si>
  <si>
    <t>Term</t>
  </si>
  <si>
    <t>What it means in this workbook</t>
  </si>
  <si>
    <t>Where to look</t>
  </si>
  <si>
    <t>Anomaly</t>
  </si>
  <si>
    <t>A temperature expressed as a departure from a baseline average rather than as an absolute. GISTEMP anomalies here are relative to 1951-1980. Regressing anomalies removes the need to model absolute temperature.</t>
  </si>
  <si>
    <t>Summary!B3; GLB.Ts+dSST (4)</t>
  </si>
  <si>
    <t>Effective radiative forcing (ERF)</t>
  </si>
  <si>
    <t>The net change in energy reaching the climate system from an imposed change, in W/m2, after fast atmospheric adjustments but before the surface warms. The anthropogenic ERF series is the regressor behind the headline figure.</t>
  </si>
  <si>
    <t>Forcing!L; Sources section A</t>
  </si>
  <si>
    <t>F2x and 'per doubling'</t>
  </si>
  <si>
    <t>F2x is the ERF of doubling CO2, 3.93 W/m2. A regression slope in degrees C per W/m2 multiplied by F2x gives degrees C per doubling, which is why the headline is quoted that way.</t>
  </si>
  <si>
    <t>Forcing!T14 and T17; Summary!B6</t>
  </si>
  <si>
    <t>Why the headline is not a TCR</t>
  </si>
  <si>
    <t>A TCR is defined by a specific experiment, CO2 rising 1 percent a year with everything else held fixed. This figure is a regression on observed historical forcing, which includes aerosols, volcanoes and solar, and over a period with its own forcing history. Numerical overlap with the AR6 TCR range is a comparison, not a validation.</t>
  </si>
  <si>
    <t>Summary!B6 and B8</t>
  </si>
  <si>
    <t>Equilibrium climate sensitivity (ECS)</t>
  </si>
  <si>
    <t>Warming from doubled CO2 after the system has fully adjusted, which takes centuries. Larger than a TCR. Used here only as an assumed value in the CERES energy-balance check.</t>
  </si>
  <si>
    <t>What the regression does not explain: observed minus fitted. Most of the diagnostic work in this workbook is about the structure of the residuals rather than the fit.</t>
  </si>
  <si>
    <t>Diagnostics; Recent 2023-25</t>
  </si>
  <si>
    <t>Detrended correlation</t>
  </si>
  <si>
    <t>Correlation after removing a straight-line time trend from both series, so only the year-to-year wiggles are compared. It answers whether the two move together beyond a shared trend; it does not identify causation or control for ENSO.</t>
  </si>
  <si>
    <t>Summary!F6 and F8</t>
  </si>
  <si>
    <t>Collinearity</t>
  </si>
  <si>
    <t>Two regressors moving so closely together that the data cannot say which is responsible. CO2 is collinear with total human forcing, which is why the workbook does not claim to separate them.</t>
  </si>
  <si>
    <t>Summary!D8</t>
  </si>
  <si>
    <t>Identification</t>
  </si>
  <si>
    <t>Whether the data can pin down a particular quantity at all, as distinct from estimating it imprecisely. The aerosol contribution is identified here; the aerosol response per W/m2 is not, because the series magnitude is an external input.</t>
  </si>
  <si>
    <t>Open Items!AA51</t>
  </si>
  <si>
    <t>Omitted-variable bias</t>
  </si>
  <si>
    <t>A coefficient absorbing the effect of a correlated regressor that was left out. This is exactly the defect v1.6 found: the split regression omitted the other anthropogenic terms, inflating the GHG response from 0.409 to 0.467.</t>
  </si>
  <si>
    <t>Summary!C24; Open Items!AA51</t>
  </si>
  <si>
    <t>Autocorrelation and AR(1)</t>
  </si>
  <si>
    <t>Successive residuals resembling each other, so each observation carries less independent information than a count of observations suggests. The monthly models run 0.47 to 0.64 at lag 1 (Kernel!P20 0.473, Volcanic!N21 0.503, ENSO!N20 0.547, ENSO!N8 0.644). The annual models run lower, 0.25 to 0.36 (Annual!K7 0.254, Open Items!AB42 0.356, Forcing!T18 0.357), and those are the ones behind every published interval.</t>
  </si>
  <si>
    <t>Annual!K7; Forcing!T18; Kernel!P20; ENSO!N8</t>
  </si>
  <si>
    <t>AR(1)-filtered residual</t>
  </si>
  <si>
    <t>The residual series with its own one-step persistence removed, u(t) = e(t) minus rho times e(t-1). Tests run on the filtered series separate real variance clustering from an artefact of autocorrelation. Doing this is what showed the apparent ARCH violation was spurious: ARCH-LM at q = 1 falls from about 42 to under 1, in the workbook's own words at Diagnostics!AW55.</t>
  </si>
  <si>
    <t>Diagnostics!AA1 and AW55</t>
  </si>
  <si>
    <t>AR(1)-inflated standard error</t>
  </si>
  <si>
    <t>A standard error widened for autocorrelation using the lag-1 coefficient. The headline intervals use this rather than the naive OLS error.</t>
  </si>
  <si>
    <t>Annual!K17:L20; Forcing!T19:U20</t>
  </si>
  <si>
    <t>Heteroskedasticity</t>
  </si>
  <si>
    <t>Residual variance that changes across the record instead of staying constant. Present here but mild: the auxiliary regressions explain only 1 to 3 percent of the squared residuals.</t>
  </si>
  <si>
    <t>Summary!B43 and B44</t>
  </si>
  <si>
    <t>Breusch-Pagan test, and the Koenker variant</t>
  </si>
  <si>
    <t>A test for heteroskedasticity, regressing squared residuals on the regressors. The Koenker version is studentized, making it robust when the residuals are not normal; both are reported because they can disagree.</t>
  </si>
  <si>
    <t>Diagnostics!AW8</t>
  </si>
  <si>
    <t>White test</t>
  </si>
  <si>
    <t>A heteroskedasticity test that also includes squares and cross-products of the regressors, so it catches variance that depends on them non-linearly.</t>
  </si>
  <si>
    <t>Diagnostics; Summary!B44</t>
  </si>
  <si>
    <t>Newey-West</t>
  </si>
  <si>
    <t>A standard error robust to both heteroskedasticity and autocorrelation out to a chosen lag. Sensitive to that choice, which is why the workbook reports a bandwidth sequence rather than one number.</t>
  </si>
  <si>
    <t>Summary!B29; Diagnostics!AW58</t>
  </si>
  <si>
    <t>A heteroskedasticity-robust standard error with a small-sample correction. It does not correct for autocorrelation, so it is not interchangeable with the AR(1) inflation or with Newey-West.</t>
  </si>
  <si>
    <t>Summary!B44; Diagnostics!AX31:BA33</t>
  </si>
  <si>
    <t>Blocked k-fold cross-validation</t>
  </si>
  <si>
    <t>Splitting a time series into contiguous blocks, fitting on all but one and scoring on the one held out, so that neighbouring months do not appear on both sides. Here 7 folds on calendar decades, with both the time constants and the coefficients chosen out-of-fold.</t>
  </si>
  <si>
    <t>Kernel!O62:Q70; Summary!B36:F41</t>
  </si>
  <si>
    <t>Out-of-fold</t>
  </si>
  <si>
    <t>Chosen or scored using only data outside the fold being evaluated. Choosing the time constants in-sample and only scoring out-of-sample would understate the error, which is why the workbook states that both are chosen out-of-fold.</t>
  </si>
  <si>
    <t>Summary!C23; Kernel!O67</t>
  </si>
  <si>
    <t>One-box exponential response, and tau</t>
  </si>
  <si>
    <t>Replacing an instantaneous lag with a decaying memory of past forcing: y(t) = a*y(t-1) + (1-a)*x(t), with a = exp(-1/tau). Tau is the response time in months, about 6 for ENSO and 12 for aerosol.</t>
  </si>
  <si>
    <t>Kernel; Summary!C23</t>
  </si>
  <si>
    <t>Lag</t>
  </si>
  <si>
    <t>Using a regressor from some months earlier, since the temperature response is not instantaneous. ONI enters at a three-month lag.</t>
  </si>
  <si>
    <t>ENSO; Summary!B17</t>
  </si>
  <si>
    <t>Pooled R-squared</t>
  </si>
  <si>
    <t>The coefficient of determination computed across all held-out folds together rather than averaged per fold, so long and short folds are weighted by their size.</t>
  </si>
  <si>
    <t>Kernel!P66 and P68</t>
  </si>
  <si>
    <t>Bias, as used on the Kernel tab</t>
  </si>
  <si>
    <t>The mean of the out-of-fold prediction errors, in degrees C. Near zero means the model is not systematically high or low; it says nothing about the size of the errors, which is what RMSE reports.</t>
  </si>
  <si>
    <t>Kernel!Q66; Summary!E37</t>
  </si>
  <si>
    <t>Quadrature</t>
  </si>
  <si>
    <t>Combining independent uncertainties as the square root of the sum of their squares. The workbook flags that its quadrature row double-counts, because CO2-ERF and F2x uncertainty are the same physical quantity, and prefers the tied Monte Carlo.</t>
  </si>
  <si>
    <t>Forcing!S65; Sensitivity!AA51</t>
  </si>
  <si>
    <t>Monte Carlo</t>
  </si>
  <si>
    <t>Propagating uncertainty by drawing random values for every uncertain input many times, 20,000 here, and reading the spread of the results. Its one advantage over quadrature in this workbook is specific: the full run at Sensitivity row 46 scales F2x by the same draw as the CO2 ERF, because they are the same physical quantity, which quadrature cannot do and which narrows the 90 percent interval to 1.43-1.78 against the quadrature 1.36-1.85. It is not a general correlation fix. Sensitivity!AA52 states that the components are otherwise sampled as independent normal scale factors, and that the scheme ignores the ARI/ACI correlation and any shape uncertainty.</t>
  </si>
  <si>
    <t>Sensitivity!AC46 and AA51:AA52</t>
  </si>
  <si>
    <t>p05 and p95</t>
  </si>
  <si>
    <t>The 5th and 95th percentiles, the bounds of a 5-95% range. AR6 reports forcing uncertainty this way, and the ERF input files come as best, p05 and p95 series.</t>
  </si>
  <si>
    <t>Sensitivity!AA42; erf_inputs</t>
  </si>
  <si>
    <t>The probability of a test statistic at least this extreme if the hypothesis being tested were true. Small means the data are surprising under that hypothesis, not that the effect is large.</t>
  </si>
  <si>
    <t>Diagnostics!AZ6</t>
  </si>
  <si>
    <t>Stratospheric AOD</t>
  </si>
  <si>
    <t>Volcanic aerosol loading high in the atmosphere, the cooling term after large eruptions. Unitless; about 0.11 at the Pinatubo peak.</t>
  </si>
  <si>
    <t>Volcanic; Summary!B17</t>
  </si>
  <si>
    <t>ONI against RONI</t>
  </si>
  <si>
    <t>ONI is Nino 3.4 temperature against centred 30-year base periods, re-centred every five years, so it is detrended by construction and carries essentially no trend over this record, -0.005 degC per decade. It is therefore close to orthogonal to the CO2 trend and absorbs almost none of it. RONI subtracts the tropical-mean SST anomaly, so it falls as the wider tropics warm faster than Nino 3.4, carrying -0.083 degC per decade, and that downward trend competes with log2(CO2). This is why substituting RONI raises the headline from 1.607 to 1.665 while making the fit worse, and why it is carried as a plus 0.06 structural uncertainty rather than adopted. ENSO!M37 stresses that the difference is a property of the index convention, not a finding about ENSO itself.</t>
  </si>
  <si>
    <t>Open Items!AB7 and AB10; ENSO!M37</t>
  </si>
  <si>
    <t>Top-of-atmosphere imbalance</t>
  </si>
  <si>
    <t>Incoming solar minus reflected shortwave minus outgoing longwave, in W/m2: the net rate at which the planet is gaining energy. Should mostly appear as rising ocean heat content.</t>
  </si>
  <si>
    <t>CERES!A1 and A2</t>
  </si>
  <si>
    <t>Albedo</t>
  </si>
  <si>
    <t>The fraction of incoming sunlight reflected back to space; a decline means more absorbed energy. The workbook does NOT reject the CERES reflected-shortwave decline as a contributor to the 2023-25 remainder. What Open Items section C establishes is narrower: the whole shortwave change cannot be entered in the residual budget as an independent forcing line, because at either response rate the warming it implies exceeds the remainder (0.53 degC sustained, 7.7 times; 0.16 degC pulse, 2.4 times) and because the fitted response coefficient already contains whatever part of the change is feedback, so adding it would count that part twice. Recent 2023-25!B26 adds that the albedo decline may be the mechanism through which the aerosol change acts rather than an addition to it. The roughly 0.07 degC remains unexplained, not explained away.</t>
  </si>
  <si>
    <t>Open Items!AA63; Recent 2023-25!B26</t>
  </si>
  <si>
    <t>Blue cells</t>
  </si>
  <si>
    <t>Workbook convention: a value computed outside Excel and pasted in. The four scripts responsible are listed in Sources section E. Blue does not survive into the Markdown export, so use Sources!B50:F55 to tell which cells these are.</t>
  </si>
  <si>
    <t>Sources!B56</t>
  </si>
  <si>
    <t>Yellow cells</t>
  </si>
  <si>
    <t>Workbook convention: a hand-maintained input, to be edited deliberately rather than recalculated.</t>
  </si>
  <si>
    <t>Sources; Open Items!AB30</t>
  </si>
  <si>
    <t>CHECK marker</t>
  </si>
  <si>
    <t>Workbook convention: a statement drafted from memory or from a source that could not be captured as a file, to be verified against the publisher record before release. Carried deliberately rather than deleted, so the gap stays visible.</t>
  </si>
  <si>
    <t>Sources!B49 and item 15</t>
  </si>
  <si>
    <t>LINEST, and its coefficient order</t>
  </si>
  <si>
    <t>The Excel array function behind the regressions. It returns coefficients in reverse order of the regressor columns, which is a standing trap when reading or editing these formulas, and it needs contiguous columns, which is why the Forcing tab repeats regressor blocks.</t>
  </si>
  <si>
    <t>Annual; Forcing!S20</t>
  </si>
  <si>
    <t>Boolean coercion in SUMPRODUCT</t>
  </si>
  <si>
    <t>A gotcha worth knowing before editing this file. SUMPRODUCT over a lone comparison, such as SUMPRODUCT((range&gt;=2016)), returns 0 in Excel, which does not convert TRUE and FALSE to 1 and 0 for a single array, while LibreOffice does. Write SUMPRODUCT(--(range&gt;=2016)) instead. Seven formulas on the Diagnostics tab had this defect from v1.1 to v1.7.2.</t>
  </si>
  <si>
    <t>Change log, v1.7.3; Diagnostics section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</si>
</sst>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
    <numFmt numFmtId="166" formatCode="0.0"/>
    <numFmt numFmtId="167" formatCode="0.00000"/>
    <numFmt numFmtId="168" formatCode="\+0.000;\-0.000"/>
  </numFmts>
  <fonts count="19">
    <font>
      <sz val="11"/>
      <color theme="1"/>
      <name val="Aptos Narrow"/>
      <charset val="1"/>
    </font>
    <font>
      <b/>
      <sz val="16"/>
      <name val="Aptos Narrow"/>
      <charset val="1"/>
    </font>
    <font>
      <i/>
      <sz val="9"/>
      <name val="Aptos Narrow"/>
      <charset val="1"/>
    </font>
    <font>
      <b/>
      <sz val="12"/>
      <name val="Aptos Narrow"/>
      <charset val="1"/>
    </font>
    <font>
      <b/>
      <sz val="10"/>
      <name val="Aptos Narrow"/>
      <charset val="1"/>
    </font>
    <font>
      <b/>
      <sz val="18"/>
      <name val="Aptos Narrow"/>
      <charset val="1"/>
    </font>
    <font>
      <sz val="10"/>
      <name val="Aptos Narrow"/>
      <charset val="1"/>
    </font>
    <font>
      <sz val="11"/>
      <color theme="1"/>
      <name val="Aptos Narrow"/>
      <family val="2"/>
      <charset val="1"/>
    </font>
    <font>
      <b/>
      <sz val="11"/>
      <name val="Aptos Narrow"/>
      <charset val="1"/>
    </font>
    <font>
      <sz val="11"/>
      <name val="Aptos Narrow"/>
      <charset val="1"/>
    </font>
    <font>
      <sz val="11"/>
      <color rgb="FF0000FF"/>
      <name val="Aptos Narrow"/>
      <charset val="1"/>
    </font>
    <font>
      <sz val="10"/>
      <name val="Arial"/>
      <family val="2"/>
    </font>
    <font>
      <i/>
      <sz val="9"/>
      <color rgb="FF7F0000"/>
      <name val="Aptos Narrow"/>
      <charset val="1"/>
    </font>
    <font>
      <i/>
      <sz val="10"/>
      <name val="Aptos Narrow"/>
      <charset val="1"/>
    </font>
    <font>
      <b/>
      <sz val="11"/>
      <name val="Aptos Narrow"/>
    </font>
    <font>
      <sz val="11"/>
      <color rgb="FF0000FF"/>
      <name val="Aptos Narrow"/>
    </font>
    <font>
      <i/>
      <sz val="9"/>
      <name val="Aptos Narrow"/>
    </font>
    <font>
      <b/>
      <sz val="14"/>
      <name val="Aptos Narrow"/>
    </font>
    <font>
      <sz val="11"/>
      <name val="Aptos Narrow"/>
    </font>
  </fonts>
  <fills count="5">
    <fill>
      <patternFill patternType="none"/>
    </fill>
    <fill>
      <patternFill patternType="gray125"/>
    </fill>
    <fill>
      <patternFill patternType="solid">
        <fgColor rgb="FFF2F2F2"/>
        <bgColor rgb="FFFFFFCC"/>
      </patternFill>
    </fill>
    <fill>
      <patternFill patternType="solid">
        <fgColor rgb="FFFFFF00"/>
        <bgColor rgb="FFFFFF00"/>
      </patternFill>
    </fill>
    <fill>
      <patternFill patternType="solid">
        <fgColor rgb="FFFFFF00"/>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8">
    <xf numFmtId="0" fontId="0" fillId="0" borderId="0" xfId="0"/>
    <xf numFmtId="0" fontId="2" fillId="2" borderId="1" xfId="0" applyFont="1" applyFill="1" applyBorder="1" applyAlignment="1">
      <alignment horizontal="center" vertical="top" wrapText="1"/>
    </xf>
    <xf numFmtId="0" fontId="4" fillId="2" borderId="1" xfId="0" applyFont="1" applyFill="1" applyBorder="1" applyAlignment="1">
      <alignment horizontal="center" vertical="center" wrapText="1"/>
    </xf>
    <xf numFmtId="0" fontId="1" fillId="0" borderId="0" xfId="0" applyFont="1"/>
    <xf numFmtId="0" fontId="3" fillId="0" borderId="0" xfId="0" applyFont="1"/>
    <xf numFmtId="0" fontId="4" fillId="0" borderId="0" xfId="0" applyFont="1"/>
    <xf numFmtId="0" fontId="6" fillId="0" borderId="1" xfId="0" applyFont="1" applyBorder="1"/>
    <xf numFmtId="1" fontId="6" fillId="0" borderId="1" xfId="0" applyNumberFormat="1" applyFont="1" applyBorder="1" applyAlignment="1">
      <alignment horizontal="center"/>
    </xf>
    <xf numFmtId="2" fontId="6" fillId="0" borderId="1" xfId="0" applyNumberFormat="1" applyFont="1" applyBorder="1" applyAlignment="1">
      <alignment horizontal="center"/>
    </xf>
    <xf numFmtId="164" fontId="6" fillId="0" borderId="1" xfId="0" applyNumberFormat="1" applyFont="1" applyBorder="1" applyAlignment="1">
      <alignment horizontal="center"/>
    </xf>
    <xf numFmtId="165" fontId="6" fillId="0" borderId="1" xfId="0" applyNumberFormat="1" applyFont="1" applyBorder="1" applyAlignment="1">
      <alignment horizontal="center"/>
    </xf>
    <xf numFmtId="0" fontId="6" fillId="0" borderId="0" xfId="0" applyFont="1"/>
    <xf numFmtId="164" fontId="6" fillId="0" borderId="0" xfId="0" applyNumberFormat="1" applyFont="1"/>
    <xf numFmtId="0" fontId="2" fillId="0" borderId="1" xfId="0" applyFont="1" applyBorder="1"/>
    <xf numFmtId="0" fontId="4" fillId="0" borderId="0" xfId="0" applyFont="1" applyAlignment="1">
      <alignment vertical="top"/>
    </xf>
    <xf numFmtId="2" fontId="0" fillId="0" borderId="0" xfId="0" applyNumberFormat="1"/>
    <xf numFmtId="0" fontId="7" fillId="0" borderId="0" xfId="0" applyFont="1"/>
    <xf numFmtId="0" fontId="8" fillId="0" borderId="0" xfId="0" applyFont="1"/>
    <xf numFmtId="0" fontId="9" fillId="0" borderId="0" xfId="0" applyFont="1"/>
    <xf numFmtId="2" fontId="9" fillId="0" borderId="0" xfId="0" applyNumberFormat="1" applyFont="1"/>
    <xf numFmtId="164" fontId="9" fillId="0" borderId="0" xfId="0" applyNumberFormat="1" applyFont="1"/>
    <xf numFmtId="0" fontId="10" fillId="3" borderId="0" xfId="0" applyFont="1" applyFill="1"/>
    <xf numFmtId="1" fontId="9" fillId="0" borderId="0" xfId="0" applyNumberFormat="1" applyFont="1"/>
    <xf numFmtId="0" fontId="2" fillId="0" borderId="0" xfId="0" applyFont="1"/>
    <xf numFmtId="1" fontId="10" fillId="0" borderId="0" xfId="0" applyNumberFormat="1" applyFont="1"/>
    <xf numFmtId="165" fontId="9" fillId="0" borderId="0" xfId="0" applyNumberFormat="1" applyFont="1"/>
    <xf numFmtId="167" fontId="9" fillId="0" borderId="0" xfId="0" applyNumberFormat="1" applyFont="1"/>
    <xf numFmtId="166" fontId="9" fillId="0" borderId="0" xfId="0" applyNumberFormat="1" applyFont="1"/>
    <xf numFmtId="2" fontId="1" fillId="2" borderId="1" xfId="0" applyNumberFormat="1" applyFont="1" applyFill="1" applyBorder="1" applyAlignment="1">
      <alignment horizontal="center"/>
    </xf>
    <xf numFmtId="0" fontId="13" fillId="0" borderId="0" xfId="0" applyFont="1"/>
    <xf numFmtId="2" fontId="10" fillId="0" borderId="0" xfId="0" applyNumberFormat="1" applyFont="1"/>
    <xf numFmtId="0" fontId="8" fillId="0" borderId="0" xfId="0" applyFont="1" applyAlignment="1">
      <alignment wrapText="1"/>
    </xf>
    <xf numFmtId="165" fontId="10" fillId="0" borderId="0" xfId="0" applyNumberFormat="1" applyFont="1"/>
    <xf numFmtId="164" fontId="10" fillId="0" borderId="0" xfId="0" applyNumberFormat="1" applyFont="1"/>
    <xf numFmtId="165" fontId="0" fillId="0" borderId="0" xfId="0" applyNumberFormat="1"/>
    <xf numFmtId="0" fontId="8" fillId="0" borderId="0" xfId="0" applyFont="1" applyAlignment="1">
      <alignment vertical="top" wrapText="1"/>
    </xf>
    <xf numFmtId="9" fontId="9" fillId="0" borderId="0" xfId="0" applyNumberFormat="1" applyFont="1"/>
    <xf numFmtId="168" fontId="10" fillId="0" borderId="0" xfId="0" applyNumberFormat="1" applyFont="1"/>
    <xf numFmtId="0" fontId="0" fillId="0" borderId="0" xfId="0" applyAlignment="1">
      <alignment horizontal="center"/>
    </xf>
    <xf numFmtId="165" fontId="0" fillId="0" borderId="0" xfId="0" applyNumberFormat="1" applyAlignment="1">
      <alignment horizontal="center"/>
    </xf>
    <xf numFmtId="0" fontId="14" fillId="0" borderId="0" xfId="0" applyFont="1"/>
    <xf numFmtId="2" fontId="15" fillId="4" borderId="0" xfId="0" applyNumberFormat="1" applyFont="1" applyFill="1"/>
    <xf numFmtId="0" fontId="17" fillId="0" borderId="0" xfId="0" applyFont="1"/>
    <xf numFmtId="2" fontId="18" fillId="0" borderId="0" xfId="0" applyNumberFormat="1" applyFont="1"/>
    <xf numFmtId="0" fontId="18" fillId="0" borderId="0" xfId="0" applyFont="1" applyAlignment="1">
      <alignment vertical="top" wrapText="1"/>
    </xf>
    <xf numFmtId="0" fontId="18" fillId="0" borderId="0" xfId="0" applyFont="1"/>
    <xf numFmtId="2" fontId="15" fillId="0" borderId="0" xfId="0" applyNumberFormat="1" applyFont="1"/>
    <xf numFmtId="165" fontId="18" fillId="0" borderId="0" xfId="0" applyNumberFormat="1" applyFont="1"/>
    <xf numFmtId="165" fontId="15" fillId="0" borderId="0" xfId="0" applyNumberFormat="1" applyFont="1"/>
    <xf numFmtId="0" fontId="4" fillId="0" borderId="0" xfId="0" applyFont="1" applyAlignment="1">
      <alignment wrapText="1"/>
    </xf>
    <xf numFmtId="0" fontId="0" fillId="0" borderId="0" xfId="0" applyAlignment="1">
      <alignment vertical="top" wrapText="1"/>
    </xf>
    <xf numFmtId="0" fontId="0" fillId="0" borderId="0" xfId="0" applyAlignment="1">
      <alignment vertical="top"/>
    </xf>
    <xf numFmtId="0" fontId="2" fillId="0" borderId="0" xfId="0" applyFont="1" applyAlignment="1">
      <alignment wrapText="1"/>
    </xf>
    <xf numFmtId="0" fontId="0" fillId="0" borderId="0" xfId="0"/>
    <xf numFmtId="0" fontId="0" fillId="0" borderId="0" xfId="0" applyAlignment="1">
      <alignment wrapText="1"/>
    </xf>
    <xf numFmtId="0" fontId="6" fillId="0" borderId="0" xfId="0" applyFont="1" applyAlignment="1">
      <alignment vertical="top" wrapText="1"/>
    </xf>
    <xf numFmtId="2" fontId="5" fillId="2" borderId="1" xfId="0" applyNumberFormat="1" applyFont="1" applyFill="1" applyBorder="1" applyAlignment="1">
      <alignment horizontal="center"/>
    </xf>
    <xf numFmtId="165" fontId="5" fillId="2" borderId="1" xfId="0" applyNumberFormat="1" applyFont="1" applyFill="1" applyBorder="1" applyAlignment="1">
      <alignment horizontal="center"/>
    </xf>
    <xf numFmtId="0" fontId="2" fillId="2" borderId="1" xfId="0" applyFont="1" applyFill="1" applyBorder="1" applyAlignment="1">
      <alignment horizontal="center" vertical="top" wrapText="1"/>
    </xf>
    <xf numFmtId="0" fontId="4" fillId="2" borderId="1" xfId="0" applyFont="1" applyFill="1" applyBorder="1" applyAlignment="1">
      <alignment horizontal="center" vertical="center" wrapText="1"/>
    </xf>
    <xf numFmtId="0" fontId="12" fillId="0" borderId="0" xfId="0" applyFont="1" applyAlignment="1">
      <alignment vertical="top" wrapText="1"/>
    </xf>
    <xf numFmtId="0" fontId="8" fillId="0" borderId="0" xfId="0" applyFont="1"/>
    <xf numFmtId="0" fontId="16" fillId="0" borderId="0" xfId="0" applyFont="1" applyAlignment="1">
      <alignment vertical="top" wrapText="1"/>
    </xf>
    <xf numFmtId="0" fontId="14" fillId="0" borderId="0" xfId="0" applyFont="1"/>
    <xf numFmtId="0" fontId="17" fillId="0" borderId="0" xfId="0" applyFont="1"/>
    <xf numFmtId="0" fontId="2" fillId="0" borderId="0" xfId="0" applyFont="1"/>
    <xf numFmtId="0" fontId="18"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7F0000"/>
      <rgbColor rgb="FF008000"/>
      <rgbColor rgb="FF000080"/>
      <rgbColor rgb="FF808000"/>
      <rgbColor rgb="FF800080"/>
      <rgbColor rgb="FF156082"/>
      <rgbColor rgb="FFC3C2B7"/>
      <rgbColor rgb="FF8B8B8B"/>
      <rgbColor rgb="FF9999FF"/>
      <rgbColor rgb="FFE34948"/>
      <rgbColor rgb="FFFFFFCC"/>
      <rgbColor rgb="FFCCFFFF"/>
      <rgbColor rgb="FF660066"/>
      <rgbColor rgb="FFE97132"/>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3B3B3"/>
      <rgbColor rgb="FFFF99CC"/>
      <rgbColor rgb="FFCC99FF"/>
      <rgbColor rgb="FFFFCC99"/>
      <rgbColor rgb="FF2A78D6"/>
      <rgbColor rgb="FF33CCCC"/>
      <rgbColor rgb="FF99CC00"/>
      <rgbColor rgb="FFFFCC00"/>
      <rgbColor rgb="FFEDA100"/>
      <rgbColor rgb="FFEB6834"/>
      <rgbColor rgb="FF595959"/>
      <rgbColor rgb="FF999999"/>
      <rgbColor rgb="FF003366"/>
      <rgbColor rgb="FF1BAF7A"/>
      <rgbColor rgb="FF0B0B0B"/>
      <rgbColor rgb="FF333300"/>
      <rgbColor rgb="FF993300"/>
      <rgbColor rgb="FF993366"/>
      <rgbColor rgb="FF333399"/>
      <rgbColor rgb="FF52514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Residual scatter shrinks as controls are added
Monthly residual standard deviation, °C</a:t>
            </a:r>
          </a:p>
        </c:rich>
      </c:tx>
      <c:overlay val="0"/>
      <c:spPr>
        <a:noFill/>
        <a:ln w="0">
          <a:noFill/>
        </a:ln>
      </c:spPr>
    </c:title>
    <c:autoTitleDeleted val="0"/>
    <c:plotArea>
      <c:layout/>
      <c:barChart>
        <c:barDir val="col"/>
        <c:grouping val="clustered"/>
        <c:varyColors val="0"/>
        <c:ser>
          <c:idx val="0"/>
          <c:order val="0"/>
          <c:tx>
            <c:strRef>
              <c:f>Summary!$O$11</c:f>
              <c:strCache>
                <c:ptCount val="1"/>
                <c:pt idx="0">
                  <c:v>Residual σ</c:v>
                </c:pt>
              </c:strCache>
            </c:strRef>
          </c:tx>
          <c:spPr>
            <a:solidFill>
              <a:srgbClr val="2A78D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Summary!$M$12:$M$15</c:f>
              <c:strCache>
                <c:ptCount val="4"/>
                <c:pt idx="0">
                  <c:v>CO2 only</c:v>
                </c:pt>
                <c:pt idx="1">
                  <c:v>+ ENSO</c:v>
                </c:pt>
                <c:pt idx="2">
                  <c:v>+ volcanic</c:v>
                </c:pt>
                <c:pt idx="3">
                  <c:v>kernels</c:v>
                </c:pt>
              </c:strCache>
            </c:strRef>
          </c:cat>
          <c:val>
            <c:numRef>
              <c:f>Summary!$O$12:$O$15</c:f>
              <c:numCache>
                <c:formatCode>0.000</c:formatCode>
                <c:ptCount val="4"/>
                <c:pt idx="0">
                  <c:v>0.14507445376646036</c:v>
                </c:pt>
                <c:pt idx="1">
                  <c:v>0.12801796518151615</c:v>
                </c:pt>
                <c:pt idx="2">
                  <c:v>0.1220848768623428</c:v>
                </c:pt>
                <c:pt idx="3">
                  <c:v>0.11857710718592421</c:v>
                </c:pt>
              </c:numCache>
            </c:numRef>
          </c:val>
          <c:extLst>
            <c:ext xmlns:c16="http://schemas.microsoft.com/office/drawing/2014/chart" uri="{C3380CC4-5D6E-409C-BE32-E72D297353CC}">
              <c16:uniqueId val="{00000000-5927-4DEB-8E6A-74F59975F934}"/>
            </c:ext>
          </c:extLst>
        </c:ser>
        <c:dLbls>
          <c:showLegendKey val="0"/>
          <c:showVal val="0"/>
          <c:showCatName val="0"/>
          <c:showSerName val="0"/>
          <c:showPercent val="0"/>
          <c:showBubbleSize val="0"/>
        </c:dLbls>
        <c:gapWidth val="150"/>
        <c:axId val="85708378"/>
        <c:axId val="25397853"/>
      </c:barChart>
      <c:catAx>
        <c:axId val="85708378"/>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25397853"/>
        <c:crosses val="autoZero"/>
        <c:auto val="1"/>
        <c:lblAlgn val="ctr"/>
        <c:lblOffset val="100"/>
        <c:noMultiLvlLbl val="0"/>
      </c:catAx>
      <c:valAx>
        <c:axId val="25397853"/>
        <c:scaling>
          <c:orientation val="minMax"/>
          <c:max val="0.15"/>
          <c:min val="0.1"/>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Residual </a:t>
                </a:r>
                <a:r>
                  <a:rPr lang="el-GR" sz="1000" b="1" strike="noStrike" spc="-1">
                    <a:solidFill>
                      <a:srgbClr val="000000"/>
                    </a:solidFill>
                    <a:latin typeface="Calibri"/>
                    <a:ea typeface="Calibri"/>
                  </a:rPr>
                  <a:t>σ (°</a:t>
                </a:r>
                <a:r>
                  <a:rPr lang="en-US" sz="1000" b="1" strike="noStrike" spc="-1">
                    <a:solidFill>
                      <a:srgbClr val="000000"/>
                    </a:solidFill>
                    <a:latin typeface="Calibri"/>
                    <a:ea typeface="Calibri"/>
                  </a:rPr>
                  <a:t>C)</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857083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Observed temperature anomaly vs CO2, 1958-2026
Monthly values; linear regression slope 1.08 °C per 100 ppm</a:t>
            </a:r>
          </a:p>
        </c:rich>
      </c:tx>
      <c:overlay val="0"/>
      <c:spPr>
        <a:noFill/>
        <a:ln w="0">
          <a:noFill/>
        </a:ln>
      </c:spPr>
    </c:title>
    <c:autoTitleDeleted val="0"/>
    <c:plotArea>
      <c:layout/>
      <c:scatterChart>
        <c:scatterStyle val="lineMarker"/>
        <c:varyColors val="0"/>
        <c:ser>
          <c:idx val="0"/>
          <c:order val="0"/>
          <c:tx>
            <c:v>Monthly</c:v>
          </c:tx>
          <c:spPr>
            <a:ln w="38160">
              <a:noFill/>
            </a:ln>
          </c:spPr>
          <c:marker>
            <c:symbol val="circle"/>
            <c:size val="3"/>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1"/>
            <c:trendlineLbl>
              <c:numFmt formatCode="General" sourceLinked="0"/>
            </c:trendlineLbl>
          </c:trendline>
          <c:xVal>
            <c:numRef>
              <c:f>Analysis!$D$2:$D$823</c:f>
              <c:numCache>
                <c:formatCode>0.00</c:formatCode>
                <c:ptCount val="822"/>
                <c:pt idx="0">
                  <c:v>315.70999999999998</c:v>
                </c:pt>
                <c:pt idx="1">
                  <c:v>317.45</c:v>
                </c:pt>
                <c:pt idx="2">
                  <c:v>317.51</c:v>
                </c:pt>
                <c:pt idx="3">
                  <c:v>317.27</c:v>
                </c:pt>
                <c:pt idx="4">
                  <c:v>315.87</c:v>
                </c:pt>
                <c:pt idx="5">
                  <c:v>314.93</c:v>
                </c:pt>
                <c:pt idx="6">
                  <c:v>313.20999999999998</c:v>
                </c:pt>
                <c:pt idx="7">
                  <c:v>312.42</c:v>
                </c:pt>
                <c:pt idx="8">
                  <c:v>313.33</c:v>
                </c:pt>
                <c:pt idx="9">
                  <c:v>314.67</c:v>
                </c:pt>
                <c:pt idx="10">
                  <c:v>315.58</c:v>
                </c:pt>
                <c:pt idx="11">
                  <c:v>316.49</c:v>
                </c:pt>
                <c:pt idx="12">
                  <c:v>316.64999999999998</c:v>
                </c:pt>
                <c:pt idx="13">
                  <c:v>317.72000000000003</c:v>
                </c:pt>
                <c:pt idx="14">
                  <c:v>318.29000000000002</c:v>
                </c:pt>
                <c:pt idx="15">
                  <c:v>318.14999999999998</c:v>
                </c:pt>
                <c:pt idx="16">
                  <c:v>316.54000000000002</c:v>
                </c:pt>
                <c:pt idx="17">
                  <c:v>314.8</c:v>
                </c:pt>
                <c:pt idx="18">
                  <c:v>313.83999999999997</c:v>
                </c:pt>
                <c:pt idx="19">
                  <c:v>313.33</c:v>
                </c:pt>
                <c:pt idx="20">
                  <c:v>314.81</c:v>
                </c:pt>
                <c:pt idx="21">
                  <c:v>315.58</c:v>
                </c:pt>
                <c:pt idx="22">
                  <c:v>316.43</c:v>
                </c:pt>
                <c:pt idx="23">
                  <c:v>316.98</c:v>
                </c:pt>
                <c:pt idx="24">
                  <c:v>317.58</c:v>
                </c:pt>
                <c:pt idx="25">
                  <c:v>319.02999999999997</c:v>
                </c:pt>
                <c:pt idx="26">
                  <c:v>320.02999999999997</c:v>
                </c:pt>
                <c:pt idx="27">
                  <c:v>319.58</c:v>
                </c:pt>
                <c:pt idx="28">
                  <c:v>318.18</c:v>
                </c:pt>
                <c:pt idx="29">
                  <c:v>315.89999999999998</c:v>
                </c:pt>
                <c:pt idx="30">
                  <c:v>314.17</c:v>
                </c:pt>
                <c:pt idx="31">
                  <c:v>313.83</c:v>
                </c:pt>
                <c:pt idx="32">
                  <c:v>315</c:v>
                </c:pt>
                <c:pt idx="33">
                  <c:v>316.19</c:v>
                </c:pt>
                <c:pt idx="34">
                  <c:v>316.89</c:v>
                </c:pt>
                <c:pt idx="35">
                  <c:v>317.7</c:v>
                </c:pt>
                <c:pt idx="36">
                  <c:v>318.54000000000002</c:v>
                </c:pt>
                <c:pt idx="37">
                  <c:v>319.48</c:v>
                </c:pt>
                <c:pt idx="38">
                  <c:v>320.58</c:v>
                </c:pt>
                <c:pt idx="39">
                  <c:v>319.77</c:v>
                </c:pt>
                <c:pt idx="40">
                  <c:v>318.56</c:v>
                </c:pt>
                <c:pt idx="41">
                  <c:v>316.79000000000002</c:v>
                </c:pt>
                <c:pt idx="42">
                  <c:v>314.99</c:v>
                </c:pt>
                <c:pt idx="43">
                  <c:v>315.31</c:v>
                </c:pt>
                <c:pt idx="44">
                  <c:v>316.10000000000002</c:v>
                </c:pt>
                <c:pt idx="45">
                  <c:v>317.01</c:v>
                </c:pt>
                <c:pt idx="46">
                  <c:v>317.94</c:v>
                </c:pt>
                <c:pt idx="47">
                  <c:v>318.55</c:v>
                </c:pt>
                <c:pt idx="48">
                  <c:v>319.68</c:v>
                </c:pt>
                <c:pt idx="49">
                  <c:v>320.57</c:v>
                </c:pt>
                <c:pt idx="50">
                  <c:v>321.02</c:v>
                </c:pt>
                <c:pt idx="51">
                  <c:v>320.62</c:v>
                </c:pt>
                <c:pt idx="52">
                  <c:v>319.61</c:v>
                </c:pt>
                <c:pt idx="53">
                  <c:v>317.39999999999998</c:v>
                </c:pt>
                <c:pt idx="54">
                  <c:v>316.24</c:v>
                </c:pt>
                <c:pt idx="55">
                  <c:v>315.42</c:v>
                </c:pt>
                <c:pt idx="56">
                  <c:v>316.69</c:v>
                </c:pt>
                <c:pt idx="57">
                  <c:v>317.7</c:v>
                </c:pt>
                <c:pt idx="58">
                  <c:v>318.74</c:v>
                </c:pt>
                <c:pt idx="59">
                  <c:v>319.07</c:v>
                </c:pt>
                <c:pt idx="60">
                  <c:v>319.86</c:v>
                </c:pt>
                <c:pt idx="61">
                  <c:v>321.38</c:v>
                </c:pt>
                <c:pt idx="62">
                  <c:v>322.24</c:v>
                </c:pt>
                <c:pt idx="63">
                  <c:v>321.49</c:v>
                </c:pt>
                <c:pt idx="64">
                  <c:v>319.74</c:v>
                </c:pt>
                <c:pt idx="65">
                  <c:v>317.77</c:v>
                </c:pt>
                <c:pt idx="66">
                  <c:v>316.20999999999998</c:v>
                </c:pt>
                <c:pt idx="67">
                  <c:v>315.99</c:v>
                </c:pt>
                <c:pt idx="68">
                  <c:v>317.07</c:v>
                </c:pt>
                <c:pt idx="69">
                  <c:v>318.35000000000002</c:v>
                </c:pt>
                <c:pt idx="70">
                  <c:v>319.57</c:v>
                </c:pt>
                <c:pt idx="71">
                  <c:v>320.04000000000002</c:v>
                </c:pt>
                <c:pt idx="72">
                  <c:v>320.75</c:v>
                </c:pt>
                <c:pt idx="73">
                  <c:v>321.83999999999997</c:v>
                </c:pt>
                <c:pt idx="74">
                  <c:v>322.25</c:v>
                </c:pt>
                <c:pt idx="75">
                  <c:v>321.89</c:v>
                </c:pt>
                <c:pt idx="76">
                  <c:v>320.44</c:v>
                </c:pt>
                <c:pt idx="77">
                  <c:v>318.69</c:v>
                </c:pt>
                <c:pt idx="78">
                  <c:v>316.70999999999998</c:v>
                </c:pt>
                <c:pt idx="79">
                  <c:v>316.87</c:v>
                </c:pt>
                <c:pt idx="80">
                  <c:v>317.68</c:v>
                </c:pt>
                <c:pt idx="81">
                  <c:v>318.70999999999998</c:v>
                </c:pt>
                <c:pt idx="82">
                  <c:v>319.44</c:v>
                </c:pt>
                <c:pt idx="83">
                  <c:v>320.44</c:v>
                </c:pt>
                <c:pt idx="84">
                  <c:v>320.89</c:v>
                </c:pt>
                <c:pt idx="85">
                  <c:v>322.14</c:v>
                </c:pt>
                <c:pt idx="86">
                  <c:v>322.17</c:v>
                </c:pt>
                <c:pt idx="87">
                  <c:v>321.87</c:v>
                </c:pt>
                <c:pt idx="88">
                  <c:v>321.20999999999998</c:v>
                </c:pt>
                <c:pt idx="89">
                  <c:v>318.87</c:v>
                </c:pt>
                <c:pt idx="90">
                  <c:v>317.82</c:v>
                </c:pt>
                <c:pt idx="91">
                  <c:v>317.3</c:v>
                </c:pt>
                <c:pt idx="92">
                  <c:v>318.87</c:v>
                </c:pt>
                <c:pt idx="93">
                  <c:v>319.42</c:v>
                </c:pt>
                <c:pt idx="94">
                  <c:v>320.62</c:v>
                </c:pt>
                <c:pt idx="95">
                  <c:v>321.60000000000002</c:v>
                </c:pt>
                <c:pt idx="96">
                  <c:v>322.39</c:v>
                </c:pt>
                <c:pt idx="97">
                  <c:v>323.7</c:v>
                </c:pt>
                <c:pt idx="98">
                  <c:v>324.08</c:v>
                </c:pt>
                <c:pt idx="99">
                  <c:v>323.75</c:v>
                </c:pt>
                <c:pt idx="100">
                  <c:v>322.37</c:v>
                </c:pt>
                <c:pt idx="101">
                  <c:v>320.36</c:v>
                </c:pt>
                <c:pt idx="102">
                  <c:v>318.64</c:v>
                </c:pt>
                <c:pt idx="103">
                  <c:v>318.10000000000002</c:v>
                </c:pt>
                <c:pt idx="104">
                  <c:v>319.77999999999997</c:v>
                </c:pt>
                <c:pt idx="105">
                  <c:v>321.02</c:v>
                </c:pt>
                <c:pt idx="106">
                  <c:v>322.33</c:v>
                </c:pt>
                <c:pt idx="107">
                  <c:v>322.5</c:v>
                </c:pt>
                <c:pt idx="108">
                  <c:v>323.02999999999997</c:v>
                </c:pt>
                <c:pt idx="109">
                  <c:v>324.41000000000003</c:v>
                </c:pt>
                <c:pt idx="110">
                  <c:v>325</c:v>
                </c:pt>
                <c:pt idx="111">
                  <c:v>324.08999999999997</c:v>
                </c:pt>
                <c:pt idx="112">
                  <c:v>322.54000000000002</c:v>
                </c:pt>
                <c:pt idx="113">
                  <c:v>320.92</c:v>
                </c:pt>
                <c:pt idx="114">
                  <c:v>319.25</c:v>
                </c:pt>
                <c:pt idx="115">
                  <c:v>319.39</c:v>
                </c:pt>
                <c:pt idx="116">
                  <c:v>320.73</c:v>
                </c:pt>
                <c:pt idx="117">
                  <c:v>321.95999999999998</c:v>
                </c:pt>
                <c:pt idx="118">
                  <c:v>322.57</c:v>
                </c:pt>
                <c:pt idx="119">
                  <c:v>323.14999999999998</c:v>
                </c:pt>
                <c:pt idx="120">
                  <c:v>323.89</c:v>
                </c:pt>
                <c:pt idx="121">
                  <c:v>325.02</c:v>
                </c:pt>
                <c:pt idx="122">
                  <c:v>325.57</c:v>
                </c:pt>
                <c:pt idx="123">
                  <c:v>325.36</c:v>
                </c:pt>
                <c:pt idx="124">
                  <c:v>324.14</c:v>
                </c:pt>
                <c:pt idx="125">
                  <c:v>322.11</c:v>
                </c:pt>
                <c:pt idx="126">
                  <c:v>320.33</c:v>
                </c:pt>
                <c:pt idx="127">
                  <c:v>320.25</c:v>
                </c:pt>
                <c:pt idx="128">
                  <c:v>321.32</c:v>
                </c:pt>
                <c:pt idx="129">
                  <c:v>322.89</c:v>
                </c:pt>
                <c:pt idx="130">
                  <c:v>324</c:v>
                </c:pt>
                <c:pt idx="131">
                  <c:v>324.41000000000003</c:v>
                </c:pt>
                <c:pt idx="132">
                  <c:v>325.63</c:v>
                </c:pt>
                <c:pt idx="133">
                  <c:v>326.66000000000003</c:v>
                </c:pt>
                <c:pt idx="134">
                  <c:v>327.38</c:v>
                </c:pt>
                <c:pt idx="135">
                  <c:v>326.70999999999998</c:v>
                </c:pt>
                <c:pt idx="136">
                  <c:v>325.88</c:v>
                </c:pt>
                <c:pt idx="137">
                  <c:v>323.66000000000003</c:v>
                </c:pt>
                <c:pt idx="138">
                  <c:v>322.38</c:v>
                </c:pt>
                <c:pt idx="139">
                  <c:v>321.77999999999997</c:v>
                </c:pt>
                <c:pt idx="140">
                  <c:v>322.85000000000002</c:v>
                </c:pt>
                <c:pt idx="141">
                  <c:v>324.11</c:v>
                </c:pt>
                <c:pt idx="142">
                  <c:v>325.06</c:v>
                </c:pt>
                <c:pt idx="143">
                  <c:v>325.99</c:v>
                </c:pt>
                <c:pt idx="144">
                  <c:v>326.93</c:v>
                </c:pt>
                <c:pt idx="145">
                  <c:v>328.13</c:v>
                </c:pt>
                <c:pt idx="146">
                  <c:v>328.08</c:v>
                </c:pt>
                <c:pt idx="147">
                  <c:v>327.67</c:v>
                </c:pt>
                <c:pt idx="148">
                  <c:v>326.33999999999997</c:v>
                </c:pt>
                <c:pt idx="149">
                  <c:v>324.68</c:v>
                </c:pt>
                <c:pt idx="150">
                  <c:v>323.10000000000002</c:v>
                </c:pt>
                <c:pt idx="151">
                  <c:v>323.06</c:v>
                </c:pt>
                <c:pt idx="152">
                  <c:v>324.01</c:v>
                </c:pt>
                <c:pt idx="153">
                  <c:v>325.13</c:v>
                </c:pt>
                <c:pt idx="154">
                  <c:v>326.17</c:v>
                </c:pt>
                <c:pt idx="155">
                  <c:v>326.69</c:v>
                </c:pt>
                <c:pt idx="156">
                  <c:v>327.18</c:v>
                </c:pt>
                <c:pt idx="157">
                  <c:v>327.78</c:v>
                </c:pt>
                <c:pt idx="158">
                  <c:v>328.93</c:v>
                </c:pt>
                <c:pt idx="159">
                  <c:v>328.57</c:v>
                </c:pt>
                <c:pt idx="160">
                  <c:v>327.36</c:v>
                </c:pt>
                <c:pt idx="161">
                  <c:v>325.43</c:v>
                </c:pt>
                <c:pt idx="162">
                  <c:v>323.36</c:v>
                </c:pt>
                <c:pt idx="163">
                  <c:v>323.56</c:v>
                </c:pt>
                <c:pt idx="164">
                  <c:v>324.8</c:v>
                </c:pt>
                <c:pt idx="165">
                  <c:v>326.01</c:v>
                </c:pt>
                <c:pt idx="166">
                  <c:v>326.77</c:v>
                </c:pt>
                <c:pt idx="167">
                  <c:v>327.63</c:v>
                </c:pt>
                <c:pt idx="168">
                  <c:v>327.75</c:v>
                </c:pt>
                <c:pt idx="169">
                  <c:v>329.72</c:v>
                </c:pt>
                <c:pt idx="170">
                  <c:v>330.07</c:v>
                </c:pt>
                <c:pt idx="171">
                  <c:v>329.09</c:v>
                </c:pt>
                <c:pt idx="172">
                  <c:v>328.04</c:v>
                </c:pt>
                <c:pt idx="173">
                  <c:v>326.32</c:v>
                </c:pt>
                <c:pt idx="174">
                  <c:v>324.83999999999997</c:v>
                </c:pt>
                <c:pt idx="175">
                  <c:v>325.2</c:v>
                </c:pt>
                <c:pt idx="176">
                  <c:v>326.5</c:v>
                </c:pt>
                <c:pt idx="177">
                  <c:v>327.55</c:v>
                </c:pt>
                <c:pt idx="178">
                  <c:v>328.55</c:v>
                </c:pt>
                <c:pt idx="179">
                  <c:v>329.57</c:v>
                </c:pt>
                <c:pt idx="180">
                  <c:v>330.3</c:v>
                </c:pt>
                <c:pt idx="181">
                  <c:v>331.5</c:v>
                </c:pt>
                <c:pt idx="182">
                  <c:v>332.48</c:v>
                </c:pt>
                <c:pt idx="183">
                  <c:v>332.07</c:v>
                </c:pt>
                <c:pt idx="184">
                  <c:v>330.87</c:v>
                </c:pt>
                <c:pt idx="185">
                  <c:v>329.31</c:v>
                </c:pt>
                <c:pt idx="186">
                  <c:v>327.52</c:v>
                </c:pt>
                <c:pt idx="187">
                  <c:v>327.19</c:v>
                </c:pt>
                <c:pt idx="188">
                  <c:v>328.17</c:v>
                </c:pt>
                <c:pt idx="189">
                  <c:v>328.65</c:v>
                </c:pt>
                <c:pt idx="190">
                  <c:v>329.36</c:v>
                </c:pt>
                <c:pt idx="191">
                  <c:v>330.71</c:v>
                </c:pt>
                <c:pt idx="192">
                  <c:v>331.49</c:v>
                </c:pt>
                <c:pt idx="193">
                  <c:v>332.65</c:v>
                </c:pt>
                <c:pt idx="194">
                  <c:v>333.19</c:v>
                </c:pt>
                <c:pt idx="195">
                  <c:v>332.2</c:v>
                </c:pt>
                <c:pt idx="196">
                  <c:v>331.07</c:v>
                </c:pt>
                <c:pt idx="197">
                  <c:v>329.15</c:v>
                </c:pt>
                <c:pt idx="198">
                  <c:v>327.33</c:v>
                </c:pt>
                <c:pt idx="199">
                  <c:v>327.27999999999997</c:v>
                </c:pt>
                <c:pt idx="200">
                  <c:v>328.31</c:v>
                </c:pt>
                <c:pt idx="201">
                  <c:v>329.58</c:v>
                </c:pt>
                <c:pt idx="202">
                  <c:v>330.73</c:v>
                </c:pt>
                <c:pt idx="203">
                  <c:v>331.46</c:v>
                </c:pt>
                <c:pt idx="204">
                  <c:v>331.94</c:v>
                </c:pt>
                <c:pt idx="205">
                  <c:v>333.11</c:v>
                </c:pt>
                <c:pt idx="206">
                  <c:v>333.95</c:v>
                </c:pt>
                <c:pt idx="207">
                  <c:v>333.42</c:v>
                </c:pt>
                <c:pt idx="208">
                  <c:v>331.97</c:v>
                </c:pt>
                <c:pt idx="209">
                  <c:v>329.95</c:v>
                </c:pt>
                <c:pt idx="210">
                  <c:v>328.49</c:v>
                </c:pt>
                <c:pt idx="211">
                  <c:v>328.36</c:v>
                </c:pt>
                <c:pt idx="212">
                  <c:v>329.38</c:v>
                </c:pt>
                <c:pt idx="213">
                  <c:v>330.77</c:v>
                </c:pt>
                <c:pt idx="214">
                  <c:v>331.56</c:v>
                </c:pt>
                <c:pt idx="215">
                  <c:v>332.74</c:v>
                </c:pt>
                <c:pt idx="216">
                  <c:v>333.36</c:v>
                </c:pt>
                <c:pt idx="217">
                  <c:v>334.74</c:v>
                </c:pt>
                <c:pt idx="218">
                  <c:v>334.72</c:v>
                </c:pt>
                <c:pt idx="219">
                  <c:v>333.97</c:v>
                </c:pt>
                <c:pt idx="220">
                  <c:v>333.08</c:v>
                </c:pt>
                <c:pt idx="221">
                  <c:v>330.68</c:v>
                </c:pt>
                <c:pt idx="222">
                  <c:v>328.96</c:v>
                </c:pt>
                <c:pt idx="223">
                  <c:v>328.72</c:v>
                </c:pt>
                <c:pt idx="224">
                  <c:v>330.16</c:v>
                </c:pt>
                <c:pt idx="225">
                  <c:v>331.62</c:v>
                </c:pt>
                <c:pt idx="226">
                  <c:v>332.68</c:v>
                </c:pt>
                <c:pt idx="227">
                  <c:v>333.17</c:v>
                </c:pt>
                <c:pt idx="228">
                  <c:v>334.96</c:v>
                </c:pt>
                <c:pt idx="229">
                  <c:v>336.14</c:v>
                </c:pt>
                <c:pt idx="230">
                  <c:v>336.93</c:v>
                </c:pt>
                <c:pt idx="231">
                  <c:v>336.17</c:v>
                </c:pt>
                <c:pt idx="232">
                  <c:v>334.89</c:v>
                </c:pt>
                <c:pt idx="233">
                  <c:v>332.56</c:v>
                </c:pt>
                <c:pt idx="234">
                  <c:v>331.29</c:v>
                </c:pt>
                <c:pt idx="235">
                  <c:v>331.28</c:v>
                </c:pt>
                <c:pt idx="236">
                  <c:v>332.46</c:v>
                </c:pt>
                <c:pt idx="237">
                  <c:v>333.6</c:v>
                </c:pt>
                <c:pt idx="238">
                  <c:v>334.94</c:v>
                </c:pt>
                <c:pt idx="239">
                  <c:v>335.26</c:v>
                </c:pt>
                <c:pt idx="240">
                  <c:v>336.66</c:v>
                </c:pt>
                <c:pt idx="241">
                  <c:v>337.69</c:v>
                </c:pt>
                <c:pt idx="242">
                  <c:v>338.02</c:v>
                </c:pt>
                <c:pt idx="243">
                  <c:v>338.01</c:v>
                </c:pt>
                <c:pt idx="244">
                  <c:v>336.5</c:v>
                </c:pt>
                <c:pt idx="245">
                  <c:v>334.42</c:v>
                </c:pt>
                <c:pt idx="246">
                  <c:v>332.36</c:v>
                </c:pt>
                <c:pt idx="247">
                  <c:v>332.45</c:v>
                </c:pt>
                <c:pt idx="248">
                  <c:v>333.76</c:v>
                </c:pt>
                <c:pt idx="249">
                  <c:v>334.91</c:v>
                </c:pt>
                <c:pt idx="250">
                  <c:v>336.14</c:v>
                </c:pt>
                <c:pt idx="251">
                  <c:v>336.69</c:v>
                </c:pt>
                <c:pt idx="252">
                  <c:v>338.27</c:v>
                </c:pt>
                <c:pt idx="253">
                  <c:v>338.82</c:v>
                </c:pt>
                <c:pt idx="254">
                  <c:v>339.24</c:v>
                </c:pt>
                <c:pt idx="255">
                  <c:v>339.26</c:v>
                </c:pt>
                <c:pt idx="256">
                  <c:v>337.54</c:v>
                </c:pt>
                <c:pt idx="257">
                  <c:v>335.72</c:v>
                </c:pt>
                <c:pt idx="258">
                  <c:v>333.97</c:v>
                </c:pt>
                <c:pt idx="259">
                  <c:v>334.24</c:v>
                </c:pt>
                <c:pt idx="260">
                  <c:v>335.32</c:v>
                </c:pt>
                <c:pt idx="261">
                  <c:v>336.81</c:v>
                </c:pt>
                <c:pt idx="262">
                  <c:v>337.9</c:v>
                </c:pt>
                <c:pt idx="263">
                  <c:v>338.34</c:v>
                </c:pt>
                <c:pt idx="264">
                  <c:v>340.07</c:v>
                </c:pt>
                <c:pt idx="265">
                  <c:v>340.93</c:v>
                </c:pt>
                <c:pt idx="266">
                  <c:v>341.45</c:v>
                </c:pt>
                <c:pt idx="267">
                  <c:v>341.36</c:v>
                </c:pt>
                <c:pt idx="268">
                  <c:v>339.45</c:v>
                </c:pt>
                <c:pt idx="269">
                  <c:v>337.67</c:v>
                </c:pt>
                <c:pt idx="270">
                  <c:v>336.25</c:v>
                </c:pt>
                <c:pt idx="271">
                  <c:v>336.14</c:v>
                </c:pt>
                <c:pt idx="272">
                  <c:v>337.3</c:v>
                </c:pt>
                <c:pt idx="273">
                  <c:v>338.29</c:v>
                </c:pt>
                <c:pt idx="274">
                  <c:v>339.29</c:v>
                </c:pt>
                <c:pt idx="275">
                  <c:v>340.55</c:v>
                </c:pt>
                <c:pt idx="276">
                  <c:v>341.63</c:v>
                </c:pt>
                <c:pt idx="277">
                  <c:v>342.6</c:v>
                </c:pt>
                <c:pt idx="278">
                  <c:v>343.04</c:v>
                </c:pt>
                <c:pt idx="279">
                  <c:v>342.54</c:v>
                </c:pt>
                <c:pt idx="280">
                  <c:v>340.82</c:v>
                </c:pt>
                <c:pt idx="281">
                  <c:v>338.48</c:v>
                </c:pt>
                <c:pt idx="282">
                  <c:v>336.95</c:v>
                </c:pt>
                <c:pt idx="283">
                  <c:v>337.05</c:v>
                </c:pt>
                <c:pt idx="284">
                  <c:v>338.58</c:v>
                </c:pt>
                <c:pt idx="285">
                  <c:v>339.91</c:v>
                </c:pt>
                <c:pt idx="286">
                  <c:v>340.93</c:v>
                </c:pt>
                <c:pt idx="287">
                  <c:v>341.76</c:v>
                </c:pt>
                <c:pt idx="288">
                  <c:v>342.78</c:v>
                </c:pt>
                <c:pt idx="289">
                  <c:v>343.96</c:v>
                </c:pt>
                <c:pt idx="290">
                  <c:v>344.77</c:v>
                </c:pt>
                <c:pt idx="291">
                  <c:v>343.88</c:v>
                </c:pt>
                <c:pt idx="292">
                  <c:v>342.42</c:v>
                </c:pt>
                <c:pt idx="293">
                  <c:v>340.24</c:v>
                </c:pt>
                <c:pt idx="294">
                  <c:v>338.37</c:v>
                </c:pt>
                <c:pt idx="295">
                  <c:v>338.41</c:v>
                </c:pt>
                <c:pt idx="296">
                  <c:v>339.44</c:v>
                </c:pt>
                <c:pt idx="297">
                  <c:v>340.78</c:v>
                </c:pt>
                <c:pt idx="298">
                  <c:v>341.57</c:v>
                </c:pt>
                <c:pt idx="299">
                  <c:v>342.78</c:v>
                </c:pt>
                <c:pt idx="300">
                  <c:v>343.37</c:v>
                </c:pt>
                <c:pt idx="301">
                  <c:v>345.4</c:v>
                </c:pt>
                <c:pt idx="302">
                  <c:v>346.14</c:v>
                </c:pt>
                <c:pt idx="303">
                  <c:v>345.76</c:v>
                </c:pt>
                <c:pt idx="304">
                  <c:v>344.32</c:v>
                </c:pt>
                <c:pt idx="305">
                  <c:v>342.51</c:v>
                </c:pt>
                <c:pt idx="306">
                  <c:v>340.46</c:v>
                </c:pt>
                <c:pt idx="307">
                  <c:v>340.53</c:v>
                </c:pt>
                <c:pt idx="308">
                  <c:v>341.79</c:v>
                </c:pt>
                <c:pt idx="309">
                  <c:v>343.2</c:v>
                </c:pt>
                <c:pt idx="310">
                  <c:v>344.21</c:v>
                </c:pt>
                <c:pt idx="311">
                  <c:v>344.92</c:v>
                </c:pt>
                <c:pt idx="312">
                  <c:v>345.68</c:v>
                </c:pt>
                <c:pt idx="313">
                  <c:v>347.37</c:v>
                </c:pt>
                <c:pt idx="314">
                  <c:v>347.77</c:v>
                </c:pt>
                <c:pt idx="315">
                  <c:v>347.16</c:v>
                </c:pt>
                <c:pt idx="316">
                  <c:v>345.79</c:v>
                </c:pt>
                <c:pt idx="317">
                  <c:v>343.74</c:v>
                </c:pt>
                <c:pt idx="318">
                  <c:v>341.59</c:v>
                </c:pt>
                <c:pt idx="319">
                  <c:v>341.86</c:v>
                </c:pt>
                <c:pt idx="320">
                  <c:v>343.31</c:v>
                </c:pt>
                <c:pt idx="321">
                  <c:v>345</c:v>
                </c:pt>
                <c:pt idx="322">
                  <c:v>345.48</c:v>
                </c:pt>
                <c:pt idx="323">
                  <c:v>346.41</c:v>
                </c:pt>
                <c:pt idx="324">
                  <c:v>347.91</c:v>
                </c:pt>
                <c:pt idx="325">
                  <c:v>348.66</c:v>
                </c:pt>
                <c:pt idx="326">
                  <c:v>349.28</c:v>
                </c:pt>
                <c:pt idx="327">
                  <c:v>348.65</c:v>
                </c:pt>
                <c:pt idx="328">
                  <c:v>346.9</c:v>
                </c:pt>
                <c:pt idx="329">
                  <c:v>345.26</c:v>
                </c:pt>
                <c:pt idx="330">
                  <c:v>343.47</c:v>
                </c:pt>
                <c:pt idx="331">
                  <c:v>343.35</c:v>
                </c:pt>
                <c:pt idx="332">
                  <c:v>344.73</c:v>
                </c:pt>
                <c:pt idx="333">
                  <c:v>346.12</c:v>
                </c:pt>
                <c:pt idx="334">
                  <c:v>346.78</c:v>
                </c:pt>
                <c:pt idx="335">
                  <c:v>347.48</c:v>
                </c:pt>
                <c:pt idx="336">
                  <c:v>348.25</c:v>
                </c:pt>
                <c:pt idx="337">
                  <c:v>349.86</c:v>
                </c:pt>
                <c:pt idx="338">
                  <c:v>350.52</c:v>
                </c:pt>
                <c:pt idx="339">
                  <c:v>349.98</c:v>
                </c:pt>
                <c:pt idx="340">
                  <c:v>348.25</c:v>
                </c:pt>
                <c:pt idx="341">
                  <c:v>346.17</c:v>
                </c:pt>
                <c:pt idx="342">
                  <c:v>345.48</c:v>
                </c:pt>
                <c:pt idx="343">
                  <c:v>344.82</c:v>
                </c:pt>
                <c:pt idx="344">
                  <c:v>346.22</c:v>
                </c:pt>
                <c:pt idx="345">
                  <c:v>347.48</c:v>
                </c:pt>
                <c:pt idx="346">
                  <c:v>348.73</c:v>
                </c:pt>
                <c:pt idx="347">
                  <c:v>348.92</c:v>
                </c:pt>
                <c:pt idx="348">
                  <c:v>349.81</c:v>
                </c:pt>
                <c:pt idx="349">
                  <c:v>351.4</c:v>
                </c:pt>
                <c:pt idx="350">
                  <c:v>352.15</c:v>
                </c:pt>
                <c:pt idx="351">
                  <c:v>351.58</c:v>
                </c:pt>
                <c:pt idx="352">
                  <c:v>350.21</c:v>
                </c:pt>
                <c:pt idx="353">
                  <c:v>348.2</c:v>
                </c:pt>
                <c:pt idx="354">
                  <c:v>346.66</c:v>
                </c:pt>
                <c:pt idx="355">
                  <c:v>346.72</c:v>
                </c:pt>
                <c:pt idx="356">
                  <c:v>348.08</c:v>
                </c:pt>
                <c:pt idx="357">
                  <c:v>349.28</c:v>
                </c:pt>
                <c:pt idx="358">
                  <c:v>350.51</c:v>
                </c:pt>
                <c:pt idx="359">
                  <c:v>351.7</c:v>
                </c:pt>
                <c:pt idx="360">
                  <c:v>352.5</c:v>
                </c:pt>
                <c:pt idx="361">
                  <c:v>353.67</c:v>
                </c:pt>
                <c:pt idx="362">
                  <c:v>354.35</c:v>
                </c:pt>
                <c:pt idx="363">
                  <c:v>353.88</c:v>
                </c:pt>
                <c:pt idx="364">
                  <c:v>352.8</c:v>
                </c:pt>
                <c:pt idx="365">
                  <c:v>350.49</c:v>
                </c:pt>
                <c:pt idx="366">
                  <c:v>348.97</c:v>
                </c:pt>
                <c:pt idx="367">
                  <c:v>349.37</c:v>
                </c:pt>
                <c:pt idx="368">
                  <c:v>350.42</c:v>
                </c:pt>
                <c:pt idx="369">
                  <c:v>351.62</c:v>
                </c:pt>
                <c:pt idx="370">
                  <c:v>353.07</c:v>
                </c:pt>
                <c:pt idx="371">
                  <c:v>353.43</c:v>
                </c:pt>
                <c:pt idx="372">
                  <c:v>354.08</c:v>
                </c:pt>
                <c:pt idx="373">
                  <c:v>355.72</c:v>
                </c:pt>
                <c:pt idx="374">
                  <c:v>355.95</c:v>
                </c:pt>
                <c:pt idx="375">
                  <c:v>355.44</c:v>
                </c:pt>
                <c:pt idx="376">
                  <c:v>354.05</c:v>
                </c:pt>
                <c:pt idx="377">
                  <c:v>351.84</c:v>
                </c:pt>
                <c:pt idx="378">
                  <c:v>350.09</c:v>
                </c:pt>
                <c:pt idx="379">
                  <c:v>350.33</c:v>
                </c:pt>
                <c:pt idx="380">
                  <c:v>351.55</c:v>
                </c:pt>
                <c:pt idx="381">
                  <c:v>352.91</c:v>
                </c:pt>
                <c:pt idx="382">
                  <c:v>353.86</c:v>
                </c:pt>
                <c:pt idx="383">
                  <c:v>355.1</c:v>
                </c:pt>
                <c:pt idx="384">
                  <c:v>355.75</c:v>
                </c:pt>
                <c:pt idx="385">
                  <c:v>356.38</c:v>
                </c:pt>
                <c:pt idx="386">
                  <c:v>357.38</c:v>
                </c:pt>
                <c:pt idx="387">
                  <c:v>356.39</c:v>
                </c:pt>
                <c:pt idx="388">
                  <c:v>354.89</c:v>
                </c:pt>
                <c:pt idx="389">
                  <c:v>353.06</c:v>
                </c:pt>
                <c:pt idx="390">
                  <c:v>351.38</c:v>
                </c:pt>
                <c:pt idx="391">
                  <c:v>351.69</c:v>
                </c:pt>
                <c:pt idx="392">
                  <c:v>353.14</c:v>
                </c:pt>
                <c:pt idx="393">
                  <c:v>354.41</c:v>
                </c:pt>
                <c:pt idx="394">
                  <c:v>354.93</c:v>
                </c:pt>
                <c:pt idx="395">
                  <c:v>355.82</c:v>
                </c:pt>
                <c:pt idx="396">
                  <c:v>357.33</c:v>
                </c:pt>
                <c:pt idx="397">
                  <c:v>358.77</c:v>
                </c:pt>
                <c:pt idx="398">
                  <c:v>359.23</c:v>
                </c:pt>
                <c:pt idx="399">
                  <c:v>358.23</c:v>
                </c:pt>
                <c:pt idx="400">
                  <c:v>356.3</c:v>
                </c:pt>
                <c:pt idx="401">
                  <c:v>353.97</c:v>
                </c:pt>
                <c:pt idx="402">
                  <c:v>352.34</c:v>
                </c:pt>
                <c:pt idx="403">
                  <c:v>352.43</c:v>
                </c:pt>
                <c:pt idx="404">
                  <c:v>353.89</c:v>
                </c:pt>
                <c:pt idx="405">
                  <c:v>355.21</c:v>
                </c:pt>
                <c:pt idx="406">
                  <c:v>356.34</c:v>
                </c:pt>
                <c:pt idx="407">
                  <c:v>357.21</c:v>
                </c:pt>
                <c:pt idx="408">
                  <c:v>357.97</c:v>
                </c:pt>
                <c:pt idx="409">
                  <c:v>359.22</c:v>
                </c:pt>
                <c:pt idx="410">
                  <c:v>359.71</c:v>
                </c:pt>
                <c:pt idx="411">
                  <c:v>359.44</c:v>
                </c:pt>
                <c:pt idx="412">
                  <c:v>357.15</c:v>
                </c:pt>
                <c:pt idx="413">
                  <c:v>354.99</c:v>
                </c:pt>
                <c:pt idx="414">
                  <c:v>353.01</c:v>
                </c:pt>
                <c:pt idx="415">
                  <c:v>353.4</c:v>
                </c:pt>
                <c:pt idx="416">
                  <c:v>354.42</c:v>
                </c:pt>
                <c:pt idx="417">
                  <c:v>355.68</c:v>
                </c:pt>
                <c:pt idx="418">
                  <c:v>357.1</c:v>
                </c:pt>
                <c:pt idx="419">
                  <c:v>357.42</c:v>
                </c:pt>
                <c:pt idx="420">
                  <c:v>358.59</c:v>
                </c:pt>
                <c:pt idx="421">
                  <c:v>359.39</c:v>
                </c:pt>
                <c:pt idx="422">
                  <c:v>360.3</c:v>
                </c:pt>
                <c:pt idx="423">
                  <c:v>359.64</c:v>
                </c:pt>
                <c:pt idx="424">
                  <c:v>357.45</c:v>
                </c:pt>
                <c:pt idx="425">
                  <c:v>355.76</c:v>
                </c:pt>
                <c:pt idx="426">
                  <c:v>354.14</c:v>
                </c:pt>
                <c:pt idx="427">
                  <c:v>354.23</c:v>
                </c:pt>
                <c:pt idx="428">
                  <c:v>355.53</c:v>
                </c:pt>
                <c:pt idx="429">
                  <c:v>357.03</c:v>
                </c:pt>
                <c:pt idx="430">
                  <c:v>358.36</c:v>
                </c:pt>
                <c:pt idx="431">
                  <c:v>359.04</c:v>
                </c:pt>
                <c:pt idx="432">
                  <c:v>360.11</c:v>
                </c:pt>
                <c:pt idx="433">
                  <c:v>361.36</c:v>
                </c:pt>
                <c:pt idx="434">
                  <c:v>361.78</c:v>
                </c:pt>
                <c:pt idx="435">
                  <c:v>360.94</c:v>
                </c:pt>
                <c:pt idx="436">
                  <c:v>359.51</c:v>
                </c:pt>
                <c:pt idx="437">
                  <c:v>357.59</c:v>
                </c:pt>
                <c:pt idx="438">
                  <c:v>355.86</c:v>
                </c:pt>
                <c:pt idx="439">
                  <c:v>356.21</c:v>
                </c:pt>
                <c:pt idx="440">
                  <c:v>357.65</c:v>
                </c:pt>
                <c:pt idx="441">
                  <c:v>359.1</c:v>
                </c:pt>
                <c:pt idx="442">
                  <c:v>360.04</c:v>
                </c:pt>
                <c:pt idx="443">
                  <c:v>361</c:v>
                </c:pt>
                <c:pt idx="444">
                  <c:v>361.98</c:v>
                </c:pt>
                <c:pt idx="445">
                  <c:v>363.44</c:v>
                </c:pt>
                <c:pt idx="446">
                  <c:v>363.83</c:v>
                </c:pt>
                <c:pt idx="447">
                  <c:v>363.33</c:v>
                </c:pt>
                <c:pt idx="448">
                  <c:v>361.78</c:v>
                </c:pt>
                <c:pt idx="449">
                  <c:v>359.33</c:v>
                </c:pt>
                <c:pt idx="450">
                  <c:v>358.32</c:v>
                </c:pt>
                <c:pt idx="451">
                  <c:v>358.14</c:v>
                </c:pt>
                <c:pt idx="452">
                  <c:v>359.61</c:v>
                </c:pt>
                <c:pt idx="453">
                  <c:v>360.82</c:v>
                </c:pt>
                <c:pt idx="454">
                  <c:v>362.2</c:v>
                </c:pt>
                <c:pt idx="455">
                  <c:v>363.36</c:v>
                </c:pt>
                <c:pt idx="456">
                  <c:v>364.28</c:v>
                </c:pt>
                <c:pt idx="457">
                  <c:v>364.69</c:v>
                </c:pt>
                <c:pt idx="458">
                  <c:v>365.25</c:v>
                </c:pt>
                <c:pt idx="459">
                  <c:v>365.06</c:v>
                </c:pt>
                <c:pt idx="460">
                  <c:v>363.69</c:v>
                </c:pt>
                <c:pt idx="461">
                  <c:v>361.55</c:v>
                </c:pt>
                <c:pt idx="462">
                  <c:v>359.69</c:v>
                </c:pt>
                <c:pt idx="463">
                  <c:v>359.72</c:v>
                </c:pt>
                <c:pt idx="464">
                  <c:v>361.04</c:v>
                </c:pt>
                <c:pt idx="465">
                  <c:v>362.39</c:v>
                </c:pt>
                <c:pt idx="466">
                  <c:v>363.24</c:v>
                </c:pt>
                <c:pt idx="467">
                  <c:v>364.21</c:v>
                </c:pt>
                <c:pt idx="468">
                  <c:v>364.65</c:v>
                </c:pt>
                <c:pt idx="469">
                  <c:v>366.49</c:v>
                </c:pt>
                <c:pt idx="470">
                  <c:v>366.77</c:v>
                </c:pt>
                <c:pt idx="471">
                  <c:v>365.73</c:v>
                </c:pt>
                <c:pt idx="472">
                  <c:v>364.46</c:v>
                </c:pt>
                <c:pt idx="473">
                  <c:v>362.4</c:v>
                </c:pt>
                <c:pt idx="474">
                  <c:v>360.44</c:v>
                </c:pt>
                <c:pt idx="475">
                  <c:v>360.97</c:v>
                </c:pt>
                <c:pt idx="476">
                  <c:v>362.65</c:v>
                </c:pt>
                <c:pt idx="477">
                  <c:v>364.51</c:v>
                </c:pt>
                <c:pt idx="478">
                  <c:v>365.39</c:v>
                </c:pt>
                <c:pt idx="479">
                  <c:v>366.1</c:v>
                </c:pt>
                <c:pt idx="480">
                  <c:v>367.36</c:v>
                </c:pt>
                <c:pt idx="481">
                  <c:v>368.79</c:v>
                </c:pt>
                <c:pt idx="482">
                  <c:v>369.56</c:v>
                </c:pt>
                <c:pt idx="483">
                  <c:v>369.13</c:v>
                </c:pt>
                <c:pt idx="484">
                  <c:v>367.98</c:v>
                </c:pt>
                <c:pt idx="485">
                  <c:v>366.1</c:v>
                </c:pt>
                <c:pt idx="486">
                  <c:v>364.16</c:v>
                </c:pt>
                <c:pt idx="487">
                  <c:v>364.54</c:v>
                </c:pt>
                <c:pt idx="488">
                  <c:v>365.67</c:v>
                </c:pt>
                <c:pt idx="489">
                  <c:v>367.3</c:v>
                </c:pt>
                <c:pt idx="490">
                  <c:v>368.35</c:v>
                </c:pt>
                <c:pt idx="491">
                  <c:v>369.28</c:v>
                </c:pt>
                <c:pt idx="492">
                  <c:v>369.84</c:v>
                </c:pt>
                <c:pt idx="493">
                  <c:v>371.15</c:v>
                </c:pt>
                <c:pt idx="494">
                  <c:v>371.12</c:v>
                </c:pt>
                <c:pt idx="495">
                  <c:v>370.46</c:v>
                </c:pt>
                <c:pt idx="496">
                  <c:v>369.61</c:v>
                </c:pt>
                <c:pt idx="497">
                  <c:v>367.06</c:v>
                </c:pt>
                <c:pt idx="498">
                  <c:v>364.95</c:v>
                </c:pt>
                <c:pt idx="499">
                  <c:v>365.52</c:v>
                </c:pt>
                <c:pt idx="500">
                  <c:v>366.88</c:v>
                </c:pt>
                <c:pt idx="501">
                  <c:v>368.26</c:v>
                </c:pt>
                <c:pt idx="502">
                  <c:v>369.45</c:v>
                </c:pt>
                <c:pt idx="503">
                  <c:v>369.71</c:v>
                </c:pt>
                <c:pt idx="504">
                  <c:v>370.75</c:v>
                </c:pt>
                <c:pt idx="505">
                  <c:v>371.98</c:v>
                </c:pt>
                <c:pt idx="506">
                  <c:v>371.75</c:v>
                </c:pt>
                <c:pt idx="507">
                  <c:v>371.87</c:v>
                </c:pt>
                <c:pt idx="508">
                  <c:v>370.02</c:v>
                </c:pt>
                <c:pt idx="509">
                  <c:v>368.27</c:v>
                </c:pt>
                <c:pt idx="510">
                  <c:v>367.15</c:v>
                </c:pt>
                <c:pt idx="511">
                  <c:v>367.18</c:v>
                </c:pt>
                <c:pt idx="512">
                  <c:v>368.53</c:v>
                </c:pt>
                <c:pt idx="513">
                  <c:v>369.83</c:v>
                </c:pt>
                <c:pt idx="514">
                  <c:v>370.76</c:v>
                </c:pt>
                <c:pt idx="515">
                  <c:v>371.69</c:v>
                </c:pt>
                <c:pt idx="516">
                  <c:v>372.63</c:v>
                </c:pt>
                <c:pt idx="517">
                  <c:v>373.55</c:v>
                </c:pt>
                <c:pt idx="518">
                  <c:v>374.03</c:v>
                </c:pt>
                <c:pt idx="519">
                  <c:v>373.4</c:v>
                </c:pt>
                <c:pt idx="520">
                  <c:v>371.68</c:v>
                </c:pt>
                <c:pt idx="521">
                  <c:v>369.78</c:v>
                </c:pt>
                <c:pt idx="522">
                  <c:v>368.34</c:v>
                </c:pt>
                <c:pt idx="523">
                  <c:v>368.61</c:v>
                </c:pt>
                <c:pt idx="524">
                  <c:v>369.94</c:v>
                </c:pt>
                <c:pt idx="525">
                  <c:v>371.42</c:v>
                </c:pt>
                <c:pt idx="526">
                  <c:v>372.7</c:v>
                </c:pt>
                <c:pt idx="527">
                  <c:v>373.37</c:v>
                </c:pt>
                <c:pt idx="528">
                  <c:v>374.3</c:v>
                </c:pt>
                <c:pt idx="529">
                  <c:v>375.19</c:v>
                </c:pt>
                <c:pt idx="530">
                  <c:v>375.93</c:v>
                </c:pt>
                <c:pt idx="531">
                  <c:v>375.69</c:v>
                </c:pt>
                <c:pt idx="532">
                  <c:v>374.16</c:v>
                </c:pt>
                <c:pt idx="533">
                  <c:v>372.03</c:v>
                </c:pt>
                <c:pt idx="534">
                  <c:v>370.92</c:v>
                </c:pt>
                <c:pt idx="535">
                  <c:v>370.73</c:v>
                </c:pt>
                <c:pt idx="536">
                  <c:v>372.43</c:v>
                </c:pt>
                <c:pt idx="537">
                  <c:v>373.98</c:v>
                </c:pt>
                <c:pt idx="538">
                  <c:v>375.07</c:v>
                </c:pt>
                <c:pt idx="539">
                  <c:v>375.82</c:v>
                </c:pt>
                <c:pt idx="540">
                  <c:v>376.64</c:v>
                </c:pt>
                <c:pt idx="541">
                  <c:v>377.92</c:v>
                </c:pt>
                <c:pt idx="542">
                  <c:v>378.78</c:v>
                </c:pt>
                <c:pt idx="543">
                  <c:v>378.46</c:v>
                </c:pt>
                <c:pt idx="544">
                  <c:v>376.88</c:v>
                </c:pt>
                <c:pt idx="545">
                  <c:v>374.57</c:v>
                </c:pt>
                <c:pt idx="546">
                  <c:v>373.34</c:v>
                </c:pt>
                <c:pt idx="547">
                  <c:v>373.31</c:v>
                </c:pt>
                <c:pt idx="548">
                  <c:v>374.84</c:v>
                </c:pt>
                <c:pt idx="549">
                  <c:v>376.17</c:v>
                </c:pt>
                <c:pt idx="550">
                  <c:v>377.17</c:v>
                </c:pt>
                <c:pt idx="551">
                  <c:v>378.05</c:v>
                </c:pt>
                <c:pt idx="552">
                  <c:v>379.06</c:v>
                </c:pt>
                <c:pt idx="553">
                  <c:v>380.54</c:v>
                </c:pt>
                <c:pt idx="554">
                  <c:v>380.8</c:v>
                </c:pt>
                <c:pt idx="555">
                  <c:v>379.87</c:v>
                </c:pt>
                <c:pt idx="556">
                  <c:v>377.65</c:v>
                </c:pt>
                <c:pt idx="557">
                  <c:v>376.17</c:v>
                </c:pt>
                <c:pt idx="558">
                  <c:v>374.43</c:v>
                </c:pt>
                <c:pt idx="559">
                  <c:v>374.63</c:v>
                </c:pt>
                <c:pt idx="560">
                  <c:v>376.33</c:v>
                </c:pt>
                <c:pt idx="561">
                  <c:v>377.68</c:v>
                </c:pt>
                <c:pt idx="562">
                  <c:v>378.63</c:v>
                </c:pt>
                <c:pt idx="563">
                  <c:v>379.91</c:v>
                </c:pt>
                <c:pt idx="564">
                  <c:v>380.95</c:v>
                </c:pt>
                <c:pt idx="565">
                  <c:v>382.48</c:v>
                </c:pt>
                <c:pt idx="566">
                  <c:v>382.64</c:v>
                </c:pt>
                <c:pt idx="567">
                  <c:v>382.4</c:v>
                </c:pt>
                <c:pt idx="568">
                  <c:v>380.93</c:v>
                </c:pt>
                <c:pt idx="569">
                  <c:v>378.93</c:v>
                </c:pt>
                <c:pt idx="570">
                  <c:v>376.89</c:v>
                </c:pt>
                <c:pt idx="571">
                  <c:v>377.19</c:v>
                </c:pt>
                <c:pt idx="572">
                  <c:v>378.54</c:v>
                </c:pt>
                <c:pt idx="573">
                  <c:v>380.31</c:v>
                </c:pt>
                <c:pt idx="574">
                  <c:v>381.58</c:v>
                </c:pt>
                <c:pt idx="575">
                  <c:v>382.4</c:v>
                </c:pt>
                <c:pt idx="576">
                  <c:v>382.86</c:v>
                </c:pt>
                <c:pt idx="577">
                  <c:v>384.8</c:v>
                </c:pt>
                <c:pt idx="578">
                  <c:v>385.22</c:v>
                </c:pt>
                <c:pt idx="579">
                  <c:v>384.24</c:v>
                </c:pt>
                <c:pt idx="580">
                  <c:v>382.65</c:v>
                </c:pt>
                <c:pt idx="581">
                  <c:v>380.6</c:v>
                </c:pt>
                <c:pt idx="582">
                  <c:v>379.04</c:v>
                </c:pt>
                <c:pt idx="583">
                  <c:v>379.33</c:v>
                </c:pt>
                <c:pt idx="584">
                  <c:v>380.35</c:v>
                </c:pt>
                <c:pt idx="585">
                  <c:v>382.02</c:v>
                </c:pt>
                <c:pt idx="586">
                  <c:v>383.1</c:v>
                </c:pt>
                <c:pt idx="587">
                  <c:v>384.12</c:v>
                </c:pt>
                <c:pt idx="588">
                  <c:v>384.81</c:v>
                </c:pt>
                <c:pt idx="589">
                  <c:v>386.73</c:v>
                </c:pt>
                <c:pt idx="590">
                  <c:v>386.78</c:v>
                </c:pt>
                <c:pt idx="591">
                  <c:v>386.33</c:v>
                </c:pt>
                <c:pt idx="592">
                  <c:v>384.73</c:v>
                </c:pt>
                <c:pt idx="593">
                  <c:v>382.24</c:v>
                </c:pt>
                <c:pt idx="594">
                  <c:v>381.2</c:v>
                </c:pt>
                <c:pt idx="595">
                  <c:v>381.37</c:v>
                </c:pt>
                <c:pt idx="596">
                  <c:v>382.7</c:v>
                </c:pt>
                <c:pt idx="597">
                  <c:v>384.19</c:v>
                </c:pt>
                <c:pt idx="598">
                  <c:v>385.78</c:v>
                </c:pt>
                <c:pt idx="599">
                  <c:v>386.06</c:v>
                </c:pt>
                <c:pt idx="600">
                  <c:v>386.28</c:v>
                </c:pt>
                <c:pt idx="601">
                  <c:v>387.33</c:v>
                </c:pt>
                <c:pt idx="602">
                  <c:v>388.78</c:v>
                </c:pt>
                <c:pt idx="603">
                  <c:v>387.99</c:v>
                </c:pt>
                <c:pt idx="604">
                  <c:v>386.62</c:v>
                </c:pt>
                <c:pt idx="605">
                  <c:v>384.32</c:v>
                </c:pt>
                <c:pt idx="606">
                  <c:v>383.41</c:v>
                </c:pt>
                <c:pt idx="607">
                  <c:v>383.22</c:v>
                </c:pt>
                <c:pt idx="608">
                  <c:v>384.41</c:v>
                </c:pt>
                <c:pt idx="609">
                  <c:v>385.79</c:v>
                </c:pt>
                <c:pt idx="610">
                  <c:v>387.17</c:v>
                </c:pt>
                <c:pt idx="611">
                  <c:v>387.7</c:v>
                </c:pt>
                <c:pt idx="612">
                  <c:v>389.04</c:v>
                </c:pt>
                <c:pt idx="613">
                  <c:v>389.76</c:v>
                </c:pt>
                <c:pt idx="614">
                  <c:v>390.36</c:v>
                </c:pt>
                <c:pt idx="615">
                  <c:v>389.7</c:v>
                </c:pt>
                <c:pt idx="616">
                  <c:v>388.24</c:v>
                </c:pt>
                <c:pt idx="617">
                  <c:v>386.29</c:v>
                </c:pt>
                <c:pt idx="618">
                  <c:v>384.95</c:v>
                </c:pt>
                <c:pt idx="619">
                  <c:v>384.64</c:v>
                </c:pt>
                <c:pt idx="620">
                  <c:v>386.23</c:v>
                </c:pt>
                <c:pt idx="621">
                  <c:v>387.63</c:v>
                </c:pt>
                <c:pt idx="622">
                  <c:v>388.91</c:v>
                </c:pt>
                <c:pt idx="623">
                  <c:v>390.41</c:v>
                </c:pt>
                <c:pt idx="624">
                  <c:v>391.37</c:v>
                </c:pt>
                <c:pt idx="625">
                  <c:v>392.67</c:v>
                </c:pt>
                <c:pt idx="626">
                  <c:v>393.21</c:v>
                </c:pt>
                <c:pt idx="627">
                  <c:v>392.38</c:v>
                </c:pt>
                <c:pt idx="628">
                  <c:v>390.41</c:v>
                </c:pt>
                <c:pt idx="629">
                  <c:v>388.54</c:v>
                </c:pt>
                <c:pt idx="630">
                  <c:v>387.03</c:v>
                </c:pt>
                <c:pt idx="631">
                  <c:v>387.43</c:v>
                </c:pt>
                <c:pt idx="632">
                  <c:v>388.87</c:v>
                </c:pt>
                <c:pt idx="633">
                  <c:v>389.99</c:v>
                </c:pt>
                <c:pt idx="634">
                  <c:v>391.5</c:v>
                </c:pt>
                <c:pt idx="635">
                  <c:v>392.05</c:v>
                </c:pt>
                <c:pt idx="636">
                  <c:v>392.8</c:v>
                </c:pt>
                <c:pt idx="637">
                  <c:v>393.44</c:v>
                </c:pt>
                <c:pt idx="638">
                  <c:v>394.41</c:v>
                </c:pt>
                <c:pt idx="639">
                  <c:v>393.95</c:v>
                </c:pt>
                <c:pt idx="640">
                  <c:v>392.72</c:v>
                </c:pt>
                <c:pt idx="641">
                  <c:v>390.33</c:v>
                </c:pt>
                <c:pt idx="642">
                  <c:v>389.28</c:v>
                </c:pt>
                <c:pt idx="643">
                  <c:v>389.19</c:v>
                </c:pt>
                <c:pt idx="644">
                  <c:v>390.48</c:v>
                </c:pt>
                <c:pt idx="645">
                  <c:v>392.06</c:v>
                </c:pt>
                <c:pt idx="646">
                  <c:v>393.31</c:v>
                </c:pt>
                <c:pt idx="647">
                  <c:v>394.04</c:v>
                </c:pt>
                <c:pt idx="648">
                  <c:v>394.59</c:v>
                </c:pt>
                <c:pt idx="649">
                  <c:v>396.38</c:v>
                </c:pt>
                <c:pt idx="650">
                  <c:v>396.93</c:v>
                </c:pt>
                <c:pt idx="651">
                  <c:v>395.91</c:v>
                </c:pt>
                <c:pt idx="652">
                  <c:v>394.56</c:v>
                </c:pt>
                <c:pt idx="653">
                  <c:v>392.59</c:v>
                </c:pt>
                <c:pt idx="654">
                  <c:v>391.32</c:v>
                </c:pt>
                <c:pt idx="655">
                  <c:v>391.27</c:v>
                </c:pt>
                <c:pt idx="656">
                  <c:v>393.2</c:v>
                </c:pt>
                <c:pt idx="657">
                  <c:v>394.57</c:v>
                </c:pt>
                <c:pt idx="658">
                  <c:v>395.78</c:v>
                </c:pt>
                <c:pt idx="659">
                  <c:v>397.03</c:v>
                </c:pt>
                <c:pt idx="660">
                  <c:v>397.66</c:v>
                </c:pt>
                <c:pt idx="661">
                  <c:v>398.64</c:v>
                </c:pt>
                <c:pt idx="662">
                  <c:v>400.02</c:v>
                </c:pt>
                <c:pt idx="663">
                  <c:v>398.81</c:v>
                </c:pt>
                <c:pt idx="664">
                  <c:v>397.51</c:v>
                </c:pt>
                <c:pt idx="665">
                  <c:v>395.39</c:v>
                </c:pt>
                <c:pt idx="666">
                  <c:v>393.72</c:v>
                </c:pt>
                <c:pt idx="667">
                  <c:v>393.9</c:v>
                </c:pt>
                <c:pt idx="668">
                  <c:v>395.36</c:v>
                </c:pt>
                <c:pt idx="669">
                  <c:v>397.03</c:v>
                </c:pt>
                <c:pt idx="670">
                  <c:v>398.04</c:v>
                </c:pt>
                <c:pt idx="671">
                  <c:v>398.27</c:v>
                </c:pt>
                <c:pt idx="672">
                  <c:v>399.91</c:v>
                </c:pt>
                <c:pt idx="673">
                  <c:v>401.51</c:v>
                </c:pt>
                <c:pt idx="674">
                  <c:v>401.96</c:v>
                </c:pt>
                <c:pt idx="675">
                  <c:v>401.43</c:v>
                </c:pt>
                <c:pt idx="676">
                  <c:v>399.27</c:v>
                </c:pt>
                <c:pt idx="677">
                  <c:v>397.18</c:v>
                </c:pt>
                <c:pt idx="678">
                  <c:v>395.54</c:v>
                </c:pt>
                <c:pt idx="679">
                  <c:v>396.16</c:v>
                </c:pt>
                <c:pt idx="680">
                  <c:v>397.4</c:v>
                </c:pt>
                <c:pt idx="681">
                  <c:v>399.08</c:v>
                </c:pt>
                <c:pt idx="682">
                  <c:v>400.18</c:v>
                </c:pt>
                <c:pt idx="683">
                  <c:v>400.55</c:v>
                </c:pt>
                <c:pt idx="684">
                  <c:v>401.74</c:v>
                </c:pt>
                <c:pt idx="685">
                  <c:v>403.35</c:v>
                </c:pt>
                <c:pt idx="686">
                  <c:v>404.15</c:v>
                </c:pt>
                <c:pt idx="687">
                  <c:v>402.97</c:v>
                </c:pt>
                <c:pt idx="688">
                  <c:v>401.46</c:v>
                </c:pt>
                <c:pt idx="689">
                  <c:v>399.11</c:v>
                </c:pt>
                <c:pt idx="690">
                  <c:v>397.82</c:v>
                </c:pt>
                <c:pt idx="691">
                  <c:v>398.49</c:v>
                </c:pt>
                <c:pt idx="692">
                  <c:v>400.27</c:v>
                </c:pt>
                <c:pt idx="693">
                  <c:v>402.06</c:v>
                </c:pt>
                <c:pt idx="694">
                  <c:v>402.73</c:v>
                </c:pt>
                <c:pt idx="695">
                  <c:v>404.25</c:v>
                </c:pt>
                <c:pt idx="696">
                  <c:v>405.06</c:v>
                </c:pt>
                <c:pt idx="697">
                  <c:v>407.6</c:v>
                </c:pt>
                <c:pt idx="698">
                  <c:v>407.9</c:v>
                </c:pt>
                <c:pt idx="699">
                  <c:v>406.99</c:v>
                </c:pt>
                <c:pt idx="700">
                  <c:v>404.59</c:v>
                </c:pt>
                <c:pt idx="701">
                  <c:v>402.45</c:v>
                </c:pt>
                <c:pt idx="702">
                  <c:v>401.23</c:v>
                </c:pt>
                <c:pt idx="703">
                  <c:v>401.79</c:v>
                </c:pt>
                <c:pt idx="704">
                  <c:v>403.72</c:v>
                </c:pt>
                <c:pt idx="705">
                  <c:v>404.64</c:v>
                </c:pt>
                <c:pt idx="706">
                  <c:v>406.36</c:v>
                </c:pt>
                <c:pt idx="707">
                  <c:v>406.66</c:v>
                </c:pt>
                <c:pt idx="708">
                  <c:v>407.54</c:v>
                </c:pt>
                <c:pt idx="709">
                  <c:v>409.22</c:v>
                </c:pt>
                <c:pt idx="710">
                  <c:v>409.89</c:v>
                </c:pt>
                <c:pt idx="711">
                  <c:v>409.08</c:v>
                </c:pt>
                <c:pt idx="712">
                  <c:v>407.33</c:v>
                </c:pt>
                <c:pt idx="713">
                  <c:v>405.32</c:v>
                </c:pt>
                <c:pt idx="714">
                  <c:v>403.57</c:v>
                </c:pt>
                <c:pt idx="715">
                  <c:v>403.82</c:v>
                </c:pt>
                <c:pt idx="716">
                  <c:v>405.31</c:v>
                </c:pt>
                <c:pt idx="717">
                  <c:v>407</c:v>
                </c:pt>
                <c:pt idx="718">
                  <c:v>408.15</c:v>
                </c:pt>
                <c:pt idx="719">
                  <c:v>408.52</c:v>
                </c:pt>
                <c:pt idx="720">
                  <c:v>409.59</c:v>
                </c:pt>
                <c:pt idx="721">
                  <c:v>410.45</c:v>
                </c:pt>
                <c:pt idx="722">
                  <c:v>411.44</c:v>
                </c:pt>
                <c:pt idx="723">
                  <c:v>410.99</c:v>
                </c:pt>
                <c:pt idx="724">
                  <c:v>408.9</c:v>
                </c:pt>
                <c:pt idx="725">
                  <c:v>407.16</c:v>
                </c:pt>
                <c:pt idx="726">
                  <c:v>405.71</c:v>
                </c:pt>
                <c:pt idx="727">
                  <c:v>406.19</c:v>
                </c:pt>
                <c:pt idx="728">
                  <c:v>408.21</c:v>
                </c:pt>
                <c:pt idx="729">
                  <c:v>409.27</c:v>
                </c:pt>
                <c:pt idx="730">
                  <c:v>411.03</c:v>
                </c:pt>
                <c:pt idx="731">
                  <c:v>411.96</c:v>
                </c:pt>
                <c:pt idx="732">
                  <c:v>412.18</c:v>
                </c:pt>
                <c:pt idx="733">
                  <c:v>413.54</c:v>
                </c:pt>
                <c:pt idx="734">
                  <c:v>414.86</c:v>
                </c:pt>
                <c:pt idx="735">
                  <c:v>414.15</c:v>
                </c:pt>
                <c:pt idx="736">
                  <c:v>411.96</c:v>
                </c:pt>
                <c:pt idx="737">
                  <c:v>410.17</c:v>
                </c:pt>
                <c:pt idx="738">
                  <c:v>408.76</c:v>
                </c:pt>
                <c:pt idx="739">
                  <c:v>408.74</c:v>
                </c:pt>
                <c:pt idx="740">
                  <c:v>410.47</c:v>
                </c:pt>
                <c:pt idx="741">
                  <c:v>411.97</c:v>
                </c:pt>
                <c:pt idx="742">
                  <c:v>413.59</c:v>
                </c:pt>
                <c:pt idx="743">
                  <c:v>414.32</c:v>
                </c:pt>
                <c:pt idx="744">
                  <c:v>414.72</c:v>
                </c:pt>
                <c:pt idx="745">
                  <c:v>416.42</c:v>
                </c:pt>
                <c:pt idx="746">
                  <c:v>417.28</c:v>
                </c:pt>
                <c:pt idx="747">
                  <c:v>416.58</c:v>
                </c:pt>
                <c:pt idx="748">
                  <c:v>414.58</c:v>
                </c:pt>
                <c:pt idx="749">
                  <c:v>412.75</c:v>
                </c:pt>
                <c:pt idx="750">
                  <c:v>411.5</c:v>
                </c:pt>
                <c:pt idx="751">
                  <c:v>411.49</c:v>
                </c:pt>
                <c:pt idx="752">
                  <c:v>413.1</c:v>
                </c:pt>
                <c:pt idx="753">
                  <c:v>414.23</c:v>
                </c:pt>
                <c:pt idx="754">
                  <c:v>415.49</c:v>
                </c:pt>
                <c:pt idx="755">
                  <c:v>416.72</c:v>
                </c:pt>
                <c:pt idx="756">
                  <c:v>417.61</c:v>
                </c:pt>
                <c:pt idx="757">
                  <c:v>419.01</c:v>
                </c:pt>
                <c:pt idx="758">
                  <c:v>419.09</c:v>
                </c:pt>
                <c:pt idx="759">
                  <c:v>418.93</c:v>
                </c:pt>
                <c:pt idx="760">
                  <c:v>416.9</c:v>
                </c:pt>
                <c:pt idx="761">
                  <c:v>414.42</c:v>
                </c:pt>
                <c:pt idx="762">
                  <c:v>413.26</c:v>
                </c:pt>
                <c:pt idx="763">
                  <c:v>413.9</c:v>
                </c:pt>
                <c:pt idx="764">
                  <c:v>414.97</c:v>
                </c:pt>
                <c:pt idx="765">
                  <c:v>416.67</c:v>
                </c:pt>
                <c:pt idx="766">
                  <c:v>418.13</c:v>
                </c:pt>
                <c:pt idx="767">
                  <c:v>419.24</c:v>
                </c:pt>
                <c:pt idx="768">
                  <c:v>418.76</c:v>
                </c:pt>
                <c:pt idx="769">
                  <c:v>420.19</c:v>
                </c:pt>
                <c:pt idx="770">
                  <c:v>420.97</c:v>
                </c:pt>
                <c:pt idx="771">
                  <c:v>420.94</c:v>
                </c:pt>
                <c:pt idx="772">
                  <c:v>418.85</c:v>
                </c:pt>
                <c:pt idx="773">
                  <c:v>417.15</c:v>
                </c:pt>
                <c:pt idx="774">
                  <c:v>415.91</c:v>
                </c:pt>
                <c:pt idx="775">
                  <c:v>415.74</c:v>
                </c:pt>
                <c:pt idx="776">
                  <c:v>417.47</c:v>
                </c:pt>
                <c:pt idx="777">
                  <c:v>418.99</c:v>
                </c:pt>
                <c:pt idx="778">
                  <c:v>419.48</c:v>
                </c:pt>
                <c:pt idx="779">
                  <c:v>420.31</c:v>
                </c:pt>
                <c:pt idx="780">
                  <c:v>420.99</c:v>
                </c:pt>
                <c:pt idx="781">
                  <c:v>423.35</c:v>
                </c:pt>
                <c:pt idx="782">
                  <c:v>424</c:v>
                </c:pt>
                <c:pt idx="783">
                  <c:v>423.68</c:v>
                </c:pt>
                <c:pt idx="784">
                  <c:v>421.83</c:v>
                </c:pt>
                <c:pt idx="785">
                  <c:v>419.68</c:v>
                </c:pt>
                <c:pt idx="786">
                  <c:v>418.5</c:v>
                </c:pt>
                <c:pt idx="787">
                  <c:v>418.82</c:v>
                </c:pt>
                <c:pt idx="788">
                  <c:v>420.46</c:v>
                </c:pt>
                <c:pt idx="789">
                  <c:v>421.86</c:v>
                </c:pt>
                <c:pt idx="790">
                  <c:v>422.8</c:v>
                </c:pt>
                <c:pt idx="791">
                  <c:v>424.55</c:v>
                </c:pt>
                <c:pt idx="792">
                  <c:v>425.38</c:v>
                </c:pt>
                <c:pt idx="793">
                  <c:v>426.51</c:v>
                </c:pt>
                <c:pt idx="794">
                  <c:v>426.9</c:v>
                </c:pt>
                <c:pt idx="795">
                  <c:v>426.91</c:v>
                </c:pt>
                <c:pt idx="796">
                  <c:v>425.55</c:v>
                </c:pt>
                <c:pt idx="797">
                  <c:v>422.99</c:v>
                </c:pt>
                <c:pt idx="798">
                  <c:v>422.03</c:v>
                </c:pt>
                <c:pt idx="799">
                  <c:v>422.38</c:v>
                </c:pt>
                <c:pt idx="800">
                  <c:v>423.85</c:v>
                </c:pt>
                <c:pt idx="801">
                  <c:v>425.4</c:v>
                </c:pt>
                <c:pt idx="802">
                  <c:v>426.65</c:v>
                </c:pt>
                <c:pt idx="803">
                  <c:v>427.09</c:v>
                </c:pt>
                <c:pt idx="804">
                  <c:v>428.15</c:v>
                </c:pt>
                <c:pt idx="805">
                  <c:v>429.64</c:v>
                </c:pt>
                <c:pt idx="806">
                  <c:v>430.51</c:v>
                </c:pt>
                <c:pt idx="807">
                  <c:v>429.61</c:v>
                </c:pt>
                <c:pt idx="808">
                  <c:v>427.87</c:v>
                </c:pt>
                <c:pt idx="809">
                  <c:v>425.48</c:v>
                </c:pt>
                <c:pt idx="810">
                  <c:v>424.37</c:v>
                </c:pt>
                <c:pt idx="811">
                  <c:v>424.87</c:v>
                </c:pt>
                <c:pt idx="812">
                  <c:v>426.46</c:v>
                </c:pt>
                <c:pt idx="813">
                  <c:v>427.49</c:v>
                </c:pt>
                <c:pt idx="814">
                  <c:v>428.62</c:v>
                </c:pt>
                <c:pt idx="815">
                  <c:v>429.35</c:v>
                </c:pt>
                <c:pt idx="816">
                  <c:v>430.15</c:v>
                </c:pt>
                <c:pt idx="817">
                  <c:v>431.12</c:v>
                </c:pt>
                <c:pt idx="818">
                  <c:v>432.34</c:v>
                </c:pt>
                <c:pt idx="819">
                  <c:v>431.43</c:v>
                </c:pt>
                <c:pt idx="820">
                  <c:v>429.13</c:v>
                </c:pt>
                <c:pt idx="821">
                  <c:v>427.55</c:v>
                </c:pt>
              </c:numCache>
            </c:numRef>
          </c:xVal>
          <c:yVal>
            <c:numRef>
              <c:f>Analysis!$E$2:$E$823</c:f>
              <c:numCache>
                <c:formatCode>0.00</c:formatCode>
                <c:ptCount val="822"/>
                <c:pt idx="0">
                  <c:v>8.0000000000000071E-2</c:v>
                </c:pt>
                <c:pt idx="1">
                  <c:v>1.0000000000001563E-2</c:v>
                </c:pt>
                <c:pt idx="2">
                  <c:v>5.9999999999998721E-2</c:v>
                </c:pt>
                <c:pt idx="3">
                  <c:v>-9.0000000000001634E-2</c:v>
                </c:pt>
                <c:pt idx="4">
                  <c:v>5.0000000000004263E-2</c:v>
                </c:pt>
                <c:pt idx="5">
                  <c:v>-5.0000000000000711E-2</c:v>
                </c:pt>
                <c:pt idx="6">
                  <c:v>-2.9999999999999361E-2</c:v>
                </c:pt>
                <c:pt idx="7">
                  <c:v>3.9999999999999147E-2</c:v>
                </c:pt>
                <c:pt idx="8">
                  <c:v>2.0000000000003126E-2</c:v>
                </c:pt>
                <c:pt idx="9">
                  <c:v>1.0000000000001563E-2</c:v>
                </c:pt>
                <c:pt idx="10">
                  <c:v>8.0000000000000071E-2</c:v>
                </c:pt>
                <c:pt idx="11">
                  <c:v>7.0000000000000284E-2</c:v>
                </c:pt>
                <c:pt idx="12">
                  <c:v>0.17999999999999972</c:v>
                </c:pt>
                <c:pt idx="13">
                  <c:v>0.16000000000000014</c:v>
                </c:pt>
                <c:pt idx="14">
                  <c:v>3.9999999999999147E-2</c:v>
                </c:pt>
                <c:pt idx="15">
                  <c:v>2.9999999999997584E-2</c:v>
                </c:pt>
                <c:pt idx="16">
                  <c:v>2.9999999999997584E-2</c:v>
                </c:pt>
                <c:pt idx="17">
                  <c:v>-9.9999999999980105E-3</c:v>
                </c:pt>
                <c:pt idx="18">
                  <c:v>-6.0000000000000497E-2</c:v>
                </c:pt>
                <c:pt idx="19">
                  <c:v>-7.0000000000000284E-2</c:v>
                </c:pt>
                <c:pt idx="20">
                  <c:v>-8.0000000000001847E-2</c:v>
                </c:pt>
                <c:pt idx="21">
                  <c:v>0</c:v>
                </c:pt>
                <c:pt idx="22">
                  <c:v>0</c:v>
                </c:pt>
                <c:pt idx="23">
                  <c:v>0.12999999999999901</c:v>
                </c:pt>
                <c:pt idx="24">
                  <c:v>-0.35000000000000142</c:v>
                </c:pt>
                <c:pt idx="25">
                  <c:v>-0.14999999999999858</c:v>
                </c:pt>
                <c:pt idx="26">
                  <c:v>-8.0000000000001847E-2</c:v>
                </c:pt>
                <c:pt idx="27">
                  <c:v>-3.9999999999999147E-2</c:v>
                </c:pt>
                <c:pt idx="28">
                  <c:v>-3.9999999999999147E-2</c:v>
                </c:pt>
                <c:pt idx="29">
                  <c:v>2.0000000000003126E-2</c:v>
                </c:pt>
                <c:pt idx="30">
                  <c:v>7.0000000000000284E-2</c:v>
                </c:pt>
                <c:pt idx="31">
                  <c:v>5.9999999999998721E-2</c:v>
                </c:pt>
                <c:pt idx="32">
                  <c:v>-0.10999999999999766</c:v>
                </c:pt>
                <c:pt idx="33">
                  <c:v>0.19000000000000128</c:v>
                </c:pt>
                <c:pt idx="34">
                  <c:v>7.0000000000000284E-2</c:v>
                </c:pt>
                <c:pt idx="35">
                  <c:v>0.19000000000000128</c:v>
                </c:pt>
                <c:pt idx="36">
                  <c:v>8.9999999999999858E-2</c:v>
                </c:pt>
                <c:pt idx="37">
                  <c:v>0.12999999999999901</c:v>
                </c:pt>
                <c:pt idx="38">
                  <c:v>0.11999999999999744</c:v>
                </c:pt>
                <c:pt idx="39">
                  <c:v>0.10999999999999766</c:v>
                </c:pt>
                <c:pt idx="40">
                  <c:v>1.0000000000001563E-2</c:v>
                </c:pt>
                <c:pt idx="41">
                  <c:v>1.0000000000001563E-2</c:v>
                </c:pt>
                <c:pt idx="42">
                  <c:v>8.0000000000000071E-2</c:v>
                </c:pt>
                <c:pt idx="43">
                  <c:v>0</c:v>
                </c:pt>
                <c:pt idx="44">
                  <c:v>2.9999999999997584E-2</c:v>
                </c:pt>
                <c:pt idx="45">
                  <c:v>-0.16000000000000014</c:v>
                </c:pt>
                <c:pt idx="46">
                  <c:v>5.0000000000004263E-2</c:v>
                </c:pt>
                <c:pt idx="47">
                  <c:v>0.14999999999999858</c:v>
                </c:pt>
                <c:pt idx="48">
                  <c:v>9.9999999999997868E-2</c:v>
                </c:pt>
                <c:pt idx="49">
                  <c:v>5.0000000000004263E-2</c:v>
                </c:pt>
                <c:pt idx="50">
                  <c:v>-6.0000000000000497E-2</c:v>
                </c:pt>
                <c:pt idx="51">
                  <c:v>2.9999999999997584E-2</c:v>
                </c:pt>
                <c:pt idx="52">
                  <c:v>2.0000000000003126E-2</c:v>
                </c:pt>
                <c:pt idx="53">
                  <c:v>-9.9999999999980105E-3</c:v>
                </c:pt>
                <c:pt idx="54">
                  <c:v>0</c:v>
                </c:pt>
                <c:pt idx="55">
                  <c:v>1.0000000000001563E-2</c:v>
                </c:pt>
                <c:pt idx="56">
                  <c:v>5.9999999999998721E-2</c:v>
                </c:pt>
                <c:pt idx="57">
                  <c:v>-2.9999999999999361E-2</c:v>
                </c:pt>
                <c:pt idx="58">
                  <c:v>-2.9999999999999361E-2</c:v>
                </c:pt>
                <c:pt idx="59">
                  <c:v>0.17999999999999972</c:v>
                </c:pt>
                <c:pt idx="60">
                  <c:v>-0.13999999999999879</c:v>
                </c:pt>
                <c:pt idx="61">
                  <c:v>-7.0000000000000284E-2</c:v>
                </c:pt>
                <c:pt idx="62">
                  <c:v>-6.0000000000000497E-2</c:v>
                </c:pt>
                <c:pt idx="63">
                  <c:v>5.0000000000004263E-2</c:v>
                </c:pt>
                <c:pt idx="64">
                  <c:v>5.9999999999998721E-2</c:v>
                </c:pt>
                <c:pt idx="65">
                  <c:v>0.22000000000000242</c:v>
                </c:pt>
                <c:pt idx="66">
                  <c:v>0.16999999999999993</c:v>
                </c:pt>
                <c:pt idx="67">
                  <c:v>0.14999999999999858</c:v>
                </c:pt>
                <c:pt idx="68">
                  <c:v>0.14999999999999858</c:v>
                </c:pt>
                <c:pt idx="69">
                  <c:v>-2.9999999999999361E-2</c:v>
                </c:pt>
                <c:pt idx="70">
                  <c:v>-9.0000000000001634E-2</c:v>
                </c:pt>
                <c:pt idx="71">
                  <c:v>-0.10000000000000142</c:v>
                </c:pt>
                <c:pt idx="72">
                  <c:v>-0.20999999999999908</c:v>
                </c:pt>
                <c:pt idx="73">
                  <c:v>-0.32000000000000206</c:v>
                </c:pt>
                <c:pt idx="74">
                  <c:v>-0.25</c:v>
                </c:pt>
                <c:pt idx="75">
                  <c:v>-3.9999999999999147E-2</c:v>
                </c:pt>
                <c:pt idx="76">
                  <c:v>-3.9999999999999147E-2</c:v>
                </c:pt>
                <c:pt idx="77">
                  <c:v>-0.21999999999999886</c:v>
                </c:pt>
                <c:pt idx="78">
                  <c:v>-0.30000000000000249</c:v>
                </c:pt>
                <c:pt idx="79">
                  <c:v>-0.31000000000000227</c:v>
                </c:pt>
                <c:pt idx="80">
                  <c:v>-0.20999999999999908</c:v>
                </c:pt>
                <c:pt idx="81">
                  <c:v>-0.30000000000000249</c:v>
                </c:pt>
                <c:pt idx="82">
                  <c:v>-8.0000000000001847E-2</c:v>
                </c:pt>
                <c:pt idx="83">
                  <c:v>-0.16999999999999638</c:v>
                </c:pt>
                <c:pt idx="84">
                  <c:v>-0.13000000000000256</c:v>
                </c:pt>
                <c:pt idx="85">
                  <c:v>-0.18999999999999773</c:v>
                </c:pt>
                <c:pt idx="86">
                  <c:v>-0.11999999999999744</c:v>
                </c:pt>
                <c:pt idx="87">
                  <c:v>-8.0000000000001847E-2</c:v>
                </c:pt>
                <c:pt idx="88">
                  <c:v>-0.13000000000000256</c:v>
                </c:pt>
                <c:pt idx="89">
                  <c:v>-3.9999999999999147E-2</c:v>
                </c:pt>
                <c:pt idx="90">
                  <c:v>-0.14999999999999858</c:v>
                </c:pt>
                <c:pt idx="91">
                  <c:v>-5.0000000000000711E-2</c:v>
                </c:pt>
                <c:pt idx="92">
                  <c:v>-6.0000000000000497E-2</c:v>
                </c:pt>
                <c:pt idx="93">
                  <c:v>-8.0000000000001847E-2</c:v>
                </c:pt>
                <c:pt idx="94">
                  <c:v>-0.18999999999999773</c:v>
                </c:pt>
                <c:pt idx="95">
                  <c:v>-3.9999999999999147E-2</c:v>
                </c:pt>
                <c:pt idx="96">
                  <c:v>2.9999999999997584E-2</c:v>
                </c:pt>
                <c:pt idx="97">
                  <c:v>-0.13000000000000256</c:v>
                </c:pt>
                <c:pt idx="98">
                  <c:v>-0.11999999999999744</c:v>
                </c:pt>
                <c:pt idx="99">
                  <c:v>1.0000000000001563E-2</c:v>
                </c:pt>
                <c:pt idx="100">
                  <c:v>8.0000000000000071E-2</c:v>
                </c:pt>
                <c:pt idx="101">
                  <c:v>-9.0000000000001634E-2</c:v>
                </c:pt>
                <c:pt idx="102">
                  <c:v>-2.9999999999999361E-2</c:v>
                </c:pt>
                <c:pt idx="103">
                  <c:v>-0.16999999999999638</c:v>
                </c:pt>
                <c:pt idx="104">
                  <c:v>-9.9999999999980105E-3</c:v>
                </c:pt>
                <c:pt idx="105">
                  <c:v>-2.9999999999999361E-2</c:v>
                </c:pt>
                <c:pt idx="106">
                  <c:v>-8.0000000000001847E-2</c:v>
                </c:pt>
                <c:pt idx="107">
                  <c:v>-0.20999999999999908</c:v>
                </c:pt>
                <c:pt idx="108">
                  <c:v>5.0000000000004263E-2</c:v>
                </c:pt>
                <c:pt idx="109">
                  <c:v>-5.0000000000000711E-2</c:v>
                </c:pt>
                <c:pt idx="110">
                  <c:v>0.11999999999999744</c:v>
                </c:pt>
                <c:pt idx="111">
                  <c:v>-8.0000000000001847E-2</c:v>
                </c:pt>
                <c:pt idx="112">
                  <c:v>2.0000000000003126E-2</c:v>
                </c:pt>
                <c:pt idx="113">
                  <c:v>1.0000000000001563E-2</c:v>
                </c:pt>
                <c:pt idx="114">
                  <c:v>-6.0000000000000497E-2</c:v>
                </c:pt>
                <c:pt idx="115">
                  <c:v>8.9999999999999858E-2</c:v>
                </c:pt>
                <c:pt idx="116">
                  <c:v>-5.0000000000000711E-2</c:v>
                </c:pt>
                <c:pt idx="117">
                  <c:v>-5.0000000000000711E-2</c:v>
                </c:pt>
                <c:pt idx="118">
                  <c:v>-0.25999999999999979</c:v>
                </c:pt>
                <c:pt idx="119">
                  <c:v>-0.13999999999999879</c:v>
                </c:pt>
                <c:pt idx="120">
                  <c:v>0.20000000000000107</c:v>
                </c:pt>
                <c:pt idx="121">
                  <c:v>-6.0000000000000497E-2</c:v>
                </c:pt>
                <c:pt idx="122">
                  <c:v>-0.13999999999999879</c:v>
                </c:pt>
                <c:pt idx="123">
                  <c:v>-9.0000000000001634E-2</c:v>
                </c:pt>
                <c:pt idx="124">
                  <c:v>-0.13000000000000256</c:v>
                </c:pt>
                <c:pt idx="125">
                  <c:v>-8.0000000000001847E-2</c:v>
                </c:pt>
                <c:pt idx="126">
                  <c:v>-0.18999999999999773</c:v>
                </c:pt>
                <c:pt idx="127">
                  <c:v>8.9999999999999858E-2</c:v>
                </c:pt>
                <c:pt idx="128">
                  <c:v>-5.0000000000000711E-2</c:v>
                </c:pt>
                <c:pt idx="129">
                  <c:v>-0.13999999999999879</c:v>
                </c:pt>
                <c:pt idx="130">
                  <c:v>-0.10999999999999766</c:v>
                </c:pt>
                <c:pt idx="131">
                  <c:v>-0.17999999999999794</c:v>
                </c:pt>
                <c:pt idx="132">
                  <c:v>1.0000000000001563E-2</c:v>
                </c:pt>
                <c:pt idx="133">
                  <c:v>0.16999999999999993</c:v>
                </c:pt>
                <c:pt idx="134">
                  <c:v>0.17999999999999972</c:v>
                </c:pt>
                <c:pt idx="135">
                  <c:v>2.9999999999997584E-2</c:v>
                </c:pt>
                <c:pt idx="136">
                  <c:v>-3.9999999999999147E-2</c:v>
                </c:pt>
                <c:pt idx="137">
                  <c:v>3.9999999999999147E-2</c:v>
                </c:pt>
                <c:pt idx="138">
                  <c:v>8.0000000000000071E-2</c:v>
                </c:pt>
                <c:pt idx="139">
                  <c:v>8.9999999999999858E-2</c:v>
                </c:pt>
                <c:pt idx="140">
                  <c:v>0.11999999999999744</c:v>
                </c:pt>
                <c:pt idx="141">
                  <c:v>0.24000000000000199</c:v>
                </c:pt>
                <c:pt idx="142">
                  <c:v>8.0000000000000071E-2</c:v>
                </c:pt>
                <c:pt idx="143">
                  <c:v>0.22000000000000242</c:v>
                </c:pt>
                <c:pt idx="144">
                  <c:v>5.9999999999998721E-2</c:v>
                </c:pt>
                <c:pt idx="145">
                  <c:v>5.0000000000004263E-2</c:v>
                </c:pt>
                <c:pt idx="146">
                  <c:v>-2.9999999999999361E-2</c:v>
                </c:pt>
                <c:pt idx="147">
                  <c:v>-1.9999999999999574E-2</c:v>
                </c:pt>
                <c:pt idx="148">
                  <c:v>2.0000000000003126E-2</c:v>
                </c:pt>
                <c:pt idx="149">
                  <c:v>-0.10000000000000142</c:v>
                </c:pt>
                <c:pt idx="150">
                  <c:v>0.11999999999999744</c:v>
                </c:pt>
                <c:pt idx="151">
                  <c:v>2.9999999999997584E-2</c:v>
                </c:pt>
                <c:pt idx="152">
                  <c:v>2.0000000000003126E-2</c:v>
                </c:pt>
                <c:pt idx="153">
                  <c:v>-0.11999999999999744</c:v>
                </c:pt>
                <c:pt idx="154">
                  <c:v>-1.9999999999999574E-2</c:v>
                </c:pt>
                <c:pt idx="155">
                  <c:v>-0.14999999999999858</c:v>
                </c:pt>
                <c:pt idx="156">
                  <c:v>-0.17999999999999794</c:v>
                </c:pt>
                <c:pt idx="157">
                  <c:v>-7.0000000000000284E-2</c:v>
                </c:pt>
                <c:pt idx="158">
                  <c:v>-5.0000000000000711E-2</c:v>
                </c:pt>
                <c:pt idx="159">
                  <c:v>-0.16000000000000014</c:v>
                </c:pt>
                <c:pt idx="160">
                  <c:v>-7.0000000000000284E-2</c:v>
                </c:pt>
                <c:pt idx="161">
                  <c:v>-9.9999999999980105E-3</c:v>
                </c:pt>
                <c:pt idx="162">
                  <c:v>-5.0000000000000711E-2</c:v>
                </c:pt>
                <c:pt idx="163">
                  <c:v>-3.9999999999999147E-2</c:v>
                </c:pt>
                <c:pt idx="164">
                  <c:v>-7.0000000000000284E-2</c:v>
                </c:pt>
                <c:pt idx="165">
                  <c:v>-8.0000000000001847E-2</c:v>
                </c:pt>
                <c:pt idx="166">
                  <c:v>-0.21999999999999886</c:v>
                </c:pt>
                <c:pt idx="167">
                  <c:v>-0.17999999999999794</c:v>
                </c:pt>
                <c:pt idx="168">
                  <c:v>2.9999999999997584E-2</c:v>
                </c:pt>
                <c:pt idx="169">
                  <c:v>0</c:v>
                </c:pt>
                <c:pt idx="170">
                  <c:v>-2.9999999999999361E-2</c:v>
                </c:pt>
                <c:pt idx="171">
                  <c:v>3.9999999999999147E-2</c:v>
                </c:pt>
                <c:pt idx="172">
                  <c:v>1.0000000000001563E-2</c:v>
                </c:pt>
                <c:pt idx="173">
                  <c:v>0.16000000000000014</c:v>
                </c:pt>
                <c:pt idx="174">
                  <c:v>2.0000000000003126E-2</c:v>
                </c:pt>
                <c:pt idx="175">
                  <c:v>8.0000000000000071E-2</c:v>
                </c:pt>
                <c:pt idx="176">
                  <c:v>2.0000000000003126E-2</c:v>
                </c:pt>
                <c:pt idx="177">
                  <c:v>0.17999999999999972</c:v>
                </c:pt>
                <c:pt idx="178">
                  <c:v>0.28999999999999559</c:v>
                </c:pt>
                <c:pt idx="179">
                  <c:v>0.32000000000000028</c:v>
                </c:pt>
                <c:pt idx="180">
                  <c:v>0.28999999999999559</c:v>
                </c:pt>
                <c:pt idx="181">
                  <c:v>0.27000000000000135</c:v>
                </c:pt>
                <c:pt idx="182">
                  <c:v>0.2300000000000022</c:v>
                </c:pt>
                <c:pt idx="183">
                  <c:v>0.19000000000000128</c:v>
                </c:pt>
                <c:pt idx="184">
                  <c:v>0.12999999999999901</c:v>
                </c:pt>
                <c:pt idx="185">
                  <c:v>5.0000000000004263E-2</c:v>
                </c:pt>
                <c:pt idx="186">
                  <c:v>8.9999999999999858E-2</c:v>
                </c:pt>
                <c:pt idx="187">
                  <c:v>9.9999999999997868E-2</c:v>
                </c:pt>
                <c:pt idx="188">
                  <c:v>3.9999999999999147E-2</c:v>
                </c:pt>
                <c:pt idx="189">
                  <c:v>-7.0000000000000284E-2</c:v>
                </c:pt>
                <c:pt idx="190">
                  <c:v>-0.10000000000000142</c:v>
                </c:pt>
                <c:pt idx="191">
                  <c:v>-0.27000000000000135</c:v>
                </c:pt>
                <c:pt idx="192">
                  <c:v>-5.0000000000000711E-2</c:v>
                </c:pt>
                <c:pt idx="193">
                  <c:v>-0.11999999999999744</c:v>
                </c:pt>
                <c:pt idx="194">
                  <c:v>-3.9999999999999147E-2</c:v>
                </c:pt>
                <c:pt idx="195">
                  <c:v>-5.0000000000000711E-2</c:v>
                </c:pt>
                <c:pt idx="196">
                  <c:v>-2.9999999999999361E-2</c:v>
                </c:pt>
                <c:pt idx="197">
                  <c:v>9.9999999999997868E-2</c:v>
                </c:pt>
                <c:pt idx="198">
                  <c:v>-8.0000000000001847E-2</c:v>
                </c:pt>
                <c:pt idx="199">
                  <c:v>-6.0000000000000497E-2</c:v>
                </c:pt>
                <c:pt idx="200">
                  <c:v>-8.0000000000001847E-2</c:v>
                </c:pt>
                <c:pt idx="201">
                  <c:v>-8.0000000000001847E-2</c:v>
                </c:pt>
                <c:pt idx="202">
                  <c:v>9.9999999999997868E-2</c:v>
                </c:pt>
                <c:pt idx="203">
                  <c:v>8.0000000000000071E-2</c:v>
                </c:pt>
                <c:pt idx="204">
                  <c:v>0.11999999999999744</c:v>
                </c:pt>
                <c:pt idx="205">
                  <c:v>3.9999999999999147E-2</c:v>
                </c:pt>
                <c:pt idx="206">
                  <c:v>0.16000000000000014</c:v>
                </c:pt>
                <c:pt idx="207">
                  <c:v>-9.9999999999980105E-3</c:v>
                </c:pt>
                <c:pt idx="208">
                  <c:v>-9.9999999999980105E-3</c:v>
                </c:pt>
                <c:pt idx="209">
                  <c:v>-0.16999999999999638</c:v>
                </c:pt>
                <c:pt idx="210">
                  <c:v>-1.9999999999999574E-2</c:v>
                </c:pt>
                <c:pt idx="211">
                  <c:v>-0.10999999999999766</c:v>
                </c:pt>
                <c:pt idx="212">
                  <c:v>-0.16999999999999638</c:v>
                </c:pt>
                <c:pt idx="213">
                  <c:v>-0.16999999999999638</c:v>
                </c:pt>
                <c:pt idx="214">
                  <c:v>-2.9999999999999361E-2</c:v>
                </c:pt>
                <c:pt idx="215">
                  <c:v>-6.0000000000000497E-2</c:v>
                </c:pt>
                <c:pt idx="216">
                  <c:v>-0.21999999999999886</c:v>
                </c:pt>
                <c:pt idx="217">
                  <c:v>-7.0000000000000284E-2</c:v>
                </c:pt>
                <c:pt idx="218">
                  <c:v>-0.19999999999999751</c:v>
                </c:pt>
                <c:pt idx="219">
                  <c:v>-0.11999999999999744</c:v>
                </c:pt>
                <c:pt idx="220">
                  <c:v>-0.10000000000000142</c:v>
                </c:pt>
                <c:pt idx="221">
                  <c:v>-0.11999999999999744</c:v>
                </c:pt>
                <c:pt idx="222">
                  <c:v>-6.0000000000000497E-2</c:v>
                </c:pt>
                <c:pt idx="223">
                  <c:v>-0.24000000000000021</c:v>
                </c:pt>
                <c:pt idx="224">
                  <c:v>-6.0000000000000497E-2</c:v>
                </c:pt>
                <c:pt idx="225">
                  <c:v>0.10999999999999766</c:v>
                </c:pt>
                <c:pt idx="226">
                  <c:v>0.19000000000000128</c:v>
                </c:pt>
                <c:pt idx="227">
                  <c:v>0.2300000000000022</c:v>
                </c:pt>
                <c:pt idx="228">
                  <c:v>0.24000000000000199</c:v>
                </c:pt>
                <c:pt idx="229">
                  <c:v>0.25999999999999979</c:v>
                </c:pt>
                <c:pt idx="230">
                  <c:v>0.32999999999999652</c:v>
                </c:pt>
                <c:pt idx="231">
                  <c:v>0.27000000000000135</c:v>
                </c:pt>
                <c:pt idx="232">
                  <c:v>0.20000000000000107</c:v>
                </c:pt>
                <c:pt idx="233">
                  <c:v>0.17999999999999972</c:v>
                </c:pt>
                <c:pt idx="234">
                  <c:v>2.0000000000003126E-2</c:v>
                </c:pt>
                <c:pt idx="235">
                  <c:v>2.9999999999997584E-2</c:v>
                </c:pt>
                <c:pt idx="236">
                  <c:v>0.16000000000000014</c:v>
                </c:pt>
                <c:pt idx="237">
                  <c:v>2.9999999999997584E-2</c:v>
                </c:pt>
                <c:pt idx="238">
                  <c:v>5.9999999999998721E-2</c:v>
                </c:pt>
                <c:pt idx="239">
                  <c:v>9.9999999999997868E-2</c:v>
                </c:pt>
                <c:pt idx="240">
                  <c:v>0.19000000000000128</c:v>
                </c:pt>
                <c:pt idx="241">
                  <c:v>0.16999999999999993</c:v>
                </c:pt>
                <c:pt idx="242">
                  <c:v>8.9999999999999858E-2</c:v>
                </c:pt>
                <c:pt idx="243">
                  <c:v>-9.9999999999980105E-3</c:v>
                </c:pt>
                <c:pt idx="244">
                  <c:v>3.9999999999999147E-2</c:v>
                </c:pt>
                <c:pt idx="245">
                  <c:v>-0.13999999999999879</c:v>
                </c:pt>
                <c:pt idx="246">
                  <c:v>5.9999999999998721E-2</c:v>
                </c:pt>
                <c:pt idx="247">
                  <c:v>2.9999999999997584E-2</c:v>
                </c:pt>
                <c:pt idx="248">
                  <c:v>0.12999999999999901</c:v>
                </c:pt>
                <c:pt idx="249">
                  <c:v>8.0000000000000071E-2</c:v>
                </c:pt>
                <c:pt idx="250">
                  <c:v>8.9999999999999858E-2</c:v>
                </c:pt>
                <c:pt idx="251">
                  <c:v>-0.10000000000000142</c:v>
                </c:pt>
                <c:pt idx="252">
                  <c:v>0.19000000000000128</c:v>
                </c:pt>
                <c:pt idx="253">
                  <c:v>0.14999999999999858</c:v>
                </c:pt>
                <c:pt idx="254">
                  <c:v>2.9999999999997584E-2</c:v>
                </c:pt>
                <c:pt idx="255">
                  <c:v>0.13999999999999879</c:v>
                </c:pt>
                <c:pt idx="256">
                  <c:v>3.9999999999999147E-2</c:v>
                </c:pt>
                <c:pt idx="257">
                  <c:v>0.16999999999999993</c:v>
                </c:pt>
                <c:pt idx="258">
                  <c:v>0.25000000000000355</c:v>
                </c:pt>
                <c:pt idx="259">
                  <c:v>0.25999999999999979</c:v>
                </c:pt>
                <c:pt idx="260">
                  <c:v>0.28000000000000114</c:v>
                </c:pt>
                <c:pt idx="261">
                  <c:v>0.47000000000000242</c:v>
                </c:pt>
                <c:pt idx="262">
                  <c:v>0.30000000000000249</c:v>
                </c:pt>
                <c:pt idx="263">
                  <c:v>0.38999999999999879</c:v>
                </c:pt>
                <c:pt idx="264">
                  <c:v>0.28999999999999559</c:v>
                </c:pt>
                <c:pt idx="265">
                  <c:v>0.30000000000000249</c:v>
                </c:pt>
                <c:pt idx="266">
                  <c:v>0.34999999999999787</c:v>
                </c:pt>
                <c:pt idx="267">
                  <c:v>0.20000000000000107</c:v>
                </c:pt>
                <c:pt idx="268">
                  <c:v>0.22000000000000242</c:v>
                </c:pt>
                <c:pt idx="269">
                  <c:v>0.17999999999999972</c:v>
                </c:pt>
                <c:pt idx="270">
                  <c:v>0.20000000000000107</c:v>
                </c:pt>
                <c:pt idx="271">
                  <c:v>0.12999999999999901</c:v>
                </c:pt>
                <c:pt idx="272">
                  <c:v>0.30000000000000249</c:v>
                </c:pt>
                <c:pt idx="273">
                  <c:v>0.21000000000000085</c:v>
                </c:pt>
                <c:pt idx="274">
                  <c:v>0.52999999999999758</c:v>
                </c:pt>
                <c:pt idx="275">
                  <c:v>0.42000000000000348</c:v>
                </c:pt>
                <c:pt idx="276">
                  <c:v>0.47999999999999865</c:v>
                </c:pt>
                <c:pt idx="277">
                  <c:v>0.32000000000000028</c:v>
                </c:pt>
                <c:pt idx="278">
                  <c:v>0.25000000000000355</c:v>
                </c:pt>
                <c:pt idx="279">
                  <c:v>0.28999999999999559</c:v>
                </c:pt>
                <c:pt idx="280">
                  <c:v>0.32999999999999652</c:v>
                </c:pt>
                <c:pt idx="281">
                  <c:v>0.34999999999999787</c:v>
                </c:pt>
                <c:pt idx="282">
                  <c:v>0.14999999999999858</c:v>
                </c:pt>
                <c:pt idx="283">
                  <c:v>0.11999999999999744</c:v>
                </c:pt>
                <c:pt idx="284">
                  <c:v>0.2300000000000022</c:v>
                </c:pt>
                <c:pt idx="285">
                  <c:v>0.41000000000000014</c:v>
                </c:pt>
                <c:pt idx="286">
                  <c:v>5.0000000000004263E-2</c:v>
                </c:pt>
                <c:pt idx="287">
                  <c:v>0.14999999999999858</c:v>
                </c:pt>
                <c:pt idx="288">
                  <c:v>2.9999999999997584E-2</c:v>
                </c:pt>
                <c:pt idx="289">
                  <c:v>0.14999999999999858</c:v>
                </c:pt>
                <c:pt idx="290">
                  <c:v>0.17999999999999972</c:v>
                </c:pt>
                <c:pt idx="291">
                  <c:v>5.9999999999998721E-2</c:v>
                </c:pt>
                <c:pt idx="292">
                  <c:v>0.13999999999999879</c:v>
                </c:pt>
                <c:pt idx="293">
                  <c:v>2.9999999999997584E-2</c:v>
                </c:pt>
                <c:pt idx="294">
                  <c:v>0.13999999999999879</c:v>
                </c:pt>
                <c:pt idx="295">
                  <c:v>0.12999999999999901</c:v>
                </c:pt>
                <c:pt idx="296">
                  <c:v>0.17999999999999972</c:v>
                </c:pt>
                <c:pt idx="297">
                  <c:v>0.42999999999999972</c:v>
                </c:pt>
                <c:pt idx="298">
                  <c:v>0.52999999999999758</c:v>
                </c:pt>
                <c:pt idx="299">
                  <c:v>0.42999999999999972</c:v>
                </c:pt>
                <c:pt idx="300">
                  <c:v>0.42000000000000348</c:v>
                </c:pt>
                <c:pt idx="301">
                  <c:v>0.28000000000000114</c:v>
                </c:pt>
                <c:pt idx="302">
                  <c:v>0.33999999999999986</c:v>
                </c:pt>
                <c:pt idx="303">
                  <c:v>0.2300000000000022</c:v>
                </c:pt>
                <c:pt idx="304">
                  <c:v>0.17999999999999972</c:v>
                </c:pt>
                <c:pt idx="305">
                  <c:v>0.36000000000000121</c:v>
                </c:pt>
                <c:pt idx="306">
                  <c:v>0.36999999999999744</c:v>
                </c:pt>
                <c:pt idx="307">
                  <c:v>0.16999999999999993</c:v>
                </c:pt>
                <c:pt idx="308">
                  <c:v>0.30000000000000249</c:v>
                </c:pt>
                <c:pt idx="309">
                  <c:v>0.16999999999999993</c:v>
                </c:pt>
                <c:pt idx="310">
                  <c:v>0.31000000000000227</c:v>
                </c:pt>
                <c:pt idx="311">
                  <c:v>0.13999999999999879</c:v>
                </c:pt>
                <c:pt idx="312">
                  <c:v>0.25999999999999979</c:v>
                </c:pt>
                <c:pt idx="313">
                  <c:v>5.9999999999998721E-2</c:v>
                </c:pt>
                <c:pt idx="314">
                  <c:v>0.32999999999999652</c:v>
                </c:pt>
                <c:pt idx="315">
                  <c:v>2.0000000000003126E-2</c:v>
                </c:pt>
                <c:pt idx="316">
                  <c:v>0.19000000000000128</c:v>
                </c:pt>
                <c:pt idx="317">
                  <c:v>0.19000000000000128</c:v>
                </c:pt>
                <c:pt idx="318">
                  <c:v>0.21000000000000085</c:v>
                </c:pt>
                <c:pt idx="319">
                  <c:v>0.12999999999999901</c:v>
                </c:pt>
                <c:pt idx="320">
                  <c:v>5.9999999999998721E-2</c:v>
                </c:pt>
                <c:pt idx="321">
                  <c:v>-3.9999999999999147E-2</c:v>
                </c:pt>
                <c:pt idx="322">
                  <c:v>0.22000000000000242</c:v>
                </c:pt>
                <c:pt idx="323">
                  <c:v>-3.9999999999999147E-2</c:v>
                </c:pt>
                <c:pt idx="324">
                  <c:v>0.16999999999999993</c:v>
                </c:pt>
                <c:pt idx="325">
                  <c:v>0.11999999999999744</c:v>
                </c:pt>
                <c:pt idx="326">
                  <c:v>0.14999999999999858</c:v>
                </c:pt>
                <c:pt idx="327">
                  <c:v>0.14999999999999858</c:v>
                </c:pt>
                <c:pt idx="328">
                  <c:v>3.9999999999999147E-2</c:v>
                </c:pt>
                <c:pt idx="329">
                  <c:v>0.16999999999999993</c:v>
                </c:pt>
                <c:pt idx="330">
                  <c:v>0.12999999999999901</c:v>
                </c:pt>
                <c:pt idx="331">
                  <c:v>0.11999999999999744</c:v>
                </c:pt>
                <c:pt idx="332">
                  <c:v>5.0000000000004263E-2</c:v>
                </c:pt>
                <c:pt idx="333">
                  <c:v>0.13999999999999879</c:v>
                </c:pt>
                <c:pt idx="334">
                  <c:v>0.25999999999999979</c:v>
                </c:pt>
                <c:pt idx="335">
                  <c:v>0.36999999999999744</c:v>
                </c:pt>
                <c:pt idx="336">
                  <c:v>0.30000000000000249</c:v>
                </c:pt>
                <c:pt idx="337">
                  <c:v>0.22000000000000242</c:v>
                </c:pt>
                <c:pt idx="338">
                  <c:v>0.21000000000000085</c:v>
                </c:pt>
                <c:pt idx="339">
                  <c:v>0.11999999999999744</c:v>
                </c:pt>
                <c:pt idx="340">
                  <c:v>0.10999999999999766</c:v>
                </c:pt>
                <c:pt idx="341">
                  <c:v>0.16000000000000014</c:v>
                </c:pt>
                <c:pt idx="342">
                  <c:v>2.9999999999997584E-2</c:v>
                </c:pt>
                <c:pt idx="343">
                  <c:v>0.14999999999999858</c:v>
                </c:pt>
                <c:pt idx="344">
                  <c:v>9.9999999999997868E-2</c:v>
                </c:pt>
                <c:pt idx="345">
                  <c:v>0.12999999999999901</c:v>
                </c:pt>
                <c:pt idx="346">
                  <c:v>0.32000000000000028</c:v>
                </c:pt>
                <c:pt idx="347">
                  <c:v>0.42999999999999972</c:v>
                </c:pt>
                <c:pt idx="348">
                  <c:v>0.17999999999999972</c:v>
                </c:pt>
                <c:pt idx="349">
                  <c:v>0.24000000000000199</c:v>
                </c:pt>
                <c:pt idx="350">
                  <c:v>0.25999999999999979</c:v>
                </c:pt>
                <c:pt idx="351">
                  <c:v>0.34999999999999787</c:v>
                </c:pt>
                <c:pt idx="352">
                  <c:v>0.40000000000000213</c:v>
                </c:pt>
                <c:pt idx="353">
                  <c:v>0.25000000000000355</c:v>
                </c:pt>
                <c:pt idx="354">
                  <c:v>0.34999999999999787</c:v>
                </c:pt>
                <c:pt idx="355">
                  <c:v>0.32999999999999652</c:v>
                </c:pt>
                <c:pt idx="356">
                  <c:v>0.28999999999999559</c:v>
                </c:pt>
                <c:pt idx="357">
                  <c:v>0.46000000000000441</c:v>
                </c:pt>
                <c:pt idx="358">
                  <c:v>0.57000000000000028</c:v>
                </c:pt>
                <c:pt idx="359">
                  <c:v>0.44000000000000483</c:v>
                </c:pt>
                <c:pt idx="360">
                  <c:v>0.5199999999999978</c:v>
                </c:pt>
                <c:pt idx="361">
                  <c:v>0.42999999999999972</c:v>
                </c:pt>
                <c:pt idx="362">
                  <c:v>0.44000000000000483</c:v>
                </c:pt>
                <c:pt idx="363">
                  <c:v>0.40000000000000213</c:v>
                </c:pt>
                <c:pt idx="364">
                  <c:v>0.32999999999999652</c:v>
                </c:pt>
                <c:pt idx="365">
                  <c:v>0.38999999999999879</c:v>
                </c:pt>
                <c:pt idx="366">
                  <c:v>0.36999999999999744</c:v>
                </c:pt>
                <c:pt idx="367">
                  <c:v>0.38000000000000256</c:v>
                </c:pt>
                <c:pt idx="368">
                  <c:v>0.11999999999999744</c:v>
                </c:pt>
                <c:pt idx="369">
                  <c:v>0.28999999999999559</c:v>
                </c:pt>
                <c:pt idx="370">
                  <c:v>0.11999999999999744</c:v>
                </c:pt>
                <c:pt idx="371">
                  <c:v>0.30000000000000249</c:v>
                </c:pt>
                <c:pt idx="372">
                  <c:v>0.36000000000000121</c:v>
                </c:pt>
                <c:pt idx="373">
                  <c:v>0.28999999999999559</c:v>
                </c:pt>
                <c:pt idx="374">
                  <c:v>0.17999999999999972</c:v>
                </c:pt>
                <c:pt idx="375">
                  <c:v>0.14999999999999858</c:v>
                </c:pt>
                <c:pt idx="376">
                  <c:v>0.34999999999999787</c:v>
                </c:pt>
                <c:pt idx="377">
                  <c:v>0.32999999999999652</c:v>
                </c:pt>
                <c:pt idx="378">
                  <c:v>0.34999999999999787</c:v>
                </c:pt>
                <c:pt idx="379">
                  <c:v>0.28999999999999559</c:v>
                </c:pt>
                <c:pt idx="380">
                  <c:v>0.20000000000000107</c:v>
                </c:pt>
                <c:pt idx="381">
                  <c:v>0.36999999999999744</c:v>
                </c:pt>
                <c:pt idx="382">
                  <c:v>0.42000000000000348</c:v>
                </c:pt>
                <c:pt idx="383">
                  <c:v>0.44000000000000483</c:v>
                </c:pt>
                <c:pt idx="384">
                  <c:v>0.79999999999999893</c:v>
                </c:pt>
                <c:pt idx="385">
                  <c:v>0.55999999999999872</c:v>
                </c:pt>
                <c:pt idx="386">
                  <c:v>0.46000000000000441</c:v>
                </c:pt>
                <c:pt idx="387">
                  <c:v>0.36999999999999744</c:v>
                </c:pt>
                <c:pt idx="388">
                  <c:v>0.46000000000000441</c:v>
                </c:pt>
                <c:pt idx="389">
                  <c:v>0.33999999999999986</c:v>
                </c:pt>
                <c:pt idx="390">
                  <c:v>0.2300000000000022</c:v>
                </c:pt>
                <c:pt idx="391">
                  <c:v>0.44999999999999751</c:v>
                </c:pt>
                <c:pt idx="392">
                  <c:v>0.46000000000000441</c:v>
                </c:pt>
                <c:pt idx="393">
                  <c:v>0.40000000000000213</c:v>
                </c:pt>
                <c:pt idx="394">
                  <c:v>0.42999999999999972</c:v>
                </c:pt>
                <c:pt idx="395">
                  <c:v>0.5</c:v>
                </c:pt>
                <c:pt idx="396">
                  <c:v>0.36000000000000121</c:v>
                </c:pt>
                <c:pt idx="397">
                  <c:v>0.50999999999999801</c:v>
                </c:pt>
                <c:pt idx="398">
                  <c:v>0.33999999999999986</c:v>
                </c:pt>
                <c:pt idx="399">
                  <c:v>0.52999999999999758</c:v>
                </c:pt>
                <c:pt idx="400">
                  <c:v>0.47999999999999865</c:v>
                </c:pt>
                <c:pt idx="401">
                  <c:v>0.38999999999999879</c:v>
                </c:pt>
                <c:pt idx="402">
                  <c:v>0.44000000000000483</c:v>
                </c:pt>
                <c:pt idx="403">
                  <c:v>0.28999999999999559</c:v>
                </c:pt>
                <c:pt idx="404">
                  <c:v>0.30000000000000249</c:v>
                </c:pt>
                <c:pt idx="405">
                  <c:v>0.32000000000000028</c:v>
                </c:pt>
                <c:pt idx="406">
                  <c:v>0.47999999999999865</c:v>
                </c:pt>
                <c:pt idx="407">
                  <c:v>0.40000000000000213</c:v>
                </c:pt>
                <c:pt idx="408">
                  <c:v>0.47999999999999865</c:v>
                </c:pt>
                <c:pt idx="409">
                  <c:v>0.28000000000000114</c:v>
                </c:pt>
                <c:pt idx="410">
                  <c:v>0.31000000000000227</c:v>
                </c:pt>
                <c:pt idx="411">
                  <c:v>0.25999999999999979</c:v>
                </c:pt>
                <c:pt idx="412">
                  <c:v>8.9999999999999858E-2</c:v>
                </c:pt>
                <c:pt idx="413">
                  <c:v>8.0000000000000071E-2</c:v>
                </c:pt>
                <c:pt idx="414">
                  <c:v>-9.9999999999980105E-3</c:v>
                </c:pt>
                <c:pt idx="415">
                  <c:v>7.0000000000000284E-2</c:v>
                </c:pt>
                <c:pt idx="416">
                  <c:v>2.9999999999997584E-2</c:v>
                </c:pt>
                <c:pt idx="417">
                  <c:v>0.22000000000000242</c:v>
                </c:pt>
                <c:pt idx="418">
                  <c:v>0.34999999999999787</c:v>
                </c:pt>
                <c:pt idx="419">
                  <c:v>0.36999999999999744</c:v>
                </c:pt>
                <c:pt idx="420">
                  <c:v>0.36000000000000121</c:v>
                </c:pt>
                <c:pt idx="421">
                  <c:v>0.28000000000000114</c:v>
                </c:pt>
                <c:pt idx="422">
                  <c:v>0.28000000000000114</c:v>
                </c:pt>
                <c:pt idx="423">
                  <c:v>0.2300000000000022</c:v>
                </c:pt>
                <c:pt idx="424">
                  <c:v>0.25000000000000355</c:v>
                </c:pt>
                <c:pt idx="425">
                  <c:v>0.10999999999999766</c:v>
                </c:pt>
                <c:pt idx="426">
                  <c:v>0.10999999999999766</c:v>
                </c:pt>
                <c:pt idx="427">
                  <c:v>0.24000000000000199</c:v>
                </c:pt>
                <c:pt idx="428">
                  <c:v>3.9999999999999147E-2</c:v>
                </c:pt>
                <c:pt idx="429">
                  <c:v>0.17999999999999972</c:v>
                </c:pt>
                <c:pt idx="430">
                  <c:v>0.25999999999999979</c:v>
                </c:pt>
                <c:pt idx="431">
                  <c:v>2.0000000000003126E-2</c:v>
                </c:pt>
                <c:pt idx="432">
                  <c:v>0.28999999999999559</c:v>
                </c:pt>
                <c:pt idx="433">
                  <c:v>0.41000000000000014</c:v>
                </c:pt>
                <c:pt idx="434">
                  <c:v>0.28000000000000114</c:v>
                </c:pt>
                <c:pt idx="435">
                  <c:v>0.42999999999999972</c:v>
                </c:pt>
                <c:pt idx="436">
                  <c:v>0.30000000000000249</c:v>
                </c:pt>
                <c:pt idx="437">
                  <c:v>0.22000000000000242</c:v>
                </c:pt>
                <c:pt idx="438">
                  <c:v>0.31000000000000227</c:v>
                </c:pt>
                <c:pt idx="439">
                  <c:v>0.42999999999999972</c:v>
                </c:pt>
                <c:pt idx="440">
                  <c:v>0.44999999999999751</c:v>
                </c:pt>
                <c:pt idx="441">
                  <c:v>0.38999999999999879</c:v>
                </c:pt>
                <c:pt idx="442">
                  <c:v>0.52999999999999758</c:v>
                </c:pt>
                <c:pt idx="443">
                  <c:v>0.79000000000000092</c:v>
                </c:pt>
                <c:pt idx="444">
                  <c:v>0.47000000000000242</c:v>
                </c:pt>
                <c:pt idx="445">
                  <c:v>0.47000000000000242</c:v>
                </c:pt>
                <c:pt idx="446">
                  <c:v>0.27000000000000135</c:v>
                </c:pt>
                <c:pt idx="447">
                  <c:v>0.42999999999999972</c:v>
                </c:pt>
                <c:pt idx="448">
                  <c:v>0.46000000000000441</c:v>
                </c:pt>
                <c:pt idx="449">
                  <c:v>0.44999999999999751</c:v>
                </c:pt>
                <c:pt idx="450">
                  <c:v>0.32999999999999652</c:v>
                </c:pt>
                <c:pt idx="451">
                  <c:v>0.46000000000000441</c:v>
                </c:pt>
                <c:pt idx="452">
                  <c:v>0.44999999999999751</c:v>
                </c:pt>
                <c:pt idx="453">
                  <c:v>0.25999999999999979</c:v>
                </c:pt>
                <c:pt idx="454">
                  <c:v>0.24000000000000199</c:v>
                </c:pt>
                <c:pt idx="455">
                  <c:v>0.46000000000000441</c:v>
                </c:pt>
                <c:pt idx="456">
                  <c:v>0.32999999999999652</c:v>
                </c:pt>
                <c:pt idx="457">
                  <c:v>0.32999999999999652</c:v>
                </c:pt>
                <c:pt idx="458">
                  <c:v>0.27000000000000135</c:v>
                </c:pt>
                <c:pt idx="459">
                  <c:v>0.25999999999999979</c:v>
                </c:pt>
                <c:pt idx="460">
                  <c:v>0.36999999999999744</c:v>
                </c:pt>
                <c:pt idx="461">
                  <c:v>0.47999999999999865</c:v>
                </c:pt>
                <c:pt idx="462">
                  <c:v>0.25999999999999979</c:v>
                </c:pt>
                <c:pt idx="463">
                  <c:v>0.22000000000000242</c:v>
                </c:pt>
                <c:pt idx="464">
                  <c:v>0.42000000000000348</c:v>
                </c:pt>
                <c:pt idx="465">
                  <c:v>0.36999999999999744</c:v>
                </c:pt>
                <c:pt idx="466">
                  <c:v>0.32000000000000028</c:v>
                </c:pt>
                <c:pt idx="467">
                  <c:v>0.41000000000000014</c:v>
                </c:pt>
                <c:pt idx="468">
                  <c:v>0.5199999999999978</c:v>
                </c:pt>
                <c:pt idx="469">
                  <c:v>0.33999999999999986</c:v>
                </c:pt>
                <c:pt idx="470">
                  <c:v>0.34999999999999787</c:v>
                </c:pt>
                <c:pt idx="471">
                  <c:v>0.54999999999999893</c:v>
                </c:pt>
                <c:pt idx="472">
                  <c:v>0.33999999999999986</c:v>
                </c:pt>
                <c:pt idx="473">
                  <c:v>0.41000000000000014</c:v>
                </c:pt>
                <c:pt idx="474">
                  <c:v>0.5199999999999978</c:v>
                </c:pt>
                <c:pt idx="475">
                  <c:v>0.61000000000000121</c:v>
                </c:pt>
                <c:pt idx="476">
                  <c:v>0.65000000000000213</c:v>
                </c:pt>
                <c:pt idx="477">
                  <c:v>0.58999999999999986</c:v>
                </c:pt>
                <c:pt idx="478">
                  <c:v>0.58000000000000007</c:v>
                </c:pt>
                <c:pt idx="479">
                  <c:v>0.88000000000000256</c:v>
                </c:pt>
                <c:pt idx="480">
                  <c:v>0.63000000000000256</c:v>
                </c:pt>
                <c:pt idx="481">
                  <c:v>0.64000000000000234</c:v>
                </c:pt>
                <c:pt idx="482">
                  <c:v>0.67999999999999972</c:v>
                </c:pt>
                <c:pt idx="483">
                  <c:v>0.77000000000000135</c:v>
                </c:pt>
                <c:pt idx="484">
                  <c:v>0.66000000000000369</c:v>
                </c:pt>
                <c:pt idx="485">
                  <c:v>0.65000000000000213</c:v>
                </c:pt>
                <c:pt idx="486">
                  <c:v>0.42000000000000348</c:v>
                </c:pt>
                <c:pt idx="487">
                  <c:v>0.42000000000000348</c:v>
                </c:pt>
                <c:pt idx="488">
                  <c:v>0.42999999999999972</c:v>
                </c:pt>
                <c:pt idx="489">
                  <c:v>0.54999999999999893</c:v>
                </c:pt>
                <c:pt idx="490">
                  <c:v>0.47999999999999865</c:v>
                </c:pt>
                <c:pt idx="491">
                  <c:v>0.64000000000000234</c:v>
                </c:pt>
                <c:pt idx="492">
                  <c:v>0.32999999999999652</c:v>
                </c:pt>
                <c:pt idx="493">
                  <c:v>0.32000000000000028</c:v>
                </c:pt>
                <c:pt idx="494">
                  <c:v>0.25999999999999979</c:v>
                </c:pt>
                <c:pt idx="495">
                  <c:v>0.36000000000000121</c:v>
                </c:pt>
                <c:pt idx="496">
                  <c:v>0.38999999999999879</c:v>
                </c:pt>
                <c:pt idx="497">
                  <c:v>0.31000000000000227</c:v>
                </c:pt>
                <c:pt idx="498">
                  <c:v>0.38999999999999879</c:v>
                </c:pt>
                <c:pt idx="499">
                  <c:v>0.33999999999999986</c:v>
                </c:pt>
                <c:pt idx="500">
                  <c:v>0.36999999999999744</c:v>
                </c:pt>
                <c:pt idx="501">
                  <c:v>0.40000000000000213</c:v>
                </c:pt>
                <c:pt idx="502">
                  <c:v>0.25000000000000355</c:v>
                </c:pt>
                <c:pt idx="503">
                  <c:v>0.55999999999999872</c:v>
                </c:pt>
                <c:pt idx="504">
                  <c:v>0.54999999999999893</c:v>
                </c:pt>
                <c:pt idx="505">
                  <c:v>0.55999999999999872</c:v>
                </c:pt>
                <c:pt idx="506">
                  <c:v>0.34999999999999787</c:v>
                </c:pt>
                <c:pt idx="507">
                  <c:v>0.40000000000000213</c:v>
                </c:pt>
                <c:pt idx="508">
                  <c:v>0.38999999999999879</c:v>
                </c:pt>
                <c:pt idx="509">
                  <c:v>0.42000000000000348</c:v>
                </c:pt>
                <c:pt idx="510">
                  <c:v>0.38999999999999879</c:v>
                </c:pt>
                <c:pt idx="511">
                  <c:v>0.27000000000000135</c:v>
                </c:pt>
                <c:pt idx="512">
                  <c:v>0.30000000000000249</c:v>
                </c:pt>
                <c:pt idx="513">
                  <c:v>0.28000000000000114</c:v>
                </c:pt>
                <c:pt idx="514">
                  <c:v>0.44999999999999751</c:v>
                </c:pt>
                <c:pt idx="515">
                  <c:v>0.44000000000000483</c:v>
                </c:pt>
                <c:pt idx="516">
                  <c:v>0.54999999999999893</c:v>
                </c:pt>
                <c:pt idx="517">
                  <c:v>0.5</c:v>
                </c:pt>
                <c:pt idx="518">
                  <c:v>0.57000000000000028</c:v>
                </c:pt>
                <c:pt idx="519">
                  <c:v>0.52999999999999758</c:v>
                </c:pt>
                <c:pt idx="520">
                  <c:v>0.58999999999999986</c:v>
                </c:pt>
                <c:pt idx="521">
                  <c:v>0.47999999999999865</c:v>
                </c:pt>
                <c:pt idx="522">
                  <c:v>0.5199999999999978</c:v>
                </c:pt>
                <c:pt idx="523">
                  <c:v>0.5</c:v>
                </c:pt>
                <c:pt idx="524">
                  <c:v>0.72000000000000242</c:v>
                </c:pt>
                <c:pt idx="525">
                  <c:v>0.54999999999999893</c:v>
                </c:pt>
                <c:pt idx="526">
                  <c:v>0.77000000000000135</c:v>
                </c:pt>
                <c:pt idx="527">
                  <c:v>0.77999999999999758</c:v>
                </c:pt>
                <c:pt idx="528">
                  <c:v>0.88000000000000256</c:v>
                </c:pt>
                <c:pt idx="529">
                  <c:v>0.58000000000000007</c:v>
                </c:pt>
                <c:pt idx="530">
                  <c:v>0.64000000000000234</c:v>
                </c:pt>
                <c:pt idx="531">
                  <c:v>0.52999999999999758</c:v>
                </c:pt>
                <c:pt idx="532">
                  <c:v>0.61000000000000121</c:v>
                </c:pt>
                <c:pt idx="533">
                  <c:v>0.52999999999999758</c:v>
                </c:pt>
                <c:pt idx="534">
                  <c:v>0.64000000000000234</c:v>
                </c:pt>
                <c:pt idx="535">
                  <c:v>0.53999999999999915</c:v>
                </c:pt>
                <c:pt idx="536">
                  <c:v>0.58999999999999986</c:v>
                </c:pt>
                <c:pt idx="537">
                  <c:v>0.44000000000000483</c:v>
                </c:pt>
                <c:pt idx="538">
                  <c:v>0.75</c:v>
                </c:pt>
                <c:pt idx="539">
                  <c:v>0.58000000000000007</c:v>
                </c:pt>
                <c:pt idx="540">
                  <c:v>0.60000000000000142</c:v>
                </c:pt>
                <c:pt idx="541">
                  <c:v>0.54999999999999893</c:v>
                </c:pt>
                <c:pt idx="542">
                  <c:v>0.60000000000000142</c:v>
                </c:pt>
                <c:pt idx="543">
                  <c:v>0.47999999999999865</c:v>
                </c:pt>
                <c:pt idx="544">
                  <c:v>0.58000000000000007</c:v>
                </c:pt>
                <c:pt idx="545">
                  <c:v>0.64000000000000234</c:v>
                </c:pt>
                <c:pt idx="546">
                  <c:v>0.62000000000000099</c:v>
                </c:pt>
                <c:pt idx="547">
                  <c:v>0.72000000000000242</c:v>
                </c:pt>
                <c:pt idx="548">
                  <c:v>0.52999999999999758</c:v>
                </c:pt>
                <c:pt idx="549">
                  <c:v>0.75</c:v>
                </c:pt>
                <c:pt idx="550">
                  <c:v>0.58000000000000007</c:v>
                </c:pt>
                <c:pt idx="551">
                  <c:v>0.72000000000000242</c:v>
                </c:pt>
                <c:pt idx="552">
                  <c:v>0.63000000000000256</c:v>
                </c:pt>
                <c:pt idx="553">
                  <c:v>0.61000000000000121</c:v>
                </c:pt>
                <c:pt idx="554">
                  <c:v>0.36999999999999744</c:v>
                </c:pt>
                <c:pt idx="555">
                  <c:v>0.44000000000000483</c:v>
                </c:pt>
                <c:pt idx="556">
                  <c:v>0.25999999999999979</c:v>
                </c:pt>
                <c:pt idx="557">
                  <c:v>0.44999999999999751</c:v>
                </c:pt>
                <c:pt idx="558">
                  <c:v>0.5</c:v>
                </c:pt>
                <c:pt idx="559">
                  <c:v>0.61000000000000121</c:v>
                </c:pt>
                <c:pt idx="560">
                  <c:v>0.7300000000000022</c:v>
                </c:pt>
                <c:pt idx="561">
                  <c:v>0.50999999999999801</c:v>
                </c:pt>
                <c:pt idx="562">
                  <c:v>0.75</c:v>
                </c:pt>
                <c:pt idx="563">
                  <c:v>0.60000000000000142</c:v>
                </c:pt>
                <c:pt idx="564">
                  <c:v>0.73999999999999666</c:v>
                </c:pt>
                <c:pt idx="565">
                  <c:v>0.66999999999999993</c:v>
                </c:pt>
                <c:pt idx="566">
                  <c:v>0.63000000000000256</c:v>
                </c:pt>
                <c:pt idx="567">
                  <c:v>0.65000000000000213</c:v>
                </c:pt>
                <c:pt idx="568">
                  <c:v>0.61000000000000121</c:v>
                </c:pt>
                <c:pt idx="569">
                  <c:v>0.60000000000000142</c:v>
                </c:pt>
                <c:pt idx="570">
                  <c:v>0.72000000000000242</c:v>
                </c:pt>
                <c:pt idx="571">
                  <c:v>0.75999999999999801</c:v>
                </c:pt>
                <c:pt idx="572">
                  <c:v>0.73999999999999666</c:v>
                </c:pt>
                <c:pt idx="573">
                  <c:v>0.67999999999999972</c:v>
                </c:pt>
                <c:pt idx="574">
                  <c:v>0.55999999999999872</c:v>
                </c:pt>
                <c:pt idx="575">
                  <c:v>0.73999999999999666</c:v>
                </c:pt>
                <c:pt idx="576">
                  <c:v>0.63000000000000256</c:v>
                </c:pt>
                <c:pt idx="577">
                  <c:v>0.47000000000000242</c:v>
                </c:pt>
                <c:pt idx="578">
                  <c:v>0.47999999999999865</c:v>
                </c:pt>
                <c:pt idx="579">
                  <c:v>0.66999999999999993</c:v>
                </c:pt>
                <c:pt idx="580">
                  <c:v>0.53999999999999915</c:v>
                </c:pt>
                <c:pt idx="581">
                  <c:v>0.71000000000000085</c:v>
                </c:pt>
                <c:pt idx="582">
                  <c:v>0.66000000000000369</c:v>
                </c:pt>
                <c:pt idx="583">
                  <c:v>0.71000000000000085</c:v>
                </c:pt>
                <c:pt idx="584">
                  <c:v>0.7300000000000022</c:v>
                </c:pt>
                <c:pt idx="585">
                  <c:v>0.79000000000000092</c:v>
                </c:pt>
                <c:pt idx="586">
                  <c:v>1.0099999999999998</c:v>
                </c:pt>
                <c:pt idx="587">
                  <c:v>0.70000000000000107</c:v>
                </c:pt>
                <c:pt idx="588">
                  <c:v>0.71000000000000085</c:v>
                </c:pt>
                <c:pt idx="589">
                  <c:v>0.77000000000000135</c:v>
                </c:pt>
                <c:pt idx="590">
                  <c:v>0.69000000000000128</c:v>
                </c:pt>
                <c:pt idx="591">
                  <c:v>0.61000000000000121</c:v>
                </c:pt>
                <c:pt idx="592">
                  <c:v>0.60000000000000142</c:v>
                </c:pt>
                <c:pt idx="593">
                  <c:v>0.60000000000000142</c:v>
                </c:pt>
                <c:pt idx="594">
                  <c:v>0.60000000000000142</c:v>
                </c:pt>
                <c:pt idx="595">
                  <c:v>0.58999999999999986</c:v>
                </c:pt>
                <c:pt idx="596">
                  <c:v>0.58999999999999986</c:v>
                </c:pt>
                <c:pt idx="597">
                  <c:v>0.5</c:v>
                </c:pt>
                <c:pt idx="598">
                  <c:v>0.30000000000000249</c:v>
                </c:pt>
                <c:pt idx="599">
                  <c:v>0.38000000000000256</c:v>
                </c:pt>
                <c:pt idx="600">
                  <c:v>0.75</c:v>
                </c:pt>
                <c:pt idx="601">
                  <c:v>0.53999999999999915</c:v>
                </c:pt>
                <c:pt idx="602">
                  <c:v>0.5</c:v>
                </c:pt>
                <c:pt idx="603">
                  <c:v>0.5</c:v>
                </c:pt>
                <c:pt idx="604">
                  <c:v>0.60000000000000142</c:v>
                </c:pt>
                <c:pt idx="605">
                  <c:v>0.44999999999999751</c:v>
                </c:pt>
                <c:pt idx="606">
                  <c:v>0.60000000000000142</c:v>
                </c:pt>
                <c:pt idx="607">
                  <c:v>0.66999999999999993</c:v>
                </c:pt>
                <c:pt idx="608">
                  <c:v>0.69000000000000128</c:v>
                </c:pt>
                <c:pt idx="609">
                  <c:v>0.53999999999999915</c:v>
                </c:pt>
                <c:pt idx="610">
                  <c:v>0.65000000000000213</c:v>
                </c:pt>
                <c:pt idx="611">
                  <c:v>0.52999999999999758</c:v>
                </c:pt>
                <c:pt idx="612">
                  <c:v>0.52999999999999758</c:v>
                </c:pt>
                <c:pt idx="613">
                  <c:v>0.61000000000000121</c:v>
                </c:pt>
                <c:pt idx="614">
                  <c:v>0.65000000000000213</c:v>
                </c:pt>
                <c:pt idx="615">
                  <c:v>0.63000000000000256</c:v>
                </c:pt>
                <c:pt idx="616">
                  <c:v>0.73999999999999666</c:v>
                </c:pt>
                <c:pt idx="617">
                  <c:v>0.69000000000000128</c:v>
                </c:pt>
                <c:pt idx="618">
                  <c:v>0.72000000000000242</c:v>
                </c:pt>
                <c:pt idx="619">
                  <c:v>0.65000000000000213</c:v>
                </c:pt>
                <c:pt idx="620">
                  <c:v>0.79999999999999893</c:v>
                </c:pt>
                <c:pt idx="621">
                  <c:v>0.66999999999999993</c:v>
                </c:pt>
                <c:pt idx="622">
                  <c:v>0.75</c:v>
                </c:pt>
                <c:pt idx="623">
                  <c:v>0.83999999999999986</c:v>
                </c:pt>
                <c:pt idx="624">
                  <c:v>0.91999999999999993</c:v>
                </c:pt>
                <c:pt idx="625">
                  <c:v>0.8500000000000032</c:v>
                </c:pt>
                <c:pt idx="626">
                  <c:v>0.75</c:v>
                </c:pt>
                <c:pt idx="627">
                  <c:v>0.67999999999999972</c:v>
                </c:pt>
                <c:pt idx="628">
                  <c:v>0.63000000000000256</c:v>
                </c:pt>
                <c:pt idx="629">
                  <c:v>0.66999999999999993</c:v>
                </c:pt>
                <c:pt idx="630">
                  <c:v>0.63000000000000256</c:v>
                </c:pt>
                <c:pt idx="631">
                  <c:v>0.71000000000000085</c:v>
                </c:pt>
                <c:pt idx="632">
                  <c:v>0.81000000000000227</c:v>
                </c:pt>
                <c:pt idx="633">
                  <c:v>0.44999999999999751</c:v>
                </c:pt>
                <c:pt idx="634">
                  <c:v>0.5199999999999978</c:v>
                </c:pt>
                <c:pt idx="635">
                  <c:v>0.47000000000000242</c:v>
                </c:pt>
                <c:pt idx="636">
                  <c:v>0.65000000000000213</c:v>
                </c:pt>
                <c:pt idx="637">
                  <c:v>0.64000000000000234</c:v>
                </c:pt>
                <c:pt idx="638">
                  <c:v>0.52999999999999758</c:v>
                </c:pt>
                <c:pt idx="639">
                  <c:v>0.62000000000000099</c:v>
                </c:pt>
                <c:pt idx="640">
                  <c:v>0.71000000000000085</c:v>
                </c:pt>
                <c:pt idx="641">
                  <c:v>0.73999999999999666</c:v>
                </c:pt>
                <c:pt idx="642">
                  <c:v>0.55999999999999872</c:v>
                </c:pt>
                <c:pt idx="643">
                  <c:v>0.65000000000000213</c:v>
                </c:pt>
                <c:pt idx="644">
                  <c:v>0.60000000000000142</c:v>
                </c:pt>
                <c:pt idx="645">
                  <c:v>0.60000000000000142</c:v>
                </c:pt>
                <c:pt idx="646">
                  <c:v>0.47000000000000242</c:v>
                </c:pt>
                <c:pt idx="647">
                  <c:v>0.47999999999999865</c:v>
                </c:pt>
                <c:pt idx="648">
                  <c:v>0.57000000000000028</c:v>
                </c:pt>
                <c:pt idx="649">
                  <c:v>0.7300000000000022</c:v>
                </c:pt>
                <c:pt idx="650">
                  <c:v>0.77999999999999758</c:v>
                </c:pt>
                <c:pt idx="651">
                  <c:v>0.65000000000000213</c:v>
                </c:pt>
                <c:pt idx="652">
                  <c:v>0.58999999999999986</c:v>
                </c:pt>
                <c:pt idx="653">
                  <c:v>0.66000000000000369</c:v>
                </c:pt>
                <c:pt idx="654">
                  <c:v>0.72000000000000242</c:v>
                </c:pt>
                <c:pt idx="655">
                  <c:v>0.79999999999999893</c:v>
                </c:pt>
                <c:pt idx="656">
                  <c:v>0.77999999999999758</c:v>
                </c:pt>
                <c:pt idx="657">
                  <c:v>0.52999999999999758</c:v>
                </c:pt>
                <c:pt idx="658">
                  <c:v>0.71000000000000085</c:v>
                </c:pt>
                <c:pt idx="659">
                  <c:v>0.62000000000000099</c:v>
                </c:pt>
                <c:pt idx="660">
                  <c:v>0.66999999999999993</c:v>
                </c:pt>
                <c:pt idx="661">
                  <c:v>0.52999999999999758</c:v>
                </c:pt>
                <c:pt idx="662">
                  <c:v>0.60000000000000142</c:v>
                </c:pt>
                <c:pt idx="663">
                  <c:v>0.70000000000000107</c:v>
                </c:pt>
                <c:pt idx="664">
                  <c:v>0.60000000000000142</c:v>
                </c:pt>
                <c:pt idx="665">
                  <c:v>0.70000000000000107</c:v>
                </c:pt>
                <c:pt idx="666">
                  <c:v>0.77000000000000135</c:v>
                </c:pt>
                <c:pt idx="667">
                  <c:v>0.69000000000000128</c:v>
                </c:pt>
                <c:pt idx="668">
                  <c:v>0.83000000000000362</c:v>
                </c:pt>
                <c:pt idx="669">
                  <c:v>0.70000000000000107</c:v>
                </c:pt>
                <c:pt idx="670">
                  <c:v>0.75999999999999801</c:v>
                </c:pt>
                <c:pt idx="671">
                  <c:v>0.54999999999999893</c:v>
                </c:pt>
                <c:pt idx="672">
                  <c:v>0.77999999999999758</c:v>
                </c:pt>
                <c:pt idx="673">
                  <c:v>0.81000000000000227</c:v>
                </c:pt>
                <c:pt idx="674">
                  <c:v>0.86999999999999744</c:v>
                </c:pt>
                <c:pt idx="675">
                  <c:v>0.66999999999999993</c:v>
                </c:pt>
                <c:pt idx="676">
                  <c:v>0.58000000000000007</c:v>
                </c:pt>
                <c:pt idx="677">
                  <c:v>0.83000000000000362</c:v>
                </c:pt>
                <c:pt idx="678">
                  <c:v>0.88000000000000256</c:v>
                </c:pt>
                <c:pt idx="679">
                  <c:v>0.79999999999999893</c:v>
                </c:pt>
                <c:pt idx="680">
                  <c:v>0.66999999999999993</c:v>
                </c:pt>
                <c:pt idx="681">
                  <c:v>0.79000000000000092</c:v>
                </c:pt>
                <c:pt idx="682">
                  <c:v>0.86000000000000121</c:v>
                </c:pt>
                <c:pt idx="683">
                  <c:v>0.91000000000000014</c:v>
                </c:pt>
                <c:pt idx="684">
                  <c:v>0.95999999999999908</c:v>
                </c:pt>
                <c:pt idx="685">
                  <c:v>0.75</c:v>
                </c:pt>
                <c:pt idx="686">
                  <c:v>0.79999999999999893</c:v>
                </c:pt>
                <c:pt idx="687">
                  <c:v>0.82000000000000028</c:v>
                </c:pt>
                <c:pt idx="688">
                  <c:v>0.7300000000000022</c:v>
                </c:pt>
                <c:pt idx="689">
                  <c:v>0.79999999999999893</c:v>
                </c:pt>
                <c:pt idx="690">
                  <c:v>0.83999999999999986</c:v>
                </c:pt>
                <c:pt idx="691">
                  <c:v>1.0800000000000036</c:v>
                </c:pt>
                <c:pt idx="692">
                  <c:v>1.0600000000000023</c:v>
                </c:pt>
                <c:pt idx="693">
                  <c:v>1.1699999999999964</c:v>
                </c:pt>
                <c:pt idx="694">
                  <c:v>1.1799999999999997</c:v>
                </c:pt>
                <c:pt idx="695">
                  <c:v>1.370000000000001</c:v>
                </c:pt>
                <c:pt idx="696">
                  <c:v>1.3499999999999979</c:v>
                </c:pt>
                <c:pt idx="697">
                  <c:v>1.0899999999999999</c:v>
                </c:pt>
                <c:pt idx="698">
                  <c:v>0.95999999999999908</c:v>
                </c:pt>
                <c:pt idx="699">
                  <c:v>0.81000000000000227</c:v>
                </c:pt>
                <c:pt idx="700">
                  <c:v>0.83999999999999986</c:v>
                </c:pt>
                <c:pt idx="701">
                  <c:v>1.0099999999999998</c:v>
                </c:pt>
                <c:pt idx="702">
                  <c:v>0.89999999999999858</c:v>
                </c:pt>
                <c:pt idx="703">
                  <c:v>0.86999999999999744</c:v>
                </c:pt>
                <c:pt idx="704">
                  <c:v>0.91000000000000014</c:v>
                </c:pt>
                <c:pt idx="705">
                  <c:v>0.86000000000000121</c:v>
                </c:pt>
                <c:pt idx="706">
                  <c:v>1.0200000000000014</c:v>
                </c:pt>
                <c:pt idx="707">
                  <c:v>1.1299999999999955</c:v>
                </c:pt>
                <c:pt idx="708">
                  <c:v>1.1600000000000001</c:v>
                </c:pt>
                <c:pt idx="709">
                  <c:v>0.93999999999999773</c:v>
                </c:pt>
                <c:pt idx="710">
                  <c:v>0.91000000000000014</c:v>
                </c:pt>
                <c:pt idx="711">
                  <c:v>0.71000000000000085</c:v>
                </c:pt>
                <c:pt idx="712">
                  <c:v>0.82000000000000028</c:v>
                </c:pt>
                <c:pt idx="713">
                  <c:v>0.86999999999999744</c:v>
                </c:pt>
                <c:pt idx="714">
                  <c:v>0.73999999999999666</c:v>
                </c:pt>
                <c:pt idx="715">
                  <c:v>0.88000000000000256</c:v>
                </c:pt>
                <c:pt idx="716">
                  <c:v>0.86999999999999744</c:v>
                </c:pt>
                <c:pt idx="717">
                  <c:v>0.92999999999999794</c:v>
                </c:pt>
                <c:pt idx="718">
                  <c:v>0.82000000000000028</c:v>
                </c:pt>
                <c:pt idx="719">
                  <c:v>0.8500000000000032</c:v>
                </c:pt>
                <c:pt idx="720">
                  <c:v>0.88000000000000256</c:v>
                </c:pt>
                <c:pt idx="721">
                  <c:v>0.88000000000000256</c:v>
                </c:pt>
                <c:pt idx="722">
                  <c:v>0.81000000000000227</c:v>
                </c:pt>
                <c:pt idx="723">
                  <c:v>0.77000000000000135</c:v>
                </c:pt>
                <c:pt idx="724">
                  <c:v>0.83999999999999986</c:v>
                </c:pt>
                <c:pt idx="725">
                  <c:v>0.77999999999999758</c:v>
                </c:pt>
                <c:pt idx="726">
                  <c:v>0.79999999999999893</c:v>
                </c:pt>
                <c:pt idx="727">
                  <c:v>1.0200000000000014</c:v>
                </c:pt>
                <c:pt idx="728">
                  <c:v>0.83000000000000362</c:v>
                </c:pt>
                <c:pt idx="729">
                  <c:v>0.92999999999999794</c:v>
                </c:pt>
                <c:pt idx="730">
                  <c:v>0.92999999999999794</c:v>
                </c:pt>
                <c:pt idx="731">
                  <c:v>0.95999999999999908</c:v>
                </c:pt>
                <c:pt idx="732">
                  <c:v>1.1699999999999964</c:v>
                </c:pt>
                <c:pt idx="733">
                  <c:v>1.0099999999999998</c:v>
                </c:pt>
                <c:pt idx="734">
                  <c:v>0.86000000000000121</c:v>
                </c:pt>
                <c:pt idx="735">
                  <c:v>0.89999999999999858</c:v>
                </c:pt>
                <c:pt idx="736">
                  <c:v>0.93999999999999773</c:v>
                </c:pt>
                <c:pt idx="737">
                  <c:v>0.94999999999999751</c:v>
                </c:pt>
                <c:pt idx="738">
                  <c:v>0.92999999999999794</c:v>
                </c:pt>
                <c:pt idx="739">
                  <c:v>1</c:v>
                </c:pt>
                <c:pt idx="740">
                  <c:v>0.99000000000000021</c:v>
                </c:pt>
                <c:pt idx="741">
                  <c:v>1.120000000000001</c:v>
                </c:pt>
                <c:pt idx="742">
                  <c:v>1.1799999999999997</c:v>
                </c:pt>
                <c:pt idx="743">
                  <c:v>1.240000000000002</c:v>
                </c:pt>
                <c:pt idx="744">
                  <c:v>1.1799999999999997</c:v>
                </c:pt>
                <c:pt idx="745">
                  <c:v>1.120000000000001</c:v>
                </c:pt>
                <c:pt idx="746">
                  <c:v>0.99000000000000021</c:v>
                </c:pt>
                <c:pt idx="747">
                  <c:v>0.91000000000000014</c:v>
                </c:pt>
                <c:pt idx="748">
                  <c:v>0.8900000000000059</c:v>
                </c:pt>
                <c:pt idx="749">
                  <c:v>0.86000000000000121</c:v>
                </c:pt>
                <c:pt idx="750">
                  <c:v>0.95999999999999908</c:v>
                </c:pt>
                <c:pt idx="751">
                  <c:v>0.86999999999999744</c:v>
                </c:pt>
                <c:pt idx="752">
                  <c:v>1.0899999999999999</c:v>
                </c:pt>
                <c:pt idx="753">
                  <c:v>0.79999999999999893</c:v>
                </c:pt>
                <c:pt idx="754">
                  <c:v>0.82000000000000028</c:v>
                </c:pt>
                <c:pt idx="755">
                  <c:v>0.64000000000000234</c:v>
                </c:pt>
                <c:pt idx="756">
                  <c:v>0.8900000000000059</c:v>
                </c:pt>
                <c:pt idx="757">
                  <c:v>0.75999999999999801</c:v>
                </c:pt>
                <c:pt idx="758">
                  <c:v>0.79000000000000092</c:v>
                </c:pt>
                <c:pt idx="759">
                  <c:v>0.8500000000000032</c:v>
                </c:pt>
                <c:pt idx="760">
                  <c:v>0.91999999999999993</c:v>
                </c:pt>
                <c:pt idx="761">
                  <c:v>0.81000000000000227</c:v>
                </c:pt>
                <c:pt idx="762">
                  <c:v>0.91999999999999993</c:v>
                </c:pt>
                <c:pt idx="763">
                  <c:v>0.97999999999999865</c:v>
                </c:pt>
                <c:pt idx="764">
                  <c:v>0.92999999999999794</c:v>
                </c:pt>
                <c:pt idx="765">
                  <c:v>0.88000000000000256</c:v>
                </c:pt>
                <c:pt idx="766">
                  <c:v>0.91000000000000014</c:v>
                </c:pt>
                <c:pt idx="767">
                  <c:v>0.8900000000000059</c:v>
                </c:pt>
                <c:pt idx="768">
                  <c:v>1.0500000000000025</c:v>
                </c:pt>
                <c:pt idx="769">
                  <c:v>0.83000000000000362</c:v>
                </c:pt>
                <c:pt idx="770">
                  <c:v>0.83999999999999986</c:v>
                </c:pt>
                <c:pt idx="771">
                  <c:v>0.92999999999999794</c:v>
                </c:pt>
                <c:pt idx="772">
                  <c:v>0.93999999999999773</c:v>
                </c:pt>
                <c:pt idx="773">
                  <c:v>0.93999999999999773</c:v>
                </c:pt>
                <c:pt idx="774">
                  <c:v>0.88000000000000256</c:v>
                </c:pt>
                <c:pt idx="775">
                  <c:v>0.96999999999999886</c:v>
                </c:pt>
                <c:pt idx="776">
                  <c:v>0.7300000000000022</c:v>
                </c:pt>
                <c:pt idx="777">
                  <c:v>0.79999999999999893</c:v>
                </c:pt>
                <c:pt idx="778">
                  <c:v>0.88000000000000256</c:v>
                </c:pt>
                <c:pt idx="779">
                  <c:v>0.96999999999999886</c:v>
                </c:pt>
                <c:pt idx="780">
                  <c:v>1.2299999999999986</c:v>
                </c:pt>
                <c:pt idx="781">
                  <c:v>0.99000000000000021</c:v>
                </c:pt>
                <c:pt idx="782">
                  <c:v>0.93999999999999773</c:v>
                </c:pt>
                <c:pt idx="783">
                  <c:v>1.0899999999999999</c:v>
                </c:pt>
                <c:pt idx="784">
                  <c:v>1.1899999999999977</c:v>
                </c:pt>
                <c:pt idx="785">
                  <c:v>1.1899999999999977</c:v>
                </c:pt>
                <c:pt idx="786">
                  <c:v>1.4800000000000022</c:v>
                </c:pt>
                <c:pt idx="787">
                  <c:v>1.3499999999999979</c:v>
                </c:pt>
                <c:pt idx="788">
                  <c:v>1.3999999999999986</c:v>
                </c:pt>
                <c:pt idx="789">
                  <c:v>1.3599999999999977</c:v>
                </c:pt>
                <c:pt idx="790">
                  <c:v>1.25</c:v>
                </c:pt>
                <c:pt idx="791">
                  <c:v>1.4400000000000013</c:v>
                </c:pt>
                <c:pt idx="792">
                  <c:v>1.3999999999999986</c:v>
                </c:pt>
                <c:pt idx="793">
                  <c:v>1.3200000000000003</c:v>
                </c:pt>
                <c:pt idx="794">
                  <c:v>1.1600000000000001</c:v>
                </c:pt>
                <c:pt idx="795">
                  <c:v>1.2299999999999986</c:v>
                </c:pt>
                <c:pt idx="796">
                  <c:v>1.2000000000000011</c:v>
                </c:pt>
                <c:pt idx="797">
                  <c:v>1.3000000000000043</c:v>
                </c:pt>
                <c:pt idx="798">
                  <c:v>1.2099999999999991</c:v>
                </c:pt>
                <c:pt idx="799">
                  <c:v>1.3499999999999979</c:v>
                </c:pt>
                <c:pt idx="800">
                  <c:v>1.3000000000000043</c:v>
                </c:pt>
                <c:pt idx="801">
                  <c:v>1.2700000000000014</c:v>
                </c:pt>
                <c:pt idx="802">
                  <c:v>1.379999999999999</c:v>
                </c:pt>
                <c:pt idx="803">
                  <c:v>1.2600000000000033</c:v>
                </c:pt>
                <c:pt idx="804">
                  <c:v>1.370000000000001</c:v>
                </c:pt>
                <c:pt idx="805">
                  <c:v>1.25</c:v>
                </c:pt>
                <c:pt idx="806">
                  <c:v>1.0800000000000036</c:v>
                </c:pt>
                <c:pt idx="807">
                  <c:v>1.0700000000000021</c:v>
                </c:pt>
                <c:pt idx="808">
                  <c:v>1.0200000000000014</c:v>
                </c:pt>
                <c:pt idx="809">
                  <c:v>1.1799999999999997</c:v>
                </c:pt>
                <c:pt idx="810">
                  <c:v>1.25</c:v>
                </c:pt>
                <c:pt idx="811">
                  <c:v>1.1899999999999977</c:v>
                </c:pt>
                <c:pt idx="812">
                  <c:v>1.2099999999999991</c:v>
                </c:pt>
                <c:pt idx="813">
                  <c:v>1.0600000000000023</c:v>
                </c:pt>
                <c:pt idx="814">
                  <c:v>1.0899999999999999</c:v>
                </c:pt>
                <c:pt idx="815">
                  <c:v>1.25</c:v>
                </c:pt>
                <c:pt idx="816">
                  <c:v>1.3200000000000003</c:v>
                </c:pt>
                <c:pt idx="817">
                  <c:v>1.1699999999999964</c:v>
                </c:pt>
                <c:pt idx="818">
                  <c:v>1.1299999999999955</c:v>
                </c:pt>
                <c:pt idx="819">
                  <c:v>1.1799999999999997</c:v>
                </c:pt>
                <c:pt idx="820">
                  <c:v>1.25</c:v>
                </c:pt>
                <c:pt idx="821">
                  <c:v>1.3999999999999986</c:v>
                </c:pt>
              </c:numCache>
            </c:numRef>
          </c:yVal>
          <c:smooth val="1"/>
          <c:extLst>
            <c:ext xmlns:c16="http://schemas.microsoft.com/office/drawing/2014/chart" uri="{C3380CC4-5D6E-409C-BE32-E72D297353CC}">
              <c16:uniqueId val="{00000001-3199-4D7B-88D7-37684D4CF125}"/>
            </c:ext>
          </c:extLst>
        </c:ser>
        <c:dLbls>
          <c:showLegendKey val="0"/>
          <c:showVal val="0"/>
          <c:showCatName val="0"/>
          <c:showSerName val="0"/>
          <c:showPercent val="0"/>
          <c:showBubbleSize val="0"/>
        </c:dLbls>
        <c:axId val="94757114"/>
        <c:axId val="71521614"/>
      </c:scatterChart>
      <c:valAx>
        <c:axId val="94757114"/>
        <c:scaling>
          <c:orientation val="minMax"/>
          <c:max val="440"/>
          <c:min val="300"/>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CO2 (ppm, Mauna Loa)</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71521614"/>
        <c:crosses val="autoZero"/>
        <c:crossBetween val="midCat"/>
      </c:valAx>
      <c:valAx>
        <c:axId val="71521614"/>
        <c:scaling>
          <c:orientation val="minMax"/>
          <c:max val="1.6"/>
          <c:min val="-0.5"/>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Temperature anomaly (°C vs 1951-1980)</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94757114"/>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Observed temperature anomaly vs log2(CO2), 1958-2026
Linear regression slope: 2.73 °C per CO2 doubling (descriptive fit, not a sensitivity estimate)</a:t>
            </a:r>
          </a:p>
        </c:rich>
      </c:tx>
      <c:overlay val="0"/>
      <c:spPr>
        <a:noFill/>
        <a:ln w="0">
          <a:noFill/>
        </a:ln>
      </c:spPr>
    </c:title>
    <c:autoTitleDeleted val="0"/>
    <c:plotArea>
      <c:layout/>
      <c:scatterChart>
        <c:scatterStyle val="lineMarker"/>
        <c:varyColors val="0"/>
        <c:ser>
          <c:idx val="0"/>
          <c:order val="0"/>
          <c:tx>
            <c:v>Monthly</c:v>
          </c:tx>
          <c:spPr>
            <a:ln w="38160">
              <a:noFill/>
            </a:ln>
          </c:spPr>
          <c:marker>
            <c:symbol val="circle"/>
            <c:size val="3"/>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1"/>
            <c:trendlineLbl>
              <c:numFmt formatCode="General" sourceLinked="0"/>
            </c:trendlineLbl>
          </c:trendline>
          <c:xVal>
            <c:numRef>
              <c:f>Analysis!$F$2:$F$823</c:f>
              <c:numCache>
                <c:formatCode>0.000</c:formatCode>
                <c:ptCount val="822"/>
                <c:pt idx="0">
                  <c:v>0.17317313104772078</c:v>
                </c:pt>
                <c:pt idx="1">
                  <c:v>0.1811025507537978</c:v>
                </c:pt>
                <c:pt idx="2">
                  <c:v>0.18137520321288492</c:v>
                </c:pt>
                <c:pt idx="3">
                  <c:v>0.1802842840714132</c:v>
                </c:pt>
                <c:pt idx="4">
                  <c:v>0.17390409533246803</c:v>
                </c:pt>
                <c:pt idx="5">
                  <c:v>0.16960436691695893</c:v>
                </c:pt>
                <c:pt idx="6">
                  <c:v>0.1617034477834195</c:v>
                </c:pt>
                <c:pt idx="7">
                  <c:v>0.1580599853917147</c:v>
                </c:pt>
                <c:pt idx="8">
                  <c:v>0.16225608099765507</c:v>
                </c:pt>
                <c:pt idx="9">
                  <c:v>0.16841281440122227</c:v>
                </c:pt>
                <c:pt idx="10">
                  <c:v>0.17257894974287927</c:v>
                </c:pt>
                <c:pt idx="11">
                  <c:v>0.17673308898155007</c:v>
                </c:pt>
                <c:pt idx="12">
                  <c:v>0.17746225223598333</c:v>
                </c:pt>
                <c:pt idx="13">
                  <c:v>0.18232908124013067</c:v>
                </c:pt>
                <c:pt idx="14">
                  <c:v>0.18491500408245293</c:v>
                </c:pt>
                <c:pt idx="15">
                  <c:v>0.1842802944193824</c:v>
                </c:pt>
                <c:pt idx="16">
                  <c:v>0.17696099208944205</c:v>
                </c:pt>
                <c:pt idx="17">
                  <c:v>0.16900871367515766</c:v>
                </c:pt>
                <c:pt idx="18">
                  <c:v>0.16460241335740428</c:v>
                </c:pt>
                <c:pt idx="19">
                  <c:v>0.16225608099765507</c:v>
                </c:pt>
                <c:pt idx="20">
                  <c:v>0.16905454188757499</c:v>
                </c:pt>
                <c:pt idx="21">
                  <c:v>0.17257894974287927</c:v>
                </c:pt>
                <c:pt idx="22">
                  <c:v>0.17645955772100325</c:v>
                </c:pt>
                <c:pt idx="23">
                  <c:v>0.17896498855382964</c:v>
                </c:pt>
                <c:pt idx="24">
                  <c:v>0.1816932326363403</c:v>
                </c:pt>
                <c:pt idx="25">
                  <c:v>0.18826526709013644</c:v>
                </c:pt>
                <c:pt idx="26">
                  <c:v>0.19278032426290692</c:v>
                </c:pt>
                <c:pt idx="27">
                  <c:v>0.19075029697903845</c:v>
                </c:pt>
                <c:pt idx="28">
                  <c:v>0.1844163271422109</c:v>
                </c:pt>
                <c:pt idx="29">
                  <c:v>0.17404110991454413</c:v>
                </c:pt>
                <c:pt idx="30">
                  <c:v>0.16611859751788685</c:v>
                </c:pt>
                <c:pt idx="31">
                  <c:v>0.16455644349932552</c:v>
                </c:pt>
                <c:pt idx="32">
                  <c:v>0.16992500144231237</c:v>
                </c:pt>
                <c:pt idx="33">
                  <c:v>0.17536491377542907</c:v>
                </c:pt>
                <c:pt idx="34">
                  <c:v>0.17855530658575247</c:v>
                </c:pt>
                <c:pt idx="35">
                  <c:v>0.18223826288116377</c:v>
                </c:pt>
                <c:pt idx="36">
                  <c:v>0.18604772012519621</c:v>
                </c:pt>
                <c:pt idx="37">
                  <c:v>0.19029879162659466</c:v>
                </c:pt>
                <c:pt idx="38">
                  <c:v>0.1952575958242399</c:v>
                </c:pt>
                <c:pt idx="39">
                  <c:v>0.19160776805384336</c:v>
                </c:pt>
                <c:pt idx="40">
                  <c:v>0.18613829900081141</c:v>
                </c:pt>
                <c:pt idx="41">
                  <c:v>0.17809996791233229</c:v>
                </c:pt>
                <c:pt idx="42">
                  <c:v>0.16987920087274735</c:v>
                </c:pt>
                <c:pt idx="43">
                  <c:v>0.17134409839059492</c:v>
                </c:pt>
                <c:pt idx="44">
                  <c:v>0.17495420807216977</c:v>
                </c:pt>
                <c:pt idx="45">
                  <c:v>0.17910152336118931</c:v>
                </c:pt>
                <c:pt idx="46">
                  <c:v>0.18332770604480075</c:v>
                </c:pt>
                <c:pt idx="47">
                  <c:v>0.18609301027387254</c:v>
                </c:pt>
                <c:pt idx="48">
                  <c:v>0.19120166107272715</c:v>
                </c:pt>
                <c:pt idx="49">
                  <c:v>0.19521259246961153</c:v>
                </c:pt>
                <c:pt idx="50">
                  <c:v>0.19723635491870628</c:v>
                </c:pt>
                <c:pt idx="51">
                  <c:v>0.19543759520574477</c:v>
                </c:pt>
                <c:pt idx="52">
                  <c:v>0.19088572103529255</c:v>
                </c:pt>
                <c:pt idx="53">
                  <c:v>0.18087530100285296</c:v>
                </c:pt>
                <c:pt idx="54">
                  <c:v>0.17559303309992255</c:v>
                </c:pt>
                <c:pt idx="55">
                  <c:v>0.17184731357334099</c:v>
                </c:pt>
                <c:pt idx="56">
                  <c:v>0.17764448548104073</c:v>
                </c:pt>
                <c:pt idx="57">
                  <c:v>0.18223826288116377</c:v>
                </c:pt>
                <c:pt idx="58">
                  <c:v>0.18695325307037156</c:v>
                </c:pt>
                <c:pt idx="59">
                  <c:v>0.18844614093972484</c:v>
                </c:pt>
                <c:pt idx="60">
                  <c:v>0.19201376075129936</c:v>
                </c:pt>
                <c:pt idx="61">
                  <c:v>0.198853323377887</c:v>
                </c:pt>
                <c:pt idx="62">
                  <c:v>0.20270876128709345</c:v>
                </c:pt>
                <c:pt idx="63">
                  <c:v>0.19934703581133892</c:v>
                </c:pt>
                <c:pt idx="64">
                  <c:v>0.19147241176149948</c:v>
                </c:pt>
                <c:pt idx="65">
                  <c:v>0.18255610212855772</c:v>
                </c:pt>
                <c:pt idx="66">
                  <c:v>0.17545616583370666</c:v>
                </c:pt>
                <c:pt idx="67">
                  <c:v>0.17445207560337639</c:v>
                </c:pt>
                <c:pt idx="68">
                  <c:v>0.179374554217585</c:v>
                </c:pt>
                <c:pt idx="69">
                  <c:v>0.18518693705150802</c:v>
                </c:pt>
                <c:pt idx="70">
                  <c:v>0.1907051528018969</c:v>
                </c:pt>
                <c:pt idx="71">
                  <c:v>0.19282540355239119</c:v>
                </c:pt>
                <c:pt idx="72">
                  <c:v>0.19602243814471609</c:v>
                </c:pt>
                <c:pt idx="73">
                  <c:v>0.20091681590593874</c:v>
                </c:pt>
                <c:pt idx="74">
                  <c:v>0.20275353141668456</c:v>
                </c:pt>
                <c:pt idx="75">
                  <c:v>0.20114093083670029</c:v>
                </c:pt>
                <c:pt idx="76">
                  <c:v>0.19462742107482237</c:v>
                </c:pt>
                <c:pt idx="77">
                  <c:v>0.18672692311353747</c:v>
                </c:pt>
                <c:pt idx="78">
                  <c:v>0.17773559347228587</c:v>
                </c:pt>
                <c:pt idx="79">
                  <c:v>0.17846425034734256</c:v>
                </c:pt>
                <c:pt idx="80">
                  <c:v>0.18214743880477707</c:v>
                </c:pt>
                <c:pt idx="81">
                  <c:v>0.18681745935711205</c:v>
                </c:pt>
                <c:pt idx="82">
                  <c:v>0.19011814991335674</c:v>
                </c:pt>
                <c:pt idx="83">
                  <c:v>0.19462742107482237</c:v>
                </c:pt>
                <c:pt idx="84">
                  <c:v>0.19665200397268703</c:v>
                </c:pt>
                <c:pt idx="85">
                  <c:v>0.20226098356200239</c:v>
                </c:pt>
                <c:pt idx="86">
                  <c:v>0.20239533147297081</c:v>
                </c:pt>
                <c:pt idx="87">
                  <c:v>0.20105128904215877</c:v>
                </c:pt>
                <c:pt idx="88">
                  <c:v>0.19808998077164383</c:v>
                </c:pt>
                <c:pt idx="89">
                  <c:v>0.18754154484093474</c:v>
                </c:pt>
                <c:pt idx="90">
                  <c:v>0.18278308729885059</c:v>
                </c:pt>
                <c:pt idx="91">
                  <c:v>0.18042069408530895</c:v>
                </c:pt>
                <c:pt idx="92">
                  <c:v>0.18754154484093474</c:v>
                </c:pt>
                <c:pt idx="93">
                  <c:v>0.19002782057413631</c:v>
                </c:pt>
                <c:pt idx="94">
                  <c:v>0.19543759520574477</c:v>
                </c:pt>
                <c:pt idx="95">
                  <c:v>0.19984057934659985</c:v>
                </c:pt>
                <c:pt idx="96">
                  <c:v>0.20338016739614553</c:v>
                </c:pt>
                <c:pt idx="97">
                  <c:v>0.20923053837684438</c:v>
                </c:pt>
                <c:pt idx="98">
                  <c:v>0.21092316296674554</c:v>
                </c:pt>
                <c:pt idx="99">
                  <c:v>0.20945336562894978</c:v>
                </c:pt>
                <c:pt idx="100">
                  <c:v>0.20329066463286302</c:v>
                </c:pt>
                <c:pt idx="101">
                  <c:v>0.19426719759207978</c:v>
                </c:pt>
                <c:pt idx="102">
                  <c:v>0.18650055764449477</c:v>
                </c:pt>
                <c:pt idx="103">
                  <c:v>0.18405354470718463</c:v>
                </c:pt>
                <c:pt idx="104">
                  <c:v>0.19165288399602148</c:v>
                </c:pt>
                <c:pt idx="105">
                  <c:v>0.19723635491870628</c:v>
                </c:pt>
                <c:pt idx="106">
                  <c:v>0.20311164244670007</c:v>
                </c:pt>
                <c:pt idx="107">
                  <c:v>0.20387233336564989</c:v>
                </c:pt>
                <c:pt idx="108">
                  <c:v>0.20624132797002478</c:v>
                </c:pt>
                <c:pt idx="109">
                  <c:v>0.21239146441962328</c:v>
                </c:pt>
                <c:pt idx="110">
                  <c:v>0.21501289097085052</c:v>
                </c:pt>
                <c:pt idx="111">
                  <c:v>0.21096767891290158</c:v>
                </c:pt>
                <c:pt idx="112">
                  <c:v>0.20405126118938038</c:v>
                </c:pt>
                <c:pt idx="113">
                  <c:v>0.1967868752001786</c:v>
                </c:pt>
                <c:pt idx="114">
                  <c:v>0.18925979275775742</c:v>
                </c:pt>
                <c:pt idx="115">
                  <c:v>0.18989231596006176</c:v>
                </c:pt>
                <c:pt idx="116">
                  <c:v>0.19593247773807179</c:v>
                </c:pt>
                <c:pt idx="117">
                  <c:v>0.20145463326198595</c:v>
                </c:pt>
                <c:pt idx="118">
                  <c:v>0.20418544249569365</c:v>
                </c:pt>
                <c:pt idx="119">
                  <c:v>0.20677716444561006</c:v>
                </c:pt>
                <c:pt idx="120">
                  <c:v>0.21007709890320869</c:v>
                </c:pt>
                <c:pt idx="121">
                  <c:v>0.21510166947251774</c:v>
                </c:pt>
                <c:pt idx="122">
                  <c:v>0.21754093986252426</c:v>
                </c:pt>
                <c:pt idx="123">
                  <c:v>0.21661006874244201</c:v>
                </c:pt>
                <c:pt idx="124">
                  <c:v>0.21119023804218459</c:v>
                </c:pt>
                <c:pt idx="125">
                  <c:v>0.20212662313900553</c:v>
                </c:pt>
                <c:pt idx="126">
                  <c:v>0.19413209059412975</c:v>
                </c:pt>
                <c:pt idx="127">
                  <c:v>0.19377174339668018</c:v>
                </c:pt>
                <c:pt idx="128">
                  <c:v>0.19858395445706917</c:v>
                </c:pt>
                <c:pt idx="129">
                  <c:v>0.20561593377604628</c:v>
                </c:pt>
                <c:pt idx="130">
                  <c:v>0.21056698593965839</c:v>
                </c:pt>
                <c:pt idx="131">
                  <c:v>0.21239146441962328</c:v>
                </c:pt>
                <c:pt idx="132">
                  <c:v>0.21780679275778927</c:v>
                </c:pt>
                <c:pt idx="133">
                  <c:v>0.22236297828007129</c:v>
                </c:pt>
                <c:pt idx="134">
                  <c:v>0.22553936152588727</c:v>
                </c:pt>
                <c:pt idx="135">
                  <c:v>0.22258378655772451</c:v>
                </c:pt>
                <c:pt idx="136">
                  <c:v>0.21891398613294744</c:v>
                </c:pt>
                <c:pt idx="137">
                  <c:v>0.20905225179222678</c:v>
                </c:pt>
                <c:pt idx="138">
                  <c:v>0.20333541670858227</c:v>
                </c:pt>
                <c:pt idx="139">
                  <c:v>0.20064783202506462</c:v>
                </c:pt>
                <c:pt idx="140">
                  <c:v>0.2054371999150208</c:v>
                </c:pt>
                <c:pt idx="141">
                  <c:v>0.21105670668466028</c:v>
                </c:pt>
                <c:pt idx="142">
                  <c:v>0.21527921008816014</c:v>
                </c:pt>
                <c:pt idx="143">
                  <c:v>0.21940088215824097</c:v>
                </c:pt>
                <c:pt idx="144">
                  <c:v>0.22355494169199039</c:v>
                </c:pt>
                <c:pt idx="145">
                  <c:v>0.22884067425281851</c:v>
                </c:pt>
                <c:pt idx="146">
                  <c:v>0.22862082160752503</c:v>
                </c:pt>
                <c:pt idx="147">
                  <c:v>0.22681676504986711</c:v>
                </c:pt>
                <c:pt idx="148">
                  <c:v>0.2209490044667792</c:v>
                </c:pt>
                <c:pt idx="149">
                  <c:v>0.21359169145595572</c:v>
                </c:pt>
                <c:pt idx="150">
                  <c:v>0.20655392343303489</c:v>
                </c:pt>
                <c:pt idx="151">
                  <c:v>0.20637530574791263</c:v>
                </c:pt>
                <c:pt idx="152">
                  <c:v>0.21061151287723645</c:v>
                </c:pt>
                <c:pt idx="153">
                  <c:v>0.21558985360237096</c:v>
                </c:pt>
                <c:pt idx="154">
                  <c:v>0.22019726683057364</c:v>
                </c:pt>
                <c:pt idx="155">
                  <c:v>0.22249546730205641</c:v>
                </c:pt>
                <c:pt idx="156">
                  <c:v>0.22465773412073844</c:v>
                </c:pt>
                <c:pt idx="157">
                  <c:v>0.22730100169945941</c:v>
                </c:pt>
                <c:pt idx="158">
                  <c:v>0.23235376773902855</c:v>
                </c:pt>
                <c:pt idx="159">
                  <c:v>0.23077393422839654</c:v>
                </c:pt>
                <c:pt idx="160">
                  <c:v>0.22545122302563764</c:v>
                </c:pt>
                <c:pt idx="161">
                  <c:v>0.21692042585687715</c:v>
                </c:pt>
                <c:pt idx="162">
                  <c:v>0.2077143996600441</c:v>
                </c:pt>
                <c:pt idx="163">
                  <c:v>0.20860643891488381</c:v>
                </c:pt>
                <c:pt idx="164">
                  <c:v>0.21412480535284761</c:v>
                </c:pt>
                <c:pt idx="165">
                  <c:v>0.21948939105648271</c:v>
                </c:pt>
                <c:pt idx="166">
                  <c:v>0.22284871188886418</c:v>
                </c:pt>
                <c:pt idx="167">
                  <c:v>0.22664063869031495</c:v>
                </c:pt>
                <c:pt idx="168">
                  <c:v>0.22716895327678804</c:v>
                </c:pt>
                <c:pt idx="169">
                  <c:v>0.23581457280650558</c:v>
                </c:pt>
                <c:pt idx="170">
                  <c:v>0.23734519106890656</c:v>
                </c:pt>
                <c:pt idx="171">
                  <c:v>0.23305536103738234</c:v>
                </c:pt>
                <c:pt idx="172">
                  <c:v>0.2284449153656577</c:v>
                </c:pt>
                <c:pt idx="173">
                  <c:v>0.22086058507283202</c:v>
                </c:pt>
                <c:pt idx="174">
                  <c:v>0.21430246621642873</c:v>
                </c:pt>
                <c:pt idx="175">
                  <c:v>0.21590043024269898</c:v>
                </c:pt>
                <c:pt idx="176">
                  <c:v>0.22165616460146442</c:v>
                </c:pt>
                <c:pt idx="177">
                  <c:v>0.22628832145277814</c:v>
                </c:pt>
                <c:pt idx="178">
                  <c:v>0.23068611495390581</c:v>
                </c:pt>
                <c:pt idx="179">
                  <c:v>0.23515809611228167</c:v>
                </c:pt>
                <c:pt idx="180">
                  <c:v>0.23835014245319641</c:v>
                </c:pt>
                <c:pt idx="181">
                  <c:v>0.24358204316762133</c:v>
                </c:pt>
                <c:pt idx="182">
                  <c:v>0.24784073218452071</c:v>
                </c:pt>
                <c:pt idx="183">
                  <c:v>0.24606056502835677</c:v>
                </c:pt>
                <c:pt idx="184">
                  <c:v>0.24083766117617278</c:v>
                </c:pt>
                <c:pt idx="185">
                  <c:v>0.23401949506170835</c:v>
                </c:pt>
                <c:pt idx="186">
                  <c:v>0.22615618030371948</c:v>
                </c:pt>
                <c:pt idx="187">
                  <c:v>0.22470182828890004</c:v>
                </c:pt>
                <c:pt idx="188">
                  <c:v>0.22901653224979263</c:v>
                </c:pt>
                <c:pt idx="189">
                  <c:v>0.23112515787904964</c:v>
                </c:pt>
                <c:pt idx="190">
                  <c:v>0.23423852660157829</c:v>
                </c:pt>
                <c:pt idx="191">
                  <c:v>0.24013984319182427</c:v>
                </c:pt>
                <c:pt idx="192">
                  <c:v>0.24353852229879974</c:v>
                </c:pt>
                <c:pt idx="193">
                  <c:v>0.24857820654980772</c:v>
                </c:pt>
                <c:pt idx="194">
                  <c:v>0.25091827471297862</c:v>
                </c:pt>
                <c:pt idx="195">
                  <c:v>0.24662524613004733</c:v>
                </c:pt>
                <c:pt idx="196">
                  <c:v>0.24170945927557155</c:v>
                </c:pt>
                <c:pt idx="197">
                  <c:v>0.23331837058615809</c:v>
                </c:pt>
                <c:pt idx="198">
                  <c:v>0.22531900517823794</c:v>
                </c:pt>
                <c:pt idx="199">
                  <c:v>0.22509861516835514</c:v>
                </c:pt>
                <c:pt idx="200">
                  <c:v>0.22963186648323872</c:v>
                </c:pt>
                <c:pt idx="201">
                  <c:v>0.23520187051995831</c:v>
                </c:pt>
                <c:pt idx="202">
                  <c:v>0.24022708890066147</c:v>
                </c:pt>
                <c:pt idx="203">
                  <c:v>0.24340795181458158</c:v>
                </c:pt>
                <c:pt idx="204">
                  <c:v>0.24549566281992086</c:v>
                </c:pt>
                <c:pt idx="205">
                  <c:v>0.25057183736095789</c:v>
                </c:pt>
                <c:pt idx="206">
                  <c:v>0.25420528705036982</c:v>
                </c:pt>
                <c:pt idx="207">
                  <c:v>0.25191381895195386</c:v>
                </c:pt>
                <c:pt idx="208">
                  <c:v>0.24562604450194436</c:v>
                </c:pt>
                <c:pt idx="209">
                  <c:v>0.23682059058160543</c:v>
                </c:pt>
                <c:pt idx="210">
                  <c:v>0.23042262505163516</c:v>
                </c:pt>
                <c:pt idx="211">
                  <c:v>0.22985156512086161</c:v>
                </c:pt>
                <c:pt idx="212">
                  <c:v>0.2343261299073639</c:v>
                </c:pt>
                <c:pt idx="213">
                  <c:v>0.24040156449160882</c:v>
                </c:pt>
                <c:pt idx="214">
                  <c:v>0.2438431408139568</c:v>
                </c:pt>
                <c:pt idx="215">
                  <c:v>0.24896848158992504</c:v>
                </c:pt>
                <c:pt idx="216">
                  <c:v>0.25165417798285766</c:v>
                </c:pt>
                <c:pt idx="217">
                  <c:v>0.25761413004954092</c:v>
                </c:pt>
                <c:pt idx="218">
                  <c:v>0.25752792952725034</c:v>
                </c:pt>
                <c:pt idx="219">
                  <c:v>0.25429168632221816</c:v>
                </c:pt>
                <c:pt idx="220">
                  <c:v>0.2504419019033377</c:v>
                </c:pt>
                <c:pt idx="221">
                  <c:v>0.24000896473507025</c:v>
                </c:pt>
                <c:pt idx="222">
                  <c:v>0.23248534247418692</c:v>
                </c:pt>
                <c:pt idx="223">
                  <c:v>0.23143240844796537</c:v>
                </c:pt>
                <c:pt idx="224">
                  <c:v>0.23773851628734363</c:v>
                </c:pt>
                <c:pt idx="225">
                  <c:v>0.24410419121562613</c:v>
                </c:pt>
                <c:pt idx="226">
                  <c:v>0.248708309960915</c:v>
                </c:pt>
                <c:pt idx="227">
                  <c:v>0.25083167317379135</c:v>
                </c:pt>
                <c:pt idx="228">
                  <c:v>0.25856199602061081</c:v>
                </c:pt>
                <c:pt idx="229">
                  <c:v>0.26363540356832926</c:v>
                </c:pt>
                <c:pt idx="230">
                  <c:v>0.26702206351656388</c:v>
                </c:pt>
                <c:pt idx="231">
                  <c:v>0.26376415623080784</c:v>
                </c:pt>
                <c:pt idx="232">
                  <c:v>0.25826046984839379</c:v>
                </c:pt>
                <c:pt idx="233">
                  <c:v>0.2481878259046813</c:v>
                </c:pt>
                <c:pt idx="234">
                  <c:v>0.24266782910668239</c:v>
                </c:pt>
                <c:pt idx="235">
                  <c:v>0.24262428065018715</c:v>
                </c:pt>
                <c:pt idx="236">
                  <c:v>0.24775394570505929</c:v>
                </c:pt>
                <c:pt idx="237">
                  <c:v>0.25269246161233488</c:v>
                </c:pt>
                <c:pt idx="238">
                  <c:v>0.25847585211606888</c:v>
                </c:pt>
                <c:pt idx="239">
                  <c:v>0.25985353772683362</c:v>
                </c:pt>
                <c:pt idx="240">
                  <c:v>0.26586549147154565</c:v>
                </c:pt>
                <c:pt idx="241">
                  <c:v>0.27027263033914217</c:v>
                </c:pt>
                <c:pt idx="242">
                  <c:v>0.27168178338214594</c:v>
                </c:pt>
                <c:pt idx="243">
                  <c:v>0.27163910199105418</c:v>
                </c:pt>
                <c:pt idx="244">
                  <c:v>0.26517967766535055</c:v>
                </c:pt>
                <c:pt idx="245">
                  <c:v>0.25623430325691615</c:v>
                </c:pt>
                <c:pt idx="246">
                  <c:v>0.24731993497981972</c:v>
                </c:pt>
                <c:pt idx="247">
                  <c:v>0.24771055050748395</c:v>
                </c:pt>
                <c:pt idx="248">
                  <c:v>0.25338423580007446</c:v>
                </c:pt>
                <c:pt idx="249">
                  <c:v>0.25834662661407437</c:v>
                </c:pt>
                <c:pt idx="250">
                  <c:v>0.26363540356832926</c:v>
                </c:pt>
                <c:pt idx="251">
                  <c:v>0.2659940452734475</c:v>
                </c:pt>
                <c:pt idx="252">
                  <c:v>0.27274840798594358</c:v>
                </c:pt>
                <c:pt idx="253">
                  <c:v>0.27509220998275441</c:v>
                </c:pt>
                <c:pt idx="254">
                  <c:v>0.27687946183264034</c:v>
                </c:pt>
                <c:pt idx="255">
                  <c:v>0.27696451386160453</c:v>
                </c:pt>
                <c:pt idx="256">
                  <c:v>0.26963165094043912</c:v>
                </c:pt>
                <c:pt idx="257">
                  <c:v>0.26183165875213665</c:v>
                </c:pt>
                <c:pt idx="258">
                  <c:v>0.25429168632221816</c:v>
                </c:pt>
                <c:pt idx="259">
                  <c:v>0.25545757034741712</c:v>
                </c:pt>
                <c:pt idx="260">
                  <c:v>0.26011170737902828</c:v>
                </c:pt>
                <c:pt idx="261">
                  <c:v>0.26650814596160988</c:v>
                </c:pt>
                <c:pt idx="262">
                  <c:v>0.2711695233314726</c:v>
                </c:pt>
                <c:pt idx="263">
                  <c:v>0.27304692161483607</c:v>
                </c:pt>
                <c:pt idx="264">
                  <c:v>0.28040491407037693</c:v>
                </c:pt>
                <c:pt idx="265">
                  <c:v>0.28404872727074498</c:v>
                </c:pt>
                <c:pt idx="266">
                  <c:v>0.28624750673812982</c:v>
                </c:pt>
                <c:pt idx="267">
                  <c:v>0.28586718848142018</c:v>
                </c:pt>
                <c:pt idx="268">
                  <c:v>0.27777225815571982</c:v>
                </c:pt>
                <c:pt idx="269">
                  <c:v>0.2701871828716399</c:v>
                </c:pt>
                <c:pt idx="270">
                  <c:v>0.26410744049902013</c:v>
                </c:pt>
                <c:pt idx="271">
                  <c:v>0.26363540356832926</c:v>
                </c:pt>
                <c:pt idx="272">
                  <c:v>0.26860549118579774</c:v>
                </c:pt>
                <c:pt idx="273">
                  <c:v>0.27283370389710077</c:v>
                </c:pt>
                <c:pt idx="274">
                  <c:v>0.27709208250431316</c:v>
                </c:pt>
                <c:pt idx="275">
                  <c:v>0.28243980500638693</c:v>
                </c:pt>
                <c:pt idx="276">
                  <c:v>0.28700784260909884</c:v>
                </c:pt>
                <c:pt idx="277">
                  <c:v>0.29109832425167037</c:v>
                </c:pt>
                <c:pt idx="278">
                  <c:v>0.29294998373808151</c:v>
                </c:pt>
                <c:pt idx="279">
                  <c:v>0.29084564099664334</c:v>
                </c:pt>
                <c:pt idx="280">
                  <c:v>0.28358317111122905</c:v>
                </c:pt>
                <c:pt idx="281">
                  <c:v>0.27364376363665927</c:v>
                </c:pt>
                <c:pt idx="282">
                  <c:v>0.26710769864693196</c:v>
                </c:pt>
                <c:pt idx="283">
                  <c:v>0.26753579806873473</c:v>
                </c:pt>
                <c:pt idx="284">
                  <c:v>0.27406992824581616</c:v>
                </c:pt>
                <c:pt idx="285">
                  <c:v>0.27972597877580269</c:v>
                </c:pt>
                <c:pt idx="286">
                  <c:v>0.28404872727074498</c:v>
                </c:pt>
                <c:pt idx="287">
                  <c:v>0.28755672496786289</c:v>
                </c:pt>
                <c:pt idx="288">
                  <c:v>0.29185610858541344</c:v>
                </c:pt>
                <c:pt idx="289">
                  <c:v>0.2968139727658512</c:v>
                </c:pt>
                <c:pt idx="290">
                  <c:v>0.30020741728518119</c:v>
                </c:pt>
                <c:pt idx="291">
                  <c:v>0.29647838424587125</c:v>
                </c:pt>
                <c:pt idx="292">
                  <c:v>0.29034014167791555</c:v>
                </c:pt>
                <c:pt idx="293">
                  <c:v>0.28112593290607241</c:v>
                </c:pt>
                <c:pt idx="294">
                  <c:v>0.2731748371214936</c:v>
                </c:pt>
                <c:pt idx="295">
                  <c:v>0.27334537348989335</c:v>
                </c:pt>
                <c:pt idx="296">
                  <c:v>0.27772975657104493</c:v>
                </c:pt>
                <c:pt idx="297">
                  <c:v>0.28341384070717457</c:v>
                </c:pt>
                <c:pt idx="298">
                  <c:v>0.28675444184014132</c:v>
                </c:pt>
                <c:pt idx="299">
                  <c:v>0.29185610858541344</c:v>
                </c:pt>
                <c:pt idx="300">
                  <c:v>0.29433717040544699</c:v>
                </c:pt>
                <c:pt idx="301">
                  <c:v>0.30284125569659542</c:v>
                </c:pt>
                <c:pt idx="302">
                  <c:v>0.30592884206251841</c:v>
                </c:pt>
                <c:pt idx="303">
                  <c:v>0.30434415013981614</c:v>
                </c:pt>
                <c:pt idx="304">
                  <c:v>0.29832315583693308</c:v>
                </c:pt>
                <c:pt idx="305">
                  <c:v>0.29071928277095344</c:v>
                </c:pt>
                <c:pt idx="306">
                  <c:v>0.28205848151793295</c:v>
                </c:pt>
                <c:pt idx="307">
                  <c:v>0.28235507516311997</c:v>
                </c:pt>
                <c:pt idx="308">
                  <c:v>0.28768336047734855</c:v>
                </c:pt>
                <c:pt idx="309">
                  <c:v>0.29362272566721687</c:v>
                </c:pt>
                <c:pt idx="310">
                  <c:v>0.29786218403948628</c:v>
                </c:pt>
                <c:pt idx="311">
                  <c:v>0.30083495794705978</c:v>
                </c:pt>
                <c:pt idx="312">
                  <c:v>0.30401030887004266</c:v>
                </c:pt>
                <c:pt idx="313">
                  <c:v>0.31104633643445362</c:v>
                </c:pt>
                <c:pt idx="314">
                  <c:v>0.31270665832658501</c:v>
                </c:pt>
                <c:pt idx="315">
                  <c:v>0.31017390193106481</c:v>
                </c:pt>
                <c:pt idx="316">
                  <c:v>0.30446932070233174</c:v>
                </c:pt>
                <c:pt idx="317">
                  <c:v>0.29589091643366305</c:v>
                </c:pt>
                <c:pt idx="318">
                  <c:v>0.28683891370859382</c:v>
                </c:pt>
                <c:pt idx="319">
                  <c:v>0.28797880011229388</c:v>
                </c:pt>
                <c:pt idx="320">
                  <c:v>0.29408505383681638</c:v>
                </c:pt>
                <c:pt idx="321">
                  <c:v>0.30116953472056501</c:v>
                </c:pt>
                <c:pt idx="322">
                  <c:v>0.30317536756489971</c:v>
                </c:pt>
                <c:pt idx="323">
                  <c:v>0.30705375053345996</c:v>
                </c:pt>
                <c:pt idx="324">
                  <c:v>0.31328731986192054</c:v>
                </c:pt>
                <c:pt idx="325">
                  <c:v>0.31639403332587512</c:v>
                </c:pt>
                <c:pt idx="326">
                  <c:v>0.3189572082710998</c:v>
                </c:pt>
                <c:pt idx="327">
                  <c:v>0.31635265445446925</c:v>
                </c:pt>
                <c:pt idx="328">
                  <c:v>0.30909301345405343</c:v>
                </c:pt>
                <c:pt idx="329">
                  <c:v>0.30225637367507746</c:v>
                </c:pt>
                <c:pt idx="330">
                  <c:v>0.29475726680375902</c:v>
                </c:pt>
                <c:pt idx="331">
                  <c:v>0.29425313644451412</c:v>
                </c:pt>
                <c:pt idx="332">
                  <c:v>0.30004002699743576</c:v>
                </c:pt>
                <c:pt idx="333">
                  <c:v>0.30584548060634364</c:v>
                </c:pt>
                <c:pt idx="334">
                  <c:v>0.30859386858427595</c:v>
                </c:pt>
                <c:pt idx="335">
                  <c:v>0.31150311546826975</c:v>
                </c:pt>
                <c:pt idx="336">
                  <c:v>0.31469652565628642</c:v>
                </c:pt>
                <c:pt idx="337">
                  <c:v>0.32135090142461681</c:v>
                </c:pt>
                <c:pt idx="338">
                  <c:v>0.32406993683064367</c:v>
                </c:pt>
                <c:pt idx="339">
                  <c:v>0.32184565281522998</c:v>
                </c:pt>
                <c:pt idx="340">
                  <c:v>0.31469652565628642</c:v>
                </c:pt>
                <c:pt idx="341">
                  <c:v>0.30605387521602989</c:v>
                </c:pt>
                <c:pt idx="342">
                  <c:v>0.30317536756489971</c:v>
                </c:pt>
                <c:pt idx="343">
                  <c:v>0.30041662783687401</c:v>
                </c:pt>
                <c:pt idx="344">
                  <c:v>0.30626223972785099</c:v>
                </c:pt>
                <c:pt idx="345">
                  <c:v>0.31150311546826975</c:v>
                </c:pt>
                <c:pt idx="346">
                  <c:v>0.31668365219967981</c:v>
                </c:pt>
                <c:pt idx="347">
                  <c:v>0.31746946762158468</c:v>
                </c:pt>
                <c:pt idx="348">
                  <c:v>0.32114470492578934</c:v>
                </c:pt>
                <c:pt idx="349">
                  <c:v>0.32768736417604716</c:v>
                </c:pt>
                <c:pt idx="350">
                  <c:v>0.33076325555700942</c:v>
                </c:pt>
                <c:pt idx="351">
                  <c:v>0.32842617641262656</c:v>
                </c:pt>
                <c:pt idx="352">
                  <c:v>0.32279345233061574</c:v>
                </c:pt>
                <c:pt idx="353">
                  <c:v>0.31448937581877229</c:v>
                </c:pt>
                <c:pt idx="354">
                  <c:v>0.30809455096015637</c:v>
                </c:pt>
                <c:pt idx="355">
                  <c:v>0.30834423137398254</c:v>
                </c:pt>
                <c:pt idx="356">
                  <c:v>0.31399209482083829</c:v>
                </c:pt>
                <c:pt idx="357">
                  <c:v>0.3189572082710998</c:v>
                </c:pt>
                <c:pt idx="358">
                  <c:v>0.32402877753529308</c:v>
                </c:pt>
                <c:pt idx="359">
                  <c:v>0.32891850779297804</c:v>
                </c:pt>
                <c:pt idx="360">
                  <c:v>0.3321964303411894</c:v>
                </c:pt>
                <c:pt idx="361">
                  <c:v>0.33697702068730562</c:v>
                </c:pt>
                <c:pt idx="362">
                  <c:v>0.33974822186649467</c:v>
                </c:pt>
                <c:pt idx="363">
                  <c:v>0.33783340106320175</c:v>
                </c:pt>
                <c:pt idx="364">
                  <c:v>0.3334237337251918</c:v>
                </c:pt>
                <c:pt idx="365">
                  <c:v>0.32394645542166806</c:v>
                </c:pt>
                <c:pt idx="366">
                  <c:v>0.31767619003390707</c:v>
                </c:pt>
                <c:pt idx="367">
                  <c:v>0.3193289038394051</c:v>
                </c:pt>
                <c:pt idx="368">
                  <c:v>0.32365829102624488</c:v>
                </c:pt>
                <c:pt idx="369">
                  <c:v>0.32859030554145996</c:v>
                </c:pt>
                <c:pt idx="370">
                  <c:v>0.33452741479971682</c:v>
                </c:pt>
                <c:pt idx="371">
                  <c:v>0.33599767738901826</c:v>
                </c:pt>
                <c:pt idx="372">
                  <c:v>0.33864852908132032</c:v>
                </c:pt>
                <c:pt idx="373">
                  <c:v>0.3453152635906736</c:v>
                </c:pt>
                <c:pt idx="374">
                  <c:v>0.34624777408277535</c:v>
                </c:pt>
                <c:pt idx="375">
                  <c:v>0.3441792192903127</c:v>
                </c:pt>
                <c:pt idx="376">
                  <c:v>0.33852628923481626</c:v>
                </c:pt>
                <c:pt idx="377">
                  <c:v>0.32949268213527677</c:v>
                </c:pt>
                <c:pt idx="378">
                  <c:v>0.32229902592307286</c:v>
                </c:pt>
                <c:pt idx="379">
                  <c:v>0.32328770935119977</c:v>
                </c:pt>
                <c:pt idx="380">
                  <c:v>0.32830306731117204</c:v>
                </c:pt>
                <c:pt idx="381">
                  <c:v>0.33387348349714652</c:v>
                </c:pt>
                <c:pt idx="382">
                  <c:v>0.33775186292539572</c:v>
                </c:pt>
                <c:pt idx="383">
                  <c:v>0.34279853318864284</c:v>
                </c:pt>
                <c:pt idx="384">
                  <c:v>0.34543692958151601</c:v>
                </c:pt>
                <c:pt idx="385">
                  <c:v>0.34798954810025179</c:v>
                </c:pt>
                <c:pt idx="386">
                  <c:v>0.35203207215550791</c:v>
                </c:pt>
                <c:pt idx="387">
                  <c:v>0.34803002946285083</c:v>
                </c:pt>
                <c:pt idx="388">
                  <c:v>0.34194509590805666</c:v>
                </c:pt>
                <c:pt idx="389">
                  <c:v>0.3344865527759821</c:v>
                </c:pt>
                <c:pt idx="390">
                  <c:v>0.32760525056773293</c:v>
                </c:pt>
                <c:pt idx="391">
                  <c:v>0.32887748659446853</c:v>
                </c:pt>
                <c:pt idx="392">
                  <c:v>0.33481341656461083</c:v>
                </c:pt>
                <c:pt idx="393">
                  <c:v>0.33999248424772416</c:v>
                </c:pt>
                <c:pt idx="394">
                  <c:v>0.3421076943180667</c:v>
                </c:pt>
                <c:pt idx="395">
                  <c:v>0.34572077699832093</c:v>
                </c:pt>
                <c:pt idx="396">
                  <c:v>0.35183021475275128</c:v>
                </c:pt>
                <c:pt idx="397">
                  <c:v>0.35763243136807038</c:v>
                </c:pt>
                <c:pt idx="398">
                  <c:v>0.3594810102249153</c:v>
                </c:pt>
                <c:pt idx="399">
                  <c:v>0.35545933382447809</c:v>
                </c:pt>
                <c:pt idx="400">
                  <c:v>0.34766565630097057</c:v>
                </c:pt>
                <c:pt idx="401">
                  <c:v>0.33820026566553218</c:v>
                </c:pt>
                <c:pt idx="402">
                  <c:v>0.33154144137771635</c:v>
                </c:pt>
                <c:pt idx="403">
                  <c:v>0.3319099092591129</c:v>
                </c:pt>
                <c:pt idx="404">
                  <c:v>0.3378741684040325</c:v>
                </c:pt>
                <c:pt idx="405">
                  <c:v>0.34324537036048725</c:v>
                </c:pt>
                <c:pt idx="406">
                  <c:v>0.34782761129001444</c:v>
                </c:pt>
                <c:pt idx="407">
                  <c:v>0.35134564172245408</c:v>
                </c:pt>
                <c:pt idx="408">
                  <c:v>0.35441185902104577</c:v>
                </c:pt>
                <c:pt idx="409">
                  <c:v>0.35944084890426714</c:v>
                </c:pt>
                <c:pt idx="410">
                  <c:v>0.36140744003135555</c:v>
                </c:pt>
                <c:pt idx="411">
                  <c:v>0.36032413980374728</c:v>
                </c:pt>
                <c:pt idx="412">
                  <c:v>0.35110329415916136</c:v>
                </c:pt>
                <c:pt idx="413">
                  <c:v>0.34235155757775643</c:v>
                </c:pt>
                <c:pt idx="414">
                  <c:v>0.3342822252952366</c:v>
                </c:pt>
                <c:pt idx="415">
                  <c:v>0.33587521271928794</c:v>
                </c:pt>
                <c:pt idx="416">
                  <c:v>0.34003319062417492</c:v>
                </c:pt>
                <c:pt idx="417">
                  <c:v>0.34515302630729883</c:v>
                </c:pt>
                <c:pt idx="418">
                  <c:v>0.35090130675373682</c:v>
                </c:pt>
                <c:pt idx="419">
                  <c:v>0.35219353774503176</c:v>
                </c:pt>
                <c:pt idx="420">
                  <c:v>0.3569084291577157</c:v>
                </c:pt>
                <c:pt idx="421">
                  <c:v>0.36012343935395846</c:v>
                </c:pt>
                <c:pt idx="422">
                  <c:v>0.36377182459446167</c:v>
                </c:pt>
                <c:pt idx="423">
                  <c:v>0.36112666251503961</c:v>
                </c:pt>
                <c:pt idx="424">
                  <c:v>0.35231462507909828</c:v>
                </c:pt>
                <c:pt idx="425">
                  <c:v>0.34547748263181688</c:v>
                </c:pt>
                <c:pt idx="426">
                  <c:v>0.33889297770649457</c:v>
                </c:pt>
                <c:pt idx="427">
                  <c:v>0.33925957300098403</c:v>
                </c:pt>
                <c:pt idx="428">
                  <c:v>0.34454447395471077</c:v>
                </c:pt>
                <c:pt idx="429">
                  <c:v>0.35061847686790176</c:v>
                </c:pt>
                <c:pt idx="430">
                  <c:v>0.35598278616786283</c:v>
                </c:pt>
                <c:pt idx="431">
                  <c:v>0.35871775388910165</c:v>
                </c:pt>
                <c:pt idx="432">
                  <c:v>0.36301083553510793</c:v>
                </c:pt>
                <c:pt idx="433">
                  <c:v>0.36800999171782506</c:v>
                </c:pt>
                <c:pt idx="434">
                  <c:v>0.36968582761490204</c:v>
                </c:pt>
                <c:pt idx="435">
                  <c:v>0.36633220690413326</c:v>
                </c:pt>
                <c:pt idx="436">
                  <c:v>0.36060507353538723</c:v>
                </c:pt>
                <c:pt idx="437">
                  <c:v>0.35287956496583295</c:v>
                </c:pt>
                <c:pt idx="438">
                  <c:v>0.34588295045182915</c:v>
                </c:pt>
                <c:pt idx="439">
                  <c:v>0.34730119108821406</c:v>
                </c:pt>
                <c:pt idx="440">
                  <c:v>0.35312161435528655</c:v>
                </c:pt>
                <c:pt idx="441">
                  <c:v>0.35895882583232935</c:v>
                </c:pt>
                <c:pt idx="442">
                  <c:v>0.36273036992883079</c:v>
                </c:pt>
                <c:pt idx="443">
                  <c:v>0.36657200994220462</c:v>
                </c:pt>
                <c:pt idx="444">
                  <c:v>0.3704831610279733</c:v>
                </c:pt>
                <c:pt idx="445">
                  <c:v>0.37629038333705156</c:v>
                </c:pt>
                <c:pt idx="446">
                  <c:v>0.37783767971908239</c:v>
                </c:pt>
                <c:pt idx="447">
                  <c:v>0.37585366620313115</c:v>
                </c:pt>
                <c:pt idx="448">
                  <c:v>0.36968582761490204</c:v>
                </c:pt>
                <c:pt idx="449">
                  <c:v>0.35988256195342855</c:v>
                </c:pt>
                <c:pt idx="450">
                  <c:v>0.35582174413600615</c:v>
                </c:pt>
                <c:pt idx="451">
                  <c:v>0.35509683245126811</c:v>
                </c:pt>
                <c:pt idx="452">
                  <c:v>0.36100631256369653</c:v>
                </c:pt>
                <c:pt idx="453">
                  <c:v>0.36585248121553354</c:v>
                </c:pt>
                <c:pt idx="454">
                  <c:v>0.37135971911783916</c:v>
                </c:pt>
                <c:pt idx="455">
                  <c:v>0.37597278398719675</c:v>
                </c:pt>
                <c:pt idx="456">
                  <c:v>0.37962096205570828</c:v>
                </c:pt>
                <c:pt idx="457">
                  <c:v>0.3812438135561429</c:v>
                </c:pt>
                <c:pt idx="458">
                  <c:v>0.38345744585853175</c:v>
                </c:pt>
                <c:pt idx="459">
                  <c:v>0.38270677268151582</c:v>
                </c:pt>
                <c:pt idx="460">
                  <c:v>0.37728243090608043</c:v>
                </c:pt>
                <c:pt idx="461">
                  <c:v>0.36876834909033485</c:v>
                </c:pt>
                <c:pt idx="462">
                  <c:v>0.36132722345969809</c:v>
                </c:pt>
                <c:pt idx="463">
                  <c:v>0.36144754664467421</c:v>
                </c:pt>
                <c:pt idx="464">
                  <c:v>0.36673185649279633</c:v>
                </c:pt>
                <c:pt idx="465">
                  <c:v>0.37211631819884028</c:v>
                </c:pt>
                <c:pt idx="466">
                  <c:v>0.37549625382897855</c:v>
                </c:pt>
                <c:pt idx="467">
                  <c:v>0.37934370731460526</c:v>
                </c:pt>
                <c:pt idx="468">
                  <c:v>0.38108556691755607</c:v>
                </c:pt>
                <c:pt idx="469">
                  <c:v>0.38834700653063781</c:v>
                </c:pt>
                <c:pt idx="470">
                  <c:v>0.3894488111595088</c:v>
                </c:pt>
                <c:pt idx="471">
                  <c:v>0.38535214535553447</c:v>
                </c:pt>
                <c:pt idx="472">
                  <c:v>0.38033365825089765</c:v>
                </c:pt>
                <c:pt idx="473">
                  <c:v>0.37215612821390631</c:v>
                </c:pt>
                <c:pt idx="474">
                  <c:v>0.36433229663226918</c:v>
                </c:pt>
                <c:pt idx="475">
                  <c:v>0.36645211340564054</c:v>
                </c:pt>
                <c:pt idx="476">
                  <c:v>0.37315102173715475</c:v>
                </c:pt>
                <c:pt idx="477">
                  <c:v>0.38053156694990453</c:v>
                </c:pt>
                <c:pt idx="478">
                  <c:v>0.38401032363198068</c:v>
                </c:pt>
                <c:pt idx="479">
                  <c:v>0.38681094647221681</c:v>
                </c:pt>
                <c:pt idx="480">
                  <c:v>0.39176771995599674</c:v>
                </c:pt>
                <c:pt idx="481">
                  <c:v>0.39737270943755826</c:v>
                </c:pt>
                <c:pt idx="482">
                  <c:v>0.40038178530727464</c:v>
                </c:pt>
                <c:pt idx="483">
                  <c:v>0.39870216614997578</c:v>
                </c:pt>
                <c:pt idx="484">
                  <c:v>0.39420052964215635</c:v>
                </c:pt>
                <c:pt idx="485">
                  <c:v>0.38681094647221681</c:v>
                </c:pt>
                <c:pt idx="486">
                  <c:v>0.37914563558689091</c:v>
                </c:pt>
                <c:pt idx="487">
                  <c:v>0.38065029913905807</c:v>
                </c:pt>
                <c:pt idx="488">
                  <c:v>0.38511544395370917</c:v>
                </c:pt>
                <c:pt idx="489">
                  <c:v>0.3915320688993289</c:v>
                </c:pt>
                <c:pt idx="490">
                  <c:v>0.39565041545437801</c:v>
                </c:pt>
                <c:pt idx="491">
                  <c:v>0.39928830192579123</c:v>
                </c:pt>
                <c:pt idx="492">
                  <c:v>0.40147444051625025</c:v>
                </c:pt>
                <c:pt idx="493">
                  <c:v>0.40657554167160614</c:v>
                </c:pt>
                <c:pt idx="494">
                  <c:v>0.40645892413014484</c:v>
                </c:pt>
                <c:pt idx="495">
                  <c:v>0.40389095040272749</c:v>
                </c:pt>
                <c:pt idx="496">
                  <c:v>0.40057696301241569</c:v>
                </c:pt>
                <c:pt idx="497">
                  <c:v>0.39058907956946148</c:v>
                </c:pt>
                <c:pt idx="498">
                  <c:v>0.38227199382725641</c:v>
                </c:pt>
                <c:pt idx="499">
                  <c:v>0.38452352048875721</c:v>
                </c:pt>
                <c:pt idx="500">
                  <c:v>0.38988143286110233</c:v>
                </c:pt>
                <c:pt idx="501">
                  <c:v>0.3952978746136992</c:v>
                </c:pt>
                <c:pt idx="502">
                  <c:v>0.39995230138778842</c:v>
                </c:pt>
                <c:pt idx="503">
                  <c:v>0.40096723922560795</c:v>
                </c:pt>
                <c:pt idx="504">
                  <c:v>0.40501986550966412</c:v>
                </c:pt>
                <c:pt idx="505">
                  <c:v>0.40979822782841963</c:v>
                </c:pt>
                <c:pt idx="506">
                  <c:v>0.40890591510745228</c:v>
                </c:pt>
                <c:pt idx="507">
                  <c:v>0.40937153842691504</c:v>
                </c:pt>
                <c:pt idx="508">
                  <c:v>0.40217642497948264</c:v>
                </c:pt>
                <c:pt idx="509">
                  <c:v>0.39533705007270242</c:v>
                </c:pt>
                <c:pt idx="510">
                  <c:v>0.39094277280254291</c:v>
                </c:pt>
                <c:pt idx="511">
                  <c:v>0.39106065128020484</c:v>
                </c:pt>
                <c:pt idx="512">
                  <c:v>0.39635523879745971</c:v>
                </c:pt>
                <c:pt idx="513">
                  <c:v>0.40143543136241211</c:v>
                </c:pt>
                <c:pt idx="514">
                  <c:v>0.40505877786528899</c:v>
                </c:pt>
                <c:pt idx="515">
                  <c:v>0.40867304708140773</c:v>
                </c:pt>
                <c:pt idx="516">
                  <c:v>0.4123170014542763</c:v>
                </c:pt>
                <c:pt idx="517">
                  <c:v>0.41587453478450814</c:v>
                </c:pt>
                <c:pt idx="518">
                  <c:v>0.41772716250271424</c:v>
                </c:pt>
                <c:pt idx="519">
                  <c:v>0.41529510039387307</c:v>
                </c:pt>
                <c:pt idx="520">
                  <c:v>0.40863423208911642</c:v>
                </c:pt>
                <c:pt idx="521">
                  <c:v>0.40124036977007455</c:v>
                </c:pt>
                <c:pt idx="522">
                  <c:v>0.39561124850380214</c:v>
                </c:pt>
                <c:pt idx="523">
                  <c:v>0.39666838312207731</c:v>
                </c:pt>
                <c:pt idx="524">
                  <c:v>0.40186447405316023</c:v>
                </c:pt>
                <c:pt idx="525">
                  <c:v>0.40762467556660881</c:v>
                </c:pt>
                <c:pt idx="526">
                  <c:v>0.4125879918965209</c:v>
                </c:pt>
                <c:pt idx="527">
                  <c:v>0.41517918558409256</c:v>
                </c:pt>
                <c:pt idx="528">
                  <c:v>0.41876822106763295</c:v>
                </c:pt>
                <c:pt idx="529">
                  <c:v>0.4221945488102623</c:v>
                </c:pt>
                <c:pt idx="530">
                  <c:v>0.42503722288541401</c:v>
                </c:pt>
                <c:pt idx="531">
                  <c:v>0.42411588811097739</c:v>
                </c:pt>
                <c:pt idx="532">
                  <c:v>0.41822850669924977</c:v>
                </c:pt>
                <c:pt idx="533">
                  <c:v>0.40999213584619632</c:v>
                </c:pt>
                <c:pt idx="534">
                  <c:v>0.40568123285968838</c:v>
                </c:pt>
                <c:pt idx="535">
                  <c:v>0.40494203764964165</c:v>
                </c:pt>
                <c:pt idx="536">
                  <c:v>0.41154246245041559</c:v>
                </c:pt>
                <c:pt idx="537">
                  <c:v>0.41753429141234943</c:v>
                </c:pt>
                <c:pt idx="538">
                  <c:v>0.42173304638074988</c:v>
                </c:pt>
                <c:pt idx="539">
                  <c:v>0.42461501748300506</c:v>
                </c:pt>
                <c:pt idx="540">
                  <c:v>0.42775939831875309</c:v>
                </c:pt>
                <c:pt idx="541">
                  <c:v>0.43265404267746627</c:v>
                </c:pt>
                <c:pt idx="542">
                  <c:v>0.43593332976445326</c:v>
                </c:pt>
                <c:pt idx="543">
                  <c:v>0.43471400051463627</c:v>
                </c:pt>
                <c:pt idx="544">
                  <c:v>0.42867840994823009</c:v>
                </c:pt>
                <c:pt idx="545">
                  <c:v>0.41980852893927539</c:v>
                </c:pt>
                <c:pt idx="546">
                  <c:v>0.41506326146026928</c:v>
                </c:pt>
                <c:pt idx="547">
                  <c:v>0.41494732802090711</c:v>
                </c:pt>
                <c:pt idx="548">
                  <c:v>0.42084808719949091</c:v>
                </c:pt>
                <c:pt idx="549">
                  <c:v>0.42595796965197702</c:v>
                </c:pt>
                <c:pt idx="550">
                  <c:v>0.42978810183201854</c:v>
                </c:pt>
                <c:pt idx="551">
                  <c:v>0.43315022733337655</c:v>
                </c:pt>
                <c:pt idx="552">
                  <c:v>0.4369993981425544</c:v>
                </c:pt>
                <c:pt idx="553">
                  <c:v>0.44262128166655951</c:v>
                </c:pt>
                <c:pt idx="554">
                  <c:v>0.44360665147561484</c:v>
                </c:pt>
                <c:pt idx="555">
                  <c:v>0.44007895337646558</c:v>
                </c:pt>
                <c:pt idx="556">
                  <c:v>0.43162295971329212</c:v>
                </c:pt>
                <c:pt idx="557">
                  <c:v>0.42595796965197702</c:v>
                </c:pt>
                <c:pt idx="558">
                  <c:v>0.41926920368406412</c:v>
                </c:pt>
                <c:pt idx="559">
                  <c:v>0.42003960662918038</c:v>
                </c:pt>
                <c:pt idx="560">
                  <c:v>0.42657147452910854</c:v>
                </c:pt>
                <c:pt idx="561">
                  <c:v>0.43173756088430215</c:v>
                </c:pt>
                <c:pt idx="562">
                  <c:v>0.43536189749141069</c:v>
                </c:pt>
                <c:pt idx="563">
                  <c:v>0.4402308599854548</c:v>
                </c:pt>
                <c:pt idx="564">
                  <c:v>0.44417482806617692</c:v>
                </c:pt>
                <c:pt idx="565">
                  <c:v>0.44995748362800358</c:v>
                </c:pt>
                <c:pt idx="566">
                  <c:v>0.45056086926661437</c:v>
                </c:pt>
                <c:pt idx="567">
                  <c:v>0.44965569614841971</c:v>
                </c:pt>
                <c:pt idx="568">
                  <c:v>0.44409908411483445</c:v>
                </c:pt>
                <c:pt idx="569">
                  <c:v>0.43650453579040066</c:v>
                </c:pt>
                <c:pt idx="570">
                  <c:v>0.42871668939795532</c:v>
                </c:pt>
                <c:pt idx="571">
                  <c:v>0.42986460085324052</c:v>
                </c:pt>
                <c:pt idx="572">
                  <c:v>0.43501892945440074</c:v>
                </c:pt>
                <c:pt idx="573">
                  <c:v>0.44174904700923706</c:v>
                </c:pt>
                <c:pt idx="574">
                  <c:v>0.44655872924400647</c:v>
                </c:pt>
                <c:pt idx="575">
                  <c:v>0.44965569614841971</c:v>
                </c:pt>
                <c:pt idx="576">
                  <c:v>0.4513901126832936</c:v>
                </c:pt>
                <c:pt idx="577">
                  <c:v>0.45868197193771321</c:v>
                </c:pt>
                <c:pt idx="578">
                  <c:v>0.46025578035116405</c:v>
                </c:pt>
                <c:pt idx="579">
                  <c:v>0.45658088651772205</c:v>
                </c:pt>
                <c:pt idx="580">
                  <c:v>0.45059857249129948</c:v>
                </c:pt>
                <c:pt idx="581">
                  <c:v>0.44284873444169331</c:v>
                </c:pt>
                <c:pt idx="582">
                  <c:v>0.4369232765205403</c:v>
                </c:pt>
                <c:pt idx="583">
                  <c:v>0.43802664712394201</c:v>
                </c:pt>
                <c:pt idx="584">
                  <c:v>0.44190077787897852</c:v>
                </c:pt>
                <c:pt idx="585">
                  <c:v>0.44822134288530163</c:v>
                </c:pt>
                <c:pt idx="586">
                  <c:v>0.45229419859155129</c:v>
                </c:pt>
                <c:pt idx="587">
                  <c:v>0.45613025554704617</c:v>
                </c:pt>
                <c:pt idx="588">
                  <c:v>0.45871946352542553</c:v>
                </c:pt>
                <c:pt idx="589">
                  <c:v>0.46589985649655991</c:v>
                </c:pt>
                <c:pt idx="590">
                  <c:v>0.46608636928151376</c:v>
                </c:pt>
                <c:pt idx="591">
                  <c:v>0.4644068855296089</c:v>
                </c:pt>
                <c:pt idx="592">
                  <c:v>0.45841950353975386</c:v>
                </c:pt>
                <c:pt idx="593">
                  <c:v>0.44905193173664115</c:v>
                </c:pt>
                <c:pt idx="594">
                  <c:v>0.44512129207761308</c:v>
                </c:pt>
                <c:pt idx="595">
                  <c:v>0.44576453312043945</c:v>
                </c:pt>
                <c:pt idx="596">
                  <c:v>0.4507870738361669</c:v>
                </c:pt>
                <c:pt idx="597">
                  <c:v>0.45639314071876497</c:v>
                </c:pt>
                <c:pt idx="598">
                  <c:v>0.46235152448856948</c:v>
                </c:pt>
                <c:pt idx="599">
                  <c:v>0.46339825601108536</c:v>
                </c:pt>
                <c:pt idx="600">
                  <c:v>0.46422015547914297</c:v>
                </c:pt>
                <c:pt idx="601">
                  <c:v>0.46813642006500927</c:v>
                </c:pt>
                <c:pt idx="602">
                  <c:v>0.47352717715675879</c:v>
                </c:pt>
                <c:pt idx="603">
                  <c:v>0.47059264190111394</c:v>
                </c:pt>
                <c:pt idx="604">
                  <c:v>0.46548944347381965</c:v>
                </c:pt>
                <c:pt idx="605">
                  <c:v>0.45688122898594291</c:v>
                </c:pt>
                <c:pt idx="606">
                  <c:v>0.45346113832373852</c:v>
                </c:pt>
                <c:pt idx="607">
                  <c:v>0.45274602917491535</c:v>
                </c:pt>
                <c:pt idx="608">
                  <c:v>0.45721903954172527</c:v>
                </c:pt>
                <c:pt idx="609">
                  <c:v>0.4623889208373384</c:v>
                </c:pt>
                <c:pt idx="610">
                  <c:v>0.46754034205383838</c:v>
                </c:pt>
                <c:pt idx="611">
                  <c:v>0.46951390791885167</c:v>
                </c:pt>
                <c:pt idx="612">
                  <c:v>0.47449166951900662</c:v>
                </c:pt>
                <c:pt idx="613">
                  <c:v>0.47715921118664112</c:v>
                </c:pt>
                <c:pt idx="614">
                  <c:v>0.47937840104259694</c:v>
                </c:pt>
                <c:pt idx="615">
                  <c:v>0.47693710433670838</c:v>
                </c:pt>
                <c:pt idx="616">
                  <c:v>0.47152193804450682</c:v>
                </c:pt>
                <c:pt idx="617">
                  <c:v>0.46425750342278521</c:v>
                </c:pt>
                <c:pt idx="618">
                  <c:v>0.45924424347749254</c:v>
                </c:pt>
                <c:pt idx="619">
                  <c:v>0.45808197399149425</c:v>
                </c:pt>
                <c:pt idx="620">
                  <c:v>0.46403340125681564</c:v>
                </c:pt>
                <c:pt idx="621">
                  <c:v>0.46925340296447982</c:v>
                </c:pt>
                <c:pt idx="622">
                  <c:v>0.47400950393751357</c:v>
                </c:pt>
                <c:pt idx="623">
                  <c:v>0.47956317953598965</c:v>
                </c:pt>
                <c:pt idx="624">
                  <c:v>0.48310634496717497</c:v>
                </c:pt>
                <c:pt idx="625">
                  <c:v>0.4878905530991211</c:v>
                </c:pt>
                <c:pt idx="626">
                  <c:v>0.4898731851668387</c:v>
                </c:pt>
                <c:pt idx="627">
                  <c:v>0.4868246806556118</c:v>
                </c:pt>
                <c:pt idx="628">
                  <c:v>0.47956317953598965</c:v>
                </c:pt>
                <c:pt idx="629">
                  <c:v>0.47263630384637006</c:v>
                </c:pt>
                <c:pt idx="630">
                  <c:v>0.46701857168978234</c:v>
                </c:pt>
                <c:pt idx="631">
                  <c:v>0.46850884379594554</c:v>
                </c:pt>
                <c:pt idx="632">
                  <c:v>0.47386111287143712</c:v>
                </c:pt>
                <c:pt idx="633">
                  <c:v>0.47801030414984191</c:v>
                </c:pt>
                <c:pt idx="634">
                  <c:v>0.48358548034607413</c:v>
                </c:pt>
                <c:pt idx="635">
                  <c:v>0.48561083266005051</c:v>
                </c:pt>
                <c:pt idx="636">
                  <c:v>0.48836810248236423</c:v>
                </c:pt>
                <c:pt idx="637">
                  <c:v>0.49071681287639107</c:v>
                </c:pt>
                <c:pt idx="638">
                  <c:v>0.49426930357072107</c:v>
                </c:pt>
                <c:pt idx="639">
                  <c:v>0.49258570776646082</c:v>
                </c:pt>
                <c:pt idx="640">
                  <c:v>0.48807424464635712</c:v>
                </c:pt>
                <c:pt idx="641">
                  <c:v>0.47926752258572419</c:v>
                </c:pt>
                <c:pt idx="642">
                  <c:v>0.47538139821873787</c:v>
                </c:pt>
                <c:pt idx="643">
                  <c:v>0.47504781425465853</c:v>
                </c:pt>
                <c:pt idx="644">
                  <c:v>0.47982182967399284</c:v>
                </c:pt>
                <c:pt idx="645">
                  <c:v>0.48564763094194874</c:v>
                </c:pt>
                <c:pt idx="646">
                  <c:v>0.4902400404403634</c:v>
                </c:pt>
                <c:pt idx="647">
                  <c:v>0.49291526157867827</c:v>
                </c:pt>
                <c:pt idx="648">
                  <c:v>0.49492756747912453</c:v>
                </c:pt>
                <c:pt idx="649">
                  <c:v>0.50145734365703309</c:v>
                </c:pt>
                <c:pt idx="650">
                  <c:v>0.50345777829071003</c:v>
                </c:pt>
                <c:pt idx="651">
                  <c:v>0.49974568063274527</c:v>
                </c:pt>
                <c:pt idx="652">
                  <c:v>0.49481787768314806</c:v>
                </c:pt>
                <c:pt idx="653">
                  <c:v>0.48759659796662874</c:v>
                </c:pt>
                <c:pt idx="654">
                  <c:v>0.48292201974993032</c:v>
                </c:pt>
                <c:pt idx="655">
                  <c:v>0.48273767097945647</c:v>
                </c:pt>
                <c:pt idx="656">
                  <c:v>0.48983649450825167</c:v>
                </c:pt>
                <c:pt idx="657">
                  <c:v>0.49485444187513067</c:v>
                </c:pt>
                <c:pt idx="658">
                  <c:v>0.49927188316908833</c:v>
                </c:pt>
                <c:pt idx="659">
                  <c:v>0.50382119585545315</c:v>
                </c:pt>
                <c:pt idx="660">
                  <c:v>0.50610862382400879</c:v>
                </c:pt>
                <c:pt idx="661">
                  <c:v>0.50965965196384122</c:v>
                </c:pt>
                <c:pt idx="662">
                  <c:v>0.51464530577849399</c:v>
                </c:pt>
                <c:pt idx="663">
                  <c:v>0.5102747580160486</c:v>
                </c:pt>
                <c:pt idx="664">
                  <c:v>0.50556432698509302</c:v>
                </c:pt>
                <c:pt idx="665">
                  <c:v>0.49784955645922896</c:v>
                </c:pt>
                <c:pt idx="666">
                  <c:v>0.49174317251988486</c:v>
                </c:pt>
                <c:pt idx="667">
                  <c:v>0.49240258978171431</c:v>
                </c:pt>
                <c:pt idx="668">
                  <c:v>0.49774008860909347</c:v>
                </c:pt>
                <c:pt idx="669">
                  <c:v>0.50382119585545315</c:v>
                </c:pt>
                <c:pt idx="670">
                  <c:v>0.50748659078948732</c:v>
                </c:pt>
                <c:pt idx="671">
                  <c:v>0.50831998448950766</c:v>
                </c:pt>
                <c:pt idx="672">
                  <c:v>0.51424852992186132</c:v>
                </c:pt>
                <c:pt idx="673">
                  <c:v>0.52000909275354024</c:v>
                </c:pt>
                <c:pt idx="674">
                  <c:v>0.52162511534624834</c:v>
                </c:pt>
                <c:pt idx="675">
                  <c:v>0.5197216102426353</c:v>
                </c:pt>
                <c:pt idx="676">
                  <c:v>0.51193784891495564</c:v>
                </c:pt>
                <c:pt idx="677">
                  <c:v>0.50436615061227197</c:v>
                </c:pt>
                <c:pt idx="678">
                  <c:v>0.49839677115263525</c:v>
                </c:pt>
                <c:pt idx="679">
                  <c:v>0.50065639249457372</c:v>
                </c:pt>
                <c:pt idx="680">
                  <c:v>0.50516504541734131</c:v>
                </c:pt>
                <c:pt idx="681">
                  <c:v>0.51125115244612851</c:v>
                </c:pt>
                <c:pt idx="682">
                  <c:v>0.51522223956909252</c:v>
                </c:pt>
                <c:pt idx="683">
                  <c:v>0.51655551596218474</c:v>
                </c:pt>
                <c:pt idx="684">
                  <c:v>0.52083528601459983</c:v>
                </c:pt>
                <c:pt idx="685">
                  <c:v>0.52660542876170069</c:v>
                </c:pt>
                <c:pt idx="686">
                  <c:v>0.52946402049003916</c:v>
                </c:pt>
                <c:pt idx="687">
                  <c:v>0.52524561093224054</c:v>
                </c:pt>
                <c:pt idx="688">
                  <c:v>0.51982942289753653</c:v>
                </c:pt>
                <c:pt idx="689">
                  <c:v>0.51135959993669367</c:v>
                </c:pt>
                <c:pt idx="690">
                  <c:v>0.50668898086543035</c:v>
                </c:pt>
                <c:pt idx="691">
                  <c:v>0.50911669345346611</c:v>
                </c:pt>
                <c:pt idx="692">
                  <c:v>0.51554666346621814</c:v>
                </c:pt>
                <c:pt idx="693">
                  <c:v>0.52198398578437877</c:v>
                </c:pt>
                <c:pt idx="694">
                  <c:v>0.52438611777087951</c:v>
                </c:pt>
                <c:pt idx="695">
                  <c:v>0.52982094652869527</c:v>
                </c:pt>
                <c:pt idx="696">
                  <c:v>0.53270879759518996</c:v>
                </c:pt>
                <c:pt idx="697">
                  <c:v>0.54172722433348508</c:v>
                </c:pt>
                <c:pt idx="698">
                  <c:v>0.5427886799601942</c:v>
                </c:pt>
                <c:pt idx="699">
                  <c:v>0.53956651983320436</c:v>
                </c:pt>
                <c:pt idx="700">
                  <c:v>0.53103383496841972</c:v>
                </c:pt>
                <c:pt idx="701">
                  <c:v>0.52338272814934861</c:v>
                </c:pt>
                <c:pt idx="702">
                  <c:v>0.51900265323929839</c:v>
                </c:pt>
                <c:pt idx="703">
                  <c:v>0.52101483065422127</c:v>
                </c:pt>
                <c:pt idx="704">
                  <c:v>0.52792823149882584</c:v>
                </c:pt>
                <c:pt idx="705">
                  <c:v>0.53121211494354725</c:v>
                </c:pt>
                <c:pt idx="706">
                  <c:v>0.5373315704079159</c:v>
                </c:pt>
                <c:pt idx="707">
                  <c:v>0.53839626385189021</c:v>
                </c:pt>
                <c:pt idx="708">
                  <c:v>0.54151483946067869</c:v>
                </c:pt>
                <c:pt idx="709">
                  <c:v>0.54744982914396567</c:v>
                </c:pt>
                <c:pt idx="710">
                  <c:v>0.54980996610473554</c:v>
                </c:pt>
                <c:pt idx="711">
                  <c:v>0.54695617814141118</c:v>
                </c:pt>
                <c:pt idx="712">
                  <c:v>0.54077124608923599</c:v>
                </c:pt>
                <c:pt idx="713">
                  <c:v>0.53363453792318827</c:v>
                </c:pt>
                <c:pt idx="714">
                  <c:v>0.52739210629320266</c:v>
                </c:pt>
                <c:pt idx="715">
                  <c:v>0.52828553765041275</c:v>
                </c:pt>
                <c:pt idx="716">
                  <c:v>0.53359894350795678</c:v>
                </c:pt>
                <c:pt idx="717">
                  <c:v>0.53960196732128063</c:v>
                </c:pt>
                <c:pt idx="718">
                  <c:v>0.54367263013850597</c:v>
                </c:pt>
                <c:pt idx="719">
                  <c:v>0.54497988325580371</c:v>
                </c:pt>
                <c:pt idx="720">
                  <c:v>0.54875366569081085</c:v>
                </c:pt>
                <c:pt idx="721">
                  <c:v>0.55177966000822387</c:v>
                </c:pt>
                <c:pt idx="722">
                  <c:v>0.55525523163276624</c:v>
                </c:pt>
                <c:pt idx="723">
                  <c:v>0.55367646424055572</c:v>
                </c:pt>
                <c:pt idx="724">
                  <c:v>0.54632123569403679</c:v>
                </c:pt>
                <c:pt idx="725">
                  <c:v>0.54016900871244178</c:v>
                </c:pt>
                <c:pt idx="726">
                  <c:v>0.53502203557263439</c:v>
                </c:pt>
                <c:pt idx="727">
                  <c:v>0.53672789516201203</c:v>
                </c:pt>
                <c:pt idx="728">
                  <c:v>0.54388469761513192</c:v>
                </c:pt>
                <c:pt idx="729">
                  <c:v>0.54762609214567415</c:v>
                </c:pt>
                <c:pt idx="730">
                  <c:v>0.55381686910097527</c:v>
                </c:pt>
                <c:pt idx="731">
                  <c:v>0.55707743595872172</c:v>
                </c:pt>
                <c:pt idx="732">
                  <c:v>0.55784767624929055</c:v>
                </c:pt>
                <c:pt idx="733">
                  <c:v>0.56260005485176923</c:v>
                </c:pt>
                <c:pt idx="734">
                  <c:v>0.5671977348752254</c:v>
                </c:pt>
                <c:pt idx="735">
                  <c:v>0.56472656147689648</c:v>
                </c:pt>
                <c:pt idx="736">
                  <c:v>0.55707743595872172</c:v>
                </c:pt>
                <c:pt idx="737">
                  <c:v>0.55079514920632977</c:v>
                </c:pt>
                <c:pt idx="738">
                  <c:v>0.54582719830025894</c:v>
                </c:pt>
                <c:pt idx="739">
                  <c:v>0.54575660771720447</c:v>
                </c:pt>
                <c:pt idx="740">
                  <c:v>0.55184995650684376</c:v>
                </c:pt>
                <c:pt idx="741">
                  <c:v>0.55711245580363478</c:v>
                </c:pt>
                <c:pt idx="742">
                  <c:v>0.56277447665277325</c:v>
                </c:pt>
                <c:pt idx="743">
                  <c:v>0.5653186364111572</c:v>
                </c:pt>
                <c:pt idx="744">
                  <c:v>0.56671079616493381</c:v>
                </c:pt>
                <c:pt idx="745">
                  <c:v>0.57261253351296471</c:v>
                </c:pt>
                <c:pt idx="746">
                  <c:v>0.57558894751138634</c:v>
                </c:pt>
                <c:pt idx="747">
                  <c:v>0.57316675010211449</c:v>
                </c:pt>
                <c:pt idx="748">
                  <c:v>0.56622369304750153</c:v>
                </c:pt>
                <c:pt idx="749">
                  <c:v>0.55984138796829153</c:v>
                </c:pt>
                <c:pt idx="750">
                  <c:v>0.5554656034766593</c:v>
                </c:pt>
                <c:pt idx="751">
                  <c:v>0.55543054363289546</c:v>
                </c:pt>
                <c:pt idx="752">
                  <c:v>0.56106423302379171</c:v>
                </c:pt>
                <c:pt idx="753">
                  <c:v>0.56500521524359781</c:v>
                </c:pt>
                <c:pt idx="754">
                  <c:v>0.56938692750523079</c:v>
                </c:pt>
                <c:pt idx="755">
                  <c:v>0.57365151503101131</c:v>
                </c:pt>
                <c:pt idx="756">
                  <c:v>0.57672943161896173</c:v>
                </c:pt>
                <c:pt idx="757">
                  <c:v>0.58155784820606116</c:v>
                </c:pt>
                <c:pt idx="758">
                  <c:v>0.58183327024071485</c:v>
                </c:pt>
                <c:pt idx="759">
                  <c:v>0.5812823735810958</c:v>
                </c:pt>
                <c:pt idx="760">
                  <c:v>0.57427454497606012</c:v>
                </c:pt>
                <c:pt idx="761">
                  <c:v>0.56566680231310262</c:v>
                </c:pt>
                <c:pt idx="762">
                  <c:v>0.56162290287573691</c:v>
                </c:pt>
                <c:pt idx="763">
                  <c:v>0.56385542139796185</c:v>
                </c:pt>
                <c:pt idx="764">
                  <c:v>0.56758021431180217</c:v>
                </c:pt>
                <c:pt idx="765">
                  <c:v>0.5734784033974879</c:v>
                </c:pt>
                <c:pt idx="766">
                  <c:v>0.57852473043934227</c:v>
                </c:pt>
                <c:pt idx="767">
                  <c:v>0.58234954487825097</c:v>
                </c:pt>
                <c:pt idx="768">
                  <c:v>0.5806968152950519</c:v>
                </c:pt>
                <c:pt idx="769">
                  <c:v>0.5856150008995481</c:v>
                </c:pt>
                <c:pt idx="770">
                  <c:v>0.58829059758610203</c:v>
                </c:pt>
                <c:pt idx="771">
                  <c:v>0.58818778172396691</c:v>
                </c:pt>
                <c:pt idx="772">
                  <c:v>0.58100684634573119</c:v>
                </c:pt>
                <c:pt idx="773">
                  <c:v>0.57513941823551418</c:v>
                </c:pt>
                <c:pt idx="774">
                  <c:v>0.57084454590484046</c:v>
                </c:pt>
                <c:pt idx="775">
                  <c:v>0.57025473490173317</c:v>
                </c:pt>
                <c:pt idx="776">
                  <c:v>0.57624569998219233</c:v>
                </c:pt>
                <c:pt idx="777">
                  <c:v>0.5814889844809461</c:v>
                </c:pt>
                <c:pt idx="778">
                  <c:v>0.58317520020842994</c:v>
                </c:pt>
                <c:pt idx="779">
                  <c:v>0.58602695427511742</c:v>
                </c:pt>
                <c:pt idx="780">
                  <c:v>0.58835913742367907</c:v>
                </c:pt>
                <c:pt idx="781">
                  <c:v>0.59642406189270203</c:v>
                </c:pt>
                <c:pt idx="782">
                  <c:v>0.59863743761823274</c:v>
                </c:pt>
                <c:pt idx="783">
                  <c:v>0.59754820008752652</c:v>
                </c:pt>
                <c:pt idx="784">
                  <c:v>0.59123487420164555</c:v>
                </c:pt>
                <c:pt idx="785">
                  <c:v>0.58386288554529309</c:v>
                </c:pt>
                <c:pt idx="786">
                  <c:v>0.57980079560537734</c:v>
                </c:pt>
                <c:pt idx="787">
                  <c:v>0.58090351006474894</c:v>
                </c:pt>
                <c:pt idx="788">
                  <c:v>0.58654173063114645</c:v>
                </c:pt>
                <c:pt idx="789">
                  <c:v>0.59133747314496576</c:v>
                </c:pt>
                <c:pt idx="790">
                  <c:v>0.5945485495503543</c:v>
                </c:pt>
                <c:pt idx="791">
                  <c:v>0.60050764534578571</c:v>
                </c:pt>
                <c:pt idx="792">
                  <c:v>0.6033253768403416</c:v>
                </c:pt>
                <c:pt idx="793">
                  <c:v>0.60715274035522215</c:v>
                </c:pt>
                <c:pt idx="794">
                  <c:v>0.60847133541530962</c:v>
                </c:pt>
                <c:pt idx="795">
                  <c:v>0.60850512970305437</c:v>
                </c:pt>
                <c:pt idx="796">
                  <c:v>0.60390182416318638</c:v>
                </c:pt>
                <c:pt idx="797">
                  <c:v>0.5951967295060876</c:v>
                </c:pt>
                <c:pt idx="798">
                  <c:v>0.59191872937568002</c:v>
                </c:pt>
                <c:pt idx="799">
                  <c:v>0.59311469648461523</c:v>
                </c:pt>
                <c:pt idx="800">
                  <c:v>0.59812695991960418</c:v>
                </c:pt>
                <c:pt idx="801">
                  <c:v>0.60339320612834335</c:v>
                </c:pt>
                <c:pt idx="802">
                  <c:v>0.60762622084548734</c:v>
                </c:pt>
                <c:pt idx="803">
                  <c:v>0.60911329155599458</c:v>
                </c:pt>
                <c:pt idx="804">
                  <c:v>0.61268949829656494</c:v>
                </c:pt>
                <c:pt idx="805">
                  <c:v>0.61770148904698363</c:v>
                </c:pt>
                <c:pt idx="806">
                  <c:v>0.62061992214258854</c:v>
                </c:pt>
                <c:pt idx="807">
                  <c:v>0.61760074804903375</c:v>
                </c:pt>
                <c:pt idx="808">
                  <c:v>0.61174570112861226</c:v>
                </c:pt>
                <c:pt idx="809">
                  <c:v>0.60366449139444733</c:v>
                </c:pt>
                <c:pt idx="810">
                  <c:v>0.59989584420727626</c:v>
                </c:pt>
                <c:pt idx="811">
                  <c:v>0.60159465162047843</c:v>
                </c:pt>
                <c:pt idx="812">
                  <c:v>0.60698360251420269</c:v>
                </c:pt>
                <c:pt idx="813">
                  <c:v>0.61046384518116448</c:v>
                </c:pt>
                <c:pt idx="814">
                  <c:v>0.61427234255403185</c:v>
                </c:pt>
                <c:pt idx="815">
                  <c:v>0.61672736460373478</c:v>
                </c:pt>
                <c:pt idx="816">
                  <c:v>0.61941301059793685</c:v>
                </c:pt>
                <c:pt idx="817">
                  <c:v>0.6226626646700556</c:v>
                </c:pt>
                <c:pt idx="818">
                  <c:v>0.62673949306079169</c:v>
                </c:pt>
                <c:pt idx="819">
                  <c:v>0.6236996723378585</c:v>
                </c:pt>
                <c:pt idx="820">
                  <c:v>0.61598793464393697</c:v>
                </c:pt>
                <c:pt idx="821">
                  <c:v>0.61066631922353776</c:v>
                </c:pt>
              </c:numCache>
            </c:numRef>
          </c:xVal>
          <c:yVal>
            <c:numRef>
              <c:f>Analysis!$E$2:$E$823</c:f>
              <c:numCache>
                <c:formatCode>0.00</c:formatCode>
                <c:ptCount val="822"/>
                <c:pt idx="0">
                  <c:v>8.0000000000000071E-2</c:v>
                </c:pt>
                <c:pt idx="1">
                  <c:v>1.0000000000001563E-2</c:v>
                </c:pt>
                <c:pt idx="2">
                  <c:v>5.9999999999998721E-2</c:v>
                </c:pt>
                <c:pt idx="3">
                  <c:v>-9.0000000000001634E-2</c:v>
                </c:pt>
                <c:pt idx="4">
                  <c:v>5.0000000000004263E-2</c:v>
                </c:pt>
                <c:pt idx="5">
                  <c:v>-5.0000000000000711E-2</c:v>
                </c:pt>
                <c:pt idx="6">
                  <c:v>-2.9999999999999361E-2</c:v>
                </c:pt>
                <c:pt idx="7">
                  <c:v>3.9999999999999147E-2</c:v>
                </c:pt>
                <c:pt idx="8">
                  <c:v>2.0000000000003126E-2</c:v>
                </c:pt>
                <c:pt idx="9">
                  <c:v>1.0000000000001563E-2</c:v>
                </c:pt>
                <c:pt idx="10">
                  <c:v>8.0000000000000071E-2</c:v>
                </c:pt>
                <c:pt idx="11">
                  <c:v>7.0000000000000284E-2</c:v>
                </c:pt>
                <c:pt idx="12">
                  <c:v>0.17999999999999972</c:v>
                </c:pt>
                <c:pt idx="13">
                  <c:v>0.16000000000000014</c:v>
                </c:pt>
                <c:pt idx="14">
                  <c:v>3.9999999999999147E-2</c:v>
                </c:pt>
                <c:pt idx="15">
                  <c:v>2.9999999999997584E-2</c:v>
                </c:pt>
                <c:pt idx="16">
                  <c:v>2.9999999999997584E-2</c:v>
                </c:pt>
                <c:pt idx="17">
                  <c:v>-9.9999999999980105E-3</c:v>
                </c:pt>
                <c:pt idx="18">
                  <c:v>-6.0000000000000497E-2</c:v>
                </c:pt>
                <c:pt idx="19">
                  <c:v>-7.0000000000000284E-2</c:v>
                </c:pt>
                <c:pt idx="20">
                  <c:v>-8.0000000000001847E-2</c:v>
                </c:pt>
                <c:pt idx="21">
                  <c:v>0</c:v>
                </c:pt>
                <c:pt idx="22">
                  <c:v>0</c:v>
                </c:pt>
                <c:pt idx="23">
                  <c:v>0.12999999999999901</c:v>
                </c:pt>
                <c:pt idx="24">
                  <c:v>-0.35000000000000142</c:v>
                </c:pt>
                <c:pt idx="25">
                  <c:v>-0.14999999999999858</c:v>
                </c:pt>
                <c:pt idx="26">
                  <c:v>-8.0000000000001847E-2</c:v>
                </c:pt>
                <c:pt idx="27">
                  <c:v>-3.9999999999999147E-2</c:v>
                </c:pt>
                <c:pt idx="28">
                  <c:v>-3.9999999999999147E-2</c:v>
                </c:pt>
                <c:pt idx="29">
                  <c:v>2.0000000000003126E-2</c:v>
                </c:pt>
                <c:pt idx="30">
                  <c:v>7.0000000000000284E-2</c:v>
                </c:pt>
                <c:pt idx="31">
                  <c:v>5.9999999999998721E-2</c:v>
                </c:pt>
                <c:pt idx="32">
                  <c:v>-0.10999999999999766</c:v>
                </c:pt>
                <c:pt idx="33">
                  <c:v>0.19000000000000128</c:v>
                </c:pt>
                <c:pt idx="34">
                  <c:v>7.0000000000000284E-2</c:v>
                </c:pt>
                <c:pt idx="35">
                  <c:v>0.19000000000000128</c:v>
                </c:pt>
                <c:pt idx="36">
                  <c:v>8.9999999999999858E-2</c:v>
                </c:pt>
                <c:pt idx="37">
                  <c:v>0.12999999999999901</c:v>
                </c:pt>
                <c:pt idx="38">
                  <c:v>0.11999999999999744</c:v>
                </c:pt>
                <c:pt idx="39">
                  <c:v>0.10999999999999766</c:v>
                </c:pt>
                <c:pt idx="40">
                  <c:v>1.0000000000001563E-2</c:v>
                </c:pt>
                <c:pt idx="41">
                  <c:v>1.0000000000001563E-2</c:v>
                </c:pt>
                <c:pt idx="42">
                  <c:v>8.0000000000000071E-2</c:v>
                </c:pt>
                <c:pt idx="43">
                  <c:v>0</c:v>
                </c:pt>
                <c:pt idx="44">
                  <c:v>2.9999999999997584E-2</c:v>
                </c:pt>
                <c:pt idx="45">
                  <c:v>-0.16000000000000014</c:v>
                </c:pt>
                <c:pt idx="46">
                  <c:v>5.0000000000004263E-2</c:v>
                </c:pt>
                <c:pt idx="47">
                  <c:v>0.14999999999999858</c:v>
                </c:pt>
                <c:pt idx="48">
                  <c:v>9.9999999999997868E-2</c:v>
                </c:pt>
                <c:pt idx="49">
                  <c:v>5.0000000000004263E-2</c:v>
                </c:pt>
                <c:pt idx="50">
                  <c:v>-6.0000000000000497E-2</c:v>
                </c:pt>
                <c:pt idx="51">
                  <c:v>2.9999999999997584E-2</c:v>
                </c:pt>
                <c:pt idx="52">
                  <c:v>2.0000000000003126E-2</c:v>
                </c:pt>
                <c:pt idx="53">
                  <c:v>-9.9999999999980105E-3</c:v>
                </c:pt>
                <c:pt idx="54">
                  <c:v>0</c:v>
                </c:pt>
                <c:pt idx="55">
                  <c:v>1.0000000000001563E-2</c:v>
                </c:pt>
                <c:pt idx="56">
                  <c:v>5.9999999999998721E-2</c:v>
                </c:pt>
                <c:pt idx="57">
                  <c:v>-2.9999999999999361E-2</c:v>
                </c:pt>
                <c:pt idx="58">
                  <c:v>-2.9999999999999361E-2</c:v>
                </c:pt>
                <c:pt idx="59">
                  <c:v>0.17999999999999972</c:v>
                </c:pt>
                <c:pt idx="60">
                  <c:v>-0.13999999999999879</c:v>
                </c:pt>
                <c:pt idx="61">
                  <c:v>-7.0000000000000284E-2</c:v>
                </c:pt>
                <c:pt idx="62">
                  <c:v>-6.0000000000000497E-2</c:v>
                </c:pt>
                <c:pt idx="63">
                  <c:v>5.0000000000004263E-2</c:v>
                </c:pt>
                <c:pt idx="64">
                  <c:v>5.9999999999998721E-2</c:v>
                </c:pt>
                <c:pt idx="65">
                  <c:v>0.22000000000000242</c:v>
                </c:pt>
                <c:pt idx="66">
                  <c:v>0.16999999999999993</c:v>
                </c:pt>
                <c:pt idx="67">
                  <c:v>0.14999999999999858</c:v>
                </c:pt>
                <c:pt idx="68">
                  <c:v>0.14999999999999858</c:v>
                </c:pt>
                <c:pt idx="69">
                  <c:v>-2.9999999999999361E-2</c:v>
                </c:pt>
                <c:pt idx="70">
                  <c:v>-9.0000000000001634E-2</c:v>
                </c:pt>
                <c:pt idx="71">
                  <c:v>-0.10000000000000142</c:v>
                </c:pt>
                <c:pt idx="72">
                  <c:v>-0.20999999999999908</c:v>
                </c:pt>
                <c:pt idx="73">
                  <c:v>-0.32000000000000206</c:v>
                </c:pt>
                <c:pt idx="74">
                  <c:v>-0.25</c:v>
                </c:pt>
                <c:pt idx="75">
                  <c:v>-3.9999999999999147E-2</c:v>
                </c:pt>
                <c:pt idx="76">
                  <c:v>-3.9999999999999147E-2</c:v>
                </c:pt>
                <c:pt idx="77">
                  <c:v>-0.21999999999999886</c:v>
                </c:pt>
                <c:pt idx="78">
                  <c:v>-0.30000000000000249</c:v>
                </c:pt>
                <c:pt idx="79">
                  <c:v>-0.31000000000000227</c:v>
                </c:pt>
                <c:pt idx="80">
                  <c:v>-0.20999999999999908</c:v>
                </c:pt>
                <c:pt idx="81">
                  <c:v>-0.30000000000000249</c:v>
                </c:pt>
                <c:pt idx="82">
                  <c:v>-8.0000000000001847E-2</c:v>
                </c:pt>
                <c:pt idx="83">
                  <c:v>-0.16999999999999638</c:v>
                </c:pt>
                <c:pt idx="84">
                  <c:v>-0.13000000000000256</c:v>
                </c:pt>
                <c:pt idx="85">
                  <c:v>-0.18999999999999773</c:v>
                </c:pt>
                <c:pt idx="86">
                  <c:v>-0.11999999999999744</c:v>
                </c:pt>
                <c:pt idx="87">
                  <c:v>-8.0000000000001847E-2</c:v>
                </c:pt>
                <c:pt idx="88">
                  <c:v>-0.13000000000000256</c:v>
                </c:pt>
                <c:pt idx="89">
                  <c:v>-3.9999999999999147E-2</c:v>
                </c:pt>
                <c:pt idx="90">
                  <c:v>-0.14999999999999858</c:v>
                </c:pt>
                <c:pt idx="91">
                  <c:v>-5.0000000000000711E-2</c:v>
                </c:pt>
                <c:pt idx="92">
                  <c:v>-6.0000000000000497E-2</c:v>
                </c:pt>
                <c:pt idx="93">
                  <c:v>-8.0000000000001847E-2</c:v>
                </c:pt>
                <c:pt idx="94">
                  <c:v>-0.18999999999999773</c:v>
                </c:pt>
                <c:pt idx="95">
                  <c:v>-3.9999999999999147E-2</c:v>
                </c:pt>
                <c:pt idx="96">
                  <c:v>2.9999999999997584E-2</c:v>
                </c:pt>
                <c:pt idx="97">
                  <c:v>-0.13000000000000256</c:v>
                </c:pt>
                <c:pt idx="98">
                  <c:v>-0.11999999999999744</c:v>
                </c:pt>
                <c:pt idx="99">
                  <c:v>1.0000000000001563E-2</c:v>
                </c:pt>
                <c:pt idx="100">
                  <c:v>8.0000000000000071E-2</c:v>
                </c:pt>
                <c:pt idx="101">
                  <c:v>-9.0000000000001634E-2</c:v>
                </c:pt>
                <c:pt idx="102">
                  <c:v>-2.9999999999999361E-2</c:v>
                </c:pt>
                <c:pt idx="103">
                  <c:v>-0.16999999999999638</c:v>
                </c:pt>
                <c:pt idx="104">
                  <c:v>-9.9999999999980105E-3</c:v>
                </c:pt>
                <c:pt idx="105">
                  <c:v>-2.9999999999999361E-2</c:v>
                </c:pt>
                <c:pt idx="106">
                  <c:v>-8.0000000000001847E-2</c:v>
                </c:pt>
                <c:pt idx="107">
                  <c:v>-0.20999999999999908</c:v>
                </c:pt>
                <c:pt idx="108">
                  <c:v>5.0000000000004263E-2</c:v>
                </c:pt>
                <c:pt idx="109">
                  <c:v>-5.0000000000000711E-2</c:v>
                </c:pt>
                <c:pt idx="110">
                  <c:v>0.11999999999999744</c:v>
                </c:pt>
                <c:pt idx="111">
                  <c:v>-8.0000000000001847E-2</c:v>
                </c:pt>
                <c:pt idx="112">
                  <c:v>2.0000000000003126E-2</c:v>
                </c:pt>
                <c:pt idx="113">
                  <c:v>1.0000000000001563E-2</c:v>
                </c:pt>
                <c:pt idx="114">
                  <c:v>-6.0000000000000497E-2</c:v>
                </c:pt>
                <c:pt idx="115">
                  <c:v>8.9999999999999858E-2</c:v>
                </c:pt>
                <c:pt idx="116">
                  <c:v>-5.0000000000000711E-2</c:v>
                </c:pt>
                <c:pt idx="117">
                  <c:v>-5.0000000000000711E-2</c:v>
                </c:pt>
                <c:pt idx="118">
                  <c:v>-0.25999999999999979</c:v>
                </c:pt>
                <c:pt idx="119">
                  <c:v>-0.13999999999999879</c:v>
                </c:pt>
                <c:pt idx="120">
                  <c:v>0.20000000000000107</c:v>
                </c:pt>
                <c:pt idx="121">
                  <c:v>-6.0000000000000497E-2</c:v>
                </c:pt>
                <c:pt idx="122">
                  <c:v>-0.13999999999999879</c:v>
                </c:pt>
                <c:pt idx="123">
                  <c:v>-9.0000000000001634E-2</c:v>
                </c:pt>
                <c:pt idx="124">
                  <c:v>-0.13000000000000256</c:v>
                </c:pt>
                <c:pt idx="125">
                  <c:v>-8.0000000000001847E-2</c:v>
                </c:pt>
                <c:pt idx="126">
                  <c:v>-0.18999999999999773</c:v>
                </c:pt>
                <c:pt idx="127">
                  <c:v>8.9999999999999858E-2</c:v>
                </c:pt>
                <c:pt idx="128">
                  <c:v>-5.0000000000000711E-2</c:v>
                </c:pt>
                <c:pt idx="129">
                  <c:v>-0.13999999999999879</c:v>
                </c:pt>
                <c:pt idx="130">
                  <c:v>-0.10999999999999766</c:v>
                </c:pt>
                <c:pt idx="131">
                  <c:v>-0.17999999999999794</c:v>
                </c:pt>
                <c:pt idx="132">
                  <c:v>1.0000000000001563E-2</c:v>
                </c:pt>
                <c:pt idx="133">
                  <c:v>0.16999999999999993</c:v>
                </c:pt>
                <c:pt idx="134">
                  <c:v>0.17999999999999972</c:v>
                </c:pt>
                <c:pt idx="135">
                  <c:v>2.9999999999997584E-2</c:v>
                </c:pt>
                <c:pt idx="136">
                  <c:v>-3.9999999999999147E-2</c:v>
                </c:pt>
                <c:pt idx="137">
                  <c:v>3.9999999999999147E-2</c:v>
                </c:pt>
                <c:pt idx="138">
                  <c:v>8.0000000000000071E-2</c:v>
                </c:pt>
                <c:pt idx="139">
                  <c:v>8.9999999999999858E-2</c:v>
                </c:pt>
                <c:pt idx="140">
                  <c:v>0.11999999999999744</c:v>
                </c:pt>
                <c:pt idx="141">
                  <c:v>0.24000000000000199</c:v>
                </c:pt>
                <c:pt idx="142">
                  <c:v>8.0000000000000071E-2</c:v>
                </c:pt>
                <c:pt idx="143">
                  <c:v>0.22000000000000242</c:v>
                </c:pt>
                <c:pt idx="144">
                  <c:v>5.9999999999998721E-2</c:v>
                </c:pt>
                <c:pt idx="145">
                  <c:v>5.0000000000004263E-2</c:v>
                </c:pt>
                <c:pt idx="146">
                  <c:v>-2.9999999999999361E-2</c:v>
                </c:pt>
                <c:pt idx="147">
                  <c:v>-1.9999999999999574E-2</c:v>
                </c:pt>
                <c:pt idx="148">
                  <c:v>2.0000000000003126E-2</c:v>
                </c:pt>
                <c:pt idx="149">
                  <c:v>-0.10000000000000142</c:v>
                </c:pt>
                <c:pt idx="150">
                  <c:v>0.11999999999999744</c:v>
                </c:pt>
                <c:pt idx="151">
                  <c:v>2.9999999999997584E-2</c:v>
                </c:pt>
                <c:pt idx="152">
                  <c:v>2.0000000000003126E-2</c:v>
                </c:pt>
                <c:pt idx="153">
                  <c:v>-0.11999999999999744</c:v>
                </c:pt>
                <c:pt idx="154">
                  <c:v>-1.9999999999999574E-2</c:v>
                </c:pt>
                <c:pt idx="155">
                  <c:v>-0.14999999999999858</c:v>
                </c:pt>
                <c:pt idx="156">
                  <c:v>-0.17999999999999794</c:v>
                </c:pt>
                <c:pt idx="157">
                  <c:v>-7.0000000000000284E-2</c:v>
                </c:pt>
                <c:pt idx="158">
                  <c:v>-5.0000000000000711E-2</c:v>
                </c:pt>
                <c:pt idx="159">
                  <c:v>-0.16000000000000014</c:v>
                </c:pt>
                <c:pt idx="160">
                  <c:v>-7.0000000000000284E-2</c:v>
                </c:pt>
                <c:pt idx="161">
                  <c:v>-9.9999999999980105E-3</c:v>
                </c:pt>
                <c:pt idx="162">
                  <c:v>-5.0000000000000711E-2</c:v>
                </c:pt>
                <c:pt idx="163">
                  <c:v>-3.9999999999999147E-2</c:v>
                </c:pt>
                <c:pt idx="164">
                  <c:v>-7.0000000000000284E-2</c:v>
                </c:pt>
                <c:pt idx="165">
                  <c:v>-8.0000000000001847E-2</c:v>
                </c:pt>
                <c:pt idx="166">
                  <c:v>-0.21999999999999886</c:v>
                </c:pt>
                <c:pt idx="167">
                  <c:v>-0.17999999999999794</c:v>
                </c:pt>
                <c:pt idx="168">
                  <c:v>2.9999999999997584E-2</c:v>
                </c:pt>
                <c:pt idx="169">
                  <c:v>0</c:v>
                </c:pt>
                <c:pt idx="170">
                  <c:v>-2.9999999999999361E-2</c:v>
                </c:pt>
                <c:pt idx="171">
                  <c:v>3.9999999999999147E-2</c:v>
                </c:pt>
                <c:pt idx="172">
                  <c:v>1.0000000000001563E-2</c:v>
                </c:pt>
                <c:pt idx="173">
                  <c:v>0.16000000000000014</c:v>
                </c:pt>
                <c:pt idx="174">
                  <c:v>2.0000000000003126E-2</c:v>
                </c:pt>
                <c:pt idx="175">
                  <c:v>8.0000000000000071E-2</c:v>
                </c:pt>
                <c:pt idx="176">
                  <c:v>2.0000000000003126E-2</c:v>
                </c:pt>
                <c:pt idx="177">
                  <c:v>0.17999999999999972</c:v>
                </c:pt>
                <c:pt idx="178">
                  <c:v>0.28999999999999559</c:v>
                </c:pt>
                <c:pt idx="179">
                  <c:v>0.32000000000000028</c:v>
                </c:pt>
                <c:pt idx="180">
                  <c:v>0.28999999999999559</c:v>
                </c:pt>
                <c:pt idx="181">
                  <c:v>0.27000000000000135</c:v>
                </c:pt>
                <c:pt idx="182">
                  <c:v>0.2300000000000022</c:v>
                </c:pt>
                <c:pt idx="183">
                  <c:v>0.19000000000000128</c:v>
                </c:pt>
                <c:pt idx="184">
                  <c:v>0.12999999999999901</c:v>
                </c:pt>
                <c:pt idx="185">
                  <c:v>5.0000000000004263E-2</c:v>
                </c:pt>
                <c:pt idx="186">
                  <c:v>8.9999999999999858E-2</c:v>
                </c:pt>
                <c:pt idx="187">
                  <c:v>9.9999999999997868E-2</c:v>
                </c:pt>
                <c:pt idx="188">
                  <c:v>3.9999999999999147E-2</c:v>
                </c:pt>
                <c:pt idx="189">
                  <c:v>-7.0000000000000284E-2</c:v>
                </c:pt>
                <c:pt idx="190">
                  <c:v>-0.10000000000000142</c:v>
                </c:pt>
                <c:pt idx="191">
                  <c:v>-0.27000000000000135</c:v>
                </c:pt>
                <c:pt idx="192">
                  <c:v>-5.0000000000000711E-2</c:v>
                </c:pt>
                <c:pt idx="193">
                  <c:v>-0.11999999999999744</c:v>
                </c:pt>
                <c:pt idx="194">
                  <c:v>-3.9999999999999147E-2</c:v>
                </c:pt>
                <c:pt idx="195">
                  <c:v>-5.0000000000000711E-2</c:v>
                </c:pt>
                <c:pt idx="196">
                  <c:v>-2.9999999999999361E-2</c:v>
                </c:pt>
                <c:pt idx="197">
                  <c:v>9.9999999999997868E-2</c:v>
                </c:pt>
                <c:pt idx="198">
                  <c:v>-8.0000000000001847E-2</c:v>
                </c:pt>
                <c:pt idx="199">
                  <c:v>-6.0000000000000497E-2</c:v>
                </c:pt>
                <c:pt idx="200">
                  <c:v>-8.0000000000001847E-2</c:v>
                </c:pt>
                <c:pt idx="201">
                  <c:v>-8.0000000000001847E-2</c:v>
                </c:pt>
                <c:pt idx="202">
                  <c:v>9.9999999999997868E-2</c:v>
                </c:pt>
                <c:pt idx="203">
                  <c:v>8.0000000000000071E-2</c:v>
                </c:pt>
                <c:pt idx="204">
                  <c:v>0.11999999999999744</c:v>
                </c:pt>
                <c:pt idx="205">
                  <c:v>3.9999999999999147E-2</c:v>
                </c:pt>
                <c:pt idx="206">
                  <c:v>0.16000000000000014</c:v>
                </c:pt>
                <c:pt idx="207">
                  <c:v>-9.9999999999980105E-3</c:v>
                </c:pt>
                <c:pt idx="208">
                  <c:v>-9.9999999999980105E-3</c:v>
                </c:pt>
                <c:pt idx="209">
                  <c:v>-0.16999999999999638</c:v>
                </c:pt>
                <c:pt idx="210">
                  <c:v>-1.9999999999999574E-2</c:v>
                </c:pt>
                <c:pt idx="211">
                  <c:v>-0.10999999999999766</c:v>
                </c:pt>
                <c:pt idx="212">
                  <c:v>-0.16999999999999638</c:v>
                </c:pt>
                <c:pt idx="213">
                  <c:v>-0.16999999999999638</c:v>
                </c:pt>
                <c:pt idx="214">
                  <c:v>-2.9999999999999361E-2</c:v>
                </c:pt>
                <c:pt idx="215">
                  <c:v>-6.0000000000000497E-2</c:v>
                </c:pt>
                <c:pt idx="216">
                  <c:v>-0.21999999999999886</c:v>
                </c:pt>
                <c:pt idx="217">
                  <c:v>-7.0000000000000284E-2</c:v>
                </c:pt>
                <c:pt idx="218">
                  <c:v>-0.19999999999999751</c:v>
                </c:pt>
                <c:pt idx="219">
                  <c:v>-0.11999999999999744</c:v>
                </c:pt>
                <c:pt idx="220">
                  <c:v>-0.10000000000000142</c:v>
                </c:pt>
                <c:pt idx="221">
                  <c:v>-0.11999999999999744</c:v>
                </c:pt>
                <c:pt idx="222">
                  <c:v>-6.0000000000000497E-2</c:v>
                </c:pt>
                <c:pt idx="223">
                  <c:v>-0.24000000000000021</c:v>
                </c:pt>
                <c:pt idx="224">
                  <c:v>-6.0000000000000497E-2</c:v>
                </c:pt>
                <c:pt idx="225">
                  <c:v>0.10999999999999766</c:v>
                </c:pt>
                <c:pt idx="226">
                  <c:v>0.19000000000000128</c:v>
                </c:pt>
                <c:pt idx="227">
                  <c:v>0.2300000000000022</c:v>
                </c:pt>
                <c:pt idx="228">
                  <c:v>0.24000000000000199</c:v>
                </c:pt>
                <c:pt idx="229">
                  <c:v>0.25999999999999979</c:v>
                </c:pt>
                <c:pt idx="230">
                  <c:v>0.32999999999999652</c:v>
                </c:pt>
                <c:pt idx="231">
                  <c:v>0.27000000000000135</c:v>
                </c:pt>
                <c:pt idx="232">
                  <c:v>0.20000000000000107</c:v>
                </c:pt>
                <c:pt idx="233">
                  <c:v>0.17999999999999972</c:v>
                </c:pt>
                <c:pt idx="234">
                  <c:v>2.0000000000003126E-2</c:v>
                </c:pt>
                <c:pt idx="235">
                  <c:v>2.9999999999997584E-2</c:v>
                </c:pt>
                <c:pt idx="236">
                  <c:v>0.16000000000000014</c:v>
                </c:pt>
                <c:pt idx="237">
                  <c:v>2.9999999999997584E-2</c:v>
                </c:pt>
                <c:pt idx="238">
                  <c:v>5.9999999999998721E-2</c:v>
                </c:pt>
                <c:pt idx="239">
                  <c:v>9.9999999999997868E-2</c:v>
                </c:pt>
                <c:pt idx="240">
                  <c:v>0.19000000000000128</c:v>
                </c:pt>
                <c:pt idx="241">
                  <c:v>0.16999999999999993</c:v>
                </c:pt>
                <c:pt idx="242">
                  <c:v>8.9999999999999858E-2</c:v>
                </c:pt>
                <c:pt idx="243">
                  <c:v>-9.9999999999980105E-3</c:v>
                </c:pt>
                <c:pt idx="244">
                  <c:v>3.9999999999999147E-2</c:v>
                </c:pt>
                <c:pt idx="245">
                  <c:v>-0.13999999999999879</c:v>
                </c:pt>
                <c:pt idx="246">
                  <c:v>5.9999999999998721E-2</c:v>
                </c:pt>
                <c:pt idx="247">
                  <c:v>2.9999999999997584E-2</c:v>
                </c:pt>
                <c:pt idx="248">
                  <c:v>0.12999999999999901</c:v>
                </c:pt>
                <c:pt idx="249">
                  <c:v>8.0000000000000071E-2</c:v>
                </c:pt>
                <c:pt idx="250">
                  <c:v>8.9999999999999858E-2</c:v>
                </c:pt>
                <c:pt idx="251">
                  <c:v>-0.10000000000000142</c:v>
                </c:pt>
                <c:pt idx="252">
                  <c:v>0.19000000000000128</c:v>
                </c:pt>
                <c:pt idx="253">
                  <c:v>0.14999999999999858</c:v>
                </c:pt>
                <c:pt idx="254">
                  <c:v>2.9999999999997584E-2</c:v>
                </c:pt>
                <c:pt idx="255">
                  <c:v>0.13999999999999879</c:v>
                </c:pt>
                <c:pt idx="256">
                  <c:v>3.9999999999999147E-2</c:v>
                </c:pt>
                <c:pt idx="257">
                  <c:v>0.16999999999999993</c:v>
                </c:pt>
                <c:pt idx="258">
                  <c:v>0.25000000000000355</c:v>
                </c:pt>
                <c:pt idx="259">
                  <c:v>0.25999999999999979</c:v>
                </c:pt>
                <c:pt idx="260">
                  <c:v>0.28000000000000114</c:v>
                </c:pt>
                <c:pt idx="261">
                  <c:v>0.47000000000000242</c:v>
                </c:pt>
                <c:pt idx="262">
                  <c:v>0.30000000000000249</c:v>
                </c:pt>
                <c:pt idx="263">
                  <c:v>0.38999999999999879</c:v>
                </c:pt>
                <c:pt idx="264">
                  <c:v>0.28999999999999559</c:v>
                </c:pt>
                <c:pt idx="265">
                  <c:v>0.30000000000000249</c:v>
                </c:pt>
                <c:pt idx="266">
                  <c:v>0.34999999999999787</c:v>
                </c:pt>
                <c:pt idx="267">
                  <c:v>0.20000000000000107</c:v>
                </c:pt>
                <c:pt idx="268">
                  <c:v>0.22000000000000242</c:v>
                </c:pt>
                <c:pt idx="269">
                  <c:v>0.17999999999999972</c:v>
                </c:pt>
                <c:pt idx="270">
                  <c:v>0.20000000000000107</c:v>
                </c:pt>
                <c:pt idx="271">
                  <c:v>0.12999999999999901</c:v>
                </c:pt>
                <c:pt idx="272">
                  <c:v>0.30000000000000249</c:v>
                </c:pt>
                <c:pt idx="273">
                  <c:v>0.21000000000000085</c:v>
                </c:pt>
                <c:pt idx="274">
                  <c:v>0.52999999999999758</c:v>
                </c:pt>
                <c:pt idx="275">
                  <c:v>0.42000000000000348</c:v>
                </c:pt>
                <c:pt idx="276">
                  <c:v>0.47999999999999865</c:v>
                </c:pt>
                <c:pt idx="277">
                  <c:v>0.32000000000000028</c:v>
                </c:pt>
                <c:pt idx="278">
                  <c:v>0.25000000000000355</c:v>
                </c:pt>
                <c:pt idx="279">
                  <c:v>0.28999999999999559</c:v>
                </c:pt>
                <c:pt idx="280">
                  <c:v>0.32999999999999652</c:v>
                </c:pt>
                <c:pt idx="281">
                  <c:v>0.34999999999999787</c:v>
                </c:pt>
                <c:pt idx="282">
                  <c:v>0.14999999999999858</c:v>
                </c:pt>
                <c:pt idx="283">
                  <c:v>0.11999999999999744</c:v>
                </c:pt>
                <c:pt idx="284">
                  <c:v>0.2300000000000022</c:v>
                </c:pt>
                <c:pt idx="285">
                  <c:v>0.41000000000000014</c:v>
                </c:pt>
                <c:pt idx="286">
                  <c:v>5.0000000000004263E-2</c:v>
                </c:pt>
                <c:pt idx="287">
                  <c:v>0.14999999999999858</c:v>
                </c:pt>
                <c:pt idx="288">
                  <c:v>2.9999999999997584E-2</c:v>
                </c:pt>
                <c:pt idx="289">
                  <c:v>0.14999999999999858</c:v>
                </c:pt>
                <c:pt idx="290">
                  <c:v>0.17999999999999972</c:v>
                </c:pt>
                <c:pt idx="291">
                  <c:v>5.9999999999998721E-2</c:v>
                </c:pt>
                <c:pt idx="292">
                  <c:v>0.13999999999999879</c:v>
                </c:pt>
                <c:pt idx="293">
                  <c:v>2.9999999999997584E-2</c:v>
                </c:pt>
                <c:pt idx="294">
                  <c:v>0.13999999999999879</c:v>
                </c:pt>
                <c:pt idx="295">
                  <c:v>0.12999999999999901</c:v>
                </c:pt>
                <c:pt idx="296">
                  <c:v>0.17999999999999972</c:v>
                </c:pt>
                <c:pt idx="297">
                  <c:v>0.42999999999999972</c:v>
                </c:pt>
                <c:pt idx="298">
                  <c:v>0.52999999999999758</c:v>
                </c:pt>
                <c:pt idx="299">
                  <c:v>0.42999999999999972</c:v>
                </c:pt>
                <c:pt idx="300">
                  <c:v>0.42000000000000348</c:v>
                </c:pt>
                <c:pt idx="301">
                  <c:v>0.28000000000000114</c:v>
                </c:pt>
                <c:pt idx="302">
                  <c:v>0.33999999999999986</c:v>
                </c:pt>
                <c:pt idx="303">
                  <c:v>0.2300000000000022</c:v>
                </c:pt>
                <c:pt idx="304">
                  <c:v>0.17999999999999972</c:v>
                </c:pt>
                <c:pt idx="305">
                  <c:v>0.36000000000000121</c:v>
                </c:pt>
                <c:pt idx="306">
                  <c:v>0.36999999999999744</c:v>
                </c:pt>
                <c:pt idx="307">
                  <c:v>0.16999999999999993</c:v>
                </c:pt>
                <c:pt idx="308">
                  <c:v>0.30000000000000249</c:v>
                </c:pt>
                <c:pt idx="309">
                  <c:v>0.16999999999999993</c:v>
                </c:pt>
                <c:pt idx="310">
                  <c:v>0.31000000000000227</c:v>
                </c:pt>
                <c:pt idx="311">
                  <c:v>0.13999999999999879</c:v>
                </c:pt>
                <c:pt idx="312">
                  <c:v>0.25999999999999979</c:v>
                </c:pt>
                <c:pt idx="313">
                  <c:v>5.9999999999998721E-2</c:v>
                </c:pt>
                <c:pt idx="314">
                  <c:v>0.32999999999999652</c:v>
                </c:pt>
                <c:pt idx="315">
                  <c:v>2.0000000000003126E-2</c:v>
                </c:pt>
                <c:pt idx="316">
                  <c:v>0.19000000000000128</c:v>
                </c:pt>
                <c:pt idx="317">
                  <c:v>0.19000000000000128</c:v>
                </c:pt>
                <c:pt idx="318">
                  <c:v>0.21000000000000085</c:v>
                </c:pt>
                <c:pt idx="319">
                  <c:v>0.12999999999999901</c:v>
                </c:pt>
                <c:pt idx="320">
                  <c:v>5.9999999999998721E-2</c:v>
                </c:pt>
                <c:pt idx="321">
                  <c:v>-3.9999999999999147E-2</c:v>
                </c:pt>
                <c:pt idx="322">
                  <c:v>0.22000000000000242</c:v>
                </c:pt>
                <c:pt idx="323">
                  <c:v>-3.9999999999999147E-2</c:v>
                </c:pt>
                <c:pt idx="324">
                  <c:v>0.16999999999999993</c:v>
                </c:pt>
                <c:pt idx="325">
                  <c:v>0.11999999999999744</c:v>
                </c:pt>
                <c:pt idx="326">
                  <c:v>0.14999999999999858</c:v>
                </c:pt>
                <c:pt idx="327">
                  <c:v>0.14999999999999858</c:v>
                </c:pt>
                <c:pt idx="328">
                  <c:v>3.9999999999999147E-2</c:v>
                </c:pt>
                <c:pt idx="329">
                  <c:v>0.16999999999999993</c:v>
                </c:pt>
                <c:pt idx="330">
                  <c:v>0.12999999999999901</c:v>
                </c:pt>
                <c:pt idx="331">
                  <c:v>0.11999999999999744</c:v>
                </c:pt>
                <c:pt idx="332">
                  <c:v>5.0000000000004263E-2</c:v>
                </c:pt>
                <c:pt idx="333">
                  <c:v>0.13999999999999879</c:v>
                </c:pt>
                <c:pt idx="334">
                  <c:v>0.25999999999999979</c:v>
                </c:pt>
                <c:pt idx="335">
                  <c:v>0.36999999999999744</c:v>
                </c:pt>
                <c:pt idx="336">
                  <c:v>0.30000000000000249</c:v>
                </c:pt>
                <c:pt idx="337">
                  <c:v>0.22000000000000242</c:v>
                </c:pt>
                <c:pt idx="338">
                  <c:v>0.21000000000000085</c:v>
                </c:pt>
                <c:pt idx="339">
                  <c:v>0.11999999999999744</c:v>
                </c:pt>
                <c:pt idx="340">
                  <c:v>0.10999999999999766</c:v>
                </c:pt>
                <c:pt idx="341">
                  <c:v>0.16000000000000014</c:v>
                </c:pt>
                <c:pt idx="342">
                  <c:v>2.9999999999997584E-2</c:v>
                </c:pt>
                <c:pt idx="343">
                  <c:v>0.14999999999999858</c:v>
                </c:pt>
                <c:pt idx="344">
                  <c:v>9.9999999999997868E-2</c:v>
                </c:pt>
                <c:pt idx="345">
                  <c:v>0.12999999999999901</c:v>
                </c:pt>
                <c:pt idx="346">
                  <c:v>0.32000000000000028</c:v>
                </c:pt>
                <c:pt idx="347">
                  <c:v>0.42999999999999972</c:v>
                </c:pt>
                <c:pt idx="348">
                  <c:v>0.17999999999999972</c:v>
                </c:pt>
                <c:pt idx="349">
                  <c:v>0.24000000000000199</c:v>
                </c:pt>
                <c:pt idx="350">
                  <c:v>0.25999999999999979</c:v>
                </c:pt>
                <c:pt idx="351">
                  <c:v>0.34999999999999787</c:v>
                </c:pt>
                <c:pt idx="352">
                  <c:v>0.40000000000000213</c:v>
                </c:pt>
                <c:pt idx="353">
                  <c:v>0.25000000000000355</c:v>
                </c:pt>
                <c:pt idx="354">
                  <c:v>0.34999999999999787</c:v>
                </c:pt>
                <c:pt idx="355">
                  <c:v>0.32999999999999652</c:v>
                </c:pt>
                <c:pt idx="356">
                  <c:v>0.28999999999999559</c:v>
                </c:pt>
                <c:pt idx="357">
                  <c:v>0.46000000000000441</c:v>
                </c:pt>
                <c:pt idx="358">
                  <c:v>0.57000000000000028</c:v>
                </c:pt>
                <c:pt idx="359">
                  <c:v>0.44000000000000483</c:v>
                </c:pt>
                <c:pt idx="360">
                  <c:v>0.5199999999999978</c:v>
                </c:pt>
                <c:pt idx="361">
                  <c:v>0.42999999999999972</c:v>
                </c:pt>
                <c:pt idx="362">
                  <c:v>0.44000000000000483</c:v>
                </c:pt>
                <c:pt idx="363">
                  <c:v>0.40000000000000213</c:v>
                </c:pt>
                <c:pt idx="364">
                  <c:v>0.32999999999999652</c:v>
                </c:pt>
                <c:pt idx="365">
                  <c:v>0.38999999999999879</c:v>
                </c:pt>
                <c:pt idx="366">
                  <c:v>0.36999999999999744</c:v>
                </c:pt>
                <c:pt idx="367">
                  <c:v>0.38000000000000256</c:v>
                </c:pt>
                <c:pt idx="368">
                  <c:v>0.11999999999999744</c:v>
                </c:pt>
                <c:pt idx="369">
                  <c:v>0.28999999999999559</c:v>
                </c:pt>
                <c:pt idx="370">
                  <c:v>0.11999999999999744</c:v>
                </c:pt>
                <c:pt idx="371">
                  <c:v>0.30000000000000249</c:v>
                </c:pt>
                <c:pt idx="372">
                  <c:v>0.36000000000000121</c:v>
                </c:pt>
                <c:pt idx="373">
                  <c:v>0.28999999999999559</c:v>
                </c:pt>
                <c:pt idx="374">
                  <c:v>0.17999999999999972</c:v>
                </c:pt>
                <c:pt idx="375">
                  <c:v>0.14999999999999858</c:v>
                </c:pt>
                <c:pt idx="376">
                  <c:v>0.34999999999999787</c:v>
                </c:pt>
                <c:pt idx="377">
                  <c:v>0.32999999999999652</c:v>
                </c:pt>
                <c:pt idx="378">
                  <c:v>0.34999999999999787</c:v>
                </c:pt>
                <c:pt idx="379">
                  <c:v>0.28999999999999559</c:v>
                </c:pt>
                <c:pt idx="380">
                  <c:v>0.20000000000000107</c:v>
                </c:pt>
                <c:pt idx="381">
                  <c:v>0.36999999999999744</c:v>
                </c:pt>
                <c:pt idx="382">
                  <c:v>0.42000000000000348</c:v>
                </c:pt>
                <c:pt idx="383">
                  <c:v>0.44000000000000483</c:v>
                </c:pt>
                <c:pt idx="384">
                  <c:v>0.79999999999999893</c:v>
                </c:pt>
                <c:pt idx="385">
                  <c:v>0.55999999999999872</c:v>
                </c:pt>
                <c:pt idx="386">
                  <c:v>0.46000000000000441</c:v>
                </c:pt>
                <c:pt idx="387">
                  <c:v>0.36999999999999744</c:v>
                </c:pt>
                <c:pt idx="388">
                  <c:v>0.46000000000000441</c:v>
                </c:pt>
                <c:pt idx="389">
                  <c:v>0.33999999999999986</c:v>
                </c:pt>
                <c:pt idx="390">
                  <c:v>0.2300000000000022</c:v>
                </c:pt>
                <c:pt idx="391">
                  <c:v>0.44999999999999751</c:v>
                </c:pt>
                <c:pt idx="392">
                  <c:v>0.46000000000000441</c:v>
                </c:pt>
                <c:pt idx="393">
                  <c:v>0.40000000000000213</c:v>
                </c:pt>
                <c:pt idx="394">
                  <c:v>0.42999999999999972</c:v>
                </c:pt>
                <c:pt idx="395">
                  <c:v>0.5</c:v>
                </c:pt>
                <c:pt idx="396">
                  <c:v>0.36000000000000121</c:v>
                </c:pt>
                <c:pt idx="397">
                  <c:v>0.50999999999999801</c:v>
                </c:pt>
                <c:pt idx="398">
                  <c:v>0.33999999999999986</c:v>
                </c:pt>
                <c:pt idx="399">
                  <c:v>0.52999999999999758</c:v>
                </c:pt>
                <c:pt idx="400">
                  <c:v>0.47999999999999865</c:v>
                </c:pt>
                <c:pt idx="401">
                  <c:v>0.38999999999999879</c:v>
                </c:pt>
                <c:pt idx="402">
                  <c:v>0.44000000000000483</c:v>
                </c:pt>
                <c:pt idx="403">
                  <c:v>0.28999999999999559</c:v>
                </c:pt>
                <c:pt idx="404">
                  <c:v>0.30000000000000249</c:v>
                </c:pt>
                <c:pt idx="405">
                  <c:v>0.32000000000000028</c:v>
                </c:pt>
                <c:pt idx="406">
                  <c:v>0.47999999999999865</c:v>
                </c:pt>
                <c:pt idx="407">
                  <c:v>0.40000000000000213</c:v>
                </c:pt>
                <c:pt idx="408">
                  <c:v>0.47999999999999865</c:v>
                </c:pt>
                <c:pt idx="409">
                  <c:v>0.28000000000000114</c:v>
                </c:pt>
                <c:pt idx="410">
                  <c:v>0.31000000000000227</c:v>
                </c:pt>
                <c:pt idx="411">
                  <c:v>0.25999999999999979</c:v>
                </c:pt>
                <c:pt idx="412">
                  <c:v>8.9999999999999858E-2</c:v>
                </c:pt>
                <c:pt idx="413">
                  <c:v>8.0000000000000071E-2</c:v>
                </c:pt>
                <c:pt idx="414">
                  <c:v>-9.9999999999980105E-3</c:v>
                </c:pt>
                <c:pt idx="415">
                  <c:v>7.0000000000000284E-2</c:v>
                </c:pt>
                <c:pt idx="416">
                  <c:v>2.9999999999997584E-2</c:v>
                </c:pt>
                <c:pt idx="417">
                  <c:v>0.22000000000000242</c:v>
                </c:pt>
                <c:pt idx="418">
                  <c:v>0.34999999999999787</c:v>
                </c:pt>
                <c:pt idx="419">
                  <c:v>0.36999999999999744</c:v>
                </c:pt>
                <c:pt idx="420">
                  <c:v>0.36000000000000121</c:v>
                </c:pt>
                <c:pt idx="421">
                  <c:v>0.28000000000000114</c:v>
                </c:pt>
                <c:pt idx="422">
                  <c:v>0.28000000000000114</c:v>
                </c:pt>
                <c:pt idx="423">
                  <c:v>0.2300000000000022</c:v>
                </c:pt>
                <c:pt idx="424">
                  <c:v>0.25000000000000355</c:v>
                </c:pt>
                <c:pt idx="425">
                  <c:v>0.10999999999999766</c:v>
                </c:pt>
                <c:pt idx="426">
                  <c:v>0.10999999999999766</c:v>
                </c:pt>
                <c:pt idx="427">
                  <c:v>0.24000000000000199</c:v>
                </c:pt>
                <c:pt idx="428">
                  <c:v>3.9999999999999147E-2</c:v>
                </c:pt>
                <c:pt idx="429">
                  <c:v>0.17999999999999972</c:v>
                </c:pt>
                <c:pt idx="430">
                  <c:v>0.25999999999999979</c:v>
                </c:pt>
                <c:pt idx="431">
                  <c:v>2.0000000000003126E-2</c:v>
                </c:pt>
                <c:pt idx="432">
                  <c:v>0.28999999999999559</c:v>
                </c:pt>
                <c:pt idx="433">
                  <c:v>0.41000000000000014</c:v>
                </c:pt>
                <c:pt idx="434">
                  <c:v>0.28000000000000114</c:v>
                </c:pt>
                <c:pt idx="435">
                  <c:v>0.42999999999999972</c:v>
                </c:pt>
                <c:pt idx="436">
                  <c:v>0.30000000000000249</c:v>
                </c:pt>
                <c:pt idx="437">
                  <c:v>0.22000000000000242</c:v>
                </c:pt>
                <c:pt idx="438">
                  <c:v>0.31000000000000227</c:v>
                </c:pt>
                <c:pt idx="439">
                  <c:v>0.42999999999999972</c:v>
                </c:pt>
                <c:pt idx="440">
                  <c:v>0.44999999999999751</c:v>
                </c:pt>
                <c:pt idx="441">
                  <c:v>0.38999999999999879</c:v>
                </c:pt>
                <c:pt idx="442">
                  <c:v>0.52999999999999758</c:v>
                </c:pt>
                <c:pt idx="443">
                  <c:v>0.79000000000000092</c:v>
                </c:pt>
                <c:pt idx="444">
                  <c:v>0.47000000000000242</c:v>
                </c:pt>
                <c:pt idx="445">
                  <c:v>0.47000000000000242</c:v>
                </c:pt>
                <c:pt idx="446">
                  <c:v>0.27000000000000135</c:v>
                </c:pt>
                <c:pt idx="447">
                  <c:v>0.42999999999999972</c:v>
                </c:pt>
                <c:pt idx="448">
                  <c:v>0.46000000000000441</c:v>
                </c:pt>
                <c:pt idx="449">
                  <c:v>0.44999999999999751</c:v>
                </c:pt>
                <c:pt idx="450">
                  <c:v>0.32999999999999652</c:v>
                </c:pt>
                <c:pt idx="451">
                  <c:v>0.46000000000000441</c:v>
                </c:pt>
                <c:pt idx="452">
                  <c:v>0.44999999999999751</c:v>
                </c:pt>
                <c:pt idx="453">
                  <c:v>0.25999999999999979</c:v>
                </c:pt>
                <c:pt idx="454">
                  <c:v>0.24000000000000199</c:v>
                </c:pt>
                <c:pt idx="455">
                  <c:v>0.46000000000000441</c:v>
                </c:pt>
                <c:pt idx="456">
                  <c:v>0.32999999999999652</c:v>
                </c:pt>
                <c:pt idx="457">
                  <c:v>0.32999999999999652</c:v>
                </c:pt>
                <c:pt idx="458">
                  <c:v>0.27000000000000135</c:v>
                </c:pt>
                <c:pt idx="459">
                  <c:v>0.25999999999999979</c:v>
                </c:pt>
                <c:pt idx="460">
                  <c:v>0.36999999999999744</c:v>
                </c:pt>
                <c:pt idx="461">
                  <c:v>0.47999999999999865</c:v>
                </c:pt>
                <c:pt idx="462">
                  <c:v>0.25999999999999979</c:v>
                </c:pt>
                <c:pt idx="463">
                  <c:v>0.22000000000000242</c:v>
                </c:pt>
                <c:pt idx="464">
                  <c:v>0.42000000000000348</c:v>
                </c:pt>
                <c:pt idx="465">
                  <c:v>0.36999999999999744</c:v>
                </c:pt>
                <c:pt idx="466">
                  <c:v>0.32000000000000028</c:v>
                </c:pt>
                <c:pt idx="467">
                  <c:v>0.41000000000000014</c:v>
                </c:pt>
                <c:pt idx="468">
                  <c:v>0.5199999999999978</c:v>
                </c:pt>
                <c:pt idx="469">
                  <c:v>0.33999999999999986</c:v>
                </c:pt>
                <c:pt idx="470">
                  <c:v>0.34999999999999787</c:v>
                </c:pt>
                <c:pt idx="471">
                  <c:v>0.54999999999999893</c:v>
                </c:pt>
                <c:pt idx="472">
                  <c:v>0.33999999999999986</c:v>
                </c:pt>
                <c:pt idx="473">
                  <c:v>0.41000000000000014</c:v>
                </c:pt>
                <c:pt idx="474">
                  <c:v>0.5199999999999978</c:v>
                </c:pt>
                <c:pt idx="475">
                  <c:v>0.61000000000000121</c:v>
                </c:pt>
                <c:pt idx="476">
                  <c:v>0.65000000000000213</c:v>
                </c:pt>
                <c:pt idx="477">
                  <c:v>0.58999999999999986</c:v>
                </c:pt>
                <c:pt idx="478">
                  <c:v>0.58000000000000007</c:v>
                </c:pt>
                <c:pt idx="479">
                  <c:v>0.88000000000000256</c:v>
                </c:pt>
                <c:pt idx="480">
                  <c:v>0.63000000000000256</c:v>
                </c:pt>
                <c:pt idx="481">
                  <c:v>0.64000000000000234</c:v>
                </c:pt>
                <c:pt idx="482">
                  <c:v>0.67999999999999972</c:v>
                </c:pt>
                <c:pt idx="483">
                  <c:v>0.77000000000000135</c:v>
                </c:pt>
                <c:pt idx="484">
                  <c:v>0.66000000000000369</c:v>
                </c:pt>
                <c:pt idx="485">
                  <c:v>0.65000000000000213</c:v>
                </c:pt>
                <c:pt idx="486">
                  <c:v>0.42000000000000348</c:v>
                </c:pt>
                <c:pt idx="487">
                  <c:v>0.42000000000000348</c:v>
                </c:pt>
                <c:pt idx="488">
                  <c:v>0.42999999999999972</c:v>
                </c:pt>
                <c:pt idx="489">
                  <c:v>0.54999999999999893</c:v>
                </c:pt>
                <c:pt idx="490">
                  <c:v>0.47999999999999865</c:v>
                </c:pt>
                <c:pt idx="491">
                  <c:v>0.64000000000000234</c:v>
                </c:pt>
                <c:pt idx="492">
                  <c:v>0.32999999999999652</c:v>
                </c:pt>
                <c:pt idx="493">
                  <c:v>0.32000000000000028</c:v>
                </c:pt>
                <c:pt idx="494">
                  <c:v>0.25999999999999979</c:v>
                </c:pt>
                <c:pt idx="495">
                  <c:v>0.36000000000000121</c:v>
                </c:pt>
                <c:pt idx="496">
                  <c:v>0.38999999999999879</c:v>
                </c:pt>
                <c:pt idx="497">
                  <c:v>0.31000000000000227</c:v>
                </c:pt>
                <c:pt idx="498">
                  <c:v>0.38999999999999879</c:v>
                </c:pt>
                <c:pt idx="499">
                  <c:v>0.33999999999999986</c:v>
                </c:pt>
                <c:pt idx="500">
                  <c:v>0.36999999999999744</c:v>
                </c:pt>
                <c:pt idx="501">
                  <c:v>0.40000000000000213</c:v>
                </c:pt>
                <c:pt idx="502">
                  <c:v>0.25000000000000355</c:v>
                </c:pt>
                <c:pt idx="503">
                  <c:v>0.55999999999999872</c:v>
                </c:pt>
                <c:pt idx="504">
                  <c:v>0.54999999999999893</c:v>
                </c:pt>
                <c:pt idx="505">
                  <c:v>0.55999999999999872</c:v>
                </c:pt>
                <c:pt idx="506">
                  <c:v>0.34999999999999787</c:v>
                </c:pt>
                <c:pt idx="507">
                  <c:v>0.40000000000000213</c:v>
                </c:pt>
                <c:pt idx="508">
                  <c:v>0.38999999999999879</c:v>
                </c:pt>
                <c:pt idx="509">
                  <c:v>0.42000000000000348</c:v>
                </c:pt>
                <c:pt idx="510">
                  <c:v>0.38999999999999879</c:v>
                </c:pt>
                <c:pt idx="511">
                  <c:v>0.27000000000000135</c:v>
                </c:pt>
                <c:pt idx="512">
                  <c:v>0.30000000000000249</c:v>
                </c:pt>
                <c:pt idx="513">
                  <c:v>0.28000000000000114</c:v>
                </c:pt>
                <c:pt idx="514">
                  <c:v>0.44999999999999751</c:v>
                </c:pt>
                <c:pt idx="515">
                  <c:v>0.44000000000000483</c:v>
                </c:pt>
                <c:pt idx="516">
                  <c:v>0.54999999999999893</c:v>
                </c:pt>
                <c:pt idx="517">
                  <c:v>0.5</c:v>
                </c:pt>
                <c:pt idx="518">
                  <c:v>0.57000000000000028</c:v>
                </c:pt>
                <c:pt idx="519">
                  <c:v>0.52999999999999758</c:v>
                </c:pt>
                <c:pt idx="520">
                  <c:v>0.58999999999999986</c:v>
                </c:pt>
                <c:pt idx="521">
                  <c:v>0.47999999999999865</c:v>
                </c:pt>
                <c:pt idx="522">
                  <c:v>0.5199999999999978</c:v>
                </c:pt>
                <c:pt idx="523">
                  <c:v>0.5</c:v>
                </c:pt>
                <c:pt idx="524">
                  <c:v>0.72000000000000242</c:v>
                </c:pt>
                <c:pt idx="525">
                  <c:v>0.54999999999999893</c:v>
                </c:pt>
                <c:pt idx="526">
                  <c:v>0.77000000000000135</c:v>
                </c:pt>
                <c:pt idx="527">
                  <c:v>0.77999999999999758</c:v>
                </c:pt>
                <c:pt idx="528">
                  <c:v>0.88000000000000256</c:v>
                </c:pt>
                <c:pt idx="529">
                  <c:v>0.58000000000000007</c:v>
                </c:pt>
                <c:pt idx="530">
                  <c:v>0.64000000000000234</c:v>
                </c:pt>
                <c:pt idx="531">
                  <c:v>0.52999999999999758</c:v>
                </c:pt>
                <c:pt idx="532">
                  <c:v>0.61000000000000121</c:v>
                </c:pt>
                <c:pt idx="533">
                  <c:v>0.52999999999999758</c:v>
                </c:pt>
                <c:pt idx="534">
                  <c:v>0.64000000000000234</c:v>
                </c:pt>
                <c:pt idx="535">
                  <c:v>0.53999999999999915</c:v>
                </c:pt>
                <c:pt idx="536">
                  <c:v>0.58999999999999986</c:v>
                </c:pt>
                <c:pt idx="537">
                  <c:v>0.44000000000000483</c:v>
                </c:pt>
                <c:pt idx="538">
                  <c:v>0.75</c:v>
                </c:pt>
                <c:pt idx="539">
                  <c:v>0.58000000000000007</c:v>
                </c:pt>
                <c:pt idx="540">
                  <c:v>0.60000000000000142</c:v>
                </c:pt>
                <c:pt idx="541">
                  <c:v>0.54999999999999893</c:v>
                </c:pt>
                <c:pt idx="542">
                  <c:v>0.60000000000000142</c:v>
                </c:pt>
                <c:pt idx="543">
                  <c:v>0.47999999999999865</c:v>
                </c:pt>
                <c:pt idx="544">
                  <c:v>0.58000000000000007</c:v>
                </c:pt>
                <c:pt idx="545">
                  <c:v>0.64000000000000234</c:v>
                </c:pt>
                <c:pt idx="546">
                  <c:v>0.62000000000000099</c:v>
                </c:pt>
                <c:pt idx="547">
                  <c:v>0.72000000000000242</c:v>
                </c:pt>
                <c:pt idx="548">
                  <c:v>0.52999999999999758</c:v>
                </c:pt>
                <c:pt idx="549">
                  <c:v>0.75</c:v>
                </c:pt>
                <c:pt idx="550">
                  <c:v>0.58000000000000007</c:v>
                </c:pt>
                <c:pt idx="551">
                  <c:v>0.72000000000000242</c:v>
                </c:pt>
                <c:pt idx="552">
                  <c:v>0.63000000000000256</c:v>
                </c:pt>
                <c:pt idx="553">
                  <c:v>0.61000000000000121</c:v>
                </c:pt>
                <c:pt idx="554">
                  <c:v>0.36999999999999744</c:v>
                </c:pt>
                <c:pt idx="555">
                  <c:v>0.44000000000000483</c:v>
                </c:pt>
                <c:pt idx="556">
                  <c:v>0.25999999999999979</c:v>
                </c:pt>
                <c:pt idx="557">
                  <c:v>0.44999999999999751</c:v>
                </c:pt>
                <c:pt idx="558">
                  <c:v>0.5</c:v>
                </c:pt>
                <c:pt idx="559">
                  <c:v>0.61000000000000121</c:v>
                </c:pt>
                <c:pt idx="560">
                  <c:v>0.7300000000000022</c:v>
                </c:pt>
                <c:pt idx="561">
                  <c:v>0.50999999999999801</c:v>
                </c:pt>
                <c:pt idx="562">
                  <c:v>0.75</c:v>
                </c:pt>
                <c:pt idx="563">
                  <c:v>0.60000000000000142</c:v>
                </c:pt>
                <c:pt idx="564">
                  <c:v>0.73999999999999666</c:v>
                </c:pt>
                <c:pt idx="565">
                  <c:v>0.66999999999999993</c:v>
                </c:pt>
                <c:pt idx="566">
                  <c:v>0.63000000000000256</c:v>
                </c:pt>
                <c:pt idx="567">
                  <c:v>0.65000000000000213</c:v>
                </c:pt>
                <c:pt idx="568">
                  <c:v>0.61000000000000121</c:v>
                </c:pt>
                <c:pt idx="569">
                  <c:v>0.60000000000000142</c:v>
                </c:pt>
                <c:pt idx="570">
                  <c:v>0.72000000000000242</c:v>
                </c:pt>
                <c:pt idx="571">
                  <c:v>0.75999999999999801</c:v>
                </c:pt>
                <c:pt idx="572">
                  <c:v>0.73999999999999666</c:v>
                </c:pt>
                <c:pt idx="573">
                  <c:v>0.67999999999999972</c:v>
                </c:pt>
                <c:pt idx="574">
                  <c:v>0.55999999999999872</c:v>
                </c:pt>
                <c:pt idx="575">
                  <c:v>0.73999999999999666</c:v>
                </c:pt>
                <c:pt idx="576">
                  <c:v>0.63000000000000256</c:v>
                </c:pt>
                <c:pt idx="577">
                  <c:v>0.47000000000000242</c:v>
                </c:pt>
                <c:pt idx="578">
                  <c:v>0.47999999999999865</c:v>
                </c:pt>
                <c:pt idx="579">
                  <c:v>0.66999999999999993</c:v>
                </c:pt>
                <c:pt idx="580">
                  <c:v>0.53999999999999915</c:v>
                </c:pt>
                <c:pt idx="581">
                  <c:v>0.71000000000000085</c:v>
                </c:pt>
                <c:pt idx="582">
                  <c:v>0.66000000000000369</c:v>
                </c:pt>
                <c:pt idx="583">
                  <c:v>0.71000000000000085</c:v>
                </c:pt>
                <c:pt idx="584">
                  <c:v>0.7300000000000022</c:v>
                </c:pt>
                <c:pt idx="585">
                  <c:v>0.79000000000000092</c:v>
                </c:pt>
                <c:pt idx="586">
                  <c:v>1.0099999999999998</c:v>
                </c:pt>
                <c:pt idx="587">
                  <c:v>0.70000000000000107</c:v>
                </c:pt>
                <c:pt idx="588">
                  <c:v>0.71000000000000085</c:v>
                </c:pt>
                <c:pt idx="589">
                  <c:v>0.77000000000000135</c:v>
                </c:pt>
                <c:pt idx="590">
                  <c:v>0.69000000000000128</c:v>
                </c:pt>
                <c:pt idx="591">
                  <c:v>0.61000000000000121</c:v>
                </c:pt>
                <c:pt idx="592">
                  <c:v>0.60000000000000142</c:v>
                </c:pt>
                <c:pt idx="593">
                  <c:v>0.60000000000000142</c:v>
                </c:pt>
                <c:pt idx="594">
                  <c:v>0.60000000000000142</c:v>
                </c:pt>
                <c:pt idx="595">
                  <c:v>0.58999999999999986</c:v>
                </c:pt>
                <c:pt idx="596">
                  <c:v>0.58999999999999986</c:v>
                </c:pt>
                <c:pt idx="597">
                  <c:v>0.5</c:v>
                </c:pt>
                <c:pt idx="598">
                  <c:v>0.30000000000000249</c:v>
                </c:pt>
                <c:pt idx="599">
                  <c:v>0.38000000000000256</c:v>
                </c:pt>
                <c:pt idx="600">
                  <c:v>0.75</c:v>
                </c:pt>
                <c:pt idx="601">
                  <c:v>0.53999999999999915</c:v>
                </c:pt>
                <c:pt idx="602">
                  <c:v>0.5</c:v>
                </c:pt>
                <c:pt idx="603">
                  <c:v>0.5</c:v>
                </c:pt>
                <c:pt idx="604">
                  <c:v>0.60000000000000142</c:v>
                </c:pt>
                <c:pt idx="605">
                  <c:v>0.44999999999999751</c:v>
                </c:pt>
                <c:pt idx="606">
                  <c:v>0.60000000000000142</c:v>
                </c:pt>
                <c:pt idx="607">
                  <c:v>0.66999999999999993</c:v>
                </c:pt>
                <c:pt idx="608">
                  <c:v>0.69000000000000128</c:v>
                </c:pt>
                <c:pt idx="609">
                  <c:v>0.53999999999999915</c:v>
                </c:pt>
                <c:pt idx="610">
                  <c:v>0.65000000000000213</c:v>
                </c:pt>
                <c:pt idx="611">
                  <c:v>0.52999999999999758</c:v>
                </c:pt>
                <c:pt idx="612">
                  <c:v>0.52999999999999758</c:v>
                </c:pt>
                <c:pt idx="613">
                  <c:v>0.61000000000000121</c:v>
                </c:pt>
                <c:pt idx="614">
                  <c:v>0.65000000000000213</c:v>
                </c:pt>
                <c:pt idx="615">
                  <c:v>0.63000000000000256</c:v>
                </c:pt>
                <c:pt idx="616">
                  <c:v>0.73999999999999666</c:v>
                </c:pt>
                <c:pt idx="617">
                  <c:v>0.69000000000000128</c:v>
                </c:pt>
                <c:pt idx="618">
                  <c:v>0.72000000000000242</c:v>
                </c:pt>
                <c:pt idx="619">
                  <c:v>0.65000000000000213</c:v>
                </c:pt>
                <c:pt idx="620">
                  <c:v>0.79999999999999893</c:v>
                </c:pt>
                <c:pt idx="621">
                  <c:v>0.66999999999999993</c:v>
                </c:pt>
                <c:pt idx="622">
                  <c:v>0.75</c:v>
                </c:pt>
                <c:pt idx="623">
                  <c:v>0.83999999999999986</c:v>
                </c:pt>
                <c:pt idx="624">
                  <c:v>0.91999999999999993</c:v>
                </c:pt>
                <c:pt idx="625">
                  <c:v>0.8500000000000032</c:v>
                </c:pt>
                <c:pt idx="626">
                  <c:v>0.75</c:v>
                </c:pt>
                <c:pt idx="627">
                  <c:v>0.67999999999999972</c:v>
                </c:pt>
                <c:pt idx="628">
                  <c:v>0.63000000000000256</c:v>
                </c:pt>
                <c:pt idx="629">
                  <c:v>0.66999999999999993</c:v>
                </c:pt>
                <c:pt idx="630">
                  <c:v>0.63000000000000256</c:v>
                </c:pt>
                <c:pt idx="631">
                  <c:v>0.71000000000000085</c:v>
                </c:pt>
                <c:pt idx="632">
                  <c:v>0.81000000000000227</c:v>
                </c:pt>
                <c:pt idx="633">
                  <c:v>0.44999999999999751</c:v>
                </c:pt>
                <c:pt idx="634">
                  <c:v>0.5199999999999978</c:v>
                </c:pt>
                <c:pt idx="635">
                  <c:v>0.47000000000000242</c:v>
                </c:pt>
                <c:pt idx="636">
                  <c:v>0.65000000000000213</c:v>
                </c:pt>
                <c:pt idx="637">
                  <c:v>0.64000000000000234</c:v>
                </c:pt>
                <c:pt idx="638">
                  <c:v>0.52999999999999758</c:v>
                </c:pt>
                <c:pt idx="639">
                  <c:v>0.62000000000000099</c:v>
                </c:pt>
                <c:pt idx="640">
                  <c:v>0.71000000000000085</c:v>
                </c:pt>
                <c:pt idx="641">
                  <c:v>0.73999999999999666</c:v>
                </c:pt>
                <c:pt idx="642">
                  <c:v>0.55999999999999872</c:v>
                </c:pt>
                <c:pt idx="643">
                  <c:v>0.65000000000000213</c:v>
                </c:pt>
                <c:pt idx="644">
                  <c:v>0.60000000000000142</c:v>
                </c:pt>
                <c:pt idx="645">
                  <c:v>0.60000000000000142</c:v>
                </c:pt>
                <c:pt idx="646">
                  <c:v>0.47000000000000242</c:v>
                </c:pt>
                <c:pt idx="647">
                  <c:v>0.47999999999999865</c:v>
                </c:pt>
                <c:pt idx="648">
                  <c:v>0.57000000000000028</c:v>
                </c:pt>
                <c:pt idx="649">
                  <c:v>0.7300000000000022</c:v>
                </c:pt>
                <c:pt idx="650">
                  <c:v>0.77999999999999758</c:v>
                </c:pt>
                <c:pt idx="651">
                  <c:v>0.65000000000000213</c:v>
                </c:pt>
                <c:pt idx="652">
                  <c:v>0.58999999999999986</c:v>
                </c:pt>
                <c:pt idx="653">
                  <c:v>0.66000000000000369</c:v>
                </c:pt>
                <c:pt idx="654">
                  <c:v>0.72000000000000242</c:v>
                </c:pt>
                <c:pt idx="655">
                  <c:v>0.79999999999999893</c:v>
                </c:pt>
                <c:pt idx="656">
                  <c:v>0.77999999999999758</c:v>
                </c:pt>
                <c:pt idx="657">
                  <c:v>0.52999999999999758</c:v>
                </c:pt>
                <c:pt idx="658">
                  <c:v>0.71000000000000085</c:v>
                </c:pt>
                <c:pt idx="659">
                  <c:v>0.62000000000000099</c:v>
                </c:pt>
                <c:pt idx="660">
                  <c:v>0.66999999999999993</c:v>
                </c:pt>
                <c:pt idx="661">
                  <c:v>0.52999999999999758</c:v>
                </c:pt>
                <c:pt idx="662">
                  <c:v>0.60000000000000142</c:v>
                </c:pt>
                <c:pt idx="663">
                  <c:v>0.70000000000000107</c:v>
                </c:pt>
                <c:pt idx="664">
                  <c:v>0.60000000000000142</c:v>
                </c:pt>
                <c:pt idx="665">
                  <c:v>0.70000000000000107</c:v>
                </c:pt>
                <c:pt idx="666">
                  <c:v>0.77000000000000135</c:v>
                </c:pt>
                <c:pt idx="667">
                  <c:v>0.69000000000000128</c:v>
                </c:pt>
                <c:pt idx="668">
                  <c:v>0.83000000000000362</c:v>
                </c:pt>
                <c:pt idx="669">
                  <c:v>0.70000000000000107</c:v>
                </c:pt>
                <c:pt idx="670">
                  <c:v>0.75999999999999801</c:v>
                </c:pt>
                <c:pt idx="671">
                  <c:v>0.54999999999999893</c:v>
                </c:pt>
                <c:pt idx="672">
                  <c:v>0.77999999999999758</c:v>
                </c:pt>
                <c:pt idx="673">
                  <c:v>0.81000000000000227</c:v>
                </c:pt>
                <c:pt idx="674">
                  <c:v>0.86999999999999744</c:v>
                </c:pt>
                <c:pt idx="675">
                  <c:v>0.66999999999999993</c:v>
                </c:pt>
                <c:pt idx="676">
                  <c:v>0.58000000000000007</c:v>
                </c:pt>
                <c:pt idx="677">
                  <c:v>0.83000000000000362</c:v>
                </c:pt>
                <c:pt idx="678">
                  <c:v>0.88000000000000256</c:v>
                </c:pt>
                <c:pt idx="679">
                  <c:v>0.79999999999999893</c:v>
                </c:pt>
                <c:pt idx="680">
                  <c:v>0.66999999999999993</c:v>
                </c:pt>
                <c:pt idx="681">
                  <c:v>0.79000000000000092</c:v>
                </c:pt>
                <c:pt idx="682">
                  <c:v>0.86000000000000121</c:v>
                </c:pt>
                <c:pt idx="683">
                  <c:v>0.91000000000000014</c:v>
                </c:pt>
                <c:pt idx="684">
                  <c:v>0.95999999999999908</c:v>
                </c:pt>
                <c:pt idx="685">
                  <c:v>0.75</c:v>
                </c:pt>
                <c:pt idx="686">
                  <c:v>0.79999999999999893</c:v>
                </c:pt>
                <c:pt idx="687">
                  <c:v>0.82000000000000028</c:v>
                </c:pt>
                <c:pt idx="688">
                  <c:v>0.7300000000000022</c:v>
                </c:pt>
                <c:pt idx="689">
                  <c:v>0.79999999999999893</c:v>
                </c:pt>
                <c:pt idx="690">
                  <c:v>0.83999999999999986</c:v>
                </c:pt>
                <c:pt idx="691">
                  <c:v>1.0800000000000036</c:v>
                </c:pt>
                <c:pt idx="692">
                  <c:v>1.0600000000000023</c:v>
                </c:pt>
                <c:pt idx="693">
                  <c:v>1.1699999999999964</c:v>
                </c:pt>
                <c:pt idx="694">
                  <c:v>1.1799999999999997</c:v>
                </c:pt>
                <c:pt idx="695">
                  <c:v>1.370000000000001</c:v>
                </c:pt>
                <c:pt idx="696">
                  <c:v>1.3499999999999979</c:v>
                </c:pt>
                <c:pt idx="697">
                  <c:v>1.0899999999999999</c:v>
                </c:pt>
                <c:pt idx="698">
                  <c:v>0.95999999999999908</c:v>
                </c:pt>
                <c:pt idx="699">
                  <c:v>0.81000000000000227</c:v>
                </c:pt>
                <c:pt idx="700">
                  <c:v>0.83999999999999986</c:v>
                </c:pt>
                <c:pt idx="701">
                  <c:v>1.0099999999999998</c:v>
                </c:pt>
                <c:pt idx="702">
                  <c:v>0.89999999999999858</c:v>
                </c:pt>
                <c:pt idx="703">
                  <c:v>0.86999999999999744</c:v>
                </c:pt>
                <c:pt idx="704">
                  <c:v>0.91000000000000014</c:v>
                </c:pt>
                <c:pt idx="705">
                  <c:v>0.86000000000000121</c:v>
                </c:pt>
                <c:pt idx="706">
                  <c:v>1.0200000000000014</c:v>
                </c:pt>
                <c:pt idx="707">
                  <c:v>1.1299999999999955</c:v>
                </c:pt>
                <c:pt idx="708">
                  <c:v>1.1600000000000001</c:v>
                </c:pt>
                <c:pt idx="709">
                  <c:v>0.93999999999999773</c:v>
                </c:pt>
                <c:pt idx="710">
                  <c:v>0.91000000000000014</c:v>
                </c:pt>
                <c:pt idx="711">
                  <c:v>0.71000000000000085</c:v>
                </c:pt>
                <c:pt idx="712">
                  <c:v>0.82000000000000028</c:v>
                </c:pt>
                <c:pt idx="713">
                  <c:v>0.86999999999999744</c:v>
                </c:pt>
                <c:pt idx="714">
                  <c:v>0.73999999999999666</c:v>
                </c:pt>
                <c:pt idx="715">
                  <c:v>0.88000000000000256</c:v>
                </c:pt>
                <c:pt idx="716">
                  <c:v>0.86999999999999744</c:v>
                </c:pt>
                <c:pt idx="717">
                  <c:v>0.92999999999999794</c:v>
                </c:pt>
                <c:pt idx="718">
                  <c:v>0.82000000000000028</c:v>
                </c:pt>
                <c:pt idx="719">
                  <c:v>0.8500000000000032</c:v>
                </c:pt>
                <c:pt idx="720">
                  <c:v>0.88000000000000256</c:v>
                </c:pt>
                <c:pt idx="721">
                  <c:v>0.88000000000000256</c:v>
                </c:pt>
                <c:pt idx="722">
                  <c:v>0.81000000000000227</c:v>
                </c:pt>
                <c:pt idx="723">
                  <c:v>0.77000000000000135</c:v>
                </c:pt>
                <c:pt idx="724">
                  <c:v>0.83999999999999986</c:v>
                </c:pt>
                <c:pt idx="725">
                  <c:v>0.77999999999999758</c:v>
                </c:pt>
                <c:pt idx="726">
                  <c:v>0.79999999999999893</c:v>
                </c:pt>
                <c:pt idx="727">
                  <c:v>1.0200000000000014</c:v>
                </c:pt>
                <c:pt idx="728">
                  <c:v>0.83000000000000362</c:v>
                </c:pt>
                <c:pt idx="729">
                  <c:v>0.92999999999999794</c:v>
                </c:pt>
                <c:pt idx="730">
                  <c:v>0.92999999999999794</c:v>
                </c:pt>
                <c:pt idx="731">
                  <c:v>0.95999999999999908</c:v>
                </c:pt>
                <c:pt idx="732">
                  <c:v>1.1699999999999964</c:v>
                </c:pt>
                <c:pt idx="733">
                  <c:v>1.0099999999999998</c:v>
                </c:pt>
                <c:pt idx="734">
                  <c:v>0.86000000000000121</c:v>
                </c:pt>
                <c:pt idx="735">
                  <c:v>0.89999999999999858</c:v>
                </c:pt>
                <c:pt idx="736">
                  <c:v>0.93999999999999773</c:v>
                </c:pt>
                <c:pt idx="737">
                  <c:v>0.94999999999999751</c:v>
                </c:pt>
                <c:pt idx="738">
                  <c:v>0.92999999999999794</c:v>
                </c:pt>
                <c:pt idx="739">
                  <c:v>1</c:v>
                </c:pt>
                <c:pt idx="740">
                  <c:v>0.99000000000000021</c:v>
                </c:pt>
                <c:pt idx="741">
                  <c:v>1.120000000000001</c:v>
                </c:pt>
                <c:pt idx="742">
                  <c:v>1.1799999999999997</c:v>
                </c:pt>
                <c:pt idx="743">
                  <c:v>1.240000000000002</c:v>
                </c:pt>
                <c:pt idx="744">
                  <c:v>1.1799999999999997</c:v>
                </c:pt>
                <c:pt idx="745">
                  <c:v>1.120000000000001</c:v>
                </c:pt>
                <c:pt idx="746">
                  <c:v>0.99000000000000021</c:v>
                </c:pt>
                <c:pt idx="747">
                  <c:v>0.91000000000000014</c:v>
                </c:pt>
                <c:pt idx="748">
                  <c:v>0.8900000000000059</c:v>
                </c:pt>
                <c:pt idx="749">
                  <c:v>0.86000000000000121</c:v>
                </c:pt>
                <c:pt idx="750">
                  <c:v>0.95999999999999908</c:v>
                </c:pt>
                <c:pt idx="751">
                  <c:v>0.86999999999999744</c:v>
                </c:pt>
                <c:pt idx="752">
                  <c:v>1.0899999999999999</c:v>
                </c:pt>
                <c:pt idx="753">
                  <c:v>0.79999999999999893</c:v>
                </c:pt>
                <c:pt idx="754">
                  <c:v>0.82000000000000028</c:v>
                </c:pt>
                <c:pt idx="755">
                  <c:v>0.64000000000000234</c:v>
                </c:pt>
                <c:pt idx="756">
                  <c:v>0.8900000000000059</c:v>
                </c:pt>
                <c:pt idx="757">
                  <c:v>0.75999999999999801</c:v>
                </c:pt>
                <c:pt idx="758">
                  <c:v>0.79000000000000092</c:v>
                </c:pt>
                <c:pt idx="759">
                  <c:v>0.8500000000000032</c:v>
                </c:pt>
                <c:pt idx="760">
                  <c:v>0.91999999999999993</c:v>
                </c:pt>
                <c:pt idx="761">
                  <c:v>0.81000000000000227</c:v>
                </c:pt>
                <c:pt idx="762">
                  <c:v>0.91999999999999993</c:v>
                </c:pt>
                <c:pt idx="763">
                  <c:v>0.97999999999999865</c:v>
                </c:pt>
                <c:pt idx="764">
                  <c:v>0.92999999999999794</c:v>
                </c:pt>
                <c:pt idx="765">
                  <c:v>0.88000000000000256</c:v>
                </c:pt>
                <c:pt idx="766">
                  <c:v>0.91000000000000014</c:v>
                </c:pt>
                <c:pt idx="767">
                  <c:v>0.8900000000000059</c:v>
                </c:pt>
                <c:pt idx="768">
                  <c:v>1.0500000000000025</c:v>
                </c:pt>
                <c:pt idx="769">
                  <c:v>0.83000000000000362</c:v>
                </c:pt>
                <c:pt idx="770">
                  <c:v>0.83999999999999986</c:v>
                </c:pt>
                <c:pt idx="771">
                  <c:v>0.92999999999999794</c:v>
                </c:pt>
                <c:pt idx="772">
                  <c:v>0.93999999999999773</c:v>
                </c:pt>
                <c:pt idx="773">
                  <c:v>0.93999999999999773</c:v>
                </c:pt>
                <c:pt idx="774">
                  <c:v>0.88000000000000256</c:v>
                </c:pt>
                <c:pt idx="775">
                  <c:v>0.96999999999999886</c:v>
                </c:pt>
                <c:pt idx="776">
                  <c:v>0.7300000000000022</c:v>
                </c:pt>
                <c:pt idx="777">
                  <c:v>0.79999999999999893</c:v>
                </c:pt>
                <c:pt idx="778">
                  <c:v>0.88000000000000256</c:v>
                </c:pt>
                <c:pt idx="779">
                  <c:v>0.96999999999999886</c:v>
                </c:pt>
                <c:pt idx="780">
                  <c:v>1.2299999999999986</c:v>
                </c:pt>
                <c:pt idx="781">
                  <c:v>0.99000000000000021</c:v>
                </c:pt>
                <c:pt idx="782">
                  <c:v>0.93999999999999773</c:v>
                </c:pt>
                <c:pt idx="783">
                  <c:v>1.0899999999999999</c:v>
                </c:pt>
                <c:pt idx="784">
                  <c:v>1.1899999999999977</c:v>
                </c:pt>
                <c:pt idx="785">
                  <c:v>1.1899999999999977</c:v>
                </c:pt>
                <c:pt idx="786">
                  <c:v>1.4800000000000022</c:v>
                </c:pt>
                <c:pt idx="787">
                  <c:v>1.3499999999999979</c:v>
                </c:pt>
                <c:pt idx="788">
                  <c:v>1.3999999999999986</c:v>
                </c:pt>
                <c:pt idx="789">
                  <c:v>1.3599999999999977</c:v>
                </c:pt>
                <c:pt idx="790">
                  <c:v>1.25</c:v>
                </c:pt>
                <c:pt idx="791">
                  <c:v>1.4400000000000013</c:v>
                </c:pt>
                <c:pt idx="792">
                  <c:v>1.3999999999999986</c:v>
                </c:pt>
                <c:pt idx="793">
                  <c:v>1.3200000000000003</c:v>
                </c:pt>
                <c:pt idx="794">
                  <c:v>1.1600000000000001</c:v>
                </c:pt>
                <c:pt idx="795">
                  <c:v>1.2299999999999986</c:v>
                </c:pt>
                <c:pt idx="796">
                  <c:v>1.2000000000000011</c:v>
                </c:pt>
                <c:pt idx="797">
                  <c:v>1.3000000000000043</c:v>
                </c:pt>
                <c:pt idx="798">
                  <c:v>1.2099999999999991</c:v>
                </c:pt>
                <c:pt idx="799">
                  <c:v>1.3499999999999979</c:v>
                </c:pt>
                <c:pt idx="800">
                  <c:v>1.3000000000000043</c:v>
                </c:pt>
                <c:pt idx="801">
                  <c:v>1.2700000000000014</c:v>
                </c:pt>
                <c:pt idx="802">
                  <c:v>1.379999999999999</c:v>
                </c:pt>
                <c:pt idx="803">
                  <c:v>1.2600000000000033</c:v>
                </c:pt>
                <c:pt idx="804">
                  <c:v>1.370000000000001</c:v>
                </c:pt>
                <c:pt idx="805">
                  <c:v>1.25</c:v>
                </c:pt>
                <c:pt idx="806">
                  <c:v>1.0800000000000036</c:v>
                </c:pt>
                <c:pt idx="807">
                  <c:v>1.0700000000000021</c:v>
                </c:pt>
                <c:pt idx="808">
                  <c:v>1.0200000000000014</c:v>
                </c:pt>
                <c:pt idx="809">
                  <c:v>1.1799999999999997</c:v>
                </c:pt>
                <c:pt idx="810">
                  <c:v>1.25</c:v>
                </c:pt>
                <c:pt idx="811">
                  <c:v>1.1899999999999977</c:v>
                </c:pt>
                <c:pt idx="812">
                  <c:v>1.2099999999999991</c:v>
                </c:pt>
                <c:pt idx="813">
                  <c:v>1.0600000000000023</c:v>
                </c:pt>
                <c:pt idx="814">
                  <c:v>1.0899999999999999</c:v>
                </c:pt>
                <c:pt idx="815">
                  <c:v>1.25</c:v>
                </c:pt>
                <c:pt idx="816">
                  <c:v>1.3200000000000003</c:v>
                </c:pt>
                <c:pt idx="817">
                  <c:v>1.1699999999999964</c:v>
                </c:pt>
                <c:pt idx="818">
                  <c:v>1.1299999999999955</c:v>
                </c:pt>
                <c:pt idx="819">
                  <c:v>1.1799999999999997</c:v>
                </c:pt>
                <c:pt idx="820">
                  <c:v>1.25</c:v>
                </c:pt>
                <c:pt idx="821">
                  <c:v>1.3999999999999986</c:v>
                </c:pt>
              </c:numCache>
            </c:numRef>
          </c:yVal>
          <c:smooth val="1"/>
          <c:extLst>
            <c:ext xmlns:c16="http://schemas.microsoft.com/office/drawing/2014/chart" uri="{C3380CC4-5D6E-409C-BE32-E72D297353CC}">
              <c16:uniqueId val="{00000001-1A6D-4F58-9A30-8EE7C93B70D7}"/>
            </c:ext>
          </c:extLst>
        </c:ser>
        <c:dLbls>
          <c:showLegendKey val="0"/>
          <c:showVal val="0"/>
          <c:showCatName val="0"/>
          <c:showSerName val="0"/>
          <c:showPercent val="0"/>
          <c:showBubbleSize val="0"/>
        </c:dLbls>
        <c:axId val="33555378"/>
        <c:axId val="66420323"/>
      </c:scatterChart>
      <c:valAx>
        <c:axId val="33555378"/>
        <c:scaling>
          <c:orientation val="minMax"/>
          <c:max val="0.7"/>
          <c:min val="0.1"/>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log2(CO2 / 280 ppm)  [doublings above preindustrial]</a:t>
                </a:r>
              </a:p>
            </c:rich>
          </c:tx>
          <c:overlay val="0"/>
          <c:spPr>
            <a:noFill/>
            <a:ln w="0">
              <a:noFill/>
            </a:ln>
          </c:spPr>
        </c:title>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66420323"/>
        <c:crosses val="autoZero"/>
        <c:crossBetween val="midCat"/>
      </c:valAx>
      <c:valAx>
        <c:axId val="66420323"/>
        <c:scaling>
          <c:orientation val="minMax"/>
          <c:max val="1.6"/>
          <c:min val="-0.5"/>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Temperature anomaly (°C vs 1951-1980)</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33555378"/>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Annual-mean temperature anomaly vs log2(CO2), 1959-2025
67 full calendar years; regression slope 2.74 °C per doubling, R² 0.93</a:t>
            </a:r>
          </a:p>
        </c:rich>
      </c:tx>
      <c:overlay val="0"/>
      <c:spPr>
        <a:noFill/>
        <a:ln w="0">
          <a:noFill/>
        </a:ln>
      </c:spPr>
    </c:title>
    <c:autoTitleDeleted val="0"/>
    <c:plotArea>
      <c:layout/>
      <c:scatterChart>
        <c:scatterStyle val="lineMarker"/>
        <c:varyColors val="0"/>
        <c:ser>
          <c:idx val="0"/>
          <c:order val="0"/>
          <c:spPr>
            <a:ln w="38160">
              <a:noFill/>
            </a:ln>
          </c:spPr>
          <c:marker>
            <c:symbol val="circle"/>
            <c:size val="5"/>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1"/>
            <c:trendlineLbl>
              <c:numFmt formatCode="General" sourceLinked="0"/>
            </c:trendlineLbl>
          </c:trendline>
          <c:xVal>
            <c:numRef>
              <c:f>Annual!$E$2:$E$68</c:f>
              <c:numCache>
                <c:formatCode>0.0000</c:formatCode>
                <c:ptCount val="67"/>
                <c:pt idx="0">
                  <c:v>0.17439669687104098</c:v>
                </c:pt>
                <c:pt idx="1">
                  <c:v>0.17861133837791365</c:v>
                </c:pt>
                <c:pt idx="2">
                  <c:v>0.18196022855888627</c:v>
                </c:pt>
                <c:pt idx="3">
                  <c:v>0.18563275308825636</c:v>
                </c:pt>
                <c:pt idx="4">
                  <c:v>0.18806837681949565</c:v>
                </c:pt>
                <c:pt idx="5">
                  <c:v>0.19090694656901711</c:v>
                </c:pt>
                <c:pt idx="6">
                  <c:v>0.19279248762081727</c:v>
                </c:pt>
                <c:pt idx="7">
                  <c:v>0.19877221770103162</c:v>
                </c:pt>
                <c:pt idx="8">
                  <c:v>0.20241455784943219</c:v>
                </c:pt>
                <c:pt idx="9">
                  <c:v>0.20630941394392599</c:v>
                </c:pt>
                <c:pt idx="10">
                  <c:v>0.21330789689493801</c:v>
                </c:pt>
                <c:pt idx="11">
                  <c:v>0.21801538220265768</c:v>
                </c:pt>
                <c:pt idx="12">
                  <c:v>0.22084048798225211</c:v>
                </c:pt>
                <c:pt idx="13">
                  <c:v>0.22586052597671843</c:v>
                </c:pt>
                <c:pt idx="14">
                  <c:v>0.23562787907160213</c:v>
                </c:pt>
                <c:pt idx="15">
                  <c:v>0.23785981722471297</c:v>
                </c:pt>
                <c:pt idx="16">
                  <c:v>0.24193918054612207</c:v>
                </c:pt>
                <c:pt idx="17">
                  <c:v>0.24584257261243991</c:v>
                </c:pt>
                <c:pt idx="18">
                  <c:v>0.25372586794152979</c:v>
                </c:pt>
                <c:pt idx="19">
                  <c:v>0.26049697715420922</c:v>
                </c:pt>
                <c:pt idx="20">
                  <c:v>0.26659553851729739</c:v>
                </c:pt>
                <c:pt idx="21">
                  <c:v>0.27482718847371568</c:v>
                </c:pt>
                <c:pt idx="22">
                  <c:v>0.28059166813261399</c:v>
                </c:pt>
                <c:pt idx="23">
                  <c:v>0.2863409347995432</c:v>
                </c:pt>
                <c:pt idx="24">
                  <c:v>0.29340200418028634</c:v>
                </c:pt>
                <c:pt idx="25">
                  <c:v>0.3005889072552464</c:v>
                </c:pt>
                <c:pt idx="26">
                  <c:v>0.30678880266607567</c:v>
                </c:pt>
                <c:pt idx="27">
                  <c:v>0.31201397935412778</c:v>
                </c:pt>
                <c:pt idx="28">
                  <c:v>0.31907046120568344</c:v>
                </c:pt>
                <c:pt idx="29">
                  <c:v>0.32886051990619497</c:v>
                </c:pt>
                <c:pt idx="30">
                  <c:v>0.3350581779738751</c:v>
                </c:pt>
                <c:pt idx="31">
                  <c:v>0.34014660517272827</c:v>
                </c:pt>
                <c:pt idx="32">
                  <c:v>0.34522235607120461</c:v>
                </c:pt>
                <c:pt idx="33">
                  <c:v>0.34862967062131672</c:v>
                </c:pt>
                <c:pt idx="34">
                  <c:v>0.35134440078007922</c:v>
                </c:pt>
                <c:pt idx="35">
                  <c:v>0.35837405183815102</c:v>
                </c:pt>
                <c:pt idx="36">
                  <c:v>0.36642608584109237</c:v>
                </c:pt>
                <c:pt idx="37">
                  <c:v>0.37350293517077987</c:v>
                </c:pt>
                <c:pt idx="38">
                  <c:v>0.37800252302471615</c:v>
                </c:pt>
                <c:pt idx="39">
                  <c:v>0.3897083812206969</c:v>
                </c:pt>
                <c:pt idx="40">
                  <c:v>0.3963732865394658</c:v>
                </c:pt>
                <c:pt idx="41">
                  <c:v>0.400943554731721</c:v>
                </c:pt>
                <c:pt idx="42">
                  <c:v>0.40721575059890908</c:v>
                </c:pt>
                <c:pt idx="43">
                  <c:v>0.41548364377270341</c:v>
                </c:pt>
                <c:pt idx="44">
                  <c:v>0.42522603502993445</c:v>
                </c:pt>
                <c:pt idx="45">
                  <c:v>0.43178694907654275</c:v>
                </c:pt>
                <c:pt idx="46">
                  <c:v>0.44049121010051245</c:v>
                </c:pt>
                <c:pt idx="47">
                  <c:v>0.44847021068533954</c:v>
                </c:pt>
                <c:pt idx="48">
                  <c:v>0.45575620866675709</c:v>
                </c:pt>
                <c:pt idx="49">
                  <c:v>0.46253433128659666</c:v>
                </c:pt>
                <c:pt idx="50">
                  <c:v>0.46928442493460149</c:v>
                </c:pt>
                <c:pt idx="51">
                  <c:v>0.47840548027096802</c:v>
                </c:pt>
                <c:pt idx="52">
                  <c:v>0.48486472333529007</c:v>
                </c:pt>
                <c:pt idx="53">
                  <c:v>0.49295906457010003</c:v>
                </c:pt>
                <c:pt idx="54">
                  <c:v>0.50274186240145013</c:v>
                </c:pt>
                <c:pt idx="55">
                  <c:v>0.51026535704843223</c:v>
                </c:pt>
                <c:pt idx="56">
                  <c:v>0.5182044540111318</c:v>
                </c:pt>
                <c:pt idx="57">
                  <c:v>0.53038105662294244</c:v>
                </c:pt>
                <c:pt idx="58">
                  <c:v>0.53872858215798958</c:v>
                </c:pt>
                <c:pt idx="59">
                  <c:v>0.54565570832238308</c:v>
                </c:pt>
                <c:pt idx="60">
                  <c:v>0.55597376133382259</c:v>
                </c:pt>
                <c:pt idx="61">
                  <c:v>0.56493356806233885</c:v>
                </c:pt>
                <c:pt idx="62">
                  <c:v>0.57257663795460223</c:v>
                </c:pt>
                <c:pt idx="63">
                  <c:v>0.579887058389435</c:v>
                </c:pt>
                <c:pt idx="64">
                  <c:v>0.58865435505823871</c:v>
                </c:pt>
                <c:pt idx="65">
                  <c:v>0.6006802435656321</c:v>
                </c:pt>
                <c:pt idx="66">
                  <c:v>0.60997494216523618</c:v>
                </c:pt>
              </c:numCache>
            </c:numRef>
          </c:xVal>
          <c:yVal>
            <c:numRef>
              <c:f>Annual!$D$2:$D$68</c:f>
              <c:numCache>
                <c:formatCode>0.000</c:formatCode>
                <c:ptCount val="67"/>
                <c:pt idx="0">
                  <c:v>3.0833333333332824E-2</c:v>
                </c:pt>
                <c:pt idx="1">
                  <c:v>-2.4999999999999616E-2</c:v>
                </c:pt>
                <c:pt idx="2">
                  <c:v>5.6666666666666345E-2</c:v>
                </c:pt>
                <c:pt idx="3">
                  <c:v>3.0833333333334007E-2</c:v>
                </c:pt>
                <c:pt idx="4">
                  <c:v>5.4166666666666995E-2</c:v>
                </c:pt>
                <c:pt idx="5">
                  <c:v>-0.1991666666666673</c:v>
                </c:pt>
                <c:pt idx="6">
                  <c:v>-0.10666666666666676</c:v>
                </c:pt>
                <c:pt idx="7">
                  <c:v>-5.7499999999999364E-2</c:v>
                </c:pt>
                <c:pt idx="8">
                  <c:v>-2.4166666666666597E-2</c:v>
                </c:pt>
                <c:pt idx="9">
                  <c:v>-8.2500000000000018E-2</c:v>
                </c:pt>
                <c:pt idx="10">
                  <c:v>5.2500000000000213E-2</c:v>
                </c:pt>
                <c:pt idx="11">
                  <c:v>2.7500000000000746E-2</c:v>
                </c:pt>
                <c:pt idx="12">
                  <c:v>-7.9166666666666455E-2</c:v>
                </c:pt>
                <c:pt idx="13">
                  <c:v>9.1666666666673589E-3</c:v>
                </c:pt>
                <c:pt idx="14">
                  <c:v>0.16083333333333302</c:v>
                </c:pt>
                <c:pt idx="15">
                  <c:v>-7.1666666666667364E-2</c:v>
                </c:pt>
                <c:pt idx="16">
                  <c:v>-1.3333333333332309E-2</c:v>
                </c:pt>
                <c:pt idx="17">
                  <c:v>-9.7499999999999698E-2</c:v>
                </c:pt>
                <c:pt idx="18">
                  <c:v>0.17833333333333354</c:v>
                </c:pt>
                <c:pt idx="19">
                  <c:v>6.6666666666666277E-2</c:v>
                </c:pt>
                <c:pt idx="20">
                  <c:v>0.16416666666666671</c:v>
                </c:pt>
                <c:pt idx="21">
                  <c:v>0.25583333333333363</c:v>
                </c:pt>
                <c:pt idx="22">
                  <c:v>0.32333333333333264</c:v>
                </c:pt>
                <c:pt idx="23">
                  <c:v>0.13916666666666591</c:v>
                </c:pt>
                <c:pt idx="24">
                  <c:v>0.31500000000000039</c:v>
                </c:pt>
                <c:pt idx="25">
                  <c:v>0.15500000000000011</c:v>
                </c:pt>
                <c:pt idx="26">
                  <c:v>0.11833333333333303</c:v>
                </c:pt>
                <c:pt idx="27">
                  <c:v>0.17999999999999927</c:v>
                </c:pt>
                <c:pt idx="28">
                  <c:v>0.3216666666666666</c:v>
                </c:pt>
                <c:pt idx="29">
                  <c:v>0.38999999999999985</c:v>
                </c:pt>
                <c:pt idx="30">
                  <c:v>0.27416666666666512</c:v>
                </c:pt>
                <c:pt idx="31">
                  <c:v>0.44916666666666821</c:v>
                </c:pt>
                <c:pt idx="32">
                  <c:v>0.40749999999999975</c:v>
                </c:pt>
                <c:pt idx="33">
                  <c:v>0.22416666666666707</c:v>
                </c:pt>
                <c:pt idx="34">
                  <c:v>0.23333333333333339</c:v>
                </c:pt>
                <c:pt idx="35">
                  <c:v>0.31583333333333358</c:v>
                </c:pt>
                <c:pt idx="36">
                  <c:v>0.4475000000000004</c:v>
                </c:pt>
                <c:pt idx="37">
                  <c:v>0.33416666666666667</c:v>
                </c:pt>
                <c:pt idx="38">
                  <c:v>0.46749999999999964</c:v>
                </c:pt>
                <c:pt idx="39">
                  <c:v>0.6091666666666683</c:v>
                </c:pt>
                <c:pt idx="40">
                  <c:v>0.38249999999999984</c:v>
                </c:pt>
                <c:pt idx="41">
                  <c:v>0.39333333333333381</c:v>
                </c:pt>
                <c:pt idx="42">
                  <c:v>0.5333333333333331</c:v>
                </c:pt>
                <c:pt idx="43">
                  <c:v>0.6275000000000005</c:v>
                </c:pt>
                <c:pt idx="44">
                  <c:v>0.61666666666666703</c:v>
                </c:pt>
                <c:pt idx="45">
                  <c:v>0.53416666666666723</c:v>
                </c:pt>
                <c:pt idx="46">
                  <c:v>0.67916666666666681</c:v>
                </c:pt>
                <c:pt idx="47">
                  <c:v>0.64083333333333392</c:v>
                </c:pt>
                <c:pt idx="48">
                  <c:v>0.66416666666666746</c:v>
                </c:pt>
                <c:pt idx="49">
                  <c:v>0.54333333333333378</c:v>
                </c:pt>
                <c:pt idx="50">
                  <c:v>0.65583333333333371</c:v>
                </c:pt>
                <c:pt idx="51">
                  <c:v>0.7241666666666674</c:v>
                </c:pt>
                <c:pt idx="52">
                  <c:v>0.60750000000000037</c:v>
                </c:pt>
                <c:pt idx="53">
                  <c:v>0.64666666666666694</c:v>
                </c:pt>
                <c:pt idx="54">
                  <c:v>0.67666666666666764</c:v>
                </c:pt>
                <c:pt idx="55">
                  <c:v>0.74916666666666665</c:v>
                </c:pt>
                <c:pt idx="56">
                  <c:v>0.89833333333333354</c:v>
                </c:pt>
                <c:pt idx="57">
                  <c:v>1.0124999999999997</c:v>
                </c:pt>
                <c:pt idx="58">
                  <c:v>0.91499999999999904</c:v>
                </c:pt>
                <c:pt idx="59">
                  <c:v>0.85083333333333433</c:v>
                </c:pt>
                <c:pt idx="60">
                  <c:v>0.97999999999999898</c:v>
                </c:pt>
                <c:pt idx="61">
                  <c:v>1.0075000000000005</c:v>
                </c:pt>
                <c:pt idx="62">
                  <c:v>0.84916666666666762</c:v>
                </c:pt>
                <c:pt idx="63">
                  <c:v>0.89250000000000063</c:v>
                </c:pt>
                <c:pt idx="64">
                  <c:v>1.1724999999999992</c:v>
                </c:pt>
                <c:pt idx="65">
                  <c:v>1.2858333333333338</c:v>
                </c:pt>
                <c:pt idx="66">
                  <c:v>1.193333333333334</c:v>
                </c:pt>
              </c:numCache>
            </c:numRef>
          </c:yVal>
          <c:smooth val="1"/>
          <c:extLst>
            <c:ext xmlns:c16="http://schemas.microsoft.com/office/drawing/2014/chart" uri="{C3380CC4-5D6E-409C-BE32-E72D297353CC}">
              <c16:uniqueId val="{00000001-026E-47B8-B67E-EF379CAF15F1}"/>
            </c:ext>
          </c:extLst>
        </c:ser>
        <c:dLbls>
          <c:showLegendKey val="0"/>
          <c:showVal val="0"/>
          <c:showCatName val="0"/>
          <c:showSerName val="0"/>
          <c:showPercent val="0"/>
          <c:showBubbleSize val="0"/>
        </c:dLbls>
        <c:axId val="54048975"/>
        <c:axId val="74697680"/>
      </c:scatterChart>
      <c:valAx>
        <c:axId val="54048975"/>
        <c:scaling>
          <c:orientation val="minMax"/>
          <c:max val="0.7"/>
          <c:min val="0.1"/>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log2(CO2 / 280 ppm)</a:t>
                </a:r>
              </a:p>
            </c:rich>
          </c:tx>
          <c:overlay val="0"/>
          <c:spPr>
            <a:noFill/>
            <a:ln w="0">
              <a:noFill/>
            </a:ln>
          </c:spPr>
        </c:title>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74697680"/>
        <c:crosses val="autoZero"/>
        <c:crossBetween val="midCat"/>
      </c:valAx>
      <c:valAx>
        <c:axId val="74697680"/>
        <c:scaling>
          <c:orientation val="minMax"/>
          <c:max val="1.5"/>
          <c:min val="-0.3"/>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Annual mean anomaly (°C vs 1951-1980)</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54048975"/>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Detrended test: do the wiggles still track?
Linear time trend removed from both series; r = 0.64</a:t>
            </a:r>
          </a:p>
        </c:rich>
      </c:tx>
      <c:overlay val="0"/>
      <c:spPr>
        <a:noFill/>
        <a:ln w="0">
          <a:noFill/>
        </a:ln>
      </c:spPr>
    </c:title>
    <c:autoTitleDeleted val="0"/>
    <c:plotArea>
      <c:layout/>
      <c:scatterChart>
        <c:scatterStyle val="lineMarker"/>
        <c:varyColors val="0"/>
        <c:ser>
          <c:idx val="0"/>
          <c:order val="0"/>
          <c:spPr>
            <a:ln w="38160">
              <a:noFill/>
            </a:ln>
          </c:spPr>
          <c:marker>
            <c:symbol val="circle"/>
            <c:size val="5"/>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1"/>
            <c:trendlineLbl>
              <c:numFmt formatCode="General" sourceLinked="0"/>
            </c:trendlineLbl>
          </c:trendline>
          <c:xVal>
            <c:numRef>
              <c:f>Annual!$G$2:$G$68</c:f>
              <c:numCache>
                <c:formatCode>0.0000</c:formatCode>
                <c:ptCount val="67"/>
                <c:pt idx="0">
                  <c:v>3.1613392516851468E-2</c:v>
                </c:pt>
                <c:pt idx="1">
                  <c:v>2.9192643763129467E-2</c:v>
                </c:pt>
                <c:pt idx="2">
                  <c:v>2.590614368350741E-2</c:v>
                </c:pt>
                <c:pt idx="3">
                  <c:v>2.294327795228282E-2</c:v>
                </c:pt>
                <c:pt idx="4">
                  <c:v>1.8743511422927434E-2</c:v>
                </c:pt>
                <c:pt idx="5">
                  <c:v>1.4946690911854216E-2</c:v>
                </c:pt>
                <c:pt idx="6">
                  <c:v>1.0196841703059706E-2</c:v>
                </c:pt>
                <c:pt idx="7">
                  <c:v>9.5411815226793817E-3</c:v>
                </c:pt>
                <c:pt idx="8">
                  <c:v>6.5481314104852695E-3</c:v>
                </c:pt>
                <c:pt idx="9">
                  <c:v>3.8075972443843975E-3</c:v>
                </c:pt>
                <c:pt idx="10">
                  <c:v>4.1706899348017412E-3</c:v>
                </c:pt>
                <c:pt idx="11">
                  <c:v>2.242784981926732E-3</c:v>
                </c:pt>
                <c:pt idx="12">
                  <c:v>-1.5674994990735047E-3</c:v>
                </c:pt>
                <c:pt idx="13">
                  <c:v>-3.1828517652018606E-3</c:v>
                </c:pt>
                <c:pt idx="14">
                  <c:v>-5.0888930912845742E-5</c:v>
                </c:pt>
                <c:pt idx="15">
                  <c:v>-4.4543410383966753E-3</c:v>
                </c:pt>
                <c:pt idx="16">
                  <c:v>-7.0103679775822547E-3</c:v>
                </c:pt>
                <c:pt idx="17">
                  <c:v>-9.7423661718590848E-3</c:v>
                </c:pt>
                <c:pt idx="18">
                  <c:v>-8.4944611033638817E-3</c:v>
                </c:pt>
                <c:pt idx="19">
                  <c:v>-8.3587421512791305E-3</c:v>
                </c:pt>
                <c:pt idx="20">
                  <c:v>-8.8955710487856332E-3</c:v>
                </c:pt>
                <c:pt idx="21">
                  <c:v>-7.2993113529620235E-3</c:v>
                </c:pt>
                <c:pt idx="22">
                  <c:v>-8.1702219546583854E-3</c:v>
                </c:pt>
                <c:pt idx="23">
                  <c:v>-9.056345548323852E-3</c:v>
                </c:pt>
                <c:pt idx="24">
                  <c:v>-8.6306664281753931E-3</c:v>
                </c:pt>
                <c:pt idx="25">
                  <c:v>-8.0791536138100084E-3</c:v>
                </c:pt>
                <c:pt idx="26">
                  <c:v>-8.5146484635754138E-3</c:v>
                </c:pt>
                <c:pt idx="27">
                  <c:v>-9.9248620361179762E-3</c:v>
                </c:pt>
                <c:pt idx="28">
                  <c:v>-9.5037704451569893E-3</c:v>
                </c:pt>
                <c:pt idx="29">
                  <c:v>-6.349102005240137E-3</c:v>
                </c:pt>
                <c:pt idx="30">
                  <c:v>-6.7868341981546787E-3</c:v>
                </c:pt>
                <c:pt idx="31">
                  <c:v>-8.3337972598961918E-3</c:v>
                </c:pt>
                <c:pt idx="32">
                  <c:v>-9.8934366220145287E-3</c:v>
                </c:pt>
                <c:pt idx="33">
                  <c:v>-1.3121512332497087E-2</c:v>
                </c:pt>
                <c:pt idx="34">
                  <c:v>-1.7042172434329261E-2</c:v>
                </c:pt>
                <c:pt idx="35">
                  <c:v>-1.6647911636852142E-2</c:v>
                </c:pt>
                <c:pt idx="36">
                  <c:v>-1.5231267894505462E-2</c:v>
                </c:pt>
                <c:pt idx="37">
                  <c:v>-1.4789808825412643E-2</c:v>
                </c:pt>
                <c:pt idx="38">
                  <c:v>-1.6925611232071036E-2</c:v>
                </c:pt>
                <c:pt idx="39">
                  <c:v>-1.1855143296684967E-2</c:v>
                </c:pt>
                <c:pt idx="40">
                  <c:v>-1.1825628238510744E-2</c:v>
                </c:pt>
                <c:pt idx="41">
                  <c:v>-1.3890750306850219E-2</c:v>
                </c:pt>
                <c:pt idx="42">
                  <c:v>-1.4253944700256815E-2</c:v>
                </c:pt>
                <c:pt idx="43">
                  <c:v>-1.2621441787057153E-2</c:v>
                </c:pt>
                <c:pt idx="44">
                  <c:v>-9.5144407904207973E-3</c:v>
                </c:pt>
                <c:pt idx="45">
                  <c:v>-9.5889170044071714E-3</c:v>
                </c:pt>
                <c:pt idx="46">
                  <c:v>-7.5200462410321411E-3</c:v>
                </c:pt>
                <c:pt idx="47">
                  <c:v>-6.1764359167997274E-3</c:v>
                </c:pt>
                <c:pt idx="48">
                  <c:v>-5.5258281959768563E-3</c:v>
                </c:pt>
                <c:pt idx="49">
                  <c:v>-5.3830958367319659E-3</c:v>
                </c:pt>
                <c:pt idx="50">
                  <c:v>-5.2683924493218126E-3</c:v>
                </c:pt>
                <c:pt idx="51">
                  <c:v>-2.7827273735499536E-3</c:v>
                </c:pt>
                <c:pt idx="52">
                  <c:v>-2.9588745698225782E-3</c:v>
                </c:pt>
                <c:pt idx="53">
                  <c:v>-1.4999235956072998E-3</c:v>
                </c:pt>
                <c:pt idx="54">
                  <c:v>1.647483975148134E-3</c:v>
                </c:pt>
                <c:pt idx="55">
                  <c:v>2.5355883615355568E-3</c:v>
                </c:pt>
                <c:pt idx="56">
                  <c:v>3.8392950636404466E-3</c:v>
                </c:pt>
                <c:pt idx="57">
                  <c:v>9.3805074148564094E-3</c:v>
                </c:pt>
                <c:pt idx="58">
                  <c:v>1.1092642689308874E-2</c:v>
                </c:pt>
                <c:pt idx="59">
                  <c:v>1.1384378593107702E-2</c:v>
                </c:pt>
                <c:pt idx="60">
                  <c:v>1.5067041343952536E-2</c:v>
                </c:pt>
                <c:pt idx="61">
                  <c:v>1.7391457811874123E-2</c:v>
                </c:pt>
                <c:pt idx="62">
                  <c:v>1.8399137443542823E-2</c:v>
                </c:pt>
                <c:pt idx="63">
                  <c:v>1.9074167617780913E-2</c:v>
                </c:pt>
                <c:pt idx="64">
                  <c:v>2.1206074025989952E-2</c:v>
                </c:pt>
                <c:pt idx="65">
                  <c:v>2.6596572272788666E-2</c:v>
                </c:pt>
                <c:pt idx="66">
                  <c:v>2.9255880611798069E-2</c:v>
                </c:pt>
              </c:numCache>
            </c:numRef>
          </c:xVal>
          <c:yVal>
            <c:numRef>
              <c:f>Annual!$F$2:$F$68</c:f>
              <c:numCache>
                <c:formatCode>0.000</c:formatCode>
                <c:ptCount val="67"/>
                <c:pt idx="0">
                  <c:v>0.22531826163301272</c:v>
                </c:pt>
                <c:pt idx="1">
                  <c:v>0.15148455583047746</c:v>
                </c:pt>
                <c:pt idx="2">
                  <c:v>0.21515085002794057</c:v>
                </c:pt>
                <c:pt idx="3">
                  <c:v>0.17131714422540542</c:v>
                </c:pt>
                <c:pt idx="4">
                  <c:v>0.17665010508952847</c:v>
                </c:pt>
                <c:pt idx="5">
                  <c:v>-9.4683600713008659E-2</c:v>
                </c:pt>
                <c:pt idx="6">
                  <c:v>-2.0183973182210949E-2</c:v>
                </c:pt>
                <c:pt idx="7">
                  <c:v>1.0982321015253614E-2</c:v>
                </c:pt>
                <c:pt idx="8">
                  <c:v>2.6315281879376446E-2</c:v>
                </c:pt>
                <c:pt idx="9">
                  <c:v>-5.0018423923159805E-2</c:v>
                </c:pt>
                <c:pt idx="10">
                  <c:v>6.6981203607637596E-2</c:v>
                </c:pt>
                <c:pt idx="11">
                  <c:v>2.3980831138428194E-2</c:v>
                </c:pt>
                <c:pt idx="12">
                  <c:v>-0.10068620799744184</c:v>
                </c:pt>
                <c:pt idx="13">
                  <c:v>-3.0353247133310855E-2</c:v>
                </c:pt>
                <c:pt idx="14">
                  <c:v>0.10331304706415198</c:v>
                </c:pt>
                <c:pt idx="15">
                  <c:v>-0.14718732540505836</c:v>
                </c:pt>
                <c:pt idx="16">
                  <c:v>-0.10685436454092612</c:v>
                </c:pt>
                <c:pt idx="17">
                  <c:v>-0.20902140367679634</c:v>
                </c:pt>
                <c:pt idx="18">
                  <c:v>4.8811557187326965E-2</c:v>
                </c:pt>
                <c:pt idx="19">
                  <c:v>-8.0855481948543126E-2</c:v>
                </c:pt>
                <c:pt idx="20">
                  <c:v>-1.3558544177455223E-3</c:v>
                </c:pt>
                <c:pt idx="21">
                  <c:v>7.2310439779718572E-2</c:v>
                </c:pt>
                <c:pt idx="22">
                  <c:v>0.12181006731050764</c:v>
                </c:pt>
                <c:pt idx="23">
                  <c:v>-8.0356971825361917E-2</c:v>
                </c:pt>
                <c:pt idx="24">
                  <c:v>7.7475989038769733E-2</c:v>
                </c:pt>
                <c:pt idx="25">
                  <c:v>-0.10052438343043338</c:v>
                </c:pt>
                <c:pt idx="26">
                  <c:v>-0.15519142256631041</c:v>
                </c:pt>
                <c:pt idx="27">
                  <c:v>-0.11152512836884698</c:v>
                </c:pt>
                <c:pt idx="28">
                  <c:v>1.2141165828617517E-2</c:v>
                </c:pt>
                <c:pt idx="29">
                  <c:v>6.2474126692740828E-2</c:v>
                </c:pt>
                <c:pt idx="30">
                  <c:v>-7.1359579109796734E-2</c:v>
                </c:pt>
                <c:pt idx="31">
                  <c:v>8.5640048421003534E-2</c:v>
                </c:pt>
                <c:pt idx="32">
                  <c:v>2.5973009285132242E-2</c:v>
                </c:pt>
                <c:pt idx="33">
                  <c:v>-0.17536069651741037</c:v>
                </c:pt>
                <c:pt idx="34">
                  <c:v>-0.18419440231994688</c:v>
                </c:pt>
                <c:pt idx="35">
                  <c:v>-0.11969477478914953</c:v>
                </c:pt>
                <c:pt idx="36">
                  <c:v>-6.0284805916855366E-3</c:v>
                </c:pt>
                <c:pt idx="37">
                  <c:v>-0.1373621863942292</c:v>
                </c:pt>
                <c:pt idx="38">
                  <c:v>-2.2029225530099061E-2</c:v>
                </c:pt>
                <c:pt idx="39">
                  <c:v>0.10163706866736677</c:v>
                </c:pt>
                <c:pt idx="40">
                  <c:v>-0.14302997046851162</c:v>
                </c:pt>
                <c:pt idx="41">
                  <c:v>-0.15019700960438048</c:v>
                </c:pt>
                <c:pt idx="42">
                  <c:v>-2.8197382073584021E-2</c:v>
                </c:pt>
                <c:pt idx="43">
                  <c:v>4.7968912123880547E-2</c:v>
                </c:pt>
                <c:pt idx="44">
                  <c:v>1.9135206321337139E-2</c:v>
                </c:pt>
                <c:pt idx="45">
                  <c:v>-8.1365166147865486E-2</c:v>
                </c:pt>
                <c:pt idx="46">
                  <c:v>4.5634461382931257E-2</c:v>
                </c:pt>
                <c:pt idx="47">
                  <c:v>-1.0699244419604459E-2</c:v>
                </c:pt>
                <c:pt idx="48">
                  <c:v>-5.3662835554808552E-3</c:v>
                </c:pt>
                <c:pt idx="49">
                  <c:v>-0.14419998935801737</c:v>
                </c:pt>
                <c:pt idx="50">
                  <c:v>-4.9700361827220263E-2</c:v>
                </c:pt>
                <c:pt idx="51">
                  <c:v>6.3259903690349173E-4</c:v>
                </c:pt>
                <c:pt idx="52">
                  <c:v>-0.13403444009896637</c:v>
                </c:pt>
                <c:pt idx="53">
                  <c:v>-0.11286814590150263</c:v>
                </c:pt>
                <c:pt idx="54">
                  <c:v>-0.10086851837070476</c:v>
                </c:pt>
                <c:pt idx="55">
                  <c:v>-4.6368890839915688E-2</c:v>
                </c:pt>
                <c:pt idx="56">
                  <c:v>8.4797403357548373E-2</c:v>
                </c:pt>
                <c:pt idx="57">
                  <c:v>0.18096369755501174</c:v>
                </c:pt>
                <c:pt idx="58">
                  <c:v>6.5463325085808211E-2</c:v>
                </c:pt>
                <c:pt idx="59">
                  <c:v>-1.6703714050066432E-2</c:v>
                </c:pt>
                <c:pt idx="60">
                  <c:v>9.4462580147395392E-2</c:v>
                </c:pt>
                <c:pt idx="61">
                  <c:v>0.10396220767819409</c:v>
                </c:pt>
                <c:pt idx="62">
                  <c:v>-7.2371498124348732E-2</c:v>
                </c:pt>
                <c:pt idx="63">
                  <c:v>-4.703853726021856E-2</c:v>
                </c:pt>
                <c:pt idx="64">
                  <c:v>0.21496109027057719</c:v>
                </c:pt>
                <c:pt idx="65">
                  <c:v>0.31029405113470898</c:v>
                </c:pt>
                <c:pt idx="66">
                  <c:v>0.19979367866549924</c:v>
                </c:pt>
              </c:numCache>
            </c:numRef>
          </c:yVal>
          <c:smooth val="1"/>
          <c:extLst>
            <c:ext xmlns:c16="http://schemas.microsoft.com/office/drawing/2014/chart" uri="{C3380CC4-5D6E-409C-BE32-E72D297353CC}">
              <c16:uniqueId val="{00000001-FBF9-4AE9-A4D6-6DB8E2DEF967}"/>
            </c:ext>
          </c:extLst>
        </c:ser>
        <c:dLbls>
          <c:showLegendKey val="0"/>
          <c:showVal val="0"/>
          <c:showCatName val="0"/>
          <c:showSerName val="0"/>
          <c:showPercent val="0"/>
          <c:showBubbleSize val="0"/>
        </c:dLbls>
        <c:axId val="46419302"/>
        <c:axId val="79099528"/>
      </c:scatterChart>
      <c:valAx>
        <c:axId val="46419302"/>
        <c:scaling>
          <c:orientation val="minMax"/>
          <c:max val="0.06"/>
          <c:min val="-0.06"/>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log2(CO2) residual after removing linear time trend</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79099528"/>
        <c:crosses val="autoZero"/>
        <c:crossBetween val="midCat"/>
      </c:valAx>
      <c:valAx>
        <c:axId val="79099528"/>
        <c:scaling>
          <c:orientation val="minMax"/>
          <c:max val="0.4"/>
          <c:min val="-0.4"/>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Anomaly residual after removing linear time trend (°C)</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46419302"/>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sz="1300" b="1" strike="noStrike" spc="-1">
                <a:solidFill>
                  <a:srgbClr val="000000"/>
                </a:solidFill>
                <a:latin typeface="Calibri"/>
                <a:ea typeface="Calibri"/>
              </a:rPr>
              <a:t>Total solar irradiance, 1959-2023 (NRLTSI2)
11-year cycle is visible; linear trend is flat (dashed)</a:t>
            </a:r>
          </a:p>
        </c:rich>
      </c:tx>
      <c:overlay val="0"/>
      <c:spPr>
        <a:noFill/>
        <a:ln w="0">
          <a:noFill/>
        </a:ln>
      </c:spPr>
    </c:title>
    <c:autoTitleDeleted val="0"/>
    <c:plotArea>
      <c:layout/>
      <c:scatterChart>
        <c:scatterStyle val="lineMarker"/>
        <c:varyColors val="0"/>
        <c:ser>
          <c:idx val="0"/>
          <c:order val="0"/>
          <c:spPr>
            <a:ln w="21960">
              <a:solidFill>
                <a:srgbClr val="EB6834"/>
              </a:solidFill>
              <a:round/>
            </a:ln>
          </c:spPr>
          <c:marker>
            <c:symbol val="none"/>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1880">
                <a:solidFill>
                  <a:srgbClr val="52514E"/>
                </a:solidFill>
                <a:prstDash val="dash"/>
                <a:round/>
              </a:ln>
            </c:spPr>
            <c:trendlineType val="linear"/>
            <c:dispRSqr val="1"/>
            <c:dispEq val="1"/>
            <c:trendlineLbl>
              <c:numFmt formatCode="General" sourceLinked="0"/>
            </c:trendlineLbl>
          </c:trendline>
          <c:xVal>
            <c:numRef>
              <c:f>Solar!$F$2:$F$66</c:f>
              <c:numCache>
                <c:formatCode>0</c:formatCode>
                <c:ptCount val="65"/>
                <c:pt idx="0">
                  <c:v>1959</c:v>
                </c:pt>
                <c:pt idx="1">
                  <c:v>1960</c:v>
                </c:pt>
                <c:pt idx="2">
                  <c:v>1961</c:v>
                </c:pt>
                <c:pt idx="3">
                  <c:v>1962</c:v>
                </c:pt>
                <c:pt idx="4">
                  <c:v>1963</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numCache>
            </c:numRef>
          </c:xVal>
          <c:yVal>
            <c:numRef>
              <c:f>Solar!$I$2:$I$66</c:f>
              <c:numCache>
                <c:formatCode>0.00</c:formatCode>
                <c:ptCount val="65"/>
                <c:pt idx="0">
                  <c:v>1361.5649999999998</c:v>
                </c:pt>
                <c:pt idx="1">
                  <c:v>1361.4283333333335</c:v>
                </c:pt>
                <c:pt idx="2">
                  <c:v>1360.9950000000001</c:v>
                </c:pt>
                <c:pt idx="3">
                  <c:v>1360.7974999999999</c:v>
                </c:pt>
                <c:pt idx="4">
                  <c:v>1360.7333333333333</c:v>
                </c:pt>
                <c:pt idx="5">
                  <c:v>1360.7283333333332</c:v>
                </c:pt>
                <c:pt idx="6">
                  <c:v>1360.7724999999998</c:v>
                </c:pt>
                <c:pt idx="7">
                  <c:v>1361.0008333333333</c:v>
                </c:pt>
                <c:pt idx="8">
                  <c:v>1361.2249999999999</c:v>
                </c:pt>
                <c:pt idx="9">
                  <c:v>1361.3041666666668</c:v>
                </c:pt>
                <c:pt idx="10">
                  <c:v>1361.3766666666668</c:v>
                </c:pt>
                <c:pt idx="11">
                  <c:v>1361.3741666666665</c:v>
                </c:pt>
                <c:pt idx="12">
                  <c:v>1361.04</c:v>
                </c:pt>
                <c:pt idx="13">
                  <c:v>1361.1008333333336</c:v>
                </c:pt>
                <c:pt idx="14">
                  <c:v>1360.865</c:v>
                </c:pt>
                <c:pt idx="15">
                  <c:v>1360.7716666666668</c:v>
                </c:pt>
                <c:pt idx="16">
                  <c:v>1360.7150000000001</c:v>
                </c:pt>
                <c:pt idx="17">
                  <c:v>1360.6941666666667</c:v>
                </c:pt>
                <c:pt idx="18">
                  <c:v>1360.8891666666666</c:v>
                </c:pt>
                <c:pt idx="19">
                  <c:v>1361.2133333333331</c:v>
                </c:pt>
                <c:pt idx="20">
                  <c:v>1361.6000000000001</c:v>
                </c:pt>
                <c:pt idx="21">
                  <c:v>1361.6375</c:v>
                </c:pt>
                <c:pt idx="22">
                  <c:v>1361.6849999999999</c:v>
                </c:pt>
                <c:pt idx="23">
                  <c:v>1361.2258333333332</c:v>
                </c:pt>
                <c:pt idx="24">
                  <c:v>1361.2141666666666</c:v>
                </c:pt>
                <c:pt idx="25">
                  <c:v>1360.7891666666665</c:v>
                </c:pt>
                <c:pt idx="26">
                  <c:v>1360.6325000000002</c:v>
                </c:pt>
                <c:pt idx="27">
                  <c:v>1360.6416666666667</c:v>
                </c:pt>
                <c:pt idx="28">
                  <c:v>1360.7825</c:v>
                </c:pt>
                <c:pt idx="29">
                  <c:v>1361.1225000000002</c:v>
                </c:pt>
                <c:pt idx="30">
                  <c:v>1361.64</c:v>
                </c:pt>
                <c:pt idx="31">
                  <c:v>1361.5533333333335</c:v>
                </c:pt>
                <c:pt idx="32">
                  <c:v>1361.5208333333333</c:v>
                </c:pt>
                <c:pt idx="33">
                  <c:v>1361.3091666666667</c:v>
                </c:pt>
                <c:pt idx="34">
                  <c:v>1360.9408333333333</c:v>
                </c:pt>
                <c:pt idx="35">
                  <c:v>1360.7441666666666</c:v>
                </c:pt>
                <c:pt idx="36">
                  <c:v>1360.7325000000001</c:v>
                </c:pt>
                <c:pt idx="37">
                  <c:v>1360.6758333333335</c:v>
                </c:pt>
                <c:pt idx="38">
                  <c:v>1360.8066666666666</c:v>
                </c:pt>
                <c:pt idx="39">
                  <c:v>1361.1741666666667</c:v>
                </c:pt>
                <c:pt idx="40">
                  <c:v>1361.4808333333333</c:v>
                </c:pt>
                <c:pt idx="41">
                  <c:v>1361.6591666666666</c:v>
                </c:pt>
                <c:pt idx="42">
                  <c:v>1361.5691666666667</c:v>
                </c:pt>
                <c:pt idx="43">
                  <c:v>1361.6366666666665</c:v>
                </c:pt>
                <c:pt idx="44">
                  <c:v>1361.1324999999999</c:v>
                </c:pt>
                <c:pt idx="45">
                  <c:v>1360.9191666666666</c:v>
                </c:pt>
                <c:pt idx="46">
                  <c:v>1360.7025000000001</c:v>
                </c:pt>
                <c:pt idx="47">
                  <c:v>1360.6791666666666</c:v>
                </c:pt>
                <c:pt idx="48">
                  <c:v>1360.6041666666667</c:v>
                </c:pt>
                <c:pt idx="49">
                  <c:v>1360.6100000000001</c:v>
                </c:pt>
                <c:pt idx="50">
                  <c:v>1360.6075000000001</c:v>
                </c:pt>
                <c:pt idx="51">
                  <c:v>1360.7858333333334</c:v>
                </c:pt>
                <c:pt idx="52">
                  <c:v>1361.0666666666666</c:v>
                </c:pt>
                <c:pt idx="53">
                  <c:v>1361.1933333333332</c:v>
                </c:pt>
                <c:pt idx="54">
                  <c:v>1361.2625</c:v>
                </c:pt>
                <c:pt idx="55">
                  <c:v>1361.3833333333332</c:v>
                </c:pt>
                <c:pt idx="56">
                  <c:v>1361.4133333333332</c:v>
                </c:pt>
                <c:pt idx="57">
                  <c:v>1360.9541666666667</c:v>
                </c:pt>
                <c:pt idx="58">
                  <c:v>1360.6599999999999</c:v>
                </c:pt>
                <c:pt idx="59">
                  <c:v>1360.6391666666666</c:v>
                </c:pt>
                <c:pt idx="60">
                  <c:v>1360.6483333333333</c:v>
                </c:pt>
                <c:pt idx="61">
                  <c:v>1360.7483333333332</c:v>
                </c:pt>
                <c:pt idx="62">
                  <c:v>1360.9741666666666</c:v>
                </c:pt>
                <c:pt idx="63">
                  <c:v>1361.4933333333336</c:v>
                </c:pt>
                <c:pt idx="64">
                  <c:v>1362.0025000000001</c:v>
                </c:pt>
              </c:numCache>
            </c:numRef>
          </c:yVal>
          <c:smooth val="1"/>
          <c:extLst>
            <c:ext xmlns:c16="http://schemas.microsoft.com/office/drawing/2014/chart" uri="{C3380CC4-5D6E-409C-BE32-E72D297353CC}">
              <c16:uniqueId val="{00000001-A74C-4C8B-945B-8C3BF48E2CBD}"/>
            </c:ext>
          </c:extLst>
        </c:ser>
        <c:dLbls>
          <c:showLegendKey val="0"/>
          <c:showVal val="0"/>
          <c:showCatName val="0"/>
          <c:showSerName val="0"/>
          <c:showPercent val="0"/>
          <c:showBubbleSize val="0"/>
        </c:dLbls>
        <c:axId val="6747656"/>
        <c:axId val="69155763"/>
      </c:scatterChart>
      <c:valAx>
        <c:axId val="6747656"/>
        <c:scaling>
          <c:orientation val="minMax"/>
          <c:max val="2025"/>
          <c:min val="1955"/>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Year</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69155763"/>
        <c:crosses val="min"/>
        <c:crossBetween val="midCat"/>
      </c:valAx>
      <c:valAx>
        <c:axId val="69155763"/>
        <c:scaling>
          <c:orientation val="minMax"/>
          <c:max val="1362.2"/>
          <c:min val="1360.4"/>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Annual mean TSI (W/m²)</a:t>
                </a:r>
              </a:p>
            </c:rich>
          </c:tx>
          <c:overlay val="0"/>
          <c:spPr>
            <a:noFill/>
            <a:ln w="0">
              <a:noFill/>
            </a:ln>
          </c:spPr>
        </c:title>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6747656"/>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sz="1300" b="1" strike="noStrike" spc="-1">
                <a:solidFill>
                  <a:srgbClr val="000000"/>
                </a:solidFill>
                <a:latin typeface="Calibri"/>
                <a:ea typeface="Calibri"/>
              </a:rPr>
              <a:t>Temperature anomaly vs TSI alone
No relationship: R² shown on trendline</a:t>
            </a:r>
          </a:p>
        </c:rich>
      </c:tx>
      <c:overlay val="0"/>
      <c:spPr>
        <a:noFill/>
        <a:ln w="0">
          <a:noFill/>
        </a:ln>
      </c:spPr>
    </c:title>
    <c:autoTitleDeleted val="0"/>
    <c:plotArea>
      <c:layout/>
      <c:scatterChart>
        <c:scatterStyle val="lineMarker"/>
        <c:varyColors val="0"/>
        <c:ser>
          <c:idx val="0"/>
          <c:order val="0"/>
          <c:spPr>
            <a:ln w="38160">
              <a:noFill/>
            </a:ln>
          </c:spPr>
          <c:marker>
            <c:symbol val="circle"/>
            <c:size val="5"/>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0"/>
            <c:trendlineLbl>
              <c:numFmt formatCode="General" sourceLinked="0"/>
            </c:trendlineLbl>
          </c:trendline>
          <c:xVal>
            <c:numRef>
              <c:f>Solar!$I$2:$I$66</c:f>
              <c:numCache>
                <c:formatCode>0.00</c:formatCode>
                <c:ptCount val="65"/>
                <c:pt idx="0">
                  <c:v>1361.5649999999998</c:v>
                </c:pt>
                <c:pt idx="1">
                  <c:v>1361.4283333333335</c:v>
                </c:pt>
                <c:pt idx="2">
                  <c:v>1360.9950000000001</c:v>
                </c:pt>
                <c:pt idx="3">
                  <c:v>1360.7974999999999</c:v>
                </c:pt>
                <c:pt idx="4">
                  <c:v>1360.7333333333333</c:v>
                </c:pt>
                <c:pt idx="5">
                  <c:v>1360.7283333333332</c:v>
                </c:pt>
                <c:pt idx="6">
                  <c:v>1360.7724999999998</c:v>
                </c:pt>
                <c:pt idx="7">
                  <c:v>1361.0008333333333</c:v>
                </c:pt>
                <c:pt idx="8">
                  <c:v>1361.2249999999999</c:v>
                </c:pt>
                <c:pt idx="9">
                  <c:v>1361.3041666666668</c:v>
                </c:pt>
                <c:pt idx="10">
                  <c:v>1361.3766666666668</c:v>
                </c:pt>
                <c:pt idx="11">
                  <c:v>1361.3741666666665</c:v>
                </c:pt>
                <c:pt idx="12">
                  <c:v>1361.04</c:v>
                </c:pt>
                <c:pt idx="13">
                  <c:v>1361.1008333333336</c:v>
                </c:pt>
                <c:pt idx="14">
                  <c:v>1360.865</c:v>
                </c:pt>
                <c:pt idx="15">
                  <c:v>1360.7716666666668</c:v>
                </c:pt>
                <c:pt idx="16">
                  <c:v>1360.7150000000001</c:v>
                </c:pt>
                <c:pt idx="17">
                  <c:v>1360.6941666666667</c:v>
                </c:pt>
                <c:pt idx="18">
                  <c:v>1360.8891666666666</c:v>
                </c:pt>
                <c:pt idx="19">
                  <c:v>1361.2133333333331</c:v>
                </c:pt>
                <c:pt idx="20">
                  <c:v>1361.6000000000001</c:v>
                </c:pt>
                <c:pt idx="21">
                  <c:v>1361.6375</c:v>
                </c:pt>
                <c:pt idx="22">
                  <c:v>1361.6849999999999</c:v>
                </c:pt>
                <c:pt idx="23">
                  <c:v>1361.2258333333332</c:v>
                </c:pt>
                <c:pt idx="24">
                  <c:v>1361.2141666666666</c:v>
                </c:pt>
                <c:pt idx="25">
                  <c:v>1360.7891666666665</c:v>
                </c:pt>
                <c:pt idx="26">
                  <c:v>1360.6325000000002</c:v>
                </c:pt>
                <c:pt idx="27">
                  <c:v>1360.6416666666667</c:v>
                </c:pt>
                <c:pt idx="28">
                  <c:v>1360.7825</c:v>
                </c:pt>
                <c:pt idx="29">
                  <c:v>1361.1225000000002</c:v>
                </c:pt>
                <c:pt idx="30">
                  <c:v>1361.64</c:v>
                </c:pt>
                <c:pt idx="31">
                  <c:v>1361.5533333333335</c:v>
                </c:pt>
                <c:pt idx="32">
                  <c:v>1361.5208333333333</c:v>
                </c:pt>
                <c:pt idx="33">
                  <c:v>1361.3091666666667</c:v>
                </c:pt>
                <c:pt idx="34">
                  <c:v>1360.9408333333333</c:v>
                </c:pt>
                <c:pt idx="35">
                  <c:v>1360.7441666666666</c:v>
                </c:pt>
                <c:pt idx="36">
                  <c:v>1360.7325000000001</c:v>
                </c:pt>
                <c:pt idx="37">
                  <c:v>1360.6758333333335</c:v>
                </c:pt>
                <c:pt idx="38">
                  <c:v>1360.8066666666666</c:v>
                </c:pt>
                <c:pt idx="39">
                  <c:v>1361.1741666666667</c:v>
                </c:pt>
                <c:pt idx="40">
                  <c:v>1361.4808333333333</c:v>
                </c:pt>
                <c:pt idx="41">
                  <c:v>1361.6591666666666</c:v>
                </c:pt>
                <c:pt idx="42">
                  <c:v>1361.5691666666667</c:v>
                </c:pt>
                <c:pt idx="43">
                  <c:v>1361.6366666666665</c:v>
                </c:pt>
                <c:pt idx="44">
                  <c:v>1361.1324999999999</c:v>
                </c:pt>
                <c:pt idx="45">
                  <c:v>1360.9191666666666</c:v>
                </c:pt>
                <c:pt idx="46">
                  <c:v>1360.7025000000001</c:v>
                </c:pt>
                <c:pt idx="47">
                  <c:v>1360.6791666666666</c:v>
                </c:pt>
                <c:pt idx="48">
                  <c:v>1360.6041666666667</c:v>
                </c:pt>
                <c:pt idx="49">
                  <c:v>1360.6100000000001</c:v>
                </c:pt>
                <c:pt idx="50">
                  <c:v>1360.6075000000001</c:v>
                </c:pt>
                <c:pt idx="51">
                  <c:v>1360.7858333333334</c:v>
                </c:pt>
                <c:pt idx="52">
                  <c:v>1361.0666666666666</c:v>
                </c:pt>
                <c:pt idx="53">
                  <c:v>1361.1933333333332</c:v>
                </c:pt>
                <c:pt idx="54">
                  <c:v>1361.2625</c:v>
                </c:pt>
                <c:pt idx="55">
                  <c:v>1361.3833333333332</c:v>
                </c:pt>
                <c:pt idx="56">
                  <c:v>1361.4133333333332</c:v>
                </c:pt>
                <c:pt idx="57">
                  <c:v>1360.9541666666667</c:v>
                </c:pt>
                <c:pt idx="58">
                  <c:v>1360.6599999999999</c:v>
                </c:pt>
                <c:pt idx="59">
                  <c:v>1360.6391666666666</c:v>
                </c:pt>
                <c:pt idx="60">
                  <c:v>1360.6483333333333</c:v>
                </c:pt>
                <c:pt idx="61">
                  <c:v>1360.7483333333332</c:v>
                </c:pt>
                <c:pt idx="62">
                  <c:v>1360.9741666666666</c:v>
                </c:pt>
                <c:pt idx="63">
                  <c:v>1361.4933333333336</c:v>
                </c:pt>
                <c:pt idx="64">
                  <c:v>1362.0025000000001</c:v>
                </c:pt>
              </c:numCache>
            </c:numRef>
          </c:xVal>
          <c:yVal>
            <c:numRef>
              <c:f>Solar!$G$2:$G$66</c:f>
              <c:numCache>
                <c:formatCode>0.000</c:formatCode>
                <c:ptCount val="65"/>
                <c:pt idx="0">
                  <c:v>3.0833333333332824E-2</c:v>
                </c:pt>
                <c:pt idx="1">
                  <c:v>-2.4999999999999616E-2</c:v>
                </c:pt>
                <c:pt idx="2">
                  <c:v>5.6666666666666345E-2</c:v>
                </c:pt>
                <c:pt idx="3">
                  <c:v>3.0833333333334007E-2</c:v>
                </c:pt>
                <c:pt idx="4">
                  <c:v>5.4166666666666995E-2</c:v>
                </c:pt>
                <c:pt idx="5">
                  <c:v>-0.1991666666666673</c:v>
                </c:pt>
                <c:pt idx="6">
                  <c:v>-0.10666666666666676</c:v>
                </c:pt>
                <c:pt idx="7">
                  <c:v>-5.7499999999999364E-2</c:v>
                </c:pt>
                <c:pt idx="8">
                  <c:v>-2.4166666666666597E-2</c:v>
                </c:pt>
                <c:pt idx="9">
                  <c:v>-8.2500000000000018E-2</c:v>
                </c:pt>
                <c:pt idx="10">
                  <c:v>5.2500000000000213E-2</c:v>
                </c:pt>
                <c:pt idx="11">
                  <c:v>2.7500000000000746E-2</c:v>
                </c:pt>
                <c:pt idx="12">
                  <c:v>-7.9166666666666455E-2</c:v>
                </c:pt>
                <c:pt idx="13">
                  <c:v>9.1666666666673589E-3</c:v>
                </c:pt>
                <c:pt idx="14">
                  <c:v>0.16083333333333302</c:v>
                </c:pt>
                <c:pt idx="15">
                  <c:v>-7.1666666666667364E-2</c:v>
                </c:pt>
                <c:pt idx="16">
                  <c:v>-1.3333333333332309E-2</c:v>
                </c:pt>
                <c:pt idx="17">
                  <c:v>-9.7499999999999698E-2</c:v>
                </c:pt>
                <c:pt idx="18">
                  <c:v>0.17833333333333354</c:v>
                </c:pt>
                <c:pt idx="19">
                  <c:v>6.6666666666666277E-2</c:v>
                </c:pt>
                <c:pt idx="20">
                  <c:v>0.16416666666666671</c:v>
                </c:pt>
                <c:pt idx="21">
                  <c:v>0.25583333333333363</c:v>
                </c:pt>
                <c:pt idx="22">
                  <c:v>0.32333333333333264</c:v>
                </c:pt>
                <c:pt idx="23">
                  <c:v>0.13916666666666591</c:v>
                </c:pt>
                <c:pt idx="24">
                  <c:v>0.31500000000000039</c:v>
                </c:pt>
                <c:pt idx="25">
                  <c:v>0.15500000000000011</c:v>
                </c:pt>
                <c:pt idx="26">
                  <c:v>0.11833333333333303</c:v>
                </c:pt>
                <c:pt idx="27">
                  <c:v>0.17999999999999927</c:v>
                </c:pt>
                <c:pt idx="28">
                  <c:v>0.3216666666666666</c:v>
                </c:pt>
                <c:pt idx="29">
                  <c:v>0.38999999999999985</c:v>
                </c:pt>
                <c:pt idx="30">
                  <c:v>0.27416666666666512</c:v>
                </c:pt>
                <c:pt idx="31">
                  <c:v>0.44916666666666821</c:v>
                </c:pt>
                <c:pt idx="32">
                  <c:v>0.40749999999999975</c:v>
                </c:pt>
                <c:pt idx="33">
                  <c:v>0.22416666666666707</c:v>
                </c:pt>
                <c:pt idx="34">
                  <c:v>0.23333333333333339</c:v>
                </c:pt>
                <c:pt idx="35">
                  <c:v>0.31583333333333358</c:v>
                </c:pt>
                <c:pt idx="36">
                  <c:v>0.4475000000000004</c:v>
                </c:pt>
                <c:pt idx="37">
                  <c:v>0.33416666666666667</c:v>
                </c:pt>
                <c:pt idx="38">
                  <c:v>0.46749999999999964</c:v>
                </c:pt>
                <c:pt idx="39">
                  <c:v>0.6091666666666683</c:v>
                </c:pt>
                <c:pt idx="40">
                  <c:v>0.38249999999999984</c:v>
                </c:pt>
                <c:pt idx="41">
                  <c:v>0.39333333333333381</c:v>
                </c:pt>
                <c:pt idx="42">
                  <c:v>0.5333333333333331</c:v>
                </c:pt>
                <c:pt idx="43">
                  <c:v>0.6275000000000005</c:v>
                </c:pt>
                <c:pt idx="44">
                  <c:v>0.61666666666666703</c:v>
                </c:pt>
                <c:pt idx="45">
                  <c:v>0.53416666666666723</c:v>
                </c:pt>
                <c:pt idx="46">
                  <c:v>0.67916666666666681</c:v>
                </c:pt>
                <c:pt idx="47">
                  <c:v>0.64083333333333392</c:v>
                </c:pt>
                <c:pt idx="48">
                  <c:v>0.66416666666666746</c:v>
                </c:pt>
                <c:pt idx="49">
                  <c:v>0.54333333333333378</c:v>
                </c:pt>
                <c:pt idx="50">
                  <c:v>0.65583333333333371</c:v>
                </c:pt>
                <c:pt idx="51">
                  <c:v>0.7241666666666674</c:v>
                </c:pt>
                <c:pt idx="52">
                  <c:v>0.60750000000000037</c:v>
                </c:pt>
                <c:pt idx="53">
                  <c:v>0.64666666666666694</c:v>
                </c:pt>
                <c:pt idx="54">
                  <c:v>0.67666666666666764</c:v>
                </c:pt>
                <c:pt idx="55">
                  <c:v>0.74916666666666665</c:v>
                </c:pt>
                <c:pt idx="56">
                  <c:v>0.89833333333333354</c:v>
                </c:pt>
                <c:pt idx="57">
                  <c:v>1.0124999999999997</c:v>
                </c:pt>
                <c:pt idx="58">
                  <c:v>0.91499999999999904</c:v>
                </c:pt>
                <c:pt idx="59">
                  <c:v>0.85083333333333433</c:v>
                </c:pt>
                <c:pt idx="60">
                  <c:v>0.97999999999999898</c:v>
                </c:pt>
                <c:pt idx="61">
                  <c:v>1.0075000000000005</c:v>
                </c:pt>
                <c:pt idx="62">
                  <c:v>0.84916666666666762</c:v>
                </c:pt>
                <c:pt idx="63">
                  <c:v>0.89250000000000063</c:v>
                </c:pt>
                <c:pt idx="64">
                  <c:v>1.1724999999999992</c:v>
                </c:pt>
              </c:numCache>
            </c:numRef>
          </c:yVal>
          <c:smooth val="1"/>
          <c:extLst>
            <c:ext xmlns:c16="http://schemas.microsoft.com/office/drawing/2014/chart" uri="{C3380CC4-5D6E-409C-BE32-E72D297353CC}">
              <c16:uniqueId val="{00000001-B109-43DF-BF82-8BE0E1E07DB0}"/>
            </c:ext>
          </c:extLst>
        </c:ser>
        <c:dLbls>
          <c:showLegendKey val="0"/>
          <c:showVal val="0"/>
          <c:showCatName val="0"/>
          <c:showSerName val="0"/>
          <c:showPercent val="0"/>
          <c:showBubbleSize val="0"/>
        </c:dLbls>
        <c:axId val="1925259"/>
        <c:axId val="68683757"/>
      </c:scatterChart>
      <c:valAx>
        <c:axId val="1925259"/>
        <c:scaling>
          <c:orientation val="minMax"/>
          <c:max val="1362.2"/>
          <c:min val="1360.4"/>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Annual mean TSI (W/m²)</a:t>
                </a:r>
              </a:p>
            </c:rich>
          </c:tx>
          <c:overlay val="0"/>
          <c:spPr>
            <a:noFill/>
            <a:ln w="0">
              <a:noFill/>
            </a:ln>
          </c:spPr>
        </c:title>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68683757"/>
        <c:crosses val="min"/>
        <c:crossBetween val="midCat"/>
      </c:valAx>
      <c:valAx>
        <c:axId val="68683757"/>
        <c:scaling>
          <c:orientation val="minMax"/>
          <c:max val="1.3"/>
          <c:min val="-0.3"/>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Annual mean anomaly (°C)</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1925259"/>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sz="1300" b="1" strike="noStrike" spc="-1">
                <a:solidFill>
                  <a:srgbClr val="000000"/>
                </a:solidFill>
                <a:latin typeface="Calibri"/>
                <a:ea typeface="Calibri"/>
              </a:rPr>
              <a:t>What is left after CO2, vs TSI
Weak positive slope = the solar-cycle signal (~0.1 °C peak to trough)</a:t>
            </a:r>
          </a:p>
        </c:rich>
      </c:tx>
      <c:overlay val="0"/>
      <c:spPr>
        <a:noFill/>
        <a:ln w="0">
          <a:noFill/>
        </a:ln>
      </c:spPr>
    </c:title>
    <c:autoTitleDeleted val="0"/>
    <c:plotArea>
      <c:layout/>
      <c:scatterChart>
        <c:scatterStyle val="lineMarker"/>
        <c:varyColors val="0"/>
        <c:ser>
          <c:idx val="0"/>
          <c:order val="0"/>
          <c:spPr>
            <a:ln w="38160">
              <a:noFill/>
            </a:ln>
          </c:spPr>
          <c:marker>
            <c:symbol val="circle"/>
            <c:size val="5"/>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0"/>
            <c:trendlineLbl>
              <c:numFmt formatCode="General" sourceLinked="0"/>
            </c:trendlineLbl>
          </c:trendline>
          <c:xVal>
            <c:numRef>
              <c:f>Solar!$I$2:$I$66</c:f>
              <c:numCache>
                <c:formatCode>0.00</c:formatCode>
                <c:ptCount val="65"/>
                <c:pt idx="0">
                  <c:v>1361.5649999999998</c:v>
                </c:pt>
                <c:pt idx="1">
                  <c:v>1361.4283333333335</c:v>
                </c:pt>
                <c:pt idx="2">
                  <c:v>1360.9950000000001</c:v>
                </c:pt>
                <c:pt idx="3">
                  <c:v>1360.7974999999999</c:v>
                </c:pt>
                <c:pt idx="4">
                  <c:v>1360.7333333333333</c:v>
                </c:pt>
                <c:pt idx="5">
                  <c:v>1360.7283333333332</c:v>
                </c:pt>
                <c:pt idx="6">
                  <c:v>1360.7724999999998</c:v>
                </c:pt>
                <c:pt idx="7">
                  <c:v>1361.0008333333333</c:v>
                </c:pt>
                <c:pt idx="8">
                  <c:v>1361.2249999999999</c:v>
                </c:pt>
                <c:pt idx="9">
                  <c:v>1361.3041666666668</c:v>
                </c:pt>
                <c:pt idx="10">
                  <c:v>1361.3766666666668</c:v>
                </c:pt>
                <c:pt idx="11">
                  <c:v>1361.3741666666665</c:v>
                </c:pt>
                <c:pt idx="12">
                  <c:v>1361.04</c:v>
                </c:pt>
                <c:pt idx="13">
                  <c:v>1361.1008333333336</c:v>
                </c:pt>
                <c:pt idx="14">
                  <c:v>1360.865</c:v>
                </c:pt>
                <c:pt idx="15">
                  <c:v>1360.7716666666668</c:v>
                </c:pt>
                <c:pt idx="16">
                  <c:v>1360.7150000000001</c:v>
                </c:pt>
                <c:pt idx="17">
                  <c:v>1360.6941666666667</c:v>
                </c:pt>
                <c:pt idx="18">
                  <c:v>1360.8891666666666</c:v>
                </c:pt>
                <c:pt idx="19">
                  <c:v>1361.2133333333331</c:v>
                </c:pt>
                <c:pt idx="20">
                  <c:v>1361.6000000000001</c:v>
                </c:pt>
                <c:pt idx="21">
                  <c:v>1361.6375</c:v>
                </c:pt>
                <c:pt idx="22">
                  <c:v>1361.6849999999999</c:v>
                </c:pt>
                <c:pt idx="23">
                  <c:v>1361.2258333333332</c:v>
                </c:pt>
                <c:pt idx="24">
                  <c:v>1361.2141666666666</c:v>
                </c:pt>
                <c:pt idx="25">
                  <c:v>1360.7891666666665</c:v>
                </c:pt>
                <c:pt idx="26">
                  <c:v>1360.6325000000002</c:v>
                </c:pt>
                <c:pt idx="27">
                  <c:v>1360.6416666666667</c:v>
                </c:pt>
                <c:pt idx="28">
                  <c:v>1360.7825</c:v>
                </c:pt>
                <c:pt idx="29">
                  <c:v>1361.1225000000002</c:v>
                </c:pt>
                <c:pt idx="30">
                  <c:v>1361.64</c:v>
                </c:pt>
                <c:pt idx="31">
                  <c:v>1361.5533333333335</c:v>
                </c:pt>
                <c:pt idx="32">
                  <c:v>1361.5208333333333</c:v>
                </c:pt>
                <c:pt idx="33">
                  <c:v>1361.3091666666667</c:v>
                </c:pt>
                <c:pt idx="34">
                  <c:v>1360.9408333333333</c:v>
                </c:pt>
                <c:pt idx="35">
                  <c:v>1360.7441666666666</c:v>
                </c:pt>
                <c:pt idx="36">
                  <c:v>1360.7325000000001</c:v>
                </c:pt>
                <c:pt idx="37">
                  <c:v>1360.6758333333335</c:v>
                </c:pt>
                <c:pt idx="38">
                  <c:v>1360.8066666666666</c:v>
                </c:pt>
                <c:pt idx="39">
                  <c:v>1361.1741666666667</c:v>
                </c:pt>
                <c:pt idx="40">
                  <c:v>1361.4808333333333</c:v>
                </c:pt>
                <c:pt idx="41">
                  <c:v>1361.6591666666666</c:v>
                </c:pt>
                <c:pt idx="42">
                  <c:v>1361.5691666666667</c:v>
                </c:pt>
                <c:pt idx="43">
                  <c:v>1361.6366666666665</c:v>
                </c:pt>
                <c:pt idx="44">
                  <c:v>1361.1324999999999</c:v>
                </c:pt>
                <c:pt idx="45">
                  <c:v>1360.9191666666666</c:v>
                </c:pt>
                <c:pt idx="46">
                  <c:v>1360.7025000000001</c:v>
                </c:pt>
                <c:pt idx="47">
                  <c:v>1360.6791666666666</c:v>
                </c:pt>
                <c:pt idx="48">
                  <c:v>1360.6041666666667</c:v>
                </c:pt>
                <c:pt idx="49">
                  <c:v>1360.6100000000001</c:v>
                </c:pt>
                <c:pt idx="50">
                  <c:v>1360.6075000000001</c:v>
                </c:pt>
                <c:pt idx="51">
                  <c:v>1360.7858333333334</c:v>
                </c:pt>
                <c:pt idx="52">
                  <c:v>1361.0666666666666</c:v>
                </c:pt>
                <c:pt idx="53">
                  <c:v>1361.1933333333332</c:v>
                </c:pt>
                <c:pt idx="54">
                  <c:v>1361.2625</c:v>
                </c:pt>
                <c:pt idx="55">
                  <c:v>1361.3833333333332</c:v>
                </c:pt>
                <c:pt idx="56">
                  <c:v>1361.4133333333332</c:v>
                </c:pt>
                <c:pt idx="57">
                  <c:v>1360.9541666666667</c:v>
                </c:pt>
                <c:pt idx="58">
                  <c:v>1360.6599999999999</c:v>
                </c:pt>
                <c:pt idx="59">
                  <c:v>1360.6391666666666</c:v>
                </c:pt>
                <c:pt idx="60">
                  <c:v>1360.6483333333333</c:v>
                </c:pt>
                <c:pt idx="61">
                  <c:v>1360.7483333333332</c:v>
                </c:pt>
                <c:pt idx="62">
                  <c:v>1360.9741666666666</c:v>
                </c:pt>
                <c:pt idx="63">
                  <c:v>1361.4933333333336</c:v>
                </c:pt>
                <c:pt idx="64">
                  <c:v>1362.0025000000001</c:v>
                </c:pt>
              </c:numCache>
            </c:numRef>
          </c:xVal>
          <c:yVal>
            <c:numRef>
              <c:f>Solar!$J$2:$J$66</c:f>
              <c:numCache>
                <c:formatCode>0.000</c:formatCode>
                <c:ptCount val="65"/>
                <c:pt idx="0">
                  <c:v>0.14510475874037193</c:v>
                </c:pt>
                <c:pt idx="1">
                  <c:v>7.7713240994949487E-2</c:v>
                </c:pt>
                <c:pt idx="2">
                  <c:v>0.15019594973200259</c:v>
                </c:pt>
                <c:pt idx="3">
                  <c:v>0.11429112735288423</c:v>
                </c:pt>
                <c:pt idx="4">
                  <c:v>0.1309450341683934</c:v>
                </c:pt>
                <c:pt idx="5">
                  <c:v>-0.1301727602105717</c:v>
                </c:pt>
                <c:pt idx="6">
                  <c:v>-4.2843646312683184E-2</c:v>
                </c:pt>
                <c:pt idx="7">
                  <c:v>-1.0075722668153188E-2</c:v>
                </c:pt>
                <c:pt idx="8">
                  <c:v>1.3268898918730027E-2</c:v>
                </c:pt>
                <c:pt idx="9">
                  <c:v>-5.5745642988405786E-2</c:v>
                </c:pt>
                <c:pt idx="10">
                  <c:v>6.0061797829334074E-2</c:v>
                </c:pt>
                <c:pt idx="11">
                  <c:v>2.2152044244100111E-2</c:v>
                </c:pt>
                <c:pt idx="12">
                  <c:v>-9.2262160031867338E-2</c:v>
                </c:pt>
                <c:pt idx="13">
                  <c:v>-1.7695721178437616E-2</c:v>
                </c:pt>
                <c:pt idx="14">
                  <c:v>0.10718506865752428</c:v>
                </c:pt>
                <c:pt idx="15">
                  <c:v>-0.1314357728726438</c:v>
                </c:pt>
                <c:pt idx="16">
                  <c:v>-8.4289638610896667E-2</c:v>
                </c:pt>
                <c:pt idx="17">
                  <c:v>-0.1791609228023574</c:v>
                </c:pt>
                <c:pt idx="18">
                  <c:v>7.5053352055893779E-2</c:v>
                </c:pt>
                <c:pt idx="19">
                  <c:v>-5.5182326667179968E-2</c:v>
                </c:pt>
                <c:pt idx="20">
                  <c:v>2.5593048766750642E-2</c:v>
                </c:pt>
                <c:pt idx="21">
                  <c:v>9.4685333233434921E-2</c:v>
                </c:pt>
                <c:pt idx="22">
                  <c:v>0.14637689049194763</c:v>
                </c:pt>
                <c:pt idx="23">
                  <c:v>-5.3556498981935347E-2</c:v>
                </c:pt>
                <c:pt idx="24">
                  <c:v>0.10291263886380964</c:v>
                </c:pt>
                <c:pt idx="25">
                  <c:v>-7.6796641500071955E-2</c:v>
                </c:pt>
                <c:pt idx="26">
                  <c:v>-0.1304658300602814</c:v>
                </c:pt>
                <c:pt idx="27">
                  <c:v>-8.3128627868298888E-2</c:v>
                </c:pt>
                <c:pt idx="28">
                  <c:v>3.9186424098079209E-2</c:v>
                </c:pt>
                <c:pt idx="29">
                  <c:v>8.0671613008884535E-2</c:v>
                </c:pt>
                <c:pt idx="30">
                  <c:v>-5.2158106553863437E-2</c:v>
                </c:pt>
                <c:pt idx="31">
                  <c:v>0.10888744919840593</c:v>
                </c:pt>
                <c:pt idx="32">
                  <c:v>5.3301101624415814E-2</c:v>
                </c:pt>
                <c:pt idx="33">
                  <c:v>-0.13937641195674422</c:v>
                </c:pt>
                <c:pt idx="34">
                  <c:v>-0.13765459006581349</c:v>
                </c:pt>
                <c:pt idx="35">
                  <c:v>-7.4432624306530026E-2</c:v>
                </c:pt>
                <c:pt idx="36">
                  <c:v>3.5152236885898136E-2</c:v>
                </c:pt>
                <c:pt idx="37">
                  <c:v>-9.7588566685585743E-2</c:v>
                </c:pt>
                <c:pt idx="38">
                  <c:v>2.3405148649540297E-2</c:v>
                </c:pt>
                <c:pt idx="39">
                  <c:v>0.132969804383537</c:v>
                </c:pt>
                <c:pt idx="40">
                  <c:v>-0.11197462200191965</c:v>
                </c:pt>
                <c:pt idx="41">
                  <c:v>-0.11367473961397617</c:v>
                </c:pt>
                <c:pt idx="42">
                  <c:v>9.1244625522115541E-3</c:v>
                </c:pt>
                <c:pt idx="43">
                  <c:v>8.0617354036257804E-2</c:v>
                </c:pt>
                <c:pt idx="44">
                  <c:v>4.3066598928809263E-2</c:v>
                </c:pt>
                <c:pt idx="45">
                  <c:v>-5.7425976320808703E-2</c:v>
                </c:pt>
                <c:pt idx="46">
                  <c:v>6.3703558321234643E-2</c:v>
                </c:pt>
                <c:pt idx="47">
                  <c:v>3.4887055198233874E-3</c:v>
                </c:pt>
                <c:pt idx="48">
                  <c:v>6.8410017571155501E-3</c:v>
                </c:pt>
                <c:pt idx="49">
                  <c:v>-0.13258057711978655</c:v>
                </c:pt>
                <c:pt idx="50">
                  <c:v>-3.8591956333248523E-2</c:v>
                </c:pt>
                <c:pt idx="51">
                  <c:v>4.7278997117576882E-3</c:v>
                </c:pt>
                <c:pt idx="52">
                  <c:v>-0.12965252087163182</c:v>
                </c:pt>
                <c:pt idx="53">
                  <c:v>-0.11268368254546812</c:v>
                </c:pt>
                <c:pt idx="54">
                  <c:v>-0.10951191484388623</c:v>
                </c:pt>
                <c:pt idx="55">
                  <c:v>-5.7644260065038644E-2</c:v>
                </c:pt>
                <c:pt idx="56">
                  <c:v>6.9750318368094533E-2</c:v>
                </c:pt>
                <c:pt idx="57">
                  <c:v>0.15052401002833504</c:v>
                </c:pt>
                <c:pt idx="58">
                  <c:v>3.0131851973758561E-2</c:v>
                </c:pt>
                <c:pt idx="59">
                  <c:v>-5.3031685843943244E-2</c:v>
                </c:pt>
                <c:pt idx="60">
                  <c:v>4.7838870872333406E-2</c:v>
                </c:pt>
                <c:pt idx="61">
                  <c:v>5.0767599912276862E-2</c:v>
                </c:pt>
                <c:pt idx="62">
                  <c:v>-0.12852600042009255</c:v>
                </c:pt>
                <c:pt idx="63">
                  <c:v>-0.10524068003825837</c:v>
                </c:pt>
                <c:pt idx="64">
                  <c:v>0.15071598637612138</c:v>
                </c:pt>
              </c:numCache>
            </c:numRef>
          </c:yVal>
          <c:smooth val="1"/>
          <c:extLst>
            <c:ext xmlns:c16="http://schemas.microsoft.com/office/drawing/2014/chart" uri="{C3380CC4-5D6E-409C-BE32-E72D297353CC}">
              <c16:uniqueId val="{00000001-DD59-4FE3-980E-F2FDEAF74BAC}"/>
            </c:ext>
          </c:extLst>
        </c:ser>
        <c:dLbls>
          <c:showLegendKey val="0"/>
          <c:showVal val="0"/>
          <c:showCatName val="0"/>
          <c:showSerName val="0"/>
          <c:showPercent val="0"/>
          <c:showBubbleSize val="0"/>
        </c:dLbls>
        <c:axId val="62284970"/>
        <c:axId val="11066561"/>
      </c:scatterChart>
      <c:valAx>
        <c:axId val="62284970"/>
        <c:scaling>
          <c:orientation val="minMax"/>
          <c:max val="1362.2"/>
          <c:min val="1360.4"/>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Annual mean TSI (W/m²)</a:t>
                </a:r>
              </a:p>
            </c:rich>
          </c:tx>
          <c:overlay val="0"/>
          <c:spPr>
            <a:noFill/>
            <a:ln w="0">
              <a:noFill/>
            </a:ln>
          </c:spPr>
        </c:title>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11066561"/>
        <c:crosses val="min"/>
        <c:crossBetween val="midCat"/>
      </c:valAx>
      <c:valAx>
        <c:axId val="11066561"/>
        <c:scaling>
          <c:orientation val="minMax"/>
          <c:max val="0.4"/>
          <c:min val="-0.4"/>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Residual after CO2 fit (°C)</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62284970"/>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sz="1300" b="1" strike="noStrike" spc="-1">
                <a:solidFill>
                  <a:srgbClr val="000000"/>
                </a:solidFill>
                <a:latin typeface="Calibri"/>
                <a:ea typeface="Calibri"/>
              </a:rPr>
              <a:t>Two-factor model: fitted vs observed
Points on the 1:1 diagonal would be a perfect fit</a:t>
            </a:r>
          </a:p>
        </c:rich>
      </c:tx>
      <c:overlay val="0"/>
      <c:spPr>
        <a:noFill/>
        <a:ln w="0">
          <a:noFill/>
        </a:ln>
      </c:spPr>
    </c:title>
    <c:autoTitleDeleted val="0"/>
    <c:plotArea>
      <c:layout/>
      <c:scatterChart>
        <c:scatterStyle val="lineMarker"/>
        <c:varyColors val="0"/>
        <c:ser>
          <c:idx val="0"/>
          <c:order val="0"/>
          <c:spPr>
            <a:ln w="38160">
              <a:noFill/>
            </a:ln>
          </c:spPr>
          <c:marker>
            <c:symbol val="circle"/>
            <c:size val="5"/>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0"/>
            <c:trendlineLbl>
              <c:numFmt formatCode="General" sourceLinked="0"/>
            </c:trendlineLbl>
          </c:trendline>
          <c:xVal>
            <c:numRef>
              <c:f>Solar!$K$2:$K$66</c:f>
              <c:numCache>
                <c:formatCode>0.000</c:formatCode>
                <c:ptCount val="65"/>
                <c:pt idx="0">
                  <c:v>-7.2108867342350891E-2</c:v>
                </c:pt>
                <c:pt idx="1">
                  <c:v>-7.0102138190463847E-2</c:v>
                </c:pt>
                <c:pt idx="2">
                  <c:v>-9.0402124616417723E-2</c:v>
                </c:pt>
                <c:pt idx="3">
                  <c:v>-9.3940204149319584E-2</c:v>
                </c:pt>
                <c:pt idx="4">
                  <c:v>-9.1781845712091581E-2</c:v>
                </c:pt>
                <c:pt idx="5">
                  <c:v>-8.45615752755009E-2</c:v>
                </c:pt>
                <c:pt idx="6">
                  <c:v>-7.6563742042040417E-2</c:v>
                </c:pt>
                <c:pt idx="7">
                  <c:v>-4.5248766924217421E-2</c:v>
                </c:pt>
                <c:pt idx="8">
                  <c:v>-2.0437757860662487E-2</c:v>
                </c:pt>
                <c:pt idx="9">
                  <c:v>-4.7305883561108431E-3</c:v>
                </c:pt>
                <c:pt idx="10">
                  <c:v>1.879016749533946E-2</c:v>
                </c:pt>
                <c:pt idx="11">
                  <c:v>3.1154773318135653E-2</c:v>
                </c:pt>
                <c:pt idx="12">
                  <c:v>1.6146246402840347E-2</c:v>
                </c:pt>
                <c:pt idx="13">
                  <c:v>3.3613025390735629E-2</c:v>
                </c:pt>
                <c:pt idx="14">
                  <c:v>4.3717258425502337E-2</c:v>
                </c:pt>
                <c:pt idx="15">
                  <c:v>4.3366862485456181E-2</c:v>
                </c:pt>
                <c:pt idx="16">
                  <c:v>5.040715827232134E-2</c:v>
                </c:pt>
                <c:pt idx="17">
                  <c:v>5.9394891524647164E-2</c:v>
                </c:pt>
                <c:pt idx="18">
                  <c:v>9.3530511501171532E-2</c:v>
                </c:pt>
                <c:pt idx="19">
                  <c:v>0.13341368508757512</c:v>
                </c:pt>
                <c:pt idx="20">
                  <c:v>0.17572012573930351</c:v>
                </c:pt>
                <c:pt idx="21">
                  <c:v>0.20016429577226802</c:v>
                </c:pt>
                <c:pt idx="22">
                  <c:v>0.21871411352034897</c:v>
                </c:pt>
                <c:pt idx="23">
                  <c:v>0.20306313919431318</c:v>
                </c:pt>
                <c:pt idx="24">
                  <c:v>0.22107587120640915</c:v>
                </c:pt>
                <c:pt idx="25">
                  <c:v>0.21155601721920902</c:v>
                </c:pt>
                <c:pt idx="26">
                  <c:v>0.21749983323275046</c:v>
                </c:pt>
                <c:pt idx="27">
                  <c:v>0.23202932080342009</c:v>
                </c:pt>
                <c:pt idx="28">
                  <c:v>0.26031163658601031</c:v>
                </c:pt>
                <c:pt idx="29">
                  <c:v>0.30929993889974128</c:v>
                </c:pt>
                <c:pt idx="30">
                  <c:v>0.36069120930748966</c:v>
                </c:pt>
                <c:pt idx="31">
                  <c:v>0.36839537755747642</c:v>
                </c:pt>
                <c:pt idx="32">
                  <c:v>0.37971780115526599</c:v>
                </c:pt>
                <c:pt idx="33">
                  <c:v>0.3745184896701943</c:v>
                </c:pt>
                <c:pt idx="34">
                  <c:v>0.35691252771991344</c:v>
                </c:pt>
                <c:pt idx="35">
                  <c:v>0.36236861159750333</c:v>
                </c:pt>
                <c:pt idx="36">
                  <c:v>0.38301967750439303</c:v>
                </c:pt>
                <c:pt idx="37">
                  <c:v>0.3980404488376621</c:v>
                </c:pt>
                <c:pt idx="38">
                  <c:v>0.41884110042323641</c:v>
                </c:pt>
                <c:pt idx="39">
                  <c:v>0.47478410201341603</c:v>
                </c:pt>
                <c:pt idx="40">
                  <c:v>0.51320464104964003</c:v>
                </c:pt>
                <c:pt idx="41">
                  <c:v>0.53739599834122487</c:v>
                </c:pt>
                <c:pt idx="42">
                  <c:v>0.54802708122699073</c:v>
                </c:pt>
                <c:pt idx="43">
                  <c:v>0.57459039352504249</c:v>
                </c:pt>
                <c:pt idx="44">
                  <c:v>0.56653669949157859</c:v>
                </c:pt>
                <c:pt idx="45">
                  <c:v>0.56962112910666463</c:v>
                </c:pt>
                <c:pt idx="46">
                  <c:v>0.57818724465884941</c:v>
                </c:pt>
                <c:pt idx="47">
                  <c:v>0.59785728154784579</c:v>
                </c:pt>
                <c:pt idx="48">
                  <c:v>0.61219882497967149</c:v>
                </c:pt>
                <c:pt idx="49">
                  <c:v>0.63063812088940097</c:v>
                </c:pt>
                <c:pt idx="50">
                  <c:v>0.64844094589507506</c:v>
                </c:pt>
                <c:pt idx="51">
                  <c:v>0.68474827150818385</c:v>
                </c:pt>
                <c:pt idx="52">
                  <c:v>0.72087953222916212</c:v>
                </c:pt>
                <c:pt idx="53">
                  <c:v>0.75096989436615047</c:v>
                </c:pt>
                <c:pt idx="54">
                  <c:v>0.78167884242751029</c:v>
                </c:pt>
                <c:pt idx="55">
                  <c:v>0.8098560957483727</c:v>
                </c:pt>
                <c:pt idx="56">
                  <c:v>0.83301571356105342</c:v>
                </c:pt>
                <c:pt idx="57">
                  <c:v>0.83447681154997611</c:v>
                </c:pt>
                <c:pt idx="58">
                  <c:v>0.83686798244040972</c:v>
                </c:pt>
                <c:pt idx="59">
                  <c:v>0.85390607388022488</c:v>
                </c:pt>
                <c:pt idx="60">
                  <c:v>0.88199478236049345</c:v>
                </c:pt>
                <c:pt idx="61">
                  <c:v>0.91259144086302513</c:v>
                </c:pt>
                <c:pt idx="62">
                  <c:v>0.94816632052371119</c:v>
                </c:pt>
                <c:pt idx="63">
                  <c:v>1.0026325672468346</c:v>
                </c:pt>
                <c:pt idx="64">
                  <c:v>1.0603033698565838</c:v>
                </c:pt>
              </c:numCache>
            </c:numRef>
          </c:xVal>
          <c:yVal>
            <c:numRef>
              <c:f>Solar!$G$2:$G$66</c:f>
              <c:numCache>
                <c:formatCode>0.000</c:formatCode>
                <c:ptCount val="65"/>
                <c:pt idx="0">
                  <c:v>3.0833333333332824E-2</c:v>
                </c:pt>
                <c:pt idx="1">
                  <c:v>-2.4999999999999616E-2</c:v>
                </c:pt>
                <c:pt idx="2">
                  <c:v>5.6666666666666345E-2</c:v>
                </c:pt>
                <c:pt idx="3">
                  <c:v>3.0833333333334007E-2</c:v>
                </c:pt>
                <c:pt idx="4">
                  <c:v>5.4166666666666995E-2</c:v>
                </c:pt>
                <c:pt idx="5">
                  <c:v>-0.1991666666666673</c:v>
                </c:pt>
                <c:pt idx="6">
                  <c:v>-0.10666666666666676</c:v>
                </c:pt>
                <c:pt idx="7">
                  <c:v>-5.7499999999999364E-2</c:v>
                </c:pt>
                <c:pt idx="8">
                  <c:v>-2.4166666666666597E-2</c:v>
                </c:pt>
                <c:pt idx="9">
                  <c:v>-8.2500000000000018E-2</c:v>
                </c:pt>
                <c:pt idx="10">
                  <c:v>5.2500000000000213E-2</c:v>
                </c:pt>
                <c:pt idx="11">
                  <c:v>2.7500000000000746E-2</c:v>
                </c:pt>
                <c:pt idx="12">
                  <c:v>-7.9166666666666455E-2</c:v>
                </c:pt>
                <c:pt idx="13">
                  <c:v>9.1666666666673589E-3</c:v>
                </c:pt>
                <c:pt idx="14">
                  <c:v>0.16083333333333302</c:v>
                </c:pt>
                <c:pt idx="15">
                  <c:v>-7.1666666666667364E-2</c:v>
                </c:pt>
                <c:pt idx="16">
                  <c:v>-1.3333333333332309E-2</c:v>
                </c:pt>
                <c:pt idx="17">
                  <c:v>-9.7499999999999698E-2</c:v>
                </c:pt>
                <c:pt idx="18">
                  <c:v>0.17833333333333354</c:v>
                </c:pt>
                <c:pt idx="19">
                  <c:v>6.6666666666666277E-2</c:v>
                </c:pt>
                <c:pt idx="20">
                  <c:v>0.16416666666666671</c:v>
                </c:pt>
                <c:pt idx="21">
                  <c:v>0.25583333333333363</c:v>
                </c:pt>
                <c:pt idx="22">
                  <c:v>0.32333333333333264</c:v>
                </c:pt>
                <c:pt idx="23">
                  <c:v>0.13916666666666591</c:v>
                </c:pt>
                <c:pt idx="24">
                  <c:v>0.31500000000000039</c:v>
                </c:pt>
                <c:pt idx="25">
                  <c:v>0.15500000000000011</c:v>
                </c:pt>
                <c:pt idx="26">
                  <c:v>0.11833333333333303</c:v>
                </c:pt>
                <c:pt idx="27">
                  <c:v>0.17999999999999927</c:v>
                </c:pt>
                <c:pt idx="28">
                  <c:v>0.3216666666666666</c:v>
                </c:pt>
                <c:pt idx="29">
                  <c:v>0.38999999999999985</c:v>
                </c:pt>
                <c:pt idx="30">
                  <c:v>0.27416666666666512</c:v>
                </c:pt>
                <c:pt idx="31">
                  <c:v>0.44916666666666821</c:v>
                </c:pt>
                <c:pt idx="32">
                  <c:v>0.40749999999999975</c:v>
                </c:pt>
                <c:pt idx="33">
                  <c:v>0.22416666666666707</c:v>
                </c:pt>
                <c:pt idx="34">
                  <c:v>0.23333333333333339</c:v>
                </c:pt>
                <c:pt idx="35">
                  <c:v>0.31583333333333358</c:v>
                </c:pt>
                <c:pt idx="36">
                  <c:v>0.4475000000000004</c:v>
                </c:pt>
                <c:pt idx="37">
                  <c:v>0.33416666666666667</c:v>
                </c:pt>
                <c:pt idx="38">
                  <c:v>0.46749999999999964</c:v>
                </c:pt>
                <c:pt idx="39">
                  <c:v>0.6091666666666683</c:v>
                </c:pt>
                <c:pt idx="40">
                  <c:v>0.38249999999999984</c:v>
                </c:pt>
                <c:pt idx="41">
                  <c:v>0.39333333333333381</c:v>
                </c:pt>
                <c:pt idx="42">
                  <c:v>0.5333333333333331</c:v>
                </c:pt>
                <c:pt idx="43">
                  <c:v>0.6275000000000005</c:v>
                </c:pt>
                <c:pt idx="44">
                  <c:v>0.61666666666666703</c:v>
                </c:pt>
                <c:pt idx="45">
                  <c:v>0.53416666666666723</c:v>
                </c:pt>
                <c:pt idx="46">
                  <c:v>0.67916666666666681</c:v>
                </c:pt>
                <c:pt idx="47">
                  <c:v>0.64083333333333392</c:v>
                </c:pt>
                <c:pt idx="48">
                  <c:v>0.66416666666666746</c:v>
                </c:pt>
                <c:pt idx="49">
                  <c:v>0.54333333333333378</c:v>
                </c:pt>
                <c:pt idx="50">
                  <c:v>0.65583333333333371</c:v>
                </c:pt>
                <c:pt idx="51">
                  <c:v>0.7241666666666674</c:v>
                </c:pt>
                <c:pt idx="52">
                  <c:v>0.60750000000000037</c:v>
                </c:pt>
                <c:pt idx="53">
                  <c:v>0.64666666666666694</c:v>
                </c:pt>
                <c:pt idx="54">
                  <c:v>0.67666666666666764</c:v>
                </c:pt>
                <c:pt idx="55">
                  <c:v>0.74916666666666665</c:v>
                </c:pt>
                <c:pt idx="56">
                  <c:v>0.89833333333333354</c:v>
                </c:pt>
                <c:pt idx="57">
                  <c:v>1.0124999999999997</c:v>
                </c:pt>
                <c:pt idx="58">
                  <c:v>0.91499999999999904</c:v>
                </c:pt>
                <c:pt idx="59">
                  <c:v>0.85083333333333433</c:v>
                </c:pt>
                <c:pt idx="60">
                  <c:v>0.97999999999999898</c:v>
                </c:pt>
                <c:pt idx="61">
                  <c:v>1.0075000000000005</c:v>
                </c:pt>
                <c:pt idx="62">
                  <c:v>0.84916666666666762</c:v>
                </c:pt>
                <c:pt idx="63">
                  <c:v>0.89250000000000063</c:v>
                </c:pt>
                <c:pt idx="64">
                  <c:v>1.1724999999999992</c:v>
                </c:pt>
              </c:numCache>
            </c:numRef>
          </c:yVal>
          <c:smooth val="1"/>
          <c:extLst>
            <c:ext xmlns:c16="http://schemas.microsoft.com/office/drawing/2014/chart" uri="{C3380CC4-5D6E-409C-BE32-E72D297353CC}">
              <c16:uniqueId val="{00000001-3BFF-43AF-8D94-C2FBE6295894}"/>
            </c:ext>
          </c:extLst>
        </c:ser>
        <c:dLbls>
          <c:showLegendKey val="0"/>
          <c:showVal val="0"/>
          <c:showCatName val="0"/>
          <c:showSerName val="0"/>
          <c:showPercent val="0"/>
          <c:showBubbleSize val="0"/>
        </c:dLbls>
        <c:axId val="83751521"/>
        <c:axId val="32987352"/>
      </c:scatterChart>
      <c:valAx>
        <c:axId val="83751521"/>
        <c:scaling>
          <c:orientation val="minMax"/>
          <c:max val="1.3"/>
          <c:min val="-0.3"/>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Fitted anomaly, a + b·log2(CO2) + c·TSI (°C)</a:t>
                </a:r>
              </a:p>
            </c:rich>
          </c:tx>
          <c:overlay val="0"/>
          <c:spPr>
            <a:noFill/>
            <a:ln w="0">
              <a:noFill/>
            </a:ln>
          </c:spPr>
        </c:title>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32987352"/>
        <c:crosses val="min"/>
        <c:crossBetween val="midCat"/>
      </c:valAx>
      <c:valAx>
        <c:axId val="32987352"/>
        <c:scaling>
          <c:orientation val="minMax"/>
          <c:max val="1.3"/>
          <c:min val="-0.3"/>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Observed annual anomaly (°C)</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83751521"/>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What is left after CO2, vs ENSO
Monthly; slope ≈ 0.09 °C per unit ONI</a:t>
            </a:r>
          </a:p>
        </c:rich>
      </c:tx>
      <c:overlay val="0"/>
      <c:spPr>
        <a:noFill/>
        <a:ln w="0">
          <a:noFill/>
        </a:ln>
      </c:spPr>
    </c:title>
    <c:autoTitleDeleted val="0"/>
    <c:plotArea>
      <c:layout/>
      <c:scatterChart>
        <c:scatterStyle val="lineMarker"/>
        <c:varyColors val="0"/>
        <c:ser>
          <c:idx val="0"/>
          <c:order val="0"/>
          <c:spPr>
            <a:ln w="38160">
              <a:noFill/>
            </a:ln>
          </c:spPr>
          <c:marker>
            <c:symbol val="circle"/>
            <c:size val="3"/>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0"/>
            <c:trendlineLbl>
              <c:numFmt formatCode="General" sourceLinked="0"/>
            </c:trendlineLbl>
          </c:trendline>
          <c:xVal>
            <c:numRef>
              <c:f>ENSO!$D$9:$D$823</c:f>
              <c:numCache>
                <c:formatCode>0.00</c:formatCode>
                <c:ptCount val="815"/>
                <c:pt idx="0">
                  <c:v>0.43</c:v>
                </c:pt>
                <c:pt idx="1">
                  <c:v>0.32</c:v>
                </c:pt>
                <c:pt idx="2">
                  <c:v>0.28000000000000003</c:v>
                </c:pt>
                <c:pt idx="3">
                  <c:v>0.3</c:v>
                </c:pt>
                <c:pt idx="4">
                  <c:v>0.36</c:v>
                </c:pt>
                <c:pt idx="5">
                  <c:v>0.56000000000000005</c:v>
                </c:pt>
                <c:pt idx="6">
                  <c:v>0.6</c:v>
                </c:pt>
                <c:pt idx="7">
                  <c:v>0.64</c:v>
                </c:pt>
                <c:pt idx="8">
                  <c:v>0.48</c:v>
                </c:pt>
                <c:pt idx="9">
                  <c:v>0.39</c:v>
                </c:pt>
                <c:pt idx="10">
                  <c:v>0.24</c:v>
                </c:pt>
                <c:pt idx="11">
                  <c:v>0.02</c:v>
                </c:pt>
                <c:pt idx="12">
                  <c:v>-0.19</c:v>
                </c:pt>
                <c:pt idx="13">
                  <c:v>-0.23</c:v>
                </c:pt>
                <c:pt idx="14">
                  <c:v>-0.04</c:v>
                </c:pt>
                <c:pt idx="15">
                  <c:v>0.11</c:v>
                </c:pt>
                <c:pt idx="16">
                  <c:v>0.23</c:v>
                </c:pt>
                <c:pt idx="17">
                  <c:v>0.14000000000000001</c:v>
                </c:pt>
                <c:pt idx="18">
                  <c:v>0.02</c:v>
                </c:pt>
                <c:pt idx="19">
                  <c:v>0.03</c:v>
                </c:pt>
                <c:pt idx="20">
                  <c:v>0.06</c:v>
                </c:pt>
                <c:pt idx="21">
                  <c:v>0.17</c:v>
                </c:pt>
                <c:pt idx="22">
                  <c:v>0.04</c:v>
                </c:pt>
                <c:pt idx="23">
                  <c:v>0</c:v>
                </c:pt>
                <c:pt idx="24">
                  <c:v>0.01</c:v>
                </c:pt>
                <c:pt idx="25">
                  <c:v>0.15</c:v>
                </c:pt>
                <c:pt idx="26">
                  <c:v>0.19</c:v>
                </c:pt>
                <c:pt idx="27">
                  <c:v>0.08</c:v>
                </c:pt>
                <c:pt idx="28">
                  <c:v>-7.0000000000000007E-2</c:v>
                </c:pt>
                <c:pt idx="29">
                  <c:v>-7.0000000000000007E-2</c:v>
                </c:pt>
                <c:pt idx="30">
                  <c:v>0</c:v>
                </c:pt>
                <c:pt idx="31">
                  <c:v>0.03</c:v>
                </c:pt>
                <c:pt idx="32">
                  <c:v>0.01</c:v>
                </c:pt>
                <c:pt idx="33">
                  <c:v>0.05</c:v>
                </c:pt>
                <c:pt idx="34">
                  <c:v>0.22</c:v>
                </c:pt>
                <c:pt idx="35">
                  <c:v>0.22</c:v>
                </c:pt>
                <c:pt idx="36">
                  <c:v>0.08</c:v>
                </c:pt>
                <c:pt idx="37">
                  <c:v>-0.2</c:v>
                </c:pt>
                <c:pt idx="38">
                  <c:v>-0.32</c:v>
                </c:pt>
                <c:pt idx="39">
                  <c:v>-0.22</c:v>
                </c:pt>
                <c:pt idx="40">
                  <c:v>-0.11</c:v>
                </c:pt>
                <c:pt idx="41">
                  <c:v>-0.05</c:v>
                </c:pt>
                <c:pt idx="42">
                  <c:v>-0.16</c:v>
                </c:pt>
                <c:pt idx="43">
                  <c:v>-0.17</c:v>
                </c:pt>
                <c:pt idx="44">
                  <c:v>-0.15</c:v>
                </c:pt>
                <c:pt idx="45">
                  <c:v>-0.2</c:v>
                </c:pt>
                <c:pt idx="46">
                  <c:v>-0.19</c:v>
                </c:pt>
                <c:pt idx="47">
                  <c:v>-0.13</c:v>
                </c:pt>
                <c:pt idx="48">
                  <c:v>0</c:v>
                </c:pt>
                <c:pt idx="49">
                  <c:v>-0.1</c:v>
                </c:pt>
                <c:pt idx="50">
                  <c:v>-0.16</c:v>
                </c:pt>
                <c:pt idx="51">
                  <c:v>-0.25</c:v>
                </c:pt>
                <c:pt idx="52">
                  <c:v>-0.25</c:v>
                </c:pt>
                <c:pt idx="53">
                  <c:v>-0.32</c:v>
                </c:pt>
                <c:pt idx="54">
                  <c:v>-0.33</c:v>
                </c:pt>
                <c:pt idx="55">
                  <c:v>-0.17</c:v>
                </c:pt>
                <c:pt idx="56">
                  <c:v>0.01</c:v>
                </c:pt>
                <c:pt idx="57">
                  <c:v>0.13</c:v>
                </c:pt>
                <c:pt idx="58">
                  <c:v>0.12</c:v>
                </c:pt>
                <c:pt idx="59">
                  <c:v>0.45</c:v>
                </c:pt>
                <c:pt idx="60">
                  <c:v>0.76</c:v>
                </c:pt>
                <c:pt idx="61">
                  <c:v>1.0900000000000001</c:v>
                </c:pt>
                <c:pt idx="62">
                  <c:v>1.0900000000000001</c:v>
                </c:pt>
                <c:pt idx="63">
                  <c:v>1.1299999999999999</c:v>
                </c:pt>
                <c:pt idx="64">
                  <c:v>1.19</c:v>
                </c:pt>
                <c:pt idx="65">
                  <c:v>1.1299999999999999</c:v>
                </c:pt>
                <c:pt idx="66">
                  <c:v>0.95</c:v>
                </c:pt>
                <c:pt idx="67">
                  <c:v>0.52</c:v>
                </c:pt>
                <c:pt idx="68">
                  <c:v>0.06</c:v>
                </c:pt>
                <c:pt idx="69">
                  <c:v>-0.35</c:v>
                </c:pt>
                <c:pt idx="70">
                  <c:v>-0.6</c:v>
                </c:pt>
                <c:pt idx="71">
                  <c:v>-0.66</c:v>
                </c:pt>
                <c:pt idx="72">
                  <c:v>-0.67</c:v>
                </c:pt>
                <c:pt idx="73">
                  <c:v>-0.7</c:v>
                </c:pt>
                <c:pt idx="74">
                  <c:v>-0.72</c:v>
                </c:pt>
                <c:pt idx="75">
                  <c:v>-0.8</c:v>
                </c:pt>
                <c:pt idx="76">
                  <c:v>-0.79</c:v>
                </c:pt>
                <c:pt idx="77">
                  <c:v>-0.75</c:v>
                </c:pt>
                <c:pt idx="78">
                  <c:v>-0.51</c:v>
                </c:pt>
                <c:pt idx="79">
                  <c:v>-0.25</c:v>
                </c:pt>
                <c:pt idx="80">
                  <c:v>-0.04</c:v>
                </c:pt>
                <c:pt idx="81">
                  <c:v>0.16</c:v>
                </c:pt>
                <c:pt idx="82">
                  <c:v>0.47</c:v>
                </c:pt>
                <c:pt idx="83">
                  <c:v>0.79</c:v>
                </c:pt>
                <c:pt idx="84">
                  <c:v>1.1000000000000001</c:v>
                </c:pt>
                <c:pt idx="85">
                  <c:v>1.27</c:v>
                </c:pt>
                <c:pt idx="86">
                  <c:v>1.55</c:v>
                </c:pt>
                <c:pt idx="87">
                  <c:v>1.7</c:v>
                </c:pt>
                <c:pt idx="88">
                  <c:v>1.82</c:v>
                </c:pt>
                <c:pt idx="89">
                  <c:v>1.6</c:v>
                </c:pt>
                <c:pt idx="90">
                  <c:v>1.24</c:v>
                </c:pt>
                <c:pt idx="91">
                  <c:v>0.95</c:v>
                </c:pt>
                <c:pt idx="92">
                  <c:v>0.76</c:v>
                </c:pt>
                <c:pt idx="93">
                  <c:v>0.43</c:v>
                </c:pt>
                <c:pt idx="94">
                  <c:v>0.24</c:v>
                </c:pt>
                <c:pt idx="95">
                  <c:v>0.18</c:v>
                </c:pt>
                <c:pt idx="96">
                  <c:v>0.25</c:v>
                </c:pt>
                <c:pt idx="97">
                  <c:v>0.13</c:v>
                </c:pt>
                <c:pt idx="98">
                  <c:v>-0.09</c:v>
                </c:pt>
                <c:pt idx="99">
                  <c:v>-0.12</c:v>
                </c:pt>
                <c:pt idx="100">
                  <c:v>-0.23</c:v>
                </c:pt>
                <c:pt idx="101">
                  <c:v>-0.35</c:v>
                </c:pt>
                <c:pt idx="102">
                  <c:v>-0.46</c:v>
                </c:pt>
                <c:pt idx="103">
                  <c:v>-0.48</c:v>
                </c:pt>
                <c:pt idx="104">
                  <c:v>-0.5</c:v>
                </c:pt>
                <c:pt idx="105">
                  <c:v>-0.37</c:v>
                </c:pt>
                <c:pt idx="106">
                  <c:v>-0.15</c:v>
                </c:pt>
                <c:pt idx="107">
                  <c:v>0.05</c:v>
                </c:pt>
                <c:pt idx="108">
                  <c:v>-0.02</c:v>
                </c:pt>
                <c:pt idx="109">
                  <c:v>-0.26</c:v>
                </c:pt>
                <c:pt idx="110">
                  <c:v>-0.4</c:v>
                </c:pt>
                <c:pt idx="111">
                  <c:v>-0.4</c:v>
                </c:pt>
                <c:pt idx="112">
                  <c:v>-0.36</c:v>
                </c:pt>
                <c:pt idx="113">
                  <c:v>-0.42</c:v>
                </c:pt>
                <c:pt idx="114">
                  <c:v>-0.62</c:v>
                </c:pt>
                <c:pt idx="115">
                  <c:v>-0.73</c:v>
                </c:pt>
                <c:pt idx="116">
                  <c:v>-0.63</c:v>
                </c:pt>
                <c:pt idx="117">
                  <c:v>-0.48</c:v>
                </c:pt>
                <c:pt idx="118">
                  <c:v>-0.1</c:v>
                </c:pt>
                <c:pt idx="119">
                  <c:v>0.17</c:v>
                </c:pt>
                <c:pt idx="120">
                  <c:v>0.44</c:v>
                </c:pt>
                <c:pt idx="121">
                  <c:v>0.38</c:v>
                </c:pt>
                <c:pt idx="122">
                  <c:v>0.34</c:v>
                </c:pt>
                <c:pt idx="123">
                  <c:v>0.5</c:v>
                </c:pt>
                <c:pt idx="124">
                  <c:v>0.66</c:v>
                </c:pt>
                <c:pt idx="125">
                  <c:v>0.93</c:v>
                </c:pt>
                <c:pt idx="126">
                  <c:v>0.98</c:v>
                </c:pt>
                <c:pt idx="127">
                  <c:v>0.98</c:v>
                </c:pt>
                <c:pt idx="128">
                  <c:v>0.77</c:v>
                </c:pt>
                <c:pt idx="129">
                  <c:v>0.69</c:v>
                </c:pt>
                <c:pt idx="130">
                  <c:v>0.62</c:v>
                </c:pt>
                <c:pt idx="131">
                  <c:v>0.48</c:v>
                </c:pt>
                <c:pt idx="132">
                  <c:v>0.37</c:v>
                </c:pt>
                <c:pt idx="133">
                  <c:v>0.41</c:v>
                </c:pt>
                <c:pt idx="134">
                  <c:v>0.61</c:v>
                </c:pt>
                <c:pt idx="135">
                  <c:v>0.71</c:v>
                </c:pt>
                <c:pt idx="136">
                  <c:v>0.81</c:v>
                </c:pt>
                <c:pt idx="137">
                  <c:v>0.71</c:v>
                </c:pt>
                <c:pt idx="138">
                  <c:v>0.46</c:v>
                </c:pt>
                <c:pt idx="139">
                  <c:v>0.23</c:v>
                </c:pt>
                <c:pt idx="140">
                  <c:v>0.23</c:v>
                </c:pt>
                <c:pt idx="141">
                  <c:v>0.28000000000000003</c:v>
                </c:pt>
                <c:pt idx="142">
                  <c:v>0.11</c:v>
                </c:pt>
                <c:pt idx="143">
                  <c:v>-0.26</c:v>
                </c:pt>
                <c:pt idx="144">
                  <c:v>-0.55000000000000004</c:v>
                </c:pt>
                <c:pt idx="145">
                  <c:v>-0.72</c:v>
                </c:pt>
                <c:pt idx="146">
                  <c:v>-0.69</c:v>
                </c:pt>
                <c:pt idx="147">
                  <c:v>-0.72</c:v>
                </c:pt>
                <c:pt idx="148">
                  <c:v>-0.78</c:v>
                </c:pt>
                <c:pt idx="149">
                  <c:v>-1.1000000000000001</c:v>
                </c:pt>
                <c:pt idx="150">
                  <c:v>-1.29</c:v>
                </c:pt>
                <c:pt idx="151">
                  <c:v>-1.36</c:v>
                </c:pt>
                <c:pt idx="152">
                  <c:v>-1.08</c:v>
                </c:pt>
                <c:pt idx="153">
                  <c:v>-0.81</c:v>
                </c:pt>
                <c:pt idx="154">
                  <c:v>-0.72</c:v>
                </c:pt>
                <c:pt idx="155">
                  <c:v>-0.69</c:v>
                </c:pt>
                <c:pt idx="156">
                  <c:v>-0.68</c:v>
                </c:pt>
                <c:pt idx="157">
                  <c:v>-0.6</c:v>
                </c:pt>
                <c:pt idx="158">
                  <c:v>-0.68</c:v>
                </c:pt>
                <c:pt idx="159">
                  <c:v>-0.78</c:v>
                </c:pt>
                <c:pt idx="160">
                  <c:v>-0.86</c:v>
                </c:pt>
                <c:pt idx="161">
                  <c:v>-0.78</c:v>
                </c:pt>
                <c:pt idx="162">
                  <c:v>-0.56999999999999995</c:v>
                </c:pt>
                <c:pt idx="163">
                  <c:v>-0.27</c:v>
                </c:pt>
                <c:pt idx="164">
                  <c:v>0.04</c:v>
                </c:pt>
                <c:pt idx="165">
                  <c:v>0.25</c:v>
                </c:pt>
                <c:pt idx="166">
                  <c:v>0.48</c:v>
                </c:pt>
                <c:pt idx="167">
                  <c:v>0.7</c:v>
                </c:pt>
                <c:pt idx="168">
                  <c:v>1</c:v>
                </c:pt>
                <c:pt idx="169">
                  <c:v>1.26</c:v>
                </c:pt>
                <c:pt idx="170">
                  <c:v>1.49</c:v>
                </c:pt>
                <c:pt idx="171">
                  <c:v>1.69</c:v>
                </c:pt>
                <c:pt idx="172">
                  <c:v>1.84</c:v>
                </c:pt>
                <c:pt idx="173">
                  <c:v>1.77</c:v>
                </c:pt>
                <c:pt idx="174">
                  <c:v>1.55</c:v>
                </c:pt>
                <c:pt idx="175">
                  <c:v>1.1299999999999999</c:v>
                </c:pt>
                <c:pt idx="176">
                  <c:v>0.56000000000000005</c:v>
                </c:pt>
                <c:pt idx="177">
                  <c:v>-0.03</c:v>
                </c:pt>
                <c:pt idx="178">
                  <c:v>-0.51</c:v>
                </c:pt>
                <c:pt idx="179">
                  <c:v>-0.8</c:v>
                </c:pt>
                <c:pt idx="180">
                  <c:v>-0.99</c:v>
                </c:pt>
                <c:pt idx="181">
                  <c:v>-1.1100000000000001</c:v>
                </c:pt>
                <c:pt idx="182">
                  <c:v>-1.26</c:v>
                </c:pt>
                <c:pt idx="183">
                  <c:v>-1.58</c:v>
                </c:pt>
                <c:pt idx="184">
                  <c:v>-1.89</c:v>
                </c:pt>
                <c:pt idx="185">
                  <c:v>-2.04</c:v>
                </c:pt>
                <c:pt idx="186">
                  <c:v>-1.87</c:v>
                </c:pt>
                <c:pt idx="187">
                  <c:v>-1.59</c:v>
                </c:pt>
                <c:pt idx="188">
                  <c:v>-1.24</c:v>
                </c:pt>
                <c:pt idx="189">
                  <c:v>-0.99</c:v>
                </c:pt>
                <c:pt idx="190">
                  <c:v>-0.71</c:v>
                </c:pt>
                <c:pt idx="191">
                  <c:v>-0.64</c:v>
                </c:pt>
                <c:pt idx="192">
                  <c:v>-0.46</c:v>
                </c:pt>
                <c:pt idx="193">
                  <c:v>-0.4</c:v>
                </c:pt>
                <c:pt idx="194">
                  <c:v>-0.47</c:v>
                </c:pt>
                <c:pt idx="195">
                  <c:v>-0.69</c:v>
                </c:pt>
                <c:pt idx="196">
                  <c:v>-0.88</c:v>
                </c:pt>
                <c:pt idx="197">
                  <c:v>-0.71</c:v>
                </c:pt>
                <c:pt idx="198">
                  <c:v>-0.56000000000000005</c:v>
                </c:pt>
                <c:pt idx="199">
                  <c:v>-0.55000000000000004</c:v>
                </c:pt>
                <c:pt idx="200">
                  <c:v>-0.61</c:v>
                </c:pt>
                <c:pt idx="201">
                  <c:v>-0.66</c:v>
                </c:pt>
                <c:pt idx="202">
                  <c:v>-0.8</c:v>
                </c:pt>
                <c:pt idx="203">
                  <c:v>-0.92</c:v>
                </c:pt>
                <c:pt idx="204">
                  <c:v>-1.08</c:v>
                </c:pt>
                <c:pt idx="205">
                  <c:v>-1.1200000000000001</c:v>
                </c:pt>
                <c:pt idx="206">
                  <c:v>-1.29</c:v>
                </c:pt>
                <c:pt idx="207">
                  <c:v>-1.32</c:v>
                </c:pt>
                <c:pt idx="208">
                  <c:v>-1.47</c:v>
                </c:pt>
                <c:pt idx="209">
                  <c:v>-1.58</c:v>
                </c:pt>
                <c:pt idx="210">
                  <c:v>-1.49</c:v>
                </c:pt>
                <c:pt idx="211">
                  <c:v>-1.1100000000000001</c:v>
                </c:pt>
                <c:pt idx="212">
                  <c:v>-0.65</c:v>
                </c:pt>
                <c:pt idx="213">
                  <c:v>-0.45</c:v>
                </c:pt>
                <c:pt idx="214">
                  <c:v>-0.23</c:v>
                </c:pt>
                <c:pt idx="215">
                  <c:v>0</c:v>
                </c:pt>
                <c:pt idx="216">
                  <c:v>0.23</c:v>
                </c:pt>
                <c:pt idx="217">
                  <c:v>0.4</c:v>
                </c:pt>
                <c:pt idx="218">
                  <c:v>0.6</c:v>
                </c:pt>
                <c:pt idx="219">
                  <c:v>0.79</c:v>
                </c:pt>
                <c:pt idx="220">
                  <c:v>0.81</c:v>
                </c:pt>
                <c:pt idx="221">
                  <c:v>0.84</c:v>
                </c:pt>
                <c:pt idx="222">
                  <c:v>0.71</c:v>
                </c:pt>
                <c:pt idx="223">
                  <c:v>0.66</c:v>
                </c:pt>
                <c:pt idx="224">
                  <c:v>0.33</c:v>
                </c:pt>
                <c:pt idx="225">
                  <c:v>0.26</c:v>
                </c:pt>
                <c:pt idx="226">
                  <c:v>0.26</c:v>
                </c:pt>
                <c:pt idx="227">
                  <c:v>0.46</c:v>
                </c:pt>
                <c:pt idx="228">
                  <c:v>0.39</c:v>
                </c:pt>
                <c:pt idx="229">
                  <c:v>0.35</c:v>
                </c:pt>
                <c:pt idx="230">
                  <c:v>0.45</c:v>
                </c:pt>
                <c:pt idx="231">
                  <c:v>0.68</c:v>
                </c:pt>
                <c:pt idx="232">
                  <c:v>0.84</c:v>
                </c:pt>
                <c:pt idx="233">
                  <c:v>0.82</c:v>
                </c:pt>
                <c:pt idx="234">
                  <c:v>0.71</c:v>
                </c:pt>
                <c:pt idx="235">
                  <c:v>0.52</c:v>
                </c:pt>
                <c:pt idx="236">
                  <c:v>0.17</c:v>
                </c:pt>
                <c:pt idx="237">
                  <c:v>-0.06</c:v>
                </c:pt>
                <c:pt idx="238">
                  <c:v>-0.28000000000000003</c:v>
                </c:pt>
                <c:pt idx="239">
                  <c:v>-0.24</c:v>
                </c:pt>
                <c:pt idx="240">
                  <c:v>-0.37</c:v>
                </c:pt>
                <c:pt idx="241">
                  <c:v>-0.37</c:v>
                </c:pt>
                <c:pt idx="242">
                  <c:v>-0.44</c:v>
                </c:pt>
                <c:pt idx="243">
                  <c:v>-0.27</c:v>
                </c:pt>
                <c:pt idx="244">
                  <c:v>-7.0000000000000007E-2</c:v>
                </c:pt>
                <c:pt idx="245">
                  <c:v>0.11</c:v>
                </c:pt>
                <c:pt idx="246">
                  <c:v>0.19</c:v>
                </c:pt>
                <c:pt idx="247">
                  <c:v>0.21</c:v>
                </c:pt>
                <c:pt idx="248">
                  <c:v>0.28999999999999998</c:v>
                </c:pt>
                <c:pt idx="249">
                  <c:v>0.32</c:v>
                </c:pt>
                <c:pt idx="250">
                  <c:v>0.28999999999999998</c:v>
                </c:pt>
                <c:pt idx="251">
                  <c:v>0.14000000000000001</c:v>
                </c:pt>
                <c:pt idx="252">
                  <c:v>0.09</c:v>
                </c:pt>
                <c:pt idx="253">
                  <c:v>0.22</c:v>
                </c:pt>
                <c:pt idx="254">
                  <c:v>0.34</c:v>
                </c:pt>
                <c:pt idx="255">
                  <c:v>0.47</c:v>
                </c:pt>
                <c:pt idx="256">
                  <c:v>0.5</c:v>
                </c:pt>
                <c:pt idx="257">
                  <c:v>0.64</c:v>
                </c:pt>
                <c:pt idx="258">
                  <c:v>0.62</c:v>
                </c:pt>
                <c:pt idx="259">
                  <c:v>0.47</c:v>
                </c:pt>
                <c:pt idx="260">
                  <c:v>0.35</c:v>
                </c:pt>
                <c:pt idx="261">
                  <c:v>0.34</c:v>
                </c:pt>
                <c:pt idx="262">
                  <c:v>0.45</c:v>
                </c:pt>
                <c:pt idx="263">
                  <c:v>0.4</c:v>
                </c:pt>
                <c:pt idx="264">
                  <c:v>0.18</c:v>
                </c:pt>
                <c:pt idx="265">
                  <c:v>-0.06</c:v>
                </c:pt>
                <c:pt idx="266">
                  <c:v>-0.17</c:v>
                </c:pt>
                <c:pt idx="267">
                  <c:v>-7.0000000000000007E-2</c:v>
                </c:pt>
                <c:pt idx="268">
                  <c:v>0.08</c:v>
                </c:pt>
                <c:pt idx="269">
                  <c:v>-0.05</c:v>
                </c:pt>
                <c:pt idx="270">
                  <c:v>-0.27</c:v>
                </c:pt>
                <c:pt idx="271">
                  <c:v>-0.42</c:v>
                </c:pt>
                <c:pt idx="272">
                  <c:v>-0.41</c:v>
                </c:pt>
                <c:pt idx="273">
                  <c:v>-0.27</c:v>
                </c:pt>
                <c:pt idx="274">
                  <c:v>-0.28000000000000003</c:v>
                </c:pt>
                <c:pt idx="275">
                  <c:v>-0.27</c:v>
                </c:pt>
                <c:pt idx="276">
                  <c:v>-0.28000000000000003</c:v>
                </c:pt>
                <c:pt idx="277">
                  <c:v>-0.23</c:v>
                </c:pt>
                <c:pt idx="278">
                  <c:v>-0.08</c:v>
                </c:pt>
                <c:pt idx="279">
                  <c:v>-0.16</c:v>
                </c:pt>
                <c:pt idx="280">
                  <c:v>-0.19</c:v>
                </c:pt>
                <c:pt idx="281">
                  <c:v>-0.14000000000000001</c:v>
                </c:pt>
                <c:pt idx="282">
                  <c:v>-0.05</c:v>
                </c:pt>
                <c:pt idx="283">
                  <c:v>0.02</c:v>
                </c:pt>
                <c:pt idx="284">
                  <c:v>7.0000000000000007E-2</c:v>
                </c:pt>
                <c:pt idx="285">
                  <c:v>0.34</c:v>
                </c:pt>
                <c:pt idx="286">
                  <c:v>0.65</c:v>
                </c:pt>
                <c:pt idx="287">
                  <c:v>0.73</c:v>
                </c:pt>
                <c:pt idx="288">
                  <c:v>0.78</c:v>
                </c:pt>
                <c:pt idx="289">
                  <c:v>0.99</c:v>
                </c:pt>
                <c:pt idx="290">
                  <c:v>1.45</c:v>
                </c:pt>
                <c:pt idx="291">
                  <c:v>1.82</c:v>
                </c:pt>
                <c:pt idx="292">
                  <c:v>2.0299999999999998</c:v>
                </c:pt>
                <c:pt idx="293">
                  <c:v>2.12</c:v>
                </c:pt>
                <c:pt idx="294">
                  <c:v>2.14</c:v>
                </c:pt>
                <c:pt idx="295">
                  <c:v>1.91</c:v>
                </c:pt>
                <c:pt idx="296">
                  <c:v>1.52</c:v>
                </c:pt>
                <c:pt idx="297">
                  <c:v>1.23</c:v>
                </c:pt>
                <c:pt idx="298">
                  <c:v>0.95</c:v>
                </c:pt>
                <c:pt idx="299">
                  <c:v>0.62</c:v>
                </c:pt>
                <c:pt idx="300">
                  <c:v>0.25</c:v>
                </c:pt>
                <c:pt idx="301">
                  <c:v>-0.06</c:v>
                </c:pt>
                <c:pt idx="302">
                  <c:v>-0.43</c:v>
                </c:pt>
                <c:pt idx="303">
                  <c:v>-0.76</c:v>
                </c:pt>
                <c:pt idx="304">
                  <c:v>-0.96</c:v>
                </c:pt>
                <c:pt idx="305">
                  <c:v>-0.89</c:v>
                </c:pt>
                <c:pt idx="306">
                  <c:v>-0.63</c:v>
                </c:pt>
                <c:pt idx="307">
                  <c:v>-0.51</c:v>
                </c:pt>
                <c:pt idx="308">
                  <c:v>-0.38</c:v>
                </c:pt>
                <c:pt idx="309">
                  <c:v>-0.47</c:v>
                </c:pt>
                <c:pt idx="310">
                  <c:v>-0.55000000000000004</c:v>
                </c:pt>
                <c:pt idx="311">
                  <c:v>-0.52</c:v>
                </c:pt>
                <c:pt idx="312">
                  <c:v>-0.39</c:v>
                </c:pt>
                <c:pt idx="313">
                  <c:v>-0.22</c:v>
                </c:pt>
                <c:pt idx="314">
                  <c:v>-0.32</c:v>
                </c:pt>
                <c:pt idx="315">
                  <c:v>-0.62</c:v>
                </c:pt>
                <c:pt idx="316">
                  <c:v>-0.95</c:v>
                </c:pt>
                <c:pt idx="317">
                  <c:v>-1.06</c:v>
                </c:pt>
                <c:pt idx="318">
                  <c:v>-1.01</c:v>
                </c:pt>
                <c:pt idx="319">
                  <c:v>-0.86</c:v>
                </c:pt>
                <c:pt idx="320">
                  <c:v>-0.85</c:v>
                </c:pt>
                <c:pt idx="321">
                  <c:v>-0.8</c:v>
                </c:pt>
                <c:pt idx="322">
                  <c:v>-0.79</c:v>
                </c:pt>
                <c:pt idx="323">
                  <c:v>-0.6</c:v>
                </c:pt>
                <c:pt idx="324">
                  <c:v>-0.44</c:v>
                </c:pt>
                <c:pt idx="325">
                  <c:v>-0.33</c:v>
                </c:pt>
                <c:pt idx="326">
                  <c:v>-0.31</c:v>
                </c:pt>
                <c:pt idx="327">
                  <c:v>-0.3</c:v>
                </c:pt>
                <c:pt idx="328">
                  <c:v>-0.28000000000000003</c:v>
                </c:pt>
                <c:pt idx="329">
                  <c:v>-0.36</c:v>
                </c:pt>
                <c:pt idx="330">
                  <c:v>-0.4</c:v>
                </c:pt>
                <c:pt idx="331">
                  <c:v>-0.38</c:v>
                </c:pt>
                <c:pt idx="332">
                  <c:v>-0.25</c:v>
                </c:pt>
                <c:pt idx="333">
                  <c:v>-0.17</c:v>
                </c:pt>
                <c:pt idx="334">
                  <c:v>-0.09</c:v>
                </c:pt>
                <c:pt idx="335">
                  <c:v>0.02</c:v>
                </c:pt>
                <c:pt idx="336">
                  <c:v>0.24</c:v>
                </c:pt>
                <c:pt idx="337">
                  <c:v>0.46</c:v>
                </c:pt>
                <c:pt idx="338">
                  <c:v>0.64</c:v>
                </c:pt>
                <c:pt idx="339">
                  <c:v>0.86</c:v>
                </c:pt>
                <c:pt idx="340">
                  <c:v>1.06</c:v>
                </c:pt>
                <c:pt idx="341">
                  <c:v>1.21</c:v>
                </c:pt>
                <c:pt idx="342">
                  <c:v>1.18</c:v>
                </c:pt>
                <c:pt idx="343">
                  <c:v>1.1299999999999999</c:v>
                </c:pt>
                <c:pt idx="344">
                  <c:v>1.02</c:v>
                </c:pt>
                <c:pt idx="345">
                  <c:v>0.94</c:v>
                </c:pt>
                <c:pt idx="346">
                  <c:v>0.95</c:v>
                </c:pt>
                <c:pt idx="347">
                  <c:v>1.1100000000000001</c:v>
                </c:pt>
                <c:pt idx="348">
                  <c:v>1.3</c:v>
                </c:pt>
                <c:pt idx="349">
                  <c:v>1.46</c:v>
                </c:pt>
                <c:pt idx="350">
                  <c:v>1.49</c:v>
                </c:pt>
                <c:pt idx="351">
                  <c:v>1.41</c:v>
                </c:pt>
                <c:pt idx="352">
                  <c:v>1.2</c:v>
                </c:pt>
                <c:pt idx="353">
                  <c:v>1</c:v>
                </c:pt>
                <c:pt idx="354">
                  <c:v>0.63</c:v>
                </c:pt>
                <c:pt idx="355">
                  <c:v>0.37</c:v>
                </c:pt>
                <c:pt idx="356">
                  <c:v>-0.03</c:v>
                </c:pt>
                <c:pt idx="357">
                  <c:v>-0.45</c:v>
                </c:pt>
                <c:pt idx="358">
                  <c:v>-0.99</c:v>
                </c:pt>
                <c:pt idx="359">
                  <c:v>-1.3</c:v>
                </c:pt>
                <c:pt idx="360">
                  <c:v>-1.3</c:v>
                </c:pt>
                <c:pt idx="361">
                  <c:v>-1.1399999999999999</c:v>
                </c:pt>
                <c:pt idx="362">
                  <c:v>-1.27</c:v>
                </c:pt>
                <c:pt idx="363">
                  <c:v>-1.54</c:v>
                </c:pt>
                <c:pt idx="364">
                  <c:v>-1.81</c:v>
                </c:pt>
                <c:pt idx="365">
                  <c:v>-1.85</c:v>
                </c:pt>
                <c:pt idx="366">
                  <c:v>-1.64</c:v>
                </c:pt>
                <c:pt idx="367">
                  <c:v>-1.38</c:v>
                </c:pt>
                <c:pt idx="368">
                  <c:v>-1.0900000000000001</c:v>
                </c:pt>
                <c:pt idx="369">
                  <c:v>-0.85</c:v>
                </c:pt>
                <c:pt idx="370">
                  <c:v>-0.61</c:v>
                </c:pt>
                <c:pt idx="371">
                  <c:v>-0.4</c:v>
                </c:pt>
                <c:pt idx="372">
                  <c:v>-0.37</c:v>
                </c:pt>
                <c:pt idx="373">
                  <c:v>-0.36</c:v>
                </c:pt>
                <c:pt idx="374">
                  <c:v>-0.33</c:v>
                </c:pt>
                <c:pt idx="375">
                  <c:v>-0.25</c:v>
                </c:pt>
                <c:pt idx="376">
                  <c:v>-0.12</c:v>
                </c:pt>
                <c:pt idx="377">
                  <c:v>-0.04</c:v>
                </c:pt>
                <c:pt idx="378">
                  <c:v>0.18</c:v>
                </c:pt>
                <c:pt idx="379">
                  <c:v>0.19</c:v>
                </c:pt>
                <c:pt idx="380">
                  <c:v>0.3</c:v>
                </c:pt>
                <c:pt idx="381">
                  <c:v>0.27</c:v>
                </c:pt>
                <c:pt idx="382">
                  <c:v>0.25</c:v>
                </c:pt>
                <c:pt idx="383">
                  <c:v>0.25</c:v>
                </c:pt>
                <c:pt idx="384">
                  <c:v>0.26</c:v>
                </c:pt>
                <c:pt idx="385">
                  <c:v>0.32</c:v>
                </c:pt>
                <c:pt idx="386">
                  <c:v>0.31</c:v>
                </c:pt>
                <c:pt idx="387">
                  <c:v>0.27</c:v>
                </c:pt>
                <c:pt idx="388">
                  <c:v>0.31</c:v>
                </c:pt>
                <c:pt idx="389">
                  <c:v>0.34</c:v>
                </c:pt>
                <c:pt idx="390">
                  <c:v>0.35</c:v>
                </c:pt>
                <c:pt idx="391">
                  <c:v>0.26</c:v>
                </c:pt>
                <c:pt idx="392">
                  <c:v>0.23</c:v>
                </c:pt>
                <c:pt idx="393">
                  <c:v>0.28999999999999998</c:v>
                </c:pt>
                <c:pt idx="394">
                  <c:v>0.49</c:v>
                </c:pt>
                <c:pt idx="395">
                  <c:v>0.63</c:v>
                </c:pt>
                <c:pt idx="396">
                  <c:v>0.77</c:v>
                </c:pt>
                <c:pt idx="397">
                  <c:v>0.67</c:v>
                </c:pt>
                <c:pt idx="398">
                  <c:v>0.72</c:v>
                </c:pt>
                <c:pt idx="399">
                  <c:v>0.83</c:v>
                </c:pt>
                <c:pt idx="400">
                  <c:v>1.18</c:v>
                </c:pt>
                <c:pt idx="401">
                  <c:v>1.43</c:v>
                </c:pt>
                <c:pt idx="402">
                  <c:v>1.54</c:v>
                </c:pt>
                <c:pt idx="403">
                  <c:v>1.5</c:v>
                </c:pt>
                <c:pt idx="404">
                  <c:v>1.4</c:v>
                </c:pt>
                <c:pt idx="405">
                  <c:v>1.3</c:v>
                </c:pt>
                <c:pt idx="406">
                  <c:v>1.08</c:v>
                </c:pt>
                <c:pt idx="407">
                  <c:v>0.72</c:v>
                </c:pt>
                <c:pt idx="408">
                  <c:v>0.35</c:v>
                </c:pt>
                <c:pt idx="409">
                  <c:v>0.08</c:v>
                </c:pt>
                <c:pt idx="410">
                  <c:v>-0.15</c:v>
                </c:pt>
                <c:pt idx="411">
                  <c:v>-0.22</c:v>
                </c:pt>
                <c:pt idx="412">
                  <c:v>-0.24</c:v>
                </c:pt>
                <c:pt idx="413">
                  <c:v>-0.05</c:v>
                </c:pt>
                <c:pt idx="414">
                  <c:v>0.13</c:v>
                </c:pt>
                <c:pt idx="415">
                  <c:v>0.31</c:v>
                </c:pt>
                <c:pt idx="416">
                  <c:v>0.5</c:v>
                </c:pt>
                <c:pt idx="417">
                  <c:v>0.73</c:v>
                </c:pt>
                <c:pt idx="418">
                  <c:v>0.76</c:v>
                </c:pt>
                <c:pt idx="419">
                  <c:v>0.56000000000000005</c:v>
                </c:pt>
                <c:pt idx="420">
                  <c:v>0.28000000000000003</c:v>
                </c:pt>
                <c:pt idx="421">
                  <c:v>0.22</c:v>
                </c:pt>
                <c:pt idx="422">
                  <c:v>0.2</c:v>
                </c:pt>
                <c:pt idx="423">
                  <c:v>0.2</c:v>
                </c:pt>
                <c:pt idx="424">
                  <c:v>0.2</c:v>
                </c:pt>
                <c:pt idx="425">
                  <c:v>0.19</c:v>
                </c:pt>
                <c:pt idx="426">
                  <c:v>7.0000000000000007E-2</c:v>
                </c:pt>
                <c:pt idx="427">
                  <c:v>0</c:v>
                </c:pt>
                <c:pt idx="428">
                  <c:v>0.04</c:v>
                </c:pt>
                <c:pt idx="429">
                  <c:v>0.17</c:v>
                </c:pt>
                <c:pt idx="430">
                  <c:v>0.25</c:v>
                </c:pt>
                <c:pt idx="431">
                  <c:v>0.23</c:v>
                </c:pt>
                <c:pt idx="432">
                  <c:v>0.3</c:v>
                </c:pt>
                <c:pt idx="433">
                  <c:v>0.3</c:v>
                </c:pt>
                <c:pt idx="434">
                  <c:v>0.47</c:v>
                </c:pt>
                <c:pt idx="435">
                  <c:v>0.66</c:v>
                </c:pt>
                <c:pt idx="436">
                  <c:v>0.93</c:v>
                </c:pt>
                <c:pt idx="437">
                  <c:v>0.97</c:v>
                </c:pt>
                <c:pt idx="438">
                  <c:v>0.88</c:v>
                </c:pt>
                <c:pt idx="439">
                  <c:v>0.65</c:v>
                </c:pt>
                <c:pt idx="440">
                  <c:v>0.46</c:v>
                </c:pt>
                <c:pt idx="441">
                  <c:v>0.19</c:v>
                </c:pt>
                <c:pt idx="442">
                  <c:v>0.03</c:v>
                </c:pt>
                <c:pt idx="443">
                  <c:v>-0.11</c:v>
                </c:pt>
                <c:pt idx="444">
                  <c:v>-0.3</c:v>
                </c:pt>
                <c:pt idx="445">
                  <c:v>-0.55000000000000004</c:v>
                </c:pt>
                <c:pt idx="446">
                  <c:v>-0.81</c:v>
                </c:pt>
                <c:pt idx="447">
                  <c:v>-0.97</c:v>
                </c:pt>
                <c:pt idx="448">
                  <c:v>-1.05</c:v>
                </c:pt>
                <c:pt idx="449">
                  <c:v>-1.01</c:v>
                </c:pt>
                <c:pt idx="450">
                  <c:v>-0.88</c:v>
                </c:pt>
                <c:pt idx="451">
                  <c:v>-0.7</c:v>
                </c:pt>
                <c:pt idx="452">
                  <c:v>-0.52</c:v>
                </c:pt>
                <c:pt idx="453">
                  <c:v>-0.36</c:v>
                </c:pt>
                <c:pt idx="454">
                  <c:v>-0.25</c:v>
                </c:pt>
                <c:pt idx="455">
                  <c:v>-0.24</c:v>
                </c:pt>
                <c:pt idx="456">
                  <c:v>-0.22</c:v>
                </c:pt>
                <c:pt idx="457">
                  <c:v>-0.27</c:v>
                </c:pt>
                <c:pt idx="458">
                  <c:v>-0.3</c:v>
                </c:pt>
                <c:pt idx="459">
                  <c:v>-0.33</c:v>
                </c:pt>
                <c:pt idx="460">
                  <c:v>-0.39</c:v>
                </c:pt>
                <c:pt idx="461">
                  <c:v>-0.41</c:v>
                </c:pt>
                <c:pt idx="462">
                  <c:v>-0.41</c:v>
                </c:pt>
                <c:pt idx="463">
                  <c:v>-0.26</c:v>
                </c:pt>
                <c:pt idx="464">
                  <c:v>-0.03</c:v>
                </c:pt>
                <c:pt idx="465">
                  <c:v>0.3</c:v>
                </c:pt>
                <c:pt idx="466">
                  <c:v>0.71</c:v>
                </c:pt>
                <c:pt idx="467">
                  <c:v>1.1299999999999999</c:v>
                </c:pt>
                <c:pt idx="468">
                  <c:v>1.48</c:v>
                </c:pt>
                <c:pt idx="469">
                  <c:v>1.79</c:v>
                </c:pt>
                <c:pt idx="470">
                  <c:v>2.04</c:v>
                </c:pt>
                <c:pt idx="471">
                  <c:v>2.2400000000000002</c:v>
                </c:pt>
                <c:pt idx="472">
                  <c:v>2.34</c:v>
                </c:pt>
                <c:pt idx="473">
                  <c:v>2.37</c:v>
                </c:pt>
                <c:pt idx="474">
                  <c:v>2.2200000000000002</c:v>
                </c:pt>
                <c:pt idx="475">
                  <c:v>1.91</c:v>
                </c:pt>
                <c:pt idx="476">
                  <c:v>1.4</c:v>
                </c:pt>
                <c:pt idx="477">
                  <c:v>1.03</c:v>
                </c:pt>
                <c:pt idx="478">
                  <c:v>0.4</c:v>
                </c:pt>
                <c:pt idx="479">
                  <c:v>-0.08</c:v>
                </c:pt>
                <c:pt idx="480">
                  <c:v>-0.63</c:v>
                </c:pt>
                <c:pt idx="481">
                  <c:v>-0.83</c:v>
                </c:pt>
                <c:pt idx="482">
                  <c:v>-1.02</c:v>
                </c:pt>
                <c:pt idx="483">
                  <c:v>-1.1200000000000001</c:v>
                </c:pt>
                <c:pt idx="484">
                  <c:v>-1.31</c:v>
                </c:pt>
                <c:pt idx="485">
                  <c:v>-1.47</c:v>
                </c:pt>
                <c:pt idx="486">
                  <c:v>-1.51</c:v>
                </c:pt>
                <c:pt idx="487">
                  <c:v>-1.25</c:v>
                </c:pt>
                <c:pt idx="488">
                  <c:v>-0.93</c:v>
                </c:pt>
                <c:pt idx="489">
                  <c:v>-0.8</c:v>
                </c:pt>
                <c:pt idx="490">
                  <c:v>-0.79</c:v>
                </c:pt>
                <c:pt idx="491">
                  <c:v>-0.84</c:v>
                </c:pt>
                <c:pt idx="492">
                  <c:v>-0.9</c:v>
                </c:pt>
                <c:pt idx="493">
                  <c:v>-0.94</c:v>
                </c:pt>
                <c:pt idx="494">
                  <c:v>-1</c:v>
                </c:pt>
                <c:pt idx="495">
                  <c:v>-1.1299999999999999</c:v>
                </c:pt>
                <c:pt idx="496">
                  <c:v>-1.35</c:v>
                </c:pt>
                <c:pt idx="497">
                  <c:v>-1.53</c:v>
                </c:pt>
                <c:pt idx="498">
                  <c:v>-1.47</c:v>
                </c:pt>
                <c:pt idx="499">
                  <c:v>-1.26</c:v>
                </c:pt>
                <c:pt idx="500">
                  <c:v>-0.98</c:v>
                </c:pt>
                <c:pt idx="501">
                  <c:v>-0.81</c:v>
                </c:pt>
                <c:pt idx="502">
                  <c:v>-0.67</c:v>
                </c:pt>
                <c:pt idx="503">
                  <c:v>-0.62</c:v>
                </c:pt>
                <c:pt idx="504">
                  <c:v>-0.48</c:v>
                </c:pt>
                <c:pt idx="505">
                  <c:v>-0.4</c:v>
                </c:pt>
                <c:pt idx="506">
                  <c:v>-0.42</c:v>
                </c:pt>
                <c:pt idx="507">
                  <c:v>-0.54</c:v>
                </c:pt>
                <c:pt idx="508">
                  <c:v>-0.76</c:v>
                </c:pt>
                <c:pt idx="509">
                  <c:v>-0.78</c:v>
                </c:pt>
                <c:pt idx="510">
                  <c:v>-0.76</c:v>
                </c:pt>
                <c:pt idx="511">
                  <c:v>-0.54</c:v>
                </c:pt>
                <c:pt idx="512">
                  <c:v>-0.43</c:v>
                </c:pt>
                <c:pt idx="513">
                  <c:v>-0.28999999999999998</c:v>
                </c:pt>
                <c:pt idx="514">
                  <c:v>-0.19</c:v>
                </c:pt>
                <c:pt idx="515">
                  <c:v>-0.08</c:v>
                </c:pt>
                <c:pt idx="516">
                  <c:v>-0.05</c:v>
                </c:pt>
                <c:pt idx="517">
                  <c:v>-0.13</c:v>
                </c:pt>
                <c:pt idx="518">
                  <c:v>-0.15</c:v>
                </c:pt>
                <c:pt idx="519">
                  <c:v>-0.26</c:v>
                </c:pt>
                <c:pt idx="520">
                  <c:v>-0.33</c:v>
                </c:pt>
                <c:pt idx="521">
                  <c:v>-0.32</c:v>
                </c:pt>
                <c:pt idx="522">
                  <c:v>-0.15</c:v>
                </c:pt>
                <c:pt idx="523">
                  <c:v>7.0000000000000007E-2</c:v>
                </c:pt>
                <c:pt idx="524">
                  <c:v>0.11</c:v>
                </c:pt>
                <c:pt idx="525">
                  <c:v>0.15</c:v>
                </c:pt>
                <c:pt idx="526">
                  <c:v>0.3</c:v>
                </c:pt>
                <c:pt idx="527">
                  <c:v>0.45</c:v>
                </c:pt>
                <c:pt idx="528">
                  <c:v>0.56999999999999995</c:v>
                </c:pt>
                <c:pt idx="529">
                  <c:v>0.63</c:v>
                </c:pt>
                <c:pt idx="530">
                  <c:v>0.78</c:v>
                </c:pt>
                <c:pt idx="531">
                  <c:v>0.99</c:v>
                </c:pt>
                <c:pt idx="532">
                  <c:v>1.19</c:v>
                </c:pt>
                <c:pt idx="533">
                  <c:v>1.08</c:v>
                </c:pt>
                <c:pt idx="534">
                  <c:v>0.9</c:v>
                </c:pt>
                <c:pt idx="535">
                  <c:v>0.59</c:v>
                </c:pt>
                <c:pt idx="536">
                  <c:v>0.38</c:v>
                </c:pt>
                <c:pt idx="537">
                  <c:v>-0.01</c:v>
                </c:pt>
                <c:pt idx="538">
                  <c:v>-0.18</c:v>
                </c:pt>
                <c:pt idx="539">
                  <c:v>-0.13</c:v>
                </c:pt>
                <c:pt idx="540">
                  <c:v>0.09</c:v>
                </c:pt>
                <c:pt idx="541">
                  <c:v>0.14000000000000001</c:v>
                </c:pt>
                <c:pt idx="542">
                  <c:v>0.23</c:v>
                </c:pt>
                <c:pt idx="543">
                  <c:v>0.23</c:v>
                </c:pt>
                <c:pt idx="544">
                  <c:v>0.28999999999999998</c:v>
                </c:pt>
                <c:pt idx="545">
                  <c:v>0.28999999999999998</c:v>
                </c:pt>
                <c:pt idx="546">
                  <c:v>0.34</c:v>
                </c:pt>
                <c:pt idx="547">
                  <c:v>0.27</c:v>
                </c:pt>
                <c:pt idx="548">
                  <c:v>0.19</c:v>
                </c:pt>
                <c:pt idx="549">
                  <c:v>0.1</c:v>
                </c:pt>
                <c:pt idx="550">
                  <c:v>0.12</c:v>
                </c:pt>
                <c:pt idx="551">
                  <c:v>0.22</c:v>
                </c:pt>
                <c:pt idx="552">
                  <c:v>0.39</c:v>
                </c:pt>
                <c:pt idx="553">
                  <c:v>0.54</c:v>
                </c:pt>
                <c:pt idx="554">
                  <c:v>0.57999999999999996</c:v>
                </c:pt>
                <c:pt idx="555">
                  <c:v>0.61</c:v>
                </c:pt>
                <c:pt idx="556">
                  <c:v>0.64</c:v>
                </c:pt>
                <c:pt idx="557">
                  <c:v>0.71</c:v>
                </c:pt>
                <c:pt idx="558">
                  <c:v>0.62</c:v>
                </c:pt>
                <c:pt idx="559">
                  <c:v>0.55000000000000004</c:v>
                </c:pt>
                <c:pt idx="560">
                  <c:v>0.4</c:v>
                </c:pt>
                <c:pt idx="561">
                  <c:v>0.37</c:v>
                </c:pt>
                <c:pt idx="562">
                  <c:v>0.27</c:v>
                </c:pt>
                <c:pt idx="563">
                  <c:v>0.09</c:v>
                </c:pt>
                <c:pt idx="564">
                  <c:v>-0.04</c:v>
                </c:pt>
                <c:pt idx="565">
                  <c:v>-0.14000000000000001</c:v>
                </c:pt>
                <c:pt idx="566">
                  <c:v>-0.11</c:v>
                </c:pt>
                <c:pt idx="567">
                  <c:v>-0.27</c:v>
                </c:pt>
                <c:pt idx="568">
                  <c:v>-0.56999999999999995</c:v>
                </c:pt>
                <c:pt idx="569">
                  <c:v>-0.82</c:v>
                </c:pt>
                <c:pt idx="570">
                  <c:v>-0.86</c:v>
                </c:pt>
                <c:pt idx="571">
                  <c:v>-0.8</c:v>
                </c:pt>
                <c:pt idx="572">
                  <c:v>-0.63</c:v>
                </c:pt>
                <c:pt idx="573">
                  <c:v>-0.45</c:v>
                </c:pt>
                <c:pt idx="574">
                  <c:v>-0.19</c:v>
                </c:pt>
                <c:pt idx="575">
                  <c:v>-0.05</c:v>
                </c:pt>
                <c:pt idx="576">
                  <c:v>0.12</c:v>
                </c:pt>
                <c:pt idx="577">
                  <c:v>0.33</c:v>
                </c:pt>
                <c:pt idx="578">
                  <c:v>0.54</c:v>
                </c:pt>
                <c:pt idx="579">
                  <c:v>0.71</c:v>
                </c:pt>
                <c:pt idx="580">
                  <c:v>0.88</c:v>
                </c:pt>
                <c:pt idx="581">
                  <c:v>0.88</c:v>
                </c:pt>
                <c:pt idx="582">
                  <c:v>0.62</c:v>
                </c:pt>
                <c:pt idx="583">
                  <c:v>0.19</c:v>
                </c:pt>
                <c:pt idx="584">
                  <c:v>-0.12</c:v>
                </c:pt>
                <c:pt idx="585">
                  <c:v>-0.32</c:v>
                </c:pt>
                <c:pt idx="586">
                  <c:v>-0.34</c:v>
                </c:pt>
                <c:pt idx="587">
                  <c:v>-0.41</c:v>
                </c:pt>
                <c:pt idx="588">
                  <c:v>-0.49</c:v>
                </c:pt>
                <c:pt idx="589">
                  <c:v>-0.77</c:v>
                </c:pt>
                <c:pt idx="590">
                  <c:v>-1.05</c:v>
                </c:pt>
                <c:pt idx="591">
                  <c:v>-1.38</c:v>
                </c:pt>
                <c:pt idx="592">
                  <c:v>-1.57</c:v>
                </c:pt>
                <c:pt idx="593">
                  <c:v>-1.72</c:v>
                </c:pt>
                <c:pt idx="594">
                  <c:v>-1.76</c:v>
                </c:pt>
                <c:pt idx="595">
                  <c:v>-1.61</c:v>
                </c:pt>
                <c:pt idx="596">
                  <c:v>-1.37</c:v>
                </c:pt>
                <c:pt idx="597">
                  <c:v>-1.05</c:v>
                </c:pt>
                <c:pt idx="598">
                  <c:v>-0.85</c:v>
                </c:pt>
                <c:pt idx="599">
                  <c:v>-0.56000000000000005</c:v>
                </c:pt>
                <c:pt idx="600">
                  <c:v>-0.33</c:v>
                </c:pt>
                <c:pt idx="601">
                  <c:v>-0.2</c:v>
                </c:pt>
                <c:pt idx="602">
                  <c:v>-0.25</c:v>
                </c:pt>
                <c:pt idx="603">
                  <c:v>-0.36</c:v>
                </c:pt>
                <c:pt idx="604">
                  <c:v>-0.56999999999999995</c:v>
                </c:pt>
                <c:pt idx="605">
                  <c:v>-0.79</c:v>
                </c:pt>
                <c:pt idx="606">
                  <c:v>-0.89</c:v>
                </c:pt>
                <c:pt idx="607">
                  <c:v>-0.84</c:v>
                </c:pt>
                <c:pt idx="608">
                  <c:v>-0.63</c:v>
                </c:pt>
                <c:pt idx="609">
                  <c:v>-0.35</c:v>
                </c:pt>
                <c:pt idx="610">
                  <c:v>0.03</c:v>
                </c:pt>
                <c:pt idx="611">
                  <c:v>0.34</c:v>
                </c:pt>
                <c:pt idx="612">
                  <c:v>0.5</c:v>
                </c:pt>
                <c:pt idx="613">
                  <c:v>0.56000000000000005</c:v>
                </c:pt>
                <c:pt idx="614">
                  <c:v>0.66</c:v>
                </c:pt>
                <c:pt idx="615">
                  <c:v>0.92</c:v>
                </c:pt>
                <c:pt idx="616">
                  <c:v>1.31</c:v>
                </c:pt>
                <c:pt idx="617">
                  <c:v>1.5</c:v>
                </c:pt>
                <c:pt idx="618">
                  <c:v>1.47</c:v>
                </c:pt>
                <c:pt idx="619">
                  <c:v>1.21</c:v>
                </c:pt>
                <c:pt idx="620">
                  <c:v>0.88</c:v>
                </c:pt>
                <c:pt idx="621">
                  <c:v>0.38</c:v>
                </c:pt>
                <c:pt idx="622">
                  <c:v>-0.16</c:v>
                </c:pt>
                <c:pt idx="623">
                  <c:v>-0.66</c:v>
                </c:pt>
                <c:pt idx="624">
                  <c:v>-0.98</c:v>
                </c:pt>
                <c:pt idx="625">
                  <c:v>-1.24</c:v>
                </c:pt>
                <c:pt idx="626">
                  <c:v>-1.43</c:v>
                </c:pt>
                <c:pt idx="627">
                  <c:v>-1.54</c:v>
                </c:pt>
                <c:pt idx="628">
                  <c:v>-1.57</c:v>
                </c:pt>
                <c:pt idx="629">
                  <c:v>-1.48</c:v>
                </c:pt>
                <c:pt idx="630">
                  <c:v>-1.29</c:v>
                </c:pt>
                <c:pt idx="631">
                  <c:v>-1.06</c:v>
                </c:pt>
                <c:pt idx="632">
                  <c:v>-0.85</c:v>
                </c:pt>
                <c:pt idx="633">
                  <c:v>-0.68</c:v>
                </c:pt>
                <c:pt idx="634">
                  <c:v>-0.5</c:v>
                </c:pt>
                <c:pt idx="635">
                  <c:v>-0.34</c:v>
                </c:pt>
                <c:pt idx="636">
                  <c:v>-0.37</c:v>
                </c:pt>
                <c:pt idx="637">
                  <c:v>-0.5</c:v>
                </c:pt>
                <c:pt idx="638">
                  <c:v>-0.76</c:v>
                </c:pt>
                <c:pt idx="639">
                  <c:v>-0.94</c:v>
                </c:pt>
                <c:pt idx="640">
                  <c:v>-1.02</c:v>
                </c:pt>
                <c:pt idx="641">
                  <c:v>-0.92</c:v>
                </c:pt>
                <c:pt idx="642">
                  <c:v>-0.71</c:v>
                </c:pt>
                <c:pt idx="643">
                  <c:v>-0.56000000000000005</c:v>
                </c:pt>
                <c:pt idx="644">
                  <c:v>-0.44</c:v>
                </c:pt>
                <c:pt idx="645">
                  <c:v>-0.35</c:v>
                </c:pt>
                <c:pt idx="646">
                  <c:v>-0.18</c:v>
                </c:pt>
                <c:pt idx="647">
                  <c:v>0.03</c:v>
                </c:pt>
                <c:pt idx="648">
                  <c:v>0.28000000000000003</c:v>
                </c:pt>
                <c:pt idx="649">
                  <c:v>0.39</c:v>
                </c:pt>
                <c:pt idx="650">
                  <c:v>0.37</c:v>
                </c:pt>
                <c:pt idx="651">
                  <c:v>0.28000000000000003</c:v>
                </c:pt>
                <c:pt idx="652">
                  <c:v>0.13</c:v>
                </c:pt>
                <c:pt idx="653">
                  <c:v>-0.03</c:v>
                </c:pt>
                <c:pt idx="654">
                  <c:v>-0.24</c:v>
                </c:pt>
                <c:pt idx="655">
                  <c:v>-0.28000000000000003</c:v>
                </c:pt>
                <c:pt idx="656">
                  <c:v>-0.23</c:v>
                </c:pt>
                <c:pt idx="657">
                  <c:v>-0.2</c:v>
                </c:pt>
                <c:pt idx="658">
                  <c:v>-0.3</c:v>
                </c:pt>
                <c:pt idx="659">
                  <c:v>-0.38</c:v>
                </c:pt>
                <c:pt idx="660">
                  <c:v>-0.45</c:v>
                </c:pt>
                <c:pt idx="661">
                  <c:v>-0.34</c:v>
                </c:pt>
                <c:pt idx="662">
                  <c:v>-0.32</c:v>
                </c:pt>
                <c:pt idx="663">
                  <c:v>-0.14000000000000001</c:v>
                </c:pt>
                <c:pt idx="664">
                  <c:v>-0.12</c:v>
                </c:pt>
                <c:pt idx="665">
                  <c:v>-0.11</c:v>
                </c:pt>
                <c:pt idx="666">
                  <c:v>-0.24</c:v>
                </c:pt>
                <c:pt idx="667">
                  <c:v>-0.21</c:v>
                </c:pt>
                <c:pt idx="668">
                  <c:v>-0.02</c:v>
                </c:pt>
                <c:pt idx="669">
                  <c:v>0.25</c:v>
                </c:pt>
                <c:pt idx="670">
                  <c:v>0.35</c:v>
                </c:pt>
                <c:pt idx="671">
                  <c:v>0.22</c:v>
                </c:pt>
                <c:pt idx="672">
                  <c:v>7.0000000000000007E-2</c:v>
                </c:pt>
                <c:pt idx="673">
                  <c:v>7.0000000000000007E-2</c:v>
                </c:pt>
                <c:pt idx="674">
                  <c:v>0.24</c:v>
                </c:pt>
                <c:pt idx="675">
                  <c:v>0.51</c:v>
                </c:pt>
                <c:pt idx="676">
                  <c:v>0.7</c:v>
                </c:pt>
                <c:pt idx="677">
                  <c:v>0.8</c:v>
                </c:pt>
                <c:pt idx="678">
                  <c:v>0.73</c:v>
                </c:pt>
                <c:pt idx="679">
                  <c:v>0.65</c:v>
                </c:pt>
                <c:pt idx="680">
                  <c:v>0.72</c:v>
                </c:pt>
                <c:pt idx="681">
                  <c:v>0.86</c:v>
                </c:pt>
                <c:pt idx="682">
                  <c:v>1.04</c:v>
                </c:pt>
                <c:pt idx="683">
                  <c:v>1.19</c:v>
                </c:pt>
                <c:pt idx="684">
                  <c:v>1.44</c:v>
                </c:pt>
                <c:pt idx="685">
                  <c:v>1.73</c:v>
                </c:pt>
                <c:pt idx="686">
                  <c:v>2.02</c:v>
                </c:pt>
                <c:pt idx="687">
                  <c:v>2.2799999999999998</c:v>
                </c:pt>
                <c:pt idx="688">
                  <c:v>2.4500000000000002</c:v>
                </c:pt>
                <c:pt idx="689">
                  <c:v>2.59</c:v>
                </c:pt>
                <c:pt idx="690">
                  <c:v>2.5</c:v>
                </c:pt>
                <c:pt idx="691">
                  <c:v>2.21</c:v>
                </c:pt>
                <c:pt idx="692">
                  <c:v>1.69</c:v>
                </c:pt>
                <c:pt idx="693">
                  <c:v>1.1100000000000001</c:v>
                </c:pt>
                <c:pt idx="694">
                  <c:v>0.56999999999999995</c:v>
                </c:pt>
                <c:pt idx="695">
                  <c:v>0.09</c:v>
                </c:pt>
                <c:pt idx="696">
                  <c:v>-0.19</c:v>
                </c:pt>
                <c:pt idx="697">
                  <c:v>-0.34</c:v>
                </c:pt>
                <c:pt idx="698">
                  <c:v>-0.42</c:v>
                </c:pt>
                <c:pt idx="699">
                  <c:v>-0.51</c:v>
                </c:pt>
                <c:pt idx="700">
                  <c:v>-0.49</c:v>
                </c:pt>
                <c:pt idx="701">
                  <c:v>-0.37</c:v>
                </c:pt>
                <c:pt idx="702">
                  <c:v>-0.08</c:v>
                </c:pt>
                <c:pt idx="703">
                  <c:v>0.08</c:v>
                </c:pt>
                <c:pt idx="704">
                  <c:v>0.27</c:v>
                </c:pt>
                <c:pt idx="705">
                  <c:v>0.32</c:v>
                </c:pt>
                <c:pt idx="706">
                  <c:v>0.35</c:v>
                </c:pt>
                <c:pt idx="707">
                  <c:v>0.32</c:v>
                </c:pt>
                <c:pt idx="708">
                  <c:v>0.14000000000000001</c:v>
                </c:pt>
                <c:pt idx="709">
                  <c:v>-7.0000000000000007E-2</c:v>
                </c:pt>
                <c:pt idx="710">
                  <c:v>-0.23</c:v>
                </c:pt>
                <c:pt idx="711">
                  <c:v>-0.44</c:v>
                </c:pt>
                <c:pt idx="712">
                  <c:v>-0.61</c:v>
                </c:pt>
                <c:pt idx="713">
                  <c:v>-0.76</c:v>
                </c:pt>
                <c:pt idx="714">
                  <c:v>-0.71</c:v>
                </c:pt>
                <c:pt idx="715">
                  <c:v>-0.67</c:v>
                </c:pt>
                <c:pt idx="716">
                  <c:v>-0.55000000000000004</c:v>
                </c:pt>
                <c:pt idx="717">
                  <c:v>-0.35</c:v>
                </c:pt>
                <c:pt idx="718">
                  <c:v>-7.0000000000000007E-2</c:v>
                </c:pt>
                <c:pt idx="719">
                  <c:v>0.13</c:v>
                </c:pt>
                <c:pt idx="720">
                  <c:v>0.2</c:v>
                </c:pt>
                <c:pt idx="721">
                  <c:v>0.3</c:v>
                </c:pt>
                <c:pt idx="722">
                  <c:v>0.52</c:v>
                </c:pt>
                <c:pt idx="723">
                  <c:v>0.82</c:v>
                </c:pt>
                <c:pt idx="724">
                  <c:v>1.04</c:v>
                </c:pt>
                <c:pt idx="725">
                  <c:v>1.05</c:v>
                </c:pt>
                <c:pt idx="726">
                  <c:v>0.99</c:v>
                </c:pt>
                <c:pt idx="727">
                  <c:v>0.94</c:v>
                </c:pt>
                <c:pt idx="728">
                  <c:v>0.87</c:v>
                </c:pt>
                <c:pt idx="729">
                  <c:v>0.82</c:v>
                </c:pt>
                <c:pt idx="730">
                  <c:v>0.71</c:v>
                </c:pt>
                <c:pt idx="731">
                  <c:v>0.59</c:v>
                </c:pt>
                <c:pt idx="732">
                  <c:v>0.38</c:v>
                </c:pt>
                <c:pt idx="733">
                  <c:v>0.2</c:v>
                </c:pt>
                <c:pt idx="734">
                  <c:v>0.31</c:v>
                </c:pt>
                <c:pt idx="735">
                  <c:v>0.51</c:v>
                </c:pt>
                <c:pt idx="736">
                  <c:v>0.72</c:v>
                </c:pt>
                <c:pt idx="737">
                  <c:v>0.75</c:v>
                </c:pt>
                <c:pt idx="738">
                  <c:v>0.71</c:v>
                </c:pt>
                <c:pt idx="739">
                  <c:v>0.66</c:v>
                </c:pt>
                <c:pt idx="740">
                  <c:v>0.56999999999999995</c:v>
                </c:pt>
                <c:pt idx="741">
                  <c:v>0.33</c:v>
                </c:pt>
                <c:pt idx="742">
                  <c:v>0.04</c:v>
                </c:pt>
                <c:pt idx="743">
                  <c:v>-0.18</c:v>
                </c:pt>
                <c:pt idx="744">
                  <c:v>-0.28999999999999998</c:v>
                </c:pt>
                <c:pt idx="745">
                  <c:v>-0.43</c:v>
                </c:pt>
                <c:pt idx="746">
                  <c:v>-0.77</c:v>
                </c:pt>
                <c:pt idx="747">
                  <c:v>-1</c:v>
                </c:pt>
                <c:pt idx="748">
                  <c:v>-1.1100000000000001</c:v>
                </c:pt>
                <c:pt idx="749">
                  <c:v>-1.06</c:v>
                </c:pt>
                <c:pt idx="750">
                  <c:v>-0.99</c:v>
                </c:pt>
                <c:pt idx="751">
                  <c:v>-0.85</c:v>
                </c:pt>
                <c:pt idx="752">
                  <c:v>-0.74</c:v>
                </c:pt>
                <c:pt idx="753">
                  <c:v>-0.56000000000000005</c:v>
                </c:pt>
                <c:pt idx="754">
                  <c:v>-0.4</c:v>
                </c:pt>
                <c:pt idx="755">
                  <c:v>-0.31</c:v>
                </c:pt>
                <c:pt idx="756">
                  <c:v>-0.35</c:v>
                </c:pt>
                <c:pt idx="757">
                  <c:v>-0.46</c:v>
                </c:pt>
                <c:pt idx="758">
                  <c:v>-0.64</c:v>
                </c:pt>
                <c:pt idx="759">
                  <c:v>-0.77</c:v>
                </c:pt>
                <c:pt idx="760">
                  <c:v>-0.91</c:v>
                </c:pt>
                <c:pt idx="761">
                  <c:v>-0.83</c:v>
                </c:pt>
                <c:pt idx="762">
                  <c:v>-0.76</c:v>
                </c:pt>
                <c:pt idx="763">
                  <c:v>-0.68</c:v>
                </c:pt>
                <c:pt idx="764">
                  <c:v>-0.77</c:v>
                </c:pt>
                <c:pt idx="765">
                  <c:v>-0.86</c:v>
                </c:pt>
                <c:pt idx="766">
                  <c:v>-0.83</c:v>
                </c:pt>
                <c:pt idx="767">
                  <c:v>-0.73</c:v>
                </c:pt>
                <c:pt idx="768">
                  <c:v>-0.7</c:v>
                </c:pt>
                <c:pt idx="769">
                  <c:v>-0.78</c:v>
                </c:pt>
                <c:pt idx="770">
                  <c:v>-0.87</c:v>
                </c:pt>
                <c:pt idx="771">
                  <c:v>-0.89</c:v>
                </c:pt>
                <c:pt idx="772">
                  <c:v>-0.82</c:v>
                </c:pt>
                <c:pt idx="773">
                  <c:v>-0.7</c:v>
                </c:pt>
                <c:pt idx="774">
                  <c:v>-0.55000000000000004</c:v>
                </c:pt>
                <c:pt idx="775">
                  <c:v>-0.33</c:v>
                </c:pt>
                <c:pt idx="776">
                  <c:v>-0.11</c:v>
                </c:pt>
                <c:pt idx="777">
                  <c:v>0.19</c:v>
                </c:pt>
                <c:pt idx="778">
                  <c:v>0.46</c:v>
                </c:pt>
                <c:pt idx="779">
                  <c:v>0.73</c:v>
                </c:pt>
                <c:pt idx="780">
                  <c:v>1</c:v>
                </c:pt>
                <c:pt idx="781">
                  <c:v>1.25</c:v>
                </c:pt>
                <c:pt idx="782">
                  <c:v>1.5</c:v>
                </c:pt>
                <c:pt idx="783">
                  <c:v>1.74</c:v>
                </c:pt>
                <c:pt idx="784">
                  <c:v>1.9</c:v>
                </c:pt>
                <c:pt idx="785">
                  <c:v>1.99</c:v>
                </c:pt>
                <c:pt idx="786">
                  <c:v>1.84</c:v>
                </c:pt>
                <c:pt idx="787">
                  <c:v>1.53</c:v>
                </c:pt>
                <c:pt idx="788">
                  <c:v>1.18</c:v>
                </c:pt>
                <c:pt idx="789">
                  <c:v>0.77</c:v>
                </c:pt>
                <c:pt idx="790">
                  <c:v>0.43</c:v>
                </c:pt>
                <c:pt idx="791">
                  <c:v>0.18</c:v>
                </c:pt>
                <c:pt idx="792">
                  <c:v>0.06</c:v>
                </c:pt>
                <c:pt idx="793">
                  <c:v>-0.04</c:v>
                </c:pt>
                <c:pt idx="794">
                  <c:v>-0.12</c:v>
                </c:pt>
                <c:pt idx="795">
                  <c:v>-0.19</c:v>
                </c:pt>
                <c:pt idx="796">
                  <c:v>-0.28999999999999998</c:v>
                </c:pt>
                <c:pt idx="797">
                  <c:v>-0.43</c:v>
                </c:pt>
                <c:pt idx="798">
                  <c:v>-0.46</c:v>
                </c:pt>
                <c:pt idx="799">
                  <c:v>-0.22</c:v>
                </c:pt>
                <c:pt idx="800">
                  <c:v>-0.08</c:v>
                </c:pt>
                <c:pt idx="801">
                  <c:v>0.02</c:v>
                </c:pt>
                <c:pt idx="802">
                  <c:v>-0.04</c:v>
                </c:pt>
                <c:pt idx="803">
                  <c:v>-0.02</c:v>
                </c:pt>
                <c:pt idx="804">
                  <c:v>-0.11</c:v>
                </c:pt>
                <c:pt idx="805">
                  <c:v>-0.26</c:v>
                </c:pt>
                <c:pt idx="806">
                  <c:v>-0.43</c:v>
                </c:pt>
                <c:pt idx="807">
                  <c:v>-0.56999999999999995</c:v>
                </c:pt>
                <c:pt idx="808">
                  <c:v>-0.61</c:v>
                </c:pt>
                <c:pt idx="809">
                  <c:v>-0.6</c:v>
                </c:pt>
                <c:pt idx="810">
                  <c:v>-0.39</c:v>
                </c:pt>
                <c:pt idx="811">
                  <c:v>-0.21</c:v>
                </c:pt>
                <c:pt idx="812">
                  <c:v>0.11</c:v>
                </c:pt>
                <c:pt idx="813">
                  <c:v>0.46</c:v>
                </c:pt>
                <c:pt idx="814">
                  <c:v>0.95</c:v>
                </c:pt>
              </c:numCache>
            </c:numRef>
          </c:xVal>
          <c:yVal>
            <c:numRef>
              <c:f>ENSO!$G$9:$G$823</c:f>
              <c:numCache>
                <c:formatCode>0.000</c:formatCode>
                <c:ptCount val="815"/>
                <c:pt idx="0">
                  <c:v>0.19448811934685822</c:v>
                </c:pt>
                <c:pt idx="1">
                  <c:v>0.16301779262159072</c:v>
                </c:pt>
                <c:pt idx="2">
                  <c:v>0.13618792258732854</c:v>
                </c:pt>
                <c:pt idx="3">
                  <c:v>0.19479949438210342</c:v>
                </c:pt>
                <c:pt idx="4">
                  <c:v>0.17344385838030041</c:v>
                </c:pt>
                <c:pt idx="5">
                  <c:v>0.28145063859937514</c:v>
                </c:pt>
                <c:pt idx="6">
                  <c:v>0.2481468142740747</c:v>
                </c:pt>
                <c:pt idx="7">
                  <c:v>0.12107800968206495</c:v>
                </c:pt>
                <c:pt idx="8">
                  <c:v>0.1128130338318466</c:v>
                </c:pt>
                <c:pt idx="9">
                  <c:v>0.13282086897425921</c:v>
                </c:pt>
                <c:pt idx="10">
                  <c:v>0.11455898940532178</c:v>
                </c:pt>
                <c:pt idx="11">
                  <c:v>7.6603925708187914E-2</c:v>
                </c:pt>
                <c:pt idx="12">
                  <c:v>7.3017792621587307E-2</c:v>
                </c:pt>
                <c:pt idx="13">
                  <c:v>4.4433714716886674E-2</c:v>
                </c:pt>
                <c:pt idx="14">
                  <c:v>0.11479949438210335</c:v>
                </c:pt>
                <c:pt idx="15">
                  <c:v>0.10419157559713521</c:v>
                </c:pt>
                <c:pt idx="16">
                  <c:v>0.22734280165609161</c:v>
                </c:pt>
                <c:pt idx="17">
                  <c:v>-0.26011504820042386</c:v>
                </c:pt>
                <c:pt idx="18">
                  <c:v>-7.8080173286718679E-2</c:v>
                </c:pt>
                <c:pt idx="19">
                  <c:v>-2.0422404212452228E-2</c:v>
                </c:pt>
                <c:pt idx="20">
                  <c:v>2.5126820208038581E-2</c:v>
                </c:pt>
                <c:pt idx="21">
                  <c:v>4.2441178678225167E-2</c:v>
                </c:pt>
                <c:pt idx="22">
                  <c:v>0.13080257522947042</c:v>
                </c:pt>
                <c:pt idx="23">
                  <c:v>0.20245932812757206</c:v>
                </c:pt>
                <c:pt idx="24">
                  <c:v>0.19672958759514014</c:v>
                </c:pt>
                <c:pt idx="25">
                  <c:v>1.205425141776173E-2</c:v>
                </c:pt>
                <c:pt idx="26">
                  <c:v>0.29718386292390775</c:v>
                </c:pt>
                <c:pt idx="27">
                  <c:v>0.16846269654615326</c:v>
                </c:pt>
                <c:pt idx="28">
                  <c:v>0.27839507273809383</c:v>
                </c:pt>
                <c:pt idx="29">
                  <c:v>0.1679816495612837</c:v>
                </c:pt>
                <c:pt idx="30">
                  <c:v>0.19636104230331197</c:v>
                </c:pt>
                <c:pt idx="31">
                  <c:v>0.17280579722426226</c:v>
                </c:pt>
                <c:pt idx="32">
                  <c:v>0.17278286184551417</c:v>
                </c:pt>
                <c:pt idx="33">
                  <c:v>8.7734045742096201E-2</c:v>
                </c:pt>
                <c:pt idx="34">
                  <c:v>0.10970739729782164</c:v>
                </c:pt>
                <c:pt idx="35">
                  <c:v>0.2021794505424816</c:v>
                </c:pt>
                <c:pt idx="36">
                  <c:v>0.11817504865874867</c:v>
                </c:pt>
                <c:pt idx="37">
                  <c:v>0.13830655626712707</c:v>
                </c:pt>
                <c:pt idx="38">
                  <c:v>-6.3030425981421445E-2</c:v>
                </c:pt>
                <c:pt idx="39">
                  <c:v>0.13541700211982044</c:v>
                </c:pt>
                <c:pt idx="40">
                  <c:v>0.22785784570847745</c:v>
                </c:pt>
                <c:pt idx="41">
                  <c:v>0.16389298425364596</c:v>
                </c:pt>
                <c:pt idx="42">
                  <c:v>0.10292881710508162</c:v>
                </c:pt>
                <c:pt idx="43">
                  <c:v>-1.2603281942568656E-2</c:v>
                </c:pt>
                <c:pt idx="44">
                  <c:v>8.2313756072176947E-2</c:v>
                </c:pt>
                <c:pt idx="45">
                  <c:v>8.475662888792479E-2</c:v>
                </c:pt>
                <c:pt idx="46">
                  <c:v>8.212082627816697E-2</c:v>
                </c:pt>
                <c:pt idx="47">
                  <c:v>0.10656028247436089</c:v>
                </c:pt>
                <c:pt idx="48">
                  <c:v>0.12679947405290876</c:v>
                </c:pt>
                <c:pt idx="49">
                  <c:v>0.16095249102188436</c:v>
                </c:pt>
                <c:pt idx="50">
                  <c:v>5.839507273809319E-2</c:v>
                </c:pt>
                <c:pt idx="51">
                  <c:v>4.5506310646948545E-2</c:v>
                </c:pt>
                <c:pt idx="52">
                  <c:v>0.25142539514029549</c:v>
                </c:pt>
                <c:pt idx="53">
                  <c:v>-7.8326948160074572E-2</c:v>
                </c:pt>
                <c:pt idx="54">
                  <c:v>-2.7023380594516366E-2</c:v>
                </c:pt>
                <c:pt idx="55">
                  <c:v>-2.756249520024423E-2</c:v>
                </c:pt>
                <c:pt idx="56">
                  <c:v>9.1627021242852047E-2</c:v>
                </c:pt>
                <c:pt idx="57">
                  <c:v>0.12315286792814784</c:v>
                </c:pt>
                <c:pt idx="58">
                  <c:v>0.30752623647789107</c:v>
                </c:pt>
                <c:pt idx="59">
                  <c:v>0.27693441891187875</c:v>
                </c:pt>
                <c:pt idx="60">
                  <c:v>0.25967917119712952</c:v>
                </c:pt>
                <c:pt idx="61">
                  <c:v>0.24622322469219265</c:v>
                </c:pt>
                <c:pt idx="62">
                  <c:v>5.0334661509060297E-2</c:v>
                </c:pt>
                <c:pt idx="63">
                  <c:v>-2.4749774962764204E-2</c:v>
                </c:pt>
                <c:pt idx="64">
                  <c:v>-4.0545631666610737E-2</c:v>
                </c:pt>
                <c:pt idx="65">
                  <c:v>-0.15928495382934627</c:v>
                </c:pt>
                <c:pt idx="66">
                  <c:v>-0.28266408464768655</c:v>
                </c:pt>
                <c:pt idx="67">
                  <c:v>-0.21768487754377652</c:v>
                </c:pt>
                <c:pt idx="68">
                  <c:v>-3.2767188012542414E-3</c:v>
                </c:pt>
                <c:pt idx="69">
                  <c:v>1.4528424864017842E-2</c:v>
                </c:pt>
                <c:pt idx="70">
                  <c:v>-0.14387500026767164</c:v>
                </c:pt>
                <c:pt idx="71">
                  <c:v>-0.19929655917263234</c:v>
                </c:pt>
                <c:pt idx="72">
                  <c:v>-0.21128839472940147</c:v>
                </c:pt>
                <c:pt idx="73">
                  <c:v>-0.12135665316891364</c:v>
                </c:pt>
                <c:pt idx="74">
                  <c:v>-0.22412248754913977</c:v>
                </c:pt>
                <c:pt idx="75">
                  <c:v>-1.3145160684981505E-2</c:v>
                </c:pt>
                <c:pt idx="76">
                  <c:v>-0.11547157513597939</c:v>
                </c:pt>
                <c:pt idx="77">
                  <c:v>-8.1005916938881817E-2</c:v>
                </c:pt>
                <c:pt idx="78">
                  <c:v>-0.15633846284029662</c:v>
                </c:pt>
                <c:pt idx="79">
                  <c:v>-8.67057124404923E-2</c:v>
                </c:pt>
                <c:pt idx="80">
                  <c:v>-4.3031676560042253E-2</c:v>
                </c:pt>
                <c:pt idx="81">
                  <c:v>-8.4936729116765419E-2</c:v>
                </c:pt>
                <c:pt idx="82">
                  <c:v>3.3898173118195762E-2</c:v>
                </c:pt>
                <c:pt idx="83">
                  <c:v>-6.3094243680227535E-2</c:v>
                </c:pt>
                <c:pt idx="84">
                  <c:v>4.3363526722933976E-2</c:v>
                </c:pt>
                <c:pt idx="85">
                  <c:v>1.3898173118194412E-2</c:v>
                </c:pt>
                <c:pt idx="86">
                  <c:v>-1.2898238991331468E-2</c:v>
                </c:pt>
                <c:pt idx="87">
                  <c:v>-0.13768624392781836</c:v>
                </c:pt>
                <c:pt idx="88">
                  <c:v>2.7788477546841772E-4</c:v>
                </c:pt>
                <c:pt idx="89">
                  <c:v>6.0602168296632231E-2</c:v>
                </c:pt>
                <c:pt idx="90">
                  <c:v>-0.11539023819612315</c:v>
                </c:pt>
                <c:pt idx="91">
                  <c:v>-0.11001714827936526</c:v>
                </c:pt>
                <c:pt idx="92">
                  <c:v>2.4000647611791215E-2</c:v>
                </c:pt>
                <c:pt idx="93">
                  <c:v>0.11084683048598321</c:v>
                </c:pt>
                <c:pt idx="94">
                  <c:v>-3.4486878544390587E-2</c:v>
                </c:pt>
                <c:pt idx="95">
                  <c:v>4.674378589286321E-2</c:v>
                </c:pt>
                <c:pt idx="96">
                  <c:v>-8.6567129651532349E-2</c:v>
                </c:pt>
                <c:pt idx="97">
                  <c:v>5.2659534198605806E-2</c:v>
                </c:pt>
                <c:pt idx="98">
                  <c:v>1.7396718057432481E-2</c:v>
                </c:pt>
                <c:pt idx="99">
                  <c:v>-4.8663799595122126E-2</c:v>
                </c:pt>
                <c:pt idx="100">
                  <c:v>-0.18074320249646147</c:v>
                </c:pt>
                <c:pt idx="101">
                  <c:v>7.2780981727534222E-2</c:v>
                </c:pt>
                <c:pt idx="102">
                  <c:v>-4.4030855062373142E-2</c:v>
                </c:pt>
                <c:pt idx="103">
                  <c:v>0.11880328842417709</c:v>
                </c:pt>
                <c:pt idx="104">
                  <c:v>-7.0138835794347099E-2</c:v>
                </c:pt>
                <c:pt idx="105">
                  <c:v>4.8767685531085903E-2</c:v>
                </c:pt>
                <c:pt idx="106">
                  <c:v>5.862540293787244E-2</c:v>
                </c:pt>
                <c:pt idx="107">
                  <c:v>9.2012198426132397E-3</c:v>
                </c:pt>
                <c:pt idx="108">
                  <c:v>0.1574721725393361</c:v>
                </c:pt>
                <c:pt idx="109">
                  <c:v>9.6095936078233191E-4</c:v>
                </c:pt>
                <c:pt idx="110">
                  <c:v>-1.4134246763069291E-2</c:v>
                </c:pt>
                <c:pt idx="111">
                  <c:v>-0.23159910864340105</c:v>
                </c:pt>
                <c:pt idx="112">
                  <c:v>-0.11868376550977677</c:v>
                </c:pt>
                <c:pt idx="113">
                  <c:v>0.21229562820397641</c:v>
                </c:pt>
                <c:pt idx="114">
                  <c:v>-6.1439393944368814E-2</c:v>
                </c:pt>
                <c:pt idx="115">
                  <c:v>-0.14810731359449258</c:v>
                </c:pt>
                <c:pt idx="116">
                  <c:v>-9.5562710971202725E-2</c:v>
                </c:pt>
                <c:pt idx="117">
                  <c:v>-0.12074721705357228</c:v>
                </c:pt>
                <c:pt idx="118">
                  <c:v>-4.597117903758241E-2</c:v>
                </c:pt>
                <c:pt idx="119">
                  <c:v>-0.13411755392576652</c:v>
                </c:pt>
                <c:pt idx="120">
                  <c:v>0.14686748084880363</c:v>
                </c:pt>
                <c:pt idx="121">
                  <c:v>-6.2870414303090039E-3</c:v>
                </c:pt>
                <c:pt idx="122">
                  <c:v>-0.11550945862209627</c:v>
                </c:pt>
                <c:pt idx="123">
                  <c:v>-9.9043512963015279E-2</c:v>
                </c:pt>
                <c:pt idx="124">
                  <c:v>-0.17403085506237037</c:v>
                </c:pt>
                <c:pt idx="125">
                  <c:v>1.1659585480128243E-3</c:v>
                </c:pt>
                <c:pt idx="126">
                  <c:v>0.14871130034443236</c:v>
                </c:pt>
                <c:pt idx="127">
                  <c:v>0.15002843011082545</c:v>
                </c:pt>
                <c:pt idx="128">
                  <c:v>8.1077051630568109E-3</c:v>
                </c:pt>
                <c:pt idx="129">
                  <c:v>-5.1860633539913881E-2</c:v>
                </c:pt>
                <c:pt idx="130">
                  <c:v>5.5097120903466634E-2</c:v>
                </c:pt>
                <c:pt idx="131">
                  <c:v>0.11072449749399726</c:v>
                </c:pt>
                <c:pt idx="132">
                  <c:v>0.12807120198236499</c:v>
                </c:pt>
                <c:pt idx="133">
                  <c:v>0.1449791231394616</c:v>
                </c:pt>
                <c:pt idx="134">
                  <c:v>0.24961780043952864</c:v>
                </c:pt>
                <c:pt idx="135">
                  <c:v>7.807528611546144E-2</c:v>
                </c:pt>
                <c:pt idx="136">
                  <c:v>0.20680840143549517</c:v>
                </c:pt>
                <c:pt idx="137">
                  <c:v>3.5452983312777797E-2</c:v>
                </c:pt>
                <c:pt idx="138">
                  <c:v>1.1004056227024717E-2</c:v>
                </c:pt>
                <c:pt idx="139">
                  <c:v>-6.8394960880844291E-2</c:v>
                </c:pt>
                <c:pt idx="140">
                  <c:v>-5.3463443563195767E-2</c:v>
                </c:pt>
                <c:pt idx="141">
                  <c:v>2.5764986484202446E-3</c:v>
                </c:pt>
                <c:pt idx="142">
                  <c:v>-9.7311761300960864E-2</c:v>
                </c:pt>
                <c:pt idx="143">
                  <c:v>0.14192647972607453</c:v>
                </c:pt>
                <c:pt idx="144">
                  <c:v>5.2414743912515882E-2</c:v>
                </c:pt>
                <c:pt idx="145">
                  <c:v>3.0834769476171808E-2</c:v>
                </c:pt>
                <c:pt idx="146">
                  <c:v>-0.12277388009467682</c:v>
                </c:pt>
                <c:pt idx="147">
                  <c:v>-3.5368572887427896E-2</c:v>
                </c:pt>
                <c:pt idx="148">
                  <c:v>-0.17165086785009676</c:v>
                </c:pt>
                <c:pt idx="149">
                  <c:v>-0.20756157847413059</c:v>
                </c:pt>
                <c:pt idx="150">
                  <c:v>-0.10478713899456626</c:v>
                </c:pt>
                <c:pt idx="151">
                  <c:v>-9.8599235472579538E-2</c:v>
                </c:pt>
                <c:pt idx="152">
                  <c:v>-0.20428064785202338</c:v>
                </c:pt>
                <c:pt idx="153">
                  <c:v>-9.9730637010165046E-2</c:v>
                </c:pt>
                <c:pt idx="154">
                  <c:v>-1.6411094287118733E-2</c:v>
                </c:pt>
                <c:pt idx="155">
                  <c:v>-3.1245764839052614E-2</c:v>
                </c:pt>
                <c:pt idx="156">
                  <c:v>-2.3684217788095818E-2</c:v>
                </c:pt>
                <c:pt idx="157">
                  <c:v>-6.8769066175156546E-2</c:v>
                </c:pt>
                <c:pt idx="158">
                  <c:v>-9.3433543952857523E-2</c:v>
                </c:pt>
                <c:pt idx="159">
                  <c:v>-0.24261648713171746</c:v>
                </c:pt>
                <c:pt idx="160">
                  <c:v>-0.21298198959295189</c:v>
                </c:pt>
                <c:pt idx="161">
                  <c:v>-4.4261752096982354E-3</c:v>
                </c:pt>
                <c:pt idx="162">
                  <c:v>-5.8059593048854885E-2</c:v>
                </c:pt>
                <c:pt idx="163">
                  <c:v>-9.2243647276920915E-2</c:v>
                </c:pt>
                <c:pt idx="164">
                  <c:v>-1.0517090811477559E-2</c:v>
                </c:pt>
                <c:pt idx="165">
                  <c:v>-2.7914108617997813E-2</c:v>
                </c:pt>
                <c:pt idx="166">
                  <c:v>0.14281819937039053</c:v>
                </c:pt>
                <c:pt idx="167">
                  <c:v>2.0745285178356498E-2</c:v>
                </c:pt>
                <c:pt idx="168">
                  <c:v>7.6377136499710008E-2</c:v>
                </c:pt>
                <c:pt idx="169">
                  <c:v>6.4342596522315443E-4</c:v>
                </c:pt>
                <c:pt idx="170">
                  <c:v>0.1479810947132687</c:v>
                </c:pt>
                <c:pt idx="171">
                  <c:v>0.2459594124005936</c:v>
                </c:pt>
                <c:pt idx="172">
                  <c:v>0.26373493283363814</c:v>
                </c:pt>
                <c:pt idx="173">
                  <c:v>0.22500924641203113</c:v>
                </c:pt>
                <c:pt idx="174">
                  <c:v>0.19070747251925968</c:v>
                </c:pt>
                <c:pt idx="175">
                  <c:v>0.13906604223916708</c:v>
                </c:pt>
                <c:pt idx="176">
                  <c:v>0.10393225617335078</c:v>
                </c:pt>
                <c:pt idx="177">
                  <c:v>5.8209436501274747E-2</c:v>
                </c:pt>
                <c:pt idx="178">
                  <c:v>-3.1526199567841751E-3</c:v>
                </c:pt>
                <c:pt idx="179">
                  <c:v>5.8342311972334637E-2</c:v>
                </c:pt>
                <c:pt idx="180">
                  <c:v>7.2317886971129064E-2</c:v>
                </c:pt>
                <c:pt idx="181">
                  <c:v>5.2333584503183594E-4</c:v>
                </c:pt>
                <c:pt idx="182">
                  <c:v>-0.11524074276047369</c:v>
                </c:pt>
                <c:pt idx="183">
                  <c:v>-0.15375135829866438</c:v>
                </c:pt>
                <c:pt idx="184">
                  <c:v>-0.33988302825002537</c:v>
                </c:pt>
                <c:pt idx="185">
                  <c:v>-0.12917356008065639</c:v>
                </c:pt>
                <c:pt idx="186">
                  <c:v>-0.21294989655626384</c:v>
                </c:pt>
                <c:pt idx="187">
                  <c:v>-0.13934663984137496</c:v>
                </c:pt>
                <c:pt idx="188">
                  <c:v>-0.13761133990744767</c:v>
                </c:pt>
                <c:pt idx="189">
                  <c:v>-0.10417368580518827</c:v>
                </c:pt>
                <c:pt idx="190">
                  <c:v>4.8763953821523875E-2</c:v>
                </c:pt>
                <c:pt idx="191">
                  <c:v>-0.10936921009071321</c:v>
                </c:pt>
                <c:pt idx="192">
                  <c:v>-8.8766758274132052E-2</c:v>
                </c:pt>
                <c:pt idx="193">
                  <c:v>-0.12115872418546014</c:v>
                </c:pt>
                <c:pt idx="194">
                  <c:v>-0.13638472763300002</c:v>
                </c:pt>
                <c:pt idx="195">
                  <c:v>2.9878479379989775E-2</c:v>
                </c:pt>
                <c:pt idx="196">
                  <c:v>1.1833636540036219E-3</c:v>
                </c:pt>
                <c:pt idx="197">
                  <c:v>3.5476456665207601E-2</c:v>
                </c:pt>
                <c:pt idx="198">
                  <c:v>-5.8399628621734756E-2</c:v>
                </c:pt>
                <c:pt idx="199">
                  <c:v>5.1668077409942503E-2</c:v>
                </c:pt>
                <c:pt idx="200">
                  <c:v>-0.11206803104951069</c:v>
                </c:pt>
                <c:pt idx="201">
                  <c:v>-9.4879950965177207E-2</c:v>
                </c:pt>
                <c:pt idx="202">
                  <c:v>-0.23080961441525916</c:v>
                </c:pt>
                <c:pt idx="203">
                  <c:v>-6.3320319151853433E-2</c:v>
                </c:pt>
                <c:pt idx="204">
                  <c:v>-0.1517592860866348</c:v>
                </c:pt>
                <c:pt idx="205">
                  <c:v>-0.22399082818541605</c:v>
                </c:pt>
                <c:pt idx="206">
                  <c:v>-0.24059846209648506</c:v>
                </c:pt>
                <c:pt idx="207">
                  <c:v>-0.11000625652600582</c:v>
                </c:pt>
                <c:pt idx="208">
                  <c:v>-0.15401674122408782</c:v>
                </c:pt>
                <c:pt idx="209">
                  <c:v>-0.32135828393541255</c:v>
                </c:pt>
                <c:pt idx="210">
                  <c:v>-0.18765023814518789</c:v>
                </c:pt>
                <c:pt idx="211">
                  <c:v>-0.31741460286719902</c:v>
                </c:pt>
                <c:pt idx="212">
                  <c:v>-0.22856810116413784</c:v>
                </c:pt>
                <c:pt idx="213">
                  <c:v>-0.19804444077759009</c:v>
                </c:pt>
                <c:pt idx="214">
                  <c:v>-0.18952526265046199</c:v>
                </c:pt>
                <c:pt idx="215">
                  <c:v>-0.10895890439883571</c:v>
                </c:pt>
                <c:pt idx="216">
                  <c:v>-0.28608063411256768</c:v>
                </c:pt>
                <c:pt idx="217">
                  <c:v>-0.12331882982480658</c:v>
                </c:pt>
                <c:pt idx="218">
                  <c:v>2.9280143575392326E-2</c:v>
                </c:pt>
                <c:pt idx="219">
                  <c:v>9.6694456486749347E-2</c:v>
                </c:pt>
                <c:pt idx="220">
                  <c:v>0.13089009164491161</c:v>
                </c:pt>
                <c:pt idx="221">
                  <c:v>0.11975870259378452</c:v>
                </c:pt>
                <c:pt idx="222">
                  <c:v>0.12589018108049632</c:v>
                </c:pt>
                <c:pt idx="223">
                  <c:v>0.1866325044778322</c:v>
                </c:pt>
                <c:pt idx="224">
                  <c:v>0.13553822649126324</c:v>
                </c:pt>
                <c:pt idx="225">
                  <c:v>8.0582945899072778E-2</c:v>
                </c:pt>
                <c:pt idx="226">
                  <c:v>8.8117236790381304E-2</c:v>
                </c:pt>
                <c:pt idx="227">
                  <c:v>-5.6793458117075479E-2</c:v>
                </c:pt>
                <c:pt idx="228">
                  <c:v>-4.6674415304120642E-2</c:v>
                </c:pt>
                <c:pt idx="229">
                  <c:v>6.9303279272884932E-2</c:v>
                </c:pt>
                <c:pt idx="230">
                  <c:v>-7.4196506316894895E-2</c:v>
                </c:pt>
                <c:pt idx="231">
                  <c:v>-6.000581689688822E-2</c:v>
                </c:pt>
                <c:pt idx="232">
                  <c:v>-2.3771818810145007E-2</c:v>
                </c:pt>
                <c:pt idx="233">
                  <c:v>4.9794076682934896E-2</c:v>
                </c:pt>
                <c:pt idx="234">
                  <c:v>1.7746848144239102E-2</c:v>
                </c:pt>
                <c:pt idx="235">
                  <c:v>-6.6105172240206289E-2</c:v>
                </c:pt>
                <c:pt idx="236">
                  <c:v>-0.16598849961238826</c:v>
                </c:pt>
                <c:pt idx="237">
                  <c:v>-9.8331202345833146E-2</c:v>
                </c:pt>
                <c:pt idx="238">
                  <c:v>-0.25387838315854516</c:v>
                </c:pt>
                <c:pt idx="239">
                  <c:v>-2.9510321443524723E-2</c:v>
                </c:pt>
                <c:pt idx="240">
                  <c:v>-6.0578096858349584E-2</c:v>
                </c:pt>
                <c:pt idx="241">
                  <c:v>2.39124795836545E-2</c:v>
                </c:pt>
                <c:pt idx="242">
                  <c:v>-3.9652569767098855E-2</c:v>
                </c:pt>
                <c:pt idx="243">
                  <c:v>-4.4109818919503607E-2</c:v>
                </c:pt>
                <c:pt idx="244">
                  <c:v>-0.24055733430672743</c:v>
                </c:pt>
                <c:pt idx="245">
                  <c:v>3.0979133302916795E-2</c:v>
                </c:pt>
                <c:pt idx="246">
                  <c:v>-1.5427816682854645E-2</c:v>
                </c:pt>
                <c:pt idx="247">
                  <c:v>-0.14031339713281377</c:v>
                </c:pt>
                <c:pt idx="248">
                  <c:v>-3.0545892922347329E-2</c:v>
                </c:pt>
                <c:pt idx="249">
                  <c:v>-0.11050098893628868</c:v>
                </c:pt>
                <c:pt idx="250">
                  <c:v>4.0820846230607444E-2</c:v>
                </c:pt>
                <c:pt idx="251">
                  <c:v>0.14143189883586316</c:v>
                </c:pt>
                <c:pt idx="252">
                  <c:v>0.14824487166853884</c:v>
                </c:pt>
                <c:pt idx="253">
                  <c:v>0.15552245602548631</c:v>
                </c:pt>
                <c:pt idx="254">
                  <c:v>0.32803733478171149</c:v>
                </c:pt>
                <c:pt idx="255">
                  <c:v>0.14529512715745763</c:v>
                </c:pt>
                <c:pt idx="256">
                  <c:v>0.23016312499974412</c:v>
                </c:pt>
                <c:pt idx="257">
                  <c:v>0.11004952763850484</c:v>
                </c:pt>
                <c:pt idx="258">
                  <c:v>0.11008890427356532</c:v>
                </c:pt>
                <c:pt idx="259">
                  <c:v>0.15407838371916305</c:v>
                </c:pt>
                <c:pt idx="260">
                  <c:v>5.1180108091375409E-3</c:v>
                </c:pt>
                <c:pt idx="261">
                  <c:v>4.7246080418096859E-2</c:v>
                </c:pt>
                <c:pt idx="262">
                  <c:v>2.7980424893231604E-2</c:v>
                </c:pt>
                <c:pt idx="263">
                  <c:v>6.4599834451180227E-2</c:v>
                </c:pt>
                <c:pt idx="264">
                  <c:v>-4.1098189195044599E-3</c:v>
                </c:pt>
                <c:pt idx="265">
                  <c:v>0.15230409196830552</c:v>
                </c:pt>
                <c:pt idx="266">
                  <c:v>5.0745970844006338E-2</c:v>
                </c:pt>
                <c:pt idx="267">
                  <c:v>0.35910538909093637</c:v>
                </c:pt>
                <c:pt idx="268">
                  <c:v>0.23448700807788003</c:v>
                </c:pt>
                <c:pt idx="269">
                  <c:v>0.28199995136680944</c:v>
                </c:pt>
                <c:pt idx="270">
                  <c:v>0.11081832794583901</c:v>
                </c:pt>
                <c:pt idx="271">
                  <c:v>3.5756684626034207E-2</c:v>
                </c:pt>
                <c:pt idx="272">
                  <c:v>8.1509055652100648E-2</c:v>
                </c:pt>
                <c:pt idx="273">
                  <c:v>0.14136153525247475</c:v>
                </c:pt>
                <c:pt idx="274">
                  <c:v>0.18853161474912072</c:v>
                </c:pt>
                <c:pt idx="275">
                  <c:v>6.3984147390083734E-3</c:v>
                </c:pt>
                <c:pt idx="276">
                  <c:v>-2.477182557487545E-2</c:v>
                </c:pt>
                <c:pt idx="277">
                  <c:v>6.7366663383656378E-2</c:v>
                </c:pt>
                <c:pt idx="278">
                  <c:v>0.23190544570745431</c:v>
                </c:pt>
                <c:pt idx="279">
                  <c:v>-0.1399110957264329</c:v>
                </c:pt>
                <c:pt idx="280">
                  <c:v>-4.9500457722975955E-2</c:v>
                </c:pt>
                <c:pt idx="281">
                  <c:v>-0.18125312959746176</c:v>
                </c:pt>
                <c:pt idx="282">
                  <c:v>-7.4805805072403087E-2</c:v>
                </c:pt>
                <c:pt idx="283">
                  <c:v>-5.4082027784223108E-2</c:v>
                </c:pt>
                <c:pt idx="284">
                  <c:v>-0.16388844990919582</c:v>
                </c:pt>
                <c:pt idx="285">
                  <c:v>-6.7109125893378252E-2</c:v>
                </c:pt>
                <c:pt idx="286">
                  <c:v>-0.15192142879270354</c:v>
                </c:pt>
                <c:pt idx="287">
                  <c:v>-2.0186541164323613E-2</c:v>
                </c:pt>
                <c:pt idx="288">
                  <c:v>-3.0652714494911248E-2</c:v>
                </c:pt>
                <c:pt idx="289">
                  <c:v>7.3622615322406215E-3</c:v>
                </c:pt>
                <c:pt idx="290">
                  <c:v>0.24182441199348392</c:v>
                </c:pt>
                <c:pt idx="291">
                  <c:v>0.33269264044859737</c:v>
                </c:pt>
                <c:pt idx="292">
                  <c:v>0.21874687040254037</c:v>
                </c:pt>
                <c:pt idx="293">
                  <c:v>0.2019647108966709</c:v>
                </c:pt>
                <c:pt idx="294">
                  <c:v>3.8718186996937853E-2</c:v>
                </c:pt>
                <c:pt idx="295">
                  <c:v>9.0278049370069113E-2</c:v>
                </c:pt>
                <c:pt idx="296">
                  <c:v>-1.5390082193336929E-2</c:v>
                </c:pt>
                <c:pt idx="297">
                  <c:v>-4.8931264675622366E-2</c:v>
                </c:pt>
                <c:pt idx="298">
                  <c:v>0.15185446487753873</c:v>
                </c:pt>
                <c:pt idx="299">
                  <c:v>0.18552938304054056</c:v>
                </c:pt>
                <c:pt idx="300">
                  <c:v>-1.5281376850179607E-2</c:v>
                </c:pt>
                <c:pt idx="301">
                  <c:v>0.10015337507655575</c:v>
                </c:pt>
                <c:pt idx="302">
                  <c:v>-4.6082303436597805E-2</c:v>
                </c:pt>
                <c:pt idx="303">
                  <c:v>8.2328834622490743E-2</c:v>
                </c:pt>
                <c:pt idx="304">
                  <c:v>-9.5797454957749384E-2</c:v>
                </c:pt>
                <c:pt idx="305">
                  <c:v>1.5522496736764202E-2</c:v>
                </c:pt>
                <c:pt idx="306">
                  <c:v>-0.203710986622757</c:v>
                </c:pt>
                <c:pt idx="307">
                  <c:v>6.1750405023106247E-2</c:v>
                </c:pt>
                <c:pt idx="308">
                  <c:v>-0.24132612466057457</c:v>
                </c:pt>
                <c:pt idx="309">
                  <c:v>-5.5732244856745106E-2</c:v>
                </c:pt>
                <c:pt idx="310">
                  <c:v>-3.228256472939206E-2</c:v>
                </c:pt>
                <c:pt idx="311">
                  <c:v>1.2461730569218288E-2</c:v>
                </c:pt>
                <c:pt idx="312">
                  <c:v>-7.0654230244837524E-2</c:v>
                </c:pt>
                <c:pt idx="313">
                  <c:v>-0.15734611047476466</c:v>
                </c:pt>
                <c:pt idx="314">
                  <c:v>-0.27671204443977893</c:v>
                </c:pt>
                <c:pt idx="315">
                  <c:v>-2.2195131633555354E-2</c:v>
                </c:pt>
                <c:pt idx="316">
                  <c:v>-0.29279696819613077</c:v>
                </c:pt>
                <c:pt idx="317">
                  <c:v>-9.983687471324032E-2</c:v>
                </c:pt>
                <c:pt idx="318">
                  <c:v>-0.15832929762727521</c:v>
                </c:pt>
                <c:pt idx="319">
                  <c:v>-0.13533591921953125</c:v>
                </c:pt>
                <c:pt idx="320">
                  <c:v>-0.12821618552995284</c:v>
                </c:pt>
                <c:pt idx="321">
                  <c:v>-0.21837143888856003</c:v>
                </c:pt>
                <c:pt idx="322">
                  <c:v>-6.9682996266607122E-2</c:v>
                </c:pt>
                <c:pt idx="323">
                  <c:v>-8.9183652581498185E-2</c:v>
                </c:pt>
                <c:pt idx="324">
                  <c:v>-9.7805576275401984E-2</c:v>
                </c:pt>
                <c:pt idx="325">
                  <c:v>-0.18362445448956832</c:v>
                </c:pt>
                <c:pt idx="326">
                  <c:v>-0.10949407614173745</c:v>
                </c:pt>
                <c:pt idx="327">
                  <c:v>2.9930092263704688E-3</c:v>
                </c:pt>
                <c:pt idx="328">
                  <c:v>0.10504037529766419</c:v>
                </c:pt>
                <c:pt idx="329">
                  <c:v>2.6310960702704889E-2</c:v>
                </c:pt>
                <c:pt idx="330">
                  <c:v>-7.1879250241827175E-2</c:v>
                </c:pt>
                <c:pt idx="331">
                  <c:v>-8.9311927524147183E-2</c:v>
                </c:pt>
                <c:pt idx="332">
                  <c:v>-0.17323168846799686</c:v>
                </c:pt>
                <c:pt idx="333">
                  <c:v>-0.16368903929729994</c:v>
                </c:pt>
                <c:pt idx="334">
                  <c:v>-9.006373767602105E-2</c:v>
                </c:pt>
                <c:pt idx="335">
                  <c:v>-0.21219513163356019</c:v>
                </c:pt>
                <c:pt idx="336">
                  <c:v>-8.4653919754200668E-2</c:v>
                </c:pt>
                <c:pt idx="337">
                  <c:v>-0.15063331693564663</c:v>
                </c:pt>
                <c:pt idx="338">
                  <c:v>-0.13495962470233425</c:v>
                </c:pt>
                <c:pt idx="339">
                  <c:v>4.087900851722015E-2</c:v>
                </c:pt>
                <c:pt idx="340">
                  <c:v>0.14873092599444637</c:v>
                </c:pt>
                <c:pt idx="341">
                  <c:v>-0.11131559740040986</c:v>
                </c:pt>
                <c:pt idx="342">
                  <c:v>-6.920042327194742E-2</c:v>
                </c:pt>
                <c:pt idx="343">
                  <c:v>-5.7608591823003596E-2</c:v>
                </c:pt>
                <c:pt idx="344">
                  <c:v>3.8779980765983768E-2</c:v>
                </c:pt>
                <c:pt idx="345">
                  <c:v>0.10417743393233214</c:v>
                </c:pt>
                <c:pt idx="346">
                  <c:v>-2.312278043655458E-2</c:v>
                </c:pt>
                <c:pt idx="347">
                  <c:v>9.4357929577618349E-2</c:v>
                </c:pt>
                <c:pt idx="348">
                  <c:v>7.3675410352022519E-2</c:v>
                </c:pt>
                <c:pt idx="349">
                  <c:v>1.8236572651698202E-2</c:v>
                </c:pt>
                <c:pt idx="350">
                  <c:v>0.17466408078047457</c:v>
                </c:pt>
                <c:pt idx="351">
                  <c:v>0.2708005843463599</c:v>
                </c:pt>
                <c:pt idx="352">
                  <c:v>0.12743415781054124</c:v>
                </c:pt>
                <c:pt idx="353">
                  <c:v>0.19847372264912122</c:v>
                </c:pt>
                <c:pt idx="354">
                  <c:v>9.540563784857603E-2</c:v>
                </c:pt>
                <c:pt idx="355">
                  <c:v>9.7830361703358015E-2</c:v>
                </c:pt>
                <c:pt idx="356">
                  <c:v>6.3064660989344601E-2</c:v>
                </c:pt>
                <c:pt idx="357">
                  <c:v>5.1188012823119022E-3</c:v>
                </c:pt>
                <c:pt idx="358">
                  <c:v>9.1025617717537366E-2</c:v>
                </c:pt>
                <c:pt idx="359">
                  <c:v>8.8165835530962466E-2</c:v>
                </c:pt>
                <c:pt idx="360">
                  <c:v>9.3648024424473286E-2</c:v>
                </c:pt>
                <c:pt idx="361">
                  <c:v>-0.17818666434738772</c:v>
                </c:pt>
                <c:pt idx="362">
                  <c:v>-2.1668677918102786E-2</c:v>
                </c:pt>
                <c:pt idx="363">
                  <c:v>-0.20789818968123408</c:v>
                </c:pt>
                <c:pt idx="364">
                  <c:v>-3.1917257370572494E-2</c:v>
                </c:pt>
                <c:pt idx="365">
                  <c:v>2.0836450393401429E-2</c:v>
                </c:pt>
                <c:pt idx="366">
                  <c:v>-6.7387544051503712E-2</c:v>
                </c:pt>
                <c:pt idx="367">
                  <c:v>-0.17993662801517485</c:v>
                </c:pt>
                <c:pt idx="368">
                  <c:v>-0.20428208590105379</c:v>
                </c:pt>
                <c:pt idx="369">
                  <c:v>1.1170601735484675E-2</c:v>
                </c:pt>
                <c:pt idx="370">
                  <c:v>1.5864611279202578E-2</c:v>
                </c:pt>
                <c:pt idx="371">
                  <c:v>5.5528983794082776E-2</c:v>
                </c:pt>
                <c:pt idx="372">
                  <c:v>-7.1736528980916869E-3</c:v>
                </c:pt>
                <c:pt idx="373">
                  <c:v>-0.11088349172149903</c:v>
                </c:pt>
                <c:pt idx="374">
                  <c:v>4.3889378191562911E-2</c:v>
                </c:pt>
                <c:pt idx="375">
                  <c:v>8.3287551306687968E-2</c:v>
                </c:pt>
                <c:pt idx="376">
                  <c:v>8.9492118068179138E-2</c:v>
                </c:pt>
                <c:pt idx="377">
                  <c:v>0.44227987328180807</c:v>
                </c:pt>
                <c:pt idx="378">
                  <c:v>0.19530210843454665</c:v>
                </c:pt>
                <c:pt idx="379">
                  <c:v>8.4251580500223855E-2</c:v>
                </c:pt>
                <c:pt idx="380">
                  <c:v>5.191449741583809E-3</c:v>
                </c:pt>
                <c:pt idx="381">
                  <c:v>0.11182504976639651</c:v>
                </c:pt>
                <c:pt idx="382">
                  <c:v>1.2213509576104009E-2</c:v>
                </c:pt>
                <c:pt idx="383">
                  <c:v>-7.8975959864911904E-2</c:v>
                </c:pt>
                <c:pt idx="384">
                  <c:v>0.13754629218347347</c:v>
                </c:pt>
                <c:pt idx="385">
                  <c:v>0.13132000408854916</c:v>
                </c:pt>
                <c:pt idx="386">
                  <c:v>5.7162653056433976E-2</c:v>
                </c:pt>
                <c:pt idx="387">
                  <c:v>8.138057541142607E-2</c:v>
                </c:pt>
                <c:pt idx="388">
                  <c:v>0.14150395611579714</c:v>
                </c:pt>
                <c:pt idx="389">
                  <c:v>-1.5196627887058334E-2</c:v>
                </c:pt>
                <c:pt idx="390">
                  <c:v>0.11894259901370541</c:v>
                </c:pt>
                <c:pt idx="391">
                  <c:v>-5.6110623185382291E-2</c:v>
                </c:pt>
                <c:pt idx="392">
                  <c:v>0.14488291619704108</c:v>
                </c:pt>
                <c:pt idx="393">
                  <c:v>0.11618748977717663</c:v>
                </c:pt>
                <c:pt idx="394">
                  <c:v>5.2061810423517763E-2</c:v>
                </c:pt>
                <c:pt idx="395">
                  <c:v>0.12026418171346576</c:v>
                </c:pt>
                <c:pt idx="396">
                  <c:v>-3.0743051530086274E-2</c:v>
                </c:pt>
                <c:pt idx="397">
                  <c:v>-3.7046779445517264E-2</c:v>
                </c:pt>
                <c:pt idx="398">
                  <c:v>-3.1729343222363204E-2</c:v>
                </c:pt>
                <c:pt idx="399">
                  <c:v>0.11574477425932927</c:v>
                </c:pt>
                <c:pt idx="400">
                  <c:v>2.612798706496966E-2</c:v>
                </c:pt>
                <c:pt idx="401">
                  <c:v>9.774626330830638E-2</c:v>
                </c:pt>
                <c:pt idx="402">
                  <c:v>-0.11600083934992678</c:v>
                </c:pt>
                <c:pt idx="403">
                  <c:v>-9.1376656509761012E-2</c:v>
                </c:pt>
                <c:pt idx="404">
                  <c:v>-0.13841537804541282</c:v>
                </c:pt>
                <c:pt idx="405">
                  <c:v>-0.28320953857956144</c:v>
                </c:pt>
                <c:pt idx="406">
                  <c:v>-0.26928604220828911</c:v>
                </c:pt>
                <c:pt idx="407">
                  <c:v>-0.33722794667675315</c:v>
                </c:pt>
                <c:pt idx="408">
                  <c:v>-0.26158249145815826</c:v>
                </c:pt>
                <c:pt idx="409">
                  <c:v>-0.31294862072795038</c:v>
                </c:pt>
                <c:pt idx="410">
                  <c:v>-0.13694405686195465</c:v>
                </c:pt>
                <c:pt idx="411">
                  <c:v>-2.2657391595274134E-2</c:v>
                </c:pt>
                <c:pt idx="412">
                  <c:v>-6.1897972091243814E-3</c:v>
                </c:pt>
                <c:pt idx="413">
                  <c:v>-2.907828928758982E-2</c:v>
                </c:pt>
                <c:pt idx="414">
                  <c:v>-0.11786674904617522</c:v>
                </c:pt>
                <c:pt idx="415">
                  <c:v>-0.12783987040904066</c:v>
                </c:pt>
                <c:pt idx="416">
                  <c:v>-0.17060913113576937</c:v>
                </c:pt>
                <c:pt idx="417">
                  <c:v>-0.12652079807622651</c:v>
                </c:pt>
                <c:pt idx="418">
                  <c:v>-0.24783098137460258</c:v>
                </c:pt>
                <c:pt idx="419">
                  <c:v>-0.22983176736463473</c:v>
                </c:pt>
                <c:pt idx="420">
                  <c:v>-0.10083388175825581</c:v>
                </c:pt>
                <c:pt idx="421">
                  <c:v>-0.31528053558667146</c:v>
                </c:pt>
                <c:pt idx="422">
                  <c:v>-0.19188425592276603</c:v>
                </c:pt>
                <c:pt idx="423">
                  <c:v>-0.12654797813130136</c:v>
                </c:pt>
                <c:pt idx="424">
                  <c:v>-0.37402420753400012</c:v>
                </c:pt>
                <c:pt idx="425">
                  <c:v>-0.11575965251963805</c:v>
                </c:pt>
                <c:pt idx="426">
                  <c:v>-9.4252026289417534E-3</c:v>
                </c:pt>
                <c:pt idx="427">
                  <c:v>-0.14400621962249971</c:v>
                </c:pt>
                <c:pt idx="428">
                  <c:v>1.5161141867236494E-2</c:v>
                </c:pt>
                <c:pt idx="429">
                  <c:v>-9.918333044513572E-2</c:v>
                </c:pt>
                <c:pt idx="430">
                  <c:v>-0.15806510156440623</c:v>
                </c:pt>
                <c:pt idx="431">
                  <c:v>-4.8939356590248395E-2</c:v>
                </c:pt>
                <c:pt idx="432">
                  <c:v>6.7183781440407375E-2</c:v>
                </c:pt>
                <c:pt idx="433">
                  <c:v>7.1273239159581281E-2</c:v>
                </c:pt>
                <c:pt idx="434">
                  <c:v>-4.6831948910139864E-3</c:v>
                </c:pt>
                <c:pt idx="435">
                  <c:v>0.12500702022601018</c:v>
                </c:pt>
                <c:pt idx="436">
                  <c:v>0.37450562315300784</c:v>
                </c:pt>
                <c:pt idx="437">
                  <c:v>4.3814212604080027E-2</c:v>
                </c:pt>
                <c:pt idx="438">
                  <c:v>2.7939756083806055E-2</c:v>
                </c:pt>
                <c:pt idx="439">
                  <c:v>-0.17628988897423381</c:v>
                </c:pt>
                <c:pt idx="440">
                  <c:v>-1.0866446471376912E-2</c:v>
                </c:pt>
                <c:pt idx="441">
                  <c:v>3.5993780377503559E-2</c:v>
                </c:pt>
                <c:pt idx="442">
                  <c:v>5.2791706514485948E-2</c:v>
                </c:pt>
                <c:pt idx="443">
                  <c:v>-5.6107758247066819E-2</c:v>
                </c:pt>
                <c:pt idx="444">
                  <c:v>7.587383956475946E-2</c:v>
                </c:pt>
                <c:pt idx="445">
                  <c:v>4.9719854043048128E-2</c:v>
                </c:pt>
                <c:pt idx="446">
                  <c:v>-0.15352749373511865</c:v>
                </c:pt>
                <c:pt idx="447">
                  <c:v>-0.18858192147594643</c:v>
                </c:pt>
                <c:pt idx="448">
                  <c:v>1.8807936566972105E-2</c:v>
                </c:pt>
                <c:pt idx="449">
                  <c:v>-0.12116461847648041</c:v>
                </c:pt>
                <c:pt idx="450">
                  <c:v>-0.12560079884144393</c:v>
                </c:pt>
                <c:pt idx="451">
                  <c:v>-0.19165192068005232</c:v>
                </c:pt>
                <c:pt idx="452">
                  <c:v>-0.19959990199104205</c:v>
                </c:pt>
                <c:pt idx="453">
                  <c:v>-7.477207672755426E-2</c:v>
                </c:pt>
                <c:pt idx="454">
                  <c:v>5.8501773385404188E-2</c:v>
                </c:pt>
                <c:pt idx="455">
                  <c:v>-0.14115737878778079</c:v>
                </c:pt>
                <c:pt idx="456">
                  <c:v>-0.18148629079882661</c:v>
                </c:pt>
                <c:pt idx="457">
                  <c:v>4.0686712021066329E-3</c:v>
                </c:pt>
                <c:pt idx="458">
                  <c:v>-6.0650139046312668E-2</c:v>
                </c:pt>
                <c:pt idx="459">
                  <c:v>-0.1198894342456821</c:v>
                </c:pt>
                <c:pt idx="460">
                  <c:v>-4.0406722859875566E-2</c:v>
                </c:pt>
                <c:pt idx="461">
                  <c:v>6.4831779635844078E-2</c:v>
                </c:pt>
                <c:pt idx="462">
                  <c:v>-0.1350178836415975</c:v>
                </c:pt>
                <c:pt idx="463">
                  <c:v>-0.12802974520706878</c:v>
                </c:pt>
                <c:pt idx="464">
                  <c:v>8.3168783060331486E-2</c:v>
                </c:pt>
                <c:pt idx="465">
                  <c:v>-0.11311282437605363</c:v>
                </c:pt>
                <c:pt idx="466">
                  <c:v>-2.0758962562890226E-2</c:v>
                </c:pt>
                <c:pt idx="467">
                  <c:v>0.11062803928659548</c:v>
                </c:pt>
                <c:pt idx="468">
                  <c:v>0.19483336889018144</c:v>
                </c:pt>
                <c:pt idx="469">
                  <c:v>0.21652142500684202</c:v>
                </c:pt>
                <c:pt idx="470">
                  <c:v>0.13634617807466076</c:v>
                </c:pt>
                <c:pt idx="471">
                  <c:v>0.11683674847905168</c:v>
                </c:pt>
                <c:pt idx="472">
                  <c:v>0.4091810461241584</c:v>
                </c:pt>
                <c:pt idx="473">
                  <c:v>0.14563135214635003</c:v>
                </c:pt>
                <c:pt idx="474">
                  <c:v>0.14030971348916477</c:v>
                </c:pt>
                <c:pt idx="475">
                  <c:v>0.17208418990530594</c:v>
                </c:pt>
                <c:pt idx="476">
                  <c:v>0.26667554871061439</c:v>
                </c:pt>
                <c:pt idx="477">
                  <c:v>0.16898109329115474</c:v>
                </c:pt>
                <c:pt idx="478">
                  <c:v>0.17918104612415797</c:v>
                </c:pt>
                <c:pt idx="479">
                  <c:v>-2.9865279659982646E-2</c:v>
                </c:pt>
                <c:pt idx="480">
                  <c:v>-3.3978384835787412E-2</c:v>
                </c:pt>
                <c:pt idx="481">
                  <c:v>-3.6184176769414766E-2</c:v>
                </c:pt>
                <c:pt idx="482">
                  <c:v>6.6275521123170811E-2</c:v>
                </c:pt>
                <c:pt idx="483">
                  <c:v>-1.498227302418742E-2</c:v>
                </c:pt>
                <c:pt idx="484">
                  <c:v>0.13507330474733303</c:v>
                </c:pt>
                <c:pt idx="485">
                  <c:v>-0.18090266106808228</c:v>
                </c:pt>
                <c:pt idx="486">
                  <c:v>-0.20484688503374759</c:v>
                </c:pt>
                <c:pt idx="487">
                  <c:v>-0.26452810266364046</c:v>
                </c:pt>
                <c:pt idx="488">
                  <c:v>-0.15750836325787099</c:v>
                </c:pt>
                <c:pt idx="489">
                  <c:v>-0.11844934227739523</c:v>
                </c:pt>
                <c:pt idx="490">
                  <c:v>-0.17114675026246562</c:v>
                </c:pt>
                <c:pt idx="491">
                  <c:v>-6.841140297197057E-2</c:v>
                </c:pt>
                <c:pt idx="492">
                  <c:v>-0.12456611174493271</c:v>
                </c:pt>
                <c:pt idx="493">
                  <c:v>-0.1092123474954193</c:v>
                </c:pt>
                <c:pt idx="494">
                  <c:v>-9.4018577482818499E-2</c:v>
                </c:pt>
                <c:pt idx="495">
                  <c:v>-0.25674178515760737</c:v>
                </c:pt>
                <c:pt idx="496">
                  <c:v>5.0483809848099859E-2</c:v>
                </c:pt>
                <c:pt idx="497">
                  <c:v>2.9405666750564552E-2</c:v>
                </c:pt>
                <c:pt idx="498">
                  <c:v>2.6343672421774822E-2</c:v>
                </c:pt>
                <c:pt idx="499">
                  <c:v>-0.1812171270900097</c:v>
                </c:pt>
                <c:pt idx="500">
                  <c:v>-0.13248994165542738</c:v>
                </c:pt>
                <c:pt idx="501">
                  <c:v>-0.12282158568408275</c:v>
                </c:pt>
                <c:pt idx="502">
                  <c:v>-7.4125666395124967E-2</c:v>
                </c:pt>
                <c:pt idx="503">
                  <c:v>-9.211359595068902E-2</c:v>
                </c:pt>
                <c:pt idx="504">
                  <c:v>-0.21243582517986448</c:v>
                </c:pt>
                <c:pt idx="505">
                  <c:v>-0.19690895792080509</c:v>
                </c:pt>
                <c:pt idx="506">
                  <c:v>-0.23079602676280431</c:v>
                </c:pt>
                <c:pt idx="507">
                  <c:v>-7.0700702949887728E-2</c:v>
                </c:pt>
                <c:pt idx="508">
                  <c:v>-9.0580565725953188E-2</c:v>
                </c:pt>
                <c:pt idx="509">
                  <c:v>9.4584250039918549E-3</c:v>
                </c:pt>
                <c:pt idx="510">
                  <c:v>-5.0266346179970056E-2</c:v>
                </c:pt>
                <c:pt idx="511">
                  <c:v>1.4669363769528432E-2</c:v>
                </c:pt>
                <c:pt idx="512">
                  <c:v>-1.8682420931216526E-2</c:v>
                </c:pt>
                <c:pt idx="513">
                  <c:v>5.9525537824873687E-2</c:v>
                </c:pt>
                <c:pt idx="514">
                  <c:v>-3.026281198273939E-2</c:v>
                </c:pt>
                <c:pt idx="515">
                  <c:v>2.5124792629726334E-2</c:v>
                </c:pt>
                <c:pt idx="516">
                  <c:v>2.2350397253748655E-3</c:v>
                </c:pt>
                <c:pt idx="517">
                  <c:v>0.20803115443035092</c:v>
                </c:pt>
                <c:pt idx="518">
                  <c:v>2.2285232609805194E-2</c:v>
                </c:pt>
                <c:pt idx="519">
                  <c:v>0.22871765329527272</c:v>
                </c:pt>
                <c:pt idx="520">
                  <c:v>0.23163444047170245</c:v>
                </c:pt>
                <c:pt idx="521">
                  <c:v>0.32182355590403444</c:v>
                </c:pt>
                <c:pt idx="522">
                  <c:v>1.2457444555142971E-2</c:v>
                </c:pt>
                <c:pt idx="523">
                  <c:v>6.4686792149302064E-2</c:v>
                </c:pt>
                <c:pt idx="524">
                  <c:v>-4.2794673508639192E-2</c:v>
                </c:pt>
                <c:pt idx="525">
                  <c:v>5.3298903637987061E-2</c:v>
                </c:pt>
                <c:pt idx="526">
                  <c:v>-4.1863889799252929E-3</c:v>
                </c:pt>
                <c:pt idx="527">
                  <c:v>0.11759777191150234</c:v>
                </c:pt>
                <c:pt idx="528">
                  <c:v>1.9618414758861502E-2</c:v>
                </c:pt>
                <c:pt idx="529">
                  <c:v>5.1575682633483111E-2</c:v>
                </c:pt>
                <c:pt idx="530">
                  <c:v>-0.11480340934383182</c:v>
                </c:pt>
                <c:pt idx="531">
                  <c:v>0.18371899437386496</c:v>
                </c:pt>
                <c:pt idx="532">
                  <c:v>5.8409207406381336E-3</c:v>
                </c:pt>
                <c:pt idx="533">
                  <c:v>1.7245531378287438E-2</c:v>
                </c:pt>
                <c:pt idx="534">
                  <c:v>-4.613432820331409E-2</c:v>
                </c:pt>
                <c:pt idx="535">
                  <c:v>-5.0984934288259565E-3</c:v>
                </c:pt>
                <c:pt idx="536">
                  <c:v>-0.12176536992676146</c:v>
                </c:pt>
                <c:pt idx="537">
                  <c:v>-5.2666524812764459E-3</c:v>
                </c:pt>
                <c:pt idx="538">
                  <c:v>7.8979800112169429E-2</c:v>
                </c:pt>
                <c:pt idx="539">
                  <c:v>7.1951327335225135E-2</c:v>
                </c:pt>
                <c:pt idx="540">
                  <c:v>0.17226823966343618</c:v>
                </c:pt>
                <c:pt idx="541">
                  <c:v>-3.3861906563380395E-2</c:v>
                </c:pt>
                <c:pt idx="542">
                  <c:v>0.17216986516871235</c:v>
                </c:pt>
                <c:pt idx="543">
                  <c:v>-8.3000744208091559E-3</c:v>
                </c:pt>
                <c:pt idx="544">
                  <c:v>0.12250931563757328</c:v>
                </c:pt>
                <c:pt idx="545">
                  <c:v>2.1987332596924092E-2</c:v>
                </c:pt>
                <c:pt idx="546">
                  <c:v>-1.3380487130651653E-2</c:v>
                </c:pt>
                <c:pt idx="547">
                  <c:v>-0.25607406580867276</c:v>
                </c:pt>
                <c:pt idx="548">
                  <c:v>-0.17643085135757486</c:v>
                </c:pt>
                <c:pt idx="549">
                  <c:v>-0.33331578935419925</c:v>
                </c:pt>
                <c:pt idx="550">
                  <c:v>-0.12783013483129013</c:v>
                </c:pt>
                <c:pt idx="551">
                  <c:v>-5.954591582249702E-2</c:v>
                </c:pt>
                <c:pt idx="552">
                  <c:v>4.8348132759694518E-2</c:v>
                </c:pt>
                <c:pt idx="553">
                  <c:v>0.15049280581423197</c:v>
                </c:pt>
                <c:pt idx="554">
                  <c:v>-8.3629059831814456E-2</c:v>
                </c:pt>
                <c:pt idx="555">
                  <c:v>0.14646355746054784</c:v>
                </c:pt>
                <c:pt idx="556">
                  <c:v>-1.6846098911606489E-2</c:v>
                </c:pt>
                <c:pt idx="557">
                  <c:v>0.1123727829423008</c:v>
                </c:pt>
                <c:pt idx="558">
                  <c:v>2.6565481378450495E-2</c:v>
                </c:pt>
                <c:pt idx="559">
                  <c:v>-1.5083916315537516E-2</c:v>
                </c:pt>
                <c:pt idx="560">
                  <c:v>7.3904389860731667E-3</c:v>
                </c:pt>
                <c:pt idx="561">
                  <c:v>-1.7420165562459178E-2</c:v>
                </c:pt>
                <c:pt idx="562">
                  <c:v>-6.6599258556242491E-3</c:v>
                </c:pt>
                <c:pt idx="563">
                  <c:v>0.13462870791170867</c:v>
                </c:pt>
                <c:pt idx="564">
                  <c:v>0.1714908100465643</c:v>
                </c:pt>
                <c:pt idx="565">
                  <c:v>0.13740108506007298</c:v>
                </c:pt>
                <c:pt idx="566">
                  <c:v>5.9003828538043757E-2</c:v>
                </c:pt>
                <c:pt idx="567">
                  <c:v>-7.414378101580954E-2</c:v>
                </c:pt>
                <c:pt idx="568">
                  <c:v>9.7390438986067696E-2</c:v>
                </c:pt>
                <c:pt idx="569">
                  <c:v>-1.7350712360562182E-2</c:v>
                </c:pt>
                <c:pt idx="570">
                  <c:v>-0.19728352989800813</c:v>
                </c:pt>
                <c:pt idx="571">
                  <c:v>-0.19158564748553941</c:v>
                </c:pt>
                <c:pt idx="572">
                  <c:v>8.4599370074821545E-3</c:v>
                </c:pt>
                <c:pt idx="573">
                  <c:v>-0.10518698077029798</c:v>
                </c:pt>
                <c:pt idx="574">
                  <c:v>8.599775448003466E-2</c:v>
                </c:pt>
                <c:pt idx="575">
                  <c:v>5.2195416481887968E-2</c:v>
                </c:pt>
                <c:pt idx="576">
                  <c:v>9.9179274213305635E-2</c:v>
                </c:pt>
                <c:pt idx="577">
                  <c:v>0.10858906137979074</c:v>
                </c:pt>
                <c:pt idx="578">
                  <c:v>0.15131134597020546</c:v>
                </c:pt>
                <c:pt idx="579">
                  <c:v>0.36017790430375773</c:v>
                </c:pt>
                <c:pt idx="580">
                  <c:v>3.96917689178099E-2</c:v>
                </c:pt>
                <c:pt idx="581">
                  <c:v>4.2613984171998465E-2</c:v>
                </c:pt>
                <c:pt idx="582">
                  <c:v>8.2985867672900171E-2</c:v>
                </c:pt>
                <c:pt idx="583">
                  <c:v>2.476021667763173E-3</c:v>
                </c:pt>
                <c:pt idx="584">
                  <c:v>-7.2932989667235826E-2</c:v>
                </c:pt>
                <c:pt idx="585">
                  <c:v>-6.6566053805379055E-2</c:v>
                </c:pt>
                <c:pt idx="586">
                  <c:v>-4.0959127916457949E-2</c:v>
                </c:pt>
                <c:pt idx="587">
                  <c:v>-3.0214443962037429E-2</c:v>
                </c:pt>
                <c:pt idx="588">
                  <c:v>-4.1972789247088582E-2</c:v>
                </c:pt>
                <c:pt idx="589">
                  <c:v>-5.5702262645839329E-2</c:v>
                </c:pt>
                <c:pt idx="590">
                  <c:v>-0.16102684645562892</c:v>
                </c:pt>
                <c:pt idx="591">
                  <c:v>-0.37731451361398627</c:v>
                </c:pt>
                <c:pt idx="592">
                  <c:v>-0.3001758289138331</c:v>
                </c:pt>
                <c:pt idx="593">
                  <c:v>6.7577450248678894E-2</c:v>
                </c:pt>
                <c:pt idx="594">
                  <c:v>-0.15312793841761041</c:v>
                </c:pt>
                <c:pt idx="595">
                  <c:v>-0.20786395755201725</c:v>
                </c:pt>
                <c:pt idx="596">
                  <c:v>-0.19984219605510989</c:v>
                </c:pt>
                <c:pt idx="597">
                  <c:v>-8.5892239046957974E-2</c:v>
                </c:pt>
                <c:pt idx="598">
                  <c:v>-0.21236107055848008</c:v>
                </c:pt>
                <c:pt idx="599">
                  <c:v>-5.3012008713937298E-2</c:v>
                </c:pt>
                <c:pt idx="600">
                  <c:v>1.8942793166557226E-2</c:v>
                </c:pt>
                <c:pt idx="601">
                  <c:v>2.6715500184911201E-2</c:v>
                </c:pt>
                <c:pt idx="602">
                  <c:v>-0.1374167392015343</c:v>
                </c:pt>
                <c:pt idx="603">
                  <c:v>-4.1498516644614347E-2</c:v>
                </c:pt>
                <c:pt idx="604">
                  <c:v>-0.16689339974821105</c:v>
                </c:pt>
                <c:pt idx="605">
                  <c:v>-0.18050046623960758</c:v>
                </c:pt>
                <c:pt idx="606">
                  <c:v>-0.10779238171400995</c:v>
                </c:pt>
                <c:pt idx="607">
                  <c:v>-7.3858695521822448E-2</c:v>
                </c:pt>
                <c:pt idx="608">
                  <c:v>-8.7185236792657661E-2</c:v>
                </c:pt>
                <c:pt idx="609">
                  <c:v>3.7617506632747211E-2</c:v>
                </c:pt>
                <c:pt idx="610">
                  <c:v>7.4753569800026787E-3</c:v>
                </c:pt>
                <c:pt idx="611">
                  <c:v>5.117946073059898E-2</c:v>
                </c:pt>
                <c:pt idx="612">
                  <c:v>-1.5643392702878844E-2</c:v>
                </c:pt>
                <c:pt idx="613">
                  <c:v>0.11808795624010127</c:v>
                </c:pt>
                <c:pt idx="614">
                  <c:v>-2.6181290868714346E-2</c:v>
                </c:pt>
                <c:pt idx="615">
                  <c:v>4.0817567779347086E-2</c:v>
                </c:pt>
                <c:pt idx="616">
                  <c:v>0.11563619928276048</c:v>
                </c:pt>
                <c:pt idx="617">
                  <c:v>0.18595070377597389</c:v>
                </c:pt>
                <c:pt idx="618">
                  <c:v>0.10287272949973925</c:v>
                </c:pt>
                <c:pt idx="619">
                  <c:v>-2.5469367158111877E-3</c:v>
                </c:pt>
                <c:pt idx="620">
                  <c:v>-6.421363212719966E-2</c:v>
                </c:pt>
                <c:pt idx="621">
                  <c:v>-9.4363800717236823E-2</c:v>
                </c:pt>
                <c:pt idx="622">
                  <c:v>-3.5428691795318046E-2</c:v>
                </c:pt>
                <c:pt idx="623">
                  <c:v>-6.0072220126771492E-2</c:v>
                </c:pt>
                <c:pt idx="624">
                  <c:v>1.5854014741886524E-2</c:v>
                </c:pt>
                <c:pt idx="625">
                  <c:v>0.10122320534599549</c:v>
                </c:pt>
                <c:pt idx="626">
                  <c:v>-0.2701189050533942</c:v>
                </c:pt>
                <c:pt idx="627">
                  <c:v>-0.2153590469679888</c:v>
                </c:pt>
                <c:pt idx="628">
                  <c:v>-0.27089549202471874</c:v>
                </c:pt>
                <c:pt idx="629">
                  <c:v>-9.8432685811937648E-2</c:v>
                </c:pt>
                <c:pt idx="630">
                  <c:v>-0.11485305325170458</c:v>
                </c:pt>
                <c:pt idx="631">
                  <c:v>-0.23456404003064846</c:v>
                </c:pt>
                <c:pt idx="632">
                  <c:v>-0.13996181077714043</c:v>
                </c:pt>
                <c:pt idx="633">
                  <c:v>-3.7629404450806425E-2</c:v>
                </c:pt>
                <c:pt idx="634">
                  <c:v>1.6444398651079939E-2</c:v>
                </c:pt>
                <c:pt idx="635">
                  <c:v>-0.152932603121407</c:v>
                </c:pt>
                <c:pt idx="636">
                  <c:v>-6.2020727554773392E-2</c:v>
                </c:pt>
                <c:pt idx="637">
                  <c:v>-0.12507083932384966</c:v>
                </c:pt>
                <c:pt idx="638">
                  <c:v>-0.14099608275380227</c:v>
                </c:pt>
                <c:pt idx="639">
                  <c:v>-0.28354976178067626</c:v>
                </c:pt>
                <c:pt idx="640">
                  <c:v>-0.28086266963611173</c:v>
                </c:pt>
                <c:pt idx="641">
                  <c:v>-0.19636345139061395</c:v>
                </c:pt>
                <c:pt idx="642">
                  <c:v>-5.4213060464693208E-2</c:v>
                </c:pt>
                <c:pt idx="643">
                  <c:v>-9.6813912644869715E-3</c:v>
                </c:pt>
                <c:pt idx="644">
                  <c:v>-0.12953410746268046</c:v>
                </c:pt>
                <c:pt idx="645">
                  <c:v>-0.17606360650707609</c:v>
                </c:pt>
                <c:pt idx="646">
                  <c:v>-8.6323723172243239E-2</c:v>
                </c:pt>
                <c:pt idx="647">
                  <c:v>-1.3545430091300381E-2</c:v>
                </c:pt>
                <c:pt idx="648">
                  <c:v>6.6958500425852052E-2</c:v>
                </c:pt>
                <c:pt idx="649">
                  <c:v>2.7553359817268919E-2</c:v>
                </c:pt>
                <c:pt idx="650">
                  <c:v>-0.23616355733467465</c:v>
                </c:pt>
                <c:pt idx="651">
                  <c:v>-6.8238948290889723E-2</c:v>
                </c:pt>
                <c:pt idx="652">
                  <c:v>-0.17067481910712001</c:v>
                </c:pt>
                <c:pt idx="653">
                  <c:v>-0.12692766666443445</c:v>
                </c:pt>
                <c:pt idx="654">
                  <c:v>-0.27663465544630539</c:v>
                </c:pt>
                <c:pt idx="655">
                  <c:v>-0.22026329586912785</c:v>
                </c:pt>
                <c:pt idx="656">
                  <c:v>-0.10831609172709633</c:v>
                </c:pt>
                <c:pt idx="657">
                  <c:v>-0.19543979242032428</c:v>
                </c:pt>
                <c:pt idx="658">
                  <c:v>-7.435091674816896E-2</c:v>
                </c:pt>
                <c:pt idx="659">
                  <c:v>1.2341319433263664E-2</c:v>
                </c:pt>
                <c:pt idx="660">
                  <c:v>-6.9461244700585012E-2</c:v>
                </c:pt>
                <c:pt idx="661">
                  <c:v>5.5948321430579928E-2</c:v>
                </c:pt>
                <c:pt idx="662">
                  <c:v>-9.0674819107119942E-2</c:v>
                </c:pt>
                <c:pt idx="663">
                  <c:v>-4.0694437680876994E-2</c:v>
                </c:pt>
                <c:pt idx="664">
                  <c:v>-0.25297257882153146</c:v>
                </c:pt>
                <c:pt idx="665">
                  <c:v>-3.9178680755540651E-2</c:v>
                </c:pt>
                <c:pt idx="666">
                  <c:v>-2.492559026524066E-2</c:v>
                </c:pt>
                <c:pt idx="667">
                  <c:v>3.0656896676296008E-2</c:v>
                </c:pt>
                <c:pt idx="668">
                  <c:v>-0.16413973631014878</c:v>
                </c:pt>
                <c:pt idx="669">
                  <c:v>-0.23286226935881837</c:v>
                </c:pt>
                <c:pt idx="670">
                  <c:v>3.7835508183244104E-2</c:v>
                </c:pt>
                <c:pt idx="671">
                  <c:v>0.10415323284428857</c:v>
                </c:pt>
                <c:pt idx="672">
                  <c:v>1.7976396684799556E-2</c:v>
                </c:pt>
                <c:pt idx="673">
                  <c:v>-0.1243483277666112</c:v>
                </c:pt>
                <c:pt idx="674">
                  <c:v>-2.0985135566301882E-2</c:v>
                </c:pt>
                <c:pt idx="675">
                  <c:v>3.8159614450730683E-2</c:v>
                </c:pt>
                <c:pt idx="676">
                  <c:v>8.4515008302526229E-2</c:v>
                </c:pt>
                <c:pt idx="677">
                  <c:v>0.12281595150774283</c:v>
                </c:pt>
                <c:pt idx="678">
                  <c:v>-0.10295714538428247</c:v>
                </c:pt>
                <c:pt idx="679">
                  <c:v>-6.0771309830818354E-2</c:v>
                </c:pt>
                <c:pt idx="680">
                  <c:v>-2.9239986326067169E-2</c:v>
                </c:pt>
                <c:pt idx="681">
                  <c:v>-0.1044344498946238</c:v>
                </c:pt>
                <c:pt idx="682">
                  <c:v>-1.1281584519363119E-2</c:v>
                </c:pt>
                <c:pt idx="683">
                  <c:v>4.1485885955054536E-2</c:v>
                </c:pt>
                <c:pt idx="684">
                  <c:v>0.27484956038125541</c:v>
                </c:pt>
                <c:pt idx="685">
                  <c:v>0.23727277858067952</c:v>
                </c:pt>
                <c:pt idx="686">
                  <c:v>0.32967589872868619</c:v>
                </c:pt>
                <c:pt idx="687">
                  <c:v>0.33310949955432811</c:v>
                </c:pt>
                <c:pt idx="688">
                  <c:v>0.50825300737626866</c:v>
                </c:pt>
                <c:pt idx="689">
                  <c:v>0.48035886044126153</c:v>
                </c:pt>
                <c:pt idx="690">
                  <c:v>0.19570634749810656</c:v>
                </c:pt>
                <c:pt idx="691">
                  <c:v>6.2804782808899229E-2</c:v>
                </c:pt>
                <c:pt idx="692">
                  <c:v>-7.8387212586676136E-2</c:v>
                </c:pt>
                <c:pt idx="693">
                  <c:v>-2.5062509711867631E-2</c:v>
                </c:pt>
                <c:pt idx="694">
                  <c:v>0.16585233667543953</c:v>
                </c:pt>
                <c:pt idx="695">
                  <c:v>6.7825583955198776E-2</c:v>
                </c:pt>
                <c:pt idx="696">
                  <c:v>3.2325153425039388E-2</c:v>
                </c:pt>
                <c:pt idx="697">
                  <c:v>5.3426878953383272E-2</c:v>
                </c:pt>
                <c:pt idx="698">
                  <c:v>-5.5498507439416533E-3</c:v>
                </c:pt>
                <c:pt idx="699">
                  <c:v>0.13772218112833368</c:v>
                </c:pt>
                <c:pt idx="700">
                  <c:v>0.24481176563461238</c:v>
                </c:pt>
                <c:pt idx="701">
                  <c:v>0.2662869167013312</c:v>
                </c:pt>
                <c:pt idx="702">
                  <c:v>3.0063198947605119E-2</c:v>
                </c:pt>
                <c:pt idx="703">
                  <c:v>-6.3884038276235122E-3</c:v>
                </c:pt>
                <c:pt idx="704">
                  <c:v>-0.19858737081549693</c:v>
                </c:pt>
                <c:pt idx="705">
                  <c:v>-7.1680417763326898E-2</c:v>
                </c:pt>
                <c:pt idx="706">
                  <c:v>-2.1717167957943095E-3</c:v>
                </c:pt>
                <c:pt idx="707">
                  <c:v>-0.11510758454515313</c:v>
                </c:pt>
                <c:pt idx="708">
                  <c:v>2.24501570946537E-2</c:v>
                </c:pt>
                <c:pt idx="709">
                  <c:v>-2.0744169221397213E-3</c:v>
                </c:pt>
                <c:pt idx="710">
                  <c:v>4.1515889175526843E-2</c:v>
                </c:pt>
                <c:pt idx="711">
                  <c:v>-7.9611558072309463E-2</c:v>
                </c:pt>
                <c:pt idx="712">
                  <c:v>-5.3185027739395818E-2</c:v>
                </c:pt>
                <c:pt idx="713">
                  <c:v>-3.3500931280379231E-2</c:v>
                </c:pt>
                <c:pt idx="714">
                  <c:v>-4.1772702648125049E-2</c:v>
                </c:pt>
                <c:pt idx="715">
                  <c:v>-0.12127342566171595</c:v>
                </c:pt>
                <c:pt idx="716">
                  <c:v>-0.15695775235193266</c:v>
                </c:pt>
                <c:pt idx="717">
                  <c:v>-6.6851710333211245E-2</c:v>
                </c:pt>
                <c:pt idx="718">
                  <c:v>-0.11003415892494173</c:v>
                </c:pt>
                <c:pt idx="719">
                  <c:v>-7.5964540616861753E-2</c:v>
                </c:pt>
                <c:pt idx="720">
                  <c:v>0.139372370484523</c:v>
                </c:pt>
                <c:pt idx="721">
                  <c:v>-7.0191259650425386E-2</c:v>
                </c:pt>
                <c:pt idx="722">
                  <c:v>1.9581371456279473E-2</c:v>
                </c:pt>
                <c:pt idx="723">
                  <c:v>2.6584409443871637E-3</c:v>
                </c:pt>
                <c:pt idx="724">
                  <c:v>2.3745448801169133E-2</c:v>
                </c:pt>
                <c:pt idx="725">
                  <c:v>0.23163994201116733</c:v>
                </c:pt>
                <c:pt idx="726">
                  <c:v>5.8648976024731181E-2</c:v>
                </c:pt>
                <c:pt idx="727">
                  <c:v>-0.10391911035838908</c:v>
                </c:pt>
                <c:pt idx="728">
                  <c:v>-5.7163981558775112E-2</c:v>
                </c:pt>
                <c:pt idx="729">
                  <c:v>3.7454488011677833E-3</c:v>
                </c:pt>
                <c:pt idx="730">
                  <c:v>3.0918527872522694E-2</c:v>
                </c:pt>
                <c:pt idx="731">
                  <c:v>2.4498776131659405E-2</c:v>
                </c:pt>
                <c:pt idx="732">
                  <c:v>9.4691740526995027E-2</c:v>
                </c:pt>
                <c:pt idx="733">
                  <c:v>6.8035136857323431E-2</c:v>
                </c:pt>
                <c:pt idx="734">
                  <c:v>0.18364971955647691</c:v>
                </c:pt>
                <c:pt idx="735">
                  <c:v>0.22817218158689856</c:v>
                </c:pt>
                <c:pt idx="736">
                  <c:v>0.28121753936458382</c:v>
                </c:pt>
                <c:pt idx="737">
                  <c:v>0.21741197134868961</c:v>
                </c:pt>
                <c:pt idx="738">
                  <c:v>0.14127915122590429</c:v>
                </c:pt>
                <c:pt idx="739">
                  <c:v>3.1429111976172264E-3</c:v>
                </c:pt>
                <c:pt idx="740">
                  <c:v>-7.0235839363232411E-2</c:v>
                </c:pt>
                <c:pt idx="741">
                  <c:v>-7.1256497525574614E-2</c:v>
                </c:pt>
                <c:pt idx="742">
                  <c:v>-8.3810011221678082E-2</c:v>
                </c:pt>
                <c:pt idx="743">
                  <c:v>2.8151507893218297E-2</c:v>
                </c:pt>
                <c:pt idx="744">
                  <c:v>-6.1752653522376799E-2</c:v>
                </c:pt>
                <c:pt idx="745">
                  <c:v>0.14284725457056957</c:v>
                </c:pt>
                <c:pt idx="746">
                  <c:v>-0.15792570151166785</c:v>
                </c:pt>
                <c:pt idx="747">
                  <c:v>-0.14990342460880146</c:v>
                </c:pt>
                <c:pt idx="748">
                  <c:v>-0.3415609788837709</c:v>
                </c:pt>
                <c:pt idx="749">
                  <c:v>-9.9974683482619731E-2</c:v>
                </c:pt>
                <c:pt idx="750">
                  <c:v>-0.2431735047252479</c:v>
                </c:pt>
                <c:pt idx="751">
                  <c:v>-0.21392639050800533</c:v>
                </c:pt>
                <c:pt idx="752">
                  <c:v>-0.15242047518311264</c:v>
                </c:pt>
                <c:pt idx="753">
                  <c:v>-6.3264075691010224E-2</c:v>
                </c:pt>
                <c:pt idx="754">
                  <c:v>-0.14973419696960699</c:v>
                </c:pt>
                <c:pt idx="755">
                  <c:v>-2.8679909330152298E-2</c:v>
                </c:pt>
                <c:pt idx="756">
                  <c:v>2.5217342001801923E-2</c:v>
                </c:pt>
                <c:pt idx="757">
                  <c:v>-3.4964645187728016E-2</c:v>
                </c:pt>
                <c:pt idx="758">
                  <c:v>-0.10108776588222523</c:v>
                </c:pt>
                <c:pt idx="759">
                  <c:v>-8.4882260900572271E-2</c:v>
                </c:pt>
                <c:pt idx="760">
                  <c:v>-0.115337664065287</c:v>
                </c:pt>
                <c:pt idx="761">
                  <c:v>4.9180190170675431E-2</c:v>
                </c:pt>
                <c:pt idx="762">
                  <c:v>-0.18426402108591056</c:v>
                </c:pt>
                <c:pt idx="763">
                  <c:v>-0.18157795552925249</c:v>
                </c:pt>
                <c:pt idx="764">
                  <c:v>-9.1296901034318534E-2</c:v>
                </c:pt>
                <c:pt idx="765">
                  <c:v>-6.1667301826708432E-2</c:v>
                </c:pt>
                <c:pt idx="766">
                  <c:v>-4.5628268453409171E-2</c:v>
                </c:pt>
                <c:pt idx="767">
                  <c:v>-9.3887928503472273E-2</c:v>
                </c:pt>
                <c:pt idx="768">
                  <c:v>-2.2756380441683044E-3</c:v>
                </c:pt>
                <c:pt idx="769">
                  <c:v>-0.25865236853983686</c:v>
                </c:pt>
                <c:pt idx="770">
                  <c:v>-0.20298526081929991</c:v>
                </c:pt>
                <c:pt idx="771">
                  <c:v>-0.12759465181986096</c:v>
                </c:pt>
                <c:pt idx="772">
                  <c:v>-4.5390125030417394E-2</c:v>
                </c:pt>
                <c:pt idx="773">
                  <c:v>0.20823468593449368</c:v>
                </c:pt>
                <c:pt idx="774">
                  <c:v>-5.3811360524353091E-2</c:v>
                </c:pt>
                <c:pt idx="775">
                  <c:v>-0.10986178099182053</c:v>
                </c:pt>
                <c:pt idx="776">
                  <c:v>4.3115727514170032E-2</c:v>
                </c:pt>
                <c:pt idx="777">
                  <c:v>0.16037365427152084</c:v>
                </c:pt>
                <c:pt idx="778">
                  <c:v>0.18052551124628735</c:v>
                </c:pt>
                <c:pt idx="779">
                  <c:v>0.48162952392234015</c:v>
                </c:pt>
                <c:pt idx="780">
                  <c:v>0.34861517527027752</c:v>
                </c:pt>
                <c:pt idx="781">
                  <c:v>0.38320269707169574</c:v>
                </c:pt>
                <c:pt idx="782">
                  <c:v>0.33009319273964222</c:v>
                </c:pt>
                <c:pt idx="783">
                  <c:v>0.2113154862790303</c:v>
                </c:pt>
                <c:pt idx="784">
                  <c:v>0.38502587274781863</c:v>
                </c:pt>
                <c:pt idx="785">
                  <c:v>0.33732340266565508</c:v>
                </c:pt>
                <c:pt idx="786">
                  <c:v>0.24686103141989335</c:v>
                </c:pt>
                <c:pt idx="787">
                  <c:v>8.325655774295404E-2</c:v>
                </c:pt>
                <c:pt idx="788">
                  <c:v>0.15316417864622034</c:v>
                </c:pt>
                <c:pt idx="789">
                  <c:v>0.13574764277983009</c:v>
                </c:pt>
                <c:pt idx="790">
                  <c:v>0.25954364012316855</c:v>
                </c:pt>
                <c:pt idx="791">
                  <c:v>0.17850428736104496</c:v>
                </c:pt>
                <c:pt idx="792">
                  <c:v>0.31523502593793795</c:v>
                </c:pt>
                <c:pt idx="793">
                  <c:v>0.25153364621936403</c:v>
                </c:pt>
                <c:pt idx="794">
                  <c:v>0.20713798646736592</c:v>
                </c:pt>
                <c:pt idx="795">
                  <c:v>0.30556673871748208</c:v>
                </c:pt>
                <c:pt idx="796">
                  <c:v>0.18150172482958737</c:v>
                </c:pt>
                <c:pt idx="797">
                  <c:v>0.28172590854613633</c:v>
                </c:pt>
                <c:pt idx="798">
                  <c:v>0.14802527423028344</c:v>
                </c:pt>
                <c:pt idx="799">
                  <c:v>-2.9952470863281011E-2</c:v>
                </c:pt>
                <c:pt idx="800">
                  <c:v>-3.1699343064067964E-2</c:v>
                </c:pt>
                <c:pt idx="801">
                  <c:v>-6.5694154556458884E-2</c:v>
                </c:pt>
                <c:pt idx="802">
                  <c:v>0.11639640883658764</c:v>
                </c:pt>
                <c:pt idx="803">
                  <c:v>0.19669827481121693</c:v>
                </c:pt>
                <c:pt idx="804">
                  <c:v>0.13205446353933725</c:v>
                </c:pt>
                <c:pt idx="805">
                  <c:v>0.13732338177610304</c:v>
                </c:pt>
                <c:pt idx="806">
                  <c:v>-2.2190109865211305E-2</c:v>
                </c:pt>
                <c:pt idx="807">
                  <c:v>-2.6009091657068772E-3</c:v>
                </c:pt>
                <c:pt idx="808">
                  <c:v>0.15068811289852535</c:v>
                </c:pt>
                <c:pt idx="809">
                  <c:v>0.21334670795572519</c:v>
                </c:pt>
                <c:pt idx="810">
                  <c:v>5.4463546690629361E-2</c:v>
                </c:pt>
                <c:pt idx="811">
                  <c:v>3.3192454076922395E-3</c:v>
                </c:pt>
                <c:pt idx="812">
                  <c:v>6.1628812241429465E-2</c:v>
                </c:pt>
                <c:pt idx="813">
                  <c:v>0.15270939745108159</c:v>
                </c:pt>
                <c:pt idx="814">
                  <c:v>0.31725641289367568</c:v>
                </c:pt>
              </c:numCache>
            </c:numRef>
          </c:yVal>
          <c:smooth val="1"/>
          <c:extLst>
            <c:ext xmlns:c16="http://schemas.microsoft.com/office/drawing/2014/chart" uri="{C3380CC4-5D6E-409C-BE32-E72D297353CC}">
              <c16:uniqueId val="{00000001-1150-4190-804A-823D4498EC3A}"/>
            </c:ext>
          </c:extLst>
        </c:ser>
        <c:dLbls>
          <c:showLegendKey val="0"/>
          <c:showVal val="0"/>
          <c:showCatName val="0"/>
          <c:showSerName val="0"/>
          <c:showPercent val="0"/>
          <c:showBubbleSize val="0"/>
        </c:dLbls>
        <c:axId val="64038855"/>
        <c:axId val="27977356"/>
      </c:scatterChart>
      <c:valAx>
        <c:axId val="64038855"/>
        <c:scaling>
          <c:orientation val="minMax"/>
          <c:max val="3"/>
          <c:min val="-2.5"/>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ONI, lagged 3 months</a:t>
                </a:r>
              </a:p>
            </c:rich>
          </c:tx>
          <c:overlay val="0"/>
          <c:spPr>
            <a:noFill/>
            <a:ln w="0">
              <a:noFill/>
            </a:ln>
          </c:spPr>
        </c:title>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27977356"/>
        <c:crosses val="min"/>
        <c:crossBetween val="midCat"/>
      </c:valAx>
      <c:valAx>
        <c:axId val="27977356"/>
        <c:scaling>
          <c:orientation val="minMax"/>
          <c:max val="0.6"/>
          <c:min val="-0.5"/>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Residual after CO2-only fit (°C)</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64038855"/>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ENSO-adjusted anomaly vs log2(CO2)
El Niño / La Niña effect removed; compare with the raw scatter on the Analysis tab</a:t>
            </a:r>
          </a:p>
        </c:rich>
      </c:tx>
      <c:overlay val="0"/>
      <c:spPr>
        <a:noFill/>
        <a:ln w="0">
          <a:noFill/>
        </a:ln>
      </c:spPr>
    </c:title>
    <c:autoTitleDeleted val="0"/>
    <c:plotArea>
      <c:layout/>
      <c:scatterChart>
        <c:scatterStyle val="lineMarker"/>
        <c:varyColors val="0"/>
        <c:ser>
          <c:idx val="0"/>
          <c:order val="0"/>
          <c:spPr>
            <a:ln w="38160">
              <a:noFill/>
            </a:ln>
          </c:spPr>
          <c:marker>
            <c:symbol val="circle"/>
            <c:size val="3"/>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0"/>
            <c:trendlineLbl>
              <c:numFmt formatCode="General" sourceLinked="0"/>
            </c:trendlineLbl>
          </c:trendline>
          <c:xVal>
            <c:numRef>
              <c:f>ENSO!$C$9:$C$823</c:f>
              <c:numCache>
                <c:formatCode>0.000</c:formatCode>
                <c:ptCount val="815"/>
                <c:pt idx="0">
                  <c:v>0.1580599853917147</c:v>
                </c:pt>
                <c:pt idx="1">
                  <c:v>0.16225608099765507</c:v>
                </c:pt>
                <c:pt idx="2">
                  <c:v>0.16841281440122227</c:v>
                </c:pt>
                <c:pt idx="3">
                  <c:v>0.17257894974287927</c:v>
                </c:pt>
                <c:pt idx="4">
                  <c:v>0.17673308898155007</c:v>
                </c:pt>
                <c:pt idx="5">
                  <c:v>0.17746225223598333</c:v>
                </c:pt>
                <c:pt idx="6">
                  <c:v>0.18232908124013067</c:v>
                </c:pt>
                <c:pt idx="7">
                  <c:v>0.18491500408245293</c:v>
                </c:pt>
                <c:pt idx="8">
                  <c:v>0.1842802944193824</c:v>
                </c:pt>
                <c:pt idx="9">
                  <c:v>0.17696099208944205</c:v>
                </c:pt>
                <c:pt idx="10">
                  <c:v>0.16900871367515766</c:v>
                </c:pt>
                <c:pt idx="11">
                  <c:v>0.16460241335740428</c:v>
                </c:pt>
                <c:pt idx="12">
                  <c:v>0.16225608099765507</c:v>
                </c:pt>
                <c:pt idx="13">
                  <c:v>0.16905454188757499</c:v>
                </c:pt>
                <c:pt idx="14">
                  <c:v>0.17257894974287927</c:v>
                </c:pt>
                <c:pt idx="15">
                  <c:v>0.17645955772100325</c:v>
                </c:pt>
                <c:pt idx="16">
                  <c:v>0.17896498855382964</c:v>
                </c:pt>
                <c:pt idx="17">
                  <c:v>0.1816932326363403</c:v>
                </c:pt>
                <c:pt idx="18">
                  <c:v>0.18826526709013644</c:v>
                </c:pt>
                <c:pt idx="19">
                  <c:v>0.19278032426290692</c:v>
                </c:pt>
                <c:pt idx="20">
                  <c:v>0.19075029697903845</c:v>
                </c:pt>
                <c:pt idx="21">
                  <c:v>0.1844163271422109</c:v>
                </c:pt>
                <c:pt idx="22">
                  <c:v>0.17404110991454413</c:v>
                </c:pt>
                <c:pt idx="23">
                  <c:v>0.16611859751788685</c:v>
                </c:pt>
                <c:pt idx="24">
                  <c:v>0.16455644349932552</c:v>
                </c:pt>
                <c:pt idx="25">
                  <c:v>0.16992500144231237</c:v>
                </c:pt>
                <c:pt idx="26">
                  <c:v>0.17536491377542907</c:v>
                </c:pt>
                <c:pt idx="27">
                  <c:v>0.17855530658575247</c:v>
                </c:pt>
                <c:pt idx="28">
                  <c:v>0.18223826288116377</c:v>
                </c:pt>
                <c:pt idx="29">
                  <c:v>0.18604772012519621</c:v>
                </c:pt>
                <c:pt idx="30">
                  <c:v>0.19029879162659466</c:v>
                </c:pt>
                <c:pt idx="31">
                  <c:v>0.1952575958242399</c:v>
                </c:pt>
                <c:pt idx="32">
                  <c:v>0.19160776805384336</c:v>
                </c:pt>
                <c:pt idx="33">
                  <c:v>0.18613829900081141</c:v>
                </c:pt>
                <c:pt idx="34">
                  <c:v>0.17809996791233229</c:v>
                </c:pt>
                <c:pt idx="35">
                  <c:v>0.16987920087274735</c:v>
                </c:pt>
                <c:pt idx="36">
                  <c:v>0.17134409839059492</c:v>
                </c:pt>
                <c:pt idx="37">
                  <c:v>0.17495420807216977</c:v>
                </c:pt>
                <c:pt idx="38">
                  <c:v>0.17910152336118931</c:v>
                </c:pt>
                <c:pt idx="39">
                  <c:v>0.18332770604480075</c:v>
                </c:pt>
                <c:pt idx="40">
                  <c:v>0.18609301027387254</c:v>
                </c:pt>
                <c:pt idx="41">
                  <c:v>0.19120166107272715</c:v>
                </c:pt>
                <c:pt idx="42">
                  <c:v>0.19521259246961153</c:v>
                </c:pt>
                <c:pt idx="43">
                  <c:v>0.19723635491870628</c:v>
                </c:pt>
                <c:pt idx="44">
                  <c:v>0.19543759520574477</c:v>
                </c:pt>
                <c:pt idx="45">
                  <c:v>0.19088572103529255</c:v>
                </c:pt>
                <c:pt idx="46">
                  <c:v>0.18087530100285296</c:v>
                </c:pt>
                <c:pt idx="47">
                  <c:v>0.17559303309992255</c:v>
                </c:pt>
                <c:pt idx="48">
                  <c:v>0.17184731357334099</c:v>
                </c:pt>
                <c:pt idx="49">
                  <c:v>0.17764448548104073</c:v>
                </c:pt>
                <c:pt idx="50">
                  <c:v>0.18223826288116377</c:v>
                </c:pt>
                <c:pt idx="51">
                  <c:v>0.18695325307037156</c:v>
                </c:pt>
                <c:pt idx="52">
                  <c:v>0.18844614093972484</c:v>
                </c:pt>
                <c:pt idx="53">
                  <c:v>0.19201376075129936</c:v>
                </c:pt>
                <c:pt idx="54">
                  <c:v>0.198853323377887</c:v>
                </c:pt>
                <c:pt idx="55">
                  <c:v>0.20270876128709345</c:v>
                </c:pt>
                <c:pt idx="56">
                  <c:v>0.19934703581133892</c:v>
                </c:pt>
                <c:pt idx="57">
                  <c:v>0.19147241176149948</c:v>
                </c:pt>
                <c:pt idx="58">
                  <c:v>0.18255610212855772</c:v>
                </c:pt>
                <c:pt idx="59">
                  <c:v>0.17545616583370666</c:v>
                </c:pt>
                <c:pt idx="60">
                  <c:v>0.17445207560337639</c:v>
                </c:pt>
                <c:pt idx="61">
                  <c:v>0.179374554217585</c:v>
                </c:pt>
                <c:pt idx="62">
                  <c:v>0.18518693705150802</c:v>
                </c:pt>
                <c:pt idx="63">
                  <c:v>0.1907051528018969</c:v>
                </c:pt>
                <c:pt idx="64">
                  <c:v>0.19282540355239119</c:v>
                </c:pt>
                <c:pt idx="65">
                  <c:v>0.19602243814471609</c:v>
                </c:pt>
                <c:pt idx="66">
                  <c:v>0.20091681590593874</c:v>
                </c:pt>
                <c:pt idx="67">
                  <c:v>0.20275353141668456</c:v>
                </c:pt>
                <c:pt idx="68">
                  <c:v>0.20114093083670029</c:v>
                </c:pt>
                <c:pt idx="69">
                  <c:v>0.19462742107482237</c:v>
                </c:pt>
                <c:pt idx="70">
                  <c:v>0.18672692311353747</c:v>
                </c:pt>
                <c:pt idx="71">
                  <c:v>0.17773559347228587</c:v>
                </c:pt>
                <c:pt idx="72">
                  <c:v>0.17846425034734256</c:v>
                </c:pt>
                <c:pt idx="73">
                  <c:v>0.18214743880477707</c:v>
                </c:pt>
                <c:pt idx="74">
                  <c:v>0.18681745935711205</c:v>
                </c:pt>
                <c:pt idx="75">
                  <c:v>0.19011814991335674</c:v>
                </c:pt>
                <c:pt idx="76">
                  <c:v>0.19462742107482237</c:v>
                </c:pt>
                <c:pt idx="77">
                  <c:v>0.19665200397268703</c:v>
                </c:pt>
                <c:pt idx="78">
                  <c:v>0.20226098356200239</c:v>
                </c:pt>
                <c:pt idx="79">
                  <c:v>0.20239533147297081</c:v>
                </c:pt>
                <c:pt idx="80">
                  <c:v>0.20105128904215877</c:v>
                </c:pt>
                <c:pt idx="81">
                  <c:v>0.19808998077164383</c:v>
                </c:pt>
                <c:pt idx="82">
                  <c:v>0.18754154484093474</c:v>
                </c:pt>
                <c:pt idx="83">
                  <c:v>0.18278308729885059</c:v>
                </c:pt>
                <c:pt idx="84">
                  <c:v>0.18042069408530895</c:v>
                </c:pt>
                <c:pt idx="85">
                  <c:v>0.18754154484093474</c:v>
                </c:pt>
                <c:pt idx="86">
                  <c:v>0.19002782057413631</c:v>
                </c:pt>
                <c:pt idx="87">
                  <c:v>0.19543759520574477</c:v>
                </c:pt>
                <c:pt idx="88">
                  <c:v>0.19984057934659985</c:v>
                </c:pt>
                <c:pt idx="89">
                  <c:v>0.20338016739614553</c:v>
                </c:pt>
                <c:pt idx="90">
                  <c:v>0.20923053837684438</c:v>
                </c:pt>
                <c:pt idx="91">
                  <c:v>0.21092316296674554</c:v>
                </c:pt>
                <c:pt idx="92">
                  <c:v>0.20945336562894978</c:v>
                </c:pt>
                <c:pt idx="93">
                  <c:v>0.20329066463286302</c:v>
                </c:pt>
                <c:pt idx="94">
                  <c:v>0.19426719759207978</c:v>
                </c:pt>
                <c:pt idx="95">
                  <c:v>0.18650055764449477</c:v>
                </c:pt>
                <c:pt idx="96">
                  <c:v>0.18405354470718463</c:v>
                </c:pt>
                <c:pt idx="97">
                  <c:v>0.19165288399602148</c:v>
                </c:pt>
                <c:pt idx="98">
                  <c:v>0.19723635491870628</c:v>
                </c:pt>
                <c:pt idx="99">
                  <c:v>0.20311164244670007</c:v>
                </c:pt>
                <c:pt idx="100">
                  <c:v>0.20387233336564989</c:v>
                </c:pt>
                <c:pt idx="101">
                  <c:v>0.20624132797002478</c:v>
                </c:pt>
                <c:pt idx="102">
                  <c:v>0.21239146441962328</c:v>
                </c:pt>
                <c:pt idx="103">
                  <c:v>0.21501289097085052</c:v>
                </c:pt>
                <c:pt idx="104">
                  <c:v>0.21096767891290158</c:v>
                </c:pt>
                <c:pt idx="105">
                  <c:v>0.20405126118938038</c:v>
                </c:pt>
                <c:pt idx="106">
                  <c:v>0.1967868752001786</c:v>
                </c:pt>
                <c:pt idx="107">
                  <c:v>0.18925979275775742</c:v>
                </c:pt>
                <c:pt idx="108">
                  <c:v>0.18989231596006176</c:v>
                </c:pt>
                <c:pt idx="109">
                  <c:v>0.19593247773807179</c:v>
                </c:pt>
                <c:pt idx="110">
                  <c:v>0.20145463326198595</c:v>
                </c:pt>
                <c:pt idx="111">
                  <c:v>0.20418544249569365</c:v>
                </c:pt>
                <c:pt idx="112">
                  <c:v>0.20677716444561006</c:v>
                </c:pt>
                <c:pt idx="113">
                  <c:v>0.21007709890320869</c:v>
                </c:pt>
                <c:pt idx="114">
                  <c:v>0.21510166947251774</c:v>
                </c:pt>
                <c:pt idx="115">
                  <c:v>0.21754093986252426</c:v>
                </c:pt>
                <c:pt idx="116">
                  <c:v>0.21661006874244201</c:v>
                </c:pt>
                <c:pt idx="117">
                  <c:v>0.21119023804218459</c:v>
                </c:pt>
                <c:pt idx="118">
                  <c:v>0.20212662313900553</c:v>
                </c:pt>
                <c:pt idx="119">
                  <c:v>0.19413209059412975</c:v>
                </c:pt>
                <c:pt idx="120">
                  <c:v>0.19377174339668018</c:v>
                </c:pt>
                <c:pt idx="121">
                  <c:v>0.19858395445706917</c:v>
                </c:pt>
                <c:pt idx="122">
                  <c:v>0.20561593377604628</c:v>
                </c:pt>
                <c:pt idx="123">
                  <c:v>0.21056698593965839</c:v>
                </c:pt>
                <c:pt idx="124">
                  <c:v>0.21239146441962328</c:v>
                </c:pt>
                <c:pt idx="125">
                  <c:v>0.21780679275778927</c:v>
                </c:pt>
                <c:pt idx="126">
                  <c:v>0.22236297828007129</c:v>
                </c:pt>
                <c:pt idx="127">
                  <c:v>0.22553936152588727</c:v>
                </c:pt>
                <c:pt idx="128">
                  <c:v>0.22258378655772451</c:v>
                </c:pt>
                <c:pt idx="129">
                  <c:v>0.21891398613294744</c:v>
                </c:pt>
                <c:pt idx="130">
                  <c:v>0.20905225179222678</c:v>
                </c:pt>
                <c:pt idx="131">
                  <c:v>0.20333541670858227</c:v>
                </c:pt>
                <c:pt idx="132">
                  <c:v>0.20064783202506462</c:v>
                </c:pt>
                <c:pt idx="133">
                  <c:v>0.2054371999150208</c:v>
                </c:pt>
                <c:pt idx="134">
                  <c:v>0.21105670668466028</c:v>
                </c:pt>
                <c:pt idx="135">
                  <c:v>0.21527921008816014</c:v>
                </c:pt>
                <c:pt idx="136">
                  <c:v>0.21940088215824097</c:v>
                </c:pt>
                <c:pt idx="137">
                  <c:v>0.22355494169199039</c:v>
                </c:pt>
                <c:pt idx="138">
                  <c:v>0.22884067425281851</c:v>
                </c:pt>
                <c:pt idx="139">
                  <c:v>0.22862082160752503</c:v>
                </c:pt>
                <c:pt idx="140">
                  <c:v>0.22681676504986711</c:v>
                </c:pt>
                <c:pt idx="141">
                  <c:v>0.2209490044667792</c:v>
                </c:pt>
                <c:pt idx="142">
                  <c:v>0.21359169145595572</c:v>
                </c:pt>
                <c:pt idx="143">
                  <c:v>0.20655392343303489</c:v>
                </c:pt>
                <c:pt idx="144">
                  <c:v>0.20637530574791263</c:v>
                </c:pt>
                <c:pt idx="145">
                  <c:v>0.21061151287723645</c:v>
                </c:pt>
                <c:pt idx="146">
                  <c:v>0.21558985360237096</c:v>
                </c:pt>
                <c:pt idx="147">
                  <c:v>0.22019726683057364</c:v>
                </c:pt>
                <c:pt idx="148">
                  <c:v>0.22249546730205641</c:v>
                </c:pt>
                <c:pt idx="149">
                  <c:v>0.22465773412073844</c:v>
                </c:pt>
                <c:pt idx="150">
                  <c:v>0.22730100169945941</c:v>
                </c:pt>
                <c:pt idx="151">
                  <c:v>0.23235376773902855</c:v>
                </c:pt>
                <c:pt idx="152">
                  <c:v>0.23077393422839654</c:v>
                </c:pt>
                <c:pt idx="153">
                  <c:v>0.22545122302563764</c:v>
                </c:pt>
                <c:pt idx="154">
                  <c:v>0.21692042585687715</c:v>
                </c:pt>
                <c:pt idx="155">
                  <c:v>0.2077143996600441</c:v>
                </c:pt>
                <c:pt idx="156">
                  <c:v>0.20860643891488381</c:v>
                </c:pt>
                <c:pt idx="157">
                  <c:v>0.21412480535284761</c:v>
                </c:pt>
                <c:pt idx="158">
                  <c:v>0.21948939105648271</c:v>
                </c:pt>
                <c:pt idx="159">
                  <c:v>0.22284871188886418</c:v>
                </c:pt>
                <c:pt idx="160">
                  <c:v>0.22664063869031495</c:v>
                </c:pt>
                <c:pt idx="161">
                  <c:v>0.22716895327678804</c:v>
                </c:pt>
                <c:pt idx="162">
                  <c:v>0.23581457280650558</c:v>
                </c:pt>
                <c:pt idx="163">
                  <c:v>0.23734519106890656</c:v>
                </c:pt>
                <c:pt idx="164">
                  <c:v>0.23305536103738234</c:v>
                </c:pt>
                <c:pt idx="165">
                  <c:v>0.2284449153656577</c:v>
                </c:pt>
                <c:pt idx="166">
                  <c:v>0.22086058507283202</c:v>
                </c:pt>
                <c:pt idx="167">
                  <c:v>0.21430246621642873</c:v>
                </c:pt>
                <c:pt idx="168">
                  <c:v>0.21590043024269898</c:v>
                </c:pt>
                <c:pt idx="169">
                  <c:v>0.22165616460146442</c:v>
                </c:pt>
                <c:pt idx="170">
                  <c:v>0.22628832145277814</c:v>
                </c:pt>
                <c:pt idx="171">
                  <c:v>0.23068611495390581</c:v>
                </c:pt>
                <c:pt idx="172">
                  <c:v>0.23515809611228167</c:v>
                </c:pt>
                <c:pt idx="173">
                  <c:v>0.23835014245319641</c:v>
                </c:pt>
                <c:pt idx="174">
                  <c:v>0.24358204316762133</c:v>
                </c:pt>
                <c:pt idx="175">
                  <c:v>0.24784073218452071</c:v>
                </c:pt>
                <c:pt idx="176">
                  <c:v>0.24606056502835677</c:v>
                </c:pt>
                <c:pt idx="177">
                  <c:v>0.24083766117617278</c:v>
                </c:pt>
                <c:pt idx="178">
                  <c:v>0.23401949506170835</c:v>
                </c:pt>
                <c:pt idx="179">
                  <c:v>0.22615618030371948</c:v>
                </c:pt>
                <c:pt idx="180">
                  <c:v>0.22470182828890004</c:v>
                </c:pt>
                <c:pt idx="181">
                  <c:v>0.22901653224979263</c:v>
                </c:pt>
                <c:pt idx="182">
                  <c:v>0.23112515787904964</c:v>
                </c:pt>
                <c:pt idx="183">
                  <c:v>0.23423852660157829</c:v>
                </c:pt>
                <c:pt idx="184">
                  <c:v>0.24013984319182427</c:v>
                </c:pt>
                <c:pt idx="185">
                  <c:v>0.24353852229879974</c:v>
                </c:pt>
                <c:pt idx="186">
                  <c:v>0.24857820654980772</c:v>
                </c:pt>
                <c:pt idx="187">
                  <c:v>0.25091827471297862</c:v>
                </c:pt>
                <c:pt idx="188">
                  <c:v>0.24662524613004733</c:v>
                </c:pt>
                <c:pt idx="189">
                  <c:v>0.24170945927557155</c:v>
                </c:pt>
                <c:pt idx="190">
                  <c:v>0.23331837058615809</c:v>
                </c:pt>
                <c:pt idx="191">
                  <c:v>0.22531900517823794</c:v>
                </c:pt>
                <c:pt idx="192">
                  <c:v>0.22509861516835514</c:v>
                </c:pt>
                <c:pt idx="193">
                  <c:v>0.22963186648323872</c:v>
                </c:pt>
                <c:pt idx="194">
                  <c:v>0.23520187051995831</c:v>
                </c:pt>
                <c:pt idx="195">
                  <c:v>0.24022708890066147</c:v>
                </c:pt>
                <c:pt idx="196">
                  <c:v>0.24340795181458158</c:v>
                </c:pt>
                <c:pt idx="197">
                  <c:v>0.24549566281992086</c:v>
                </c:pt>
                <c:pt idx="198">
                  <c:v>0.25057183736095789</c:v>
                </c:pt>
                <c:pt idx="199">
                  <c:v>0.25420528705036982</c:v>
                </c:pt>
                <c:pt idx="200">
                  <c:v>0.25191381895195386</c:v>
                </c:pt>
                <c:pt idx="201">
                  <c:v>0.24562604450194436</c:v>
                </c:pt>
                <c:pt idx="202">
                  <c:v>0.23682059058160543</c:v>
                </c:pt>
                <c:pt idx="203">
                  <c:v>0.23042262505163516</c:v>
                </c:pt>
                <c:pt idx="204">
                  <c:v>0.22985156512086161</c:v>
                </c:pt>
                <c:pt idx="205">
                  <c:v>0.2343261299073639</c:v>
                </c:pt>
                <c:pt idx="206">
                  <c:v>0.24040156449160882</c:v>
                </c:pt>
                <c:pt idx="207">
                  <c:v>0.2438431408139568</c:v>
                </c:pt>
                <c:pt idx="208">
                  <c:v>0.24896848158992504</c:v>
                </c:pt>
                <c:pt idx="209">
                  <c:v>0.25165417798285766</c:v>
                </c:pt>
                <c:pt idx="210">
                  <c:v>0.25761413004954092</c:v>
                </c:pt>
                <c:pt idx="211">
                  <c:v>0.25752792952725034</c:v>
                </c:pt>
                <c:pt idx="212">
                  <c:v>0.25429168632221816</c:v>
                </c:pt>
                <c:pt idx="213">
                  <c:v>0.2504419019033377</c:v>
                </c:pt>
                <c:pt idx="214">
                  <c:v>0.24000896473507025</c:v>
                </c:pt>
                <c:pt idx="215">
                  <c:v>0.23248534247418692</c:v>
                </c:pt>
                <c:pt idx="216">
                  <c:v>0.23143240844796537</c:v>
                </c:pt>
                <c:pt idx="217">
                  <c:v>0.23773851628734363</c:v>
                </c:pt>
                <c:pt idx="218">
                  <c:v>0.24410419121562613</c:v>
                </c:pt>
                <c:pt idx="219">
                  <c:v>0.248708309960915</c:v>
                </c:pt>
                <c:pt idx="220">
                  <c:v>0.25083167317379135</c:v>
                </c:pt>
                <c:pt idx="221">
                  <c:v>0.25856199602061081</c:v>
                </c:pt>
                <c:pt idx="222">
                  <c:v>0.26363540356832926</c:v>
                </c:pt>
                <c:pt idx="223">
                  <c:v>0.26702206351656388</c:v>
                </c:pt>
                <c:pt idx="224">
                  <c:v>0.26376415623080784</c:v>
                </c:pt>
                <c:pt idx="225">
                  <c:v>0.25826046984839379</c:v>
                </c:pt>
                <c:pt idx="226">
                  <c:v>0.2481878259046813</c:v>
                </c:pt>
                <c:pt idx="227">
                  <c:v>0.24266782910668239</c:v>
                </c:pt>
                <c:pt idx="228">
                  <c:v>0.24262428065018715</c:v>
                </c:pt>
                <c:pt idx="229">
                  <c:v>0.24775394570505929</c:v>
                </c:pt>
                <c:pt idx="230">
                  <c:v>0.25269246161233488</c:v>
                </c:pt>
                <c:pt idx="231">
                  <c:v>0.25847585211606888</c:v>
                </c:pt>
                <c:pt idx="232">
                  <c:v>0.25985353772683362</c:v>
                </c:pt>
                <c:pt idx="233">
                  <c:v>0.26586549147154565</c:v>
                </c:pt>
                <c:pt idx="234">
                  <c:v>0.27027263033914217</c:v>
                </c:pt>
                <c:pt idx="235">
                  <c:v>0.27168178338214594</c:v>
                </c:pt>
                <c:pt idx="236">
                  <c:v>0.27163910199105418</c:v>
                </c:pt>
                <c:pt idx="237">
                  <c:v>0.26517967766535055</c:v>
                </c:pt>
                <c:pt idx="238">
                  <c:v>0.25623430325691615</c:v>
                </c:pt>
                <c:pt idx="239">
                  <c:v>0.24731993497981972</c:v>
                </c:pt>
                <c:pt idx="240">
                  <c:v>0.24771055050748395</c:v>
                </c:pt>
                <c:pt idx="241">
                  <c:v>0.25338423580007446</c:v>
                </c:pt>
                <c:pt idx="242">
                  <c:v>0.25834662661407437</c:v>
                </c:pt>
                <c:pt idx="243">
                  <c:v>0.26363540356832926</c:v>
                </c:pt>
                <c:pt idx="244">
                  <c:v>0.2659940452734475</c:v>
                </c:pt>
                <c:pt idx="245">
                  <c:v>0.27274840798594358</c:v>
                </c:pt>
                <c:pt idx="246">
                  <c:v>0.27509220998275441</c:v>
                </c:pt>
                <c:pt idx="247">
                  <c:v>0.27687946183264034</c:v>
                </c:pt>
                <c:pt idx="248">
                  <c:v>0.27696451386160453</c:v>
                </c:pt>
                <c:pt idx="249">
                  <c:v>0.26963165094043912</c:v>
                </c:pt>
                <c:pt idx="250">
                  <c:v>0.26183165875213665</c:v>
                </c:pt>
                <c:pt idx="251">
                  <c:v>0.25429168632221816</c:v>
                </c:pt>
                <c:pt idx="252">
                  <c:v>0.25545757034741712</c:v>
                </c:pt>
                <c:pt idx="253">
                  <c:v>0.26011170737902828</c:v>
                </c:pt>
                <c:pt idx="254">
                  <c:v>0.26650814596160988</c:v>
                </c:pt>
                <c:pt idx="255">
                  <c:v>0.2711695233314726</c:v>
                </c:pt>
                <c:pt idx="256">
                  <c:v>0.27304692161483607</c:v>
                </c:pt>
                <c:pt idx="257">
                  <c:v>0.28040491407037693</c:v>
                </c:pt>
                <c:pt idx="258">
                  <c:v>0.28404872727074498</c:v>
                </c:pt>
                <c:pt idx="259">
                  <c:v>0.28624750673812982</c:v>
                </c:pt>
                <c:pt idx="260">
                  <c:v>0.28586718848142018</c:v>
                </c:pt>
                <c:pt idx="261">
                  <c:v>0.27777225815571982</c:v>
                </c:pt>
                <c:pt idx="262">
                  <c:v>0.2701871828716399</c:v>
                </c:pt>
                <c:pt idx="263">
                  <c:v>0.26410744049902013</c:v>
                </c:pt>
                <c:pt idx="264">
                  <c:v>0.26363540356832926</c:v>
                </c:pt>
                <c:pt idx="265">
                  <c:v>0.26860549118579774</c:v>
                </c:pt>
                <c:pt idx="266">
                  <c:v>0.27283370389710077</c:v>
                </c:pt>
                <c:pt idx="267">
                  <c:v>0.27709208250431316</c:v>
                </c:pt>
                <c:pt idx="268">
                  <c:v>0.28243980500638693</c:v>
                </c:pt>
                <c:pt idx="269">
                  <c:v>0.28700784260909884</c:v>
                </c:pt>
                <c:pt idx="270">
                  <c:v>0.29109832425167037</c:v>
                </c:pt>
                <c:pt idx="271">
                  <c:v>0.29294998373808151</c:v>
                </c:pt>
                <c:pt idx="272">
                  <c:v>0.29084564099664334</c:v>
                </c:pt>
                <c:pt idx="273">
                  <c:v>0.28358317111122905</c:v>
                </c:pt>
                <c:pt idx="274">
                  <c:v>0.27364376363665927</c:v>
                </c:pt>
                <c:pt idx="275">
                  <c:v>0.26710769864693196</c:v>
                </c:pt>
                <c:pt idx="276">
                  <c:v>0.26753579806873473</c:v>
                </c:pt>
                <c:pt idx="277">
                  <c:v>0.27406992824581616</c:v>
                </c:pt>
                <c:pt idx="278">
                  <c:v>0.27972597877580269</c:v>
                </c:pt>
                <c:pt idx="279">
                  <c:v>0.28404872727074498</c:v>
                </c:pt>
                <c:pt idx="280">
                  <c:v>0.28755672496786289</c:v>
                </c:pt>
                <c:pt idx="281">
                  <c:v>0.29185610858541344</c:v>
                </c:pt>
                <c:pt idx="282">
                  <c:v>0.2968139727658512</c:v>
                </c:pt>
                <c:pt idx="283">
                  <c:v>0.30020741728518119</c:v>
                </c:pt>
                <c:pt idx="284">
                  <c:v>0.29647838424587125</c:v>
                </c:pt>
                <c:pt idx="285">
                  <c:v>0.29034014167791555</c:v>
                </c:pt>
                <c:pt idx="286">
                  <c:v>0.28112593290607241</c:v>
                </c:pt>
                <c:pt idx="287">
                  <c:v>0.2731748371214936</c:v>
                </c:pt>
                <c:pt idx="288">
                  <c:v>0.27334537348989335</c:v>
                </c:pt>
                <c:pt idx="289">
                  <c:v>0.27772975657104493</c:v>
                </c:pt>
                <c:pt idx="290">
                  <c:v>0.28341384070717457</c:v>
                </c:pt>
                <c:pt idx="291">
                  <c:v>0.28675444184014132</c:v>
                </c:pt>
                <c:pt idx="292">
                  <c:v>0.29185610858541344</c:v>
                </c:pt>
                <c:pt idx="293">
                  <c:v>0.29433717040544699</c:v>
                </c:pt>
                <c:pt idx="294">
                  <c:v>0.30284125569659542</c:v>
                </c:pt>
                <c:pt idx="295">
                  <c:v>0.30592884206251841</c:v>
                </c:pt>
                <c:pt idx="296">
                  <c:v>0.30434415013981614</c:v>
                </c:pt>
                <c:pt idx="297">
                  <c:v>0.29832315583693308</c:v>
                </c:pt>
                <c:pt idx="298">
                  <c:v>0.29071928277095344</c:v>
                </c:pt>
                <c:pt idx="299">
                  <c:v>0.28205848151793295</c:v>
                </c:pt>
                <c:pt idx="300">
                  <c:v>0.28235507516311997</c:v>
                </c:pt>
                <c:pt idx="301">
                  <c:v>0.28768336047734855</c:v>
                </c:pt>
                <c:pt idx="302">
                  <c:v>0.29362272566721687</c:v>
                </c:pt>
                <c:pt idx="303">
                  <c:v>0.29786218403948628</c:v>
                </c:pt>
                <c:pt idx="304">
                  <c:v>0.30083495794705978</c:v>
                </c:pt>
                <c:pt idx="305">
                  <c:v>0.30401030887004266</c:v>
                </c:pt>
                <c:pt idx="306">
                  <c:v>0.31104633643445362</c:v>
                </c:pt>
                <c:pt idx="307">
                  <c:v>0.31270665832658501</c:v>
                </c:pt>
                <c:pt idx="308">
                  <c:v>0.31017390193106481</c:v>
                </c:pt>
                <c:pt idx="309">
                  <c:v>0.30446932070233174</c:v>
                </c:pt>
                <c:pt idx="310">
                  <c:v>0.29589091643366305</c:v>
                </c:pt>
                <c:pt idx="311">
                  <c:v>0.28683891370859382</c:v>
                </c:pt>
                <c:pt idx="312">
                  <c:v>0.28797880011229388</c:v>
                </c:pt>
                <c:pt idx="313">
                  <c:v>0.29408505383681638</c:v>
                </c:pt>
                <c:pt idx="314">
                  <c:v>0.30116953472056501</c:v>
                </c:pt>
                <c:pt idx="315">
                  <c:v>0.30317536756489971</c:v>
                </c:pt>
                <c:pt idx="316">
                  <c:v>0.30705375053345996</c:v>
                </c:pt>
                <c:pt idx="317">
                  <c:v>0.31328731986192054</c:v>
                </c:pt>
                <c:pt idx="318">
                  <c:v>0.31639403332587512</c:v>
                </c:pt>
                <c:pt idx="319">
                  <c:v>0.3189572082710998</c:v>
                </c:pt>
                <c:pt idx="320">
                  <c:v>0.31635265445446925</c:v>
                </c:pt>
                <c:pt idx="321">
                  <c:v>0.30909301345405343</c:v>
                </c:pt>
                <c:pt idx="322">
                  <c:v>0.30225637367507746</c:v>
                </c:pt>
                <c:pt idx="323">
                  <c:v>0.29475726680375902</c:v>
                </c:pt>
                <c:pt idx="324">
                  <c:v>0.29425313644451412</c:v>
                </c:pt>
                <c:pt idx="325">
                  <c:v>0.30004002699743576</c:v>
                </c:pt>
                <c:pt idx="326">
                  <c:v>0.30584548060634364</c:v>
                </c:pt>
                <c:pt idx="327">
                  <c:v>0.30859386858427595</c:v>
                </c:pt>
                <c:pt idx="328">
                  <c:v>0.31150311546826975</c:v>
                </c:pt>
                <c:pt idx="329">
                  <c:v>0.31469652565628642</c:v>
                </c:pt>
                <c:pt idx="330">
                  <c:v>0.32135090142461681</c:v>
                </c:pt>
                <c:pt idx="331">
                  <c:v>0.32406993683064367</c:v>
                </c:pt>
                <c:pt idx="332">
                  <c:v>0.32184565281522998</c:v>
                </c:pt>
                <c:pt idx="333">
                  <c:v>0.31469652565628642</c:v>
                </c:pt>
                <c:pt idx="334">
                  <c:v>0.30605387521602989</c:v>
                </c:pt>
                <c:pt idx="335">
                  <c:v>0.30317536756489971</c:v>
                </c:pt>
                <c:pt idx="336">
                  <c:v>0.30041662783687401</c:v>
                </c:pt>
                <c:pt idx="337">
                  <c:v>0.30626223972785099</c:v>
                </c:pt>
                <c:pt idx="338">
                  <c:v>0.31150311546826975</c:v>
                </c:pt>
                <c:pt idx="339">
                  <c:v>0.31668365219967981</c:v>
                </c:pt>
                <c:pt idx="340">
                  <c:v>0.31746946762158468</c:v>
                </c:pt>
                <c:pt idx="341">
                  <c:v>0.32114470492578934</c:v>
                </c:pt>
                <c:pt idx="342">
                  <c:v>0.32768736417604716</c:v>
                </c:pt>
                <c:pt idx="343">
                  <c:v>0.33076325555700942</c:v>
                </c:pt>
                <c:pt idx="344">
                  <c:v>0.32842617641262656</c:v>
                </c:pt>
                <c:pt idx="345">
                  <c:v>0.32279345233061574</c:v>
                </c:pt>
                <c:pt idx="346">
                  <c:v>0.31448937581877229</c:v>
                </c:pt>
                <c:pt idx="347">
                  <c:v>0.30809455096015637</c:v>
                </c:pt>
                <c:pt idx="348">
                  <c:v>0.30834423137398254</c:v>
                </c:pt>
                <c:pt idx="349">
                  <c:v>0.31399209482083829</c:v>
                </c:pt>
                <c:pt idx="350">
                  <c:v>0.3189572082710998</c:v>
                </c:pt>
                <c:pt idx="351">
                  <c:v>0.32402877753529308</c:v>
                </c:pt>
                <c:pt idx="352">
                  <c:v>0.32891850779297804</c:v>
                </c:pt>
                <c:pt idx="353">
                  <c:v>0.3321964303411894</c:v>
                </c:pt>
                <c:pt idx="354">
                  <c:v>0.33697702068730562</c:v>
                </c:pt>
                <c:pt idx="355">
                  <c:v>0.33974822186649467</c:v>
                </c:pt>
                <c:pt idx="356">
                  <c:v>0.33783340106320175</c:v>
                </c:pt>
                <c:pt idx="357">
                  <c:v>0.3334237337251918</c:v>
                </c:pt>
                <c:pt idx="358">
                  <c:v>0.32394645542166806</c:v>
                </c:pt>
                <c:pt idx="359">
                  <c:v>0.31767619003390707</c:v>
                </c:pt>
                <c:pt idx="360">
                  <c:v>0.3193289038394051</c:v>
                </c:pt>
                <c:pt idx="361">
                  <c:v>0.32365829102624488</c:v>
                </c:pt>
                <c:pt idx="362">
                  <c:v>0.32859030554145996</c:v>
                </c:pt>
                <c:pt idx="363">
                  <c:v>0.33452741479971682</c:v>
                </c:pt>
                <c:pt idx="364">
                  <c:v>0.33599767738901826</c:v>
                </c:pt>
                <c:pt idx="365">
                  <c:v>0.33864852908132032</c:v>
                </c:pt>
                <c:pt idx="366">
                  <c:v>0.3453152635906736</c:v>
                </c:pt>
                <c:pt idx="367">
                  <c:v>0.34624777408277535</c:v>
                </c:pt>
                <c:pt idx="368">
                  <c:v>0.3441792192903127</c:v>
                </c:pt>
                <c:pt idx="369">
                  <c:v>0.33852628923481626</c:v>
                </c:pt>
                <c:pt idx="370">
                  <c:v>0.32949268213527677</c:v>
                </c:pt>
                <c:pt idx="371">
                  <c:v>0.32229902592307286</c:v>
                </c:pt>
                <c:pt idx="372">
                  <c:v>0.32328770935119977</c:v>
                </c:pt>
                <c:pt idx="373">
                  <c:v>0.32830306731117204</c:v>
                </c:pt>
                <c:pt idx="374">
                  <c:v>0.33387348349714652</c:v>
                </c:pt>
                <c:pt idx="375">
                  <c:v>0.33775186292539572</c:v>
                </c:pt>
                <c:pt idx="376">
                  <c:v>0.34279853318864284</c:v>
                </c:pt>
                <c:pt idx="377">
                  <c:v>0.34543692958151601</c:v>
                </c:pt>
                <c:pt idx="378">
                  <c:v>0.34798954810025179</c:v>
                </c:pt>
                <c:pt idx="379">
                  <c:v>0.35203207215550791</c:v>
                </c:pt>
                <c:pt idx="380">
                  <c:v>0.34803002946285083</c:v>
                </c:pt>
                <c:pt idx="381">
                  <c:v>0.34194509590805666</c:v>
                </c:pt>
                <c:pt idx="382">
                  <c:v>0.3344865527759821</c:v>
                </c:pt>
                <c:pt idx="383">
                  <c:v>0.32760525056773293</c:v>
                </c:pt>
                <c:pt idx="384">
                  <c:v>0.32887748659446853</c:v>
                </c:pt>
                <c:pt idx="385">
                  <c:v>0.33481341656461083</c:v>
                </c:pt>
                <c:pt idx="386">
                  <c:v>0.33999248424772416</c:v>
                </c:pt>
                <c:pt idx="387">
                  <c:v>0.3421076943180667</c:v>
                </c:pt>
                <c:pt idx="388">
                  <c:v>0.34572077699832093</c:v>
                </c:pt>
                <c:pt idx="389">
                  <c:v>0.35183021475275128</c:v>
                </c:pt>
                <c:pt idx="390">
                  <c:v>0.35763243136807038</c:v>
                </c:pt>
                <c:pt idx="391">
                  <c:v>0.3594810102249153</c:v>
                </c:pt>
                <c:pt idx="392">
                  <c:v>0.35545933382447809</c:v>
                </c:pt>
                <c:pt idx="393">
                  <c:v>0.34766565630097057</c:v>
                </c:pt>
                <c:pt idx="394">
                  <c:v>0.33820026566553218</c:v>
                </c:pt>
                <c:pt idx="395">
                  <c:v>0.33154144137771635</c:v>
                </c:pt>
                <c:pt idx="396">
                  <c:v>0.3319099092591129</c:v>
                </c:pt>
                <c:pt idx="397">
                  <c:v>0.3378741684040325</c:v>
                </c:pt>
                <c:pt idx="398">
                  <c:v>0.34324537036048725</c:v>
                </c:pt>
                <c:pt idx="399">
                  <c:v>0.34782761129001444</c:v>
                </c:pt>
                <c:pt idx="400">
                  <c:v>0.35134564172245408</c:v>
                </c:pt>
                <c:pt idx="401">
                  <c:v>0.35441185902104577</c:v>
                </c:pt>
                <c:pt idx="402">
                  <c:v>0.35944084890426714</c:v>
                </c:pt>
                <c:pt idx="403">
                  <c:v>0.36140744003135555</c:v>
                </c:pt>
                <c:pt idx="404">
                  <c:v>0.36032413980374728</c:v>
                </c:pt>
                <c:pt idx="405">
                  <c:v>0.35110329415916136</c:v>
                </c:pt>
                <c:pt idx="406">
                  <c:v>0.34235155757775643</c:v>
                </c:pt>
                <c:pt idx="407">
                  <c:v>0.3342822252952366</c:v>
                </c:pt>
                <c:pt idx="408">
                  <c:v>0.33587521271928794</c:v>
                </c:pt>
                <c:pt idx="409">
                  <c:v>0.34003319062417492</c:v>
                </c:pt>
                <c:pt idx="410">
                  <c:v>0.34515302630729883</c:v>
                </c:pt>
                <c:pt idx="411">
                  <c:v>0.35090130675373682</c:v>
                </c:pt>
                <c:pt idx="412">
                  <c:v>0.35219353774503176</c:v>
                </c:pt>
                <c:pt idx="413">
                  <c:v>0.3569084291577157</c:v>
                </c:pt>
                <c:pt idx="414">
                  <c:v>0.36012343935395846</c:v>
                </c:pt>
                <c:pt idx="415">
                  <c:v>0.36377182459446167</c:v>
                </c:pt>
                <c:pt idx="416">
                  <c:v>0.36112666251503961</c:v>
                </c:pt>
                <c:pt idx="417">
                  <c:v>0.35231462507909828</c:v>
                </c:pt>
                <c:pt idx="418">
                  <c:v>0.34547748263181688</c:v>
                </c:pt>
                <c:pt idx="419">
                  <c:v>0.33889297770649457</c:v>
                </c:pt>
                <c:pt idx="420">
                  <c:v>0.33925957300098403</c:v>
                </c:pt>
                <c:pt idx="421">
                  <c:v>0.34454447395471077</c:v>
                </c:pt>
                <c:pt idx="422">
                  <c:v>0.35061847686790176</c:v>
                </c:pt>
                <c:pt idx="423">
                  <c:v>0.35598278616786283</c:v>
                </c:pt>
                <c:pt idx="424">
                  <c:v>0.35871775388910165</c:v>
                </c:pt>
                <c:pt idx="425">
                  <c:v>0.36301083553510793</c:v>
                </c:pt>
                <c:pt idx="426">
                  <c:v>0.36800999171782506</c:v>
                </c:pt>
                <c:pt idx="427">
                  <c:v>0.36968582761490204</c:v>
                </c:pt>
                <c:pt idx="428">
                  <c:v>0.36633220690413326</c:v>
                </c:pt>
                <c:pt idx="429">
                  <c:v>0.36060507353538723</c:v>
                </c:pt>
                <c:pt idx="430">
                  <c:v>0.35287956496583295</c:v>
                </c:pt>
                <c:pt idx="431">
                  <c:v>0.34588295045182915</c:v>
                </c:pt>
                <c:pt idx="432">
                  <c:v>0.34730119108821406</c:v>
                </c:pt>
                <c:pt idx="433">
                  <c:v>0.35312161435528655</c:v>
                </c:pt>
                <c:pt idx="434">
                  <c:v>0.35895882583232935</c:v>
                </c:pt>
                <c:pt idx="435">
                  <c:v>0.36273036992883079</c:v>
                </c:pt>
                <c:pt idx="436">
                  <c:v>0.36657200994220462</c:v>
                </c:pt>
                <c:pt idx="437">
                  <c:v>0.3704831610279733</c:v>
                </c:pt>
                <c:pt idx="438">
                  <c:v>0.37629038333705156</c:v>
                </c:pt>
                <c:pt idx="439">
                  <c:v>0.37783767971908239</c:v>
                </c:pt>
                <c:pt idx="440">
                  <c:v>0.37585366620313115</c:v>
                </c:pt>
                <c:pt idx="441">
                  <c:v>0.36968582761490204</c:v>
                </c:pt>
                <c:pt idx="442">
                  <c:v>0.35988256195342855</c:v>
                </c:pt>
                <c:pt idx="443">
                  <c:v>0.35582174413600615</c:v>
                </c:pt>
                <c:pt idx="444">
                  <c:v>0.35509683245126811</c:v>
                </c:pt>
                <c:pt idx="445">
                  <c:v>0.36100631256369653</c:v>
                </c:pt>
                <c:pt idx="446">
                  <c:v>0.36585248121553354</c:v>
                </c:pt>
                <c:pt idx="447">
                  <c:v>0.37135971911783916</c:v>
                </c:pt>
                <c:pt idx="448">
                  <c:v>0.37597278398719675</c:v>
                </c:pt>
                <c:pt idx="449">
                  <c:v>0.37962096205570828</c:v>
                </c:pt>
                <c:pt idx="450">
                  <c:v>0.3812438135561429</c:v>
                </c:pt>
                <c:pt idx="451">
                  <c:v>0.38345744585853175</c:v>
                </c:pt>
                <c:pt idx="452">
                  <c:v>0.38270677268151582</c:v>
                </c:pt>
                <c:pt idx="453">
                  <c:v>0.37728243090608043</c:v>
                </c:pt>
                <c:pt idx="454">
                  <c:v>0.36876834909033485</c:v>
                </c:pt>
                <c:pt idx="455">
                  <c:v>0.36132722345969809</c:v>
                </c:pt>
                <c:pt idx="456">
                  <c:v>0.36144754664467421</c:v>
                </c:pt>
                <c:pt idx="457">
                  <c:v>0.36673185649279633</c:v>
                </c:pt>
                <c:pt idx="458">
                  <c:v>0.37211631819884028</c:v>
                </c:pt>
                <c:pt idx="459">
                  <c:v>0.37549625382897855</c:v>
                </c:pt>
                <c:pt idx="460">
                  <c:v>0.37934370731460526</c:v>
                </c:pt>
                <c:pt idx="461">
                  <c:v>0.38108556691755607</c:v>
                </c:pt>
                <c:pt idx="462">
                  <c:v>0.38834700653063781</c:v>
                </c:pt>
                <c:pt idx="463">
                  <c:v>0.3894488111595088</c:v>
                </c:pt>
                <c:pt idx="464">
                  <c:v>0.38535214535553447</c:v>
                </c:pt>
                <c:pt idx="465">
                  <c:v>0.38033365825089765</c:v>
                </c:pt>
                <c:pt idx="466">
                  <c:v>0.37215612821390631</c:v>
                </c:pt>
                <c:pt idx="467">
                  <c:v>0.36433229663226918</c:v>
                </c:pt>
                <c:pt idx="468">
                  <c:v>0.36645211340564054</c:v>
                </c:pt>
                <c:pt idx="469">
                  <c:v>0.37315102173715475</c:v>
                </c:pt>
                <c:pt idx="470">
                  <c:v>0.38053156694990453</c:v>
                </c:pt>
                <c:pt idx="471">
                  <c:v>0.38401032363198068</c:v>
                </c:pt>
                <c:pt idx="472">
                  <c:v>0.38681094647221681</c:v>
                </c:pt>
                <c:pt idx="473">
                  <c:v>0.39176771995599674</c:v>
                </c:pt>
                <c:pt idx="474">
                  <c:v>0.39737270943755826</c:v>
                </c:pt>
                <c:pt idx="475">
                  <c:v>0.40038178530727464</c:v>
                </c:pt>
                <c:pt idx="476">
                  <c:v>0.39870216614997578</c:v>
                </c:pt>
                <c:pt idx="477">
                  <c:v>0.39420052964215635</c:v>
                </c:pt>
                <c:pt idx="478">
                  <c:v>0.38681094647221681</c:v>
                </c:pt>
                <c:pt idx="479">
                  <c:v>0.37914563558689091</c:v>
                </c:pt>
                <c:pt idx="480">
                  <c:v>0.38065029913905807</c:v>
                </c:pt>
                <c:pt idx="481">
                  <c:v>0.38511544395370917</c:v>
                </c:pt>
                <c:pt idx="482">
                  <c:v>0.3915320688993289</c:v>
                </c:pt>
                <c:pt idx="483">
                  <c:v>0.39565041545437801</c:v>
                </c:pt>
                <c:pt idx="484">
                  <c:v>0.39928830192579123</c:v>
                </c:pt>
                <c:pt idx="485">
                  <c:v>0.40147444051625025</c:v>
                </c:pt>
                <c:pt idx="486">
                  <c:v>0.40657554167160614</c:v>
                </c:pt>
                <c:pt idx="487">
                  <c:v>0.40645892413014484</c:v>
                </c:pt>
                <c:pt idx="488">
                  <c:v>0.40389095040272749</c:v>
                </c:pt>
                <c:pt idx="489">
                  <c:v>0.40057696301241569</c:v>
                </c:pt>
                <c:pt idx="490">
                  <c:v>0.39058907956946148</c:v>
                </c:pt>
                <c:pt idx="491">
                  <c:v>0.38227199382725641</c:v>
                </c:pt>
                <c:pt idx="492">
                  <c:v>0.38452352048875721</c:v>
                </c:pt>
                <c:pt idx="493">
                  <c:v>0.38988143286110233</c:v>
                </c:pt>
                <c:pt idx="494">
                  <c:v>0.3952978746136992</c:v>
                </c:pt>
                <c:pt idx="495">
                  <c:v>0.39995230138778842</c:v>
                </c:pt>
                <c:pt idx="496">
                  <c:v>0.40096723922560795</c:v>
                </c:pt>
                <c:pt idx="497">
                  <c:v>0.40501986550966412</c:v>
                </c:pt>
                <c:pt idx="498">
                  <c:v>0.40979822782841963</c:v>
                </c:pt>
                <c:pt idx="499">
                  <c:v>0.40890591510745228</c:v>
                </c:pt>
                <c:pt idx="500">
                  <c:v>0.40937153842691504</c:v>
                </c:pt>
                <c:pt idx="501">
                  <c:v>0.40217642497948264</c:v>
                </c:pt>
                <c:pt idx="502">
                  <c:v>0.39533705007270242</c:v>
                </c:pt>
                <c:pt idx="503">
                  <c:v>0.39094277280254291</c:v>
                </c:pt>
                <c:pt idx="504">
                  <c:v>0.39106065128020484</c:v>
                </c:pt>
                <c:pt idx="505">
                  <c:v>0.39635523879745971</c:v>
                </c:pt>
                <c:pt idx="506">
                  <c:v>0.40143543136241211</c:v>
                </c:pt>
                <c:pt idx="507">
                  <c:v>0.40505877786528899</c:v>
                </c:pt>
                <c:pt idx="508">
                  <c:v>0.40867304708140773</c:v>
                </c:pt>
                <c:pt idx="509">
                  <c:v>0.4123170014542763</c:v>
                </c:pt>
                <c:pt idx="510">
                  <c:v>0.41587453478450814</c:v>
                </c:pt>
                <c:pt idx="511">
                  <c:v>0.41772716250271424</c:v>
                </c:pt>
                <c:pt idx="512">
                  <c:v>0.41529510039387307</c:v>
                </c:pt>
                <c:pt idx="513">
                  <c:v>0.40863423208911642</c:v>
                </c:pt>
                <c:pt idx="514">
                  <c:v>0.40124036977007455</c:v>
                </c:pt>
                <c:pt idx="515">
                  <c:v>0.39561124850380214</c:v>
                </c:pt>
                <c:pt idx="516">
                  <c:v>0.39666838312207731</c:v>
                </c:pt>
                <c:pt idx="517">
                  <c:v>0.40186447405316023</c:v>
                </c:pt>
                <c:pt idx="518">
                  <c:v>0.40762467556660881</c:v>
                </c:pt>
                <c:pt idx="519">
                  <c:v>0.4125879918965209</c:v>
                </c:pt>
                <c:pt idx="520">
                  <c:v>0.41517918558409256</c:v>
                </c:pt>
                <c:pt idx="521">
                  <c:v>0.41876822106763295</c:v>
                </c:pt>
                <c:pt idx="522">
                  <c:v>0.4221945488102623</c:v>
                </c:pt>
                <c:pt idx="523">
                  <c:v>0.42503722288541401</c:v>
                </c:pt>
                <c:pt idx="524">
                  <c:v>0.42411588811097739</c:v>
                </c:pt>
                <c:pt idx="525">
                  <c:v>0.41822850669924977</c:v>
                </c:pt>
                <c:pt idx="526">
                  <c:v>0.40999213584619632</c:v>
                </c:pt>
                <c:pt idx="527">
                  <c:v>0.40568123285968838</c:v>
                </c:pt>
                <c:pt idx="528">
                  <c:v>0.40494203764964165</c:v>
                </c:pt>
                <c:pt idx="529">
                  <c:v>0.41154246245041559</c:v>
                </c:pt>
                <c:pt idx="530">
                  <c:v>0.41753429141234943</c:v>
                </c:pt>
                <c:pt idx="531">
                  <c:v>0.42173304638074988</c:v>
                </c:pt>
                <c:pt idx="532">
                  <c:v>0.42461501748300506</c:v>
                </c:pt>
                <c:pt idx="533">
                  <c:v>0.42775939831875309</c:v>
                </c:pt>
                <c:pt idx="534">
                  <c:v>0.43265404267746627</c:v>
                </c:pt>
                <c:pt idx="535">
                  <c:v>0.43593332976445326</c:v>
                </c:pt>
                <c:pt idx="536">
                  <c:v>0.43471400051463627</c:v>
                </c:pt>
                <c:pt idx="537">
                  <c:v>0.42867840994823009</c:v>
                </c:pt>
                <c:pt idx="538">
                  <c:v>0.41980852893927539</c:v>
                </c:pt>
                <c:pt idx="539">
                  <c:v>0.41506326146026928</c:v>
                </c:pt>
                <c:pt idx="540">
                  <c:v>0.41494732802090711</c:v>
                </c:pt>
                <c:pt idx="541">
                  <c:v>0.42084808719949091</c:v>
                </c:pt>
                <c:pt idx="542">
                  <c:v>0.42595796965197702</c:v>
                </c:pt>
                <c:pt idx="543">
                  <c:v>0.42978810183201854</c:v>
                </c:pt>
                <c:pt idx="544">
                  <c:v>0.43315022733337655</c:v>
                </c:pt>
                <c:pt idx="545">
                  <c:v>0.4369993981425544</c:v>
                </c:pt>
                <c:pt idx="546">
                  <c:v>0.44262128166655951</c:v>
                </c:pt>
                <c:pt idx="547">
                  <c:v>0.44360665147561484</c:v>
                </c:pt>
                <c:pt idx="548">
                  <c:v>0.44007895337646558</c:v>
                </c:pt>
                <c:pt idx="549">
                  <c:v>0.43162295971329212</c:v>
                </c:pt>
                <c:pt idx="550">
                  <c:v>0.42595796965197702</c:v>
                </c:pt>
                <c:pt idx="551">
                  <c:v>0.41926920368406412</c:v>
                </c:pt>
                <c:pt idx="552">
                  <c:v>0.42003960662918038</c:v>
                </c:pt>
                <c:pt idx="553">
                  <c:v>0.42657147452910854</c:v>
                </c:pt>
                <c:pt idx="554">
                  <c:v>0.43173756088430215</c:v>
                </c:pt>
                <c:pt idx="555">
                  <c:v>0.43536189749141069</c:v>
                </c:pt>
                <c:pt idx="556">
                  <c:v>0.4402308599854548</c:v>
                </c:pt>
                <c:pt idx="557">
                  <c:v>0.44417482806617692</c:v>
                </c:pt>
                <c:pt idx="558">
                  <c:v>0.44995748362800358</c:v>
                </c:pt>
                <c:pt idx="559">
                  <c:v>0.45056086926661437</c:v>
                </c:pt>
                <c:pt idx="560">
                  <c:v>0.44965569614841971</c:v>
                </c:pt>
                <c:pt idx="561">
                  <c:v>0.44409908411483445</c:v>
                </c:pt>
                <c:pt idx="562">
                  <c:v>0.43650453579040066</c:v>
                </c:pt>
                <c:pt idx="563">
                  <c:v>0.42871668939795532</c:v>
                </c:pt>
                <c:pt idx="564">
                  <c:v>0.42986460085324052</c:v>
                </c:pt>
                <c:pt idx="565">
                  <c:v>0.43501892945440074</c:v>
                </c:pt>
                <c:pt idx="566">
                  <c:v>0.44174904700923706</c:v>
                </c:pt>
                <c:pt idx="567">
                  <c:v>0.44655872924400647</c:v>
                </c:pt>
                <c:pt idx="568">
                  <c:v>0.44965569614841971</c:v>
                </c:pt>
                <c:pt idx="569">
                  <c:v>0.4513901126832936</c:v>
                </c:pt>
                <c:pt idx="570">
                  <c:v>0.45868197193771321</c:v>
                </c:pt>
                <c:pt idx="571">
                  <c:v>0.46025578035116405</c:v>
                </c:pt>
                <c:pt idx="572">
                  <c:v>0.45658088651772205</c:v>
                </c:pt>
                <c:pt idx="573">
                  <c:v>0.45059857249129948</c:v>
                </c:pt>
                <c:pt idx="574">
                  <c:v>0.44284873444169331</c:v>
                </c:pt>
                <c:pt idx="575">
                  <c:v>0.4369232765205403</c:v>
                </c:pt>
                <c:pt idx="576">
                  <c:v>0.43802664712394201</c:v>
                </c:pt>
                <c:pt idx="577">
                  <c:v>0.44190077787897852</c:v>
                </c:pt>
                <c:pt idx="578">
                  <c:v>0.44822134288530163</c:v>
                </c:pt>
                <c:pt idx="579">
                  <c:v>0.45229419859155129</c:v>
                </c:pt>
                <c:pt idx="580">
                  <c:v>0.45613025554704617</c:v>
                </c:pt>
                <c:pt idx="581">
                  <c:v>0.45871946352542553</c:v>
                </c:pt>
                <c:pt idx="582">
                  <c:v>0.46589985649655991</c:v>
                </c:pt>
                <c:pt idx="583">
                  <c:v>0.46608636928151376</c:v>
                </c:pt>
                <c:pt idx="584">
                  <c:v>0.4644068855296089</c:v>
                </c:pt>
                <c:pt idx="585">
                  <c:v>0.45841950353975386</c:v>
                </c:pt>
                <c:pt idx="586">
                  <c:v>0.44905193173664115</c:v>
                </c:pt>
                <c:pt idx="587">
                  <c:v>0.44512129207761308</c:v>
                </c:pt>
                <c:pt idx="588">
                  <c:v>0.44576453312043945</c:v>
                </c:pt>
                <c:pt idx="589">
                  <c:v>0.4507870738361669</c:v>
                </c:pt>
                <c:pt idx="590">
                  <c:v>0.45639314071876497</c:v>
                </c:pt>
                <c:pt idx="591">
                  <c:v>0.46235152448856948</c:v>
                </c:pt>
                <c:pt idx="592">
                  <c:v>0.46339825601108536</c:v>
                </c:pt>
                <c:pt idx="593">
                  <c:v>0.46422015547914297</c:v>
                </c:pt>
                <c:pt idx="594">
                  <c:v>0.46813642006500927</c:v>
                </c:pt>
                <c:pt idx="595">
                  <c:v>0.47352717715675879</c:v>
                </c:pt>
                <c:pt idx="596">
                  <c:v>0.47059264190111394</c:v>
                </c:pt>
                <c:pt idx="597">
                  <c:v>0.46548944347381965</c:v>
                </c:pt>
                <c:pt idx="598">
                  <c:v>0.45688122898594291</c:v>
                </c:pt>
                <c:pt idx="599">
                  <c:v>0.45346113832373852</c:v>
                </c:pt>
                <c:pt idx="600">
                  <c:v>0.45274602917491535</c:v>
                </c:pt>
                <c:pt idx="601">
                  <c:v>0.45721903954172527</c:v>
                </c:pt>
                <c:pt idx="602">
                  <c:v>0.4623889208373384</c:v>
                </c:pt>
                <c:pt idx="603">
                  <c:v>0.46754034205383838</c:v>
                </c:pt>
                <c:pt idx="604">
                  <c:v>0.46951390791885167</c:v>
                </c:pt>
                <c:pt idx="605">
                  <c:v>0.47449166951900662</c:v>
                </c:pt>
                <c:pt idx="606">
                  <c:v>0.47715921118664112</c:v>
                </c:pt>
                <c:pt idx="607">
                  <c:v>0.47937840104259694</c:v>
                </c:pt>
                <c:pt idx="608">
                  <c:v>0.47693710433670838</c:v>
                </c:pt>
                <c:pt idx="609">
                  <c:v>0.47152193804450682</c:v>
                </c:pt>
                <c:pt idx="610">
                  <c:v>0.46425750342278521</c:v>
                </c:pt>
                <c:pt idx="611">
                  <c:v>0.45924424347749254</c:v>
                </c:pt>
                <c:pt idx="612">
                  <c:v>0.45808197399149425</c:v>
                </c:pt>
                <c:pt idx="613">
                  <c:v>0.46403340125681564</c:v>
                </c:pt>
                <c:pt idx="614">
                  <c:v>0.46925340296447982</c:v>
                </c:pt>
                <c:pt idx="615">
                  <c:v>0.47400950393751357</c:v>
                </c:pt>
                <c:pt idx="616">
                  <c:v>0.47956317953598965</c:v>
                </c:pt>
                <c:pt idx="617">
                  <c:v>0.48310634496717497</c:v>
                </c:pt>
                <c:pt idx="618">
                  <c:v>0.4878905530991211</c:v>
                </c:pt>
                <c:pt idx="619">
                  <c:v>0.4898731851668387</c:v>
                </c:pt>
                <c:pt idx="620">
                  <c:v>0.4868246806556118</c:v>
                </c:pt>
                <c:pt idx="621">
                  <c:v>0.47956317953598965</c:v>
                </c:pt>
                <c:pt idx="622">
                  <c:v>0.47263630384637006</c:v>
                </c:pt>
                <c:pt idx="623">
                  <c:v>0.46701857168978234</c:v>
                </c:pt>
                <c:pt idx="624">
                  <c:v>0.46850884379594554</c:v>
                </c:pt>
                <c:pt idx="625">
                  <c:v>0.47386111287143712</c:v>
                </c:pt>
                <c:pt idx="626">
                  <c:v>0.47801030414984191</c:v>
                </c:pt>
                <c:pt idx="627">
                  <c:v>0.48358548034607413</c:v>
                </c:pt>
                <c:pt idx="628">
                  <c:v>0.48561083266005051</c:v>
                </c:pt>
                <c:pt idx="629">
                  <c:v>0.48836810248236423</c:v>
                </c:pt>
                <c:pt idx="630">
                  <c:v>0.49071681287639107</c:v>
                </c:pt>
                <c:pt idx="631">
                  <c:v>0.49426930357072107</c:v>
                </c:pt>
                <c:pt idx="632">
                  <c:v>0.49258570776646082</c:v>
                </c:pt>
                <c:pt idx="633">
                  <c:v>0.48807424464635712</c:v>
                </c:pt>
                <c:pt idx="634">
                  <c:v>0.47926752258572419</c:v>
                </c:pt>
                <c:pt idx="635">
                  <c:v>0.47538139821873787</c:v>
                </c:pt>
                <c:pt idx="636">
                  <c:v>0.47504781425465853</c:v>
                </c:pt>
                <c:pt idx="637">
                  <c:v>0.47982182967399284</c:v>
                </c:pt>
                <c:pt idx="638">
                  <c:v>0.48564763094194874</c:v>
                </c:pt>
                <c:pt idx="639">
                  <c:v>0.4902400404403634</c:v>
                </c:pt>
                <c:pt idx="640">
                  <c:v>0.49291526157867827</c:v>
                </c:pt>
                <c:pt idx="641">
                  <c:v>0.49492756747912453</c:v>
                </c:pt>
                <c:pt idx="642">
                  <c:v>0.50145734365703309</c:v>
                </c:pt>
                <c:pt idx="643">
                  <c:v>0.50345777829071003</c:v>
                </c:pt>
                <c:pt idx="644">
                  <c:v>0.49974568063274527</c:v>
                </c:pt>
                <c:pt idx="645">
                  <c:v>0.49481787768314806</c:v>
                </c:pt>
                <c:pt idx="646">
                  <c:v>0.48759659796662874</c:v>
                </c:pt>
                <c:pt idx="647">
                  <c:v>0.48292201974993032</c:v>
                </c:pt>
                <c:pt idx="648">
                  <c:v>0.48273767097945647</c:v>
                </c:pt>
                <c:pt idx="649">
                  <c:v>0.48983649450825167</c:v>
                </c:pt>
                <c:pt idx="650">
                  <c:v>0.49485444187513067</c:v>
                </c:pt>
                <c:pt idx="651">
                  <c:v>0.49927188316908833</c:v>
                </c:pt>
                <c:pt idx="652">
                  <c:v>0.50382119585545315</c:v>
                </c:pt>
                <c:pt idx="653">
                  <c:v>0.50610862382400879</c:v>
                </c:pt>
                <c:pt idx="654">
                  <c:v>0.50965965196384122</c:v>
                </c:pt>
                <c:pt idx="655">
                  <c:v>0.51464530577849399</c:v>
                </c:pt>
                <c:pt idx="656">
                  <c:v>0.5102747580160486</c:v>
                </c:pt>
                <c:pt idx="657">
                  <c:v>0.50556432698509302</c:v>
                </c:pt>
                <c:pt idx="658">
                  <c:v>0.49784955645922896</c:v>
                </c:pt>
                <c:pt idx="659">
                  <c:v>0.49174317251988486</c:v>
                </c:pt>
                <c:pt idx="660">
                  <c:v>0.49240258978171431</c:v>
                </c:pt>
                <c:pt idx="661">
                  <c:v>0.49774008860909347</c:v>
                </c:pt>
                <c:pt idx="662">
                  <c:v>0.50382119585545315</c:v>
                </c:pt>
                <c:pt idx="663">
                  <c:v>0.50748659078948732</c:v>
                </c:pt>
                <c:pt idx="664">
                  <c:v>0.50831998448950766</c:v>
                </c:pt>
                <c:pt idx="665">
                  <c:v>0.51424852992186132</c:v>
                </c:pt>
                <c:pt idx="666">
                  <c:v>0.52000909275354024</c:v>
                </c:pt>
                <c:pt idx="667">
                  <c:v>0.52162511534624834</c:v>
                </c:pt>
                <c:pt idx="668">
                  <c:v>0.5197216102426353</c:v>
                </c:pt>
                <c:pt idx="669">
                  <c:v>0.51193784891495564</c:v>
                </c:pt>
                <c:pt idx="670">
                  <c:v>0.50436615061227197</c:v>
                </c:pt>
                <c:pt idx="671">
                  <c:v>0.49839677115263525</c:v>
                </c:pt>
                <c:pt idx="672">
                  <c:v>0.50065639249457372</c:v>
                </c:pt>
                <c:pt idx="673">
                  <c:v>0.50516504541734131</c:v>
                </c:pt>
                <c:pt idx="674">
                  <c:v>0.51125115244612851</c:v>
                </c:pt>
                <c:pt idx="675">
                  <c:v>0.51522223956909252</c:v>
                </c:pt>
                <c:pt idx="676">
                  <c:v>0.51655551596218474</c:v>
                </c:pt>
                <c:pt idx="677">
                  <c:v>0.52083528601459983</c:v>
                </c:pt>
                <c:pt idx="678">
                  <c:v>0.52660542876170069</c:v>
                </c:pt>
                <c:pt idx="679">
                  <c:v>0.52946402049003916</c:v>
                </c:pt>
                <c:pt idx="680">
                  <c:v>0.52524561093224054</c:v>
                </c:pt>
                <c:pt idx="681">
                  <c:v>0.51982942289753653</c:v>
                </c:pt>
                <c:pt idx="682">
                  <c:v>0.51135959993669367</c:v>
                </c:pt>
                <c:pt idx="683">
                  <c:v>0.50668898086543035</c:v>
                </c:pt>
                <c:pt idx="684">
                  <c:v>0.50911669345346611</c:v>
                </c:pt>
                <c:pt idx="685">
                  <c:v>0.51554666346621814</c:v>
                </c:pt>
                <c:pt idx="686">
                  <c:v>0.52198398578437877</c:v>
                </c:pt>
                <c:pt idx="687">
                  <c:v>0.52438611777087951</c:v>
                </c:pt>
                <c:pt idx="688">
                  <c:v>0.52982094652869527</c:v>
                </c:pt>
                <c:pt idx="689">
                  <c:v>0.53270879759518996</c:v>
                </c:pt>
                <c:pt idx="690">
                  <c:v>0.54172722433348508</c:v>
                </c:pt>
                <c:pt idx="691">
                  <c:v>0.5427886799601942</c:v>
                </c:pt>
                <c:pt idx="692">
                  <c:v>0.53956651983320436</c:v>
                </c:pt>
                <c:pt idx="693">
                  <c:v>0.53103383496841972</c:v>
                </c:pt>
                <c:pt idx="694">
                  <c:v>0.52338272814934861</c:v>
                </c:pt>
                <c:pt idx="695">
                  <c:v>0.51900265323929839</c:v>
                </c:pt>
                <c:pt idx="696">
                  <c:v>0.52101483065422127</c:v>
                </c:pt>
                <c:pt idx="697">
                  <c:v>0.52792823149882584</c:v>
                </c:pt>
                <c:pt idx="698">
                  <c:v>0.53121211494354725</c:v>
                </c:pt>
                <c:pt idx="699">
                  <c:v>0.5373315704079159</c:v>
                </c:pt>
                <c:pt idx="700">
                  <c:v>0.53839626385189021</c:v>
                </c:pt>
                <c:pt idx="701">
                  <c:v>0.54151483946067869</c:v>
                </c:pt>
                <c:pt idx="702">
                  <c:v>0.54744982914396567</c:v>
                </c:pt>
                <c:pt idx="703">
                  <c:v>0.54980996610473554</c:v>
                </c:pt>
                <c:pt idx="704">
                  <c:v>0.54695617814141118</c:v>
                </c:pt>
                <c:pt idx="705">
                  <c:v>0.54077124608923599</c:v>
                </c:pt>
                <c:pt idx="706">
                  <c:v>0.53363453792318827</c:v>
                </c:pt>
                <c:pt idx="707">
                  <c:v>0.52739210629320266</c:v>
                </c:pt>
                <c:pt idx="708">
                  <c:v>0.52828553765041275</c:v>
                </c:pt>
                <c:pt idx="709">
                  <c:v>0.53359894350795678</c:v>
                </c:pt>
                <c:pt idx="710">
                  <c:v>0.53960196732128063</c:v>
                </c:pt>
                <c:pt idx="711">
                  <c:v>0.54367263013850597</c:v>
                </c:pt>
                <c:pt idx="712">
                  <c:v>0.54497988325580371</c:v>
                </c:pt>
                <c:pt idx="713">
                  <c:v>0.54875366569081085</c:v>
                </c:pt>
                <c:pt idx="714">
                  <c:v>0.55177966000822387</c:v>
                </c:pt>
                <c:pt idx="715">
                  <c:v>0.55525523163276624</c:v>
                </c:pt>
                <c:pt idx="716">
                  <c:v>0.55367646424055572</c:v>
                </c:pt>
                <c:pt idx="717">
                  <c:v>0.54632123569403679</c:v>
                </c:pt>
                <c:pt idx="718">
                  <c:v>0.54016900871244178</c:v>
                </c:pt>
                <c:pt idx="719">
                  <c:v>0.53502203557263439</c:v>
                </c:pt>
                <c:pt idx="720">
                  <c:v>0.53672789516201203</c:v>
                </c:pt>
                <c:pt idx="721">
                  <c:v>0.54388469761513192</c:v>
                </c:pt>
                <c:pt idx="722">
                  <c:v>0.54762609214567415</c:v>
                </c:pt>
                <c:pt idx="723">
                  <c:v>0.55381686910097527</c:v>
                </c:pt>
                <c:pt idx="724">
                  <c:v>0.55707743595872172</c:v>
                </c:pt>
                <c:pt idx="725">
                  <c:v>0.55784767624929055</c:v>
                </c:pt>
                <c:pt idx="726">
                  <c:v>0.56260005485176923</c:v>
                </c:pt>
                <c:pt idx="727">
                  <c:v>0.5671977348752254</c:v>
                </c:pt>
                <c:pt idx="728">
                  <c:v>0.56472656147689648</c:v>
                </c:pt>
                <c:pt idx="729">
                  <c:v>0.55707743595872172</c:v>
                </c:pt>
                <c:pt idx="730">
                  <c:v>0.55079514920632977</c:v>
                </c:pt>
                <c:pt idx="731">
                  <c:v>0.54582719830025894</c:v>
                </c:pt>
                <c:pt idx="732">
                  <c:v>0.54575660771720447</c:v>
                </c:pt>
                <c:pt idx="733">
                  <c:v>0.55184995650684376</c:v>
                </c:pt>
                <c:pt idx="734">
                  <c:v>0.55711245580363478</c:v>
                </c:pt>
                <c:pt idx="735">
                  <c:v>0.56277447665277325</c:v>
                </c:pt>
                <c:pt idx="736">
                  <c:v>0.5653186364111572</c:v>
                </c:pt>
                <c:pt idx="737">
                  <c:v>0.56671079616493381</c:v>
                </c:pt>
                <c:pt idx="738">
                  <c:v>0.57261253351296471</c:v>
                </c:pt>
                <c:pt idx="739">
                  <c:v>0.57558894751138634</c:v>
                </c:pt>
                <c:pt idx="740">
                  <c:v>0.57316675010211449</c:v>
                </c:pt>
                <c:pt idx="741">
                  <c:v>0.56622369304750153</c:v>
                </c:pt>
                <c:pt idx="742">
                  <c:v>0.55984138796829153</c:v>
                </c:pt>
                <c:pt idx="743">
                  <c:v>0.5554656034766593</c:v>
                </c:pt>
                <c:pt idx="744">
                  <c:v>0.55543054363289546</c:v>
                </c:pt>
                <c:pt idx="745">
                  <c:v>0.56106423302379171</c:v>
                </c:pt>
                <c:pt idx="746">
                  <c:v>0.56500521524359781</c:v>
                </c:pt>
                <c:pt idx="747">
                  <c:v>0.56938692750523079</c:v>
                </c:pt>
                <c:pt idx="748">
                  <c:v>0.57365151503101131</c:v>
                </c:pt>
                <c:pt idx="749">
                  <c:v>0.57672943161896173</c:v>
                </c:pt>
                <c:pt idx="750">
                  <c:v>0.58155784820606116</c:v>
                </c:pt>
                <c:pt idx="751">
                  <c:v>0.58183327024071485</c:v>
                </c:pt>
                <c:pt idx="752">
                  <c:v>0.5812823735810958</c:v>
                </c:pt>
                <c:pt idx="753">
                  <c:v>0.57427454497606012</c:v>
                </c:pt>
                <c:pt idx="754">
                  <c:v>0.56566680231310262</c:v>
                </c:pt>
                <c:pt idx="755">
                  <c:v>0.56162290287573691</c:v>
                </c:pt>
                <c:pt idx="756">
                  <c:v>0.56385542139796185</c:v>
                </c:pt>
                <c:pt idx="757">
                  <c:v>0.56758021431180217</c:v>
                </c:pt>
                <c:pt idx="758">
                  <c:v>0.5734784033974879</c:v>
                </c:pt>
                <c:pt idx="759">
                  <c:v>0.57852473043934227</c:v>
                </c:pt>
                <c:pt idx="760">
                  <c:v>0.58234954487825097</c:v>
                </c:pt>
                <c:pt idx="761">
                  <c:v>0.5806968152950519</c:v>
                </c:pt>
                <c:pt idx="762">
                  <c:v>0.5856150008995481</c:v>
                </c:pt>
                <c:pt idx="763">
                  <c:v>0.58829059758610203</c:v>
                </c:pt>
                <c:pt idx="764">
                  <c:v>0.58818778172396691</c:v>
                </c:pt>
                <c:pt idx="765">
                  <c:v>0.58100684634573119</c:v>
                </c:pt>
                <c:pt idx="766">
                  <c:v>0.57513941823551418</c:v>
                </c:pt>
                <c:pt idx="767">
                  <c:v>0.57084454590484046</c:v>
                </c:pt>
                <c:pt idx="768">
                  <c:v>0.57025473490173317</c:v>
                </c:pt>
                <c:pt idx="769">
                  <c:v>0.57624569998219233</c:v>
                </c:pt>
                <c:pt idx="770">
                  <c:v>0.5814889844809461</c:v>
                </c:pt>
                <c:pt idx="771">
                  <c:v>0.58317520020842994</c:v>
                </c:pt>
                <c:pt idx="772">
                  <c:v>0.58602695427511742</c:v>
                </c:pt>
                <c:pt idx="773">
                  <c:v>0.58835913742367907</c:v>
                </c:pt>
                <c:pt idx="774">
                  <c:v>0.59642406189270203</c:v>
                </c:pt>
                <c:pt idx="775">
                  <c:v>0.59863743761823274</c:v>
                </c:pt>
                <c:pt idx="776">
                  <c:v>0.59754820008752652</c:v>
                </c:pt>
                <c:pt idx="777">
                  <c:v>0.59123487420164555</c:v>
                </c:pt>
                <c:pt idx="778">
                  <c:v>0.58386288554529309</c:v>
                </c:pt>
                <c:pt idx="779">
                  <c:v>0.57980079560537734</c:v>
                </c:pt>
                <c:pt idx="780">
                  <c:v>0.58090351006474894</c:v>
                </c:pt>
                <c:pt idx="781">
                  <c:v>0.58654173063114645</c:v>
                </c:pt>
                <c:pt idx="782">
                  <c:v>0.59133747314496576</c:v>
                </c:pt>
                <c:pt idx="783">
                  <c:v>0.5945485495503543</c:v>
                </c:pt>
                <c:pt idx="784">
                  <c:v>0.60050764534578571</c:v>
                </c:pt>
                <c:pt idx="785">
                  <c:v>0.6033253768403416</c:v>
                </c:pt>
                <c:pt idx="786">
                  <c:v>0.60715274035522215</c:v>
                </c:pt>
                <c:pt idx="787">
                  <c:v>0.60847133541530962</c:v>
                </c:pt>
                <c:pt idx="788">
                  <c:v>0.60850512970305437</c:v>
                </c:pt>
                <c:pt idx="789">
                  <c:v>0.60390182416318638</c:v>
                </c:pt>
                <c:pt idx="790">
                  <c:v>0.5951967295060876</c:v>
                </c:pt>
                <c:pt idx="791">
                  <c:v>0.59191872937568002</c:v>
                </c:pt>
                <c:pt idx="792">
                  <c:v>0.59311469648461523</c:v>
                </c:pt>
                <c:pt idx="793">
                  <c:v>0.59812695991960418</c:v>
                </c:pt>
                <c:pt idx="794">
                  <c:v>0.60339320612834335</c:v>
                </c:pt>
                <c:pt idx="795">
                  <c:v>0.60762622084548734</c:v>
                </c:pt>
                <c:pt idx="796">
                  <c:v>0.60911329155599458</c:v>
                </c:pt>
                <c:pt idx="797">
                  <c:v>0.61268949829656494</c:v>
                </c:pt>
                <c:pt idx="798">
                  <c:v>0.61770148904698363</c:v>
                </c:pt>
                <c:pt idx="799">
                  <c:v>0.62061992214258854</c:v>
                </c:pt>
                <c:pt idx="800">
                  <c:v>0.61760074804903375</c:v>
                </c:pt>
                <c:pt idx="801">
                  <c:v>0.61174570112861226</c:v>
                </c:pt>
                <c:pt idx="802">
                  <c:v>0.60366449139444733</c:v>
                </c:pt>
                <c:pt idx="803">
                  <c:v>0.59989584420727626</c:v>
                </c:pt>
                <c:pt idx="804">
                  <c:v>0.60159465162047843</c:v>
                </c:pt>
                <c:pt idx="805">
                  <c:v>0.60698360251420269</c:v>
                </c:pt>
                <c:pt idx="806">
                  <c:v>0.61046384518116448</c:v>
                </c:pt>
                <c:pt idx="807">
                  <c:v>0.61427234255403185</c:v>
                </c:pt>
                <c:pt idx="808">
                  <c:v>0.61672736460373478</c:v>
                </c:pt>
                <c:pt idx="809">
                  <c:v>0.61941301059793685</c:v>
                </c:pt>
                <c:pt idx="810">
                  <c:v>0.6226626646700556</c:v>
                </c:pt>
                <c:pt idx="811">
                  <c:v>0.62673949306079169</c:v>
                </c:pt>
                <c:pt idx="812">
                  <c:v>0.6236996723378585</c:v>
                </c:pt>
                <c:pt idx="813">
                  <c:v>0.61598793464393697</c:v>
                </c:pt>
                <c:pt idx="814">
                  <c:v>0.61066631922353776</c:v>
                </c:pt>
              </c:numCache>
            </c:numRef>
          </c:xVal>
          <c:yVal>
            <c:numRef>
              <c:f>ENSO!$J$9:$J$823</c:f>
              <c:numCache>
                <c:formatCode>0.000</c:formatCode>
                <c:ptCount val="815"/>
                <c:pt idx="0">
                  <c:v>2.5737589474927949E-3</c:v>
                </c:pt>
                <c:pt idx="1">
                  <c:v>-7.852086364652764E-3</c:v>
                </c:pt>
                <c:pt idx="2">
                  <c:v>-1.4370575569072345E-2</c:v>
                </c:pt>
                <c:pt idx="3">
                  <c:v>5.3888669033135175E-2</c:v>
                </c:pt>
                <c:pt idx="4">
                  <c:v>3.8666402839762408E-2</c:v>
                </c:pt>
                <c:pt idx="5">
                  <c:v>0.13125884886185191</c:v>
                </c:pt>
                <c:pt idx="6">
                  <c:v>0.10777733806627035</c:v>
                </c:pt>
                <c:pt idx="7">
                  <c:v>-1.5704172729312633E-2</c:v>
                </c:pt>
                <c:pt idx="8">
                  <c:v>-1.1778129546986246E-2</c:v>
                </c:pt>
                <c:pt idx="9">
                  <c:v>-3.9447302569267859E-3</c:v>
                </c:pt>
                <c:pt idx="10">
                  <c:v>-3.0889064773489926E-2</c:v>
                </c:pt>
                <c:pt idx="11">
                  <c:v>-6.1740755397791489E-2</c:v>
                </c:pt>
                <c:pt idx="12">
                  <c:v>-5.3462823720985847E-2</c:v>
                </c:pt>
                <c:pt idx="13">
                  <c:v>-5.9981312925405428E-2</c:v>
                </c:pt>
                <c:pt idx="14">
                  <c:v>3.4815107955819863E-3</c:v>
                </c:pt>
                <c:pt idx="15">
                  <c:v>-9.574154687850462E-3</c:v>
                </c:pt>
                <c:pt idx="16">
                  <c:v>0.10998131292540259</c:v>
                </c:pt>
                <c:pt idx="17">
                  <c:v>-0.3621852877845384</c:v>
                </c:pt>
                <c:pt idx="18">
                  <c:v>-0.15174075539778958</c:v>
                </c:pt>
                <c:pt idx="19">
                  <c:v>-8.2611133096688341E-2</c:v>
                </c:pt>
                <c:pt idx="20">
                  <c:v>-4.5222266193372128E-2</c:v>
                </c:pt>
                <c:pt idx="21">
                  <c:v>-5.4796420881222593E-2</c:v>
                </c:pt>
                <c:pt idx="22">
                  <c:v>1.6518489204421141E-2</c:v>
                </c:pt>
                <c:pt idx="23">
                  <c:v>7.0000000000000284E-2</c:v>
                </c:pt>
                <c:pt idx="24">
                  <c:v>5.9129622301103225E-2</c:v>
                </c:pt>
                <c:pt idx="25">
                  <c:v>-0.12305566548343011</c:v>
                </c:pt>
                <c:pt idx="26">
                  <c:v>0.17346282372098684</c:v>
                </c:pt>
                <c:pt idx="27">
                  <c:v>6.3036978408836306E-2</c:v>
                </c:pt>
                <c:pt idx="28">
                  <c:v>0.19609264389226977</c:v>
                </c:pt>
                <c:pt idx="29">
                  <c:v>9.6092643892268334E-2</c:v>
                </c:pt>
                <c:pt idx="30">
                  <c:v>0.12999999999999901</c:v>
                </c:pt>
                <c:pt idx="31">
                  <c:v>0.11738886690331095</c:v>
                </c:pt>
                <c:pt idx="32">
                  <c:v>0.10912962230110215</c:v>
                </c:pt>
                <c:pt idx="33">
                  <c:v>5.64811150552408E-3</c:v>
                </c:pt>
                <c:pt idx="34">
                  <c:v>-9.1483093756993608E-3</c:v>
                </c:pt>
                <c:pt idx="35">
                  <c:v>6.0851690624299147E-2</c:v>
                </c:pt>
                <c:pt idx="36">
                  <c:v>-6.9630215911639726E-3</c:v>
                </c:pt>
                <c:pt idx="37">
                  <c:v>4.7407553977907517E-2</c:v>
                </c:pt>
                <c:pt idx="38">
                  <c:v>-0.13214791363534426</c:v>
                </c:pt>
                <c:pt idx="39">
                  <c:v>6.914830937570518E-2</c:v>
                </c:pt>
                <c:pt idx="40">
                  <c:v>0.15957415468784905</c:v>
                </c:pt>
                <c:pt idx="41">
                  <c:v>0.10435188849447535</c:v>
                </c:pt>
                <c:pt idx="42">
                  <c:v>6.3926043182332207E-2</c:v>
                </c:pt>
                <c:pt idx="43">
                  <c:v>-4.5203579118777051E-2</c:v>
                </c:pt>
                <c:pt idx="44">
                  <c:v>4.3055665483430032E-2</c:v>
                </c:pt>
                <c:pt idx="45">
                  <c:v>3.7407553977913059E-2</c:v>
                </c:pt>
                <c:pt idx="46">
                  <c:v>6.5371762790164233E-3</c:v>
                </c:pt>
                <c:pt idx="47">
                  <c:v>1.1314910085641457E-2</c:v>
                </c:pt>
                <c:pt idx="48">
                  <c:v>1.0000000000001563E-2</c:v>
                </c:pt>
                <c:pt idx="49">
                  <c:v>6.8703776988953691E-2</c:v>
                </c:pt>
                <c:pt idx="50">
                  <c:v>-1.6073956817671417E-2</c:v>
                </c:pt>
                <c:pt idx="51">
                  <c:v>-8.2405575276119462E-3</c:v>
                </c:pt>
                <c:pt idx="52">
                  <c:v>0.20175944247238714</c:v>
                </c:pt>
                <c:pt idx="53">
                  <c:v>-0.11214791363534291</c:v>
                </c:pt>
                <c:pt idx="54">
                  <c:v>-4.1277535936448895E-2</c:v>
                </c:pt>
                <c:pt idx="55">
                  <c:v>-4.5203579118777051E-2</c:v>
                </c:pt>
                <c:pt idx="56">
                  <c:v>4.9129622301108768E-2</c:v>
                </c:pt>
                <c:pt idx="57">
                  <c:v>4.8685089914357264E-2</c:v>
                </c:pt>
                <c:pt idx="58">
                  <c:v>0.20955546761325647</c:v>
                </c:pt>
                <c:pt idx="59">
                  <c:v>0.13083300354970259</c:v>
                </c:pt>
                <c:pt idx="60">
                  <c:v>8.3851294883940844E-2</c:v>
                </c:pt>
                <c:pt idx="61">
                  <c:v>5.5128830820389441E-2</c:v>
                </c:pt>
                <c:pt idx="62">
                  <c:v>-0.1248711691796085</c:v>
                </c:pt>
                <c:pt idx="63">
                  <c:v>-0.18835267997519273</c:v>
                </c:pt>
                <c:pt idx="64">
                  <c:v>-0.2035749461685655</c:v>
                </c:pt>
                <c:pt idx="65">
                  <c:v>-0.30835267997519017</c:v>
                </c:pt>
                <c:pt idx="66">
                  <c:v>-0.40268588139507422</c:v>
                </c:pt>
                <c:pt idx="67">
                  <c:v>-0.2952596403425658</c:v>
                </c:pt>
                <c:pt idx="68">
                  <c:v>-4.5222266193372128E-2</c:v>
                </c:pt>
                <c:pt idx="69">
                  <c:v>-9.5367805386567701E-3</c:v>
                </c:pt>
                <c:pt idx="70">
                  <c:v>-0.16777733806626907</c:v>
                </c:pt>
                <c:pt idx="71">
                  <c:v>-0.24255507187289971</c:v>
                </c:pt>
                <c:pt idx="72">
                  <c:v>-0.25168469417400402</c:v>
                </c:pt>
                <c:pt idx="73">
                  <c:v>-0.14907356107731431</c:v>
                </c:pt>
                <c:pt idx="74">
                  <c:v>-0.23733280567952675</c:v>
                </c:pt>
                <c:pt idx="75">
                  <c:v>-1.0369784088362116E-2</c:v>
                </c:pt>
                <c:pt idx="76">
                  <c:v>-0.10124016178725215</c:v>
                </c:pt>
                <c:pt idx="77">
                  <c:v>-6.4721672582840312E-2</c:v>
                </c:pt>
                <c:pt idx="78">
                  <c:v>-0.1456107373563274</c:v>
                </c:pt>
                <c:pt idx="79">
                  <c:v>-9.8240557527610031E-2</c:v>
                </c:pt>
                <c:pt idx="80">
                  <c:v>-7.6518489204419865E-2</c:v>
                </c:pt>
                <c:pt idx="81">
                  <c:v>-0.14392604318233052</c:v>
                </c:pt>
                <c:pt idx="82">
                  <c:v>-8.0907751848087489E-2</c:v>
                </c:pt>
                <c:pt idx="83">
                  <c:v>-0.21875983821274281</c:v>
                </c:pt>
                <c:pt idx="84">
                  <c:v>-0.14574154687850532</c:v>
                </c:pt>
                <c:pt idx="85">
                  <c:v>-0.17053796775972857</c:v>
                </c:pt>
                <c:pt idx="86">
                  <c:v>-0.21490854332880382</c:v>
                </c:pt>
                <c:pt idx="87">
                  <c:v>-0.3379642088122321</c:v>
                </c:pt>
                <c:pt idx="88">
                  <c:v>-0.19840874119897953</c:v>
                </c:pt>
                <c:pt idx="89">
                  <c:v>-0.10926043182328188</c:v>
                </c:pt>
                <c:pt idx="90">
                  <c:v>-0.23792683466304415</c:v>
                </c:pt>
                <c:pt idx="91">
                  <c:v>-0.2026858813950696</c:v>
                </c:pt>
                <c:pt idx="92">
                  <c:v>-5.6148705116056172E-2</c:v>
                </c:pt>
                <c:pt idx="93">
                  <c:v>4.2573758947493719E-2</c:v>
                </c:pt>
                <c:pt idx="94">
                  <c:v>-0.11088906477349356</c:v>
                </c:pt>
                <c:pt idx="95">
                  <c:v>-4.5666798580118295E-2</c:v>
                </c:pt>
                <c:pt idx="96">
                  <c:v>-0.1917594424723838</c:v>
                </c:pt>
                <c:pt idx="97">
                  <c:v>-2.1314910085639467E-2</c:v>
                </c:pt>
                <c:pt idx="98">
                  <c:v>-2.2166600709939893E-2</c:v>
                </c:pt>
                <c:pt idx="99">
                  <c:v>-6.9555467613255886E-2</c:v>
                </c:pt>
                <c:pt idx="100">
                  <c:v>-0.18998131292540266</c:v>
                </c:pt>
                <c:pt idx="101">
                  <c:v>8.0463219461346644E-2</c:v>
                </c:pt>
                <c:pt idx="102">
                  <c:v>-9.9626258508078644E-3</c:v>
                </c:pt>
                <c:pt idx="103">
                  <c:v>0.16177812954698129</c:v>
                </c:pt>
                <c:pt idx="104">
                  <c:v>-3.6481115055227019E-2</c:v>
                </c:pt>
                <c:pt idx="105">
                  <c:v>5.2203974859136498E-2</c:v>
                </c:pt>
                <c:pt idx="106">
                  <c:v>2.3055665483434011E-2</c:v>
                </c:pt>
                <c:pt idx="107">
                  <c:v>-6.4351888494477982E-2</c:v>
                </c:pt>
                <c:pt idx="108">
                  <c:v>9.1740755397790849E-2</c:v>
                </c:pt>
                <c:pt idx="109">
                  <c:v>-2.7370179828717797E-2</c:v>
                </c:pt>
                <c:pt idx="110">
                  <c:v>-1.5184892044180845E-2</c:v>
                </c:pt>
                <c:pt idx="111">
                  <c:v>-0.22518489204417991</c:v>
                </c:pt>
                <c:pt idx="112">
                  <c:v>-0.10866640283976092</c:v>
                </c:pt>
                <c:pt idx="113">
                  <c:v>0.23655586335361192</c:v>
                </c:pt>
                <c:pt idx="114">
                  <c:v>-6.0365826684797078E-3</c:v>
                </c:pt>
                <c:pt idx="115">
                  <c:v>-7.6462427980627551E-2</c:v>
                </c:pt>
                <c:pt idx="116">
                  <c:v>-3.5166204969585349E-2</c:v>
                </c:pt>
                <c:pt idx="117">
                  <c:v>-8.8221870453018728E-2</c:v>
                </c:pt>
                <c:pt idx="118">
                  <c:v>-7.1296223011046878E-2</c:v>
                </c:pt>
                <c:pt idx="119">
                  <c:v>-0.20479642088122116</c:v>
                </c:pt>
                <c:pt idx="120">
                  <c:v>5.170338124859801E-2</c:v>
                </c:pt>
                <c:pt idx="121">
                  <c:v>-8.3074352558029585E-2</c:v>
                </c:pt>
                <c:pt idx="122">
                  <c:v>-0.16959284176244568</c:v>
                </c:pt>
                <c:pt idx="123">
                  <c:v>-0.15351888494477248</c:v>
                </c:pt>
                <c:pt idx="124">
                  <c:v>-0.23744492812710072</c:v>
                </c:pt>
                <c:pt idx="125">
                  <c:v>-7.0945125997279618E-2</c:v>
                </c:pt>
                <c:pt idx="126">
                  <c:v>8.4702985508241263E-2</c:v>
                </c:pt>
                <c:pt idx="127">
                  <c:v>9.470298550824105E-2</c:v>
                </c:pt>
                <c:pt idx="128">
                  <c:v>-3.7019082814955653E-2</c:v>
                </c:pt>
                <c:pt idx="129">
                  <c:v>-0.10005606122378841</c:v>
                </c:pt>
                <c:pt idx="130">
                  <c:v>-1.3963417331521642E-2</c:v>
                </c:pt>
                <c:pt idx="131">
                  <c:v>3.8221870453016241E-2</c:v>
                </c:pt>
                <c:pt idx="132">
                  <c:v>5.7796025140866486E-2</c:v>
                </c:pt>
                <c:pt idx="133">
                  <c:v>8.4314514345282088E-2</c:v>
                </c:pt>
                <c:pt idx="134">
                  <c:v>0.1869069603673767</c:v>
                </c:pt>
                <c:pt idx="135">
                  <c:v>1.8203183378419821E-2</c:v>
                </c:pt>
                <c:pt idx="136">
                  <c:v>0.14949940638946718</c:v>
                </c:pt>
                <c:pt idx="137">
                  <c:v>-1.796816621581529E-3</c:v>
                </c:pt>
                <c:pt idx="138">
                  <c:v>9.9626258508114171E-3</c:v>
                </c:pt>
                <c:pt idx="139">
                  <c:v>-5.001868707459578E-2</c:v>
                </c:pt>
                <c:pt idx="140">
                  <c:v>-4.0018687074595993E-2</c:v>
                </c:pt>
                <c:pt idx="141">
                  <c:v>-4.3705755690707816E-3</c:v>
                </c:pt>
                <c:pt idx="142">
                  <c:v>-0.10957415468785188</c:v>
                </c:pt>
                <c:pt idx="143">
                  <c:v>0.14262982017128034</c:v>
                </c:pt>
                <c:pt idx="144">
                  <c:v>7.7870773439249891E-2</c:v>
                </c:pt>
                <c:pt idx="145">
                  <c:v>8.2667194320478879E-2</c:v>
                </c:pt>
                <c:pt idx="146">
                  <c:v>-5.9943938776208183E-2</c:v>
                </c:pt>
                <c:pt idx="147">
                  <c:v>4.2667194320476179E-2</c:v>
                </c:pt>
                <c:pt idx="148">
                  <c:v>-8.2110539486149839E-2</c:v>
                </c:pt>
                <c:pt idx="149">
                  <c:v>-8.4258453121493312E-2</c:v>
                </c:pt>
                <c:pt idx="150">
                  <c:v>4.227872315751878E-2</c:v>
                </c:pt>
                <c:pt idx="151">
                  <c:v>6.837136704978683E-2</c:v>
                </c:pt>
                <c:pt idx="152">
                  <c:v>-6.5999208519286506E-2</c:v>
                </c:pt>
                <c:pt idx="153">
                  <c:v>5.0059361053494955E-4</c:v>
                </c:pt>
                <c:pt idx="154">
                  <c:v>5.2667194320477742E-2</c:v>
                </c:pt>
                <c:pt idx="155">
                  <c:v>1.0056061223788548E-2</c:v>
                </c:pt>
                <c:pt idx="156">
                  <c:v>1.9185683524894623E-2</c:v>
                </c:pt>
                <c:pt idx="157">
                  <c:v>-1.7777338066270493E-2</c:v>
                </c:pt>
                <c:pt idx="158">
                  <c:v>-2.0814316475108077E-2</c:v>
                </c:pt>
                <c:pt idx="159">
                  <c:v>-0.15211053948615011</c:v>
                </c:pt>
                <c:pt idx="160">
                  <c:v>-0.10514751789498523</c:v>
                </c:pt>
                <c:pt idx="161">
                  <c:v>9.7889460513846324E-2</c:v>
                </c:pt>
                <c:pt idx="162">
                  <c:v>4.9611528837043298E-2</c:v>
                </c:pt>
                <c:pt idx="163">
                  <c:v>-6.4998021298209516E-3</c:v>
                </c:pt>
                <c:pt idx="164">
                  <c:v>3.6518489204417158E-2</c:v>
                </c:pt>
                <c:pt idx="165">
                  <c:v>-1.1759442472385851E-2</c:v>
                </c:pt>
                <c:pt idx="166">
                  <c:v>0.11822187045301631</c:v>
                </c:pt>
                <c:pt idx="167">
                  <c:v>-4.0926438922681628E-2</c:v>
                </c:pt>
                <c:pt idx="168">
                  <c:v>-7.037769889549586E-3</c:v>
                </c:pt>
                <c:pt idx="169">
                  <c:v>-8.9667590060829444E-2</c:v>
                </c:pt>
                <c:pt idx="170">
                  <c:v>5.0313722864570726E-2</c:v>
                </c:pt>
                <c:pt idx="171">
                  <c:v>0.14290616888665669</c:v>
                </c:pt>
                <c:pt idx="172">
                  <c:v>0.1598505034032289</c:v>
                </c:pt>
                <c:pt idx="173">
                  <c:v>0.1359431472954927</c:v>
                </c:pt>
                <c:pt idx="174">
                  <c:v>0.13509145667119937</c:v>
                </c:pt>
                <c:pt idx="175">
                  <c:v>0.13164732002481111</c:v>
                </c:pt>
                <c:pt idx="176">
                  <c:v>0.14125884886185347</c:v>
                </c:pt>
                <c:pt idx="177">
                  <c:v>0.13261113309668549</c:v>
                </c:pt>
                <c:pt idx="178">
                  <c:v>9.4389262643674587E-2</c:v>
                </c:pt>
                <c:pt idx="179">
                  <c:v>0.15963021591163959</c:v>
                </c:pt>
                <c:pt idx="180">
                  <c:v>0.18616739219065204</c:v>
                </c:pt>
                <c:pt idx="181">
                  <c:v>0.13661192457739929</c:v>
                </c:pt>
                <c:pt idx="182">
                  <c:v>3.9667590060832286E-2</c:v>
                </c:pt>
                <c:pt idx="183">
                  <c:v>3.7519676425487036E-2</c:v>
                </c:pt>
                <c:pt idx="184">
                  <c:v>-0.10549861490875251</c:v>
                </c:pt>
                <c:pt idx="185">
                  <c:v>0.12755705057468059</c:v>
                </c:pt>
                <c:pt idx="186">
                  <c:v>4.2760629693460422E-2</c:v>
                </c:pt>
                <c:pt idx="187">
                  <c:v>9.8390054124384813E-2</c:v>
                </c:pt>
                <c:pt idx="188">
                  <c:v>5.7926834663040869E-2</c:v>
                </c:pt>
                <c:pt idx="189">
                  <c:v>5.6167392190654794E-2</c:v>
                </c:pt>
                <c:pt idx="190">
                  <c:v>0.16179681662157813</c:v>
                </c:pt>
                <c:pt idx="191">
                  <c:v>-2.4295827270690067E-2</c:v>
                </c:pt>
                <c:pt idx="192">
                  <c:v>-1.9962625850807651E-2</c:v>
                </c:pt>
                <c:pt idx="193">
                  <c:v>-4.5184892044181982E-2</c:v>
                </c:pt>
                <c:pt idx="194">
                  <c:v>-3.9092248151913513E-2</c:v>
                </c:pt>
                <c:pt idx="195">
                  <c:v>0.16005606122378713</c:v>
                </c:pt>
                <c:pt idx="196">
                  <c:v>0.15659323750280377</c:v>
                </c:pt>
                <c:pt idx="197">
                  <c:v>0.18179681662157771</c:v>
                </c:pt>
                <c:pt idx="198">
                  <c:v>8.8741151138146956E-2</c:v>
                </c:pt>
                <c:pt idx="199">
                  <c:v>0.20787077343925245</c:v>
                </c:pt>
                <c:pt idx="200">
                  <c:v>4.3093039632627277E-2</c:v>
                </c:pt>
                <c:pt idx="201">
                  <c:v>4.7444928127104768E-2</c:v>
                </c:pt>
                <c:pt idx="202">
                  <c:v>-0.10036978408835665</c:v>
                </c:pt>
                <c:pt idx="203">
                  <c:v>6.0074748298386119E-2</c:v>
                </c:pt>
                <c:pt idx="204">
                  <c:v>-1.5999208519284019E-2</c:v>
                </c:pt>
                <c:pt idx="205">
                  <c:v>-7.2517697723700744E-2</c:v>
                </c:pt>
                <c:pt idx="206">
                  <c:v>-5.7721276842477312E-2</c:v>
                </c:pt>
                <c:pt idx="207">
                  <c:v>8.4889856254206197E-2</c:v>
                </c:pt>
                <c:pt idx="208">
                  <c:v>6.7945521737637488E-2</c:v>
                </c:pt>
                <c:pt idx="209">
                  <c:v>-8.2480323574510406E-2</c:v>
                </c:pt>
                <c:pt idx="210">
                  <c:v>5.9686277135428706E-2</c:v>
                </c:pt>
                <c:pt idx="211">
                  <c:v>-0.10338807542259738</c:v>
                </c:pt>
                <c:pt idx="212">
                  <c:v>-6.3425449571790166E-2</c:v>
                </c:pt>
                <c:pt idx="213">
                  <c:v>-6.0833003549704077E-2</c:v>
                </c:pt>
                <c:pt idx="214">
                  <c:v>-9.9981312925401022E-2</c:v>
                </c:pt>
                <c:pt idx="215">
                  <c:v>-6.0000000000000497E-2</c:v>
                </c:pt>
                <c:pt idx="216">
                  <c:v>-0.26001868707459663</c:v>
                </c:pt>
                <c:pt idx="217">
                  <c:v>-9.4815107955820363E-2</c:v>
                </c:pt>
                <c:pt idx="218">
                  <c:v>5.7777338066267864E-2</c:v>
                </c:pt>
                <c:pt idx="219">
                  <c:v>0.12124016178725705</c:v>
                </c:pt>
                <c:pt idx="220">
                  <c:v>0.15949940638946697</c:v>
                </c:pt>
                <c:pt idx="221">
                  <c:v>0.16688827329278028</c:v>
                </c:pt>
                <c:pt idx="222">
                  <c:v>0.19820318337841952</c:v>
                </c:pt>
                <c:pt idx="223">
                  <c:v>0.27255507187289374</c:v>
                </c:pt>
                <c:pt idx="224">
                  <c:v>0.24127753593644996</c:v>
                </c:pt>
                <c:pt idx="225">
                  <c:v>0.17737017982871817</c:v>
                </c:pt>
                <c:pt idx="226">
                  <c:v>0.15737017982871682</c:v>
                </c:pt>
                <c:pt idx="227">
                  <c:v>-2.003737414918972E-2</c:v>
                </c:pt>
                <c:pt idx="228">
                  <c:v>-3.9447302569267859E-3</c:v>
                </c:pt>
                <c:pt idx="229">
                  <c:v>0.12953678053865778</c:v>
                </c:pt>
                <c:pt idx="230">
                  <c:v>-9.1669964502997595E-3</c:v>
                </c:pt>
                <c:pt idx="231">
                  <c:v>8.1431647510495087E-4</c:v>
                </c:pt>
                <c:pt idx="232">
                  <c:v>2.6888273292776155E-2</c:v>
                </c:pt>
                <c:pt idx="233">
                  <c:v>0.11862902869057057</c:v>
                </c:pt>
                <c:pt idx="234">
                  <c:v>0.10820318337841968</c:v>
                </c:pt>
                <c:pt idx="235">
                  <c:v>4.4740359657434031E-2</c:v>
                </c:pt>
                <c:pt idx="236">
                  <c:v>-2.4796420881221453E-2</c:v>
                </c:pt>
                <c:pt idx="237">
                  <c:v>4.5222266193372128E-2</c:v>
                </c:pt>
                <c:pt idx="238">
                  <c:v>-0.11562942443092489</c:v>
                </c:pt>
                <c:pt idx="239">
                  <c:v>8.0889064773490643E-2</c:v>
                </c:pt>
                <c:pt idx="240">
                  <c:v>6.2203974859130956E-2</c:v>
                </c:pt>
                <c:pt idx="241">
                  <c:v>0.16220397485913238</c:v>
                </c:pt>
                <c:pt idx="242">
                  <c:v>0.11829661875140192</c:v>
                </c:pt>
                <c:pt idx="243">
                  <c:v>0.11350019787017826</c:v>
                </c:pt>
                <c:pt idx="244">
                  <c:v>-9.3907356107732945E-2</c:v>
                </c:pt>
                <c:pt idx="245">
                  <c:v>0.18042584531215081</c:v>
                </c:pt>
                <c:pt idx="246">
                  <c:v>0.13346282372098414</c:v>
                </c:pt>
                <c:pt idx="247">
                  <c:v>1.1722068323192156E-2</c:v>
                </c:pt>
                <c:pt idx="248">
                  <c:v>0.11475904673202938</c:v>
                </c:pt>
                <c:pt idx="249">
                  <c:v>1.2147913635343257E-2</c:v>
                </c:pt>
                <c:pt idx="250">
                  <c:v>0.14475904673203052</c:v>
                </c:pt>
                <c:pt idx="251">
                  <c:v>0.2378147122154666</c:v>
                </c:pt>
                <c:pt idx="252">
                  <c:v>0.25216660070994029</c:v>
                </c:pt>
                <c:pt idx="253">
                  <c:v>0.26085169062430019</c:v>
                </c:pt>
                <c:pt idx="254">
                  <c:v>0.44040715823755555</c:v>
                </c:pt>
                <c:pt idx="255">
                  <c:v>0.25909224815191417</c:v>
                </c:pt>
                <c:pt idx="256">
                  <c:v>0.34648111505522394</c:v>
                </c:pt>
                <c:pt idx="257">
                  <c:v>0.23429582727068382</c:v>
                </c:pt>
                <c:pt idx="258">
                  <c:v>0.24603658266848169</c:v>
                </c:pt>
                <c:pt idx="259">
                  <c:v>0.30909224815190955</c:v>
                </c:pt>
                <c:pt idx="260">
                  <c:v>0.1695367805386587</c:v>
                </c:pt>
                <c:pt idx="261">
                  <c:v>0.19040715823755552</c:v>
                </c:pt>
                <c:pt idx="262">
                  <c:v>0.14083300354970238</c:v>
                </c:pt>
                <c:pt idx="263">
                  <c:v>0.16518489204418119</c:v>
                </c:pt>
                <c:pt idx="264">
                  <c:v>0.11433320141988007</c:v>
                </c:pt>
                <c:pt idx="265">
                  <c:v>0.30522226619337545</c:v>
                </c:pt>
                <c:pt idx="266">
                  <c:v>0.22479642088122428</c:v>
                </c:pt>
                <c:pt idx="267">
                  <c:v>0.53609264389226607</c:v>
                </c:pt>
                <c:pt idx="268">
                  <c:v>0.41303697840883952</c:v>
                </c:pt>
                <c:pt idx="269">
                  <c:v>0.48435188849447613</c:v>
                </c:pt>
                <c:pt idx="270">
                  <c:v>0.34350019787017871</c:v>
                </c:pt>
                <c:pt idx="271">
                  <c:v>0.28655586335361438</c:v>
                </c:pt>
                <c:pt idx="272">
                  <c:v>0.32568548565471095</c:v>
                </c:pt>
                <c:pt idx="273">
                  <c:v>0.35350019787017495</c:v>
                </c:pt>
                <c:pt idx="274">
                  <c:v>0.37437057556907177</c:v>
                </c:pt>
                <c:pt idx="275">
                  <c:v>0.17350019787017698</c:v>
                </c:pt>
                <c:pt idx="276">
                  <c:v>0.14437057556907135</c:v>
                </c:pt>
                <c:pt idx="277">
                  <c:v>0.25001868707459862</c:v>
                </c:pt>
                <c:pt idx="278">
                  <c:v>0.41696302159116411</c:v>
                </c:pt>
                <c:pt idx="279">
                  <c:v>6.3926043182332207E-2</c:v>
                </c:pt>
                <c:pt idx="280">
                  <c:v>0.16653717627901302</c:v>
                </c:pt>
                <c:pt idx="281">
                  <c:v>4.2185287784534536E-2</c:v>
                </c:pt>
                <c:pt idx="282">
                  <c:v>0.15435188849447606</c:v>
                </c:pt>
                <c:pt idx="283">
                  <c:v>0.17825924460220871</c:v>
                </c:pt>
                <c:pt idx="284">
                  <c:v>5.3907356107730245E-2</c:v>
                </c:pt>
                <c:pt idx="285">
                  <c:v>0.1104071582375519</c:v>
                </c:pt>
                <c:pt idx="286">
                  <c:v>-2.6574550428209692E-2</c:v>
                </c:pt>
                <c:pt idx="287">
                  <c:v>7.6462427980627551E-2</c:v>
                </c:pt>
                <c:pt idx="288">
                  <c:v>6.2110539486150265E-2</c:v>
                </c:pt>
                <c:pt idx="289">
                  <c:v>9.3832607809345561E-2</c:v>
                </c:pt>
                <c:pt idx="290">
                  <c:v>0.30379523366015271</c:v>
                </c:pt>
                <c:pt idx="291">
                  <c:v>0.37159125880101718</c:v>
                </c:pt>
                <c:pt idx="292">
                  <c:v>0.25331332712421395</c:v>
                </c:pt>
                <c:pt idx="293">
                  <c:v>0.23547992783415819</c:v>
                </c:pt>
                <c:pt idx="294">
                  <c:v>9.373917243636487E-2</c:v>
                </c:pt>
                <c:pt idx="295">
                  <c:v>0.17375785951096001</c:v>
                </c:pt>
                <c:pt idx="296">
                  <c:v>9.7702589767886733E-2</c:v>
                </c:pt>
                <c:pt idx="297">
                  <c:v>7.2943543035853639E-2</c:v>
                </c:pt>
                <c:pt idx="298">
                  <c:v>0.27731411860492905</c:v>
                </c:pt>
                <c:pt idx="299">
                  <c:v>0.31603658266847667</c:v>
                </c:pt>
                <c:pt idx="300">
                  <c:v>0.1482405575276125</c:v>
                </c:pt>
                <c:pt idx="301">
                  <c:v>0.30522226619337545</c:v>
                </c:pt>
                <c:pt idx="302">
                  <c:v>0.20742624105250629</c:v>
                </c:pt>
                <c:pt idx="303">
                  <c:v>0.37614870511606002</c:v>
                </c:pt>
                <c:pt idx="304">
                  <c:v>0.22355625909396645</c:v>
                </c:pt>
                <c:pt idx="305">
                  <c:v>0.33746361520169899</c:v>
                </c:pt>
                <c:pt idx="306">
                  <c:v>0.11483379503041501</c:v>
                </c:pt>
                <c:pt idx="307">
                  <c:v>0.37438926264366684</c:v>
                </c:pt>
                <c:pt idx="308">
                  <c:v>5.3074352558031994E-2</c:v>
                </c:pt>
                <c:pt idx="309">
                  <c:v>0.23090775184808962</c:v>
                </c:pt>
                <c:pt idx="310">
                  <c:v>0.23787077343925359</c:v>
                </c:pt>
                <c:pt idx="311">
                  <c:v>0.25525964034256665</c:v>
                </c:pt>
                <c:pt idx="312">
                  <c:v>0.16394473025692338</c:v>
                </c:pt>
                <c:pt idx="313">
                  <c:v>7.9148309375699638E-2</c:v>
                </c:pt>
                <c:pt idx="314">
                  <c:v>-1.2147913635343257E-2</c:v>
                </c:pt>
                <c:pt idx="315">
                  <c:v>0.27396341733152318</c:v>
                </c:pt>
                <c:pt idx="316">
                  <c:v>4.2685881395073025E-2</c:v>
                </c:pt>
                <c:pt idx="317">
                  <c:v>0.26226003608292259</c:v>
                </c:pt>
                <c:pt idx="318">
                  <c:v>0.20790814758844262</c:v>
                </c:pt>
                <c:pt idx="319">
                  <c:v>0.2248524821050113</c:v>
                </c:pt>
                <c:pt idx="320">
                  <c:v>0.22398210440611577</c:v>
                </c:pt>
                <c:pt idx="321">
                  <c:v>0.10963021591163888</c:v>
                </c:pt>
                <c:pt idx="322">
                  <c:v>0.23875983821274416</c:v>
                </c:pt>
                <c:pt idx="323">
                  <c:v>0.1822226619337288</c:v>
                </c:pt>
                <c:pt idx="324">
                  <c:v>0.15829661875139928</c:v>
                </c:pt>
                <c:pt idx="325">
                  <c:v>7.8722464063555653E-2</c:v>
                </c:pt>
                <c:pt idx="326">
                  <c:v>0.16698170866575918</c:v>
                </c:pt>
                <c:pt idx="327">
                  <c:v>0.2861113309668647</c:v>
                </c:pt>
                <c:pt idx="328">
                  <c:v>0.39437057556907135</c:v>
                </c:pt>
                <c:pt idx="329">
                  <c:v>0.33133359716024036</c:v>
                </c:pt>
                <c:pt idx="330">
                  <c:v>0.2548151079558223</c:v>
                </c:pt>
                <c:pt idx="331">
                  <c:v>0.24307435255802973</c:v>
                </c:pt>
                <c:pt idx="332">
                  <c:v>0.14175944247238487</c:v>
                </c:pt>
                <c:pt idx="333">
                  <c:v>0.1247964208812211</c:v>
                </c:pt>
                <c:pt idx="334">
                  <c:v>0.16783339929005961</c:v>
                </c:pt>
                <c:pt idx="335">
                  <c:v>2.8259244602206589E-2</c:v>
                </c:pt>
                <c:pt idx="336">
                  <c:v>0.12911093522650666</c:v>
                </c:pt>
                <c:pt idx="337">
                  <c:v>5.9962625850805022E-2</c:v>
                </c:pt>
                <c:pt idx="338">
                  <c:v>7.4295827270687231E-2</c:v>
                </c:pt>
                <c:pt idx="339">
                  <c:v>0.24514751789498757</c:v>
                </c:pt>
                <c:pt idx="340">
                  <c:v>0.33773996391707706</c:v>
                </c:pt>
                <c:pt idx="341">
                  <c:v>7.468429843364463E-2</c:v>
                </c:pt>
                <c:pt idx="342">
                  <c:v>0.13729543153033341</c:v>
                </c:pt>
                <c:pt idx="343">
                  <c:v>0.16164732002480869</c:v>
                </c:pt>
                <c:pt idx="344">
                  <c:v>0.26122147471265722</c:v>
                </c:pt>
                <c:pt idx="345">
                  <c:v>0.31818449630382545</c:v>
                </c:pt>
                <c:pt idx="346">
                  <c:v>0.16731411860493139</c:v>
                </c:pt>
                <c:pt idx="347">
                  <c:v>0.25338807542259772</c:v>
                </c:pt>
                <c:pt idx="348">
                  <c:v>0.21685089914358197</c:v>
                </c:pt>
                <c:pt idx="349">
                  <c:v>0.16292485596125311</c:v>
                </c:pt>
                <c:pt idx="350">
                  <c:v>0.33031372286457539</c:v>
                </c:pt>
                <c:pt idx="351">
                  <c:v>0.44727674445573529</c:v>
                </c:pt>
                <c:pt idx="352">
                  <c:v>0.33555467613254525</c:v>
                </c:pt>
                <c:pt idx="353">
                  <c:v>0.43296223011044815</c:v>
                </c:pt>
                <c:pt idx="354">
                  <c:v>0.37516620496958342</c:v>
                </c:pt>
                <c:pt idx="355">
                  <c:v>0.40779602514087143</c:v>
                </c:pt>
                <c:pt idx="356">
                  <c:v>0.40261113309668861</c:v>
                </c:pt>
                <c:pt idx="357">
                  <c:v>0.36916699645029388</c:v>
                </c:pt>
                <c:pt idx="358">
                  <c:v>0.47616739219065296</c:v>
                </c:pt>
                <c:pt idx="359">
                  <c:v>0.48314910085641199</c:v>
                </c:pt>
                <c:pt idx="360">
                  <c:v>0.49314910085641711</c:v>
                </c:pt>
                <c:pt idx="361">
                  <c:v>0.21922305767408404</c:v>
                </c:pt>
                <c:pt idx="362">
                  <c:v>0.40053796775972367</c:v>
                </c:pt>
                <c:pt idx="363">
                  <c:v>0.25403816562990389</c:v>
                </c:pt>
                <c:pt idx="364">
                  <c:v>0.45753836350008736</c:v>
                </c:pt>
                <c:pt idx="365">
                  <c:v>0.5210198742956681</c:v>
                </c:pt>
                <c:pt idx="366">
                  <c:v>0.43274194261885701</c:v>
                </c:pt>
                <c:pt idx="367">
                  <c:v>0.30011212244757823</c:v>
                </c:pt>
                <c:pt idx="368">
                  <c:v>0.24487116917960772</c:v>
                </c:pt>
                <c:pt idx="369">
                  <c:v>0.42398210440611506</c:v>
                </c:pt>
                <c:pt idx="370">
                  <c:v>0.38309303963262181</c:v>
                </c:pt>
                <c:pt idx="371">
                  <c:v>0.38481510795581775</c:v>
                </c:pt>
                <c:pt idx="372">
                  <c:v>0.32220397485912899</c:v>
                </c:pt>
                <c:pt idx="373">
                  <c:v>0.23133359716023894</c:v>
                </c:pt>
                <c:pt idx="374">
                  <c:v>0.39872246406354883</c:v>
                </c:pt>
                <c:pt idx="375">
                  <c:v>0.44175944247239091</c:v>
                </c:pt>
                <c:pt idx="376">
                  <c:v>0.45044453238675081</c:v>
                </c:pt>
                <c:pt idx="377">
                  <c:v>0.80348151079558094</c:v>
                </c:pt>
                <c:pt idx="378">
                  <c:v>0.54433320141987973</c:v>
                </c:pt>
                <c:pt idx="379">
                  <c:v>0.44346282372099</c:v>
                </c:pt>
                <c:pt idx="380">
                  <c:v>0.34388866903313253</c:v>
                </c:pt>
                <c:pt idx="381">
                  <c:v>0.43649980212982598</c:v>
                </c:pt>
                <c:pt idx="382">
                  <c:v>0.31824055752761243</c:v>
                </c:pt>
                <c:pt idx="383">
                  <c:v>0.20824055752761478</c:v>
                </c:pt>
                <c:pt idx="384">
                  <c:v>0.42737017982871461</c:v>
                </c:pt>
                <c:pt idx="385">
                  <c:v>0.43214791363534849</c:v>
                </c:pt>
                <c:pt idx="386">
                  <c:v>0.37301829133424175</c:v>
                </c:pt>
                <c:pt idx="387">
                  <c:v>0.40649980212982129</c:v>
                </c:pt>
                <c:pt idx="388">
                  <c:v>0.47301829133423962</c:v>
                </c:pt>
                <c:pt idx="389">
                  <c:v>0.33040715823755434</c:v>
                </c:pt>
                <c:pt idx="390">
                  <c:v>0.47953678053865562</c:v>
                </c:pt>
                <c:pt idx="391">
                  <c:v>0.31737017982871696</c:v>
                </c:pt>
                <c:pt idx="392">
                  <c:v>0.50998131292540116</c:v>
                </c:pt>
                <c:pt idx="393">
                  <c:v>0.45475904673202927</c:v>
                </c:pt>
                <c:pt idx="394">
                  <c:v>0.34735149275411947</c:v>
                </c:pt>
                <c:pt idx="395">
                  <c:v>0.38516620496958853</c:v>
                </c:pt>
                <c:pt idx="396">
                  <c:v>0.22298091718504237</c:v>
                </c:pt>
                <c:pt idx="397">
                  <c:v>0.24168469417400421</c:v>
                </c:pt>
                <c:pt idx="398">
                  <c:v>0.25733280567952455</c:v>
                </c:pt>
                <c:pt idx="399">
                  <c:v>0.40775865099167241</c:v>
                </c:pt>
                <c:pt idx="400">
                  <c:v>0.29729543153033355</c:v>
                </c:pt>
                <c:pt idx="401">
                  <c:v>0.35553598905794265</c:v>
                </c:pt>
                <c:pt idx="402">
                  <c:v>0.14596183437009466</c:v>
                </c:pt>
                <c:pt idx="403">
                  <c:v>0.17944334516567778</c:v>
                </c:pt>
                <c:pt idx="404">
                  <c:v>0.13814712215463026</c:v>
                </c:pt>
                <c:pt idx="405">
                  <c:v>-2.3149100856414695E-2</c:v>
                </c:pt>
                <c:pt idx="406">
                  <c:v>-1.4000791480713565E-2</c:v>
                </c:pt>
                <c:pt idx="407">
                  <c:v>-7.2667194320473763E-2</c:v>
                </c:pt>
                <c:pt idx="408">
                  <c:v>3.9536780538657904E-2</c:v>
                </c:pt>
                <c:pt idx="409">
                  <c:v>2.3036978408833612E-2</c:v>
                </c:pt>
                <c:pt idx="410">
                  <c:v>0.23305566548343487</c:v>
                </c:pt>
                <c:pt idx="411">
                  <c:v>0.36914830937569881</c:v>
                </c:pt>
                <c:pt idx="412">
                  <c:v>0.39088906477348934</c:v>
                </c:pt>
                <c:pt idx="413">
                  <c:v>0.36435188849447869</c:v>
                </c:pt>
                <c:pt idx="414">
                  <c:v>0.26868508991435969</c:v>
                </c:pt>
                <c:pt idx="415">
                  <c:v>0.25301829133424075</c:v>
                </c:pt>
                <c:pt idx="416">
                  <c:v>0.18648111505522738</c:v>
                </c:pt>
                <c:pt idx="417">
                  <c:v>0.18646242798063231</c:v>
                </c:pt>
                <c:pt idx="418">
                  <c:v>4.385129488393992E-2</c:v>
                </c:pt>
                <c:pt idx="419">
                  <c:v>6.1258848861849839E-2</c:v>
                </c:pt>
                <c:pt idx="420">
                  <c:v>0.21562942443092808</c:v>
                </c:pt>
                <c:pt idx="421">
                  <c:v>2.0851690624298223E-2</c:v>
                </c:pt>
                <c:pt idx="422">
                  <c:v>0.16259244602208978</c:v>
                </c:pt>
                <c:pt idx="423">
                  <c:v>0.24259244602208985</c:v>
                </c:pt>
                <c:pt idx="424">
                  <c:v>2.5924460220931936E-3</c:v>
                </c:pt>
                <c:pt idx="425">
                  <c:v>0.27346282372098119</c:v>
                </c:pt>
                <c:pt idx="426">
                  <c:v>0.40390735610773165</c:v>
                </c:pt>
                <c:pt idx="427">
                  <c:v>0.28000000000000114</c:v>
                </c:pt>
                <c:pt idx="428">
                  <c:v>0.42651848920441771</c:v>
                </c:pt>
                <c:pt idx="429">
                  <c:v>0.28520357911877903</c:v>
                </c:pt>
                <c:pt idx="430">
                  <c:v>0.19824055752761499</c:v>
                </c:pt>
                <c:pt idx="431">
                  <c:v>0.28998131292540585</c:v>
                </c:pt>
                <c:pt idx="432">
                  <c:v>0.40388866903313481</c:v>
                </c:pt>
                <c:pt idx="433">
                  <c:v>0.4238886690331326</c:v>
                </c:pt>
                <c:pt idx="434">
                  <c:v>0.34909224815191048</c:v>
                </c:pt>
                <c:pt idx="435">
                  <c:v>0.47255507187289481</c:v>
                </c:pt>
                <c:pt idx="436">
                  <c:v>0.70905487400271971</c:v>
                </c:pt>
                <c:pt idx="437">
                  <c:v>0.38557336320713925</c:v>
                </c:pt>
                <c:pt idx="438">
                  <c:v>0.39340676249719875</c:v>
                </c:pt>
                <c:pt idx="439">
                  <c:v>0.21342544957179407</c:v>
                </c:pt>
                <c:pt idx="440">
                  <c:v>0.38996262585080688</c:v>
                </c:pt>
                <c:pt idx="441">
                  <c:v>0.44346282372099</c:v>
                </c:pt>
                <c:pt idx="442">
                  <c:v>0.44738886690331103</c:v>
                </c:pt>
                <c:pt idx="443">
                  <c:v>0.33957415468784696</c:v>
                </c:pt>
                <c:pt idx="444">
                  <c:v>0.48611133096686931</c:v>
                </c:pt>
                <c:pt idx="445">
                  <c:v>0.49787077343924985</c:v>
                </c:pt>
                <c:pt idx="446">
                  <c:v>0.33050059361053502</c:v>
                </c:pt>
                <c:pt idx="447">
                  <c:v>0.32442663679286515</c:v>
                </c:pt>
                <c:pt idx="448">
                  <c:v>0.55138965838403153</c:v>
                </c:pt>
                <c:pt idx="449">
                  <c:v>0.41790814758844169</c:v>
                </c:pt>
                <c:pt idx="450">
                  <c:v>0.40659323750280019</c:v>
                </c:pt>
                <c:pt idx="451">
                  <c:v>0.33092643892268608</c:v>
                </c:pt>
                <c:pt idx="452">
                  <c:v>0.30525964034256559</c:v>
                </c:pt>
                <c:pt idx="453">
                  <c:v>0.40133359716023531</c:v>
                </c:pt>
                <c:pt idx="454">
                  <c:v>0.50175944247238602</c:v>
                </c:pt>
                <c:pt idx="455">
                  <c:v>0.28088906477349168</c:v>
                </c:pt>
                <c:pt idx="456">
                  <c:v>0.23914830937570333</c:v>
                </c:pt>
                <c:pt idx="457">
                  <c:v>0.44350019787018191</c:v>
                </c:pt>
                <c:pt idx="458">
                  <c:v>0.39611133096686235</c:v>
                </c:pt>
                <c:pt idx="459">
                  <c:v>0.34872246406355167</c:v>
                </c:pt>
                <c:pt idx="460">
                  <c:v>0.44394473025692449</c:v>
                </c:pt>
                <c:pt idx="461">
                  <c:v>0.5556854856547131</c:v>
                </c:pt>
                <c:pt idx="462">
                  <c:v>0.37568548565471521</c:v>
                </c:pt>
                <c:pt idx="463">
                  <c:v>0.37262982017128077</c:v>
                </c:pt>
                <c:pt idx="464">
                  <c:v>0.55261113309668541</c:v>
                </c:pt>
                <c:pt idx="465">
                  <c:v>0.31388866903313495</c:v>
                </c:pt>
                <c:pt idx="466">
                  <c:v>0.34820318337841988</c:v>
                </c:pt>
                <c:pt idx="467">
                  <c:v>0.4216473200248067</c:v>
                </c:pt>
                <c:pt idx="468">
                  <c:v>0.48118410056346772</c:v>
                </c:pt>
                <c:pt idx="469">
                  <c:v>0.4942023918977082</c:v>
                </c:pt>
                <c:pt idx="470">
                  <c:v>0.41244294942531856</c:v>
                </c:pt>
                <c:pt idx="471">
                  <c:v>0.38503539544740883</c:v>
                </c:pt>
                <c:pt idx="472">
                  <c:v>0.67633161845845635</c:v>
                </c:pt>
                <c:pt idx="473">
                  <c:v>0.42372048536176987</c:v>
                </c:pt>
                <c:pt idx="474">
                  <c:v>0.44677615084520206</c:v>
                </c:pt>
                <c:pt idx="475">
                  <c:v>0.51375785951095987</c:v>
                </c:pt>
                <c:pt idx="476">
                  <c:v>0.64814712215463188</c:v>
                </c:pt>
                <c:pt idx="477">
                  <c:v>0.57035109701376752</c:v>
                </c:pt>
                <c:pt idx="478">
                  <c:v>0.61518489204418225</c:v>
                </c:pt>
                <c:pt idx="479">
                  <c:v>0.42696302159116745</c:v>
                </c:pt>
                <c:pt idx="480">
                  <c:v>0.47483379503041978</c:v>
                </c:pt>
                <c:pt idx="481">
                  <c:v>0.50224134900832595</c:v>
                </c:pt>
                <c:pt idx="482">
                  <c:v>0.63877852528733958</c:v>
                </c:pt>
                <c:pt idx="483">
                  <c:v>0.57748230227629427</c:v>
                </c:pt>
                <c:pt idx="484">
                  <c:v>0.75401947855531237</c:v>
                </c:pt>
                <c:pt idx="485">
                  <c:v>0.45794552173763448</c:v>
                </c:pt>
                <c:pt idx="486">
                  <c:v>0.45142703253322025</c:v>
                </c:pt>
                <c:pt idx="487">
                  <c:v>0.36879721236193685</c:v>
                </c:pt>
                <c:pt idx="488">
                  <c:v>0.44094512599728242</c:v>
                </c:pt>
                <c:pt idx="489">
                  <c:v>0.45963021591163855</c:v>
                </c:pt>
                <c:pt idx="490">
                  <c:v>0.3787598382127465</c:v>
                </c:pt>
                <c:pt idx="491">
                  <c:v>0.46311172670722051</c:v>
                </c:pt>
                <c:pt idx="492">
                  <c:v>0.41833399290059453</c:v>
                </c:pt>
                <c:pt idx="493">
                  <c:v>0.45181550369617413</c:v>
                </c:pt>
                <c:pt idx="494">
                  <c:v>0.48703776988955177</c:v>
                </c:pt>
                <c:pt idx="495">
                  <c:v>0.34835267997519465</c:v>
                </c:pt>
                <c:pt idx="496">
                  <c:v>0.67750098935089076</c:v>
                </c:pt>
                <c:pt idx="497">
                  <c:v>0.68316778793100985</c:v>
                </c:pt>
                <c:pt idx="498">
                  <c:v>0.68794552173763668</c:v>
                </c:pt>
                <c:pt idx="499">
                  <c:v>0.45966759006083047</c:v>
                </c:pt>
                <c:pt idx="500">
                  <c:v>0.48529701449176077</c:v>
                </c:pt>
                <c:pt idx="501">
                  <c:v>0.46050059361053403</c:v>
                </c:pt>
                <c:pt idx="502">
                  <c:v>0.47831530582600174</c:v>
                </c:pt>
                <c:pt idx="503">
                  <c:v>0.44396341733151956</c:v>
                </c:pt>
                <c:pt idx="504">
                  <c:v>0.31177812954698519</c:v>
                </c:pt>
                <c:pt idx="505">
                  <c:v>0.33481510795582237</c:v>
                </c:pt>
                <c:pt idx="506">
                  <c:v>0.31655586335361197</c:v>
                </c:pt>
                <c:pt idx="507">
                  <c:v>0.49700039574035432</c:v>
                </c:pt>
                <c:pt idx="508">
                  <c:v>0.50614870511606258</c:v>
                </c:pt>
                <c:pt idx="509">
                  <c:v>0.61788946051384763</c:v>
                </c:pt>
                <c:pt idx="510">
                  <c:v>0.56614870511605775</c:v>
                </c:pt>
                <c:pt idx="511">
                  <c:v>0.61700039574035714</c:v>
                </c:pt>
                <c:pt idx="512">
                  <c:v>0.56742624105250394</c:v>
                </c:pt>
                <c:pt idx="513">
                  <c:v>0.61524095326796924</c:v>
                </c:pt>
                <c:pt idx="514">
                  <c:v>0.49653717627901306</c:v>
                </c:pt>
                <c:pt idx="515">
                  <c:v>0.52696302159116182</c:v>
                </c:pt>
                <c:pt idx="516">
                  <c:v>0.50435188849447743</c:v>
                </c:pt>
                <c:pt idx="517">
                  <c:v>0.73131491008564387</c:v>
                </c:pt>
                <c:pt idx="518">
                  <c:v>0.56305566548343133</c:v>
                </c:pt>
                <c:pt idx="519">
                  <c:v>0.79262982017128425</c:v>
                </c:pt>
                <c:pt idx="520">
                  <c:v>0.80872246406354897</c:v>
                </c:pt>
                <c:pt idx="521">
                  <c:v>0.90785208636465842</c:v>
                </c:pt>
                <c:pt idx="522">
                  <c:v>0.59305566548343247</c:v>
                </c:pt>
                <c:pt idx="523">
                  <c:v>0.63390735610773385</c:v>
                </c:pt>
                <c:pt idx="524">
                  <c:v>0.52042584531214708</c:v>
                </c:pt>
                <c:pt idx="525">
                  <c:v>0.59694433451656881</c:v>
                </c:pt>
                <c:pt idx="526">
                  <c:v>0.50388866903313267</c:v>
                </c:pt>
                <c:pt idx="527">
                  <c:v>0.60083300354970504</c:v>
                </c:pt>
                <c:pt idx="528">
                  <c:v>0.49038847116295586</c:v>
                </c:pt>
                <c:pt idx="529">
                  <c:v>0.53516620496958356</c:v>
                </c:pt>
                <c:pt idx="530">
                  <c:v>0.37211053948615608</c:v>
                </c:pt>
                <c:pt idx="531">
                  <c:v>0.66383260780934583</c:v>
                </c:pt>
                <c:pt idx="532">
                  <c:v>0.47642505383143596</c:v>
                </c:pt>
                <c:pt idx="533">
                  <c:v>0.50599920851928781</c:v>
                </c:pt>
                <c:pt idx="534">
                  <c:v>0.47166600709940426</c:v>
                </c:pt>
                <c:pt idx="535">
                  <c:v>0.54864771576516713</c:v>
                </c:pt>
                <c:pt idx="536">
                  <c:v>0.44692564744196978</c:v>
                </c:pt>
                <c:pt idx="537">
                  <c:v>0.5808703776988956</c:v>
                </c:pt>
                <c:pt idx="538">
                  <c:v>0.65566679858012133</c:v>
                </c:pt>
                <c:pt idx="539">
                  <c:v>0.63131491008564244</c:v>
                </c:pt>
                <c:pt idx="540">
                  <c:v>0.71216660070994298</c:v>
                </c:pt>
                <c:pt idx="541">
                  <c:v>0.5178147122154606</c:v>
                </c:pt>
                <c:pt idx="542">
                  <c:v>0.72998131292540358</c:v>
                </c:pt>
                <c:pt idx="543">
                  <c:v>0.55998131292540365</c:v>
                </c:pt>
                <c:pt idx="544">
                  <c:v>0.69475904673203304</c:v>
                </c:pt>
                <c:pt idx="545">
                  <c:v>0.60475904673203318</c:v>
                </c:pt>
                <c:pt idx="546">
                  <c:v>0.58040715823755429</c:v>
                </c:pt>
                <c:pt idx="547">
                  <c:v>0.34649980212981901</c:v>
                </c:pt>
                <c:pt idx="548">
                  <c:v>0.42346282372099042</c:v>
                </c:pt>
                <c:pt idx="549">
                  <c:v>0.25129622301104482</c:v>
                </c:pt>
                <c:pt idx="550">
                  <c:v>0.43955546761325154</c:v>
                </c:pt>
                <c:pt idx="551">
                  <c:v>0.48085169062429906</c:v>
                </c:pt>
                <c:pt idx="552">
                  <c:v>0.57605526974307686</c:v>
                </c:pt>
                <c:pt idx="553">
                  <c:v>0.68299960425964534</c:v>
                </c:pt>
                <c:pt idx="554">
                  <c:v>0.4595180934640592</c:v>
                </c:pt>
                <c:pt idx="555">
                  <c:v>0.69690696036737476</c:v>
                </c:pt>
                <c:pt idx="556">
                  <c:v>0.54429582727068959</c:v>
                </c:pt>
                <c:pt idx="557">
                  <c:v>0.67820318337841645</c:v>
                </c:pt>
                <c:pt idx="558">
                  <c:v>0.61603658266847916</c:v>
                </c:pt>
                <c:pt idx="559">
                  <c:v>0.58212922656075028</c:v>
                </c:pt>
                <c:pt idx="560">
                  <c:v>0.61518489204418225</c:v>
                </c:pt>
                <c:pt idx="561">
                  <c:v>0.57779602514086781</c:v>
                </c:pt>
                <c:pt idx="562">
                  <c:v>0.57649980212982299</c:v>
                </c:pt>
                <c:pt idx="563">
                  <c:v>0.71216660070994298</c:v>
                </c:pt>
                <c:pt idx="564">
                  <c:v>0.76348151079558002</c:v>
                </c:pt>
                <c:pt idx="565">
                  <c:v>0.75218528778453364</c:v>
                </c:pt>
                <c:pt idx="566">
                  <c:v>0.68957415468785022</c:v>
                </c:pt>
                <c:pt idx="567">
                  <c:v>0.58350019787017715</c:v>
                </c:pt>
                <c:pt idx="568">
                  <c:v>0.78961152883704</c:v>
                </c:pt>
                <c:pt idx="569">
                  <c:v>0.70137097130943327</c:v>
                </c:pt>
                <c:pt idx="570">
                  <c:v>0.54485248210501513</c:v>
                </c:pt>
                <c:pt idx="571">
                  <c:v>0.54963021591163841</c:v>
                </c:pt>
                <c:pt idx="572">
                  <c:v>0.72483379503041623</c:v>
                </c:pt>
                <c:pt idx="573">
                  <c:v>0.57916699645029646</c:v>
                </c:pt>
                <c:pt idx="574">
                  <c:v>0.72653717627901526</c:v>
                </c:pt>
                <c:pt idx="575">
                  <c:v>0.66435188849448112</c:v>
                </c:pt>
                <c:pt idx="576">
                  <c:v>0.69955546761325493</c:v>
                </c:pt>
                <c:pt idx="577">
                  <c:v>0.70127753593645081</c:v>
                </c:pt>
                <c:pt idx="578">
                  <c:v>0.74299960425964406</c:v>
                </c:pt>
                <c:pt idx="579">
                  <c:v>0.94820318337841958</c:v>
                </c:pt>
                <c:pt idx="580">
                  <c:v>0.6234067624971974</c:v>
                </c:pt>
                <c:pt idx="581">
                  <c:v>0.63340676249719718</c:v>
                </c:pt>
                <c:pt idx="582">
                  <c:v>0.71603658266848058</c:v>
                </c:pt>
                <c:pt idx="583">
                  <c:v>0.67346282372098687</c:v>
                </c:pt>
                <c:pt idx="584">
                  <c:v>0.62044453238674713</c:v>
                </c:pt>
                <c:pt idx="585">
                  <c:v>0.62785208636465728</c:v>
                </c:pt>
                <c:pt idx="586">
                  <c:v>0.62959284176244834</c:v>
                </c:pt>
                <c:pt idx="587">
                  <c:v>0.63568548565471672</c:v>
                </c:pt>
                <c:pt idx="588">
                  <c:v>0.63264850724587918</c:v>
                </c:pt>
                <c:pt idx="589">
                  <c:v>0.65701908281495314</c:v>
                </c:pt>
                <c:pt idx="590">
                  <c:v>0.59138965838402713</c:v>
                </c:pt>
                <c:pt idx="591">
                  <c:v>0.420112122447581</c:v>
                </c:pt>
                <c:pt idx="592">
                  <c:v>0.51664929872659549</c:v>
                </c:pt>
                <c:pt idx="593">
                  <c:v>0.89970496421002544</c:v>
                </c:pt>
                <c:pt idx="594">
                  <c:v>0.69318647500560648</c:v>
                </c:pt>
                <c:pt idx="595">
                  <c:v>0.64013080952217494</c:v>
                </c:pt>
                <c:pt idx="596">
                  <c:v>0.6192417447486831</c:v>
                </c:pt>
                <c:pt idx="597">
                  <c:v>0.69138965838402855</c:v>
                </c:pt>
                <c:pt idx="598">
                  <c:v>0.5239821044061147</c:v>
                </c:pt>
                <c:pt idx="599">
                  <c:v>0.64874115113814923</c:v>
                </c:pt>
                <c:pt idx="600">
                  <c:v>0.69872246406355132</c:v>
                </c:pt>
                <c:pt idx="601">
                  <c:v>0.70740755397791122</c:v>
                </c:pt>
                <c:pt idx="602">
                  <c:v>0.56175944247238652</c:v>
                </c:pt>
                <c:pt idx="603">
                  <c:v>0.68133359716024</c:v>
                </c:pt>
                <c:pt idx="604">
                  <c:v>0.57961152883704092</c:v>
                </c:pt>
                <c:pt idx="605">
                  <c:v>0.59875983821274181</c:v>
                </c:pt>
                <c:pt idx="606">
                  <c:v>0.68746361520170041</c:v>
                </c:pt>
                <c:pt idx="607">
                  <c:v>0.72311172670722379</c:v>
                </c:pt>
                <c:pt idx="608">
                  <c:v>0.68483379503041886</c:v>
                </c:pt>
                <c:pt idx="609">
                  <c:v>0.770463219461339</c:v>
                </c:pt>
                <c:pt idx="610">
                  <c:v>0.6873888669033148</c:v>
                </c:pt>
                <c:pt idx="611">
                  <c:v>0.6904071582375555</c:v>
                </c:pt>
                <c:pt idx="612">
                  <c:v>0.60648111505522728</c:v>
                </c:pt>
                <c:pt idx="613">
                  <c:v>0.75125884886185113</c:v>
                </c:pt>
                <c:pt idx="614">
                  <c:v>0.61255507187289715</c:v>
                </c:pt>
                <c:pt idx="615">
                  <c:v>0.66992525170161432</c:v>
                </c:pt>
                <c:pt idx="616">
                  <c:v>0.72598052144468983</c:v>
                </c:pt>
                <c:pt idx="617">
                  <c:v>0.78944334516567549</c:v>
                </c:pt>
                <c:pt idx="618">
                  <c:v>0.72205447826236524</c:v>
                </c:pt>
                <c:pt idx="619">
                  <c:v>0.64468429843364494</c:v>
                </c:pt>
                <c:pt idx="620">
                  <c:v>0.60340676249719605</c:v>
                </c:pt>
                <c:pt idx="621">
                  <c:v>0.59692564744197374</c:v>
                </c:pt>
                <c:pt idx="622">
                  <c:v>0.68392604318232786</c:v>
                </c:pt>
                <c:pt idx="623">
                  <c:v>0.68744492812710534</c:v>
                </c:pt>
                <c:pt idx="624">
                  <c:v>0.79529701449175949</c:v>
                </c:pt>
                <c:pt idx="625">
                  <c:v>0.91792683466304381</c:v>
                </c:pt>
                <c:pt idx="626">
                  <c:v>0.57446401094205357</c:v>
                </c:pt>
                <c:pt idx="627">
                  <c:v>0.65403816562990424</c:v>
                </c:pt>
                <c:pt idx="628">
                  <c:v>0.60664929872659534</c:v>
                </c:pt>
                <c:pt idx="629">
                  <c:v>0.77881589943653562</c:v>
                </c:pt>
                <c:pt idx="630">
                  <c:v>0.75227872315752142</c:v>
                </c:pt>
                <c:pt idx="631">
                  <c:v>0.62226003608292024</c:v>
                </c:pt>
                <c:pt idx="632">
                  <c:v>0.69398210440611818</c:v>
                </c:pt>
                <c:pt idx="633">
                  <c:v>0.76918568352489458</c:v>
                </c:pt>
                <c:pt idx="634">
                  <c:v>0.78351888494477151</c:v>
                </c:pt>
                <c:pt idx="635">
                  <c:v>0.58959284176244564</c:v>
                </c:pt>
                <c:pt idx="636">
                  <c:v>0.68220397485913553</c:v>
                </c:pt>
                <c:pt idx="637">
                  <c:v>0.64351888494477627</c:v>
                </c:pt>
                <c:pt idx="638">
                  <c:v>0.66614870511605917</c:v>
                </c:pt>
                <c:pt idx="639">
                  <c:v>0.55181550369617904</c:v>
                </c:pt>
                <c:pt idx="640">
                  <c:v>0.5687785252873393</c:v>
                </c:pt>
                <c:pt idx="641">
                  <c:v>0.65007474829838596</c:v>
                </c:pt>
                <c:pt idx="642">
                  <c:v>0.79179681662158241</c:v>
                </c:pt>
                <c:pt idx="643">
                  <c:v>0.82874115113814539</c:v>
                </c:pt>
                <c:pt idx="644">
                  <c:v>0.68829661875140402</c:v>
                </c:pt>
                <c:pt idx="645">
                  <c:v>0.6204632194613422</c:v>
                </c:pt>
                <c:pt idx="646">
                  <c:v>0.67566679858012269</c:v>
                </c:pt>
                <c:pt idx="647">
                  <c:v>0.71738886690331594</c:v>
                </c:pt>
                <c:pt idx="648">
                  <c:v>0.77562942443092497</c:v>
                </c:pt>
                <c:pt idx="649">
                  <c:v>0.74605526974307323</c:v>
                </c:pt>
                <c:pt idx="650">
                  <c:v>0.49779602514086418</c:v>
                </c:pt>
                <c:pt idx="651">
                  <c:v>0.68562942443092689</c:v>
                </c:pt>
                <c:pt idx="652">
                  <c:v>0.60868508991435955</c:v>
                </c:pt>
                <c:pt idx="653">
                  <c:v>0.67261113309668641</c:v>
                </c:pt>
                <c:pt idx="654">
                  <c:v>0.55088906477348953</c:v>
                </c:pt>
                <c:pt idx="655">
                  <c:v>0.62437057556907538</c:v>
                </c:pt>
                <c:pt idx="656">
                  <c:v>0.72001868707459749</c:v>
                </c:pt>
                <c:pt idx="657">
                  <c:v>0.61740755397791136</c:v>
                </c:pt>
                <c:pt idx="658">
                  <c:v>0.72611133096686598</c:v>
                </c:pt>
                <c:pt idx="659">
                  <c:v>0.80307435255803017</c:v>
                </c:pt>
                <c:pt idx="660">
                  <c:v>0.72916699645029859</c:v>
                </c:pt>
                <c:pt idx="661">
                  <c:v>0.85959284176245054</c:v>
                </c:pt>
                <c:pt idx="662">
                  <c:v>0.72785208636465692</c:v>
                </c:pt>
                <c:pt idx="663">
                  <c:v>0.77218528778453499</c:v>
                </c:pt>
                <c:pt idx="664">
                  <c:v>0.56044453238674485</c:v>
                </c:pt>
                <c:pt idx="665">
                  <c:v>0.78957415468784808</c:v>
                </c:pt>
                <c:pt idx="666">
                  <c:v>0.83088906477349422</c:v>
                </c:pt>
                <c:pt idx="667">
                  <c:v>0.88827793167680291</c:v>
                </c:pt>
                <c:pt idx="668">
                  <c:v>0.67174075539779088</c:v>
                </c:pt>
                <c:pt idx="669">
                  <c:v>0.5582405575276127</c:v>
                </c:pt>
                <c:pt idx="670">
                  <c:v>0.79953678053866128</c:v>
                </c:pt>
                <c:pt idx="671">
                  <c:v>0.86085169062430167</c:v>
                </c:pt>
                <c:pt idx="672">
                  <c:v>0.79390735610773044</c:v>
                </c:pt>
                <c:pt idx="673">
                  <c:v>0.66390735610773144</c:v>
                </c:pt>
                <c:pt idx="674">
                  <c:v>0.76911093522650897</c:v>
                </c:pt>
                <c:pt idx="675">
                  <c:v>0.81561073735633083</c:v>
                </c:pt>
                <c:pt idx="676">
                  <c:v>0.84907356107731535</c:v>
                </c:pt>
                <c:pt idx="677">
                  <c:v>0.89036978408835932</c:v>
                </c:pt>
                <c:pt idx="678">
                  <c:v>0.68646242798062873</c:v>
                </c:pt>
                <c:pt idx="679">
                  <c:v>0.74342544957179169</c:v>
                </c:pt>
                <c:pt idx="680">
                  <c:v>0.75733280567952455</c:v>
                </c:pt>
                <c:pt idx="681">
                  <c:v>0.65514751789498948</c:v>
                </c:pt>
                <c:pt idx="682">
                  <c:v>0.70948071931486734</c:v>
                </c:pt>
                <c:pt idx="683">
                  <c:v>0.73642505383143575</c:v>
                </c:pt>
                <c:pt idx="684">
                  <c:v>0.95466561135905215</c:v>
                </c:pt>
                <c:pt idx="685">
                  <c:v>0.90942465809108142</c:v>
                </c:pt>
                <c:pt idx="686">
                  <c:v>0.99418370482310603</c:v>
                </c:pt>
                <c:pt idx="687">
                  <c:v>0.98155388465182658</c:v>
                </c:pt>
                <c:pt idx="688">
                  <c:v>1.1567574637706044</c:v>
                </c:pt>
                <c:pt idx="689">
                  <c:v>1.1245721759860643</c:v>
                </c:pt>
                <c:pt idx="690">
                  <c:v>0.87240557527612572</c:v>
                </c:pt>
                <c:pt idx="691">
                  <c:v>0.76764652854409432</c:v>
                </c:pt>
                <c:pt idx="692">
                  <c:v>0.66290616888666332</c:v>
                </c:pt>
                <c:pt idx="693">
                  <c:v>0.74338807542259977</c:v>
                </c:pt>
                <c:pt idx="694">
                  <c:v>0.96038847116295645</c:v>
                </c:pt>
                <c:pt idx="695">
                  <c:v>0.89216660070993914</c:v>
                </c:pt>
                <c:pt idx="696">
                  <c:v>0.88653717627901185</c:v>
                </c:pt>
                <c:pt idx="697">
                  <c:v>0.93959284176244706</c:v>
                </c:pt>
                <c:pt idx="698">
                  <c:v>0.89655586335361204</c:v>
                </c:pt>
                <c:pt idx="699">
                  <c:v>1.0643892626436717</c:v>
                </c:pt>
                <c:pt idx="700">
                  <c:v>1.1726485072458748</c:v>
                </c:pt>
                <c:pt idx="701">
                  <c:v>1.1922039748591335</c:v>
                </c:pt>
                <c:pt idx="702">
                  <c:v>0.94696302159116175</c:v>
                </c:pt>
                <c:pt idx="703">
                  <c:v>0.90303697840883612</c:v>
                </c:pt>
                <c:pt idx="704">
                  <c:v>0.68649980212982242</c:v>
                </c:pt>
                <c:pt idx="705">
                  <c:v>0.79214791363534443</c:v>
                </c:pt>
                <c:pt idx="706">
                  <c:v>0.8395367805386551</c:v>
                </c:pt>
                <c:pt idx="707">
                  <c:v>0.7121479136353408</c:v>
                </c:pt>
                <c:pt idx="708">
                  <c:v>0.86781471221546558</c:v>
                </c:pt>
                <c:pt idx="709">
                  <c:v>0.87609264389226593</c:v>
                </c:pt>
                <c:pt idx="710">
                  <c:v>0.95001868707459436</c:v>
                </c:pt>
                <c:pt idx="711">
                  <c:v>0.85829661875140217</c:v>
                </c:pt>
                <c:pt idx="712">
                  <c:v>0.90309303963262844</c:v>
                </c:pt>
                <c:pt idx="713">
                  <c:v>0.94614870511606031</c:v>
                </c:pt>
                <c:pt idx="714">
                  <c:v>0.94179681662158277</c:v>
                </c:pt>
                <c:pt idx="715">
                  <c:v>0.86831530582600058</c:v>
                </c:pt>
                <c:pt idx="716">
                  <c:v>0.81787077343925363</c:v>
                </c:pt>
                <c:pt idx="717">
                  <c:v>0.8704632194613422</c:v>
                </c:pt>
                <c:pt idx="718">
                  <c:v>0.78609264389226607</c:v>
                </c:pt>
                <c:pt idx="719">
                  <c:v>0.78868508991435748</c:v>
                </c:pt>
                <c:pt idx="720">
                  <c:v>1.0025924460220914</c:v>
                </c:pt>
                <c:pt idx="721">
                  <c:v>0.80388866903313871</c:v>
                </c:pt>
                <c:pt idx="722">
                  <c:v>0.88474035965743214</c:v>
                </c:pt>
                <c:pt idx="723">
                  <c:v>0.85862902869056723</c:v>
                </c:pt>
                <c:pt idx="724">
                  <c:v>0.86948071931486748</c:v>
                </c:pt>
                <c:pt idx="725">
                  <c:v>1.0786103416159691</c:v>
                </c:pt>
                <c:pt idx="726">
                  <c:v>0.92383260780934562</c:v>
                </c:pt>
                <c:pt idx="727">
                  <c:v>0.77818449630382458</c:v>
                </c:pt>
                <c:pt idx="728">
                  <c:v>0.82427714019609033</c:v>
                </c:pt>
                <c:pt idx="729">
                  <c:v>0.86862902869056702</c:v>
                </c:pt>
                <c:pt idx="730">
                  <c:v>0.8882031833784173</c:v>
                </c:pt>
                <c:pt idx="731">
                  <c:v>0.87864771576516365</c:v>
                </c:pt>
                <c:pt idx="732">
                  <c:v>0.96692564744197118</c:v>
                </c:pt>
                <c:pt idx="733">
                  <c:v>0.97259244602209027</c:v>
                </c:pt>
                <c:pt idx="734">
                  <c:v>1.0930182913342406</c:v>
                </c:pt>
                <c:pt idx="735">
                  <c:v>1.1356107373563293</c:v>
                </c:pt>
                <c:pt idx="736">
                  <c:v>1.1773328056795263</c:v>
                </c:pt>
                <c:pt idx="737">
                  <c:v>1.1147216725828375</c:v>
                </c:pt>
                <c:pt idx="738">
                  <c:v>1.0582031833784207</c:v>
                </c:pt>
                <c:pt idx="739">
                  <c:v>0.93255507187289743</c:v>
                </c:pt>
                <c:pt idx="740">
                  <c:v>0.8603884711629568</c:v>
                </c:pt>
                <c:pt idx="741">
                  <c:v>0.86127753593645451</c:v>
                </c:pt>
                <c:pt idx="742">
                  <c:v>0.8565184892044192</c:v>
                </c:pt>
                <c:pt idx="743">
                  <c:v>0.97566679858011807</c:v>
                </c:pt>
                <c:pt idx="744">
                  <c:v>0.89524095326796682</c:v>
                </c:pt>
                <c:pt idx="745">
                  <c:v>1.1274262410525062</c:v>
                </c:pt>
                <c:pt idx="746">
                  <c:v>0.86701908281495221</c:v>
                </c:pt>
                <c:pt idx="747">
                  <c:v>0.90703776988954998</c:v>
                </c:pt>
                <c:pt idx="748">
                  <c:v>0.73661192457740243</c:v>
                </c:pt>
                <c:pt idx="749">
                  <c:v>0.98226003608292856</c:v>
                </c:pt>
                <c:pt idx="750">
                  <c:v>0.84616739219065218</c:v>
                </c:pt>
                <c:pt idx="751">
                  <c:v>0.86398210440611811</c:v>
                </c:pt>
                <c:pt idx="752">
                  <c:v>0.91440794971827</c:v>
                </c:pt>
                <c:pt idx="753">
                  <c:v>0.96874115113814774</c:v>
                </c:pt>
                <c:pt idx="754">
                  <c:v>0.84481510795582215</c:v>
                </c:pt>
                <c:pt idx="755">
                  <c:v>0.94698170866576037</c:v>
                </c:pt>
                <c:pt idx="756">
                  <c:v>1.010463219461341</c:v>
                </c:pt>
                <c:pt idx="757">
                  <c:v>0.97003737414919078</c:v>
                </c:pt>
                <c:pt idx="758">
                  <c:v>0.93570417272931439</c:v>
                </c:pt>
                <c:pt idx="759">
                  <c:v>0.97701908281495342</c:v>
                </c:pt>
                <c:pt idx="760">
                  <c:v>0.96920437059949605</c:v>
                </c:pt>
                <c:pt idx="761">
                  <c:v>1.1222413490083287</c:v>
                </c:pt>
                <c:pt idx="762">
                  <c:v>0.89614870511606137</c:v>
                </c:pt>
                <c:pt idx="763">
                  <c:v>0.89918568352489359</c:v>
                </c:pt>
                <c:pt idx="764">
                  <c:v>0.99701908281495122</c:v>
                </c:pt>
                <c:pt idx="765">
                  <c:v>1.0148524821050104</c:v>
                </c:pt>
                <c:pt idx="766">
                  <c:v>1.012241349008324</c:v>
                </c:pt>
                <c:pt idx="767">
                  <c:v>0.94353757201937383</c:v>
                </c:pt>
                <c:pt idx="768">
                  <c:v>1.0309264389226835</c:v>
                </c:pt>
                <c:pt idx="769">
                  <c:v>0.7978894605138509</c:v>
                </c:pt>
                <c:pt idx="770">
                  <c:v>0.87572285980390718</c:v>
                </c:pt>
                <c:pt idx="771">
                  <c:v>0.95746361520170176</c:v>
                </c:pt>
                <c:pt idx="772">
                  <c:v>1.0413709713094295</c:v>
                </c:pt>
                <c:pt idx="773">
                  <c:v>1.2909264389226833</c:v>
                </c:pt>
                <c:pt idx="774">
                  <c:v>1.0378707734392525</c:v>
                </c:pt>
                <c:pt idx="775">
                  <c:v>0.96872246406354912</c:v>
                </c:pt>
                <c:pt idx="776">
                  <c:v>1.0995741546878504</c:v>
                </c:pt>
                <c:pt idx="777">
                  <c:v>1.1734628237209832</c:v>
                </c:pt>
                <c:pt idx="778">
                  <c:v>1.1499626258508049</c:v>
                </c:pt>
                <c:pt idx="779">
                  <c:v>1.416462427980631</c:v>
                </c:pt>
                <c:pt idx="780">
                  <c:v>1.2629622301104482</c:v>
                </c:pt>
                <c:pt idx="781">
                  <c:v>1.2912027876380616</c:v>
                </c:pt>
                <c:pt idx="782">
                  <c:v>1.2294433451656732</c:v>
                </c:pt>
                <c:pt idx="783">
                  <c:v>1.0985542803921835</c:v>
                </c:pt>
                <c:pt idx="784">
                  <c:v>1.274628237209857</c:v>
                </c:pt>
                <c:pt idx="785">
                  <c:v>1.2267948379197948</c:v>
                </c:pt>
                <c:pt idx="786">
                  <c:v>1.1598505034032289</c:v>
                </c:pt>
                <c:pt idx="787">
                  <c:v>1.0268322120689892</c:v>
                </c:pt>
                <c:pt idx="788">
                  <c:v>1.1272954315303301</c:v>
                </c:pt>
                <c:pt idx="789">
                  <c:v>1.1329809171850478</c:v>
                </c:pt>
                <c:pt idx="790">
                  <c:v>1.2625737589474979</c:v>
                </c:pt>
                <c:pt idx="791">
                  <c:v>1.1943332014198802</c:v>
                </c:pt>
                <c:pt idx="792">
                  <c:v>1.3447777338066249</c:v>
                </c:pt>
                <c:pt idx="793">
                  <c:v>1.3034815107955862</c:v>
                </c:pt>
                <c:pt idx="794">
                  <c:v>1.2804445323867473</c:v>
                </c:pt>
                <c:pt idx="795">
                  <c:v>1.3965371762790135</c:v>
                </c:pt>
                <c:pt idx="796">
                  <c:v>1.2852409532679727</c:v>
                </c:pt>
                <c:pt idx="797">
                  <c:v>1.4074262410525074</c:v>
                </c:pt>
                <c:pt idx="798">
                  <c:v>1.2900373741491928</c:v>
                </c:pt>
                <c:pt idx="799">
                  <c:v>1.0991483093757046</c:v>
                </c:pt>
                <c:pt idx="800">
                  <c:v>1.0769630215911661</c:v>
                </c:pt>
                <c:pt idx="801">
                  <c:v>1.0182592446022103</c:v>
                </c:pt>
                <c:pt idx="802">
                  <c:v>1.1834815107955816</c:v>
                </c:pt>
                <c:pt idx="803">
                  <c:v>1.2517407553977911</c:v>
                </c:pt>
                <c:pt idx="804">
                  <c:v>1.1995741546878482</c:v>
                </c:pt>
                <c:pt idx="805">
                  <c:v>1.232629820171282</c:v>
                </c:pt>
                <c:pt idx="806">
                  <c:v>1.0974262410525086</c:v>
                </c:pt>
                <c:pt idx="807">
                  <c:v>1.1396115288370432</c:v>
                </c:pt>
                <c:pt idx="808">
                  <c:v>1.3030930396326252</c:v>
                </c:pt>
                <c:pt idx="809">
                  <c:v>1.3722226619337301</c:v>
                </c:pt>
                <c:pt idx="810">
                  <c:v>1.2039447302569208</c:v>
                </c:pt>
                <c:pt idx="811">
                  <c:v>1.1482779316768008</c:v>
                </c:pt>
                <c:pt idx="812">
                  <c:v>1.1704258453121492</c:v>
                </c:pt>
                <c:pt idx="813">
                  <c:v>1.2099626258508072</c:v>
                </c:pt>
                <c:pt idx="814">
                  <c:v>1.3173141186049264</c:v>
                </c:pt>
              </c:numCache>
            </c:numRef>
          </c:yVal>
          <c:smooth val="1"/>
          <c:extLst>
            <c:ext xmlns:c16="http://schemas.microsoft.com/office/drawing/2014/chart" uri="{C3380CC4-5D6E-409C-BE32-E72D297353CC}">
              <c16:uniqueId val="{00000001-A667-43B8-8A80-8697DFBEF181}"/>
            </c:ext>
          </c:extLst>
        </c:ser>
        <c:dLbls>
          <c:showLegendKey val="0"/>
          <c:showVal val="0"/>
          <c:showCatName val="0"/>
          <c:showSerName val="0"/>
          <c:showPercent val="0"/>
          <c:showBubbleSize val="0"/>
        </c:dLbls>
        <c:axId val="53922070"/>
        <c:axId val="9188993"/>
      </c:scatterChart>
      <c:valAx>
        <c:axId val="53922070"/>
        <c:scaling>
          <c:orientation val="minMax"/>
          <c:max val="0.7"/>
          <c:min val="0.1"/>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log2(CO2 / 280 ppm)</a:t>
                </a:r>
              </a:p>
            </c:rich>
          </c:tx>
          <c:overlay val="0"/>
          <c:spPr>
            <a:noFill/>
            <a:ln w="0">
              <a:noFill/>
            </a:ln>
          </c:spPr>
        </c:title>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9188993"/>
        <c:crosses val="min"/>
        <c:crossBetween val="midCat"/>
      </c:valAx>
      <c:valAx>
        <c:axId val="9188993"/>
        <c:scaling>
          <c:orientation val="minMax"/>
          <c:max val="1.6"/>
          <c:min val="-0.5"/>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ENSO-adjusted anomaly (°C)</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53922070"/>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Two-factor model: fitted vs observed, monthly
Points on the 1:1 diagonal would be a perfect fit</a:t>
            </a:r>
          </a:p>
        </c:rich>
      </c:tx>
      <c:overlay val="0"/>
      <c:spPr>
        <a:noFill/>
        <a:ln w="0">
          <a:noFill/>
        </a:ln>
      </c:spPr>
    </c:title>
    <c:autoTitleDeleted val="0"/>
    <c:plotArea>
      <c:layout/>
      <c:scatterChart>
        <c:scatterStyle val="lineMarker"/>
        <c:varyColors val="0"/>
        <c:ser>
          <c:idx val="0"/>
          <c:order val="0"/>
          <c:spPr>
            <a:ln w="38160">
              <a:noFill/>
            </a:ln>
          </c:spPr>
          <c:marker>
            <c:symbol val="circle"/>
            <c:size val="3"/>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0"/>
            <c:trendlineLbl>
              <c:numFmt formatCode="General" sourceLinked="0"/>
            </c:trendlineLbl>
          </c:trendline>
          <c:xVal>
            <c:numRef>
              <c:f>ENSO!$H$9:$H$823</c:f>
              <c:numCache>
                <c:formatCode>0.000</c:formatCode>
                <c:ptCount val="815"/>
                <c:pt idx="0">
                  <c:v>-0.12271685244220754</c:v>
                </c:pt>
                <c:pt idx="1">
                  <c:v>-0.1207651879035507</c:v>
                </c:pt>
                <c:pt idx="2">
                  <c:v>-0.10733540713207329</c:v>
                </c:pt>
                <c:pt idx="3">
                  <c:v>-9.4151127246155056E-2</c:v>
                </c:pt>
                <c:pt idx="4">
                  <c:v>-7.7518287414069631E-2</c:v>
                </c:pt>
                <c:pt idx="5">
                  <c:v>-5.8107870621186712E-2</c:v>
                </c:pt>
                <c:pt idx="6">
                  <c:v>-4.1258172687849176E-2</c:v>
                </c:pt>
                <c:pt idx="7">
                  <c:v>-3.067365900260282E-2</c:v>
                </c:pt>
                <c:pt idx="8">
                  <c:v>-4.6343120239445937E-2</c:v>
                </c:pt>
                <c:pt idx="9">
                  <c:v>-7.4281150939623203E-2</c:v>
                </c:pt>
                <c:pt idx="10">
                  <c:v>-0.109180104100329</c:v>
                </c:pt>
                <c:pt idx="11">
                  <c:v>-0.14043162219420818</c:v>
                </c:pt>
                <c:pt idx="12">
                  <c:v>-0.16515445054722103</c:v>
                </c:pt>
                <c:pt idx="13">
                  <c:v>-0.14996197519130389</c:v>
                </c:pt>
                <c:pt idx="14">
                  <c:v>-0.12374396900860193</c:v>
                </c:pt>
                <c:pt idx="15">
                  <c:v>-0.10002906449794639</c:v>
                </c:pt>
                <c:pt idx="16">
                  <c:v>-8.2702624362770316E-2</c:v>
                </c:pt>
                <c:pt idx="17">
                  <c:v>-8.3042093329533689E-2</c:v>
                </c:pt>
                <c:pt idx="18">
                  <c:v>-7.5434586826222907E-2</c:v>
                </c:pt>
                <c:pt idx="19">
                  <c:v>-6.2162267499251571E-2</c:v>
                </c:pt>
                <c:pt idx="20">
                  <c:v>-6.5127205516298012E-2</c:v>
                </c:pt>
                <c:pt idx="21">
                  <c:v>-7.2951174746804584E-2</c:v>
                </c:pt>
                <c:pt idx="22">
                  <c:v>-0.11276469149730353</c:v>
                </c:pt>
                <c:pt idx="23">
                  <c:v>-0.13800772878774498</c:v>
                </c:pt>
                <c:pt idx="24">
                  <c:v>-0.14142826972197362</c:v>
                </c:pt>
                <c:pt idx="25">
                  <c:v>-0.11449664768559131</c:v>
                </c:pt>
                <c:pt idx="26">
                  <c:v>-9.6072806674561556E-2</c:v>
                </c:pt>
                <c:pt idx="27">
                  <c:v>-9.6883602696017798E-2</c:v>
                </c:pt>
                <c:pt idx="28">
                  <c:v>-9.9822938031981043E-2</c:v>
                </c:pt>
                <c:pt idx="29">
                  <c:v>-8.9359135566739897E-2</c:v>
                </c:pt>
                <c:pt idx="30">
                  <c:v>-7.1589664870356007E-2</c:v>
                </c:pt>
                <c:pt idx="31">
                  <c:v>-5.5357707529152249E-2</c:v>
                </c:pt>
                <c:pt idx="32">
                  <c:v>-6.7123795769675115E-2</c:v>
                </c:pt>
                <c:pt idx="33">
                  <c:v>-7.8665801473807029E-2</c:v>
                </c:pt>
                <c:pt idx="34">
                  <c:v>-8.5949037423439095E-2</c:v>
                </c:pt>
                <c:pt idx="35">
                  <c:v>-0.10852980862115616</c:v>
                </c:pt>
                <c:pt idx="36">
                  <c:v>-0.1166913215536217</c:v>
                </c:pt>
                <c:pt idx="37">
                  <c:v>-0.13114566177315079</c:v>
                </c:pt>
                <c:pt idx="38">
                  <c:v>-0.13019836451976716</c:v>
                </c:pt>
                <c:pt idx="39">
                  <c:v>-0.10988612523540056</c:v>
                </c:pt>
                <c:pt idx="40">
                  <c:v>-9.2716243556616965E-2</c:v>
                </c:pt>
                <c:pt idx="41">
                  <c:v>-7.3461555052467153E-2</c:v>
                </c:pt>
                <c:pt idx="42">
                  <c:v>-7.2018498849086857E-2</c:v>
                </c:pt>
                <c:pt idx="43">
                  <c:v>-6.7330013658243079E-2</c:v>
                </c:pt>
                <c:pt idx="44">
                  <c:v>-7.0530084502391899E-2</c:v>
                </c:pt>
                <c:pt idx="45">
                  <c:v>-8.7385043412178121E-2</c:v>
                </c:pt>
                <c:pt idx="46">
                  <c:v>-0.11401124884927369</c:v>
                </c:pt>
                <c:pt idx="47">
                  <c:v>-0.12329829575853041</c:v>
                </c:pt>
                <c:pt idx="48">
                  <c:v>-0.12227211362166562</c:v>
                </c:pt>
                <c:pt idx="49">
                  <c:v>-0.1150522411736199</c:v>
                </c:pt>
                <c:pt idx="50">
                  <c:v>-0.10765633732204051</c:v>
                </c:pt>
                <c:pt idx="51">
                  <c:v>-0.10253861974559435</c:v>
                </c:pt>
                <c:pt idx="52">
                  <c:v>-9.8437961103962787E-2</c:v>
                </c:pt>
                <c:pt idx="53">
                  <c:v>-9.4731080657724537E-2</c:v>
                </c:pt>
                <c:pt idx="54">
                  <c:v>-7.6814574113367007E-2</c:v>
                </c:pt>
                <c:pt idx="55">
                  <c:v>-5.2298428952040385E-2</c:v>
                </c:pt>
                <c:pt idx="56">
                  <c:v>-4.5865604942910178E-2</c:v>
                </c:pt>
                <c:pt idx="57">
                  <c:v>-5.7051059524684693E-2</c:v>
                </c:pt>
                <c:pt idx="58">
                  <c:v>-8.2412722134096741E-2</c:v>
                </c:pt>
                <c:pt idx="59">
                  <c:v>-7.319233570155112E-2</c:v>
                </c:pt>
                <c:pt idx="60">
                  <c:v>-4.8968658207793794E-2</c:v>
                </c:pt>
                <c:pt idx="61">
                  <c:v>-6.7251488722051E-3</c:v>
                </c:pt>
                <c:pt idx="62">
                  <c:v>9.2402818782788554E-3</c:v>
                </c:pt>
                <c:pt idx="63">
                  <c:v>2.7879206413863947E-2</c:v>
                </c:pt>
                <c:pt idx="64">
                  <c:v>3.8925369191115416E-2</c:v>
                </c:pt>
                <c:pt idx="65">
                  <c:v>4.2484705285321736E-2</c:v>
                </c:pt>
                <c:pt idx="66">
                  <c:v>4.0261764662640212E-2</c:v>
                </c:pt>
                <c:pt idx="67">
                  <c:v>7.8806066910362127E-3</c:v>
                </c:pt>
                <c:pt idx="68">
                  <c:v>-3.658625251163037E-2</c:v>
                </c:pt>
                <c:pt idx="69">
                  <c:v>-9.0163021658365025E-2</c:v>
                </c:pt>
                <c:pt idx="70">
                  <c:v>-0.13362352145943832</c:v>
                </c:pt>
                <c:pt idx="71">
                  <c:v>-0.16354313723280922</c:v>
                </c:pt>
                <c:pt idx="72">
                  <c:v>-0.16241204303765025</c:v>
                </c:pt>
                <c:pt idx="73">
                  <c:v>-0.15490620828511767</c:v>
                </c:pt>
                <c:pt idx="74">
                  <c:v>-0.14381936924152217</c:v>
                </c:pt>
                <c:pt idx="75">
                  <c:v>-0.141716066743202</c:v>
                </c:pt>
                <c:pt idx="76">
                  <c:v>-0.12845964040976687</c:v>
                </c:pt>
                <c:pt idx="77">
                  <c:v>-0.11941701311892874</c:v>
                </c:pt>
                <c:pt idx="78">
                  <c:v>-8.3121224842736818E-2</c:v>
                </c:pt>
                <c:pt idx="79">
                  <c:v>-6.0122378347771274E-2</c:v>
                </c:pt>
                <c:pt idx="80">
                  <c:v>-4.5536257236093204E-2</c:v>
                </c:pt>
                <c:pt idx="81">
                  <c:v>-3.6262813394186008E-2</c:v>
                </c:pt>
                <c:pt idx="82">
                  <c:v>-3.8255507858713823E-2</c:v>
                </c:pt>
                <c:pt idx="83">
                  <c:v>-2.3473934317795431E-2</c:v>
                </c:pt>
                <c:pt idx="84">
                  <c:v>-2.981238219494517E-3</c:v>
                </c:pt>
                <c:pt idx="85">
                  <c:v>3.1374708052925915E-2</c:v>
                </c:pt>
                <c:pt idx="86">
                  <c:v>6.2574576216659628E-2</c:v>
                </c:pt>
                <c:pt idx="87">
                  <c:v>9.0489789793274961E-2</c:v>
                </c:pt>
                <c:pt idx="88">
                  <c:v>0.11302842203628502</c:v>
                </c:pt>
                <c:pt idx="89">
                  <c:v>0.10360263946326559</c:v>
                </c:pt>
                <c:pt idx="90">
                  <c:v>8.8338818748559242E-2</c:v>
                </c:pt>
                <c:pt idx="91">
                  <c:v>6.7747160175859258E-2</c:v>
                </c:pt>
                <c:pt idx="92">
                  <c:v>4.7172750238237846E-2</c:v>
                </c:pt>
                <c:pt idx="93">
                  <c:v>1.5226028475105943E-3</c:v>
                </c:pt>
                <c:pt idx="94">
                  <c:v>-3.9800197896584767E-2</c:v>
                </c:pt>
                <c:pt idx="95">
                  <c:v>-6.635584074288875E-2</c:v>
                </c:pt>
                <c:pt idx="96">
                  <c:v>-6.6984642548957932E-2</c:v>
                </c:pt>
                <c:pt idx="97">
                  <c:v>-5.6555339086961635E-2</c:v>
                </c:pt>
                <c:pt idx="98">
                  <c:v>-6.03669920670791E-2</c:v>
                </c:pt>
                <c:pt idx="99">
                  <c:v>-4.6839908042224751E-2</c:v>
                </c:pt>
                <c:pt idx="100">
                  <c:v>-5.4324599847806909E-2</c:v>
                </c:pt>
                <c:pt idx="101">
                  <c:v>-5.8261986992213563E-2</c:v>
                </c:pt>
                <c:pt idx="102">
                  <c:v>-5.0942970600722066E-2</c:v>
                </c:pt>
                <c:pt idx="103">
                  <c:v>-4.5483201658162484E-2</c:v>
                </c:pt>
                <c:pt idx="104">
                  <c:v>-5.8335329934779502E-2</c:v>
                </c:pt>
                <c:pt idx="105">
                  <c:v>-6.6018409376226356E-2</c:v>
                </c:pt>
                <c:pt idx="106">
                  <c:v>-6.6823887417709005E-2</c:v>
                </c:pt>
                <c:pt idx="107">
                  <c:v>-7.0091694461493603E-2</c:v>
                </c:pt>
                <c:pt idx="108">
                  <c:v>-7.4446926061246518E-2</c:v>
                </c:pt>
                <c:pt idx="109">
                  <c:v>-7.8744897759155288E-2</c:v>
                </c:pt>
                <c:pt idx="110">
                  <c:v>-7.5761950048965118E-2</c:v>
                </c:pt>
                <c:pt idx="111">
                  <c:v>-6.826097377825445E-2</c:v>
                </c:pt>
                <c:pt idx="112">
                  <c:v>-5.7660531126635058E-2</c:v>
                </c:pt>
                <c:pt idx="113">
                  <c:v>-5.381855007936856E-2</c:v>
                </c:pt>
                <c:pt idx="114">
                  <c:v>-5.7424632996729084E-2</c:v>
                </c:pt>
                <c:pt idx="115">
                  <c:v>-6.029860918531324E-2</c:v>
                </c:pt>
                <c:pt idx="116">
                  <c:v>-5.4151745398730453E-2</c:v>
                </c:pt>
                <c:pt idx="117">
                  <c:v>-5.5983249979060609E-2</c:v>
                </c:pt>
                <c:pt idx="118">
                  <c:v>-4.7804799879695548E-2</c:v>
                </c:pt>
                <c:pt idx="119">
                  <c:v>-4.6263953169729213E-2</c:v>
                </c:pt>
                <c:pt idx="120">
                  <c:v>-2.3753555591684836E-2</c:v>
                </c:pt>
                <c:pt idx="121">
                  <c:v>-1.5757659004562226E-2</c:v>
                </c:pt>
                <c:pt idx="122">
                  <c:v>7.6243871633817351E-5</c:v>
                </c:pt>
                <c:pt idx="123">
                  <c:v>2.7601818041295446E-2</c:v>
                </c:pt>
                <c:pt idx="124">
                  <c:v>4.6539331675573559E-2</c:v>
                </c:pt>
                <c:pt idx="125">
                  <c:v>8.4914332538687048E-2</c:v>
                </c:pt>
                <c:pt idx="126">
                  <c:v>0.1017811338530509</c:v>
                </c:pt>
                <c:pt idx="127">
                  <c:v>0.11050601110168948</c:v>
                </c:pt>
                <c:pt idx="128">
                  <c:v>8.4109717501669581E-2</c:v>
                </c:pt>
                <c:pt idx="129">
                  <c:v>6.706650225775368E-2</c:v>
                </c:pt>
                <c:pt idx="130">
                  <c:v>3.3885684514043078E-2</c:v>
                </c:pt>
                <c:pt idx="131">
                  <c:v>5.9974161709697577E-3</c:v>
                </c:pt>
                <c:pt idx="132">
                  <c:v>-1.0958985759841694E-2</c:v>
                </c:pt>
                <c:pt idx="133">
                  <c:v>5.6779422837947569E-3</c:v>
                </c:pt>
                <c:pt idx="134">
                  <c:v>3.8521135782716813E-2</c:v>
                </c:pt>
                <c:pt idx="135">
                  <c:v>5.882326883466342E-2</c:v>
                </c:pt>
                <c:pt idx="136">
                  <c:v>7.8848438768870321E-2</c:v>
                </c:pt>
                <c:pt idx="137">
                  <c:v>8.1555016485457085E-2</c:v>
                </c:pt>
                <c:pt idx="138">
                  <c:v>7.4314403824650044E-2</c:v>
                </c:pt>
                <c:pt idx="139">
                  <c:v>5.3691826351909611E-2</c:v>
                </c:pt>
                <c:pt idx="140">
                  <c:v>4.8736450757386973E-2</c:v>
                </c:pt>
                <c:pt idx="141">
                  <c:v>3.6970797113560494E-2</c:v>
                </c:pt>
                <c:pt idx="142">
                  <c:v>1.9653372305725343E-3</c:v>
                </c:pt>
                <c:pt idx="143">
                  <c:v>-4.9569951690005012E-2</c:v>
                </c:pt>
                <c:pt idx="144">
                  <c:v>-7.5301531326558951E-2</c:v>
                </c:pt>
                <c:pt idx="145">
                  <c:v>-7.8461954803551351E-2</c:v>
                </c:pt>
                <c:pt idx="146">
                  <c:v>-6.2176334603990413E-2</c:v>
                </c:pt>
                <c:pt idx="147">
                  <c:v>-5.2131842815747356E-2</c:v>
                </c:pt>
                <c:pt idx="148">
                  <c:v>-5.1041420817963631E-2</c:v>
                </c:pt>
                <c:pt idx="149">
                  <c:v>-7.2954201024694479E-2</c:v>
                </c:pt>
                <c:pt idx="150">
                  <c:v>-8.2230860113277057E-2</c:v>
                </c:pt>
                <c:pt idx="151">
                  <c:v>-7.4444585736032493E-2</c:v>
                </c:pt>
                <c:pt idx="152">
                  <c:v>-5.4413490760714583E-2</c:v>
                </c:pt>
                <c:pt idx="153">
                  <c:v>-4.5533695493149395E-2</c:v>
                </c:pt>
                <c:pt idx="154">
                  <c:v>-6.1132656963873502E-2</c:v>
                </c:pt>
                <c:pt idx="155">
                  <c:v>-8.3808601117994486E-2</c:v>
                </c:pt>
                <c:pt idx="156">
                  <c:v>-8.0487973434404766E-2</c:v>
                </c:pt>
                <c:pt idx="157">
                  <c:v>-5.8367124195188053E-2</c:v>
                </c:pt>
                <c:pt idx="158">
                  <c:v>-5.0594722466237571E-2</c:v>
                </c:pt>
                <c:pt idx="159">
                  <c:v>-5.0071129949346524E-2</c:v>
                </c:pt>
                <c:pt idx="160">
                  <c:v>-4.661850162733959E-2</c:v>
                </c:pt>
                <c:pt idx="161">
                  <c:v>-3.8204307567703918E-2</c:v>
                </c:pt>
                <c:pt idx="162">
                  <c:v>3.8213784881045293E-3</c:v>
                </c:pt>
                <c:pt idx="163">
                  <c:v>3.4137005794702267E-2</c:v>
                </c:pt>
                <c:pt idx="164">
                  <c:v>4.9335425875285256E-2</c:v>
                </c:pt>
                <c:pt idx="165">
                  <c:v>5.4949403162990837E-2</c:v>
                </c:pt>
                <c:pt idx="166">
                  <c:v>5.4135481041200403E-2</c:v>
                </c:pt>
                <c:pt idx="167">
                  <c:v>5.5269974836092271E-2</c:v>
                </c:pt>
                <c:pt idx="168">
                  <c:v>8.5770587227140774E-2</c:v>
                </c:pt>
                <c:pt idx="169">
                  <c:v>0.12421023633583192</c:v>
                </c:pt>
                <c:pt idx="170">
                  <c:v>0.15695251398388574</c:v>
                </c:pt>
                <c:pt idx="171">
                  <c:v>0.18643991018887635</c:v>
                </c:pt>
                <c:pt idx="172">
                  <c:v>0.21177919627018496</c:v>
                </c:pt>
                <c:pt idx="173">
                  <c:v>0.21445445295576152</c:v>
                </c:pt>
                <c:pt idx="174">
                  <c:v>0.20967710828356423</c:v>
                </c:pt>
                <c:pt idx="175">
                  <c:v>0.18481899549626685</c:v>
                </c:pt>
                <c:pt idx="176">
                  <c:v>0.13031771038058582</c:v>
                </c:pt>
                <c:pt idx="177">
                  <c:v>6.4619173988751263E-2</c:v>
                </c:pt>
                <c:pt idx="178">
                  <c:v>4.1129320554902926E-3</c:v>
                </c:pt>
                <c:pt idx="179">
                  <c:v>-4.2726943861763095E-2</c:v>
                </c:pt>
                <c:pt idx="180">
                  <c:v>-6.3258928645804166E-2</c:v>
                </c:pt>
                <c:pt idx="181">
                  <c:v>-6.1851848834119802E-2</c:v>
                </c:pt>
                <c:pt idx="182">
                  <c:v>-6.9115549571851481E-2</c:v>
                </c:pt>
                <c:pt idx="183">
                  <c:v>-8.841584673739411E-2</c:v>
                </c:pt>
                <c:pt idx="184">
                  <c:v>-9.9187841753810624E-2</c:v>
                </c:pt>
                <c:pt idx="185">
                  <c:v>-0.10290802857454284</c:v>
                </c:pt>
                <c:pt idx="186">
                  <c:v>-7.4268622430171211E-2</c:v>
                </c:pt>
                <c:pt idx="187">
                  <c:v>-4.3470356655890802E-2</c:v>
                </c:pt>
                <c:pt idx="188">
                  <c:v>-2.4799211548394304E-2</c:v>
                </c:pt>
                <c:pt idx="189">
                  <c:v>-1.6542433448219471E-2</c:v>
                </c:pt>
                <c:pt idx="190">
                  <c:v>-1.5220467927699308E-2</c:v>
                </c:pt>
                <c:pt idx="191">
                  <c:v>-3.1100450085213401E-2</c:v>
                </c:pt>
                <c:pt idx="192">
                  <c:v>-1.6039017934219919E-2</c:v>
                </c:pt>
                <c:pt idx="193">
                  <c:v>1.6351654866122584E-3</c:v>
                </c:pt>
                <c:pt idx="194">
                  <c:v>1.0842187199498289E-2</c:v>
                </c:pt>
                <c:pt idx="195">
                  <c:v>5.4971282901856711E-3</c:v>
                </c:pt>
                <c:pt idx="196">
                  <c:v>-2.3028660051194472E-3</c:v>
                </c:pt>
                <c:pt idx="197">
                  <c:v>1.8228071413492988E-2</c:v>
                </c:pt>
                <c:pt idx="198">
                  <c:v>4.5226953547986441E-2</c:v>
                </c:pt>
                <c:pt idx="199">
                  <c:v>5.6077676839933664E-2</c:v>
                </c:pt>
                <c:pt idx="200">
                  <c:v>4.4561214911777954E-2</c:v>
                </c:pt>
                <c:pt idx="201">
                  <c:v>2.2938091809284522E-2</c:v>
                </c:pt>
                <c:pt idx="202">
                  <c:v>-1.3433982841950159E-2</c:v>
                </c:pt>
                <c:pt idx="203">
                  <c:v>-4.1452422270153014E-2</c:v>
                </c:pt>
                <c:pt idx="204">
                  <c:v>-5.6947050667813054E-2</c:v>
                </c:pt>
                <c:pt idx="205">
                  <c:v>-4.8137844165745972E-2</c:v>
                </c:pt>
                <c:pt idx="206">
                  <c:v>-4.6246284763263631E-2</c:v>
                </c:pt>
                <c:pt idx="207">
                  <c:v>-3.9404109291514611E-2</c:v>
                </c:pt>
                <c:pt idx="208">
                  <c:v>-3.8381508499405942E-2</c:v>
                </c:pt>
                <c:pt idx="209">
                  <c:v>-4.057860269359137E-2</c:v>
                </c:pt>
                <c:pt idx="210">
                  <c:v>-1.6374430053660766E-2</c:v>
                </c:pt>
                <c:pt idx="211">
                  <c:v>1.6463147242206391E-2</c:v>
                </c:pt>
                <c:pt idx="212">
                  <c:v>4.7611221037659107E-2</c:v>
                </c:pt>
                <c:pt idx="213">
                  <c:v>5.4444202021992814E-2</c:v>
                </c:pt>
                <c:pt idx="214">
                  <c:v>4.4935359822613985E-2</c:v>
                </c:pt>
                <c:pt idx="215">
                  <c:v>4.4288190288818474E-2</c:v>
                </c:pt>
                <c:pt idx="216">
                  <c:v>6.1414682241242802E-2</c:v>
                </c:pt>
                <c:pt idx="217">
                  <c:v>9.3532695813690378E-2</c:v>
                </c:pt>
                <c:pt idx="218">
                  <c:v>0.12842546113288275</c:v>
                </c:pt>
                <c:pt idx="219">
                  <c:v>0.15760921302386555</c:v>
                </c:pt>
                <c:pt idx="220">
                  <c:v>0.16518241430520159</c:v>
                </c:pt>
                <c:pt idx="221">
                  <c:v>0.18902716838250749</c:v>
                </c:pt>
                <c:pt idx="222">
                  <c:v>0.19164787458135152</c:v>
                </c:pt>
                <c:pt idx="223">
                  <c:v>0.19659845057070147</c:v>
                </c:pt>
                <c:pt idx="224">
                  <c:v>0.15892717934003364</c:v>
                </c:pt>
                <c:pt idx="225">
                  <c:v>0.13771703091967702</c:v>
                </c:pt>
                <c:pt idx="226">
                  <c:v>0.1100495313841925</c:v>
                </c:pt>
                <c:pt idx="227">
                  <c:v>0.11229477944739341</c:v>
                </c:pt>
                <c:pt idx="228">
                  <c:v>0.10608251682278549</c:v>
                </c:pt>
                <c:pt idx="229">
                  <c:v>0.11669115021535963</c:v>
                </c:pt>
                <c:pt idx="230">
                  <c:v>0.13896002365109408</c:v>
                </c:pt>
                <c:pt idx="231">
                  <c:v>0.17486450545543158</c:v>
                </c:pt>
                <c:pt idx="232">
                  <c:v>0.19257477015982277</c:v>
                </c:pt>
                <c:pt idx="233">
                  <c:v>0.20734762612054736</c:v>
                </c:pt>
                <c:pt idx="234">
                  <c:v>0.2098789834763502</c:v>
                </c:pt>
                <c:pt idx="235">
                  <c:v>0.19721246334090661</c:v>
                </c:pt>
                <c:pt idx="236">
                  <c:v>0.16663200679913101</c:v>
                </c:pt>
                <c:pt idx="237">
                  <c:v>0.12887059789999719</c:v>
                </c:pt>
                <c:pt idx="238">
                  <c:v>8.5151168600556215E-2</c:v>
                </c:pt>
                <c:pt idx="239">
                  <c:v>6.4146726994369879E-2</c:v>
                </c:pt>
                <c:pt idx="240">
                  <c:v>5.390475813355447E-2</c:v>
                </c:pt>
                <c:pt idx="241">
                  <c:v>6.9489215012447786E-2</c:v>
                </c:pt>
                <c:pt idx="242">
                  <c:v>7.7027247068666302E-2</c:v>
                </c:pt>
                <c:pt idx="243">
                  <c:v>0.10635086008959285</c:v>
                </c:pt>
                <c:pt idx="244">
                  <c:v>0.13023712200609405</c:v>
                </c:pt>
                <c:pt idx="245">
                  <c:v>0.16445677803404621</c:v>
                </c:pt>
                <c:pt idx="246">
                  <c:v>0.17785774591025785</c:v>
                </c:pt>
                <c:pt idx="247">
                  <c:v>0.18450771779607716</c:v>
                </c:pt>
                <c:pt idx="248">
                  <c:v>0.19170435997236349</c:v>
                </c:pt>
                <c:pt idx="249">
                  <c:v>0.17417361347925689</c:v>
                </c:pt>
                <c:pt idx="250">
                  <c:v>0.15013749192347262</c:v>
                </c:pt>
                <c:pt idx="251">
                  <c:v>0.11637105925040334</c:v>
                </c:pt>
                <c:pt idx="252">
                  <c:v>0.11522161649965293</c:v>
                </c:pt>
                <c:pt idx="253">
                  <c:v>0.13932049223321766</c:v>
                </c:pt>
                <c:pt idx="254">
                  <c:v>0.16733473744822266</c:v>
                </c:pt>
                <c:pt idx="255">
                  <c:v>0.19145350091497157</c:v>
                </c:pt>
                <c:pt idx="256">
                  <c:v>0.19922146437547747</c:v>
                </c:pt>
                <c:pt idx="257">
                  <c:v>0.23161765745790813</c:v>
                </c:pt>
                <c:pt idx="258">
                  <c:v>0.23988571410509221</c:v>
                </c:pt>
                <c:pt idx="259">
                  <c:v>0.23286964758221637</c:v>
                </c:pt>
                <c:pt idx="260">
                  <c:v>0.22138045847478696</c:v>
                </c:pt>
                <c:pt idx="261">
                  <c:v>0.19827495737853393</c:v>
                </c:pt>
                <c:pt idx="262">
                  <c:v>0.18701445653089369</c:v>
                </c:pt>
                <c:pt idx="263">
                  <c:v>0.16596275513621705</c:v>
                </c:pt>
                <c:pt idx="264">
                  <c:v>0.14551785653989019</c:v>
                </c:pt>
                <c:pt idx="265">
                  <c:v>0.13828060926496696</c:v>
                </c:pt>
                <c:pt idx="266">
                  <c:v>0.1403204929447617</c:v>
                </c:pt>
                <c:pt idx="267">
                  <c:v>0.16072116786789914</c:v>
                </c:pt>
                <c:pt idx="268">
                  <c:v>0.18846593689443697</c:v>
                </c:pt>
                <c:pt idx="269">
                  <c:v>0.18969849487749452</c:v>
                </c:pt>
                <c:pt idx="270">
                  <c:v>0.18178590470106107</c:v>
                </c:pt>
                <c:pt idx="271">
                  <c:v>0.17381637035325112</c:v>
                </c:pt>
                <c:pt idx="272">
                  <c:v>0.168906547526188</c:v>
                </c:pt>
                <c:pt idx="273">
                  <c:v>0.16114331104003468</c:v>
                </c:pt>
                <c:pt idx="274">
                  <c:v>0.13297140722521722</c:v>
                </c:pt>
                <c:pt idx="275">
                  <c:v>0.1158885468192298</c:v>
                </c:pt>
                <c:pt idx="276">
                  <c:v>0.1161940709610087</c:v>
                </c:pt>
                <c:pt idx="277">
                  <c:v>0.13849388302445576</c:v>
                </c:pt>
                <c:pt idx="278">
                  <c:v>0.16708556628887622</c:v>
                </c:pt>
                <c:pt idx="279">
                  <c:v>0.17199625359124346</c:v>
                </c:pt>
                <c:pt idx="280">
                  <c:v>0.17902087503903039</c:v>
                </c:pt>
                <c:pt idx="281">
                  <c:v>0.19518229387193523</c:v>
                </c:pt>
                <c:pt idx="282">
                  <c:v>0.21663393537087189</c:v>
                </c:pt>
                <c:pt idx="283">
                  <c:v>0.23204767958068534</c:v>
                </c:pt>
                <c:pt idx="284">
                  <c:v>0.22615667450526589</c:v>
                </c:pt>
                <c:pt idx="285">
                  <c:v>0.23279637136432538</c:v>
                </c:pt>
                <c:pt idx="286">
                  <c:v>0.23446852691379974</c:v>
                </c:pt>
                <c:pt idx="287">
                  <c:v>0.21959150927040447</c:v>
                </c:pt>
                <c:pt idx="288">
                  <c:v>0.22441182640386198</c:v>
                </c:pt>
                <c:pt idx="289">
                  <c:v>0.2547327646178803</c:v>
                </c:pt>
                <c:pt idx="290">
                  <c:v>0.31038315914929249</c:v>
                </c:pt>
                <c:pt idx="291">
                  <c:v>0.35176308431611947</c:v>
                </c:pt>
                <c:pt idx="292">
                  <c:v>0.38405425453225794</c:v>
                </c:pt>
                <c:pt idx="293">
                  <c:v>0.39870262486039698</c:v>
                </c:pt>
                <c:pt idx="294">
                  <c:v>0.42380236893657153</c:v>
                </c:pt>
                <c:pt idx="295">
                  <c:v>0.41226465218340369</c:v>
                </c:pt>
                <c:pt idx="296">
                  <c:v>0.37396709626518709</c:v>
                </c:pt>
                <c:pt idx="297">
                  <c:v>0.33218769906838636</c:v>
                </c:pt>
                <c:pt idx="298">
                  <c:v>0.28693083428900057</c:v>
                </c:pt>
                <c:pt idx="299">
                  <c:v>0.23441891474743207</c:v>
                </c:pt>
                <c:pt idx="300">
                  <c:v>0.20302962216896864</c:v>
                </c:pt>
                <c:pt idx="301">
                  <c:v>0.19068362705370753</c:v>
                </c:pt>
                <c:pt idx="302">
                  <c:v>0.17479387759061127</c:v>
                </c:pt>
                <c:pt idx="303">
                  <c:v>0.15771634143287427</c:v>
                </c:pt>
                <c:pt idx="304">
                  <c:v>0.14847439135861787</c:v>
                </c:pt>
                <c:pt idx="305">
                  <c:v>0.16328907691914851</c:v>
                </c:pt>
                <c:pt idx="306">
                  <c:v>0.20524543046715338</c:v>
                </c:pt>
                <c:pt idx="307">
                  <c:v>0.22025052862352285</c:v>
                </c:pt>
                <c:pt idx="308">
                  <c:v>0.22460847321051852</c:v>
                </c:pt>
                <c:pt idx="309">
                  <c:v>0.20110575220333174</c:v>
                </c:pt>
                <c:pt idx="310">
                  <c:v>0.17057960285297177</c:v>
                </c:pt>
                <c:pt idx="311">
                  <c:v>0.14832672977703962</c:v>
                </c:pt>
                <c:pt idx="312">
                  <c:v>0.16277267543994509</c:v>
                </c:pt>
                <c:pt idx="313">
                  <c:v>0.1943417305005227</c:v>
                </c:pt>
                <c:pt idx="314">
                  <c:v>0.20509757827896721</c:v>
                </c:pt>
                <c:pt idx="315">
                  <c:v>0.18449586123263914</c:v>
                </c:pt>
                <c:pt idx="316">
                  <c:v>0.16642652454862283</c:v>
                </c:pt>
                <c:pt idx="317">
                  <c:v>0.17397471404998099</c:v>
                </c:pt>
                <c:pt idx="318">
                  <c:v>0.18686011110498907</c:v>
                </c:pt>
                <c:pt idx="319">
                  <c:v>0.20695629564207441</c:v>
                </c:pt>
                <c:pt idx="320">
                  <c:v>0.20067249496293327</c:v>
                </c:pt>
                <c:pt idx="321">
                  <c:v>0.18508362955712357</c:v>
                </c:pt>
                <c:pt idx="322">
                  <c:v>0.16717515147931261</c:v>
                </c:pt>
                <c:pt idx="323">
                  <c:v>0.16311380992743865</c:v>
                </c:pt>
                <c:pt idx="324">
                  <c:v>0.17565510978336935</c:v>
                </c:pt>
                <c:pt idx="325">
                  <c:v>0.2011246731225701</c:v>
                </c:pt>
                <c:pt idx="326">
                  <c:v>0.21881182610229871</c:v>
                </c:pt>
                <c:pt idx="327">
                  <c:v>0.22723146529874172</c:v>
                </c:pt>
                <c:pt idx="328">
                  <c:v>0.2369633288168343</c:v>
                </c:pt>
                <c:pt idx="329">
                  <c:v>0.23877195401347473</c:v>
                </c:pt>
                <c:pt idx="330">
                  <c:v>0.25356865691313057</c:v>
                </c:pt>
                <c:pt idx="331">
                  <c:v>0.26277804827716883</c:v>
                </c:pt>
                <c:pt idx="332">
                  <c:v>0.26798330360809636</c:v>
                </c:pt>
                <c:pt idx="333">
                  <c:v>0.25530913029248914</c:v>
                </c:pt>
                <c:pt idx="334">
                  <c:v>0.23853255298813023</c:v>
                </c:pt>
                <c:pt idx="335">
                  <c:v>0.24020003396195094</c:v>
                </c:pt>
                <c:pt idx="336">
                  <c:v>0.25177064769287344</c:v>
                </c:pt>
                <c:pt idx="337">
                  <c:v>0.28697566126481322</c:v>
                </c:pt>
                <c:pt idx="338">
                  <c:v>0.31703807711521997</c:v>
                </c:pt>
                <c:pt idx="339">
                  <c:v>0.3504162648039848</c:v>
                </c:pt>
                <c:pt idx="340">
                  <c:v>0.36998229355197743</c:v>
                </c:pt>
                <c:pt idx="341">
                  <c:v>0.39313308668760394</c:v>
                </c:pt>
                <c:pt idx="342">
                  <c:v>0.40849330478519219</c:v>
                </c:pt>
                <c:pt idx="343">
                  <c:v>0.41259026287255934</c:v>
                </c:pt>
                <c:pt idx="344">
                  <c:v>0.39659662820478114</c:v>
                </c:pt>
                <c:pt idx="345">
                  <c:v>0.37416166182996119</c:v>
                </c:pt>
                <c:pt idx="346">
                  <c:v>0.35222243419405552</c:v>
                </c:pt>
                <c:pt idx="347">
                  <c:v>0.34858319711888947</c:v>
                </c:pt>
                <c:pt idx="348">
                  <c:v>0.36580619459561109</c:v>
                </c:pt>
                <c:pt idx="349">
                  <c:v>0.3952457673105601</c:v>
                </c:pt>
                <c:pt idx="350">
                  <c:v>0.41149505488251614</c:v>
                </c:pt>
                <c:pt idx="351">
                  <c:v>0.41846260018574066</c:v>
                </c:pt>
                <c:pt idx="352">
                  <c:v>0.41361576072158029</c:v>
                </c:pt>
                <c:pt idx="353">
                  <c:v>0.40521199175650241</c:v>
                </c:pt>
                <c:pt idx="354">
                  <c:v>0.38613932402185802</c:v>
                </c:pt>
                <c:pt idx="355">
                  <c:v>0.37112142856134644</c:v>
                </c:pt>
                <c:pt idx="356">
                  <c:v>0.33104669820829968</c:v>
                </c:pt>
                <c:pt idx="357">
                  <c:v>0.28237837761825596</c:v>
                </c:pt>
                <c:pt idx="358">
                  <c:v>0.2093458303866238</c:v>
                </c:pt>
                <c:pt idx="359">
                  <c:v>0.16514098093750124</c:v>
                </c:pt>
                <c:pt idx="360">
                  <c:v>0.16968064884410367</c:v>
                </c:pt>
                <c:pt idx="361">
                  <c:v>0.19549863605326209</c:v>
                </c:pt>
                <c:pt idx="362">
                  <c:v>0.1977309644157636</c:v>
                </c:pt>
                <c:pt idx="363">
                  <c:v>0.19053879535737292</c:v>
                </c:pt>
                <c:pt idx="364">
                  <c:v>0.17107710909684293</c:v>
                </c:pt>
                <c:pt idx="365">
                  <c:v>0.1748769475056261</c:v>
                </c:pt>
                <c:pt idx="366">
                  <c:v>0.21146703981984483</c:v>
                </c:pt>
                <c:pt idx="367">
                  <c:v>0.23665827621424007</c:v>
                </c:pt>
                <c:pt idx="368">
                  <c:v>0.2562173311564665</c:v>
                </c:pt>
                <c:pt idx="369">
                  <c:v>0.26157894945626448</c:v>
                </c:pt>
                <c:pt idx="370">
                  <c:v>0.25765453709039282</c:v>
                </c:pt>
                <c:pt idx="371">
                  <c:v>0.25617296162867531</c:v>
                </c:pt>
                <c:pt idx="372">
                  <c:v>0.26149980655249505</c:v>
                </c:pt>
                <c:pt idx="373">
                  <c:v>0.27614635015214595</c:v>
                </c:pt>
                <c:pt idx="374">
                  <c:v>0.29405828094397057</c:v>
                </c:pt>
                <c:pt idx="375">
                  <c:v>0.31167442019015695</c:v>
                </c:pt>
                <c:pt idx="376">
                  <c:v>0.33685150469042086</c:v>
                </c:pt>
                <c:pt idx="377">
                  <c:v>0.35106166331751754</c:v>
                </c:pt>
                <c:pt idx="378">
                  <c:v>0.37722149539530664</c:v>
                </c:pt>
                <c:pt idx="379">
                  <c:v>0.38919586257759886</c:v>
                </c:pt>
                <c:pt idx="380">
                  <c:v>0.38777722183270735</c:v>
                </c:pt>
                <c:pt idx="381">
                  <c:v>0.36845201671664696</c:v>
                </c:pt>
                <c:pt idx="382">
                  <c:v>0.34622416381047266</c:v>
                </c:pt>
                <c:pt idx="383">
                  <c:v>0.32732262944529683</c:v>
                </c:pt>
                <c:pt idx="384">
                  <c:v>0.331687580155552</c:v>
                </c:pt>
                <c:pt idx="385">
                  <c:v>0.35321463589666807</c:v>
                </c:pt>
                <c:pt idx="386">
                  <c:v>0.36657010133464091</c:v>
                </c:pt>
                <c:pt idx="387">
                  <c:v>0.36889864140213791</c:v>
                </c:pt>
                <c:pt idx="388">
                  <c:v>0.3823045537685707</c:v>
                </c:pt>
                <c:pt idx="389">
                  <c:v>0.40169706692568169</c:v>
                </c:pt>
                <c:pt idx="390">
                  <c:v>0.41850495084500999</c:v>
                </c:pt>
                <c:pt idx="391">
                  <c:v>0.4157492208291621</c:v>
                </c:pt>
                <c:pt idx="392">
                  <c:v>0.40209136250692834</c:v>
                </c:pt>
                <c:pt idx="393">
                  <c:v>0.38590598533810727</c:v>
                </c:pt>
                <c:pt idx="394">
                  <c:v>0.37731404082558928</c:v>
                </c:pt>
                <c:pt idx="395">
                  <c:v>0.37120889573872329</c:v>
                </c:pt>
                <c:pt idx="396">
                  <c:v>0.3844062896787393</c:v>
                </c:pt>
                <c:pt idx="397">
                  <c:v>0.39208511670554308</c:v>
                </c:pt>
                <c:pt idx="398">
                  <c:v>0.41119060201786184</c:v>
                </c:pt>
                <c:pt idx="399">
                  <c:v>0.43335123841772683</c:v>
                </c:pt>
                <c:pt idx="400">
                  <c:v>0.47347777030222915</c:v>
                </c:pt>
                <c:pt idx="401">
                  <c:v>0.50365948662431781</c:v>
                </c:pt>
                <c:pt idx="402">
                  <c:v>0.52704725132712715</c:v>
                </c:pt>
                <c:pt idx="403">
                  <c:v>0.52896756545450119</c:v>
                </c:pt>
                <c:pt idx="404">
                  <c:v>0.51728818357852424</c:v>
                </c:pt>
                <c:pt idx="405">
                  <c:v>0.48325662333683123</c:v>
                </c:pt>
                <c:pt idx="406">
                  <c:v>0.44006907767383452</c:v>
                </c:pt>
                <c:pt idx="407">
                  <c:v>0.38657066972251841</c:v>
                </c:pt>
                <c:pt idx="408">
                  <c:v>0.35874230657578804</c:v>
                </c:pt>
                <c:pt idx="409">
                  <c:v>0.34666322637787933</c:v>
                </c:pt>
                <c:pt idx="410">
                  <c:v>0.34070768421103176</c:v>
                </c:pt>
                <c:pt idx="411">
                  <c:v>0.3504043948785393</c:v>
                </c:pt>
                <c:pt idx="412">
                  <c:v>0.35221313458364129</c:v>
                </c:pt>
                <c:pt idx="413">
                  <c:v>0.38170115641018648</c:v>
                </c:pt>
                <c:pt idx="414">
                  <c:v>0.40619893259739637</c:v>
                </c:pt>
                <c:pt idx="415">
                  <c:v>0.43188710168469974</c:v>
                </c:pt>
                <c:pt idx="416">
                  <c:v>0.44115855696606354</c:v>
                </c:pt>
                <c:pt idx="417">
                  <c:v>0.43697237359869745</c:v>
                </c:pt>
                <c:pt idx="418">
                  <c:v>0.42080327019131492</c:v>
                </c:pt>
                <c:pt idx="419">
                  <c:v>0.38530942348025743</c:v>
                </c:pt>
                <c:pt idx="420">
                  <c:v>0.3619458104521685</c:v>
                </c:pt>
                <c:pt idx="421">
                  <c:v>0.37124008981519724</c:v>
                </c:pt>
                <c:pt idx="422">
                  <c:v>0.38618338219258297</c:v>
                </c:pt>
                <c:pt idx="423">
                  <c:v>0.40091804628815164</c:v>
                </c:pt>
                <c:pt idx="424">
                  <c:v>0.40843044507637394</c:v>
                </c:pt>
                <c:pt idx="425">
                  <c:v>0.41935228748477393</c:v>
                </c:pt>
                <c:pt idx="426">
                  <c:v>0.42263941801950744</c:v>
                </c:pt>
                <c:pt idx="427">
                  <c:v>0.4211499537058111</c:v>
                </c:pt>
                <c:pt idx="428">
                  <c:v>0.41541975206760795</c:v>
                </c:pt>
                <c:pt idx="429">
                  <c:v>0.41100339430491561</c:v>
                </c:pt>
                <c:pt idx="430">
                  <c:v>0.39674601875368404</c:v>
                </c:pt>
                <c:pt idx="431">
                  <c:v>0.37578698959401757</c:v>
                </c:pt>
                <c:pt idx="432">
                  <c:v>0.38577525139630642</c:v>
                </c:pt>
                <c:pt idx="433">
                  <c:v>0.40176276757755425</c:v>
                </c:pt>
                <c:pt idx="434">
                  <c:v>0.43259281843042158</c:v>
                </c:pt>
                <c:pt idx="435">
                  <c:v>0.459489657487266</c:v>
                </c:pt>
                <c:pt idx="436">
                  <c:v>0.49354205732938694</c:v>
                </c:pt>
                <c:pt idx="437">
                  <c:v>0.50776670284246905</c:v>
                </c:pt>
                <c:pt idx="438">
                  <c:v>0.51588455939315359</c:v>
                </c:pt>
                <c:pt idx="439">
                  <c:v>0.50011598005296354</c:v>
                </c:pt>
                <c:pt idx="440">
                  <c:v>0.47812912310046107</c:v>
                </c:pt>
                <c:pt idx="441">
                  <c:v>0.43768712998482551</c:v>
                </c:pt>
                <c:pt idx="442">
                  <c:v>0.39683351449370408</c:v>
                </c:pt>
                <c:pt idx="443">
                  <c:v>0.37349398799040906</c:v>
                </c:pt>
                <c:pt idx="444">
                  <c:v>0.35496562709166268</c:v>
                </c:pt>
                <c:pt idx="445">
                  <c:v>0.34943832179986406</c:v>
                </c:pt>
                <c:pt idx="446">
                  <c:v>0.34011993899029541</c:v>
                </c:pt>
                <c:pt idx="447">
                  <c:v>0.34132115563719595</c:v>
                </c:pt>
                <c:pt idx="448">
                  <c:v>0.347029282837088</c:v>
                </c:pt>
                <c:pt idx="449">
                  <c:v>0.36053159508062677</c:v>
                </c:pt>
                <c:pt idx="450">
                  <c:v>0.37630414740849827</c:v>
                </c:pt>
                <c:pt idx="451">
                  <c:v>0.3980513426590771</c:v>
                </c:pt>
                <c:pt idx="452">
                  <c:v>0.41165619505183437</c:v>
                </c:pt>
                <c:pt idx="453">
                  <c:v>0.41068267716649953</c:v>
                </c:pt>
                <c:pt idx="454">
                  <c:v>0.39687038476075859</c:v>
                </c:pt>
                <c:pt idx="455">
                  <c:v>0.37730150727704265</c:v>
                </c:pt>
                <c:pt idx="456">
                  <c:v>0.37937276593525243</c:v>
                </c:pt>
                <c:pt idx="457">
                  <c:v>0.38953579935058169</c:v>
                </c:pt>
                <c:pt idx="458">
                  <c:v>0.40171468490076667</c:v>
                </c:pt>
                <c:pt idx="459">
                  <c:v>0.40838754595689575</c:v>
                </c:pt>
                <c:pt idx="460">
                  <c:v>0.41373345015862761</c:v>
                </c:pt>
                <c:pt idx="461">
                  <c:v>0.41677722800005662</c:v>
                </c:pt>
                <c:pt idx="462">
                  <c:v>0.43672292232267745</c:v>
                </c:pt>
                <c:pt idx="463">
                  <c:v>0.45280502051115079</c:v>
                </c:pt>
                <c:pt idx="464">
                  <c:v>0.46157100175579024</c:v>
                </c:pt>
                <c:pt idx="465">
                  <c:v>0.47650870479609053</c:v>
                </c:pt>
                <c:pt idx="466">
                  <c:v>0.48973218248505229</c:v>
                </c:pt>
                <c:pt idx="467">
                  <c:v>0.50479757542589976</c:v>
                </c:pt>
                <c:pt idx="468">
                  <c:v>0.54108349942443312</c:v>
                </c:pt>
                <c:pt idx="469">
                  <c:v>0.58646574365822746</c:v>
                </c:pt>
                <c:pt idx="470">
                  <c:v>0.62849803925502645</c:v>
                </c:pt>
                <c:pt idx="471">
                  <c:v>0.6554610286700725</c:v>
                </c:pt>
                <c:pt idx="472">
                  <c:v>0.67185754567488676</c:v>
                </c:pt>
                <c:pt idx="473">
                  <c:v>0.68808392505907734</c:v>
                </c:pt>
                <c:pt idx="474">
                  <c:v>0.69042402306575634</c:v>
                </c:pt>
                <c:pt idx="475">
                  <c:v>0.67170763239325049</c:v>
                </c:pt>
                <c:pt idx="476">
                  <c:v>0.62270479832642223</c:v>
                </c:pt>
                <c:pt idx="477">
                  <c:v>0.57813574566993864</c:v>
                </c:pt>
                <c:pt idx="478">
                  <c:v>0.50300427208916043</c:v>
                </c:pt>
                <c:pt idx="479">
                  <c:v>0.44017109616664357</c:v>
                </c:pt>
                <c:pt idx="480">
                  <c:v>0.39643332676915832</c:v>
                </c:pt>
                <c:pt idx="481">
                  <c:v>0.39129061534654841</c:v>
                </c:pt>
                <c:pt idx="482">
                  <c:v>0.39237859971992961</c:v>
                </c:pt>
                <c:pt idx="483">
                  <c:v>0.39498708116436354</c:v>
                </c:pt>
                <c:pt idx="484">
                  <c:v>0.38844243741409001</c:v>
                </c:pt>
                <c:pt idx="485">
                  <c:v>0.38052127128033331</c:v>
                </c:pt>
                <c:pt idx="486">
                  <c:v>0.39105144546388404</c:v>
                </c:pt>
                <c:pt idx="487">
                  <c:v>0.41336094102206222</c:v>
                </c:pt>
                <c:pt idx="488">
                  <c:v>0.43415932705664684</c:v>
                </c:pt>
                <c:pt idx="489">
                  <c:v>0.43637138936027309</c:v>
                </c:pt>
                <c:pt idx="490">
                  <c:v>0.40980708734025484</c:v>
                </c:pt>
                <c:pt idx="491">
                  <c:v>0.38260985980719414</c:v>
                </c:pt>
                <c:pt idx="492">
                  <c:v>0.38357207836373514</c:v>
                </c:pt>
                <c:pt idx="493">
                  <c:v>0.39480766060761868</c:v>
                </c:pt>
                <c:pt idx="494">
                  <c:v>0.4044632557296452</c:v>
                </c:pt>
                <c:pt idx="495">
                  <c:v>0.40593310715544823</c:v>
                </c:pt>
                <c:pt idx="496">
                  <c:v>0.38957262511816382</c:v>
                </c:pt>
                <c:pt idx="497">
                  <c:v>0.38503756478454637</c:v>
                </c:pt>
                <c:pt idx="498">
                  <c:v>0.40338501816544714</c:v>
                </c:pt>
                <c:pt idx="499">
                  <c:v>0.41921194870185363</c:v>
                </c:pt>
                <c:pt idx="500">
                  <c:v>0.4448614966089689</c:v>
                </c:pt>
                <c:pt idx="501">
                  <c:v>0.43989440762356408</c:v>
                </c:pt>
                <c:pt idx="502">
                  <c:v>0.43329332679289118</c:v>
                </c:pt>
                <c:pt idx="503">
                  <c:v>0.42557503142994957</c:v>
                </c:pt>
                <c:pt idx="504">
                  <c:v>0.43808410736228359</c:v>
                </c:pt>
                <c:pt idx="505">
                  <c:v>0.45959028152518833</c:v>
                </c:pt>
                <c:pt idx="506">
                  <c:v>0.4718037794710519</c:v>
                </c:pt>
                <c:pt idx="507">
                  <c:v>0.47131184128355014</c:v>
                </c:pt>
                <c:pt idx="508">
                  <c:v>0.4620911926508362</c:v>
                </c:pt>
                <c:pt idx="509">
                  <c:v>0.47035963707010048</c:v>
                </c:pt>
                <c:pt idx="510">
                  <c:v>0.48187221129834845</c:v>
                </c:pt>
                <c:pt idx="511">
                  <c:v>0.50610931134503201</c:v>
                </c:pt>
                <c:pt idx="512">
                  <c:v>0.50900308721251963</c:v>
                </c:pt>
                <c:pt idx="513">
                  <c:v>0.50289232762780423</c:v>
                </c:pt>
                <c:pt idx="514">
                  <c:v>0.49128667211614707</c:v>
                </c:pt>
                <c:pt idx="515">
                  <c:v>0.48539877822071625</c:v>
                </c:pt>
                <c:pt idx="516">
                  <c:v>0.49091364460962622</c:v>
                </c:pt>
                <c:pt idx="517">
                  <c:v>0.49822322554719678</c:v>
                </c:pt>
                <c:pt idx="518">
                  <c:v>0.51230456945006819</c:v>
                </c:pt>
                <c:pt idx="519">
                  <c:v>0.51636363291424259</c:v>
                </c:pt>
                <c:pt idx="520">
                  <c:v>0.51738846984904052</c:v>
                </c:pt>
                <c:pt idx="521">
                  <c:v>0.52811719637160059</c:v>
                </c:pt>
                <c:pt idx="522">
                  <c:v>0.55232504108130065</c:v>
                </c:pt>
                <c:pt idx="523">
                  <c:v>0.57928159664273982</c:v>
                </c:pt>
                <c:pt idx="524">
                  <c:v>0.58023238863338855</c:v>
                </c:pt>
                <c:pt idx="525">
                  <c:v>0.56754246287423438</c:v>
                </c:pt>
                <c:pt idx="526">
                  <c:v>0.55797449666529664</c:v>
                </c:pt>
                <c:pt idx="527">
                  <c:v>0.55918899045207859</c:v>
                </c:pt>
                <c:pt idx="528">
                  <c:v>0.56760310428686467</c:v>
                </c:pt>
                <c:pt idx="529">
                  <c:v>0.59095539186587442</c:v>
                </c:pt>
                <c:pt idx="530">
                  <c:v>0.62046939003210644</c:v>
                </c:pt>
                <c:pt idx="531">
                  <c:v>0.65028044566196774</c:v>
                </c:pt>
                <c:pt idx="532">
                  <c:v>0.67560418674809952</c:v>
                </c:pt>
                <c:pt idx="533">
                  <c:v>0.67466700521234269</c:v>
                </c:pt>
                <c:pt idx="534">
                  <c:v>0.67244479687862002</c:v>
                </c:pt>
                <c:pt idx="535">
                  <c:v>0.65447062133553757</c:v>
                </c:pt>
                <c:pt idx="536">
                  <c:v>0.6328434407781568</c:v>
                </c:pt>
                <c:pt idx="537">
                  <c:v>0.58232017363205202</c:v>
                </c:pt>
                <c:pt idx="538">
                  <c:v>0.54315999780560942</c:v>
                </c:pt>
                <c:pt idx="539">
                  <c:v>0.53447760389073951</c:v>
                </c:pt>
                <c:pt idx="540">
                  <c:v>0.55330746774234318</c:v>
                </c:pt>
                <c:pt idx="541">
                  <c:v>0.57386753878996088</c:v>
                </c:pt>
                <c:pt idx="542">
                  <c:v>0.5957367434922417</c:v>
                </c:pt>
                <c:pt idx="543">
                  <c:v>0.60625733579197172</c:v>
                </c:pt>
                <c:pt idx="544">
                  <c:v>0.62071467534511815</c:v>
                </c:pt>
                <c:pt idx="545">
                  <c:v>0.63128756287792986</c:v>
                </c:pt>
                <c:pt idx="546">
                  <c:v>0.65108161935314424</c:v>
                </c:pt>
                <c:pt idx="547">
                  <c:v>0.64769558545192352</c:v>
                </c:pt>
                <c:pt idx="548">
                  <c:v>0.6310426963279685</c:v>
                </c:pt>
                <c:pt idx="549">
                  <c:v>0.599982406257763</c:v>
                </c:pt>
                <c:pt idx="550">
                  <c:v>0.5861625888043912</c:v>
                </c:pt>
                <c:pt idx="551">
                  <c:v>0.57649368923053457</c:v>
                </c:pt>
                <c:pt idx="552">
                  <c:v>0.59340624995004188</c:v>
                </c:pt>
                <c:pt idx="553">
                  <c:v>0.62440362498828483</c:v>
                </c:pt>
                <c:pt idx="554">
                  <c:v>0.64207532185927263</c:v>
                </c:pt>
                <c:pt idx="555">
                  <c:v>0.65464176876968805</c:v>
                </c:pt>
                <c:pt idx="556">
                  <c:v>0.67062694926595023</c:v>
                </c:pt>
                <c:pt idx="557">
                  <c:v>0.68755286947088501</c:v>
                </c:pt>
                <c:pt idx="558">
                  <c:v>0.69560324617497016</c:v>
                </c:pt>
                <c:pt idx="559">
                  <c:v>0.69116797962764431</c:v>
                </c:pt>
                <c:pt idx="560">
                  <c:v>0.67562598811431018</c:v>
                </c:pt>
                <c:pt idx="561">
                  <c:v>0.65775197451502698</c:v>
                </c:pt>
                <c:pt idx="562">
                  <c:v>0.628187521479874</c:v>
                </c:pt>
                <c:pt idx="563">
                  <c:v>0.59112909646587253</c:v>
                </c:pt>
                <c:pt idx="564">
                  <c:v>0.58296726513823738</c:v>
                </c:pt>
                <c:pt idx="565">
                  <c:v>0.58842137807125783</c:v>
                </c:pt>
                <c:pt idx="566">
                  <c:v>0.60951877211022876</c:v>
                </c:pt>
                <c:pt idx="567">
                  <c:v>0.60880394553993811</c:v>
                </c:pt>
                <c:pt idx="568">
                  <c:v>0.59119935132144696</c:v>
                </c:pt>
                <c:pt idx="569">
                  <c:v>0.57420399749759299</c:v>
                </c:pt>
                <c:pt idx="570">
                  <c:v>0.59075173757813337</c:v>
                </c:pt>
                <c:pt idx="571">
                  <c:v>0.60029693465156331</c:v>
                </c:pt>
                <c:pt idx="572">
                  <c:v>0.60499917132475878</c:v>
                </c:pt>
                <c:pt idx="573">
                  <c:v>0.60423377281024249</c:v>
                </c:pt>
                <c:pt idx="574">
                  <c:v>0.6055763677171595</c:v>
                </c:pt>
                <c:pt idx="575">
                  <c:v>0.60148563053772763</c:v>
                </c:pt>
                <c:pt idx="576">
                  <c:v>0.61931278553679292</c:v>
                </c:pt>
                <c:pt idx="577">
                  <c:v>0.6482321646294269</c:v>
                </c:pt>
                <c:pt idx="578">
                  <c:v>0.68387139988786083</c:v>
                </c:pt>
                <c:pt idx="579">
                  <c:v>0.70985512511444404</c:v>
                </c:pt>
                <c:pt idx="580">
                  <c:v>0.7351884124457615</c:v>
                </c:pt>
                <c:pt idx="581">
                  <c:v>0.74230043893447695</c:v>
                </c:pt>
                <c:pt idx="582">
                  <c:v>0.73939369448230208</c:v>
                </c:pt>
                <c:pt idx="583">
                  <c:v>0.70247976602814721</c:v>
                </c:pt>
                <c:pt idx="584">
                  <c:v>0.67088485787024299</c:v>
                </c:pt>
                <c:pt idx="585">
                  <c:v>0.63703118613528809</c:v>
                </c:pt>
                <c:pt idx="586">
                  <c:v>0.6095596206384245</c:v>
                </c:pt>
                <c:pt idx="587">
                  <c:v>0.59267031089079225</c:v>
                </c:pt>
                <c:pt idx="588">
                  <c:v>0.58747414131515241</c:v>
                </c:pt>
                <c:pt idx="589">
                  <c:v>0.57689946121263891</c:v>
                </c:pt>
                <c:pt idx="590">
                  <c:v>0.56792760853468804</c:v>
                </c:pt>
                <c:pt idx="591">
                  <c:v>0.55557161002918998</c:v>
                </c:pt>
                <c:pt idx="592">
                  <c:v>0.54190959185909127</c:v>
                </c:pt>
                <c:pt idx="593">
                  <c:v>0.53111151666454137</c:v>
                </c:pt>
                <c:pt idx="594">
                  <c:v>0.53838718632880544</c:v>
                </c:pt>
                <c:pt idx="595">
                  <c:v>0.56625016260028482</c:v>
                </c:pt>
                <c:pt idx="596">
                  <c:v>0.57907865725175856</c:v>
                </c:pt>
                <c:pt idx="597">
                  <c:v>0.59291329785881031</c:v>
                </c:pt>
                <c:pt idx="598">
                  <c:v>0.58667584148237828</c:v>
                </c:pt>
                <c:pt idx="599">
                  <c:v>0.60252250291032672</c:v>
                </c:pt>
                <c:pt idx="600">
                  <c:v>0.6205769309330349</c:v>
                </c:pt>
                <c:pt idx="601">
                  <c:v>0.64417828864230964</c:v>
                </c:pt>
                <c:pt idx="602">
                  <c:v>0.65402701015094578</c:v>
                </c:pt>
                <c:pt idx="603">
                  <c:v>0.65860275939209956</c:v>
                </c:pt>
                <c:pt idx="604">
                  <c:v>0.64574581082148119</c:v>
                </c:pt>
                <c:pt idx="605">
                  <c:v>0.64027039781039452</c:v>
                </c:pt>
                <c:pt idx="606">
                  <c:v>0.63889381398567646</c:v>
                </c:pt>
                <c:pt idx="607">
                  <c:v>0.64934136461731651</c:v>
                </c:pt>
                <c:pt idx="608">
                  <c:v>0.66091355191820644</c:v>
                </c:pt>
                <c:pt idx="609">
                  <c:v>0.6704097696015755</c:v>
                </c:pt>
                <c:pt idx="610">
                  <c:v>0.68353020115880281</c:v>
                </c:pt>
                <c:pt idx="611">
                  <c:v>0.69674150674243818</c:v>
                </c:pt>
                <c:pt idx="612">
                  <c:v>0.7074750325833743</c:v>
                </c:pt>
                <c:pt idx="613">
                  <c:v>0.72904465623511694</c:v>
                </c:pt>
                <c:pt idx="614">
                  <c:v>0.75208671378169833</c:v>
                </c:pt>
                <c:pt idx="615">
                  <c:v>0.78778057376194</c:v>
                </c:pt>
                <c:pt idx="616">
                  <c:v>0.83698011873282874</c:v>
                </c:pt>
                <c:pt idx="617">
                  <c:v>0.86324964815261485</c:v>
                </c:pt>
                <c:pt idx="618">
                  <c:v>0.87377975950058151</c:v>
                </c:pt>
                <c:pt idx="619">
                  <c:v>0.85659582544610646</c:v>
                </c:pt>
                <c:pt idx="620">
                  <c:v>0.81949974094887112</c:v>
                </c:pt>
                <c:pt idx="621">
                  <c:v>0.75603499273554753</c:v>
                </c:pt>
                <c:pt idx="622">
                  <c:v>0.69000788156715864</c:v>
                </c:pt>
                <c:pt idx="623">
                  <c:v>0.63105823160165764</c:v>
                </c:pt>
                <c:pt idx="624">
                  <c:v>0.60729961891039153</c:v>
                </c:pt>
                <c:pt idx="625">
                  <c:v>0.59937139079254254</c:v>
                </c:pt>
                <c:pt idx="626">
                  <c:v>0.59423119711406569</c:v>
                </c:pt>
                <c:pt idx="627">
                  <c:v>0.59997091489917032</c:v>
                </c:pt>
                <c:pt idx="628">
                  <c:v>0.60292301172694818</c:v>
                </c:pt>
                <c:pt idx="629">
                  <c:v>0.61833006913044564</c:v>
                </c:pt>
                <c:pt idx="630">
                  <c:v>0.64131867406104937</c:v>
                </c:pt>
                <c:pt idx="631">
                  <c:v>0.67109532887325674</c:v>
                </c:pt>
                <c:pt idx="632">
                  <c:v>0.68474876608836821</c:v>
                </c:pt>
                <c:pt idx="633">
                  <c:v>0.68715311747151908</c:v>
                </c:pt>
                <c:pt idx="634">
                  <c:v>0.67862964586207175</c:v>
                </c:pt>
                <c:pt idx="635">
                  <c:v>0.68188129762152572</c:v>
                </c:pt>
                <c:pt idx="636">
                  <c:v>0.67835387737890362</c:v>
                </c:pt>
                <c:pt idx="637">
                  <c:v>0.68015221443422513</c:v>
                </c:pt>
                <c:pt idx="638">
                  <c:v>0.67352468271627441</c:v>
                </c:pt>
                <c:pt idx="639">
                  <c:v>0.67047229683397092</c:v>
                </c:pt>
                <c:pt idx="640">
                  <c:v>0.67085756234748994</c:v>
                </c:pt>
                <c:pt idx="641">
                  <c:v>0.68508873342254317</c:v>
                </c:pt>
                <c:pt idx="642">
                  <c:v>0.72130262912018295</c:v>
                </c:pt>
                <c:pt idx="643">
                  <c:v>0.73985308073993794</c:v>
                </c:pt>
                <c:pt idx="644">
                  <c:v>0.74010123759694779</c:v>
                </c:pt>
                <c:pt idx="645">
                  <c:v>0.73439896675106009</c:v>
                </c:pt>
                <c:pt idx="646">
                  <c:v>0.7293600043586479</c:v>
                </c:pt>
                <c:pt idx="647">
                  <c:v>0.7347978226191717</c:v>
                </c:pt>
                <c:pt idx="648">
                  <c:v>0.75605089659983504</c:v>
                </c:pt>
                <c:pt idx="649">
                  <c:v>0.78512407237718085</c:v>
                </c:pt>
                <c:pt idx="650">
                  <c:v>0.79716659545304946</c:v>
                </c:pt>
                <c:pt idx="651">
                  <c:v>0.80146700687163663</c:v>
                </c:pt>
                <c:pt idx="652">
                  <c:v>0.80090737592890093</c:v>
                </c:pt>
                <c:pt idx="653">
                  <c:v>0.79326443106823785</c:v>
                </c:pt>
                <c:pt idx="654">
                  <c:v>0.78474044978999036</c:v>
                </c:pt>
                <c:pt idx="655">
                  <c:v>0.79495351366336575</c:v>
                </c:pt>
                <c:pt idx="656">
                  <c:v>0.78730039842069111</c:v>
                </c:pt>
                <c:pt idx="657">
                  <c:v>0.77697293772917508</c:v>
                </c:pt>
                <c:pt idx="658">
                  <c:v>0.74707825881481726</c:v>
                </c:pt>
                <c:pt idx="659">
                  <c:v>0.72334224537072955</c:v>
                </c:pt>
                <c:pt idx="660">
                  <c:v>0.71906088626995257</c:v>
                </c:pt>
                <c:pt idx="661">
                  <c:v>0.74329606215068889</c:v>
                </c:pt>
                <c:pt idx="662">
                  <c:v>0.76174037947860362</c:v>
                </c:pt>
                <c:pt idx="663">
                  <c:v>0.78747527072649348</c:v>
                </c:pt>
                <c:pt idx="664">
                  <c:v>0.79150518872519038</c:v>
                </c:pt>
                <c:pt idx="665">
                  <c:v>0.80866007215191227</c:v>
                </c:pt>
                <c:pt idx="666">
                  <c:v>0.8131682538344549</c:v>
                </c:pt>
                <c:pt idx="667">
                  <c:v>0.82021827155596649</c:v>
                </c:pt>
                <c:pt idx="668">
                  <c:v>0.8315269073579914</c:v>
                </c:pt>
                <c:pt idx="669">
                  <c:v>0.83364669963443006</c:v>
                </c:pt>
                <c:pt idx="670">
                  <c:v>0.82155256492879991</c:v>
                </c:pt>
                <c:pt idx="671">
                  <c:v>0.79384098636668332</c:v>
                </c:pt>
                <c:pt idx="672">
                  <c:v>0.78699204007017087</c:v>
                </c:pt>
                <c:pt idx="673">
                  <c:v>0.79937639052903919</c:v>
                </c:pt>
                <c:pt idx="674">
                  <c:v>0.83089010672347463</c:v>
                </c:pt>
                <c:pt idx="675">
                  <c:v>0.86529807138695425</c:v>
                </c:pt>
                <c:pt idx="676">
                  <c:v>0.88549748612021073</c:v>
                </c:pt>
                <c:pt idx="677">
                  <c:v>0.90595691898252639</c:v>
                </c:pt>
                <c:pt idx="678">
                  <c:v>0.91571368093317429</c:v>
                </c:pt>
                <c:pt idx="679">
                  <c:v>0.91660262807612924</c:v>
                </c:pt>
                <c:pt idx="680">
                  <c:v>0.9111081608649888</c:v>
                </c:pt>
                <c:pt idx="681">
                  <c:v>0.90841628424545584</c:v>
                </c:pt>
                <c:pt idx="682">
                  <c:v>0.90081820578392846</c:v>
                </c:pt>
                <c:pt idx="683">
                  <c:v>0.9010446328164905</c:v>
                </c:pt>
                <c:pt idx="684">
                  <c:v>0.9294725068622679</c:v>
                </c:pt>
                <c:pt idx="685">
                  <c:v>0.97237527696156167</c:v>
                </c:pt>
                <c:pt idx="686">
                  <c:v>1.0152982423449943</c:v>
                </c:pt>
                <c:pt idx="687">
                  <c:v>1.0445262293920325</c:v>
                </c:pt>
                <c:pt idx="688">
                  <c:v>1.0742510169436741</c:v>
                </c:pt>
                <c:pt idx="689">
                  <c:v>1.0943686428995276</c:v>
                </c:pt>
                <c:pt idx="690">
                  <c:v>1.1113070233911144</c:v>
                </c:pt>
                <c:pt idx="691">
                  <c:v>1.0889816723446692</c:v>
                </c:pt>
                <c:pt idx="692">
                  <c:v>1.0348714149928131</c:v>
                </c:pt>
                <c:pt idx="693">
                  <c:v>0.96095196257993232</c:v>
                </c:pt>
                <c:pt idx="694">
                  <c:v>0.89293553613844756</c:v>
                </c:pt>
                <c:pt idx="695">
                  <c:v>0.83912623372201589</c:v>
                </c:pt>
                <c:pt idx="696">
                  <c:v>0.82028269931550013</c:v>
                </c:pt>
                <c:pt idx="697">
                  <c:v>0.82621673660778361</c:v>
                </c:pt>
                <c:pt idx="698">
                  <c:v>0.82827387339699499</c:v>
                </c:pt>
                <c:pt idx="699">
                  <c:v>0.83724937077438133</c:v>
                </c:pt>
                <c:pt idx="700">
                  <c:v>0.84191462201767264</c:v>
                </c:pt>
                <c:pt idx="701">
                  <c:v>0.86092524585862795</c:v>
                </c:pt>
                <c:pt idx="702">
                  <c:v>0.90246840589803268</c:v>
                </c:pt>
                <c:pt idx="703">
                  <c:v>0.92287726418140881</c:v>
                </c:pt>
                <c:pt idx="704">
                  <c:v>0.93157566668951741</c:v>
                </c:pt>
                <c:pt idx="705">
                  <c:v>0.9189388076776982</c:v>
                </c:pt>
                <c:pt idx="706">
                  <c:v>0.90194685830940091</c:v>
                </c:pt>
                <c:pt idx="707">
                  <c:v>0.88218903808785776</c:v>
                </c:pt>
                <c:pt idx="708">
                  <c:v>0.86897631331385494</c:v>
                </c:pt>
                <c:pt idx="709">
                  <c:v>0.86529322435331602</c:v>
                </c:pt>
                <c:pt idx="710">
                  <c:v>0.86785626382840853</c:v>
                </c:pt>
                <c:pt idx="711">
                  <c:v>0.86075961307784876</c:v>
                </c:pt>
                <c:pt idx="712">
                  <c:v>0.84955395001728407</c:v>
                </c:pt>
                <c:pt idx="713">
                  <c:v>0.84686409557125586</c:v>
                </c:pt>
                <c:pt idx="714">
                  <c:v>0.85952777358586863</c:v>
                </c:pt>
                <c:pt idx="715">
                  <c:v>0.8725559711148374</c:v>
                </c:pt>
                <c:pt idx="716">
                  <c:v>0.87866395131779573</c:v>
                </c:pt>
                <c:pt idx="717">
                  <c:v>0.87586819189245346</c:v>
                </c:pt>
                <c:pt idx="718">
                  <c:v>0.88333985411696014</c:v>
                </c:pt>
                <c:pt idx="719">
                  <c:v>0.88660972212576938</c:v>
                </c:pt>
                <c:pt idx="720">
                  <c:v>0.89738801455882322</c:v>
                </c:pt>
                <c:pt idx="721">
                  <c:v>0.92575006892299028</c:v>
                </c:pt>
                <c:pt idx="722">
                  <c:v>0.95517522636502805</c:v>
                </c:pt>
                <c:pt idx="723">
                  <c:v>0.99829135959555271</c:v>
                </c:pt>
                <c:pt idx="724">
                  <c:v>1.0263957814404558</c:v>
                </c:pt>
                <c:pt idx="725">
                  <c:v>1.0293818521987517</c:v>
                </c:pt>
                <c:pt idx="726">
                  <c:v>1.0372134012212537</c:v>
                </c:pt>
                <c:pt idx="727">
                  <c:v>1.0454904024824478</c:v>
                </c:pt>
                <c:pt idx="728">
                  <c:v>1.0326099490306997</c:v>
                </c:pt>
                <c:pt idx="729">
                  <c:v>1.0072474720647548</c:v>
                </c:pt>
                <c:pt idx="730">
                  <c:v>0.98041715635553883</c:v>
                </c:pt>
                <c:pt idx="731">
                  <c:v>0.95632667558085016</c:v>
                </c:pt>
                <c:pt idx="732">
                  <c:v>0.93785484596277102</c:v>
                </c:pt>
                <c:pt idx="733">
                  <c:v>0.93892523433664199</c:v>
                </c:pt>
                <c:pt idx="734">
                  <c:v>0.96295440179602398</c:v>
                </c:pt>
                <c:pt idx="735">
                  <c:v>0.99591437280454143</c:v>
                </c:pt>
                <c:pt idx="736">
                  <c:v>1.0211805926931254</c:v>
                </c:pt>
                <c:pt idx="737">
                  <c:v>1.0276157048320749</c:v>
                </c:pt>
                <c:pt idx="738">
                  <c:v>1.0403450634216975</c:v>
                </c:pt>
                <c:pt idx="739">
                  <c:v>1.0441687774183759</c:v>
                </c:pt>
                <c:pt idx="740">
                  <c:v>1.0296820956266832</c:v>
                </c:pt>
                <c:pt idx="741">
                  <c:v>0.98972186851420529</c:v>
                </c:pt>
                <c:pt idx="742">
                  <c:v>0.94695002427052666</c:v>
                </c:pt>
                <c:pt idx="743">
                  <c:v>0.91578232693014061</c:v>
                </c:pt>
                <c:pt idx="744">
                  <c:v>0.90611186999866178</c:v>
                </c:pt>
                <c:pt idx="745">
                  <c:v>0.9094011785045043</c:v>
                </c:pt>
                <c:pt idx="746">
                  <c:v>0.89063341150347586</c:v>
                </c:pt>
                <c:pt idx="747">
                  <c:v>0.88265039476933971</c:v>
                </c:pt>
                <c:pt idx="748">
                  <c:v>0.88479019264924763</c:v>
                </c:pt>
                <c:pt idx="749">
                  <c:v>0.89759649055631374</c:v>
                </c:pt>
                <c:pt idx="750">
                  <c:v>0.9169518105073432</c:v>
                </c:pt>
                <c:pt idx="751">
                  <c:v>0.92989362647439389</c:v>
                </c:pt>
                <c:pt idx="752">
                  <c:v>0.93795458034235191</c:v>
                </c:pt>
                <c:pt idx="753">
                  <c:v>0.93437230233860036</c:v>
                </c:pt>
                <c:pt idx="754">
                  <c:v>0.92465463117345481</c:v>
                </c:pt>
                <c:pt idx="755">
                  <c:v>0.92138026308584353</c:v>
                </c:pt>
                <c:pt idx="756">
                  <c:v>0.92403102555652528</c:v>
                </c:pt>
                <c:pt idx="757">
                  <c:v>0.9246881176782854</c:v>
                </c:pt>
                <c:pt idx="758">
                  <c:v>0.92522244213004656</c:v>
                </c:pt>
                <c:pt idx="759">
                  <c:v>0.92776876369982986</c:v>
                </c:pt>
                <c:pt idx="760">
                  <c:v>0.92608946146418913</c:v>
                </c:pt>
                <c:pt idx="761">
                  <c:v>0.92851277181062208</c:v>
                </c:pt>
                <c:pt idx="762">
                  <c:v>0.94811466895240748</c:v>
                </c:pt>
                <c:pt idx="763">
                  <c:v>0.96242700920270929</c:v>
                </c:pt>
                <c:pt idx="764">
                  <c:v>0.95431119569908684</c:v>
                </c:pt>
                <c:pt idx="765">
                  <c:v>0.92675323080818517</c:v>
                </c:pt>
                <c:pt idx="766">
                  <c:v>0.91324773500176704</c:v>
                </c:pt>
                <c:pt idx="767">
                  <c:v>0.91015437323768844</c:v>
                </c:pt>
                <c:pt idx="768">
                  <c:v>0.9111454157458776</c:v>
                </c:pt>
                <c:pt idx="769">
                  <c:v>0.92063835393121052</c:v>
                </c:pt>
                <c:pt idx="770">
                  <c:v>0.92720718827954285</c:v>
                </c:pt>
                <c:pt idx="771">
                  <c:v>0.93009812373845202</c:v>
                </c:pt>
                <c:pt idx="772">
                  <c:v>0.94402395470218881</c:v>
                </c:pt>
                <c:pt idx="773">
                  <c:v>0.96087451876642394</c:v>
                </c:pt>
                <c:pt idx="774">
                  <c:v>0.99608288767582209</c:v>
                </c:pt>
                <c:pt idx="775">
                  <c:v>1.0213108889576583</c:v>
                </c:pt>
                <c:pt idx="776">
                  <c:v>1.0374672848850877</c:v>
                </c:pt>
                <c:pt idx="777">
                  <c:v>1.0462371966584341</c:v>
                </c:pt>
                <c:pt idx="778">
                  <c:v>1.0494880445203112</c:v>
                </c:pt>
                <c:pt idx="779">
                  <c:v>1.0618305094105733</c:v>
                </c:pt>
                <c:pt idx="780">
                  <c:v>1.0883596391047023</c:v>
                </c:pt>
                <c:pt idx="781">
                  <c:v>1.1256061240828599</c:v>
                </c:pt>
                <c:pt idx="782">
                  <c:v>1.160538493595543</c:v>
                </c:pt>
                <c:pt idx="783">
                  <c:v>1.1902477306545796</c:v>
                </c:pt>
                <c:pt idx="784">
                  <c:v>1.2205421951842066</c:v>
                </c:pt>
                <c:pt idx="785">
                  <c:v>1.2361153284758246</c:v>
                </c:pt>
                <c:pt idx="786">
                  <c:v>1.2335726503333362</c:v>
                </c:pt>
                <c:pt idx="787">
                  <c:v>1.2102128534929446</c:v>
                </c:pt>
                <c:pt idx="788">
                  <c:v>1.1798424600508388</c:v>
                </c:pt>
                <c:pt idx="789">
                  <c:v>1.1315126324936688</c:v>
                </c:pt>
                <c:pt idx="790">
                  <c:v>1.0780086703017173</c:v>
                </c:pt>
                <c:pt idx="791">
                  <c:v>1.0472452297140205</c:v>
                </c:pt>
                <c:pt idx="792">
                  <c:v>1.0400857751693811</c:v>
                </c:pt>
                <c:pt idx="793">
                  <c:v>1.0451496640518927</c:v>
                </c:pt>
                <c:pt idx="794">
                  <c:v>1.0526519472355478</c:v>
                </c:pt>
                <c:pt idx="795">
                  <c:v>1.0581865318420474</c:v>
                </c:pt>
                <c:pt idx="796">
                  <c:v>1.053567434945242</c:v>
                </c:pt>
                <c:pt idx="797">
                  <c:v>1.0512052580426587</c:v>
                </c:pt>
                <c:pt idx="798">
                  <c:v>1.0623610418085128</c:v>
                </c:pt>
                <c:pt idx="799">
                  <c:v>1.0912664473529294</c:v>
                </c:pt>
                <c:pt idx="800">
                  <c:v>1.0951586793819199</c:v>
                </c:pt>
                <c:pt idx="801">
                  <c:v>1.087779836072148</c:v>
                </c:pt>
                <c:pt idx="802">
                  <c:v>1.0603601341493281</c:v>
                </c:pt>
                <c:pt idx="803">
                  <c:v>1.0517491839886646</c:v>
                </c:pt>
                <c:pt idx="804">
                  <c:v>1.0485820623490711</c:v>
                </c:pt>
                <c:pt idx="805">
                  <c:v>1.0503287463959163</c:v>
                </c:pt>
                <c:pt idx="806">
                  <c:v>1.0450918426493816</c:v>
                </c:pt>
                <c:pt idx="807">
                  <c:v>1.0433677207596717</c:v>
                </c:pt>
                <c:pt idx="808">
                  <c:v>1.0466296550614578</c:v>
                </c:pt>
                <c:pt idx="809">
                  <c:v>1.0548769548189794</c:v>
                </c:pt>
                <c:pt idx="810">
                  <c:v>1.082081023767514</c:v>
                </c:pt>
                <c:pt idx="811">
                  <c:v>1.1089460388474182</c:v>
                </c:pt>
                <c:pt idx="812">
                  <c:v>1.1284483573745827</c:v>
                </c:pt>
                <c:pt idx="813">
                  <c:v>1.1377290054816047</c:v>
                </c:pt>
                <c:pt idx="814">
                  <c:v>1.1657601200156305</c:v>
                </c:pt>
              </c:numCache>
            </c:numRef>
          </c:xVal>
          <c:yVal>
            <c:numRef>
              <c:f>ENSO!$B$9:$B$823</c:f>
              <c:numCache>
                <c:formatCode>0.00</c:formatCode>
                <c:ptCount val="815"/>
                <c:pt idx="0">
                  <c:v>3.9999999999999147E-2</c:v>
                </c:pt>
                <c:pt idx="1">
                  <c:v>2.0000000000003126E-2</c:v>
                </c:pt>
                <c:pt idx="2">
                  <c:v>1.0000000000001563E-2</c:v>
                </c:pt>
                <c:pt idx="3">
                  <c:v>8.0000000000000071E-2</c:v>
                </c:pt>
                <c:pt idx="4">
                  <c:v>7.0000000000000284E-2</c:v>
                </c:pt>
                <c:pt idx="5">
                  <c:v>0.17999999999999972</c:v>
                </c:pt>
                <c:pt idx="6">
                  <c:v>0.16000000000000014</c:v>
                </c:pt>
                <c:pt idx="7">
                  <c:v>3.9999999999999147E-2</c:v>
                </c:pt>
                <c:pt idx="8">
                  <c:v>2.9999999999997584E-2</c:v>
                </c:pt>
                <c:pt idx="9">
                  <c:v>2.9999999999997584E-2</c:v>
                </c:pt>
                <c:pt idx="10">
                  <c:v>-9.9999999999980105E-3</c:v>
                </c:pt>
                <c:pt idx="11">
                  <c:v>-6.0000000000000497E-2</c:v>
                </c:pt>
                <c:pt idx="12">
                  <c:v>-7.0000000000000284E-2</c:v>
                </c:pt>
                <c:pt idx="13">
                  <c:v>-8.0000000000001847E-2</c:v>
                </c:pt>
                <c:pt idx="14">
                  <c:v>0</c:v>
                </c:pt>
                <c:pt idx="15">
                  <c:v>0</c:v>
                </c:pt>
                <c:pt idx="16">
                  <c:v>0.12999999999999901</c:v>
                </c:pt>
                <c:pt idx="17">
                  <c:v>-0.35000000000000142</c:v>
                </c:pt>
                <c:pt idx="18">
                  <c:v>-0.14999999999999858</c:v>
                </c:pt>
                <c:pt idx="19">
                  <c:v>-8.0000000000001847E-2</c:v>
                </c:pt>
                <c:pt idx="20">
                  <c:v>-3.9999999999999147E-2</c:v>
                </c:pt>
                <c:pt idx="21">
                  <c:v>-3.9999999999999147E-2</c:v>
                </c:pt>
                <c:pt idx="22">
                  <c:v>2.0000000000003126E-2</c:v>
                </c:pt>
                <c:pt idx="23">
                  <c:v>7.0000000000000284E-2</c:v>
                </c:pt>
                <c:pt idx="24">
                  <c:v>5.9999999999998721E-2</c:v>
                </c:pt>
                <c:pt idx="25">
                  <c:v>-0.10999999999999766</c:v>
                </c:pt>
                <c:pt idx="26">
                  <c:v>0.19000000000000128</c:v>
                </c:pt>
                <c:pt idx="27">
                  <c:v>7.0000000000000284E-2</c:v>
                </c:pt>
                <c:pt idx="28">
                  <c:v>0.19000000000000128</c:v>
                </c:pt>
                <c:pt idx="29">
                  <c:v>8.9999999999999858E-2</c:v>
                </c:pt>
                <c:pt idx="30">
                  <c:v>0.12999999999999901</c:v>
                </c:pt>
                <c:pt idx="31">
                  <c:v>0.11999999999999744</c:v>
                </c:pt>
                <c:pt idx="32">
                  <c:v>0.10999999999999766</c:v>
                </c:pt>
                <c:pt idx="33">
                  <c:v>1.0000000000001563E-2</c:v>
                </c:pt>
                <c:pt idx="34">
                  <c:v>1.0000000000001563E-2</c:v>
                </c:pt>
                <c:pt idx="35">
                  <c:v>8.0000000000000071E-2</c:v>
                </c:pt>
                <c:pt idx="36">
                  <c:v>0</c:v>
                </c:pt>
                <c:pt idx="37">
                  <c:v>2.9999999999997584E-2</c:v>
                </c:pt>
                <c:pt idx="38">
                  <c:v>-0.16000000000000014</c:v>
                </c:pt>
                <c:pt idx="39">
                  <c:v>5.0000000000004263E-2</c:v>
                </c:pt>
                <c:pt idx="40">
                  <c:v>0.14999999999999858</c:v>
                </c:pt>
                <c:pt idx="41">
                  <c:v>9.9999999999997868E-2</c:v>
                </c:pt>
                <c:pt idx="42">
                  <c:v>5.0000000000004263E-2</c:v>
                </c:pt>
                <c:pt idx="43">
                  <c:v>-6.0000000000000497E-2</c:v>
                </c:pt>
                <c:pt idx="44">
                  <c:v>2.9999999999997584E-2</c:v>
                </c:pt>
                <c:pt idx="45">
                  <c:v>2.0000000000003126E-2</c:v>
                </c:pt>
                <c:pt idx="46">
                  <c:v>-9.9999999999980105E-3</c:v>
                </c:pt>
                <c:pt idx="47">
                  <c:v>0</c:v>
                </c:pt>
                <c:pt idx="48">
                  <c:v>1.0000000000001563E-2</c:v>
                </c:pt>
                <c:pt idx="49">
                  <c:v>5.9999999999998721E-2</c:v>
                </c:pt>
                <c:pt idx="50">
                  <c:v>-2.9999999999999361E-2</c:v>
                </c:pt>
                <c:pt idx="51">
                  <c:v>-2.9999999999999361E-2</c:v>
                </c:pt>
                <c:pt idx="52">
                  <c:v>0.17999999999999972</c:v>
                </c:pt>
                <c:pt idx="53">
                  <c:v>-0.13999999999999879</c:v>
                </c:pt>
                <c:pt idx="54">
                  <c:v>-7.0000000000000284E-2</c:v>
                </c:pt>
                <c:pt idx="55">
                  <c:v>-6.0000000000000497E-2</c:v>
                </c:pt>
                <c:pt idx="56">
                  <c:v>5.0000000000004263E-2</c:v>
                </c:pt>
                <c:pt idx="57">
                  <c:v>5.9999999999998721E-2</c:v>
                </c:pt>
                <c:pt idx="58">
                  <c:v>0.22000000000000242</c:v>
                </c:pt>
                <c:pt idx="59">
                  <c:v>0.16999999999999993</c:v>
                </c:pt>
                <c:pt idx="60">
                  <c:v>0.14999999999999858</c:v>
                </c:pt>
                <c:pt idx="61">
                  <c:v>0.14999999999999858</c:v>
                </c:pt>
                <c:pt idx="62">
                  <c:v>-2.9999999999999361E-2</c:v>
                </c:pt>
                <c:pt idx="63">
                  <c:v>-9.0000000000001634E-2</c:v>
                </c:pt>
                <c:pt idx="64">
                  <c:v>-0.10000000000000142</c:v>
                </c:pt>
                <c:pt idx="65">
                  <c:v>-0.20999999999999908</c:v>
                </c:pt>
                <c:pt idx="66">
                  <c:v>-0.32000000000000206</c:v>
                </c:pt>
                <c:pt idx="67">
                  <c:v>-0.25</c:v>
                </c:pt>
                <c:pt idx="68">
                  <c:v>-3.9999999999999147E-2</c:v>
                </c:pt>
                <c:pt idx="69">
                  <c:v>-3.9999999999999147E-2</c:v>
                </c:pt>
                <c:pt idx="70">
                  <c:v>-0.21999999999999886</c:v>
                </c:pt>
                <c:pt idx="71">
                  <c:v>-0.30000000000000249</c:v>
                </c:pt>
                <c:pt idx="72">
                  <c:v>-0.31000000000000227</c:v>
                </c:pt>
                <c:pt idx="73">
                  <c:v>-0.20999999999999908</c:v>
                </c:pt>
                <c:pt idx="74">
                  <c:v>-0.30000000000000249</c:v>
                </c:pt>
                <c:pt idx="75">
                  <c:v>-8.0000000000001847E-2</c:v>
                </c:pt>
                <c:pt idx="76">
                  <c:v>-0.16999999999999638</c:v>
                </c:pt>
                <c:pt idx="77">
                  <c:v>-0.13000000000000256</c:v>
                </c:pt>
                <c:pt idx="78">
                  <c:v>-0.18999999999999773</c:v>
                </c:pt>
                <c:pt idx="79">
                  <c:v>-0.11999999999999744</c:v>
                </c:pt>
                <c:pt idx="80">
                  <c:v>-8.0000000000001847E-2</c:v>
                </c:pt>
                <c:pt idx="81">
                  <c:v>-0.13000000000000256</c:v>
                </c:pt>
                <c:pt idx="82">
                  <c:v>-3.9999999999999147E-2</c:v>
                </c:pt>
                <c:pt idx="83">
                  <c:v>-0.14999999999999858</c:v>
                </c:pt>
                <c:pt idx="84">
                  <c:v>-5.0000000000000711E-2</c:v>
                </c:pt>
                <c:pt idx="85">
                  <c:v>-6.0000000000000497E-2</c:v>
                </c:pt>
                <c:pt idx="86">
                  <c:v>-8.0000000000001847E-2</c:v>
                </c:pt>
                <c:pt idx="87">
                  <c:v>-0.18999999999999773</c:v>
                </c:pt>
                <c:pt idx="88">
                  <c:v>-3.9999999999999147E-2</c:v>
                </c:pt>
                <c:pt idx="89">
                  <c:v>2.9999999999997584E-2</c:v>
                </c:pt>
                <c:pt idx="90">
                  <c:v>-0.13000000000000256</c:v>
                </c:pt>
                <c:pt idx="91">
                  <c:v>-0.11999999999999744</c:v>
                </c:pt>
                <c:pt idx="92">
                  <c:v>1.0000000000001563E-2</c:v>
                </c:pt>
                <c:pt idx="93">
                  <c:v>8.0000000000000071E-2</c:v>
                </c:pt>
                <c:pt idx="94">
                  <c:v>-9.0000000000001634E-2</c:v>
                </c:pt>
                <c:pt idx="95">
                  <c:v>-2.9999999999999361E-2</c:v>
                </c:pt>
                <c:pt idx="96">
                  <c:v>-0.16999999999999638</c:v>
                </c:pt>
                <c:pt idx="97">
                  <c:v>-9.9999999999980105E-3</c:v>
                </c:pt>
                <c:pt idx="98">
                  <c:v>-2.9999999999999361E-2</c:v>
                </c:pt>
                <c:pt idx="99">
                  <c:v>-8.0000000000001847E-2</c:v>
                </c:pt>
                <c:pt idx="100">
                  <c:v>-0.20999999999999908</c:v>
                </c:pt>
                <c:pt idx="101">
                  <c:v>5.0000000000004263E-2</c:v>
                </c:pt>
                <c:pt idx="102">
                  <c:v>-5.0000000000000711E-2</c:v>
                </c:pt>
                <c:pt idx="103">
                  <c:v>0.11999999999999744</c:v>
                </c:pt>
                <c:pt idx="104">
                  <c:v>-8.0000000000001847E-2</c:v>
                </c:pt>
                <c:pt idx="105">
                  <c:v>2.0000000000003126E-2</c:v>
                </c:pt>
                <c:pt idx="106">
                  <c:v>1.0000000000001563E-2</c:v>
                </c:pt>
                <c:pt idx="107">
                  <c:v>-6.0000000000000497E-2</c:v>
                </c:pt>
                <c:pt idx="108">
                  <c:v>8.9999999999999858E-2</c:v>
                </c:pt>
                <c:pt idx="109">
                  <c:v>-5.0000000000000711E-2</c:v>
                </c:pt>
                <c:pt idx="110">
                  <c:v>-5.0000000000000711E-2</c:v>
                </c:pt>
                <c:pt idx="111">
                  <c:v>-0.25999999999999979</c:v>
                </c:pt>
                <c:pt idx="112">
                  <c:v>-0.13999999999999879</c:v>
                </c:pt>
                <c:pt idx="113">
                  <c:v>0.20000000000000107</c:v>
                </c:pt>
                <c:pt idx="114">
                  <c:v>-6.0000000000000497E-2</c:v>
                </c:pt>
                <c:pt idx="115">
                  <c:v>-0.13999999999999879</c:v>
                </c:pt>
                <c:pt idx="116">
                  <c:v>-9.0000000000001634E-2</c:v>
                </c:pt>
                <c:pt idx="117">
                  <c:v>-0.13000000000000256</c:v>
                </c:pt>
                <c:pt idx="118">
                  <c:v>-8.0000000000001847E-2</c:v>
                </c:pt>
                <c:pt idx="119">
                  <c:v>-0.18999999999999773</c:v>
                </c:pt>
                <c:pt idx="120">
                  <c:v>8.9999999999999858E-2</c:v>
                </c:pt>
                <c:pt idx="121">
                  <c:v>-5.0000000000000711E-2</c:v>
                </c:pt>
                <c:pt idx="122">
                  <c:v>-0.13999999999999879</c:v>
                </c:pt>
                <c:pt idx="123">
                  <c:v>-0.10999999999999766</c:v>
                </c:pt>
                <c:pt idx="124">
                  <c:v>-0.17999999999999794</c:v>
                </c:pt>
                <c:pt idx="125">
                  <c:v>1.0000000000001563E-2</c:v>
                </c:pt>
                <c:pt idx="126">
                  <c:v>0.16999999999999993</c:v>
                </c:pt>
                <c:pt idx="127">
                  <c:v>0.17999999999999972</c:v>
                </c:pt>
                <c:pt idx="128">
                  <c:v>2.9999999999997584E-2</c:v>
                </c:pt>
                <c:pt idx="129">
                  <c:v>-3.9999999999999147E-2</c:v>
                </c:pt>
                <c:pt idx="130">
                  <c:v>3.9999999999999147E-2</c:v>
                </c:pt>
                <c:pt idx="131">
                  <c:v>8.0000000000000071E-2</c:v>
                </c:pt>
                <c:pt idx="132">
                  <c:v>8.9999999999999858E-2</c:v>
                </c:pt>
                <c:pt idx="133">
                  <c:v>0.11999999999999744</c:v>
                </c:pt>
                <c:pt idx="134">
                  <c:v>0.24000000000000199</c:v>
                </c:pt>
                <c:pt idx="135">
                  <c:v>8.0000000000000071E-2</c:v>
                </c:pt>
                <c:pt idx="136">
                  <c:v>0.22000000000000242</c:v>
                </c:pt>
                <c:pt idx="137">
                  <c:v>5.9999999999998721E-2</c:v>
                </c:pt>
                <c:pt idx="138">
                  <c:v>5.0000000000004263E-2</c:v>
                </c:pt>
                <c:pt idx="139">
                  <c:v>-2.9999999999999361E-2</c:v>
                </c:pt>
                <c:pt idx="140">
                  <c:v>-1.9999999999999574E-2</c:v>
                </c:pt>
                <c:pt idx="141">
                  <c:v>2.0000000000003126E-2</c:v>
                </c:pt>
                <c:pt idx="142">
                  <c:v>-0.10000000000000142</c:v>
                </c:pt>
                <c:pt idx="143">
                  <c:v>0.11999999999999744</c:v>
                </c:pt>
                <c:pt idx="144">
                  <c:v>2.9999999999997584E-2</c:v>
                </c:pt>
                <c:pt idx="145">
                  <c:v>2.0000000000003126E-2</c:v>
                </c:pt>
                <c:pt idx="146">
                  <c:v>-0.11999999999999744</c:v>
                </c:pt>
                <c:pt idx="147">
                  <c:v>-1.9999999999999574E-2</c:v>
                </c:pt>
                <c:pt idx="148">
                  <c:v>-0.14999999999999858</c:v>
                </c:pt>
                <c:pt idx="149">
                  <c:v>-0.17999999999999794</c:v>
                </c:pt>
                <c:pt idx="150">
                  <c:v>-7.0000000000000284E-2</c:v>
                </c:pt>
                <c:pt idx="151">
                  <c:v>-5.0000000000000711E-2</c:v>
                </c:pt>
                <c:pt idx="152">
                  <c:v>-0.16000000000000014</c:v>
                </c:pt>
                <c:pt idx="153">
                  <c:v>-7.0000000000000284E-2</c:v>
                </c:pt>
                <c:pt idx="154">
                  <c:v>-9.9999999999980105E-3</c:v>
                </c:pt>
                <c:pt idx="155">
                  <c:v>-5.0000000000000711E-2</c:v>
                </c:pt>
                <c:pt idx="156">
                  <c:v>-3.9999999999999147E-2</c:v>
                </c:pt>
                <c:pt idx="157">
                  <c:v>-7.0000000000000284E-2</c:v>
                </c:pt>
                <c:pt idx="158">
                  <c:v>-8.0000000000001847E-2</c:v>
                </c:pt>
                <c:pt idx="159">
                  <c:v>-0.21999999999999886</c:v>
                </c:pt>
                <c:pt idx="160">
                  <c:v>-0.17999999999999794</c:v>
                </c:pt>
                <c:pt idx="161">
                  <c:v>2.9999999999997584E-2</c:v>
                </c:pt>
                <c:pt idx="162">
                  <c:v>0</c:v>
                </c:pt>
                <c:pt idx="163">
                  <c:v>-2.9999999999999361E-2</c:v>
                </c:pt>
                <c:pt idx="164">
                  <c:v>3.9999999999999147E-2</c:v>
                </c:pt>
                <c:pt idx="165">
                  <c:v>1.0000000000001563E-2</c:v>
                </c:pt>
                <c:pt idx="166">
                  <c:v>0.16000000000000014</c:v>
                </c:pt>
                <c:pt idx="167">
                  <c:v>2.0000000000003126E-2</c:v>
                </c:pt>
                <c:pt idx="168">
                  <c:v>8.0000000000000071E-2</c:v>
                </c:pt>
                <c:pt idx="169">
                  <c:v>2.0000000000003126E-2</c:v>
                </c:pt>
                <c:pt idx="170">
                  <c:v>0.17999999999999972</c:v>
                </c:pt>
                <c:pt idx="171">
                  <c:v>0.28999999999999559</c:v>
                </c:pt>
                <c:pt idx="172">
                  <c:v>0.32000000000000028</c:v>
                </c:pt>
                <c:pt idx="173">
                  <c:v>0.28999999999999559</c:v>
                </c:pt>
                <c:pt idx="174">
                  <c:v>0.27000000000000135</c:v>
                </c:pt>
                <c:pt idx="175">
                  <c:v>0.2300000000000022</c:v>
                </c:pt>
                <c:pt idx="176">
                  <c:v>0.19000000000000128</c:v>
                </c:pt>
                <c:pt idx="177">
                  <c:v>0.12999999999999901</c:v>
                </c:pt>
                <c:pt idx="178">
                  <c:v>5.0000000000004263E-2</c:v>
                </c:pt>
                <c:pt idx="179">
                  <c:v>8.9999999999999858E-2</c:v>
                </c:pt>
                <c:pt idx="180">
                  <c:v>9.9999999999997868E-2</c:v>
                </c:pt>
                <c:pt idx="181">
                  <c:v>3.9999999999999147E-2</c:v>
                </c:pt>
                <c:pt idx="182">
                  <c:v>-7.0000000000000284E-2</c:v>
                </c:pt>
                <c:pt idx="183">
                  <c:v>-0.10000000000000142</c:v>
                </c:pt>
                <c:pt idx="184">
                  <c:v>-0.27000000000000135</c:v>
                </c:pt>
                <c:pt idx="185">
                  <c:v>-5.0000000000000711E-2</c:v>
                </c:pt>
                <c:pt idx="186">
                  <c:v>-0.11999999999999744</c:v>
                </c:pt>
                <c:pt idx="187">
                  <c:v>-3.9999999999999147E-2</c:v>
                </c:pt>
                <c:pt idx="188">
                  <c:v>-5.0000000000000711E-2</c:v>
                </c:pt>
                <c:pt idx="189">
                  <c:v>-2.9999999999999361E-2</c:v>
                </c:pt>
                <c:pt idx="190">
                  <c:v>9.9999999999997868E-2</c:v>
                </c:pt>
                <c:pt idx="191">
                  <c:v>-8.0000000000001847E-2</c:v>
                </c:pt>
                <c:pt idx="192">
                  <c:v>-6.0000000000000497E-2</c:v>
                </c:pt>
                <c:pt idx="193">
                  <c:v>-8.0000000000001847E-2</c:v>
                </c:pt>
                <c:pt idx="194">
                  <c:v>-8.0000000000001847E-2</c:v>
                </c:pt>
                <c:pt idx="195">
                  <c:v>9.9999999999997868E-2</c:v>
                </c:pt>
                <c:pt idx="196">
                  <c:v>8.0000000000000071E-2</c:v>
                </c:pt>
                <c:pt idx="197">
                  <c:v>0.11999999999999744</c:v>
                </c:pt>
                <c:pt idx="198">
                  <c:v>3.9999999999999147E-2</c:v>
                </c:pt>
                <c:pt idx="199">
                  <c:v>0.16000000000000014</c:v>
                </c:pt>
                <c:pt idx="200">
                  <c:v>-9.9999999999980105E-3</c:v>
                </c:pt>
                <c:pt idx="201">
                  <c:v>-9.9999999999980105E-3</c:v>
                </c:pt>
                <c:pt idx="202">
                  <c:v>-0.16999999999999638</c:v>
                </c:pt>
                <c:pt idx="203">
                  <c:v>-1.9999999999999574E-2</c:v>
                </c:pt>
                <c:pt idx="204">
                  <c:v>-0.10999999999999766</c:v>
                </c:pt>
                <c:pt idx="205">
                  <c:v>-0.16999999999999638</c:v>
                </c:pt>
                <c:pt idx="206">
                  <c:v>-0.16999999999999638</c:v>
                </c:pt>
                <c:pt idx="207">
                  <c:v>-2.9999999999999361E-2</c:v>
                </c:pt>
                <c:pt idx="208">
                  <c:v>-6.0000000000000497E-2</c:v>
                </c:pt>
                <c:pt idx="209">
                  <c:v>-0.21999999999999886</c:v>
                </c:pt>
                <c:pt idx="210">
                  <c:v>-7.0000000000000284E-2</c:v>
                </c:pt>
                <c:pt idx="211">
                  <c:v>-0.19999999999999751</c:v>
                </c:pt>
                <c:pt idx="212">
                  <c:v>-0.11999999999999744</c:v>
                </c:pt>
                <c:pt idx="213">
                  <c:v>-0.10000000000000142</c:v>
                </c:pt>
                <c:pt idx="214">
                  <c:v>-0.11999999999999744</c:v>
                </c:pt>
                <c:pt idx="215">
                  <c:v>-6.0000000000000497E-2</c:v>
                </c:pt>
                <c:pt idx="216">
                  <c:v>-0.24000000000000021</c:v>
                </c:pt>
                <c:pt idx="217">
                  <c:v>-6.0000000000000497E-2</c:v>
                </c:pt>
                <c:pt idx="218">
                  <c:v>0.10999999999999766</c:v>
                </c:pt>
                <c:pt idx="219">
                  <c:v>0.19000000000000128</c:v>
                </c:pt>
                <c:pt idx="220">
                  <c:v>0.2300000000000022</c:v>
                </c:pt>
                <c:pt idx="221">
                  <c:v>0.24000000000000199</c:v>
                </c:pt>
                <c:pt idx="222">
                  <c:v>0.25999999999999979</c:v>
                </c:pt>
                <c:pt idx="223">
                  <c:v>0.32999999999999652</c:v>
                </c:pt>
                <c:pt idx="224">
                  <c:v>0.27000000000000135</c:v>
                </c:pt>
                <c:pt idx="225">
                  <c:v>0.20000000000000107</c:v>
                </c:pt>
                <c:pt idx="226">
                  <c:v>0.17999999999999972</c:v>
                </c:pt>
                <c:pt idx="227">
                  <c:v>2.0000000000003126E-2</c:v>
                </c:pt>
                <c:pt idx="228">
                  <c:v>2.9999999999997584E-2</c:v>
                </c:pt>
                <c:pt idx="229">
                  <c:v>0.16000000000000014</c:v>
                </c:pt>
                <c:pt idx="230">
                  <c:v>2.9999999999997584E-2</c:v>
                </c:pt>
                <c:pt idx="231">
                  <c:v>5.9999999999998721E-2</c:v>
                </c:pt>
                <c:pt idx="232">
                  <c:v>9.9999999999997868E-2</c:v>
                </c:pt>
                <c:pt idx="233">
                  <c:v>0.19000000000000128</c:v>
                </c:pt>
                <c:pt idx="234">
                  <c:v>0.16999999999999993</c:v>
                </c:pt>
                <c:pt idx="235">
                  <c:v>8.9999999999999858E-2</c:v>
                </c:pt>
                <c:pt idx="236">
                  <c:v>-9.9999999999980105E-3</c:v>
                </c:pt>
                <c:pt idx="237">
                  <c:v>3.9999999999999147E-2</c:v>
                </c:pt>
                <c:pt idx="238">
                  <c:v>-0.13999999999999879</c:v>
                </c:pt>
                <c:pt idx="239">
                  <c:v>5.9999999999998721E-2</c:v>
                </c:pt>
                <c:pt idx="240">
                  <c:v>2.9999999999997584E-2</c:v>
                </c:pt>
                <c:pt idx="241">
                  <c:v>0.12999999999999901</c:v>
                </c:pt>
                <c:pt idx="242">
                  <c:v>8.0000000000000071E-2</c:v>
                </c:pt>
                <c:pt idx="243">
                  <c:v>8.9999999999999858E-2</c:v>
                </c:pt>
                <c:pt idx="244">
                  <c:v>-0.10000000000000142</c:v>
                </c:pt>
                <c:pt idx="245">
                  <c:v>0.19000000000000128</c:v>
                </c:pt>
                <c:pt idx="246">
                  <c:v>0.14999999999999858</c:v>
                </c:pt>
                <c:pt idx="247">
                  <c:v>2.9999999999997584E-2</c:v>
                </c:pt>
                <c:pt idx="248">
                  <c:v>0.13999999999999879</c:v>
                </c:pt>
                <c:pt idx="249">
                  <c:v>3.9999999999999147E-2</c:v>
                </c:pt>
                <c:pt idx="250">
                  <c:v>0.16999999999999993</c:v>
                </c:pt>
                <c:pt idx="251">
                  <c:v>0.25000000000000355</c:v>
                </c:pt>
                <c:pt idx="252">
                  <c:v>0.25999999999999979</c:v>
                </c:pt>
                <c:pt idx="253">
                  <c:v>0.28000000000000114</c:v>
                </c:pt>
                <c:pt idx="254">
                  <c:v>0.47000000000000242</c:v>
                </c:pt>
                <c:pt idx="255">
                  <c:v>0.30000000000000249</c:v>
                </c:pt>
                <c:pt idx="256">
                  <c:v>0.38999999999999879</c:v>
                </c:pt>
                <c:pt idx="257">
                  <c:v>0.28999999999999559</c:v>
                </c:pt>
                <c:pt idx="258">
                  <c:v>0.30000000000000249</c:v>
                </c:pt>
                <c:pt idx="259">
                  <c:v>0.34999999999999787</c:v>
                </c:pt>
                <c:pt idx="260">
                  <c:v>0.20000000000000107</c:v>
                </c:pt>
                <c:pt idx="261">
                  <c:v>0.22000000000000242</c:v>
                </c:pt>
                <c:pt idx="262">
                  <c:v>0.17999999999999972</c:v>
                </c:pt>
                <c:pt idx="263">
                  <c:v>0.20000000000000107</c:v>
                </c:pt>
                <c:pt idx="264">
                  <c:v>0.12999999999999901</c:v>
                </c:pt>
                <c:pt idx="265">
                  <c:v>0.30000000000000249</c:v>
                </c:pt>
                <c:pt idx="266">
                  <c:v>0.21000000000000085</c:v>
                </c:pt>
                <c:pt idx="267">
                  <c:v>0.52999999999999758</c:v>
                </c:pt>
                <c:pt idx="268">
                  <c:v>0.42000000000000348</c:v>
                </c:pt>
                <c:pt idx="269">
                  <c:v>0.47999999999999865</c:v>
                </c:pt>
                <c:pt idx="270">
                  <c:v>0.32000000000000028</c:v>
                </c:pt>
                <c:pt idx="271">
                  <c:v>0.25000000000000355</c:v>
                </c:pt>
                <c:pt idx="272">
                  <c:v>0.28999999999999559</c:v>
                </c:pt>
                <c:pt idx="273">
                  <c:v>0.32999999999999652</c:v>
                </c:pt>
                <c:pt idx="274">
                  <c:v>0.34999999999999787</c:v>
                </c:pt>
                <c:pt idx="275">
                  <c:v>0.14999999999999858</c:v>
                </c:pt>
                <c:pt idx="276">
                  <c:v>0.11999999999999744</c:v>
                </c:pt>
                <c:pt idx="277">
                  <c:v>0.2300000000000022</c:v>
                </c:pt>
                <c:pt idx="278">
                  <c:v>0.41000000000000014</c:v>
                </c:pt>
                <c:pt idx="279">
                  <c:v>5.0000000000004263E-2</c:v>
                </c:pt>
                <c:pt idx="280">
                  <c:v>0.14999999999999858</c:v>
                </c:pt>
                <c:pt idx="281">
                  <c:v>2.9999999999997584E-2</c:v>
                </c:pt>
                <c:pt idx="282">
                  <c:v>0.14999999999999858</c:v>
                </c:pt>
                <c:pt idx="283">
                  <c:v>0.17999999999999972</c:v>
                </c:pt>
                <c:pt idx="284">
                  <c:v>5.9999999999998721E-2</c:v>
                </c:pt>
                <c:pt idx="285">
                  <c:v>0.13999999999999879</c:v>
                </c:pt>
                <c:pt idx="286">
                  <c:v>2.9999999999997584E-2</c:v>
                </c:pt>
                <c:pt idx="287">
                  <c:v>0.13999999999999879</c:v>
                </c:pt>
                <c:pt idx="288">
                  <c:v>0.12999999999999901</c:v>
                </c:pt>
                <c:pt idx="289">
                  <c:v>0.17999999999999972</c:v>
                </c:pt>
                <c:pt idx="290">
                  <c:v>0.42999999999999972</c:v>
                </c:pt>
                <c:pt idx="291">
                  <c:v>0.52999999999999758</c:v>
                </c:pt>
                <c:pt idx="292">
                  <c:v>0.42999999999999972</c:v>
                </c:pt>
                <c:pt idx="293">
                  <c:v>0.42000000000000348</c:v>
                </c:pt>
                <c:pt idx="294">
                  <c:v>0.28000000000000114</c:v>
                </c:pt>
                <c:pt idx="295">
                  <c:v>0.33999999999999986</c:v>
                </c:pt>
                <c:pt idx="296">
                  <c:v>0.2300000000000022</c:v>
                </c:pt>
                <c:pt idx="297">
                  <c:v>0.17999999999999972</c:v>
                </c:pt>
                <c:pt idx="298">
                  <c:v>0.36000000000000121</c:v>
                </c:pt>
                <c:pt idx="299">
                  <c:v>0.36999999999999744</c:v>
                </c:pt>
                <c:pt idx="300">
                  <c:v>0.16999999999999993</c:v>
                </c:pt>
                <c:pt idx="301">
                  <c:v>0.30000000000000249</c:v>
                </c:pt>
                <c:pt idx="302">
                  <c:v>0.16999999999999993</c:v>
                </c:pt>
                <c:pt idx="303">
                  <c:v>0.31000000000000227</c:v>
                </c:pt>
                <c:pt idx="304">
                  <c:v>0.13999999999999879</c:v>
                </c:pt>
                <c:pt idx="305">
                  <c:v>0.25999999999999979</c:v>
                </c:pt>
                <c:pt idx="306">
                  <c:v>5.9999999999998721E-2</c:v>
                </c:pt>
                <c:pt idx="307">
                  <c:v>0.32999999999999652</c:v>
                </c:pt>
                <c:pt idx="308">
                  <c:v>2.0000000000003126E-2</c:v>
                </c:pt>
                <c:pt idx="309">
                  <c:v>0.19000000000000128</c:v>
                </c:pt>
                <c:pt idx="310">
                  <c:v>0.19000000000000128</c:v>
                </c:pt>
                <c:pt idx="311">
                  <c:v>0.21000000000000085</c:v>
                </c:pt>
                <c:pt idx="312">
                  <c:v>0.12999999999999901</c:v>
                </c:pt>
                <c:pt idx="313">
                  <c:v>5.9999999999998721E-2</c:v>
                </c:pt>
                <c:pt idx="314">
                  <c:v>-3.9999999999999147E-2</c:v>
                </c:pt>
                <c:pt idx="315">
                  <c:v>0.22000000000000242</c:v>
                </c:pt>
                <c:pt idx="316">
                  <c:v>-3.9999999999999147E-2</c:v>
                </c:pt>
                <c:pt idx="317">
                  <c:v>0.16999999999999993</c:v>
                </c:pt>
                <c:pt idx="318">
                  <c:v>0.11999999999999744</c:v>
                </c:pt>
                <c:pt idx="319">
                  <c:v>0.14999999999999858</c:v>
                </c:pt>
                <c:pt idx="320">
                  <c:v>0.14999999999999858</c:v>
                </c:pt>
                <c:pt idx="321">
                  <c:v>3.9999999999999147E-2</c:v>
                </c:pt>
                <c:pt idx="322">
                  <c:v>0.16999999999999993</c:v>
                </c:pt>
                <c:pt idx="323">
                  <c:v>0.12999999999999901</c:v>
                </c:pt>
                <c:pt idx="324">
                  <c:v>0.11999999999999744</c:v>
                </c:pt>
                <c:pt idx="325">
                  <c:v>5.0000000000004263E-2</c:v>
                </c:pt>
                <c:pt idx="326">
                  <c:v>0.13999999999999879</c:v>
                </c:pt>
                <c:pt idx="327">
                  <c:v>0.25999999999999979</c:v>
                </c:pt>
                <c:pt idx="328">
                  <c:v>0.36999999999999744</c:v>
                </c:pt>
                <c:pt idx="329">
                  <c:v>0.30000000000000249</c:v>
                </c:pt>
                <c:pt idx="330">
                  <c:v>0.22000000000000242</c:v>
                </c:pt>
                <c:pt idx="331">
                  <c:v>0.21000000000000085</c:v>
                </c:pt>
                <c:pt idx="332">
                  <c:v>0.11999999999999744</c:v>
                </c:pt>
                <c:pt idx="333">
                  <c:v>0.10999999999999766</c:v>
                </c:pt>
                <c:pt idx="334">
                  <c:v>0.16000000000000014</c:v>
                </c:pt>
                <c:pt idx="335">
                  <c:v>2.9999999999997584E-2</c:v>
                </c:pt>
                <c:pt idx="336">
                  <c:v>0.14999999999999858</c:v>
                </c:pt>
                <c:pt idx="337">
                  <c:v>9.9999999999997868E-2</c:v>
                </c:pt>
                <c:pt idx="338">
                  <c:v>0.12999999999999901</c:v>
                </c:pt>
                <c:pt idx="339">
                  <c:v>0.32000000000000028</c:v>
                </c:pt>
                <c:pt idx="340">
                  <c:v>0.42999999999999972</c:v>
                </c:pt>
                <c:pt idx="341">
                  <c:v>0.17999999999999972</c:v>
                </c:pt>
                <c:pt idx="342">
                  <c:v>0.24000000000000199</c:v>
                </c:pt>
                <c:pt idx="343">
                  <c:v>0.25999999999999979</c:v>
                </c:pt>
                <c:pt idx="344">
                  <c:v>0.34999999999999787</c:v>
                </c:pt>
                <c:pt idx="345">
                  <c:v>0.40000000000000213</c:v>
                </c:pt>
                <c:pt idx="346">
                  <c:v>0.25000000000000355</c:v>
                </c:pt>
                <c:pt idx="347">
                  <c:v>0.34999999999999787</c:v>
                </c:pt>
                <c:pt idx="348">
                  <c:v>0.32999999999999652</c:v>
                </c:pt>
                <c:pt idx="349">
                  <c:v>0.28999999999999559</c:v>
                </c:pt>
                <c:pt idx="350">
                  <c:v>0.46000000000000441</c:v>
                </c:pt>
                <c:pt idx="351">
                  <c:v>0.57000000000000028</c:v>
                </c:pt>
                <c:pt idx="352">
                  <c:v>0.44000000000000483</c:v>
                </c:pt>
                <c:pt idx="353">
                  <c:v>0.5199999999999978</c:v>
                </c:pt>
                <c:pt idx="354">
                  <c:v>0.42999999999999972</c:v>
                </c:pt>
                <c:pt idx="355">
                  <c:v>0.44000000000000483</c:v>
                </c:pt>
                <c:pt idx="356">
                  <c:v>0.40000000000000213</c:v>
                </c:pt>
                <c:pt idx="357">
                  <c:v>0.32999999999999652</c:v>
                </c:pt>
                <c:pt idx="358">
                  <c:v>0.38999999999999879</c:v>
                </c:pt>
                <c:pt idx="359">
                  <c:v>0.36999999999999744</c:v>
                </c:pt>
                <c:pt idx="360">
                  <c:v>0.38000000000000256</c:v>
                </c:pt>
                <c:pt idx="361">
                  <c:v>0.11999999999999744</c:v>
                </c:pt>
                <c:pt idx="362">
                  <c:v>0.28999999999999559</c:v>
                </c:pt>
                <c:pt idx="363">
                  <c:v>0.11999999999999744</c:v>
                </c:pt>
                <c:pt idx="364">
                  <c:v>0.30000000000000249</c:v>
                </c:pt>
                <c:pt idx="365">
                  <c:v>0.36000000000000121</c:v>
                </c:pt>
                <c:pt idx="366">
                  <c:v>0.28999999999999559</c:v>
                </c:pt>
                <c:pt idx="367">
                  <c:v>0.17999999999999972</c:v>
                </c:pt>
                <c:pt idx="368">
                  <c:v>0.14999999999999858</c:v>
                </c:pt>
                <c:pt idx="369">
                  <c:v>0.34999999999999787</c:v>
                </c:pt>
                <c:pt idx="370">
                  <c:v>0.32999999999999652</c:v>
                </c:pt>
                <c:pt idx="371">
                  <c:v>0.34999999999999787</c:v>
                </c:pt>
                <c:pt idx="372">
                  <c:v>0.28999999999999559</c:v>
                </c:pt>
                <c:pt idx="373">
                  <c:v>0.20000000000000107</c:v>
                </c:pt>
                <c:pt idx="374">
                  <c:v>0.36999999999999744</c:v>
                </c:pt>
                <c:pt idx="375">
                  <c:v>0.42000000000000348</c:v>
                </c:pt>
                <c:pt idx="376">
                  <c:v>0.44000000000000483</c:v>
                </c:pt>
                <c:pt idx="377">
                  <c:v>0.79999999999999893</c:v>
                </c:pt>
                <c:pt idx="378">
                  <c:v>0.55999999999999872</c:v>
                </c:pt>
                <c:pt idx="379">
                  <c:v>0.46000000000000441</c:v>
                </c:pt>
                <c:pt idx="380">
                  <c:v>0.36999999999999744</c:v>
                </c:pt>
                <c:pt idx="381">
                  <c:v>0.46000000000000441</c:v>
                </c:pt>
                <c:pt idx="382">
                  <c:v>0.33999999999999986</c:v>
                </c:pt>
                <c:pt idx="383">
                  <c:v>0.2300000000000022</c:v>
                </c:pt>
                <c:pt idx="384">
                  <c:v>0.44999999999999751</c:v>
                </c:pt>
                <c:pt idx="385">
                  <c:v>0.46000000000000441</c:v>
                </c:pt>
                <c:pt idx="386">
                  <c:v>0.40000000000000213</c:v>
                </c:pt>
                <c:pt idx="387">
                  <c:v>0.42999999999999972</c:v>
                </c:pt>
                <c:pt idx="388">
                  <c:v>0.5</c:v>
                </c:pt>
                <c:pt idx="389">
                  <c:v>0.36000000000000121</c:v>
                </c:pt>
                <c:pt idx="390">
                  <c:v>0.50999999999999801</c:v>
                </c:pt>
                <c:pt idx="391">
                  <c:v>0.33999999999999986</c:v>
                </c:pt>
                <c:pt idx="392">
                  <c:v>0.52999999999999758</c:v>
                </c:pt>
                <c:pt idx="393">
                  <c:v>0.47999999999999865</c:v>
                </c:pt>
                <c:pt idx="394">
                  <c:v>0.38999999999999879</c:v>
                </c:pt>
                <c:pt idx="395">
                  <c:v>0.44000000000000483</c:v>
                </c:pt>
                <c:pt idx="396">
                  <c:v>0.28999999999999559</c:v>
                </c:pt>
                <c:pt idx="397">
                  <c:v>0.30000000000000249</c:v>
                </c:pt>
                <c:pt idx="398">
                  <c:v>0.32000000000000028</c:v>
                </c:pt>
                <c:pt idx="399">
                  <c:v>0.47999999999999865</c:v>
                </c:pt>
                <c:pt idx="400">
                  <c:v>0.40000000000000213</c:v>
                </c:pt>
                <c:pt idx="401">
                  <c:v>0.47999999999999865</c:v>
                </c:pt>
                <c:pt idx="402">
                  <c:v>0.28000000000000114</c:v>
                </c:pt>
                <c:pt idx="403">
                  <c:v>0.31000000000000227</c:v>
                </c:pt>
                <c:pt idx="404">
                  <c:v>0.25999999999999979</c:v>
                </c:pt>
                <c:pt idx="405">
                  <c:v>8.9999999999999858E-2</c:v>
                </c:pt>
                <c:pt idx="406">
                  <c:v>8.0000000000000071E-2</c:v>
                </c:pt>
                <c:pt idx="407">
                  <c:v>-9.9999999999980105E-3</c:v>
                </c:pt>
                <c:pt idx="408">
                  <c:v>7.0000000000000284E-2</c:v>
                </c:pt>
                <c:pt idx="409">
                  <c:v>2.9999999999997584E-2</c:v>
                </c:pt>
                <c:pt idx="410">
                  <c:v>0.22000000000000242</c:v>
                </c:pt>
                <c:pt idx="411">
                  <c:v>0.34999999999999787</c:v>
                </c:pt>
                <c:pt idx="412">
                  <c:v>0.36999999999999744</c:v>
                </c:pt>
                <c:pt idx="413">
                  <c:v>0.36000000000000121</c:v>
                </c:pt>
                <c:pt idx="414">
                  <c:v>0.28000000000000114</c:v>
                </c:pt>
                <c:pt idx="415">
                  <c:v>0.28000000000000114</c:v>
                </c:pt>
                <c:pt idx="416">
                  <c:v>0.2300000000000022</c:v>
                </c:pt>
                <c:pt idx="417">
                  <c:v>0.25000000000000355</c:v>
                </c:pt>
                <c:pt idx="418">
                  <c:v>0.10999999999999766</c:v>
                </c:pt>
                <c:pt idx="419">
                  <c:v>0.10999999999999766</c:v>
                </c:pt>
                <c:pt idx="420">
                  <c:v>0.24000000000000199</c:v>
                </c:pt>
                <c:pt idx="421">
                  <c:v>3.9999999999999147E-2</c:v>
                </c:pt>
                <c:pt idx="422">
                  <c:v>0.17999999999999972</c:v>
                </c:pt>
                <c:pt idx="423">
                  <c:v>0.25999999999999979</c:v>
                </c:pt>
                <c:pt idx="424">
                  <c:v>2.0000000000003126E-2</c:v>
                </c:pt>
                <c:pt idx="425">
                  <c:v>0.28999999999999559</c:v>
                </c:pt>
                <c:pt idx="426">
                  <c:v>0.41000000000000014</c:v>
                </c:pt>
                <c:pt idx="427">
                  <c:v>0.28000000000000114</c:v>
                </c:pt>
                <c:pt idx="428">
                  <c:v>0.42999999999999972</c:v>
                </c:pt>
                <c:pt idx="429">
                  <c:v>0.30000000000000249</c:v>
                </c:pt>
                <c:pt idx="430">
                  <c:v>0.22000000000000242</c:v>
                </c:pt>
                <c:pt idx="431">
                  <c:v>0.31000000000000227</c:v>
                </c:pt>
                <c:pt idx="432">
                  <c:v>0.42999999999999972</c:v>
                </c:pt>
                <c:pt idx="433">
                  <c:v>0.44999999999999751</c:v>
                </c:pt>
                <c:pt idx="434">
                  <c:v>0.38999999999999879</c:v>
                </c:pt>
                <c:pt idx="435">
                  <c:v>0.52999999999999758</c:v>
                </c:pt>
                <c:pt idx="436">
                  <c:v>0.79000000000000092</c:v>
                </c:pt>
                <c:pt idx="437">
                  <c:v>0.47000000000000242</c:v>
                </c:pt>
                <c:pt idx="438">
                  <c:v>0.47000000000000242</c:v>
                </c:pt>
                <c:pt idx="439">
                  <c:v>0.27000000000000135</c:v>
                </c:pt>
                <c:pt idx="440">
                  <c:v>0.42999999999999972</c:v>
                </c:pt>
                <c:pt idx="441">
                  <c:v>0.46000000000000441</c:v>
                </c:pt>
                <c:pt idx="442">
                  <c:v>0.44999999999999751</c:v>
                </c:pt>
                <c:pt idx="443">
                  <c:v>0.32999999999999652</c:v>
                </c:pt>
                <c:pt idx="444">
                  <c:v>0.46000000000000441</c:v>
                </c:pt>
                <c:pt idx="445">
                  <c:v>0.44999999999999751</c:v>
                </c:pt>
                <c:pt idx="446">
                  <c:v>0.25999999999999979</c:v>
                </c:pt>
                <c:pt idx="447">
                  <c:v>0.24000000000000199</c:v>
                </c:pt>
                <c:pt idx="448">
                  <c:v>0.46000000000000441</c:v>
                </c:pt>
                <c:pt idx="449">
                  <c:v>0.32999999999999652</c:v>
                </c:pt>
                <c:pt idx="450">
                  <c:v>0.32999999999999652</c:v>
                </c:pt>
                <c:pt idx="451">
                  <c:v>0.27000000000000135</c:v>
                </c:pt>
                <c:pt idx="452">
                  <c:v>0.25999999999999979</c:v>
                </c:pt>
                <c:pt idx="453">
                  <c:v>0.36999999999999744</c:v>
                </c:pt>
                <c:pt idx="454">
                  <c:v>0.47999999999999865</c:v>
                </c:pt>
                <c:pt idx="455">
                  <c:v>0.25999999999999979</c:v>
                </c:pt>
                <c:pt idx="456">
                  <c:v>0.22000000000000242</c:v>
                </c:pt>
                <c:pt idx="457">
                  <c:v>0.42000000000000348</c:v>
                </c:pt>
                <c:pt idx="458">
                  <c:v>0.36999999999999744</c:v>
                </c:pt>
                <c:pt idx="459">
                  <c:v>0.32000000000000028</c:v>
                </c:pt>
                <c:pt idx="460">
                  <c:v>0.41000000000000014</c:v>
                </c:pt>
                <c:pt idx="461">
                  <c:v>0.5199999999999978</c:v>
                </c:pt>
                <c:pt idx="462">
                  <c:v>0.33999999999999986</c:v>
                </c:pt>
                <c:pt idx="463">
                  <c:v>0.34999999999999787</c:v>
                </c:pt>
                <c:pt idx="464">
                  <c:v>0.54999999999999893</c:v>
                </c:pt>
                <c:pt idx="465">
                  <c:v>0.33999999999999986</c:v>
                </c:pt>
                <c:pt idx="466">
                  <c:v>0.41000000000000014</c:v>
                </c:pt>
                <c:pt idx="467">
                  <c:v>0.5199999999999978</c:v>
                </c:pt>
                <c:pt idx="468">
                  <c:v>0.61000000000000121</c:v>
                </c:pt>
                <c:pt idx="469">
                  <c:v>0.65000000000000213</c:v>
                </c:pt>
                <c:pt idx="470">
                  <c:v>0.58999999999999986</c:v>
                </c:pt>
                <c:pt idx="471">
                  <c:v>0.58000000000000007</c:v>
                </c:pt>
                <c:pt idx="472">
                  <c:v>0.88000000000000256</c:v>
                </c:pt>
                <c:pt idx="473">
                  <c:v>0.63000000000000256</c:v>
                </c:pt>
                <c:pt idx="474">
                  <c:v>0.64000000000000234</c:v>
                </c:pt>
                <c:pt idx="475">
                  <c:v>0.67999999999999972</c:v>
                </c:pt>
                <c:pt idx="476">
                  <c:v>0.77000000000000135</c:v>
                </c:pt>
                <c:pt idx="477">
                  <c:v>0.66000000000000369</c:v>
                </c:pt>
                <c:pt idx="478">
                  <c:v>0.65000000000000213</c:v>
                </c:pt>
                <c:pt idx="479">
                  <c:v>0.42000000000000348</c:v>
                </c:pt>
                <c:pt idx="480">
                  <c:v>0.42000000000000348</c:v>
                </c:pt>
                <c:pt idx="481">
                  <c:v>0.42999999999999972</c:v>
                </c:pt>
                <c:pt idx="482">
                  <c:v>0.54999999999999893</c:v>
                </c:pt>
                <c:pt idx="483">
                  <c:v>0.47999999999999865</c:v>
                </c:pt>
                <c:pt idx="484">
                  <c:v>0.64000000000000234</c:v>
                </c:pt>
                <c:pt idx="485">
                  <c:v>0.32999999999999652</c:v>
                </c:pt>
                <c:pt idx="486">
                  <c:v>0.32000000000000028</c:v>
                </c:pt>
                <c:pt idx="487">
                  <c:v>0.25999999999999979</c:v>
                </c:pt>
                <c:pt idx="488">
                  <c:v>0.36000000000000121</c:v>
                </c:pt>
                <c:pt idx="489">
                  <c:v>0.38999999999999879</c:v>
                </c:pt>
                <c:pt idx="490">
                  <c:v>0.31000000000000227</c:v>
                </c:pt>
                <c:pt idx="491">
                  <c:v>0.38999999999999879</c:v>
                </c:pt>
                <c:pt idx="492">
                  <c:v>0.33999999999999986</c:v>
                </c:pt>
                <c:pt idx="493">
                  <c:v>0.36999999999999744</c:v>
                </c:pt>
                <c:pt idx="494">
                  <c:v>0.40000000000000213</c:v>
                </c:pt>
                <c:pt idx="495">
                  <c:v>0.25000000000000355</c:v>
                </c:pt>
                <c:pt idx="496">
                  <c:v>0.55999999999999872</c:v>
                </c:pt>
                <c:pt idx="497">
                  <c:v>0.54999999999999893</c:v>
                </c:pt>
                <c:pt idx="498">
                  <c:v>0.55999999999999872</c:v>
                </c:pt>
                <c:pt idx="499">
                  <c:v>0.34999999999999787</c:v>
                </c:pt>
                <c:pt idx="500">
                  <c:v>0.40000000000000213</c:v>
                </c:pt>
                <c:pt idx="501">
                  <c:v>0.38999999999999879</c:v>
                </c:pt>
                <c:pt idx="502">
                  <c:v>0.42000000000000348</c:v>
                </c:pt>
                <c:pt idx="503">
                  <c:v>0.38999999999999879</c:v>
                </c:pt>
                <c:pt idx="504">
                  <c:v>0.27000000000000135</c:v>
                </c:pt>
                <c:pt idx="505">
                  <c:v>0.30000000000000249</c:v>
                </c:pt>
                <c:pt idx="506">
                  <c:v>0.28000000000000114</c:v>
                </c:pt>
                <c:pt idx="507">
                  <c:v>0.44999999999999751</c:v>
                </c:pt>
                <c:pt idx="508">
                  <c:v>0.44000000000000483</c:v>
                </c:pt>
                <c:pt idx="509">
                  <c:v>0.54999999999999893</c:v>
                </c:pt>
                <c:pt idx="510">
                  <c:v>0.5</c:v>
                </c:pt>
                <c:pt idx="511">
                  <c:v>0.57000000000000028</c:v>
                </c:pt>
                <c:pt idx="512">
                  <c:v>0.52999999999999758</c:v>
                </c:pt>
                <c:pt idx="513">
                  <c:v>0.58999999999999986</c:v>
                </c:pt>
                <c:pt idx="514">
                  <c:v>0.47999999999999865</c:v>
                </c:pt>
                <c:pt idx="515">
                  <c:v>0.5199999999999978</c:v>
                </c:pt>
                <c:pt idx="516">
                  <c:v>0.5</c:v>
                </c:pt>
                <c:pt idx="517">
                  <c:v>0.72000000000000242</c:v>
                </c:pt>
                <c:pt idx="518">
                  <c:v>0.54999999999999893</c:v>
                </c:pt>
                <c:pt idx="519">
                  <c:v>0.77000000000000135</c:v>
                </c:pt>
                <c:pt idx="520">
                  <c:v>0.77999999999999758</c:v>
                </c:pt>
                <c:pt idx="521">
                  <c:v>0.88000000000000256</c:v>
                </c:pt>
                <c:pt idx="522">
                  <c:v>0.58000000000000007</c:v>
                </c:pt>
                <c:pt idx="523">
                  <c:v>0.64000000000000234</c:v>
                </c:pt>
                <c:pt idx="524">
                  <c:v>0.52999999999999758</c:v>
                </c:pt>
                <c:pt idx="525">
                  <c:v>0.61000000000000121</c:v>
                </c:pt>
                <c:pt idx="526">
                  <c:v>0.52999999999999758</c:v>
                </c:pt>
                <c:pt idx="527">
                  <c:v>0.64000000000000234</c:v>
                </c:pt>
                <c:pt idx="528">
                  <c:v>0.53999999999999915</c:v>
                </c:pt>
                <c:pt idx="529">
                  <c:v>0.58999999999999986</c:v>
                </c:pt>
                <c:pt idx="530">
                  <c:v>0.44000000000000483</c:v>
                </c:pt>
                <c:pt idx="531">
                  <c:v>0.75</c:v>
                </c:pt>
                <c:pt idx="532">
                  <c:v>0.58000000000000007</c:v>
                </c:pt>
                <c:pt idx="533">
                  <c:v>0.60000000000000142</c:v>
                </c:pt>
                <c:pt idx="534">
                  <c:v>0.54999999999999893</c:v>
                </c:pt>
                <c:pt idx="535">
                  <c:v>0.60000000000000142</c:v>
                </c:pt>
                <c:pt idx="536">
                  <c:v>0.47999999999999865</c:v>
                </c:pt>
                <c:pt idx="537">
                  <c:v>0.58000000000000007</c:v>
                </c:pt>
                <c:pt idx="538">
                  <c:v>0.64000000000000234</c:v>
                </c:pt>
                <c:pt idx="539">
                  <c:v>0.62000000000000099</c:v>
                </c:pt>
                <c:pt idx="540">
                  <c:v>0.72000000000000242</c:v>
                </c:pt>
                <c:pt idx="541">
                  <c:v>0.52999999999999758</c:v>
                </c:pt>
                <c:pt idx="542">
                  <c:v>0.75</c:v>
                </c:pt>
                <c:pt idx="543">
                  <c:v>0.58000000000000007</c:v>
                </c:pt>
                <c:pt idx="544">
                  <c:v>0.72000000000000242</c:v>
                </c:pt>
                <c:pt idx="545">
                  <c:v>0.63000000000000256</c:v>
                </c:pt>
                <c:pt idx="546">
                  <c:v>0.61000000000000121</c:v>
                </c:pt>
                <c:pt idx="547">
                  <c:v>0.36999999999999744</c:v>
                </c:pt>
                <c:pt idx="548">
                  <c:v>0.44000000000000483</c:v>
                </c:pt>
                <c:pt idx="549">
                  <c:v>0.25999999999999979</c:v>
                </c:pt>
                <c:pt idx="550">
                  <c:v>0.44999999999999751</c:v>
                </c:pt>
                <c:pt idx="551">
                  <c:v>0.5</c:v>
                </c:pt>
                <c:pt idx="552">
                  <c:v>0.61000000000000121</c:v>
                </c:pt>
                <c:pt idx="553">
                  <c:v>0.7300000000000022</c:v>
                </c:pt>
                <c:pt idx="554">
                  <c:v>0.50999999999999801</c:v>
                </c:pt>
                <c:pt idx="555">
                  <c:v>0.75</c:v>
                </c:pt>
                <c:pt idx="556">
                  <c:v>0.60000000000000142</c:v>
                </c:pt>
                <c:pt idx="557">
                  <c:v>0.73999999999999666</c:v>
                </c:pt>
                <c:pt idx="558">
                  <c:v>0.66999999999999993</c:v>
                </c:pt>
                <c:pt idx="559">
                  <c:v>0.63000000000000256</c:v>
                </c:pt>
                <c:pt idx="560">
                  <c:v>0.65000000000000213</c:v>
                </c:pt>
                <c:pt idx="561">
                  <c:v>0.61000000000000121</c:v>
                </c:pt>
                <c:pt idx="562">
                  <c:v>0.60000000000000142</c:v>
                </c:pt>
                <c:pt idx="563">
                  <c:v>0.72000000000000242</c:v>
                </c:pt>
                <c:pt idx="564">
                  <c:v>0.75999999999999801</c:v>
                </c:pt>
                <c:pt idx="565">
                  <c:v>0.73999999999999666</c:v>
                </c:pt>
                <c:pt idx="566">
                  <c:v>0.67999999999999972</c:v>
                </c:pt>
                <c:pt idx="567">
                  <c:v>0.55999999999999872</c:v>
                </c:pt>
                <c:pt idx="568">
                  <c:v>0.73999999999999666</c:v>
                </c:pt>
                <c:pt idx="569">
                  <c:v>0.63000000000000256</c:v>
                </c:pt>
                <c:pt idx="570">
                  <c:v>0.47000000000000242</c:v>
                </c:pt>
                <c:pt idx="571">
                  <c:v>0.47999999999999865</c:v>
                </c:pt>
                <c:pt idx="572">
                  <c:v>0.66999999999999993</c:v>
                </c:pt>
                <c:pt idx="573">
                  <c:v>0.53999999999999915</c:v>
                </c:pt>
                <c:pt idx="574">
                  <c:v>0.71000000000000085</c:v>
                </c:pt>
                <c:pt idx="575">
                  <c:v>0.66000000000000369</c:v>
                </c:pt>
                <c:pt idx="576">
                  <c:v>0.71000000000000085</c:v>
                </c:pt>
                <c:pt idx="577">
                  <c:v>0.7300000000000022</c:v>
                </c:pt>
                <c:pt idx="578">
                  <c:v>0.79000000000000092</c:v>
                </c:pt>
                <c:pt idx="579">
                  <c:v>1.0099999999999998</c:v>
                </c:pt>
                <c:pt idx="580">
                  <c:v>0.70000000000000107</c:v>
                </c:pt>
                <c:pt idx="581">
                  <c:v>0.71000000000000085</c:v>
                </c:pt>
                <c:pt idx="582">
                  <c:v>0.77000000000000135</c:v>
                </c:pt>
                <c:pt idx="583">
                  <c:v>0.69000000000000128</c:v>
                </c:pt>
                <c:pt idx="584">
                  <c:v>0.61000000000000121</c:v>
                </c:pt>
                <c:pt idx="585">
                  <c:v>0.60000000000000142</c:v>
                </c:pt>
                <c:pt idx="586">
                  <c:v>0.60000000000000142</c:v>
                </c:pt>
                <c:pt idx="587">
                  <c:v>0.60000000000000142</c:v>
                </c:pt>
                <c:pt idx="588">
                  <c:v>0.58999999999999986</c:v>
                </c:pt>
                <c:pt idx="589">
                  <c:v>0.58999999999999986</c:v>
                </c:pt>
                <c:pt idx="590">
                  <c:v>0.5</c:v>
                </c:pt>
                <c:pt idx="591">
                  <c:v>0.30000000000000249</c:v>
                </c:pt>
                <c:pt idx="592">
                  <c:v>0.38000000000000256</c:v>
                </c:pt>
                <c:pt idx="593">
                  <c:v>0.75</c:v>
                </c:pt>
                <c:pt idx="594">
                  <c:v>0.53999999999999915</c:v>
                </c:pt>
                <c:pt idx="595">
                  <c:v>0.5</c:v>
                </c:pt>
                <c:pt idx="596">
                  <c:v>0.5</c:v>
                </c:pt>
                <c:pt idx="597">
                  <c:v>0.60000000000000142</c:v>
                </c:pt>
                <c:pt idx="598">
                  <c:v>0.44999999999999751</c:v>
                </c:pt>
                <c:pt idx="599">
                  <c:v>0.60000000000000142</c:v>
                </c:pt>
                <c:pt idx="600">
                  <c:v>0.66999999999999993</c:v>
                </c:pt>
                <c:pt idx="601">
                  <c:v>0.69000000000000128</c:v>
                </c:pt>
                <c:pt idx="602">
                  <c:v>0.53999999999999915</c:v>
                </c:pt>
                <c:pt idx="603">
                  <c:v>0.65000000000000213</c:v>
                </c:pt>
                <c:pt idx="604">
                  <c:v>0.52999999999999758</c:v>
                </c:pt>
                <c:pt idx="605">
                  <c:v>0.52999999999999758</c:v>
                </c:pt>
                <c:pt idx="606">
                  <c:v>0.61000000000000121</c:v>
                </c:pt>
                <c:pt idx="607">
                  <c:v>0.65000000000000213</c:v>
                </c:pt>
                <c:pt idx="608">
                  <c:v>0.63000000000000256</c:v>
                </c:pt>
                <c:pt idx="609">
                  <c:v>0.73999999999999666</c:v>
                </c:pt>
                <c:pt idx="610">
                  <c:v>0.69000000000000128</c:v>
                </c:pt>
                <c:pt idx="611">
                  <c:v>0.72000000000000242</c:v>
                </c:pt>
                <c:pt idx="612">
                  <c:v>0.65000000000000213</c:v>
                </c:pt>
                <c:pt idx="613">
                  <c:v>0.79999999999999893</c:v>
                </c:pt>
                <c:pt idx="614">
                  <c:v>0.66999999999999993</c:v>
                </c:pt>
                <c:pt idx="615">
                  <c:v>0.75</c:v>
                </c:pt>
                <c:pt idx="616">
                  <c:v>0.83999999999999986</c:v>
                </c:pt>
                <c:pt idx="617">
                  <c:v>0.91999999999999993</c:v>
                </c:pt>
                <c:pt idx="618">
                  <c:v>0.8500000000000032</c:v>
                </c:pt>
                <c:pt idx="619">
                  <c:v>0.75</c:v>
                </c:pt>
                <c:pt idx="620">
                  <c:v>0.67999999999999972</c:v>
                </c:pt>
                <c:pt idx="621">
                  <c:v>0.63000000000000256</c:v>
                </c:pt>
                <c:pt idx="622">
                  <c:v>0.66999999999999993</c:v>
                </c:pt>
                <c:pt idx="623">
                  <c:v>0.63000000000000256</c:v>
                </c:pt>
                <c:pt idx="624">
                  <c:v>0.71000000000000085</c:v>
                </c:pt>
                <c:pt idx="625">
                  <c:v>0.81000000000000227</c:v>
                </c:pt>
                <c:pt idx="626">
                  <c:v>0.44999999999999751</c:v>
                </c:pt>
                <c:pt idx="627">
                  <c:v>0.5199999999999978</c:v>
                </c:pt>
                <c:pt idx="628">
                  <c:v>0.47000000000000242</c:v>
                </c:pt>
                <c:pt idx="629">
                  <c:v>0.65000000000000213</c:v>
                </c:pt>
                <c:pt idx="630">
                  <c:v>0.64000000000000234</c:v>
                </c:pt>
                <c:pt idx="631">
                  <c:v>0.52999999999999758</c:v>
                </c:pt>
                <c:pt idx="632">
                  <c:v>0.62000000000000099</c:v>
                </c:pt>
                <c:pt idx="633">
                  <c:v>0.71000000000000085</c:v>
                </c:pt>
                <c:pt idx="634">
                  <c:v>0.73999999999999666</c:v>
                </c:pt>
                <c:pt idx="635">
                  <c:v>0.55999999999999872</c:v>
                </c:pt>
                <c:pt idx="636">
                  <c:v>0.65000000000000213</c:v>
                </c:pt>
                <c:pt idx="637">
                  <c:v>0.60000000000000142</c:v>
                </c:pt>
                <c:pt idx="638">
                  <c:v>0.60000000000000142</c:v>
                </c:pt>
                <c:pt idx="639">
                  <c:v>0.47000000000000242</c:v>
                </c:pt>
                <c:pt idx="640">
                  <c:v>0.47999999999999865</c:v>
                </c:pt>
                <c:pt idx="641">
                  <c:v>0.57000000000000028</c:v>
                </c:pt>
                <c:pt idx="642">
                  <c:v>0.7300000000000022</c:v>
                </c:pt>
                <c:pt idx="643">
                  <c:v>0.77999999999999758</c:v>
                </c:pt>
                <c:pt idx="644">
                  <c:v>0.65000000000000213</c:v>
                </c:pt>
                <c:pt idx="645">
                  <c:v>0.58999999999999986</c:v>
                </c:pt>
                <c:pt idx="646">
                  <c:v>0.66000000000000369</c:v>
                </c:pt>
                <c:pt idx="647">
                  <c:v>0.72000000000000242</c:v>
                </c:pt>
                <c:pt idx="648">
                  <c:v>0.79999999999999893</c:v>
                </c:pt>
                <c:pt idx="649">
                  <c:v>0.77999999999999758</c:v>
                </c:pt>
                <c:pt idx="650">
                  <c:v>0.52999999999999758</c:v>
                </c:pt>
                <c:pt idx="651">
                  <c:v>0.71000000000000085</c:v>
                </c:pt>
                <c:pt idx="652">
                  <c:v>0.62000000000000099</c:v>
                </c:pt>
                <c:pt idx="653">
                  <c:v>0.66999999999999993</c:v>
                </c:pt>
                <c:pt idx="654">
                  <c:v>0.52999999999999758</c:v>
                </c:pt>
                <c:pt idx="655">
                  <c:v>0.60000000000000142</c:v>
                </c:pt>
                <c:pt idx="656">
                  <c:v>0.70000000000000107</c:v>
                </c:pt>
                <c:pt idx="657">
                  <c:v>0.60000000000000142</c:v>
                </c:pt>
                <c:pt idx="658">
                  <c:v>0.70000000000000107</c:v>
                </c:pt>
                <c:pt idx="659">
                  <c:v>0.77000000000000135</c:v>
                </c:pt>
                <c:pt idx="660">
                  <c:v>0.69000000000000128</c:v>
                </c:pt>
                <c:pt idx="661">
                  <c:v>0.83000000000000362</c:v>
                </c:pt>
                <c:pt idx="662">
                  <c:v>0.70000000000000107</c:v>
                </c:pt>
                <c:pt idx="663">
                  <c:v>0.75999999999999801</c:v>
                </c:pt>
                <c:pt idx="664">
                  <c:v>0.54999999999999893</c:v>
                </c:pt>
                <c:pt idx="665">
                  <c:v>0.77999999999999758</c:v>
                </c:pt>
                <c:pt idx="666">
                  <c:v>0.81000000000000227</c:v>
                </c:pt>
                <c:pt idx="667">
                  <c:v>0.86999999999999744</c:v>
                </c:pt>
                <c:pt idx="668">
                  <c:v>0.66999999999999993</c:v>
                </c:pt>
                <c:pt idx="669">
                  <c:v>0.58000000000000007</c:v>
                </c:pt>
                <c:pt idx="670">
                  <c:v>0.83000000000000362</c:v>
                </c:pt>
                <c:pt idx="671">
                  <c:v>0.88000000000000256</c:v>
                </c:pt>
                <c:pt idx="672">
                  <c:v>0.79999999999999893</c:v>
                </c:pt>
                <c:pt idx="673">
                  <c:v>0.66999999999999993</c:v>
                </c:pt>
                <c:pt idx="674">
                  <c:v>0.79000000000000092</c:v>
                </c:pt>
                <c:pt idx="675">
                  <c:v>0.86000000000000121</c:v>
                </c:pt>
                <c:pt idx="676">
                  <c:v>0.91000000000000014</c:v>
                </c:pt>
                <c:pt idx="677">
                  <c:v>0.95999999999999908</c:v>
                </c:pt>
                <c:pt idx="678">
                  <c:v>0.75</c:v>
                </c:pt>
                <c:pt idx="679">
                  <c:v>0.79999999999999893</c:v>
                </c:pt>
                <c:pt idx="680">
                  <c:v>0.82000000000000028</c:v>
                </c:pt>
                <c:pt idx="681">
                  <c:v>0.7300000000000022</c:v>
                </c:pt>
                <c:pt idx="682">
                  <c:v>0.79999999999999893</c:v>
                </c:pt>
                <c:pt idx="683">
                  <c:v>0.83999999999999986</c:v>
                </c:pt>
                <c:pt idx="684">
                  <c:v>1.0800000000000036</c:v>
                </c:pt>
                <c:pt idx="685">
                  <c:v>1.0600000000000023</c:v>
                </c:pt>
                <c:pt idx="686">
                  <c:v>1.1699999999999964</c:v>
                </c:pt>
                <c:pt idx="687">
                  <c:v>1.1799999999999997</c:v>
                </c:pt>
                <c:pt idx="688">
                  <c:v>1.370000000000001</c:v>
                </c:pt>
                <c:pt idx="689">
                  <c:v>1.3499999999999979</c:v>
                </c:pt>
                <c:pt idx="690">
                  <c:v>1.0899999999999999</c:v>
                </c:pt>
                <c:pt idx="691">
                  <c:v>0.95999999999999908</c:v>
                </c:pt>
                <c:pt idx="692">
                  <c:v>0.81000000000000227</c:v>
                </c:pt>
                <c:pt idx="693">
                  <c:v>0.83999999999999986</c:v>
                </c:pt>
                <c:pt idx="694">
                  <c:v>1.0099999999999998</c:v>
                </c:pt>
                <c:pt idx="695">
                  <c:v>0.89999999999999858</c:v>
                </c:pt>
                <c:pt idx="696">
                  <c:v>0.86999999999999744</c:v>
                </c:pt>
                <c:pt idx="697">
                  <c:v>0.91000000000000014</c:v>
                </c:pt>
                <c:pt idx="698">
                  <c:v>0.86000000000000121</c:v>
                </c:pt>
                <c:pt idx="699">
                  <c:v>1.0200000000000014</c:v>
                </c:pt>
                <c:pt idx="700">
                  <c:v>1.1299999999999955</c:v>
                </c:pt>
                <c:pt idx="701">
                  <c:v>1.1600000000000001</c:v>
                </c:pt>
                <c:pt idx="702">
                  <c:v>0.93999999999999773</c:v>
                </c:pt>
                <c:pt idx="703">
                  <c:v>0.91000000000000014</c:v>
                </c:pt>
                <c:pt idx="704">
                  <c:v>0.71000000000000085</c:v>
                </c:pt>
                <c:pt idx="705">
                  <c:v>0.82000000000000028</c:v>
                </c:pt>
                <c:pt idx="706">
                  <c:v>0.86999999999999744</c:v>
                </c:pt>
                <c:pt idx="707">
                  <c:v>0.73999999999999666</c:v>
                </c:pt>
                <c:pt idx="708">
                  <c:v>0.88000000000000256</c:v>
                </c:pt>
                <c:pt idx="709">
                  <c:v>0.86999999999999744</c:v>
                </c:pt>
                <c:pt idx="710">
                  <c:v>0.92999999999999794</c:v>
                </c:pt>
                <c:pt idx="711">
                  <c:v>0.82000000000000028</c:v>
                </c:pt>
                <c:pt idx="712">
                  <c:v>0.8500000000000032</c:v>
                </c:pt>
                <c:pt idx="713">
                  <c:v>0.88000000000000256</c:v>
                </c:pt>
                <c:pt idx="714">
                  <c:v>0.88000000000000256</c:v>
                </c:pt>
                <c:pt idx="715">
                  <c:v>0.81000000000000227</c:v>
                </c:pt>
                <c:pt idx="716">
                  <c:v>0.77000000000000135</c:v>
                </c:pt>
                <c:pt idx="717">
                  <c:v>0.83999999999999986</c:v>
                </c:pt>
                <c:pt idx="718">
                  <c:v>0.77999999999999758</c:v>
                </c:pt>
                <c:pt idx="719">
                  <c:v>0.79999999999999893</c:v>
                </c:pt>
                <c:pt idx="720">
                  <c:v>1.0200000000000014</c:v>
                </c:pt>
                <c:pt idx="721">
                  <c:v>0.83000000000000362</c:v>
                </c:pt>
                <c:pt idx="722">
                  <c:v>0.92999999999999794</c:v>
                </c:pt>
                <c:pt idx="723">
                  <c:v>0.92999999999999794</c:v>
                </c:pt>
                <c:pt idx="724">
                  <c:v>0.95999999999999908</c:v>
                </c:pt>
                <c:pt idx="725">
                  <c:v>1.1699999999999964</c:v>
                </c:pt>
                <c:pt idx="726">
                  <c:v>1.0099999999999998</c:v>
                </c:pt>
                <c:pt idx="727">
                  <c:v>0.86000000000000121</c:v>
                </c:pt>
                <c:pt idx="728">
                  <c:v>0.89999999999999858</c:v>
                </c:pt>
                <c:pt idx="729">
                  <c:v>0.93999999999999773</c:v>
                </c:pt>
                <c:pt idx="730">
                  <c:v>0.94999999999999751</c:v>
                </c:pt>
                <c:pt idx="731">
                  <c:v>0.92999999999999794</c:v>
                </c:pt>
                <c:pt idx="732">
                  <c:v>1</c:v>
                </c:pt>
                <c:pt idx="733">
                  <c:v>0.99000000000000021</c:v>
                </c:pt>
                <c:pt idx="734">
                  <c:v>1.120000000000001</c:v>
                </c:pt>
                <c:pt idx="735">
                  <c:v>1.1799999999999997</c:v>
                </c:pt>
                <c:pt idx="736">
                  <c:v>1.240000000000002</c:v>
                </c:pt>
                <c:pt idx="737">
                  <c:v>1.1799999999999997</c:v>
                </c:pt>
                <c:pt idx="738">
                  <c:v>1.120000000000001</c:v>
                </c:pt>
                <c:pt idx="739">
                  <c:v>0.99000000000000021</c:v>
                </c:pt>
                <c:pt idx="740">
                  <c:v>0.91000000000000014</c:v>
                </c:pt>
                <c:pt idx="741">
                  <c:v>0.8900000000000059</c:v>
                </c:pt>
                <c:pt idx="742">
                  <c:v>0.86000000000000121</c:v>
                </c:pt>
                <c:pt idx="743">
                  <c:v>0.95999999999999908</c:v>
                </c:pt>
                <c:pt idx="744">
                  <c:v>0.86999999999999744</c:v>
                </c:pt>
                <c:pt idx="745">
                  <c:v>1.0899999999999999</c:v>
                </c:pt>
                <c:pt idx="746">
                  <c:v>0.79999999999999893</c:v>
                </c:pt>
                <c:pt idx="747">
                  <c:v>0.82000000000000028</c:v>
                </c:pt>
                <c:pt idx="748">
                  <c:v>0.64000000000000234</c:v>
                </c:pt>
                <c:pt idx="749">
                  <c:v>0.8900000000000059</c:v>
                </c:pt>
                <c:pt idx="750">
                  <c:v>0.75999999999999801</c:v>
                </c:pt>
                <c:pt idx="751">
                  <c:v>0.79000000000000092</c:v>
                </c:pt>
                <c:pt idx="752">
                  <c:v>0.8500000000000032</c:v>
                </c:pt>
                <c:pt idx="753">
                  <c:v>0.91999999999999993</c:v>
                </c:pt>
                <c:pt idx="754">
                  <c:v>0.81000000000000227</c:v>
                </c:pt>
                <c:pt idx="755">
                  <c:v>0.91999999999999993</c:v>
                </c:pt>
                <c:pt idx="756">
                  <c:v>0.97999999999999865</c:v>
                </c:pt>
                <c:pt idx="757">
                  <c:v>0.92999999999999794</c:v>
                </c:pt>
                <c:pt idx="758">
                  <c:v>0.88000000000000256</c:v>
                </c:pt>
                <c:pt idx="759">
                  <c:v>0.91000000000000014</c:v>
                </c:pt>
                <c:pt idx="760">
                  <c:v>0.8900000000000059</c:v>
                </c:pt>
                <c:pt idx="761">
                  <c:v>1.0500000000000025</c:v>
                </c:pt>
                <c:pt idx="762">
                  <c:v>0.83000000000000362</c:v>
                </c:pt>
                <c:pt idx="763">
                  <c:v>0.83999999999999986</c:v>
                </c:pt>
                <c:pt idx="764">
                  <c:v>0.92999999999999794</c:v>
                </c:pt>
                <c:pt idx="765">
                  <c:v>0.93999999999999773</c:v>
                </c:pt>
                <c:pt idx="766">
                  <c:v>0.93999999999999773</c:v>
                </c:pt>
                <c:pt idx="767">
                  <c:v>0.88000000000000256</c:v>
                </c:pt>
                <c:pt idx="768">
                  <c:v>0.96999999999999886</c:v>
                </c:pt>
                <c:pt idx="769">
                  <c:v>0.7300000000000022</c:v>
                </c:pt>
                <c:pt idx="770">
                  <c:v>0.79999999999999893</c:v>
                </c:pt>
                <c:pt idx="771">
                  <c:v>0.88000000000000256</c:v>
                </c:pt>
                <c:pt idx="772">
                  <c:v>0.96999999999999886</c:v>
                </c:pt>
                <c:pt idx="773">
                  <c:v>1.2299999999999986</c:v>
                </c:pt>
                <c:pt idx="774">
                  <c:v>0.99000000000000021</c:v>
                </c:pt>
                <c:pt idx="775">
                  <c:v>0.93999999999999773</c:v>
                </c:pt>
                <c:pt idx="776">
                  <c:v>1.0899999999999999</c:v>
                </c:pt>
                <c:pt idx="777">
                  <c:v>1.1899999999999977</c:v>
                </c:pt>
                <c:pt idx="778">
                  <c:v>1.1899999999999977</c:v>
                </c:pt>
                <c:pt idx="779">
                  <c:v>1.4800000000000022</c:v>
                </c:pt>
                <c:pt idx="780">
                  <c:v>1.3499999999999979</c:v>
                </c:pt>
                <c:pt idx="781">
                  <c:v>1.3999999999999986</c:v>
                </c:pt>
                <c:pt idx="782">
                  <c:v>1.3599999999999977</c:v>
                </c:pt>
                <c:pt idx="783">
                  <c:v>1.25</c:v>
                </c:pt>
                <c:pt idx="784">
                  <c:v>1.4400000000000013</c:v>
                </c:pt>
                <c:pt idx="785">
                  <c:v>1.3999999999999986</c:v>
                </c:pt>
                <c:pt idx="786">
                  <c:v>1.3200000000000003</c:v>
                </c:pt>
                <c:pt idx="787">
                  <c:v>1.1600000000000001</c:v>
                </c:pt>
                <c:pt idx="788">
                  <c:v>1.2299999999999986</c:v>
                </c:pt>
                <c:pt idx="789">
                  <c:v>1.2000000000000011</c:v>
                </c:pt>
                <c:pt idx="790">
                  <c:v>1.3000000000000043</c:v>
                </c:pt>
                <c:pt idx="791">
                  <c:v>1.2099999999999991</c:v>
                </c:pt>
                <c:pt idx="792">
                  <c:v>1.3499999999999979</c:v>
                </c:pt>
                <c:pt idx="793">
                  <c:v>1.3000000000000043</c:v>
                </c:pt>
                <c:pt idx="794">
                  <c:v>1.2700000000000014</c:v>
                </c:pt>
                <c:pt idx="795">
                  <c:v>1.379999999999999</c:v>
                </c:pt>
                <c:pt idx="796">
                  <c:v>1.2600000000000033</c:v>
                </c:pt>
                <c:pt idx="797">
                  <c:v>1.370000000000001</c:v>
                </c:pt>
                <c:pt idx="798">
                  <c:v>1.25</c:v>
                </c:pt>
                <c:pt idx="799">
                  <c:v>1.0800000000000036</c:v>
                </c:pt>
                <c:pt idx="800">
                  <c:v>1.0700000000000021</c:v>
                </c:pt>
                <c:pt idx="801">
                  <c:v>1.0200000000000014</c:v>
                </c:pt>
                <c:pt idx="802">
                  <c:v>1.1799999999999997</c:v>
                </c:pt>
                <c:pt idx="803">
                  <c:v>1.25</c:v>
                </c:pt>
                <c:pt idx="804">
                  <c:v>1.1899999999999977</c:v>
                </c:pt>
                <c:pt idx="805">
                  <c:v>1.2099999999999991</c:v>
                </c:pt>
                <c:pt idx="806">
                  <c:v>1.0600000000000023</c:v>
                </c:pt>
                <c:pt idx="807">
                  <c:v>1.0899999999999999</c:v>
                </c:pt>
                <c:pt idx="808">
                  <c:v>1.25</c:v>
                </c:pt>
                <c:pt idx="809">
                  <c:v>1.3200000000000003</c:v>
                </c:pt>
                <c:pt idx="810">
                  <c:v>1.1699999999999964</c:v>
                </c:pt>
                <c:pt idx="811">
                  <c:v>1.1299999999999955</c:v>
                </c:pt>
                <c:pt idx="812">
                  <c:v>1.1799999999999997</c:v>
                </c:pt>
                <c:pt idx="813">
                  <c:v>1.25</c:v>
                </c:pt>
                <c:pt idx="814">
                  <c:v>1.3999999999999986</c:v>
                </c:pt>
              </c:numCache>
            </c:numRef>
          </c:yVal>
          <c:smooth val="1"/>
          <c:extLst>
            <c:ext xmlns:c16="http://schemas.microsoft.com/office/drawing/2014/chart" uri="{C3380CC4-5D6E-409C-BE32-E72D297353CC}">
              <c16:uniqueId val="{00000001-089D-46D1-82F4-2BD6C71C135E}"/>
            </c:ext>
          </c:extLst>
        </c:ser>
        <c:dLbls>
          <c:showLegendKey val="0"/>
          <c:showVal val="0"/>
          <c:showCatName val="0"/>
          <c:showSerName val="0"/>
          <c:showPercent val="0"/>
          <c:showBubbleSize val="0"/>
        </c:dLbls>
        <c:axId val="70829504"/>
        <c:axId val="64011146"/>
      </c:scatterChart>
      <c:valAx>
        <c:axId val="70829504"/>
        <c:scaling>
          <c:orientation val="minMax"/>
          <c:max val="1.6"/>
          <c:min val="-0.4"/>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Fitted, a + b·log2(CO2) + c·ONI (°C)</a:t>
                </a:r>
              </a:p>
            </c:rich>
          </c:tx>
          <c:overlay val="0"/>
          <c:spPr>
            <a:noFill/>
            <a:ln w="0">
              <a:noFill/>
            </a:ln>
          </c:spPr>
        </c:title>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64011146"/>
        <c:crosses val="min"/>
        <c:crossBetween val="midCat"/>
      </c:valAx>
      <c:valAx>
        <c:axId val="64011146"/>
        <c:scaling>
          <c:orientation val="minMax"/>
          <c:max val="1.6"/>
          <c:min val="-0.4"/>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Observed anomaly (°C)</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70829504"/>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sz="1300" b="1" strike="noStrike" spc="-1">
                <a:solidFill>
                  <a:srgbClr val="000000"/>
                </a:solidFill>
                <a:latin typeface="Calibri"/>
                <a:ea typeface="Calibri"/>
              </a:rPr>
              <a:t>Lag test
Correlation peaks at a 3-month lag</a:t>
            </a:r>
          </a:p>
        </c:rich>
      </c:tx>
      <c:overlay val="0"/>
      <c:spPr>
        <a:noFill/>
        <a:ln w="0">
          <a:noFill/>
        </a:ln>
      </c:spPr>
    </c:title>
    <c:autoTitleDeleted val="0"/>
    <c:plotArea>
      <c:layout/>
      <c:barChart>
        <c:barDir val="col"/>
        <c:grouping val="clustered"/>
        <c:varyColors val="0"/>
        <c:ser>
          <c:idx val="0"/>
          <c:order val="0"/>
          <c:spPr>
            <a:solidFill>
              <a:srgbClr val="2A78D6"/>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ENSO!$P$10:$P$16</c:f>
              <c:numCache>
                <c:formatCode>General</c:formatCode>
                <c:ptCount val="7"/>
                <c:pt idx="0">
                  <c:v>0</c:v>
                </c:pt>
                <c:pt idx="1">
                  <c:v>1</c:v>
                </c:pt>
                <c:pt idx="2">
                  <c:v>2</c:v>
                </c:pt>
                <c:pt idx="3">
                  <c:v>3</c:v>
                </c:pt>
                <c:pt idx="4">
                  <c:v>4</c:v>
                </c:pt>
                <c:pt idx="5">
                  <c:v>5</c:v>
                </c:pt>
                <c:pt idx="6">
                  <c:v>6</c:v>
                </c:pt>
              </c:numCache>
            </c:numRef>
          </c:cat>
          <c:val>
            <c:numRef>
              <c:f>ENSO!$Q$10:$Q$16</c:f>
              <c:numCache>
                <c:formatCode>0.000</c:formatCode>
                <c:ptCount val="7"/>
                <c:pt idx="0">
                  <c:v>0.4021937920234806</c:v>
                </c:pt>
                <c:pt idx="1">
                  <c:v>0.44939671496573791</c:v>
                </c:pt>
                <c:pt idx="2">
                  <c:v>0.46973520194899726</c:v>
                </c:pt>
                <c:pt idx="3">
                  <c:v>0.47136425144234512</c:v>
                </c:pt>
                <c:pt idx="4">
                  <c:v>0.45237678681267773</c:v>
                </c:pt>
                <c:pt idx="5">
                  <c:v>0.42140559706276964</c:v>
                </c:pt>
                <c:pt idx="6">
                  <c:v>0.38564352656744189</c:v>
                </c:pt>
              </c:numCache>
            </c:numRef>
          </c:val>
          <c:extLst>
            <c:ext xmlns:c16="http://schemas.microsoft.com/office/drawing/2014/chart" uri="{C3380CC4-5D6E-409C-BE32-E72D297353CC}">
              <c16:uniqueId val="{00000000-A39D-4999-9ADF-D9B3A4D7853C}"/>
            </c:ext>
          </c:extLst>
        </c:ser>
        <c:dLbls>
          <c:showLegendKey val="0"/>
          <c:showVal val="0"/>
          <c:showCatName val="0"/>
          <c:showSerName val="0"/>
          <c:showPercent val="0"/>
          <c:showBubbleSize val="0"/>
        </c:dLbls>
        <c:gapWidth val="150"/>
        <c:axId val="48765431"/>
        <c:axId val="59407347"/>
      </c:barChart>
      <c:catAx>
        <c:axId val="48765431"/>
        <c:scaling>
          <c:orientation val="minMax"/>
        </c:scaling>
        <c:delete val="0"/>
        <c:axPos val="b"/>
        <c:title>
          <c:tx>
            <c:rich>
              <a:bodyPr rot="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ONI lag (months)</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59407347"/>
        <c:crosses val="autoZero"/>
        <c:auto val="1"/>
        <c:lblAlgn val="ctr"/>
        <c:lblOffset val="100"/>
        <c:noMultiLvlLbl val="0"/>
      </c:catAx>
      <c:valAx>
        <c:axId val="59407347"/>
        <c:scaling>
          <c:orientation val="minMax"/>
          <c:max val="0.5"/>
          <c:min val="0.3"/>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r with CO2-only residual</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4876543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Stratospheric aerosol optical depth, 1958-2025
Agung 1963, El Chichón 1982, Pinatubo 1991; near-zero background since 1995</a:t>
            </a:r>
          </a:p>
        </c:rich>
      </c:tx>
      <c:overlay val="0"/>
      <c:spPr>
        <a:noFill/>
        <a:ln w="0">
          <a:noFill/>
        </a:ln>
      </c:spPr>
    </c:title>
    <c:autoTitleDeleted val="0"/>
    <c:plotArea>
      <c:layout/>
      <c:scatterChart>
        <c:scatterStyle val="lineMarker"/>
        <c:varyColors val="0"/>
        <c:ser>
          <c:idx val="0"/>
          <c:order val="0"/>
          <c:spPr>
            <a:ln w="19080">
              <a:solidFill>
                <a:srgbClr val="EB6834"/>
              </a:solidFill>
              <a:round/>
            </a:ln>
          </c:spPr>
          <c:marker>
            <c:symbol val="none"/>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Volcanic!$L$2:$L$823</c:f>
              <c:numCache>
                <c:formatCode>0.00</c:formatCode>
                <c:ptCount val="822"/>
                <c:pt idx="0">
                  <c:v>1958.2083333333333</c:v>
                </c:pt>
                <c:pt idx="1">
                  <c:v>1958.2916666666667</c:v>
                </c:pt>
                <c:pt idx="2">
                  <c:v>1958.375</c:v>
                </c:pt>
                <c:pt idx="3">
                  <c:v>1958.4583333333333</c:v>
                </c:pt>
                <c:pt idx="4">
                  <c:v>1958.5416666666667</c:v>
                </c:pt>
                <c:pt idx="5">
                  <c:v>1958.625</c:v>
                </c:pt>
                <c:pt idx="6">
                  <c:v>1958.7083333333333</c:v>
                </c:pt>
                <c:pt idx="7">
                  <c:v>1958.7916666666667</c:v>
                </c:pt>
                <c:pt idx="8">
                  <c:v>1958.875</c:v>
                </c:pt>
                <c:pt idx="9">
                  <c:v>1958.9583333333333</c:v>
                </c:pt>
                <c:pt idx="10">
                  <c:v>1959.0416666666667</c:v>
                </c:pt>
                <c:pt idx="11">
                  <c:v>1959.125</c:v>
                </c:pt>
                <c:pt idx="12">
                  <c:v>1959.2083333333333</c:v>
                </c:pt>
                <c:pt idx="13">
                  <c:v>1959.2916666666667</c:v>
                </c:pt>
                <c:pt idx="14">
                  <c:v>1959.375</c:v>
                </c:pt>
                <c:pt idx="15">
                  <c:v>1959.4583333333333</c:v>
                </c:pt>
                <c:pt idx="16">
                  <c:v>1959.5416666666667</c:v>
                </c:pt>
                <c:pt idx="17">
                  <c:v>1959.625</c:v>
                </c:pt>
                <c:pt idx="18">
                  <c:v>1959.7083333333333</c:v>
                </c:pt>
                <c:pt idx="19">
                  <c:v>1959.7916666666667</c:v>
                </c:pt>
                <c:pt idx="20">
                  <c:v>1959.875</c:v>
                </c:pt>
                <c:pt idx="21">
                  <c:v>1959.9583333333333</c:v>
                </c:pt>
                <c:pt idx="22">
                  <c:v>1960.0416666666667</c:v>
                </c:pt>
                <c:pt idx="23">
                  <c:v>1960.125</c:v>
                </c:pt>
                <c:pt idx="24">
                  <c:v>1960.2083333333333</c:v>
                </c:pt>
                <c:pt idx="25">
                  <c:v>1960.2916666666667</c:v>
                </c:pt>
                <c:pt idx="26">
                  <c:v>1960.375</c:v>
                </c:pt>
                <c:pt idx="27">
                  <c:v>1960.4583333333333</c:v>
                </c:pt>
                <c:pt idx="28">
                  <c:v>1960.5416666666667</c:v>
                </c:pt>
                <c:pt idx="29">
                  <c:v>1960.625</c:v>
                </c:pt>
                <c:pt idx="30">
                  <c:v>1960.7083333333333</c:v>
                </c:pt>
                <c:pt idx="31">
                  <c:v>1960.7916666666667</c:v>
                </c:pt>
                <c:pt idx="32">
                  <c:v>1960.875</c:v>
                </c:pt>
                <c:pt idx="33">
                  <c:v>1960.9583333333333</c:v>
                </c:pt>
                <c:pt idx="34">
                  <c:v>1961.0416666666667</c:v>
                </c:pt>
                <c:pt idx="35">
                  <c:v>1961.125</c:v>
                </c:pt>
                <c:pt idx="36">
                  <c:v>1961.2083333333333</c:v>
                </c:pt>
                <c:pt idx="37">
                  <c:v>1961.2916666666667</c:v>
                </c:pt>
                <c:pt idx="38">
                  <c:v>1961.375</c:v>
                </c:pt>
                <c:pt idx="39">
                  <c:v>1961.4583333333333</c:v>
                </c:pt>
                <c:pt idx="40">
                  <c:v>1961.5416666666667</c:v>
                </c:pt>
                <c:pt idx="41">
                  <c:v>1961.625</c:v>
                </c:pt>
                <c:pt idx="42">
                  <c:v>1961.7083333333333</c:v>
                </c:pt>
                <c:pt idx="43">
                  <c:v>1961.7916666666667</c:v>
                </c:pt>
                <c:pt idx="44">
                  <c:v>1961.875</c:v>
                </c:pt>
                <c:pt idx="45">
                  <c:v>1961.9583333333333</c:v>
                </c:pt>
                <c:pt idx="46">
                  <c:v>1962.0416666666667</c:v>
                </c:pt>
                <c:pt idx="47">
                  <c:v>1962.125</c:v>
                </c:pt>
                <c:pt idx="48">
                  <c:v>1962.2083333333333</c:v>
                </c:pt>
                <c:pt idx="49">
                  <c:v>1962.2916666666667</c:v>
                </c:pt>
                <c:pt idx="50">
                  <c:v>1962.375</c:v>
                </c:pt>
                <c:pt idx="51">
                  <c:v>1962.4583333333333</c:v>
                </c:pt>
                <c:pt idx="52">
                  <c:v>1962.5416666666667</c:v>
                </c:pt>
                <c:pt idx="53">
                  <c:v>1962.625</c:v>
                </c:pt>
                <c:pt idx="54">
                  <c:v>1962.7083333333333</c:v>
                </c:pt>
                <c:pt idx="55">
                  <c:v>1962.7916666666667</c:v>
                </c:pt>
                <c:pt idx="56">
                  <c:v>1962.875</c:v>
                </c:pt>
                <c:pt idx="57">
                  <c:v>1962.9583333333333</c:v>
                </c:pt>
                <c:pt idx="58">
                  <c:v>1963.0416666666667</c:v>
                </c:pt>
                <c:pt idx="59">
                  <c:v>1963.125</c:v>
                </c:pt>
                <c:pt idx="60">
                  <c:v>1963.2083333333333</c:v>
                </c:pt>
                <c:pt idx="61">
                  <c:v>1963.2916666666667</c:v>
                </c:pt>
                <c:pt idx="62">
                  <c:v>1963.375</c:v>
                </c:pt>
                <c:pt idx="63">
                  <c:v>1963.4583333333333</c:v>
                </c:pt>
                <c:pt idx="64">
                  <c:v>1963.5416666666667</c:v>
                </c:pt>
                <c:pt idx="65">
                  <c:v>1963.625</c:v>
                </c:pt>
                <c:pt idx="66">
                  <c:v>1963.7083333333333</c:v>
                </c:pt>
                <c:pt idx="67">
                  <c:v>1963.7916666666667</c:v>
                </c:pt>
                <c:pt idx="68">
                  <c:v>1963.875</c:v>
                </c:pt>
                <c:pt idx="69">
                  <c:v>1963.9583333333333</c:v>
                </c:pt>
                <c:pt idx="70">
                  <c:v>1964.0416666666667</c:v>
                </c:pt>
                <c:pt idx="71">
                  <c:v>1964.125</c:v>
                </c:pt>
                <c:pt idx="72">
                  <c:v>1964.2083333333333</c:v>
                </c:pt>
                <c:pt idx="73">
                  <c:v>1964.2916666666667</c:v>
                </c:pt>
                <c:pt idx="74">
                  <c:v>1964.375</c:v>
                </c:pt>
                <c:pt idx="75">
                  <c:v>1964.4583333333333</c:v>
                </c:pt>
                <c:pt idx="76">
                  <c:v>1964.5416666666667</c:v>
                </c:pt>
                <c:pt idx="77">
                  <c:v>1964.625</c:v>
                </c:pt>
                <c:pt idx="78">
                  <c:v>1964.7083333333333</c:v>
                </c:pt>
                <c:pt idx="79">
                  <c:v>1964.7916666666667</c:v>
                </c:pt>
                <c:pt idx="80">
                  <c:v>1964.875</c:v>
                </c:pt>
                <c:pt idx="81">
                  <c:v>1964.9583333333333</c:v>
                </c:pt>
                <c:pt idx="82">
                  <c:v>1965.0416666666667</c:v>
                </c:pt>
                <c:pt idx="83">
                  <c:v>1965.125</c:v>
                </c:pt>
                <c:pt idx="84">
                  <c:v>1965.2083333333333</c:v>
                </c:pt>
                <c:pt idx="85">
                  <c:v>1965.2916666666667</c:v>
                </c:pt>
                <c:pt idx="86">
                  <c:v>1965.375</c:v>
                </c:pt>
                <c:pt idx="87">
                  <c:v>1965.4583333333333</c:v>
                </c:pt>
                <c:pt idx="88">
                  <c:v>1965.5416666666667</c:v>
                </c:pt>
                <c:pt idx="89">
                  <c:v>1965.625</c:v>
                </c:pt>
                <c:pt idx="90">
                  <c:v>1965.7083333333333</c:v>
                </c:pt>
                <c:pt idx="91">
                  <c:v>1965.7916666666667</c:v>
                </c:pt>
                <c:pt idx="92">
                  <c:v>1965.875</c:v>
                </c:pt>
                <c:pt idx="93">
                  <c:v>1965.9583333333333</c:v>
                </c:pt>
                <c:pt idx="94">
                  <c:v>1966.0416666666667</c:v>
                </c:pt>
                <c:pt idx="95">
                  <c:v>1966.125</c:v>
                </c:pt>
                <c:pt idx="96">
                  <c:v>1966.2083333333333</c:v>
                </c:pt>
                <c:pt idx="97">
                  <c:v>1966.2916666666667</c:v>
                </c:pt>
                <c:pt idx="98">
                  <c:v>1966.375</c:v>
                </c:pt>
                <c:pt idx="99">
                  <c:v>1966.4583333333333</c:v>
                </c:pt>
                <c:pt idx="100">
                  <c:v>1966.5416666666667</c:v>
                </c:pt>
                <c:pt idx="101">
                  <c:v>1966.625</c:v>
                </c:pt>
                <c:pt idx="102">
                  <c:v>1966.7083333333333</c:v>
                </c:pt>
                <c:pt idx="103">
                  <c:v>1966.7916666666667</c:v>
                </c:pt>
                <c:pt idx="104">
                  <c:v>1966.875</c:v>
                </c:pt>
                <c:pt idx="105">
                  <c:v>1966.9583333333333</c:v>
                </c:pt>
                <c:pt idx="106">
                  <c:v>1967.0416666666667</c:v>
                </c:pt>
                <c:pt idx="107">
                  <c:v>1967.125</c:v>
                </c:pt>
                <c:pt idx="108">
                  <c:v>1967.2083333333333</c:v>
                </c:pt>
                <c:pt idx="109">
                  <c:v>1967.2916666666667</c:v>
                </c:pt>
                <c:pt idx="110">
                  <c:v>1967.375</c:v>
                </c:pt>
                <c:pt idx="111">
                  <c:v>1967.4583333333333</c:v>
                </c:pt>
                <c:pt idx="112">
                  <c:v>1967.5416666666667</c:v>
                </c:pt>
                <c:pt idx="113">
                  <c:v>1967.625</c:v>
                </c:pt>
                <c:pt idx="114">
                  <c:v>1967.7083333333333</c:v>
                </c:pt>
                <c:pt idx="115">
                  <c:v>1967.7916666666667</c:v>
                </c:pt>
                <c:pt idx="116">
                  <c:v>1967.875</c:v>
                </c:pt>
                <c:pt idx="117">
                  <c:v>1967.9583333333333</c:v>
                </c:pt>
                <c:pt idx="118">
                  <c:v>1968.0416666666667</c:v>
                </c:pt>
                <c:pt idx="119">
                  <c:v>1968.125</c:v>
                </c:pt>
                <c:pt idx="120">
                  <c:v>1968.2083333333333</c:v>
                </c:pt>
                <c:pt idx="121">
                  <c:v>1968.2916666666667</c:v>
                </c:pt>
                <c:pt idx="122">
                  <c:v>1968.375</c:v>
                </c:pt>
                <c:pt idx="123">
                  <c:v>1968.4583333333333</c:v>
                </c:pt>
                <c:pt idx="124">
                  <c:v>1968.5416666666667</c:v>
                </c:pt>
                <c:pt idx="125">
                  <c:v>1968.625</c:v>
                </c:pt>
                <c:pt idx="126">
                  <c:v>1968.7083333333333</c:v>
                </c:pt>
                <c:pt idx="127">
                  <c:v>1968.7916666666667</c:v>
                </c:pt>
                <c:pt idx="128">
                  <c:v>1968.875</c:v>
                </c:pt>
                <c:pt idx="129">
                  <c:v>1968.9583333333333</c:v>
                </c:pt>
                <c:pt idx="130">
                  <c:v>1969.0416666666667</c:v>
                </c:pt>
                <c:pt idx="131">
                  <c:v>1969.125</c:v>
                </c:pt>
                <c:pt idx="132">
                  <c:v>1969.2083333333333</c:v>
                </c:pt>
                <c:pt idx="133">
                  <c:v>1969.2916666666667</c:v>
                </c:pt>
                <c:pt idx="134">
                  <c:v>1969.375</c:v>
                </c:pt>
                <c:pt idx="135">
                  <c:v>1969.4583333333333</c:v>
                </c:pt>
                <c:pt idx="136">
                  <c:v>1969.5416666666667</c:v>
                </c:pt>
                <c:pt idx="137">
                  <c:v>1969.625</c:v>
                </c:pt>
                <c:pt idx="138">
                  <c:v>1969.7083333333333</c:v>
                </c:pt>
                <c:pt idx="139">
                  <c:v>1969.7916666666667</c:v>
                </c:pt>
                <c:pt idx="140">
                  <c:v>1969.875</c:v>
                </c:pt>
                <c:pt idx="141">
                  <c:v>1969.9583333333333</c:v>
                </c:pt>
                <c:pt idx="142">
                  <c:v>1970.0416666666667</c:v>
                </c:pt>
                <c:pt idx="143">
                  <c:v>1970.125</c:v>
                </c:pt>
                <c:pt idx="144">
                  <c:v>1970.2083333333333</c:v>
                </c:pt>
                <c:pt idx="145">
                  <c:v>1970.2916666666667</c:v>
                </c:pt>
                <c:pt idx="146">
                  <c:v>1970.375</c:v>
                </c:pt>
                <c:pt idx="147">
                  <c:v>1970.4583333333333</c:v>
                </c:pt>
                <c:pt idx="148">
                  <c:v>1970.5416666666667</c:v>
                </c:pt>
                <c:pt idx="149">
                  <c:v>1970.625</c:v>
                </c:pt>
                <c:pt idx="150">
                  <c:v>1970.7083333333333</c:v>
                </c:pt>
                <c:pt idx="151">
                  <c:v>1970.7916666666667</c:v>
                </c:pt>
                <c:pt idx="152">
                  <c:v>1970.875</c:v>
                </c:pt>
                <c:pt idx="153">
                  <c:v>1970.9583333333333</c:v>
                </c:pt>
                <c:pt idx="154">
                  <c:v>1971.0416666666667</c:v>
                </c:pt>
                <c:pt idx="155">
                  <c:v>1971.125</c:v>
                </c:pt>
                <c:pt idx="156">
                  <c:v>1971.2083333333333</c:v>
                </c:pt>
                <c:pt idx="157">
                  <c:v>1971.2916666666667</c:v>
                </c:pt>
                <c:pt idx="158">
                  <c:v>1971.375</c:v>
                </c:pt>
                <c:pt idx="159">
                  <c:v>1971.4583333333333</c:v>
                </c:pt>
                <c:pt idx="160">
                  <c:v>1971.5416666666667</c:v>
                </c:pt>
                <c:pt idx="161">
                  <c:v>1971.625</c:v>
                </c:pt>
                <c:pt idx="162">
                  <c:v>1971.7083333333333</c:v>
                </c:pt>
                <c:pt idx="163">
                  <c:v>1971.7916666666667</c:v>
                </c:pt>
                <c:pt idx="164">
                  <c:v>1971.875</c:v>
                </c:pt>
                <c:pt idx="165">
                  <c:v>1971.9583333333333</c:v>
                </c:pt>
                <c:pt idx="166">
                  <c:v>1972.0416666666667</c:v>
                </c:pt>
                <c:pt idx="167">
                  <c:v>1972.125</c:v>
                </c:pt>
                <c:pt idx="168">
                  <c:v>1972.2083333333333</c:v>
                </c:pt>
                <c:pt idx="169">
                  <c:v>1972.2916666666667</c:v>
                </c:pt>
                <c:pt idx="170">
                  <c:v>1972.375</c:v>
                </c:pt>
                <c:pt idx="171">
                  <c:v>1972.4583333333333</c:v>
                </c:pt>
                <c:pt idx="172">
                  <c:v>1972.5416666666667</c:v>
                </c:pt>
                <c:pt idx="173">
                  <c:v>1972.625</c:v>
                </c:pt>
                <c:pt idx="174">
                  <c:v>1972.7083333333333</c:v>
                </c:pt>
                <c:pt idx="175">
                  <c:v>1972.7916666666667</c:v>
                </c:pt>
                <c:pt idx="176">
                  <c:v>1972.875</c:v>
                </c:pt>
                <c:pt idx="177">
                  <c:v>1972.9583333333333</c:v>
                </c:pt>
                <c:pt idx="178">
                  <c:v>1973.0416666666667</c:v>
                </c:pt>
                <c:pt idx="179">
                  <c:v>1973.125</c:v>
                </c:pt>
                <c:pt idx="180">
                  <c:v>1973.2083333333333</c:v>
                </c:pt>
                <c:pt idx="181">
                  <c:v>1973.2916666666667</c:v>
                </c:pt>
                <c:pt idx="182">
                  <c:v>1973.375</c:v>
                </c:pt>
                <c:pt idx="183">
                  <c:v>1973.4583333333333</c:v>
                </c:pt>
                <c:pt idx="184">
                  <c:v>1973.5416666666667</c:v>
                </c:pt>
                <c:pt idx="185">
                  <c:v>1973.625</c:v>
                </c:pt>
                <c:pt idx="186">
                  <c:v>1973.7083333333333</c:v>
                </c:pt>
                <c:pt idx="187">
                  <c:v>1973.7916666666667</c:v>
                </c:pt>
                <c:pt idx="188">
                  <c:v>1973.875</c:v>
                </c:pt>
                <c:pt idx="189">
                  <c:v>1973.9583333333333</c:v>
                </c:pt>
                <c:pt idx="190">
                  <c:v>1974.0416666666667</c:v>
                </c:pt>
                <c:pt idx="191">
                  <c:v>1974.125</c:v>
                </c:pt>
                <c:pt idx="192">
                  <c:v>1974.2083333333333</c:v>
                </c:pt>
                <c:pt idx="193">
                  <c:v>1974.2916666666667</c:v>
                </c:pt>
                <c:pt idx="194">
                  <c:v>1974.375</c:v>
                </c:pt>
                <c:pt idx="195">
                  <c:v>1974.4583333333333</c:v>
                </c:pt>
                <c:pt idx="196">
                  <c:v>1974.5416666666667</c:v>
                </c:pt>
                <c:pt idx="197">
                  <c:v>1974.625</c:v>
                </c:pt>
                <c:pt idx="198">
                  <c:v>1974.7083333333333</c:v>
                </c:pt>
                <c:pt idx="199">
                  <c:v>1974.7916666666667</c:v>
                </c:pt>
                <c:pt idx="200">
                  <c:v>1974.875</c:v>
                </c:pt>
                <c:pt idx="201">
                  <c:v>1974.9583333333333</c:v>
                </c:pt>
                <c:pt idx="202">
                  <c:v>1975.0416666666667</c:v>
                </c:pt>
                <c:pt idx="203">
                  <c:v>1975.125</c:v>
                </c:pt>
                <c:pt idx="204">
                  <c:v>1975.2083333333333</c:v>
                </c:pt>
                <c:pt idx="205">
                  <c:v>1975.2916666666667</c:v>
                </c:pt>
                <c:pt idx="206">
                  <c:v>1975.375</c:v>
                </c:pt>
                <c:pt idx="207">
                  <c:v>1975.4583333333333</c:v>
                </c:pt>
                <c:pt idx="208">
                  <c:v>1975.5416666666667</c:v>
                </c:pt>
                <c:pt idx="209">
                  <c:v>1975.625</c:v>
                </c:pt>
                <c:pt idx="210">
                  <c:v>1975.7083333333333</c:v>
                </c:pt>
                <c:pt idx="211">
                  <c:v>1975.7916666666667</c:v>
                </c:pt>
                <c:pt idx="212">
                  <c:v>1975.875</c:v>
                </c:pt>
                <c:pt idx="213">
                  <c:v>1975.9583333333333</c:v>
                </c:pt>
                <c:pt idx="214">
                  <c:v>1976.0416666666667</c:v>
                </c:pt>
                <c:pt idx="215">
                  <c:v>1976.125</c:v>
                </c:pt>
                <c:pt idx="216">
                  <c:v>1976.2083333333333</c:v>
                </c:pt>
                <c:pt idx="217">
                  <c:v>1976.2916666666667</c:v>
                </c:pt>
                <c:pt idx="218">
                  <c:v>1976.375</c:v>
                </c:pt>
                <c:pt idx="219">
                  <c:v>1976.4583333333333</c:v>
                </c:pt>
                <c:pt idx="220">
                  <c:v>1976.5416666666667</c:v>
                </c:pt>
                <c:pt idx="221">
                  <c:v>1976.625</c:v>
                </c:pt>
                <c:pt idx="222">
                  <c:v>1976.7083333333333</c:v>
                </c:pt>
                <c:pt idx="223">
                  <c:v>1976.7916666666667</c:v>
                </c:pt>
                <c:pt idx="224">
                  <c:v>1976.875</c:v>
                </c:pt>
                <c:pt idx="225">
                  <c:v>1976.9583333333333</c:v>
                </c:pt>
                <c:pt idx="226">
                  <c:v>1977.0416666666667</c:v>
                </c:pt>
                <c:pt idx="227">
                  <c:v>1977.125</c:v>
                </c:pt>
                <c:pt idx="228">
                  <c:v>1977.2083333333333</c:v>
                </c:pt>
                <c:pt idx="229">
                  <c:v>1977.2916666666667</c:v>
                </c:pt>
                <c:pt idx="230">
                  <c:v>1977.375</c:v>
                </c:pt>
                <c:pt idx="231">
                  <c:v>1977.4583333333333</c:v>
                </c:pt>
                <c:pt idx="232">
                  <c:v>1977.5416666666667</c:v>
                </c:pt>
                <c:pt idx="233">
                  <c:v>1977.625</c:v>
                </c:pt>
                <c:pt idx="234">
                  <c:v>1977.7083333333333</c:v>
                </c:pt>
                <c:pt idx="235">
                  <c:v>1977.7916666666667</c:v>
                </c:pt>
                <c:pt idx="236">
                  <c:v>1977.875</c:v>
                </c:pt>
                <c:pt idx="237">
                  <c:v>1977.9583333333333</c:v>
                </c:pt>
                <c:pt idx="238">
                  <c:v>1978.0416666666667</c:v>
                </c:pt>
                <c:pt idx="239">
                  <c:v>1978.125</c:v>
                </c:pt>
                <c:pt idx="240">
                  <c:v>1978.2083333333333</c:v>
                </c:pt>
                <c:pt idx="241">
                  <c:v>1978.2916666666667</c:v>
                </c:pt>
                <c:pt idx="242">
                  <c:v>1978.375</c:v>
                </c:pt>
                <c:pt idx="243">
                  <c:v>1978.4583333333333</c:v>
                </c:pt>
                <c:pt idx="244">
                  <c:v>1978.5416666666667</c:v>
                </c:pt>
                <c:pt idx="245">
                  <c:v>1978.625</c:v>
                </c:pt>
                <c:pt idx="246">
                  <c:v>1978.7083333333333</c:v>
                </c:pt>
                <c:pt idx="247">
                  <c:v>1978.7916666666667</c:v>
                </c:pt>
                <c:pt idx="248">
                  <c:v>1978.875</c:v>
                </c:pt>
                <c:pt idx="249">
                  <c:v>1978.9583333333333</c:v>
                </c:pt>
                <c:pt idx="250">
                  <c:v>1979.0416666666667</c:v>
                </c:pt>
                <c:pt idx="251">
                  <c:v>1979.125</c:v>
                </c:pt>
                <c:pt idx="252">
                  <c:v>1979.2083333333333</c:v>
                </c:pt>
                <c:pt idx="253">
                  <c:v>1979.2916666666667</c:v>
                </c:pt>
                <c:pt idx="254">
                  <c:v>1979.375</c:v>
                </c:pt>
                <c:pt idx="255">
                  <c:v>1979.4583333333333</c:v>
                </c:pt>
                <c:pt idx="256">
                  <c:v>1979.5416666666667</c:v>
                </c:pt>
                <c:pt idx="257">
                  <c:v>1979.625</c:v>
                </c:pt>
                <c:pt idx="258">
                  <c:v>1979.7083333333333</c:v>
                </c:pt>
                <c:pt idx="259">
                  <c:v>1979.7916666666667</c:v>
                </c:pt>
                <c:pt idx="260">
                  <c:v>1979.875</c:v>
                </c:pt>
                <c:pt idx="261">
                  <c:v>1979.9583333333333</c:v>
                </c:pt>
                <c:pt idx="262">
                  <c:v>1980.0416666666667</c:v>
                </c:pt>
                <c:pt idx="263">
                  <c:v>1980.125</c:v>
                </c:pt>
                <c:pt idx="264">
                  <c:v>1980.2083333333333</c:v>
                </c:pt>
                <c:pt idx="265">
                  <c:v>1980.2916666666667</c:v>
                </c:pt>
                <c:pt idx="266">
                  <c:v>1980.375</c:v>
                </c:pt>
                <c:pt idx="267">
                  <c:v>1980.4583333333333</c:v>
                </c:pt>
                <c:pt idx="268">
                  <c:v>1980.5416666666667</c:v>
                </c:pt>
                <c:pt idx="269">
                  <c:v>1980.625</c:v>
                </c:pt>
                <c:pt idx="270">
                  <c:v>1980.7083333333333</c:v>
                </c:pt>
                <c:pt idx="271">
                  <c:v>1980.7916666666667</c:v>
                </c:pt>
                <c:pt idx="272">
                  <c:v>1980.875</c:v>
                </c:pt>
                <c:pt idx="273">
                  <c:v>1980.9583333333333</c:v>
                </c:pt>
                <c:pt idx="274">
                  <c:v>1981.0416666666667</c:v>
                </c:pt>
                <c:pt idx="275">
                  <c:v>1981.125</c:v>
                </c:pt>
                <c:pt idx="276">
                  <c:v>1981.2083333333333</c:v>
                </c:pt>
                <c:pt idx="277">
                  <c:v>1981.2916666666667</c:v>
                </c:pt>
                <c:pt idx="278">
                  <c:v>1981.375</c:v>
                </c:pt>
                <c:pt idx="279">
                  <c:v>1981.4583333333333</c:v>
                </c:pt>
                <c:pt idx="280">
                  <c:v>1981.5416666666667</c:v>
                </c:pt>
                <c:pt idx="281">
                  <c:v>1981.625</c:v>
                </c:pt>
                <c:pt idx="282">
                  <c:v>1981.7083333333333</c:v>
                </c:pt>
                <c:pt idx="283">
                  <c:v>1981.7916666666667</c:v>
                </c:pt>
                <c:pt idx="284">
                  <c:v>1981.875</c:v>
                </c:pt>
                <c:pt idx="285">
                  <c:v>1981.9583333333333</c:v>
                </c:pt>
                <c:pt idx="286">
                  <c:v>1982.0416666666667</c:v>
                </c:pt>
                <c:pt idx="287">
                  <c:v>1982.125</c:v>
                </c:pt>
                <c:pt idx="288">
                  <c:v>1982.2083333333333</c:v>
                </c:pt>
                <c:pt idx="289">
                  <c:v>1982.2916666666667</c:v>
                </c:pt>
                <c:pt idx="290">
                  <c:v>1982.375</c:v>
                </c:pt>
                <c:pt idx="291">
                  <c:v>1982.4583333333333</c:v>
                </c:pt>
                <c:pt idx="292">
                  <c:v>1982.5416666666667</c:v>
                </c:pt>
                <c:pt idx="293">
                  <c:v>1982.625</c:v>
                </c:pt>
                <c:pt idx="294">
                  <c:v>1982.7083333333333</c:v>
                </c:pt>
                <c:pt idx="295">
                  <c:v>1982.7916666666667</c:v>
                </c:pt>
                <c:pt idx="296">
                  <c:v>1982.875</c:v>
                </c:pt>
                <c:pt idx="297">
                  <c:v>1982.9583333333333</c:v>
                </c:pt>
                <c:pt idx="298">
                  <c:v>1983.0416666666667</c:v>
                </c:pt>
                <c:pt idx="299">
                  <c:v>1983.125</c:v>
                </c:pt>
                <c:pt idx="300">
                  <c:v>1983.2083333333333</c:v>
                </c:pt>
                <c:pt idx="301">
                  <c:v>1983.2916666666667</c:v>
                </c:pt>
                <c:pt idx="302">
                  <c:v>1983.375</c:v>
                </c:pt>
                <c:pt idx="303">
                  <c:v>1983.4583333333333</c:v>
                </c:pt>
                <c:pt idx="304">
                  <c:v>1983.5416666666667</c:v>
                </c:pt>
                <c:pt idx="305">
                  <c:v>1983.625</c:v>
                </c:pt>
                <c:pt idx="306">
                  <c:v>1983.7083333333333</c:v>
                </c:pt>
                <c:pt idx="307">
                  <c:v>1983.7916666666667</c:v>
                </c:pt>
                <c:pt idx="308">
                  <c:v>1983.875</c:v>
                </c:pt>
                <c:pt idx="309">
                  <c:v>1983.9583333333333</c:v>
                </c:pt>
                <c:pt idx="310">
                  <c:v>1984.0416666666667</c:v>
                </c:pt>
                <c:pt idx="311">
                  <c:v>1984.125</c:v>
                </c:pt>
                <c:pt idx="312">
                  <c:v>1984.2083333333333</c:v>
                </c:pt>
                <c:pt idx="313">
                  <c:v>1984.2916666666667</c:v>
                </c:pt>
                <c:pt idx="314">
                  <c:v>1984.375</c:v>
                </c:pt>
                <c:pt idx="315">
                  <c:v>1984.4583333333333</c:v>
                </c:pt>
                <c:pt idx="316">
                  <c:v>1984.5416666666667</c:v>
                </c:pt>
                <c:pt idx="317">
                  <c:v>1984.625</c:v>
                </c:pt>
                <c:pt idx="318">
                  <c:v>1984.7083333333333</c:v>
                </c:pt>
                <c:pt idx="319">
                  <c:v>1984.7916666666667</c:v>
                </c:pt>
                <c:pt idx="320">
                  <c:v>1984.875</c:v>
                </c:pt>
                <c:pt idx="321">
                  <c:v>1984.9583333333333</c:v>
                </c:pt>
                <c:pt idx="322">
                  <c:v>1985.0416666666667</c:v>
                </c:pt>
                <c:pt idx="323">
                  <c:v>1985.125</c:v>
                </c:pt>
                <c:pt idx="324">
                  <c:v>1985.2083333333333</c:v>
                </c:pt>
                <c:pt idx="325">
                  <c:v>1985.2916666666667</c:v>
                </c:pt>
                <c:pt idx="326">
                  <c:v>1985.375</c:v>
                </c:pt>
                <c:pt idx="327">
                  <c:v>1985.4583333333333</c:v>
                </c:pt>
                <c:pt idx="328">
                  <c:v>1985.5416666666667</c:v>
                </c:pt>
                <c:pt idx="329">
                  <c:v>1985.625</c:v>
                </c:pt>
                <c:pt idx="330">
                  <c:v>1985.7083333333333</c:v>
                </c:pt>
                <c:pt idx="331">
                  <c:v>1985.7916666666667</c:v>
                </c:pt>
                <c:pt idx="332">
                  <c:v>1985.875</c:v>
                </c:pt>
                <c:pt idx="333">
                  <c:v>1985.9583333333333</c:v>
                </c:pt>
                <c:pt idx="334">
                  <c:v>1986.0416666666667</c:v>
                </c:pt>
                <c:pt idx="335">
                  <c:v>1986.125</c:v>
                </c:pt>
                <c:pt idx="336">
                  <c:v>1986.2083333333333</c:v>
                </c:pt>
                <c:pt idx="337">
                  <c:v>1986.2916666666667</c:v>
                </c:pt>
                <c:pt idx="338">
                  <c:v>1986.375</c:v>
                </c:pt>
                <c:pt idx="339">
                  <c:v>1986.4583333333333</c:v>
                </c:pt>
                <c:pt idx="340">
                  <c:v>1986.5416666666667</c:v>
                </c:pt>
                <c:pt idx="341">
                  <c:v>1986.625</c:v>
                </c:pt>
                <c:pt idx="342">
                  <c:v>1986.7083333333333</c:v>
                </c:pt>
                <c:pt idx="343">
                  <c:v>1986.7916666666667</c:v>
                </c:pt>
                <c:pt idx="344">
                  <c:v>1986.875</c:v>
                </c:pt>
                <c:pt idx="345">
                  <c:v>1986.9583333333333</c:v>
                </c:pt>
                <c:pt idx="346">
                  <c:v>1987.0416666666667</c:v>
                </c:pt>
                <c:pt idx="347">
                  <c:v>1987.125</c:v>
                </c:pt>
                <c:pt idx="348">
                  <c:v>1987.2083333333333</c:v>
                </c:pt>
                <c:pt idx="349">
                  <c:v>1987.2916666666667</c:v>
                </c:pt>
                <c:pt idx="350">
                  <c:v>1987.375</c:v>
                </c:pt>
                <c:pt idx="351">
                  <c:v>1987.4583333333333</c:v>
                </c:pt>
                <c:pt idx="352">
                  <c:v>1987.5416666666667</c:v>
                </c:pt>
                <c:pt idx="353">
                  <c:v>1987.625</c:v>
                </c:pt>
                <c:pt idx="354">
                  <c:v>1987.7083333333333</c:v>
                </c:pt>
                <c:pt idx="355">
                  <c:v>1987.7916666666667</c:v>
                </c:pt>
                <c:pt idx="356">
                  <c:v>1987.875</c:v>
                </c:pt>
                <c:pt idx="357">
                  <c:v>1987.9583333333333</c:v>
                </c:pt>
                <c:pt idx="358">
                  <c:v>1988.0416666666667</c:v>
                </c:pt>
                <c:pt idx="359">
                  <c:v>1988.125</c:v>
                </c:pt>
                <c:pt idx="360">
                  <c:v>1988.2083333333333</c:v>
                </c:pt>
                <c:pt idx="361">
                  <c:v>1988.2916666666667</c:v>
                </c:pt>
                <c:pt idx="362">
                  <c:v>1988.375</c:v>
                </c:pt>
                <c:pt idx="363">
                  <c:v>1988.4583333333333</c:v>
                </c:pt>
                <c:pt idx="364">
                  <c:v>1988.5416666666667</c:v>
                </c:pt>
                <c:pt idx="365">
                  <c:v>1988.625</c:v>
                </c:pt>
                <c:pt idx="366">
                  <c:v>1988.7083333333333</c:v>
                </c:pt>
                <c:pt idx="367">
                  <c:v>1988.7916666666667</c:v>
                </c:pt>
                <c:pt idx="368">
                  <c:v>1988.875</c:v>
                </c:pt>
                <c:pt idx="369">
                  <c:v>1988.9583333333333</c:v>
                </c:pt>
                <c:pt idx="370">
                  <c:v>1989.0416666666667</c:v>
                </c:pt>
                <c:pt idx="371">
                  <c:v>1989.125</c:v>
                </c:pt>
                <c:pt idx="372">
                  <c:v>1989.2083333333333</c:v>
                </c:pt>
                <c:pt idx="373">
                  <c:v>1989.2916666666667</c:v>
                </c:pt>
                <c:pt idx="374">
                  <c:v>1989.375</c:v>
                </c:pt>
                <c:pt idx="375">
                  <c:v>1989.4583333333333</c:v>
                </c:pt>
                <c:pt idx="376">
                  <c:v>1989.5416666666667</c:v>
                </c:pt>
                <c:pt idx="377">
                  <c:v>1989.625</c:v>
                </c:pt>
                <c:pt idx="378">
                  <c:v>1989.7083333333333</c:v>
                </c:pt>
                <c:pt idx="379">
                  <c:v>1989.7916666666667</c:v>
                </c:pt>
                <c:pt idx="380">
                  <c:v>1989.875</c:v>
                </c:pt>
                <c:pt idx="381">
                  <c:v>1989.9583333333333</c:v>
                </c:pt>
                <c:pt idx="382">
                  <c:v>1990.0416666666667</c:v>
                </c:pt>
                <c:pt idx="383">
                  <c:v>1990.125</c:v>
                </c:pt>
                <c:pt idx="384">
                  <c:v>1990.2083333333333</c:v>
                </c:pt>
                <c:pt idx="385">
                  <c:v>1990.2916666666667</c:v>
                </c:pt>
                <c:pt idx="386">
                  <c:v>1990.375</c:v>
                </c:pt>
                <c:pt idx="387">
                  <c:v>1990.4583333333333</c:v>
                </c:pt>
                <c:pt idx="388">
                  <c:v>1990.5416666666667</c:v>
                </c:pt>
                <c:pt idx="389">
                  <c:v>1990.625</c:v>
                </c:pt>
                <c:pt idx="390">
                  <c:v>1990.7083333333333</c:v>
                </c:pt>
                <c:pt idx="391">
                  <c:v>1990.7916666666667</c:v>
                </c:pt>
                <c:pt idx="392">
                  <c:v>1990.875</c:v>
                </c:pt>
                <c:pt idx="393">
                  <c:v>1990.9583333333333</c:v>
                </c:pt>
                <c:pt idx="394">
                  <c:v>1991.0416666666667</c:v>
                </c:pt>
                <c:pt idx="395">
                  <c:v>1991.125</c:v>
                </c:pt>
                <c:pt idx="396">
                  <c:v>1991.2083333333333</c:v>
                </c:pt>
                <c:pt idx="397">
                  <c:v>1991.2916666666667</c:v>
                </c:pt>
                <c:pt idx="398">
                  <c:v>1991.375</c:v>
                </c:pt>
                <c:pt idx="399">
                  <c:v>1991.4583333333333</c:v>
                </c:pt>
                <c:pt idx="400">
                  <c:v>1991.5416666666667</c:v>
                </c:pt>
                <c:pt idx="401">
                  <c:v>1991.625</c:v>
                </c:pt>
                <c:pt idx="402">
                  <c:v>1991.7083333333333</c:v>
                </c:pt>
                <c:pt idx="403">
                  <c:v>1991.7916666666667</c:v>
                </c:pt>
                <c:pt idx="404">
                  <c:v>1991.875</c:v>
                </c:pt>
                <c:pt idx="405">
                  <c:v>1991.9583333333333</c:v>
                </c:pt>
                <c:pt idx="406">
                  <c:v>1992.0416666666667</c:v>
                </c:pt>
                <c:pt idx="407">
                  <c:v>1992.125</c:v>
                </c:pt>
                <c:pt idx="408">
                  <c:v>1992.2083333333333</c:v>
                </c:pt>
                <c:pt idx="409">
                  <c:v>1992.2916666666667</c:v>
                </c:pt>
                <c:pt idx="410">
                  <c:v>1992.375</c:v>
                </c:pt>
                <c:pt idx="411">
                  <c:v>1992.4583333333333</c:v>
                </c:pt>
                <c:pt idx="412">
                  <c:v>1992.5416666666667</c:v>
                </c:pt>
                <c:pt idx="413">
                  <c:v>1992.625</c:v>
                </c:pt>
                <c:pt idx="414">
                  <c:v>1992.7083333333333</c:v>
                </c:pt>
                <c:pt idx="415">
                  <c:v>1992.7916666666667</c:v>
                </c:pt>
                <c:pt idx="416">
                  <c:v>1992.875</c:v>
                </c:pt>
                <c:pt idx="417">
                  <c:v>1992.9583333333333</c:v>
                </c:pt>
                <c:pt idx="418">
                  <c:v>1993.0416666666667</c:v>
                </c:pt>
                <c:pt idx="419">
                  <c:v>1993.125</c:v>
                </c:pt>
                <c:pt idx="420">
                  <c:v>1993.2083333333333</c:v>
                </c:pt>
                <c:pt idx="421">
                  <c:v>1993.2916666666667</c:v>
                </c:pt>
                <c:pt idx="422">
                  <c:v>1993.375</c:v>
                </c:pt>
                <c:pt idx="423">
                  <c:v>1993.4583333333333</c:v>
                </c:pt>
                <c:pt idx="424">
                  <c:v>1993.5416666666667</c:v>
                </c:pt>
                <c:pt idx="425">
                  <c:v>1993.625</c:v>
                </c:pt>
                <c:pt idx="426">
                  <c:v>1993.7083333333333</c:v>
                </c:pt>
                <c:pt idx="427">
                  <c:v>1993.7916666666667</c:v>
                </c:pt>
                <c:pt idx="428">
                  <c:v>1993.875</c:v>
                </c:pt>
                <c:pt idx="429">
                  <c:v>1993.9583333333333</c:v>
                </c:pt>
                <c:pt idx="430">
                  <c:v>1994.0416666666667</c:v>
                </c:pt>
                <c:pt idx="431">
                  <c:v>1994.125</c:v>
                </c:pt>
                <c:pt idx="432">
                  <c:v>1994.2083333333333</c:v>
                </c:pt>
                <c:pt idx="433">
                  <c:v>1994.2916666666667</c:v>
                </c:pt>
                <c:pt idx="434">
                  <c:v>1994.375</c:v>
                </c:pt>
                <c:pt idx="435">
                  <c:v>1994.4583333333333</c:v>
                </c:pt>
                <c:pt idx="436">
                  <c:v>1994.5416666666667</c:v>
                </c:pt>
                <c:pt idx="437">
                  <c:v>1994.625</c:v>
                </c:pt>
                <c:pt idx="438">
                  <c:v>1994.7083333333333</c:v>
                </c:pt>
                <c:pt idx="439">
                  <c:v>1994.7916666666667</c:v>
                </c:pt>
                <c:pt idx="440">
                  <c:v>1994.875</c:v>
                </c:pt>
                <c:pt idx="441">
                  <c:v>1994.9583333333333</c:v>
                </c:pt>
                <c:pt idx="442">
                  <c:v>1995.0416666666667</c:v>
                </c:pt>
                <c:pt idx="443">
                  <c:v>1995.125</c:v>
                </c:pt>
                <c:pt idx="444">
                  <c:v>1995.2083333333333</c:v>
                </c:pt>
                <c:pt idx="445">
                  <c:v>1995.2916666666667</c:v>
                </c:pt>
                <c:pt idx="446">
                  <c:v>1995.375</c:v>
                </c:pt>
                <c:pt idx="447">
                  <c:v>1995.4583333333333</c:v>
                </c:pt>
                <c:pt idx="448">
                  <c:v>1995.5416666666667</c:v>
                </c:pt>
                <c:pt idx="449">
                  <c:v>1995.625</c:v>
                </c:pt>
                <c:pt idx="450">
                  <c:v>1995.7083333333333</c:v>
                </c:pt>
                <c:pt idx="451">
                  <c:v>1995.7916666666667</c:v>
                </c:pt>
                <c:pt idx="452">
                  <c:v>1995.875</c:v>
                </c:pt>
                <c:pt idx="453">
                  <c:v>1995.9583333333333</c:v>
                </c:pt>
                <c:pt idx="454">
                  <c:v>1996.0416666666667</c:v>
                </c:pt>
                <c:pt idx="455">
                  <c:v>1996.125</c:v>
                </c:pt>
                <c:pt idx="456">
                  <c:v>1996.2083333333333</c:v>
                </c:pt>
                <c:pt idx="457">
                  <c:v>1996.2916666666667</c:v>
                </c:pt>
                <c:pt idx="458">
                  <c:v>1996.375</c:v>
                </c:pt>
                <c:pt idx="459">
                  <c:v>1996.4583333333333</c:v>
                </c:pt>
                <c:pt idx="460">
                  <c:v>1996.5416666666667</c:v>
                </c:pt>
                <c:pt idx="461">
                  <c:v>1996.625</c:v>
                </c:pt>
                <c:pt idx="462">
                  <c:v>1996.7083333333333</c:v>
                </c:pt>
                <c:pt idx="463">
                  <c:v>1996.7916666666667</c:v>
                </c:pt>
                <c:pt idx="464">
                  <c:v>1996.875</c:v>
                </c:pt>
                <c:pt idx="465">
                  <c:v>1996.9583333333333</c:v>
                </c:pt>
                <c:pt idx="466">
                  <c:v>1997.0416666666667</c:v>
                </c:pt>
                <c:pt idx="467">
                  <c:v>1997.125</c:v>
                </c:pt>
                <c:pt idx="468">
                  <c:v>1997.2083333333333</c:v>
                </c:pt>
                <c:pt idx="469">
                  <c:v>1997.2916666666667</c:v>
                </c:pt>
                <c:pt idx="470">
                  <c:v>1997.375</c:v>
                </c:pt>
                <c:pt idx="471">
                  <c:v>1997.4583333333333</c:v>
                </c:pt>
                <c:pt idx="472">
                  <c:v>1997.5416666666667</c:v>
                </c:pt>
                <c:pt idx="473">
                  <c:v>1997.625</c:v>
                </c:pt>
                <c:pt idx="474">
                  <c:v>1997.7083333333333</c:v>
                </c:pt>
                <c:pt idx="475">
                  <c:v>1997.7916666666667</c:v>
                </c:pt>
                <c:pt idx="476">
                  <c:v>1997.875</c:v>
                </c:pt>
                <c:pt idx="477">
                  <c:v>1997.9583333333333</c:v>
                </c:pt>
                <c:pt idx="478">
                  <c:v>1998.0416666666667</c:v>
                </c:pt>
                <c:pt idx="479">
                  <c:v>1998.125</c:v>
                </c:pt>
                <c:pt idx="480">
                  <c:v>1998.2083333333333</c:v>
                </c:pt>
                <c:pt idx="481">
                  <c:v>1998.2916666666667</c:v>
                </c:pt>
                <c:pt idx="482">
                  <c:v>1998.375</c:v>
                </c:pt>
                <c:pt idx="483">
                  <c:v>1998.4583333333333</c:v>
                </c:pt>
                <c:pt idx="484">
                  <c:v>1998.5416666666667</c:v>
                </c:pt>
                <c:pt idx="485">
                  <c:v>1998.625</c:v>
                </c:pt>
                <c:pt idx="486">
                  <c:v>1998.7083333333333</c:v>
                </c:pt>
                <c:pt idx="487">
                  <c:v>1998.7916666666667</c:v>
                </c:pt>
                <c:pt idx="488">
                  <c:v>1998.875</c:v>
                </c:pt>
                <c:pt idx="489">
                  <c:v>1998.9583333333333</c:v>
                </c:pt>
                <c:pt idx="490">
                  <c:v>1999.0416666666667</c:v>
                </c:pt>
                <c:pt idx="491">
                  <c:v>1999.125</c:v>
                </c:pt>
                <c:pt idx="492">
                  <c:v>1999.2083333333333</c:v>
                </c:pt>
                <c:pt idx="493">
                  <c:v>1999.2916666666667</c:v>
                </c:pt>
                <c:pt idx="494">
                  <c:v>1999.375</c:v>
                </c:pt>
                <c:pt idx="495">
                  <c:v>1999.4583333333333</c:v>
                </c:pt>
                <c:pt idx="496">
                  <c:v>1999.5416666666667</c:v>
                </c:pt>
                <c:pt idx="497">
                  <c:v>1999.625</c:v>
                </c:pt>
                <c:pt idx="498">
                  <c:v>1999.7083333333333</c:v>
                </c:pt>
                <c:pt idx="499">
                  <c:v>1999.7916666666667</c:v>
                </c:pt>
                <c:pt idx="500">
                  <c:v>1999.875</c:v>
                </c:pt>
                <c:pt idx="501">
                  <c:v>1999.9583333333333</c:v>
                </c:pt>
                <c:pt idx="502">
                  <c:v>2000.0416666666667</c:v>
                </c:pt>
                <c:pt idx="503">
                  <c:v>2000.125</c:v>
                </c:pt>
                <c:pt idx="504">
                  <c:v>2000.2083333333333</c:v>
                </c:pt>
                <c:pt idx="505">
                  <c:v>2000.2916666666667</c:v>
                </c:pt>
                <c:pt idx="506">
                  <c:v>2000.375</c:v>
                </c:pt>
                <c:pt idx="507">
                  <c:v>2000.4583333333333</c:v>
                </c:pt>
                <c:pt idx="508">
                  <c:v>2000.5416666666667</c:v>
                </c:pt>
                <c:pt idx="509">
                  <c:v>2000.625</c:v>
                </c:pt>
                <c:pt idx="510">
                  <c:v>2000.7083333333333</c:v>
                </c:pt>
                <c:pt idx="511">
                  <c:v>2000.7916666666667</c:v>
                </c:pt>
                <c:pt idx="512">
                  <c:v>2000.875</c:v>
                </c:pt>
                <c:pt idx="513">
                  <c:v>2000.9583333333333</c:v>
                </c:pt>
                <c:pt idx="514">
                  <c:v>2001.0416666666667</c:v>
                </c:pt>
                <c:pt idx="515">
                  <c:v>2001.125</c:v>
                </c:pt>
                <c:pt idx="516">
                  <c:v>2001.2083333333333</c:v>
                </c:pt>
                <c:pt idx="517">
                  <c:v>2001.2916666666667</c:v>
                </c:pt>
                <c:pt idx="518">
                  <c:v>2001.375</c:v>
                </c:pt>
                <c:pt idx="519">
                  <c:v>2001.4583333333333</c:v>
                </c:pt>
                <c:pt idx="520">
                  <c:v>2001.5416666666667</c:v>
                </c:pt>
                <c:pt idx="521">
                  <c:v>2001.625</c:v>
                </c:pt>
                <c:pt idx="522">
                  <c:v>2001.7083333333333</c:v>
                </c:pt>
                <c:pt idx="523">
                  <c:v>2001.7916666666667</c:v>
                </c:pt>
                <c:pt idx="524">
                  <c:v>2001.875</c:v>
                </c:pt>
                <c:pt idx="525">
                  <c:v>2001.9583333333333</c:v>
                </c:pt>
                <c:pt idx="526">
                  <c:v>2002.0416666666667</c:v>
                </c:pt>
                <c:pt idx="527">
                  <c:v>2002.125</c:v>
                </c:pt>
                <c:pt idx="528">
                  <c:v>2002.2083333333333</c:v>
                </c:pt>
                <c:pt idx="529">
                  <c:v>2002.2916666666667</c:v>
                </c:pt>
                <c:pt idx="530">
                  <c:v>2002.375</c:v>
                </c:pt>
                <c:pt idx="531">
                  <c:v>2002.4583333333333</c:v>
                </c:pt>
                <c:pt idx="532">
                  <c:v>2002.5416666666667</c:v>
                </c:pt>
                <c:pt idx="533">
                  <c:v>2002.625</c:v>
                </c:pt>
                <c:pt idx="534">
                  <c:v>2002.7083333333333</c:v>
                </c:pt>
                <c:pt idx="535">
                  <c:v>2002.7916666666667</c:v>
                </c:pt>
                <c:pt idx="536">
                  <c:v>2002.875</c:v>
                </c:pt>
                <c:pt idx="537">
                  <c:v>2002.9583333333333</c:v>
                </c:pt>
                <c:pt idx="538">
                  <c:v>2003.0416666666667</c:v>
                </c:pt>
                <c:pt idx="539">
                  <c:v>2003.125</c:v>
                </c:pt>
                <c:pt idx="540">
                  <c:v>2003.2083333333333</c:v>
                </c:pt>
                <c:pt idx="541">
                  <c:v>2003.2916666666667</c:v>
                </c:pt>
                <c:pt idx="542">
                  <c:v>2003.375</c:v>
                </c:pt>
                <c:pt idx="543">
                  <c:v>2003.4583333333333</c:v>
                </c:pt>
                <c:pt idx="544">
                  <c:v>2003.5416666666667</c:v>
                </c:pt>
                <c:pt idx="545">
                  <c:v>2003.625</c:v>
                </c:pt>
                <c:pt idx="546">
                  <c:v>2003.7083333333333</c:v>
                </c:pt>
                <c:pt idx="547">
                  <c:v>2003.7916666666667</c:v>
                </c:pt>
                <c:pt idx="548">
                  <c:v>2003.875</c:v>
                </c:pt>
                <c:pt idx="549">
                  <c:v>2003.9583333333333</c:v>
                </c:pt>
                <c:pt idx="550">
                  <c:v>2004.0416666666667</c:v>
                </c:pt>
                <c:pt idx="551">
                  <c:v>2004.125</c:v>
                </c:pt>
                <c:pt idx="552">
                  <c:v>2004.2083333333333</c:v>
                </c:pt>
                <c:pt idx="553">
                  <c:v>2004.2916666666667</c:v>
                </c:pt>
                <c:pt idx="554">
                  <c:v>2004.375</c:v>
                </c:pt>
                <c:pt idx="555">
                  <c:v>2004.4583333333333</c:v>
                </c:pt>
                <c:pt idx="556">
                  <c:v>2004.5416666666667</c:v>
                </c:pt>
                <c:pt idx="557">
                  <c:v>2004.625</c:v>
                </c:pt>
                <c:pt idx="558">
                  <c:v>2004.7083333333333</c:v>
                </c:pt>
                <c:pt idx="559">
                  <c:v>2004.7916666666667</c:v>
                </c:pt>
                <c:pt idx="560">
                  <c:v>2004.875</c:v>
                </c:pt>
                <c:pt idx="561">
                  <c:v>2004.9583333333333</c:v>
                </c:pt>
                <c:pt idx="562">
                  <c:v>2005.0416666666667</c:v>
                </c:pt>
                <c:pt idx="563">
                  <c:v>2005.125</c:v>
                </c:pt>
                <c:pt idx="564">
                  <c:v>2005.2083333333333</c:v>
                </c:pt>
                <c:pt idx="565">
                  <c:v>2005.2916666666667</c:v>
                </c:pt>
                <c:pt idx="566">
                  <c:v>2005.375</c:v>
                </c:pt>
                <c:pt idx="567">
                  <c:v>2005.4583333333333</c:v>
                </c:pt>
                <c:pt idx="568">
                  <c:v>2005.5416666666667</c:v>
                </c:pt>
                <c:pt idx="569">
                  <c:v>2005.625</c:v>
                </c:pt>
                <c:pt idx="570">
                  <c:v>2005.7083333333333</c:v>
                </c:pt>
                <c:pt idx="571">
                  <c:v>2005.7916666666667</c:v>
                </c:pt>
                <c:pt idx="572">
                  <c:v>2005.875</c:v>
                </c:pt>
                <c:pt idx="573">
                  <c:v>2005.9583333333333</c:v>
                </c:pt>
                <c:pt idx="574">
                  <c:v>2006.0416666666667</c:v>
                </c:pt>
                <c:pt idx="575">
                  <c:v>2006.125</c:v>
                </c:pt>
                <c:pt idx="576">
                  <c:v>2006.2083333333333</c:v>
                </c:pt>
                <c:pt idx="577">
                  <c:v>2006.2916666666667</c:v>
                </c:pt>
                <c:pt idx="578">
                  <c:v>2006.375</c:v>
                </c:pt>
                <c:pt idx="579">
                  <c:v>2006.4583333333333</c:v>
                </c:pt>
                <c:pt idx="580">
                  <c:v>2006.5416666666667</c:v>
                </c:pt>
                <c:pt idx="581">
                  <c:v>2006.625</c:v>
                </c:pt>
                <c:pt idx="582">
                  <c:v>2006.7083333333333</c:v>
                </c:pt>
                <c:pt idx="583">
                  <c:v>2006.7916666666667</c:v>
                </c:pt>
                <c:pt idx="584">
                  <c:v>2006.875</c:v>
                </c:pt>
                <c:pt idx="585">
                  <c:v>2006.9583333333333</c:v>
                </c:pt>
                <c:pt idx="586">
                  <c:v>2007.0416666666667</c:v>
                </c:pt>
                <c:pt idx="587">
                  <c:v>2007.125</c:v>
                </c:pt>
                <c:pt idx="588">
                  <c:v>2007.2083333333333</c:v>
                </c:pt>
                <c:pt idx="589">
                  <c:v>2007.2916666666667</c:v>
                </c:pt>
                <c:pt idx="590">
                  <c:v>2007.375</c:v>
                </c:pt>
                <c:pt idx="591">
                  <c:v>2007.4583333333333</c:v>
                </c:pt>
                <c:pt idx="592">
                  <c:v>2007.5416666666667</c:v>
                </c:pt>
                <c:pt idx="593">
                  <c:v>2007.625</c:v>
                </c:pt>
                <c:pt idx="594">
                  <c:v>2007.7083333333333</c:v>
                </c:pt>
                <c:pt idx="595">
                  <c:v>2007.7916666666667</c:v>
                </c:pt>
                <c:pt idx="596">
                  <c:v>2007.875</c:v>
                </c:pt>
                <c:pt idx="597">
                  <c:v>2007.9583333333333</c:v>
                </c:pt>
                <c:pt idx="598">
                  <c:v>2008.0416666666667</c:v>
                </c:pt>
                <c:pt idx="599">
                  <c:v>2008.125</c:v>
                </c:pt>
                <c:pt idx="600">
                  <c:v>2008.2083333333333</c:v>
                </c:pt>
                <c:pt idx="601">
                  <c:v>2008.2916666666667</c:v>
                </c:pt>
                <c:pt idx="602">
                  <c:v>2008.375</c:v>
                </c:pt>
                <c:pt idx="603">
                  <c:v>2008.4583333333333</c:v>
                </c:pt>
                <c:pt idx="604">
                  <c:v>2008.5416666666667</c:v>
                </c:pt>
                <c:pt idx="605">
                  <c:v>2008.625</c:v>
                </c:pt>
                <c:pt idx="606">
                  <c:v>2008.7083333333333</c:v>
                </c:pt>
                <c:pt idx="607">
                  <c:v>2008.7916666666667</c:v>
                </c:pt>
                <c:pt idx="608">
                  <c:v>2008.875</c:v>
                </c:pt>
                <c:pt idx="609">
                  <c:v>2008.9583333333333</c:v>
                </c:pt>
                <c:pt idx="610">
                  <c:v>2009.0416666666667</c:v>
                </c:pt>
                <c:pt idx="611">
                  <c:v>2009.125</c:v>
                </c:pt>
                <c:pt idx="612">
                  <c:v>2009.2083333333333</c:v>
                </c:pt>
                <c:pt idx="613">
                  <c:v>2009.2916666666667</c:v>
                </c:pt>
                <c:pt idx="614">
                  <c:v>2009.375</c:v>
                </c:pt>
                <c:pt idx="615">
                  <c:v>2009.4583333333333</c:v>
                </c:pt>
                <c:pt idx="616">
                  <c:v>2009.5416666666667</c:v>
                </c:pt>
                <c:pt idx="617">
                  <c:v>2009.625</c:v>
                </c:pt>
                <c:pt idx="618">
                  <c:v>2009.7083333333333</c:v>
                </c:pt>
                <c:pt idx="619">
                  <c:v>2009.7916666666667</c:v>
                </c:pt>
                <c:pt idx="620">
                  <c:v>2009.875</c:v>
                </c:pt>
                <c:pt idx="621">
                  <c:v>2009.9583333333333</c:v>
                </c:pt>
                <c:pt idx="622">
                  <c:v>2010.0416666666667</c:v>
                </c:pt>
                <c:pt idx="623">
                  <c:v>2010.125</c:v>
                </c:pt>
                <c:pt idx="624">
                  <c:v>2010.2083333333333</c:v>
                </c:pt>
                <c:pt idx="625">
                  <c:v>2010.2916666666667</c:v>
                </c:pt>
                <c:pt idx="626">
                  <c:v>2010.375</c:v>
                </c:pt>
                <c:pt idx="627">
                  <c:v>2010.4583333333333</c:v>
                </c:pt>
                <c:pt idx="628">
                  <c:v>2010.5416666666667</c:v>
                </c:pt>
                <c:pt idx="629">
                  <c:v>2010.625</c:v>
                </c:pt>
                <c:pt idx="630">
                  <c:v>2010.7083333333333</c:v>
                </c:pt>
                <c:pt idx="631">
                  <c:v>2010.7916666666667</c:v>
                </c:pt>
                <c:pt idx="632">
                  <c:v>2010.875</c:v>
                </c:pt>
                <c:pt idx="633">
                  <c:v>2010.9583333333333</c:v>
                </c:pt>
                <c:pt idx="634">
                  <c:v>2011.0416666666667</c:v>
                </c:pt>
                <c:pt idx="635">
                  <c:v>2011.125</c:v>
                </c:pt>
                <c:pt idx="636">
                  <c:v>2011.2083333333333</c:v>
                </c:pt>
                <c:pt idx="637">
                  <c:v>2011.2916666666667</c:v>
                </c:pt>
                <c:pt idx="638">
                  <c:v>2011.375</c:v>
                </c:pt>
                <c:pt idx="639">
                  <c:v>2011.4583333333333</c:v>
                </c:pt>
                <c:pt idx="640">
                  <c:v>2011.5416666666667</c:v>
                </c:pt>
                <c:pt idx="641">
                  <c:v>2011.625</c:v>
                </c:pt>
                <c:pt idx="642">
                  <c:v>2011.7083333333333</c:v>
                </c:pt>
                <c:pt idx="643">
                  <c:v>2011.7916666666667</c:v>
                </c:pt>
                <c:pt idx="644">
                  <c:v>2011.875</c:v>
                </c:pt>
                <c:pt idx="645">
                  <c:v>2011.9583333333333</c:v>
                </c:pt>
                <c:pt idx="646">
                  <c:v>2012.0416666666667</c:v>
                </c:pt>
                <c:pt idx="647">
                  <c:v>2012.125</c:v>
                </c:pt>
                <c:pt idx="648">
                  <c:v>2012.2083333333333</c:v>
                </c:pt>
                <c:pt idx="649">
                  <c:v>2012.2916666666667</c:v>
                </c:pt>
                <c:pt idx="650">
                  <c:v>2012.375</c:v>
                </c:pt>
                <c:pt idx="651">
                  <c:v>2012.4583333333333</c:v>
                </c:pt>
                <c:pt idx="652">
                  <c:v>2012.5416666666667</c:v>
                </c:pt>
                <c:pt idx="653">
                  <c:v>2012.625</c:v>
                </c:pt>
                <c:pt idx="654">
                  <c:v>2012.7083333333333</c:v>
                </c:pt>
                <c:pt idx="655">
                  <c:v>2012.7916666666667</c:v>
                </c:pt>
                <c:pt idx="656">
                  <c:v>2012.875</c:v>
                </c:pt>
                <c:pt idx="657">
                  <c:v>2012.9583333333333</c:v>
                </c:pt>
                <c:pt idx="658">
                  <c:v>2013.0416666666667</c:v>
                </c:pt>
                <c:pt idx="659">
                  <c:v>2013.125</c:v>
                </c:pt>
                <c:pt idx="660">
                  <c:v>2013.2083333333333</c:v>
                </c:pt>
                <c:pt idx="661">
                  <c:v>2013.2916666666667</c:v>
                </c:pt>
                <c:pt idx="662">
                  <c:v>2013.375</c:v>
                </c:pt>
                <c:pt idx="663">
                  <c:v>2013.4583333333333</c:v>
                </c:pt>
                <c:pt idx="664">
                  <c:v>2013.5416666666667</c:v>
                </c:pt>
                <c:pt idx="665">
                  <c:v>2013.625</c:v>
                </c:pt>
                <c:pt idx="666">
                  <c:v>2013.7083333333333</c:v>
                </c:pt>
                <c:pt idx="667">
                  <c:v>2013.7916666666667</c:v>
                </c:pt>
                <c:pt idx="668">
                  <c:v>2013.875</c:v>
                </c:pt>
                <c:pt idx="669">
                  <c:v>2013.9583333333333</c:v>
                </c:pt>
                <c:pt idx="670">
                  <c:v>2014.0416666666667</c:v>
                </c:pt>
                <c:pt idx="671">
                  <c:v>2014.125</c:v>
                </c:pt>
                <c:pt idx="672">
                  <c:v>2014.2083333333333</c:v>
                </c:pt>
                <c:pt idx="673">
                  <c:v>2014.2916666666667</c:v>
                </c:pt>
                <c:pt idx="674">
                  <c:v>2014.375</c:v>
                </c:pt>
                <c:pt idx="675">
                  <c:v>2014.4583333333333</c:v>
                </c:pt>
                <c:pt idx="676">
                  <c:v>2014.5416666666667</c:v>
                </c:pt>
                <c:pt idx="677">
                  <c:v>2014.625</c:v>
                </c:pt>
                <c:pt idx="678">
                  <c:v>2014.7083333333333</c:v>
                </c:pt>
                <c:pt idx="679">
                  <c:v>2014.7916666666667</c:v>
                </c:pt>
                <c:pt idx="680">
                  <c:v>2014.875</c:v>
                </c:pt>
                <c:pt idx="681">
                  <c:v>2014.9583333333333</c:v>
                </c:pt>
                <c:pt idx="682">
                  <c:v>2015.0416666666667</c:v>
                </c:pt>
                <c:pt idx="683">
                  <c:v>2015.125</c:v>
                </c:pt>
                <c:pt idx="684">
                  <c:v>2015.2083333333333</c:v>
                </c:pt>
                <c:pt idx="685">
                  <c:v>2015.2916666666667</c:v>
                </c:pt>
                <c:pt idx="686">
                  <c:v>2015.375</c:v>
                </c:pt>
                <c:pt idx="687">
                  <c:v>2015.4583333333333</c:v>
                </c:pt>
                <c:pt idx="688">
                  <c:v>2015.5416666666667</c:v>
                </c:pt>
                <c:pt idx="689">
                  <c:v>2015.625</c:v>
                </c:pt>
                <c:pt idx="690">
                  <c:v>2015.7083333333333</c:v>
                </c:pt>
                <c:pt idx="691">
                  <c:v>2015.7916666666667</c:v>
                </c:pt>
                <c:pt idx="692">
                  <c:v>2015.875</c:v>
                </c:pt>
                <c:pt idx="693">
                  <c:v>2015.9583333333333</c:v>
                </c:pt>
                <c:pt idx="694">
                  <c:v>2016.0416666666667</c:v>
                </c:pt>
                <c:pt idx="695">
                  <c:v>2016.125</c:v>
                </c:pt>
                <c:pt idx="696">
                  <c:v>2016.2083333333333</c:v>
                </c:pt>
                <c:pt idx="697">
                  <c:v>2016.2916666666667</c:v>
                </c:pt>
                <c:pt idx="698">
                  <c:v>2016.375</c:v>
                </c:pt>
                <c:pt idx="699">
                  <c:v>2016.4583333333333</c:v>
                </c:pt>
                <c:pt idx="700">
                  <c:v>2016.5416666666667</c:v>
                </c:pt>
                <c:pt idx="701">
                  <c:v>2016.625</c:v>
                </c:pt>
                <c:pt idx="702">
                  <c:v>2016.7083333333333</c:v>
                </c:pt>
                <c:pt idx="703">
                  <c:v>2016.7916666666667</c:v>
                </c:pt>
                <c:pt idx="704">
                  <c:v>2016.875</c:v>
                </c:pt>
                <c:pt idx="705">
                  <c:v>2016.9583333333333</c:v>
                </c:pt>
                <c:pt idx="706">
                  <c:v>2017.0416666666667</c:v>
                </c:pt>
                <c:pt idx="707">
                  <c:v>2017.125</c:v>
                </c:pt>
                <c:pt idx="708">
                  <c:v>2017.2083333333333</c:v>
                </c:pt>
                <c:pt idx="709">
                  <c:v>2017.2916666666667</c:v>
                </c:pt>
                <c:pt idx="710">
                  <c:v>2017.375</c:v>
                </c:pt>
                <c:pt idx="711">
                  <c:v>2017.4583333333333</c:v>
                </c:pt>
                <c:pt idx="712">
                  <c:v>2017.5416666666667</c:v>
                </c:pt>
                <c:pt idx="713">
                  <c:v>2017.625</c:v>
                </c:pt>
                <c:pt idx="714">
                  <c:v>2017.7083333333333</c:v>
                </c:pt>
                <c:pt idx="715">
                  <c:v>2017.7916666666667</c:v>
                </c:pt>
                <c:pt idx="716">
                  <c:v>2017.875</c:v>
                </c:pt>
                <c:pt idx="717">
                  <c:v>2017.9583333333333</c:v>
                </c:pt>
                <c:pt idx="718">
                  <c:v>2018.0416666666667</c:v>
                </c:pt>
                <c:pt idx="719">
                  <c:v>2018.125</c:v>
                </c:pt>
                <c:pt idx="720">
                  <c:v>2018.2083333333333</c:v>
                </c:pt>
                <c:pt idx="721">
                  <c:v>2018.2916666666667</c:v>
                </c:pt>
                <c:pt idx="722">
                  <c:v>2018.375</c:v>
                </c:pt>
                <c:pt idx="723">
                  <c:v>2018.4583333333333</c:v>
                </c:pt>
                <c:pt idx="724">
                  <c:v>2018.5416666666667</c:v>
                </c:pt>
                <c:pt idx="725">
                  <c:v>2018.625</c:v>
                </c:pt>
                <c:pt idx="726">
                  <c:v>2018.7083333333333</c:v>
                </c:pt>
                <c:pt idx="727">
                  <c:v>2018.7916666666667</c:v>
                </c:pt>
                <c:pt idx="728">
                  <c:v>2018.875</c:v>
                </c:pt>
                <c:pt idx="729">
                  <c:v>2018.9583333333333</c:v>
                </c:pt>
                <c:pt idx="730">
                  <c:v>2019.0416666666667</c:v>
                </c:pt>
                <c:pt idx="731">
                  <c:v>2019.125</c:v>
                </c:pt>
                <c:pt idx="732">
                  <c:v>2019.2083333333333</c:v>
                </c:pt>
                <c:pt idx="733">
                  <c:v>2019.2916666666667</c:v>
                </c:pt>
                <c:pt idx="734">
                  <c:v>2019.375</c:v>
                </c:pt>
                <c:pt idx="735">
                  <c:v>2019.4583333333333</c:v>
                </c:pt>
                <c:pt idx="736">
                  <c:v>2019.5416666666667</c:v>
                </c:pt>
                <c:pt idx="737">
                  <c:v>2019.625</c:v>
                </c:pt>
                <c:pt idx="738">
                  <c:v>2019.7083333333333</c:v>
                </c:pt>
                <c:pt idx="739">
                  <c:v>2019.7916666666667</c:v>
                </c:pt>
                <c:pt idx="740">
                  <c:v>2019.875</c:v>
                </c:pt>
                <c:pt idx="741">
                  <c:v>2019.9583333333333</c:v>
                </c:pt>
                <c:pt idx="742">
                  <c:v>2020.0416666666667</c:v>
                </c:pt>
                <c:pt idx="743">
                  <c:v>2020.125</c:v>
                </c:pt>
                <c:pt idx="744">
                  <c:v>2020.2083333333333</c:v>
                </c:pt>
                <c:pt idx="745">
                  <c:v>2020.2916666666667</c:v>
                </c:pt>
                <c:pt idx="746">
                  <c:v>2020.375</c:v>
                </c:pt>
                <c:pt idx="747">
                  <c:v>2020.4583333333333</c:v>
                </c:pt>
                <c:pt idx="748">
                  <c:v>2020.5416666666667</c:v>
                </c:pt>
                <c:pt idx="749">
                  <c:v>2020.625</c:v>
                </c:pt>
                <c:pt idx="750">
                  <c:v>2020.7083333333333</c:v>
                </c:pt>
                <c:pt idx="751">
                  <c:v>2020.7916666666667</c:v>
                </c:pt>
                <c:pt idx="752">
                  <c:v>2020.875</c:v>
                </c:pt>
                <c:pt idx="753">
                  <c:v>2020.9583333333333</c:v>
                </c:pt>
                <c:pt idx="754">
                  <c:v>2021.0416666666667</c:v>
                </c:pt>
                <c:pt idx="755">
                  <c:v>2021.125</c:v>
                </c:pt>
                <c:pt idx="756">
                  <c:v>2021.2083333333333</c:v>
                </c:pt>
                <c:pt idx="757">
                  <c:v>2021.2916666666667</c:v>
                </c:pt>
                <c:pt idx="758">
                  <c:v>2021.375</c:v>
                </c:pt>
                <c:pt idx="759">
                  <c:v>2021.4583333333333</c:v>
                </c:pt>
                <c:pt idx="760">
                  <c:v>2021.5416666666667</c:v>
                </c:pt>
                <c:pt idx="761">
                  <c:v>2021.625</c:v>
                </c:pt>
                <c:pt idx="762">
                  <c:v>2021.7083333333333</c:v>
                </c:pt>
                <c:pt idx="763">
                  <c:v>2021.7916666666667</c:v>
                </c:pt>
                <c:pt idx="764">
                  <c:v>2021.875</c:v>
                </c:pt>
                <c:pt idx="765">
                  <c:v>2021.9583333333333</c:v>
                </c:pt>
                <c:pt idx="766">
                  <c:v>2022.0416666666667</c:v>
                </c:pt>
                <c:pt idx="767">
                  <c:v>2022.125</c:v>
                </c:pt>
                <c:pt idx="768">
                  <c:v>2022.2083333333333</c:v>
                </c:pt>
                <c:pt idx="769">
                  <c:v>2022.2916666666667</c:v>
                </c:pt>
                <c:pt idx="770">
                  <c:v>2022.375</c:v>
                </c:pt>
                <c:pt idx="771">
                  <c:v>2022.4583333333333</c:v>
                </c:pt>
                <c:pt idx="772">
                  <c:v>2022.5416666666667</c:v>
                </c:pt>
                <c:pt idx="773">
                  <c:v>2022.625</c:v>
                </c:pt>
                <c:pt idx="774">
                  <c:v>2022.7083333333333</c:v>
                </c:pt>
                <c:pt idx="775">
                  <c:v>2022.7916666666667</c:v>
                </c:pt>
                <c:pt idx="776">
                  <c:v>2022.875</c:v>
                </c:pt>
                <c:pt idx="777">
                  <c:v>2022.9583333333333</c:v>
                </c:pt>
                <c:pt idx="778">
                  <c:v>2023.0416666666667</c:v>
                </c:pt>
                <c:pt idx="779">
                  <c:v>2023.125</c:v>
                </c:pt>
                <c:pt idx="780">
                  <c:v>2023.2083333333333</c:v>
                </c:pt>
                <c:pt idx="781">
                  <c:v>2023.2916666666667</c:v>
                </c:pt>
                <c:pt idx="782">
                  <c:v>2023.375</c:v>
                </c:pt>
                <c:pt idx="783">
                  <c:v>2023.4583333333333</c:v>
                </c:pt>
                <c:pt idx="784">
                  <c:v>2023.5416666666667</c:v>
                </c:pt>
                <c:pt idx="785">
                  <c:v>2023.625</c:v>
                </c:pt>
                <c:pt idx="786">
                  <c:v>2023.7083333333333</c:v>
                </c:pt>
                <c:pt idx="787">
                  <c:v>2023.7916666666667</c:v>
                </c:pt>
                <c:pt idx="788">
                  <c:v>2023.875</c:v>
                </c:pt>
                <c:pt idx="789">
                  <c:v>2023.9583333333333</c:v>
                </c:pt>
                <c:pt idx="790">
                  <c:v>2024.0416666666667</c:v>
                </c:pt>
                <c:pt idx="791">
                  <c:v>2024.125</c:v>
                </c:pt>
                <c:pt idx="792">
                  <c:v>2024.2083333333333</c:v>
                </c:pt>
                <c:pt idx="793">
                  <c:v>2024.2916666666667</c:v>
                </c:pt>
                <c:pt idx="794">
                  <c:v>2024.375</c:v>
                </c:pt>
                <c:pt idx="795">
                  <c:v>2024.4583333333333</c:v>
                </c:pt>
                <c:pt idx="796">
                  <c:v>2024.5416666666667</c:v>
                </c:pt>
                <c:pt idx="797">
                  <c:v>2024.625</c:v>
                </c:pt>
                <c:pt idx="798">
                  <c:v>2024.7083333333333</c:v>
                </c:pt>
                <c:pt idx="799">
                  <c:v>2024.7916666666667</c:v>
                </c:pt>
                <c:pt idx="800">
                  <c:v>2024.875</c:v>
                </c:pt>
                <c:pt idx="801">
                  <c:v>2024.9583333333333</c:v>
                </c:pt>
                <c:pt idx="802">
                  <c:v>2025.0416666666667</c:v>
                </c:pt>
                <c:pt idx="803">
                  <c:v>2025.125</c:v>
                </c:pt>
                <c:pt idx="804">
                  <c:v>2025.2083333333333</c:v>
                </c:pt>
                <c:pt idx="805">
                  <c:v>2025.2916666666667</c:v>
                </c:pt>
                <c:pt idx="806">
                  <c:v>2025.375</c:v>
                </c:pt>
                <c:pt idx="807">
                  <c:v>2025.4583333333333</c:v>
                </c:pt>
                <c:pt idx="808">
                  <c:v>2025.5416666666667</c:v>
                </c:pt>
                <c:pt idx="809">
                  <c:v>2025.625</c:v>
                </c:pt>
                <c:pt idx="810">
                  <c:v>2025.7083333333333</c:v>
                </c:pt>
                <c:pt idx="811">
                  <c:v>2025.7916666666667</c:v>
                </c:pt>
                <c:pt idx="812">
                  <c:v>2025.875</c:v>
                </c:pt>
                <c:pt idx="813">
                  <c:v>2025.9583333333333</c:v>
                </c:pt>
                <c:pt idx="814">
                  <c:v>2026.0416666666667</c:v>
                </c:pt>
                <c:pt idx="815">
                  <c:v>2026.125</c:v>
                </c:pt>
                <c:pt idx="816">
                  <c:v>2026.2083333333333</c:v>
                </c:pt>
                <c:pt idx="817">
                  <c:v>2026.2916666666667</c:v>
                </c:pt>
                <c:pt idx="818">
                  <c:v>2026.375</c:v>
                </c:pt>
                <c:pt idx="819">
                  <c:v>2026.4583333333333</c:v>
                </c:pt>
                <c:pt idx="820">
                  <c:v>2026.5416666666667</c:v>
                </c:pt>
                <c:pt idx="821">
                  <c:v>2026.625</c:v>
                </c:pt>
              </c:numCache>
            </c:numRef>
          </c:xVal>
          <c:yVal>
            <c:numRef>
              <c:f>Volcanic!$G$2:$G$823</c:f>
              <c:numCache>
                <c:formatCode>0.0000</c:formatCode>
                <c:ptCount val="822"/>
                <c:pt idx="0">
                  <c:v>6.4000000000000003E-3</c:v>
                </c:pt>
                <c:pt idx="1">
                  <c:v>6.11E-3</c:v>
                </c:pt>
                <c:pt idx="2">
                  <c:v>5.8700000000000002E-3</c:v>
                </c:pt>
                <c:pt idx="3">
                  <c:v>5.7000000000000002E-3</c:v>
                </c:pt>
                <c:pt idx="4">
                  <c:v>5.5599999999999998E-3</c:v>
                </c:pt>
                <c:pt idx="5">
                  <c:v>5.47E-3</c:v>
                </c:pt>
                <c:pt idx="6">
                  <c:v>5.3600000000000002E-3</c:v>
                </c:pt>
                <c:pt idx="7">
                  <c:v>5.2900000000000004E-3</c:v>
                </c:pt>
                <c:pt idx="8">
                  <c:v>5.0800000000000003E-3</c:v>
                </c:pt>
                <c:pt idx="9">
                  <c:v>4.8500000000000001E-3</c:v>
                </c:pt>
                <c:pt idx="10">
                  <c:v>4.6600000000000001E-3</c:v>
                </c:pt>
                <c:pt idx="11">
                  <c:v>4.4400000000000004E-3</c:v>
                </c:pt>
                <c:pt idx="12">
                  <c:v>4.3E-3</c:v>
                </c:pt>
                <c:pt idx="13">
                  <c:v>4.2599999999999999E-3</c:v>
                </c:pt>
                <c:pt idx="14">
                  <c:v>4.2500000000000003E-3</c:v>
                </c:pt>
                <c:pt idx="15">
                  <c:v>4.2700000000000004E-3</c:v>
                </c:pt>
                <c:pt idx="16">
                  <c:v>4.3099999999999996E-3</c:v>
                </c:pt>
                <c:pt idx="17">
                  <c:v>4.3699999999999998E-3</c:v>
                </c:pt>
                <c:pt idx="18">
                  <c:v>4.4099999999999999E-3</c:v>
                </c:pt>
                <c:pt idx="19">
                  <c:v>4.45E-3</c:v>
                </c:pt>
                <c:pt idx="20">
                  <c:v>4.3499999999999997E-3</c:v>
                </c:pt>
                <c:pt idx="21">
                  <c:v>4.2199999999999998E-3</c:v>
                </c:pt>
                <c:pt idx="22">
                  <c:v>4.1099999999999999E-3</c:v>
                </c:pt>
                <c:pt idx="23">
                  <c:v>3.9699999999999996E-3</c:v>
                </c:pt>
                <c:pt idx="24">
                  <c:v>3.8899999999999998E-3</c:v>
                </c:pt>
                <c:pt idx="25">
                  <c:v>3.9100000000000003E-3</c:v>
                </c:pt>
                <c:pt idx="26">
                  <c:v>3.9399999999999999E-3</c:v>
                </c:pt>
                <c:pt idx="27">
                  <c:v>4.0000000000000001E-3</c:v>
                </c:pt>
                <c:pt idx="28">
                  <c:v>4.0800000000000003E-3</c:v>
                </c:pt>
                <c:pt idx="29">
                  <c:v>4.1799999999999997E-3</c:v>
                </c:pt>
                <c:pt idx="30">
                  <c:v>4.2399999999999998E-3</c:v>
                </c:pt>
                <c:pt idx="31">
                  <c:v>4.3099999999999996E-3</c:v>
                </c:pt>
                <c:pt idx="32">
                  <c:v>4.2300000000000003E-3</c:v>
                </c:pt>
                <c:pt idx="33">
                  <c:v>4.1200000000000004E-3</c:v>
                </c:pt>
                <c:pt idx="34">
                  <c:v>4.0200000000000001E-3</c:v>
                </c:pt>
                <c:pt idx="35">
                  <c:v>3.8899999999999998E-3</c:v>
                </c:pt>
                <c:pt idx="36">
                  <c:v>3.82E-3</c:v>
                </c:pt>
                <c:pt idx="37">
                  <c:v>3.8500000000000001E-3</c:v>
                </c:pt>
                <c:pt idx="38">
                  <c:v>3.8899999999999998E-3</c:v>
                </c:pt>
                <c:pt idx="39">
                  <c:v>3.96E-3</c:v>
                </c:pt>
                <c:pt idx="40">
                  <c:v>4.0499999999999998E-3</c:v>
                </c:pt>
                <c:pt idx="41">
                  <c:v>4.15E-3</c:v>
                </c:pt>
                <c:pt idx="42">
                  <c:v>4.2199999999999998E-3</c:v>
                </c:pt>
                <c:pt idx="43">
                  <c:v>4.3E-3</c:v>
                </c:pt>
                <c:pt idx="44">
                  <c:v>4.2199999999999998E-3</c:v>
                </c:pt>
                <c:pt idx="45">
                  <c:v>4.1099999999999999E-3</c:v>
                </c:pt>
                <c:pt idx="46">
                  <c:v>4.0099999999999997E-3</c:v>
                </c:pt>
                <c:pt idx="47">
                  <c:v>3.8899999999999998E-3</c:v>
                </c:pt>
                <c:pt idx="48">
                  <c:v>3.82E-3</c:v>
                </c:pt>
                <c:pt idx="49">
                  <c:v>3.8500000000000001E-3</c:v>
                </c:pt>
                <c:pt idx="50">
                  <c:v>3.8899999999999998E-3</c:v>
                </c:pt>
                <c:pt idx="51">
                  <c:v>3.9699999999999996E-3</c:v>
                </c:pt>
                <c:pt idx="52">
                  <c:v>4.0499999999999998E-3</c:v>
                </c:pt>
                <c:pt idx="53">
                  <c:v>4.1599999999999996E-3</c:v>
                </c:pt>
                <c:pt idx="54">
                  <c:v>4.2300000000000003E-3</c:v>
                </c:pt>
                <c:pt idx="55">
                  <c:v>4.3E-3</c:v>
                </c:pt>
                <c:pt idx="56">
                  <c:v>4.2300000000000003E-3</c:v>
                </c:pt>
                <c:pt idx="57">
                  <c:v>4.1099999999999999E-3</c:v>
                </c:pt>
                <c:pt idx="58">
                  <c:v>4.0200000000000001E-3</c:v>
                </c:pt>
                <c:pt idx="59">
                  <c:v>3.8899999999999998E-3</c:v>
                </c:pt>
                <c:pt idx="60">
                  <c:v>5.0600000000000003E-3</c:v>
                </c:pt>
                <c:pt idx="61">
                  <c:v>2.034E-2</c:v>
                </c:pt>
                <c:pt idx="62">
                  <c:v>3.2120000000000003E-2</c:v>
                </c:pt>
                <c:pt idx="63">
                  <c:v>5.5280000000000003E-2</c:v>
                </c:pt>
                <c:pt idx="64">
                  <c:v>6.9760000000000003E-2</c:v>
                </c:pt>
                <c:pt idx="65">
                  <c:v>7.7710000000000001E-2</c:v>
                </c:pt>
                <c:pt idx="66">
                  <c:v>8.0869999999999997E-2</c:v>
                </c:pt>
                <c:pt idx="67">
                  <c:v>8.0670000000000006E-2</c:v>
                </c:pt>
                <c:pt idx="68">
                  <c:v>7.8039999999999998E-2</c:v>
                </c:pt>
                <c:pt idx="69">
                  <c:v>7.3910000000000003E-2</c:v>
                </c:pt>
                <c:pt idx="70">
                  <c:v>6.8930000000000005E-2</c:v>
                </c:pt>
                <c:pt idx="71">
                  <c:v>6.3469999999999999E-2</c:v>
                </c:pt>
                <c:pt idx="72">
                  <c:v>5.7950000000000002E-2</c:v>
                </c:pt>
                <c:pt idx="73">
                  <c:v>5.262E-2</c:v>
                </c:pt>
                <c:pt idx="74">
                  <c:v>4.7509999999999997E-2</c:v>
                </c:pt>
                <c:pt idx="75">
                  <c:v>4.2759999999999999E-2</c:v>
                </c:pt>
                <c:pt idx="76">
                  <c:v>3.8379999999999997E-2</c:v>
                </c:pt>
                <c:pt idx="77">
                  <c:v>3.44E-2</c:v>
                </c:pt>
                <c:pt idx="78">
                  <c:v>3.0769999999999999E-2</c:v>
                </c:pt>
                <c:pt idx="79">
                  <c:v>2.7529999999999999E-2</c:v>
                </c:pt>
                <c:pt idx="80">
                  <c:v>2.462E-2</c:v>
                </c:pt>
                <c:pt idx="81">
                  <c:v>2.2419999999999999E-2</c:v>
                </c:pt>
                <c:pt idx="82">
                  <c:v>2.01E-2</c:v>
                </c:pt>
                <c:pt idx="83">
                  <c:v>1.789E-2</c:v>
                </c:pt>
                <c:pt idx="84">
                  <c:v>1.5949999999999999E-2</c:v>
                </c:pt>
                <c:pt idx="85">
                  <c:v>1.4330000000000001E-2</c:v>
                </c:pt>
                <c:pt idx="86">
                  <c:v>1.295E-2</c:v>
                </c:pt>
                <c:pt idx="87">
                  <c:v>1.1809999999999999E-2</c:v>
                </c:pt>
                <c:pt idx="88">
                  <c:v>1.0829999999999999E-2</c:v>
                </c:pt>
                <c:pt idx="89">
                  <c:v>1.001E-2</c:v>
                </c:pt>
                <c:pt idx="90">
                  <c:v>9.2800000000000001E-3</c:v>
                </c:pt>
                <c:pt idx="91">
                  <c:v>9.1400000000000006E-3</c:v>
                </c:pt>
                <c:pt idx="92">
                  <c:v>8.7299999999999999E-3</c:v>
                </c:pt>
                <c:pt idx="93">
                  <c:v>8.1399999999999997E-3</c:v>
                </c:pt>
                <c:pt idx="94">
                  <c:v>7.5900000000000004E-3</c:v>
                </c:pt>
                <c:pt idx="95">
                  <c:v>7.0299999999999998E-3</c:v>
                </c:pt>
                <c:pt idx="96">
                  <c:v>6.5900000000000004E-3</c:v>
                </c:pt>
                <c:pt idx="97">
                  <c:v>6.28E-3</c:v>
                </c:pt>
                <c:pt idx="98">
                  <c:v>6.5799999999999999E-3</c:v>
                </c:pt>
                <c:pt idx="99">
                  <c:v>6.6E-3</c:v>
                </c:pt>
                <c:pt idx="100">
                  <c:v>6.4799999999999996E-3</c:v>
                </c:pt>
                <c:pt idx="101">
                  <c:v>6.5500000000000003E-3</c:v>
                </c:pt>
                <c:pt idx="102">
                  <c:v>6.9100000000000003E-3</c:v>
                </c:pt>
                <c:pt idx="103">
                  <c:v>6.8799999999999998E-3</c:v>
                </c:pt>
                <c:pt idx="104">
                  <c:v>6.6100000000000004E-3</c:v>
                </c:pt>
                <c:pt idx="105">
                  <c:v>6.3E-3</c:v>
                </c:pt>
                <c:pt idx="106">
                  <c:v>6.0000000000000001E-3</c:v>
                </c:pt>
                <c:pt idx="107">
                  <c:v>5.6800000000000002E-3</c:v>
                </c:pt>
                <c:pt idx="108">
                  <c:v>5.4299999999999999E-3</c:v>
                </c:pt>
                <c:pt idx="109">
                  <c:v>5.2900000000000004E-3</c:v>
                </c:pt>
                <c:pt idx="110">
                  <c:v>5.1799999999999997E-3</c:v>
                </c:pt>
                <c:pt idx="111">
                  <c:v>5.11E-3</c:v>
                </c:pt>
                <c:pt idx="112">
                  <c:v>5.0600000000000003E-3</c:v>
                </c:pt>
                <c:pt idx="113">
                  <c:v>5.0499999999999998E-3</c:v>
                </c:pt>
                <c:pt idx="114">
                  <c:v>5.0200000000000002E-3</c:v>
                </c:pt>
                <c:pt idx="115">
                  <c:v>5.0000000000000001E-3</c:v>
                </c:pt>
                <c:pt idx="116">
                  <c:v>4.8399999999999997E-3</c:v>
                </c:pt>
                <c:pt idx="117">
                  <c:v>4.6499999999999996E-3</c:v>
                </c:pt>
                <c:pt idx="118">
                  <c:v>4.4999999999999997E-3</c:v>
                </c:pt>
                <c:pt idx="119">
                  <c:v>4.3099999999999996E-3</c:v>
                </c:pt>
                <c:pt idx="120">
                  <c:v>4.1900000000000001E-3</c:v>
                </c:pt>
                <c:pt idx="121">
                  <c:v>4.1799999999999997E-3</c:v>
                </c:pt>
                <c:pt idx="122">
                  <c:v>4.1900000000000001E-3</c:v>
                </c:pt>
                <c:pt idx="123">
                  <c:v>5.4400000000000004E-3</c:v>
                </c:pt>
                <c:pt idx="124">
                  <c:v>1.0580000000000001E-2</c:v>
                </c:pt>
                <c:pt idx="125">
                  <c:v>1.392E-2</c:v>
                </c:pt>
                <c:pt idx="126">
                  <c:v>1.6070000000000001E-2</c:v>
                </c:pt>
                <c:pt idx="127">
                  <c:v>1.738E-2</c:v>
                </c:pt>
                <c:pt idx="128">
                  <c:v>1.7930000000000001E-2</c:v>
                </c:pt>
                <c:pt idx="129">
                  <c:v>1.7989999999999999E-2</c:v>
                </c:pt>
                <c:pt idx="130">
                  <c:v>1.7749999999999998E-2</c:v>
                </c:pt>
                <c:pt idx="131">
                  <c:v>1.7219999999999999E-2</c:v>
                </c:pt>
                <c:pt idx="132">
                  <c:v>1.6590000000000001E-2</c:v>
                </c:pt>
                <c:pt idx="133">
                  <c:v>1.593E-2</c:v>
                </c:pt>
                <c:pt idx="134">
                  <c:v>1.52E-2</c:v>
                </c:pt>
                <c:pt idx="135">
                  <c:v>1.4449999999999999E-2</c:v>
                </c:pt>
                <c:pt idx="136">
                  <c:v>1.37E-2</c:v>
                </c:pt>
                <c:pt idx="137">
                  <c:v>1.3010000000000001E-2</c:v>
                </c:pt>
                <c:pt idx="138">
                  <c:v>1.23E-2</c:v>
                </c:pt>
                <c:pt idx="139">
                  <c:v>1.163E-2</c:v>
                </c:pt>
                <c:pt idx="140">
                  <c:v>1.0840000000000001E-2</c:v>
                </c:pt>
                <c:pt idx="141">
                  <c:v>1.0059999999999999E-2</c:v>
                </c:pt>
                <c:pt idx="142">
                  <c:v>9.3399999999999993E-3</c:v>
                </c:pt>
                <c:pt idx="143">
                  <c:v>8.6400000000000001E-3</c:v>
                </c:pt>
                <c:pt idx="144">
                  <c:v>8.0499999999999999E-3</c:v>
                </c:pt>
                <c:pt idx="145">
                  <c:v>7.6099999999999996E-3</c:v>
                </c:pt>
                <c:pt idx="146">
                  <c:v>7.2300000000000003E-3</c:v>
                </c:pt>
                <c:pt idx="147">
                  <c:v>6.9100000000000003E-3</c:v>
                </c:pt>
                <c:pt idx="148">
                  <c:v>6.6499999999999997E-3</c:v>
                </c:pt>
                <c:pt idx="149">
                  <c:v>6.45E-3</c:v>
                </c:pt>
                <c:pt idx="150">
                  <c:v>6.2500000000000003E-3</c:v>
                </c:pt>
                <c:pt idx="151">
                  <c:v>6.0899999999999999E-3</c:v>
                </c:pt>
                <c:pt idx="152">
                  <c:v>5.79E-3</c:v>
                </c:pt>
                <c:pt idx="153">
                  <c:v>5.4900000000000001E-3</c:v>
                </c:pt>
                <c:pt idx="154">
                  <c:v>5.2199999999999998E-3</c:v>
                </c:pt>
                <c:pt idx="155">
                  <c:v>4.9500000000000004E-3</c:v>
                </c:pt>
                <c:pt idx="156">
                  <c:v>4.7499999999999999E-3</c:v>
                </c:pt>
                <c:pt idx="157">
                  <c:v>4.6699999999999997E-3</c:v>
                </c:pt>
                <c:pt idx="158">
                  <c:v>4.62E-3</c:v>
                </c:pt>
                <c:pt idx="159">
                  <c:v>4.5999999999999999E-3</c:v>
                </c:pt>
                <c:pt idx="160">
                  <c:v>4.6100000000000004E-3</c:v>
                </c:pt>
                <c:pt idx="161">
                  <c:v>4.6600000000000001E-3</c:v>
                </c:pt>
                <c:pt idx="162">
                  <c:v>4.6699999999999997E-3</c:v>
                </c:pt>
                <c:pt idx="163">
                  <c:v>4.7000000000000002E-3</c:v>
                </c:pt>
                <c:pt idx="164">
                  <c:v>4.5799999999999999E-3</c:v>
                </c:pt>
                <c:pt idx="165">
                  <c:v>4.4299999999999999E-3</c:v>
                </c:pt>
                <c:pt idx="166">
                  <c:v>4.3E-3</c:v>
                </c:pt>
                <c:pt idx="167">
                  <c:v>4.15E-3</c:v>
                </c:pt>
                <c:pt idx="168">
                  <c:v>4.0499999999999998E-3</c:v>
                </c:pt>
                <c:pt idx="169">
                  <c:v>4.0699999999999998E-3</c:v>
                </c:pt>
                <c:pt idx="170">
                  <c:v>4.0899999999999999E-3</c:v>
                </c:pt>
                <c:pt idx="171">
                  <c:v>4.15E-3</c:v>
                </c:pt>
                <c:pt idx="172">
                  <c:v>4.2199999999999998E-3</c:v>
                </c:pt>
                <c:pt idx="173">
                  <c:v>4.3200000000000001E-3</c:v>
                </c:pt>
                <c:pt idx="174">
                  <c:v>4.3800000000000002E-3</c:v>
                </c:pt>
                <c:pt idx="175">
                  <c:v>4.45E-3</c:v>
                </c:pt>
                <c:pt idx="176">
                  <c:v>4.3699999999999998E-3</c:v>
                </c:pt>
                <c:pt idx="177">
                  <c:v>4.2500000000000003E-3</c:v>
                </c:pt>
                <c:pt idx="178">
                  <c:v>4.15E-3</c:v>
                </c:pt>
                <c:pt idx="179">
                  <c:v>4.0099999999999997E-3</c:v>
                </c:pt>
                <c:pt idx="180">
                  <c:v>3.9399999999999999E-3</c:v>
                </c:pt>
                <c:pt idx="181">
                  <c:v>3.9699999999999996E-3</c:v>
                </c:pt>
                <c:pt idx="182">
                  <c:v>4.0099999999999997E-3</c:v>
                </c:pt>
                <c:pt idx="183">
                  <c:v>4.0800000000000003E-3</c:v>
                </c:pt>
                <c:pt idx="184">
                  <c:v>4.3400000000000001E-3</c:v>
                </c:pt>
                <c:pt idx="185">
                  <c:v>5.0800000000000003E-3</c:v>
                </c:pt>
                <c:pt idx="186">
                  <c:v>5.13E-3</c:v>
                </c:pt>
                <c:pt idx="187">
                  <c:v>5.13E-3</c:v>
                </c:pt>
                <c:pt idx="188">
                  <c:v>4.9699999999999996E-3</c:v>
                </c:pt>
                <c:pt idx="189">
                  <c:v>4.7800000000000004E-3</c:v>
                </c:pt>
                <c:pt idx="190">
                  <c:v>4.6100000000000004E-3</c:v>
                </c:pt>
                <c:pt idx="191">
                  <c:v>4.4099999999999999E-3</c:v>
                </c:pt>
                <c:pt idx="192">
                  <c:v>4.2900000000000004E-3</c:v>
                </c:pt>
                <c:pt idx="193">
                  <c:v>4.2700000000000004E-3</c:v>
                </c:pt>
                <c:pt idx="194">
                  <c:v>4.2700000000000004E-3</c:v>
                </c:pt>
                <c:pt idx="195">
                  <c:v>4.3E-3</c:v>
                </c:pt>
                <c:pt idx="196">
                  <c:v>4.3600000000000002E-3</c:v>
                </c:pt>
                <c:pt idx="197">
                  <c:v>4.4400000000000004E-3</c:v>
                </c:pt>
                <c:pt idx="198">
                  <c:v>4.4799999999999996E-3</c:v>
                </c:pt>
                <c:pt idx="199">
                  <c:v>4.6800000000000001E-3</c:v>
                </c:pt>
                <c:pt idx="200">
                  <c:v>5.1799999999999997E-3</c:v>
                </c:pt>
                <c:pt idx="201">
                  <c:v>5.13E-3</c:v>
                </c:pt>
                <c:pt idx="202">
                  <c:v>5.0000000000000001E-3</c:v>
                </c:pt>
                <c:pt idx="203">
                  <c:v>4.8300000000000001E-3</c:v>
                </c:pt>
                <c:pt idx="204">
                  <c:v>4.7099999999999998E-3</c:v>
                </c:pt>
                <c:pt idx="205">
                  <c:v>4.6800000000000001E-3</c:v>
                </c:pt>
                <c:pt idx="206">
                  <c:v>4.6699999999999997E-3</c:v>
                </c:pt>
                <c:pt idx="207">
                  <c:v>4.6800000000000001E-3</c:v>
                </c:pt>
                <c:pt idx="208">
                  <c:v>5.0499999999999998E-3</c:v>
                </c:pt>
                <c:pt idx="209">
                  <c:v>5.5100000000000001E-3</c:v>
                </c:pt>
                <c:pt idx="210">
                  <c:v>5.5500000000000002E-3</c:v>
                </c:pt>
                <c:pt idx="211">
                  <c:v>5.5300000000000002E-3</c:v>
                </c:pt>
                <c:pt idx="212">
                  <c:v>5.3299999999999997E-3</c:v>
                </c:pt>
                <c:pt idx="213">
                  <c:v>5.1000000000000004E-3</c:v>
                </c:pt>
                <c:pt idx="214">
                  <c:v>4.8900000000000002E-3</c:v>
                </c:pt>
                <c:pt idx="215">
                  <c:v>5.3499999999999997E-3</c:v>
                </c:pt>
                <c:pt idx="216">
                  <c:v>5.3E-3</c:v>
                </c:pt>
                <c:pt idx="217">
                  <c:v>5.2100000000000002E-3</c:v>
                </c:pt>
                <c:pt idx="218">
                  <c:v>5.11E-3</c:v>
                </c:pt>
                <c:pt idx="219">
                  <c:v>5.0400000000000002E-3</c:v>
                </c:pt>
                <c:pt idx="220">
                  <c:v>5.0099999999999997E-3</c:v>
                </c:pt>
                <c:pt idx="221">
                  <c:v>5.0000000000000001E-3</c:v>
                </c:pt>
                <c:pt idx="222">
                  <c:v>4.9699999999999996E-3</c:v>
                </c:pt>
                <c:pt idx="223">
                  <c:v>4.9699999999999996E-3</c:v>
                </c:pt>
                <c:pt idx="224">
                  <c:v>4.8199999999999996E-3</c:v>
                </c:pt>
                <c:pt idx="225">
                  <c:v>4.64E-3</c:v>
                </c:pt>
                <c:pt idx="226">
                  <c:v>4.4799999999999996E-3</c:v>
                </c:pt>
                <c:pt idx="227">
                  <c:v>4.3E-3</c:v>
                </c:pt>
                <c:pt idx="228">
                  <c:v>4.1999999999999997E-3</c:v>
                </c:pt>
                <c:pt idx="229">
                  <c:v>4.1900000000000001E-3</c:v>
                </c:pt>
                <c:pt idx="230">
                  <c:v>4.2100000000000002E-3</c:v>
                </c:pt>
                <c:pt idx="231">
                  <c:v>4.2599999999999999E-3</c:v>
                </c:pt>
                <c:pt idx="232">
                  <c:v>4.3200000000000001E-3</c:v>
                </c:pt>
                <c:pt idx="233">
                  <c:v>4.4099999999999999E-3</c:v>
                </c:pt>
                <c:pt idx="234">
                  <c:v>4.47E-3</c:v>
                </c:pt>
                <c:pt idx="235">
                  <c:v>4.5300000000000002E-3</c:v>
                </c:pt>
                <c:pt idx="236">
                  <c:v>4.4400000000000004E-3</c:v>
                </c:pt>
                <c:pt idx="237">
                  <c:v>4.3200000000000001E-3</c:v>
                </c:pt>
                <c:pt idx="238">
                  <c:v>4.2100000000000002E-3</c:v>
                </c:pt>
                <c:pt idx="239">
                  <c:v>4.0699999999999998E-3</c:v>
                </c:pt>
                <c:pt idx="240">
                  <c:v>4.0000000000000001E-3</c:v>
                </c:pt>
                <c:pt idx="241">
                  <c:v>4.0299999999999997E-3</c:v>
                </c:pt>
                <c:pt idx="242">
                  <c:v>4.0699999999999998E-3</c:v>
                </c:pt>
                <c:pt idx="243">
                  <c:v>4.1399999999999996E-3</c:v>
                </c:pt>
                <c:pt idx="244">
                  <c:v>4.2199999999999998E-3</c:v>
                </c:pt>
                <c:pt idx="245">
                  <c:v>4.3299999999999996E-3</c:v>
                </c:pt>
                <c:pt idx="246">
                  <c:v>4.4000000000000003E-3</c:v>
                </c:pt>
                <c:pt idx="247">
                  <c:v>4.4799999999999996E-3</c:v>
                </c:pt>
                <c:pt idx="248">
                  <c:v>4.3899999999999998E-3</c:v>
                </c:pt>
                <c:pt idx="249">
                  <c:v>4.28E-3</c:v>
                </c:pt>
                <c:pt idx="250">
                  <c:v>5.2700000000000004E-3</c:v>
                </c:pt>
                <c:pt idx="251">
                  <c:v>5.2500000000000003E-3</c:v>
                </c:pt>
                <c:pt idx="252">
                  <c:v>5.2300000000000003E-3</c:v>
                </c:pt>
                <c:pt idx="253">
                  <c:v>5.1700000000000001E-3</c:v>
                </c:pt>
                <c:pt idx="254">
                  <c:v>5.0899999999999999E-3</c:v>
                </c:pt>
                <c:pt idx="255">
                  <c:v>5.1200000000000004E-3</c:v>
                </c:pt>
                <c:pt idx="256">
                  <c:v>5.1500000000000001E-3</c:v>
                </c:pt>
                <c:pt idx="257">
                  <c:v>5.3200000000000001E-3</c:v>
                </c:pt>
                <c:pt idx="258">
                  <c:v>5.5700000000000003E-3</c:v>
                </c:pt>
                <c:pt idx="259">
                  <c:v>5.9100000000000003E-3</c:v>
                </c:pt>
                <c:pt idx="260">
                  <c:v>6.0800000000000003E-3</c:v>
                </c:pt>
                <c:pt idx="261">
                  <c:v>6.1900000000000002E-3</c:v>
                </c:pt>
                <c:pt idx="262">
                  <c:v>6.7200000000000003E-3</c:v>
                </c:pt>
                <c:pt idx="263">
                  <c:v>6.6499999999999997E-3</c:v>
                </c:pt>
                <c:pt idx="264">
                  <c:v>6.5399999999999998E-3</c:v>
                </c:pt>
                <c:pt idx="265">
                  <c:v>6.45E-3</c:v>
                </c:pt>
                <c:pt idx="266">
                  <c:v>6.3400000000000001E-3</c:v>
                </c:pt>
                <c:pt idx="267">
                  <c:v>7.1399999999999996E-3</c:v>
                </c:pt>
                <c:pt idx="268">
                  <c:v>8.0099999999999998E-3</c:v>
                </c:pt>
                <c:pt idx="269">
                  <c:v>8.5900000000000004E-3</c:v>
                </c:pt>
                <c:pt idx="270">
                  <c:v>8.7600000000000004E-3</c:v>
                </c:pt>
                <c:pt idx="271">
                  <c:v>8.9499999999999996E-3</c:v>
                </c:pt>
                <c:pt idx="272">
                  <c:v>8.8000000000000005E-3</c:v>
                </c:pt>
                <c:pt idx="273">
                  <c:v>8.8699999999999994E-3</c:v>
                </c:pt>
                <c:pt idx="274">
                  <c:v>9.2899999999999996E-3</c:v>
                </c:pt>
                <c:pt idx="275">
                  <c:v>9.3500000000000007E-3</c:v>
                </c:pt>
                <c:pt idx="276">
                  <c:v>9.2200000000000008E-3</c:v>
                </c:pt>
                <c:pt idx="277">
                  <c:v>9.0200000000000002E-3</c:v>
                </c:pt>
                <c:pt idx="278">
                  <c:v>8.8999999999999999E-3</c:v>
                </c:pt>
                <c:pt idx="279">
                  <c:v>9.2499999999999995E-3</c:v>
                </c:pt>
                <c:pt idx="280">
                  <c:v>9.6600000000000002E-3</c:v>
                </c:pt>
                <c:pt idx="281">
                  <c:v>9.9600000000000001E-3</c:v>
                </c:pt>
                <c:pt idx="282">
                  <c:v>9.6900000000000007E-3</c:v>
                </c:pt>
                <c:pt idx="283">
                  <c:v>9.4999999999999998E-3</c:v>
                </c:pt>
                <c:pt idx="284">
                  <c:v>9.3299999999999998E-3</c:v>
                </c:pt>
                <c:pt idx="285">
                  <c:v>8.3300000000000006E-3</c:v>
                </c:pt>
                <c:pt idx="286">
                  <c:v>7.4599999999999996E-3</c:v>
                </c:pt>
                <c:pt idx="287">
                  <c:v>7.3299999999999997E-3</c:v>
                </c:pt>
                <c:pt idx="288">
                  <c:v>7.6699999999999997E-3</c:v>
                </c:pt>
                <c:pt idx="289">
                  <c:v>2.0670000000000001E-2</c:v>
                </c:pt>
                <c:pt idx="290">
                  <c:v>2.3220000000000001E-2</c:v>
                </c:pt>
                <c:pt idx="291">
                  <c:v>2.6190000000000001E-2</c:v>
                </c:pt>
                <c:pt idx="292">
                  <c:v>2.7179999999999999E-2</c:v>
                </c:pt>
                <c:pt idx="293">
                  <c:v>2.86E-2</c:v>
                </c:pt>
                <c:pt idx="294">
                  <c:v>2.9919999999999999E-2</c:v>
                </c:pt>
                <c:pt idx="295">
                  <c:v>3.2079999999999997E-2</c:v>
                </c:pt>
                <c:pt idx="296">
                  <c:v>3.771E-2</c:v>
                </c:pt>
                <c:pt idx="297">
                  <c:v>5.3809999999999997E-2</c:v>
                </c:pt>
                <c:pt idx="298">
                  <c:v>5.7509999999999999E-2</c:v>
                </c:pt>
                <c:pt idx="299">
                  <c:v>5.6910000000000002E-2</c:v>
                </c:pt>
                <c:pt idx="300">
                  <c:v>5.6890000000000003E-2</c:v>
                </c:pt>
                <c:pt idx="301">
                  <c:v>5.74E-2</c:v>
                </c:pt>
                <c:pt idx="302">
                  <c:v>5.4690000000000003E-2</c:v>
                </c:pt>
                <c:pt idx="303">
                  <c:v>5.2319999999999998E-2</c:v>
                </c:pt>
                <c:pt idx="304">
                  <c:v>4.7759999999999997E-2</c:v>
                </c:pt>
                <c:pt idx="305">
                  <c:v>4.1610000000000001E-2</c:v>
                </c:pt>
                <c:pt idx="306">
                  <c:v>3.857E-2</c:v>
                </c:pt>
                <c:pt idx="307">
                  <c:v>3.4639999999999997E-2</c:v>
                </c:pt>
                <c:pt idx="308">
                  <c:v>3.4439999999999998E-2</c:v>
                </c:pt>
                <c:pt idx="309">
                  <c:v>3.7019999999999997E-2</c:v>
                </c:pt>
                <c:pt idx="310">
                  <c:v>3.5860000000000003E-2</c:v>
                </c:pt>
                <c:pt idx="311">
                  <c:v>3.3930000000000002E-2</c:v>
                </c:pt>
                <c:pt idx="312">
                  <c:v>3.1789999999999999E-2</c:v>
                </c:pt>
                <c:pt idx="313">
                  <c:v>3.0419999999999999E-2</c:v>
                </c:pt>
                <c:pt idx="314">
                  <c:v>2.904E-2</c:v>
                </c:pt>
                <c:pt idx="315">
                  <c:v>2.8459999999999999E-2</c:v>
                </c:pt>
                <c:pt idx="316">
                  <c:v>2.6579999999999999E-2</c:v>
                </c:pt>
                <c:pt idx="317">
                  <c:v>2.4930000000000001E-2</c:v>
                </c:pt>
                <c:pt idx="318">
                  <c:v>2.4070000000000001E-2</c:v>
                </c:pt>
                <c:pt idx="319">
                  <c:v>2.2290000000000001E-2</c:v>
                </c:pt>
                <c:pt idx="320">
                  <c:v>2.12E-2</c:v>
                </c:pt>
                <c:pt idx="321">
                  <c:v>1.9550000000000001E-2</c:v>
                </c:pt>
                <c:pt idx="322">
                  <c:v>1.8599999999999998E-2</c:v>
                </c:pt>
                <c:pt idx="323">
                  <c:v>1.737E-2</c:v>
                </c:pt>
                <c:pt idx="324">
                  <c:v>1.609E-2</c:v>
                </c:pt>
                <c:pt idx="325">
                  <c:v>1.4970000000000001E-2</c:v>
                </c:pt>
                <c:pt idx="326">
                  <c:v>1.376E-2</c:v>
                </c:pt>
                <c:pt idx="327">
                  <c:v>1.3259999999999999E-2</c:v>
                </c:pt>
                <c:pt idx="328">
                  <c:v>1.264E-2</c:v>
                </c:pt>
                <c:pt idx="329">
                  <c:v>1.2370000000000001E-2</c:v>
                </c:pt>
                <c:pt idx="330">
                  <c:v>1.179E-2</c:v>
                </c:pt>
                <c:pt idx="331">
                  <c:v>1.15E-2</c:v>
                </c:pt>
                <c:pt idx="332">
                  <c:v>1.103E-2</c:v>
                </c:pt>
                <c:pt idx="333">
                  <c:v>1.2829999999999999E-2</c:v>
                </c:pt>
                <c:pt idx="334">
                  <c:v>1.519E-2</c:v>
                </c:pt>
                <c:pt idx="335">
                  <c:v>1.5959999999999998E-2</c:v>
                </c:pt>
                <c:pt idx="336">
                  <c:v>1.5440000000000001E-2</c:v>
                </c:pt>
                <c:pt idx="337">
                  <c:v>1.507E-2</c:v>
                </c:pt>
                <c:pt idx="338">
                  <c:v>1.4999999999999999E-2</c:v>
                </c:pt>
                <c:pt idx="339">
                  <c:v>1.4019999999999999E-2</c:v>
                </c:pt>
                <c:pt idx="340">
                  <c:v>1.3820000000000001E-2</c:v>
                </c:pt>
                <c:pt idx="341">
                  <c:v>1.3639999999999999E-2</c:v>
                </c:pt>
                <c:pt idx="342">
                  <c:v>1.3050000000000001E-2</c:v>
                </c:pt>
                <c:pt idx="343">
                  <c:v>1.2919999999999999E-2</c:v>
                </c:pt>
                <c:pt idx="344">
                  <c:v>1.264E-2</c:v>
                </c:pt>
                <c:pt idx="345">
                  <c:v>1.243E-2</c:v>
                </c:pt>
                <c:pt idx="346">
                  <c:v>1.2070000000000001E-2</c:v>
                </c:pt>
                <c:pt idx="347">
                  <c:v>1.136E-2</c:v>
                </c:pt>
                <c:pt idx="348">
                  <c:v>1.09E-2</c:v>
                </c:pt>
                <c:pt idx="349">
                  <c:v>1.0619999999999999E-2</c:v>
                </c:pt>
                <c:pt idx="350">
                  <c:v>1.072E-2</c:v>
                </c:pt>
                <c:pt idx="351">
                  <c:v>1.061E-2</c:v>
                </c:pt>
                <c:pt idx="352">
                  <c:v>1.0160000000000001E-2</c:v>
                </c:pt>
                <c:pt idx="353">
                  <c:v>9.9299999999999996E-3</c:v>
                </c:pt>
                <c:pt idx="354">
                  <c:v>9.6500000000000006E-3</c:v>
                </c:pt>
                <c:pt idx="355">
                  <c:v>9.5499999999999995E-3</c:v>
                </c:pt>
                <c:pt idx="356">
                  <c:v>9.2300000000000004E-3</c:v>
                </c:pt>
                <c:pt idx="357">
                  <c:v>8.9499999999999996E-3</c:v>
                </c:pt>
                <c:pt idx="358">
                  <c:v>8.6199999999999992E-3</c:v>
                </c:pt>
                <c:pt idx="359">
                  <c:v>8.4200000000000004E-3</c:v>
                </c:pt>
                <c:pt idx="360">
                  <c:v>8.0599999999999995E-3</c:v>
                </c:pt>
                <c:pt idx="361">
                  <c:v>7.8200000000000006E-3</c:v>
                </c:pt>
                <c:pt idx="362">
                  <c:v>7.4900000000000001E-3</c:v>
                </c:pt>
                <c:pt idx="363">
                  <c:v>7.4200000000000004E-3</c:v>
                </c:pt>
                <c:pt idx="364">
                  <c:v>7.3800000000000003E-3</c:v>
                </c:pt>
                <c:pt idx="365">
                  <c:v>7.62E-3</c:v>
                </c:pt>
                <c:pt idx="366">
                  <c:v>7.7200000000000003E-3</c:v>
                </c:pt>
                <c:pt idx="367">
                  <c:v>7.4200000000000004E-3</c:v>
                </c:pt>
                <c:pt idx="368">
                  <c:v>7.1900000000000002E-3</c:v>
                </c:pt>
                <c:pt idx="369">
                  <c:v>6.8199999999999997E-3</c:v>
                </c:pt>
                <c:pt idx="370">
                  <c:v>6.5199999999999998E-3</c:v>
                </c:pt>
                <c:pt idx="371">
                  <c:v>6.3600000000000002E-3</c:v>
                </c:pt>
                <c:pt idx="372">
                  <c:v>5.9699999999999996E-3</c:v>
                </c:pt>
                <c:pt idx="373">
                  <c:v>5.8799999999999998E-3</c:v>
                </c:pt>
                <c:pt idx="374">
                  <c:v>5.7999999999999996E-3</c:v>
                </c:pt>
                <c:pt idx="375">
                  <c:v>5.7400000000000003E-3</c:v>
                </c:pt>
                <c:pt idx="376">
                  <c:v>5.64E-3</c:v>
                </c:pt>
                <c:pt idx="377">
                  <c:v>5.7000000000000002E-3</c:v>
                </c:pt>
                <c:pt idx="378">
                  <c:v>5.79E-3</c:v>
                </c:pt>
                <c:pt idx="379">
                  <c:v>5.6899999999999997E-3</c:v>
                </c:pt>
                <c:pt idx="380">
                  <c:v>5.4999999999999997E-3</c:v>
                </c:pt>
                <c:pt idx="381">
                  <c:v>5.3899999999999998E-3</c:v>
                </c:pt>
                <c:pt idx="382">
                  <c:v>5.2399999999999999E-3</c:v>
                </c:pt>
                <c:pt idx="383">
                  <c:v>5.2900000000000004E-3</c:v>
                </c:pt>
                <c:pt idx="384">
                  <c:v>5.7999999999999996E-3</c:v>
                </c:pt>
                <c:pt idx="385">
                  <c:v>5.9899999999999997E-3</c:v>
                </c:pt>
                <c:pt idx="386">
                  <c:v>6.1999999999999998E-3</c:v>
                </c:pt>
                <c:pt idx="387">
                  <c:v>6.2599999999999999E-3</c:v>
                </c:pt>
                <c:pt idx="388">
                  <c:v>6.3E-3</c:v>
                </c:pt>
                <c:pt idx="389">
                  <c:v>6.5799999999999999E-3</c:v>
                </c:pt>
                <c:pt idx="390">
                  <c:v>6.6E-3</c:v>
                </c:pt>
                <c:pt idx="391">
                  <c:v>6.2500000000000003E-3</c:v>
                </c:pt>
                <c:pt idx="392">
                  <c:v>6.1599999999999997E-3</c:v>
                </c:pt>
                <c:pt idx="393">
                  <c:v>5.8900000000000003E-3</c:v>
                </c:pt>
                <c:pt idx="394">
                  <c:v>5.7800000000000004E-3</c:v>
                </c:pt>
                <c:pt idx="395">
                  <c:v>5.7499999999999999E-3</c:v>
                </c:pt>
                <c:pt idx="396">
                  <c:v>5.6299999999999996E-3</c:v>
                </c:pt>
                <c:pt idx="397">
                  <c:v>5.5700000000000003E-3</c:v>
                </c:pt>
                <c:pt idx="398">
                  <c:v>5.5500000000000002E-3</c:v>
                </c:pt>
                <c:pt idx="399">
                  <c:v>6.0099999999999997E-3</c:v>
                </c:pt>
                <c:pt idx="400">
                  <c:v>2.5409999999999999E-2</c:v>
                </c:pt>
                <c:pt idx="401">
                  <c:v>4.9849999999999998E-2</c:v>
                </c:pt>
                <c:pt idx="402">
                  <c:v>7.442E-2</c:v>
                </c:pt>
                <c:pt idx="403">
                  <c:v>9.9510000000000001E-2</c:v>
                </c:pt>
                <c:pt idx="404">
                  <c:v>0.10833</c:v>
                </c:pt>
                <c:pt idx="405">
                  <c:v>0.10814</c:v>
                </c:pt>
                <c:pt idx="406">
                  <c:v>0.10936</c:v>
                </c:pt>
                <c:pt idx="407">
                  <c:v>0.11007</c:v>
                </c:pt>
                <c:pt idx="408">
                  <c:v>0.10983</c:v>
                </c:pt>
                <c:pt idx="409">
                  <c:v>0.10781</c:v>
                </c:pt>
                <c:pt idx="410">
                  <c:v>0.11117</c:v>
                </c:pt>
                <c:pt idx="411">
                  <c:v>0.11448</c:v>
                </c:pt>
                <c:pt idx="412">
                  <c:v>0.10786999999999999</c:v>
                </c:pt>
                <c:pt idx="413">
                  <c:v>0.10366</c:v>
                </c:pt>
                <c:pt idx="414">
                  <c:v>9.9900000000000003E-2</c:v>
                </c:pt>
                <c:pt idx="415">
                  <c:v>9.0620000000000006E-2</c:v>
                </c:pt>
                <c:pt idx="416">
                  <c:v>8.3360000000000004E-2</c:v>
                </c:pt>
                <c:pt idx="417">
                  <c:v>7.9369999999999996E-2</c:v>
                </c:pt>
                <c:pt idx="418">
                  <c:v>7.0660000000000001E-2</c:v>
                </c:pt>
                <c:pt idx="419">
                  <c:v>6.9159999999999999E-2</c:v>
                </c:pt>
                <c:pt idx="420">
                  <c:v>6.4710000000000004E-2</c:v>
                </c:pt>
                <c:pt idx="421">
                  <c:v>6.4380000000000007E-2</c:v>
                </c:pt>
                <c:pt idx="422">
                  <c:v>5.951E-2</c:v>
                </c:pt>
                <c:pt idx="423">
                  <c:v>5.4960000000000002E-2</c:v>
                </c:pt>
                <c:pt idx="424">
                  <c:v>5.0900000000000001E-2</c:v>
                </c:pt>
                <c:pt idx="425">
                  <c:v>4.6559999999999997E-2</c:v>
                </c:pt>
                <c:pt idx="426">
                  <c:v>4.249E-2</c:v>
                </c:pt>
                <c:pt idx="427">
                  <c:v>3.9300000000000002E-2</c:v>
                </c:pt>
                <c:pt idx="428">
                  <c:v>3.5959999999999999E-2</c:v>
                </c:pt>
                <c:pt idx="429">
                  <c:v>3.2710000000000003E-2</c:v>
                </c:pt>
                <c:pt idx="430">
                  <c:v>2.9739999999999999E-2</c:v>
                </c:pt>
                <c:pt idx="431">
                  <c:v>2.4920000000000001E-2</c:v>
                </c:pt>
                <c:pt idx="432">
                  <c:v>2.1430000000000001E-2</c:v>
                </c:pt>
                <c:pt idx="433">
                  <c:v>1.8630000000000001E-2</c:v>
                </c:pt>
                <c:pt idx="434">
                  <c:v>1.685E-2</c:v>
                </c:pt>
                <c:pt idx="435">
                  <c:v>1.5699999999999999E-2</c:v>
                </c:pt>
                <c:pt idx="436">
                  <c:v>1.482E-2</c:v>
                </c:pt>
                <c:pt idx="437">
                  <c:v>1.4149999999999999E-2</c:v>
                </c:pt>
                <c:pt idx="438">
                  <c:v>1.3639999999999999E-2</c:v>
                </c:pt>
                <c:pt idx="439">
                  <c:v>1.328E-2</c:v>
                </c:pt>
                <c:pt idx="440">
                  <c:v>1.247E-2</c:v>
                </c:pt>
                <c:pt idx="441">
                  <c:v>1.176E-2</c:v>
                </c:pt>
                <c:pt idx="442">
                  <c:v>1.1270000000000001E-2</c:v>
                </c:pt>
                <c:pt idx="443">
                  <c:v>1.0330000000000001E-2</c:v>
                </c:pt>
                <c:pt idx="444">
                  <c:v>9.8200000000000006E-3</c:v>
                </c:pt>
                <c:pt idx="445">
                  <c:v>9.3399999999999993E-3</c:v>
                </c:pt>
                <c:pt idx="446">
                  <c:v>8.7799999999999996E-3</c:v>
                </c:pt>
                <c:pt idx="447">
                  <c:v>8.4200000000000004E-3</c:v>
                </c:pt>
                <c:pt idx="448">
                  <c:v>8.3599999999999994E-3</c:v>
                </c:pt>
                <c:pt idx="449">
                  <c:v>7.9799999999999992E-3</c:v>
                </c:pt>
                <c:pt idx="450">
                  <c:v>7.6600000000000001E-3</c:v>
                </c:pt>
                <c:pt idx="451">
                  <c:v>7.3899999999999999E-3</c:v>
                </c:pt>
                <c:pt idx="452">
                  <c:v>7.1799999999999998E-3</c:v>
                </c:pt>
                <c:pt idx="453">
                  <c:v>6.8399999999999997E-3</c:v>
                </c:pt>
                <c:pt idx="454">
                  <c:v>6.45E-3</c:v>
                </c:pt>
                <c:pt idx="455">
                  <c:v>6.0600000000000003E-3</c:v>
                </c:pt>
                <c:pt idx="456">
                  <c:v>5.7499999999999999E-3</c:v>
                </c:pt>
                <c:pt idx="457">
                  <c:v>5.5700000000000003E-3</c:v>
                </c:pt>
                <c:pt idx="458">
                  <c:v>5.47E-3</c:v>
                </c:pt>
                <c:pt idx="459">
                  <c:v>5.79E-3</c:v>
                </c:pt>
                <c:pt idx="460">
                  <c:v>5.2100000000000002E-3</c:v>
                </c:pt>
                <c:pt idx="461">
                  <c:v>5.2300000000000003E-3</c:v>
                </c:pt>
                <c:pt idx="462">
                  <c:v>5.1799999999999997E-3</c:v>
                </c:pt>
                <c:pt idx="463">
                  <c:v>5.0800000000000003E-3</c:v>
                </c:pt>
                <c:pt idx="464">
                  <c:v>5.0200000000000002E-3</c:v>
                </c:pt>
                <c:pt idx="465">
                  <c:v>4.8599999999999997E-3</c:v>
                </c:pt>
                <c:pt idx="466">
                  <c:v>4.7299999999999998E-3</c:v>
                </c:pt>
                <c:pt idx="467">
                  <c:v>4.5999999999999999E-3</c:v>
                </c:pt>
                <c:pt idx="468">
                  <c:v>4.4900000000000001E-3</c:v>
                </c:pt>
                <c:pt idx="469">
                  <c:v>4.45E-3</c:v>
                </c:pt>
                <c:pt idx="470">
                  <c:v>4.4400000000000004E-3</c:v>
                </c:pt>
                <c:pt idx="471">
                  <c:v>4.3699999999999998E-3</c:v>
                </c:pt>
                <c:pt idx="472">
                  <c:v>4.3299999999999996E-3</c:v>
                </c:pt>
                <c:pt idx="473">
                  <c:v>4.3600000000000002E-3</c:v>
                </c:pt>
                <c:pt idx="474">
                  <c:v>4.4000000000000003E-3</c:v>
                </c:pt>
                <c:pt idx="475">
                  <c:v>4.3600000000000002E-3</c:v>
                </c:pt>
                <c:pt idx="476">
                  <c:v>4.3899999999999998E-3</c:v>
                </c:pt>
                <c:pt idx="477">
                  <c:v>4.3899999999999998E-3</c:v>
                </c:pt>
                <c:pt idx="478">
                  <c:v>4.3400000000000001E-3</c:v>
                </c:pt>
                <c:pt idx="479">
                  <c:v>4.2599999999999999E-3</c:v>
                </c:pt>
                <c:pt idx="480">
                  <c:v>4.1900000000000001E-3</c:v>
                </c:pt>
                <c:pt idx="481">
                  <c:v>4.1700000000000001E-3</c:v>
                </c:pt>
                <c:pt idx="482">
                  <c:v>4.2399999999999998E-3</c:v>
                </c:pt>
                <c:pt idx="483">
                  <c:v>4.1700000000000001E-3</c:v>
                </c:pt>
                <c:pt idx="484">
                  <c:v>4.1900000000000001E-3</c:v>
                </c:pt>
                <c:pt idx="485">
                  <c:v>4.3899999999999998E-3</c:v>
                </c:pt>
                <c:pt idx="486">
                  <c:v>4.7000000000000002E-3</c:v>
                </c:pt>
                <c:pt idx="487">
                  <c:v>4.7600000000000003E-3</c:v>
                </c:pt>
                <c:pt idx="488">
                  <c:v>4.5500000000000002E-3</c:v>
                </c:pt>
                <c:pt idx="489">
                  <c:v>4.3699999999999998E-3</c:v>
                </c:pt>
                <c:pt idx="490">
                  <c:v>4.2399999999999998E-3</c:v>
                </c:pt>
                <c:pt idx="491">
                  <c:v>4.0400000000000002E-3</c:v>
                </c:pt>
                <c:pt idx="492">
                  <c:v>3.8800000000000002E-3</c:v>
                </c:pt>
                <c:pt idx="493">
                  <c:v>3.8500000000000001E-3</c:v>
                </c:pt>
                <c:pt idx="494">
                  <c:v>4.0000000000000001E-3</c:v>
                </c:pt>
                <c:pt idx="495">
                  <c:v>4.1999999999999997E-3</c:v>
                </c:pt>
                <c:pt idx="496">
                  <c:v>4.1999999999999997E-3</c:v>
                </c:pt>
                <c:pt idx="497">
                  <c:v>4.3200000000000001E-3</c:v>
                </c:pt>
                <c:pt idx="498">
                  <c:v>4.4000000000000003E-3</c:v>
                </c:pt>
                <c:pt idx="499">
                  <c:v>4.45E-3</c:v>
                </c:pt>
                <c:pt idx="500">
                  <c:v>4.4400000000000004E-3</c:v>
                </c:pt>
                <c:pt idx="501">
                  <c:v>4.2500000000000003E-3</c:v>
                </c:pt>
                <c:pt idx="502">
                  <c:v>4.1799999999999997E-3</c:v>
                </c:pt>
                <c:pt idx="503">
                  <c:v>4.0600000000000002E-3</c:v>
                </c:pt>
                <c:pt idx="504">
                  <c:v>3.96E-3</c:v>
                </c:pt>
                <c:pt idx="505">
                  <c:v>4.0699999999999998E-3</c:v>
                </c:pt>
                <c:pt idx="506">
                  <c:v>4.0499999999999998E-3</c:v>
                </c:pt>
                <c:pt idx="507">
                  <c:v>4.0400000000000002E-3</c:v>
                </c:pt>
                <c:pt idx="508">
                  <c:v>4.0299999999999997E-3</c:v>
                </c:pt>
                <c:pt idx="509">
                  <c:v>4.1399999999999996E-3</c:v>
                </c:pt>
                <c:pt idx="510">
                  <c:v>4.2100000000000002E-3</c:v>
                </c:pt>
                <c:pt idx="511">
                  <c:v>4.3099999999999996E-3</c:v>
                </c:pt>
                <c:pt idx="512">
                  <c:v>4.4200000000000003E-3</c:v>
                </c:pt>
                <c:pt idx="513">
                  <c:v>4.3800000000000002E-3</c:v>
                </c:pt>
                <c:pt idx="514">
                  <c:v>4.3099999999999996E-3</c:v>
                </c:pt>
                <c:pt idx="515">
                  <c:v>4.1900000000000001E-3</c:v>
                </c:pt>
                <c:pt idx="516">
                  <c:v>4.1999999999999997E-3</c:v>
                </c:pt>
                <c:pt idx="517">
                  <c:v>4.0699999999999998E-3</c:v>
                </c:pt>
                <c:pt idx="518">
                  <c:v>4.0899999999999999E-3</c:v>
                </c:pt>
                <c:pt idx="519">
                  <c:v>4.3200000000000001E-3</c:v>
                </c:pt>
                <c:pt idx="520">
                  <c:v>4.7099999999999998E-3</c:v>
                </c:pt>
                <c:pt idx="521">
                  <c:v>4.9100000000000003E-3</c:v>
                </c:pt>
                <c:pt idx="522">
                  <c:v>4.6800000000000001E-3</c:v>
                </c:pt>
                <c:pt idx="523">
                  <c:v>4.7400000000000003E-3</c:v>
                </c:pt>
                <c:pt idx="524">
                  <c:v>4.4799999999999996E-3</c:v>
                </c:pt>
                <c:pt idx="525">
                  <c:v>4.3200000000000001E-3</c:v>
                </c:pt>
                <c:pt idx="526">
                  <c:v>4.2100000000000002E-3</c:v>
                </c:pt>
                <c:pt idx="527">
                  <c:v>4.0699999999999998E-3</c:v>
                </c:pt>
                <c:pt idx="528">
                  <c:v>4.0400000000000002E-3</c:v>
                </c:pt>
                <c:pt idx="529">
                  <c:v>3.8600000000000001E-3</c:v>
                </c:pt>
                <c:pt idx="530">
                  <c:v>3.8999999999999998E-3</c:v>
                </c:pt>
                <c:pt idx="531">
                  <c:v>3.9899999999999996E-3</c:v>
                </c:pt>
                <c:pt idx="532">
                  <c:v>4.0200000000000001E-3</c:v>
                </c:pt>
                <c:pt idx="533">
                  <c:v>4.0000000000000001E-3</c:v>
                </c:pt>
                <c:pt idx="534">
                  <c:v>3.9100000000000003E-3</c:v>
                </c:pt>
                <c:pt idx="535">
                  <c:v>4.0899999999999999E-3</c:v>
                </c:pt>
                <c:pt idx="536">
                  <c:v>4.3499999999999997E-3</c:v>
                </c:pt>
                <c:pt idx="537">
                  <c:v>4.4900000000000001E-3</c:v>
                </c:pt>
                <c:pt idx="538">
                  <c:v>4.81E-3</c:v>
                </c:pt>
                <c:pt idx="539">
                  <c:v>4.9300000000000004E-3</c:v>
                </c:pt>
                <c:pt idx="540">
                  <c:v>5.0400000000000002E-3</c:v>
                </c:pt>
                <c:pt idx="541">
                  <c:v>4.7200000000000002E-3</c:v>
                </c:pt>
                <c:pt idx="542">
                  <c:v>4.5900000000000003E-3</c:v>
                </c:pt>
                <c:pt idx="543">
                  <c:v>4.7400000000000003E-3</c:v>
                </c:pt>
                <c:pt idx="544">
                  <c:v>4.8399999999999997E-3</c:v>
                </c:pt>
                <c:pt idx="545">
                  <c:v>5.0499999999999998E-3</c:v>
                </c:pt>
                <c:pt idx="546">
                  <c:v>5.13E-3</c:v>
                </c:pt>
                <c:pt idx="547">
                  <c:v>5.1599999999999997E-3</c:v>
                </c:pt>
                <c:pt idx="548">
                  <c:v>5.0000000000000001E-3</c:v>
                </c:pt>
                <c:pt idx="549">
                  <c:v>4.7699999999999999E-3</c:v>
                </c:pt>
                <c:pt idx="550">
                  <c:v>4.6600000000000001E-3</c:v>
                </c:pt>
                <c:pt idx="551">
                  <c:v>4.4600000000000004E-3</c:v>
                </c:pt>
                <c:pt idx="552">
                  <c:v>4.3200000000000001E-3</c:v>
                </c:pt>
                <c:pt idx="553">
                  <c:v>4.3E-3</c:v>
                </c:pt>
                <c:pt idx="554">
                  <c:v>4.1999999999999997E-3</c:v>
                </c:pt>
                <c:pt idx="555">
                  <c:v>4.1399999999999996E-3</c:v>
                </c:pt>
                <c:pt idx="556">
                  <c:v>4.1799999999999997E-3</c:v>
                </c:pt>
                <c:pt idx="557">
                  <c:v>4.2700000000000004E-3</c:v>
                </c:pt>
                <c:pt idx="558">
                  <c:v>4.4299999999999999E-3</c:v>
                </c:pt>
                <c:pt idx="559">
                  <c:v>4.3099999999999996E-3</c:v>
                </c:pt>
                <c:pt idx="560">
                  <c:v>4.4000000000000003E-3</c:v>
                </c:pt>
                <c:pt idx="561">
                  <c:v>4.5500000000000002E-3</c:v>
                </c:pt>
                <c:pt idx="562">
                  <c:v>4.7099999999999998E-3</c:v>
                </c:pt>
                <c:pt idx="563">
                  <c:v>4.8799999999999998E-3</c:v>
                </c:pt>
                <c:pt idx="564">
                  <c:v>5.5399999999999998E-3</c:v>
                </c:pt>
                <c:pt idx="565">
                  <c:v>5.6699999999999997E-3</c:v>
                </c:pt>
                <c:pt idx="566">
                  <c:v>5.7200000000000003E-3</c:v>
                </c:pt>
                <c:pt idx="567">
                  <c:v>5.7499999999999999E-3</c:v>
                </c:pt>
                <c:pt idx="568">
                  <c:v>6.0000000000000001E-3</c:v>
                </c:pt>
                <c:pt idx="569">
                  <c:v>6.4599999999999996E-3</c:v>
                </c:pt>
                <c:pt idx="570">
                  <c:v>6.5300000000000002E-3</c:v>
                </c:pt>
                <c:pt idx="571">
                  <c:v>6.4999999999999997E-3</c:v>
                </c:pt>
                <c:pt idx="572">
                  <c:v>6.3200000000000001E-3</c:v>
                </c:pt>
                <c:pt idx="573">
                  <c:v>5.94E-3</c:v>
                </c:pt>
                <c:pt idx="574">
                  <c:v>6.1000000000000004E-3</c:v>
                </c:pt>
                <c:pt idx="575">
                  <c:v>6.0000000000000001E-3</c:v>
                </c:pt>
                <c:pt idx="576">
                  <c:v>5.8199999999999997E-3</c:v>
                </c:pt>
                <c:pt idx="577">
                  <c:v>5.8599999999999998E-3</c:v>
                </c:pt>
                <c:pt idx="578">
                  <c:v>5.8300000000000001E-3</c:v>
                </c:pt>
                <c:pt idx="579">
                  <c:v>6.3200000000000001E-3</c:v>
                </c:pt>
                <c:pt idx="580">
                  <c:v>6.8300000000000001E-3</c:v>
                </c:pt>
                <c:pt idx="581">
                  <c:v>7.3600000000000002E-3</c:v>
                </c:pt>
                <c:pt idx="582">
                  <c:v>7.5700000000000003E-3</c:v>
                </c:pt>
                <c:pt idx="583">
                  <c:v>7.4999999999999997E-3</c:v>
                </c:pt>
                <c:pt idx="584">
                  <c:v>8.3800000000000003E-3</c:v>
                </c:pt>
                <c:pt idx="585">
                  <c:v>8.8000000000000005E-3</c:v>
                </c:pt>
                <c:pt idx="586">
                  <c:v>8.9800000000000001E-3</c:v>
                </c:pt>
                <c:pt idx="587">
                  <c:v>8.9300000000000004E-3</c:v>
                </c:pt>
                <c:pt idx="588">
                  <c:v>8.1600000000000006E-3</c:v>
                </c:pt>
                <c:pt idx="589">
                  <c:v>7.7999999999999996E-3</c:v>
                </c:pt>
                <c:pt idx="590">
                  <c:v>7.4400000000000004E-3</c:v>
                </c:pt>
                <c:pt idx="591">
                  <c:v>7.2100000000000003E-3</c:v>
                </c:pt>
                <c:pt idx="592">
                  <c:v>7.1500000000000001E-3</c:v>
                </c:pt>
                <c:pt idx="593">
                  <c:v>7.1999999999999998E-3</c:v>
                </c:pt>
                <c:pt idx="594">
                  <c:v>7.11E-3</c:v>
                </c:pt>
                <c:pt idx="595">
                  <c:v>6.9800000000000001E-3</c:v>
                </c:pt>
                <c:pt idx="596">
                  <c:v>6.94E-3</c:v>
                </c:pt>
                <c:pt idx="597">
                  <c:v>6.5900000000000004E-3</c:v>
                </c:pt>
                <c:pt idx="598">
                  <c:v>6.2500000000000003E-3</c:v>
                </c:pt>
                <c:pt idx="599">
                  <c:v>6.2399999999999999E-3</c:v>
                </c:pt>
                <c:pt idx="600">
                  <c:v>6.1900000000000002E-3</c:v>
                </c:pt>
                <c:pt idx="601">
                  <c:v>6.2599999999999999E-3</c:v>
                </c:pt>
                <c:pt idx="602">
                  <c:v>6.1000000000000004E-3</c:v>
                </c:pt>
                <c:pt idx="603">
                  <c:v>6.0099999999999997E-3</c:v>
                </c:pt>
                <c:pt idx="604">
                  <c:v>6.0899999999999999E-3</c:v>
                </c:pt>
                <c:pt idx="605">
                  <c:v>6.4999999999999997E-3</c:v>
                </c:pt>
                <c:pt idx="606">
                  <c:v>7.62E-3</c:v>
                </c:pt>
                <c:pt idx="607">
                  <c:v>7.6600000000000001E-3</c:v>
                </c:pt>
                <c:pt idx="608">
                  <c:v>7.6499999999999997E-3</c:v>
                </c:pt>
                <c:pt idx="609">
                  <c:v>7.26E-3</c:v>
                </c:pt>
                <c:pt idx="610">
                  <c:v>6.96E-3</c:v>
                </c:pt>
                <c:pt idx="611">
                  <c:v>6.6899999999999998E-3</c:v>
                </c:pt>
                <c:pt idx="612">
                  <c:v>7.2500000000000004E-3</c:v>
                </c:pt>
                <c:pt idx="613">
                  <c:v>7.7200000000000003E-3</c:v>
                </c:pt>
                <c:pt idx="614">
                  <c:v>7.2700000000000004E-3</c:v>
                </c:pt>
                <c:pt idx="615">
                  <c:v>7.0099999999999997E-3</c:v>
                </c:pt>
                <c:pt idx="616">
                  <c:v>8.9499999999999996E-3</c:v>
                </c:pt>
                <c:pt idx="617">
                  <c:v>9.9000000000000008E-3</c:v>
                </c:pt>
                <c:pt idx="618">
                  <c:v>9.9000000000000008E-3</c:v>
                </c:pt>
                <c:pt idx="619">
                  <c:v>9.0600000000000003E-3</c:v>
                </c:pt>
                <c:pt idx="620">
                  <c:v>8.6099999999999996E-3</c:v>
                </c:pt>
                <c:pt idx="621">
                  <c:v>7.7200000000000003E-3</c:v>
                </c:pt>
                <c:pt idx="622">
                  <c:v>6.96E-3</c:v>
                </c:pt>
                <c:pt idx="623">
                  <c:v>6.3400000000000001E-3</c:v>
                </c:pt>
                <c:pt idx="624">
                  <c:v>6.4599999999999996E-3</c:v>
                </c:pt>
                <c:pt idx="625">
                  <c:v>6.5500000000000003E-3</c:v>
                </c:pt>
                <c:pt idx="626">
                  <c:v>6.2899999999999996E-3</c:v>
                </c:pt>
                <c:pt idx="627">
                  <c:v>6.2199999999999998E-3</c:v>
                </c:pt>
                <c:pt idx="628">
                  <c:v>6.3099999999999996E-3</c:v>
                </c:pt>
                <c:pt idx="629">
                  <c:v>6.2399999999999999E-3</c:v>
                </c:pt>
                <c:pt idx="630">
                  <c:v>6.0800000000000003E-3</c:v>
                </c:pt>
                <c:pt idx="631">
                  <c:v>5.8500000000000002E-3</c:v>
                </c:pt>
                <c:pt idx="632">
                  <c:v>6.0499999999999998E-3</c:v>
                </c:pt>
                <c:pt idx="633">
                  <c:v>6.9499999999999996E-3</c:v>
                </c:pt>
                <c:pt idx="634">
                  <c:v>7.1999999999999998E-3</c:v>
                </c:pt>
                <c:pt idx="635">
                  <c:v>7.1799999999999998E-3</c:v>
                </c:pt>
                <c:pt idx="636">
                  <c:v>7.0099999999999997E-3</c:v>
                </c:pt>
                <c:pt idx="637">
                  <c:v>6.8100000000000001E-3</c:v>
                </c:pt>
                <c:pt idx="638">
                  <c:v>6.5500000000000003E-3</c:v>
                </c:pt>
                <c:pt idx="639">
                  <c:v>7.5700000000000003E-3</c:v>
                </c:pt>
                <c:pt idx="640">
                  <c:v>9.1000000000000004E-3</c:v>
                </c:pt>
                <c:pt idx="641">
                  <c:v>1.0319999999999999E-2</c:v>
                </c:pt>
                <c:pt idx="642">
                  <c:v>1.0619999999999999E-2</c:v>
                </c:pt>
                <c:pt idx="643">
                  <c:v>1.043E-2</c:v>
                </c:pt>
                <c:pt idx="644">
                  <c:v>9.9100000000000004E-3</c:v>
                </c:pt>
                <c:pt idx="645">
                  <c:v>8.3300000000000006E-3</c:v>
                </c:pt>
                <c:pt idx="646">
                  <c:v>7.6600000000000001E-3</c:v>
                </c:pt>
                <c:pt idx="647">
                  <c:v>7.3200000000000001E-3</c:v>
                </c:pt>
                <c:pt idx="648">
                  <c:v>6.8999999999999999E-3</c:v>
                </c:pt>
                <c:pt idx="649">
                  <c:v>6.96E-3</c:v>
                </c:pt>
                <c:pt idx="650">
                  <c:v>6.5799999999999999E-3</c:v>
                </c:pt>
                <c:pt idx="651">
                  <c:v>6.3200000000000001E-3</c:v>
                </c:pt>
                <c:pt idx="652">
                  <c:v>6.2500000000000003E-3</c:v>
                </c:pt>
                <c:pt idx="653">
                  <c:v>6.1700000000000001E-3</c:v>
                </c:pt>
                <c:pt idx="654">
                  <c:v>6.0899999999999999E-3</c:v>
                </c:pt>
                <c:pt idx="655">
                  <c:v>5.94E-3</c:v>
                </c:pt>
                <c:pt idx="656">
                  <c:v>5.9500000000000004E-3</c:v>
                </c:pt>
                <c:pt idx="657">
                  <c:v>5.6800000000000002E-3</c:v>
                </c:pt>
                <c:pt idx="658">
                  <c:v>5.2100000000000002E-3</c:v>
                </c:pt>
                <c:pt idx="659">
                  <c:v>5.1200000000000004E-3</c:v>
                </c:pt>
                <c:pt idx="660">
                  <c:v>4.96E-3</c:v>
                </c:pt>
                <c:pt idx="661">
                  <c:v>4.8300000000000001E-3</c:v>
                </c:pt>
                <c:pt idx="662">
                  <c:v>4.6699999999999997E-3</c:v>
                </c:pt>
                <c:pt idx="663">
                  <c:v>4.3899999999999998E-3</c:v>
                </c:pt>
                <c:pt idx="664">
                  <c:v>4.3899999999999998E-3</c:v>
                </c:pt>
                <c:pt idx="665">
                  <c:v>4.4999999999999997E-3</c:v>
                </c:pt>
                <c:pt idx="666">
                  <c:v>4.5799999999999999E-3</c:v>
                </c:pt>
                <c:pt idx="667">
                  <c:v>4.5500000000000002E-3</c:v>
                </c:pt>
                <c:pt idx="668">
                  <c:v>4.5399999999999998E-3</c:v>
                </c:pt>
                <c:pt idx="669">
                  <c:v>4.2700000000000004E-3</c:v>
                </c:pt>
                <c:pt idx="670">
                  <c:v>4.1099999999999999E-3</c:v>
                </c:pt>
                <c:pt idx="671">
                  <c:v>4.5700000000000003E-3</c:v>
                </c:pt>
                <c:pt idx="672">
                  <c:v>7.0000000000000001E-3</c:v>
                </c:pt>
                <c:pt idx="673">
                  <c:v>7.43E-3</c:v>
                </c:pt>
                <c:pt idx="674">
                  <c:v>7.3600000000000002E-3</c:v>
                </c:pt>
                <c:pt idx="675">
                  <c:v>7.2700000000000004E-3</c:v>
                </c:pt>
                <c:pt idx="676">
                  <c:v>6.8700000000000002E-3</c:v>
                </c:pt>
                <c:pt idx="677">
                  <c:v>6.9800000000000001E-3</c:v>
                </c:pt>
                <c:pt idx="678">
                  <c:v>6.9300000000000004E-3</c:v>
                </c:pt>
                <c:pt idx="679">
                  <c:v>6.62E-3</c:v>
                </c:pt>
                <c:pt idx="680">
                  <c:v>6.6100000000000004E-3</c:v>
                </c:pt>
                <c:pt idx="681">
                  <c:v>6.6E-3</c:v>
                </c:pt>
                <c:pt idx="682">
                  <c:v>6.2300000000000003E-3</c:v>
                </c:pt>
                <c:pt idx="683">
                  <c:v>5.9899999999999997E-3</c:v>
                </c:pt>
                <c:pt idx="684">
                  <c:v>5.7499999999999999E-3</c:v>
                </c:pt>
                <c:pt idx="685">
                  <c:v>5.8199999999999997E-3</c:v>
                </c:pt>
                <c:pt idx="686">
                  <c:v>8.4600000000000005E-3</c:v>
                </c:pt>
                <c:pt idx="687">
                  <c:v>9.3200000000000002E-3</c:v>
                </c:pt>
                <c:pt idx="688">
                  <c:v>9.6200000000000001E-3</c:v>
                </c:pt>
                <c:pt idx="689">
                  <c:v>9.3900000000000008E-3</c:v>
                </c:pt>
                <c:pt idx="690">
                  <c:v>9.4800000000000006E-3</c:v>
                </c:pt>
                <c:pt idx="691">
                  <c:v>9.6299999999999997E-3</c:v>
                </c:pt>
                <c:pt idx="692">
                  <c:v>1.0120000000000001E-2</c:v>
                </c:pt>
                <c:pt idx="693">
                  <c:v>1.0109999999999999E-2</c:v>
                </c:pt>
                <c:pt idx="694">
                  <c:v>9.4299999999999991E-3</c:v>
                </c:pt>
                <c:pt idx="695">
                  <c:v>8.5800000000000008E-3</c:v>
                </c:pt>
                <c:pt idx="696">
                  <c:v>7.79E-3</c:v>
                </c:pt>
                <c:pt idx="697">
                  <c:v>7.1000000000000004E-3</c:v>
                </c:pt>
                <c:pt idx="698">
                  <c:v>6.8199999999999997E-3</c:v>
                </c:pt>
                <c:pt idx="699">
                  <c:v>6.2100000000000002E-3</c:v>
                </c:pt>
                <c:pt idx="700">
                  <c:v>5.9300000000000004E-3</c:v>
                </c:pt>
                <c:pt idx="701">
                  <c:v>5.77E-3</c:v>
                </c:pt>
                <c:pt idx="702">
                  <c:v>5.7099999999999998E-3</c:v>
                </c:pt>
                <c:pt idx="703">
                  <c:v>5.8199999999999997E-3</c:v>
                </c:pt>
                <c:pt idx="704">
                  <c:v>5.7299999999999999E-3</c:v>
                </c:pt>
                <c:pt idx="705">
                  <c:v>5.5799999999999999E-3</c:v>
                </c:pt>
                <c:pt idx="706">
                  <c:v>5.3E-3</c:v>
                </c:pt>
                <c:pt idx="707">
                  <c:v>5.1200000000000004E-3</c:v>
                </c:pt>
                <c:pt idx="708">
                  <c:v>4.9800000000000001E-3</c:v>
                </c:pt>
                <c:pt idx="709">
                  <c:v>4.8700000000000002E-3</c:v>
                </c:pt>
                <c:pt idx="710">
                  <c:v>4.7499999999999999E-3</c:v>
                </c:pt>
                <c:pt idx="711">
                  <c:v>4.5999999999999999E-3</c:v>
                </c:pt>
                <c:pt idx="712">
                  <c:v>4.5700000000000003E-3</c:v>
                </c:pt>
                <c:pt idx="713">
                  <c:v>4.6600000000000001E-3</c:v>
                </c:pt>
                <c:pt idx="714">
                  <c:v>7.1000000000000004E-3</c:v>
                </c:pt>
                <c:pt idx="715">
                  <c:v>6.8500000000000002E-3</c:v>
                </c:pt>
                <c:pt idx="716">
                  <c:v>6.5399999999999998E-3</c:v>
                </c:pt>
                <c:pt idx="717">
                  <c:v>6.2100000000000002E-3</c:v>
                </c:pt>
                <c:pt idx="718">
                  <c:v>5.8700000000000002E-3</c:v>
                </c:pt>
                <c:pt idx="719">
                  <c:v>5.6899999999999997E-3</c:v>
                </c:pt>
                <c:pt idx="720">
                  <c:v>5.3800000000000002E-3</c:v>
                </c:pt>
                <c:pt idx="721">
                  <c:v>5.2100000000000002E-3</c:v>
                </c:pt>
                <c:pt idx="722">
                  <c:v>5.3299999999999997E-3</c:v>
                </c:pt>
                <c:pt idx="723">
                  <c:v>5.13E-3</c:v>
                </c:pt>
                <c:pt idx="724">
                  <c:v>5.0299999999999997E-3</c:v>
                </c:pt>
                <c:pt idx="725">
                  <c:v>6.3499999999999997E-3</c:v>
                </c:pt>
                <c:pt idx="726">
                  <c:v>8.0000000000000002E-3</c:v>
                </c:pt>
                <c:pt idx="727">
                  <c:v>8.5100000000000002E-3</c:v>
                </c:pt>
                <c:pt idx="728">
                  <c:v>8.6099999999999996E-3</c:v>
                </c:pt>
                <c:pt idx="729">
                  <c:v>8.3300000000000006E-3</c:v>
                </c:pt>
                <c:pt idx="730">
                  <c:v>7.8899999999999994E-3</c:v>
                </c:pt>
                <c:pt idx="731">
                  <c:v>7.3600000000000002E-3</c:v>
                </c:pt>
                <c:pt idx="732">
                  <c:v>6.9899999999999997E-3</c:v>
                </c:pt>
                <c:pt idx="733">
                  <c:v>6.6E-3</c:v>
                </c:pt>
                <c:pt idx="734">
                  <c:v>6.3400000000000001E-3</c:v>
                </c:pt>
                <c:pt idx="735">
                  <c:v>6.28E-3</c:v>
                </c:pt>
                <c:pt idx="736">
                  <c:v>1.026E-2</c:v>
                </c:pt>
                <c:pt idx="737">
                  <c:v>1.898E-2</c:v>
                </c:pt>
                <c:pt idx="738">
                  <c:v>1.9550000000000001E-2</c:v>
                </c:pt>
                <c:pt idx="739">
                  <c:v>1.9689999999999999E-2</c:v>
                </c:pt>
                <c:pt idx="740">
                  <c:v>1.771E-2</c:v>
                </c:pt>
                <c:pt idx="741">
                  <c:v>1.494E-2</c:v>
                </c:pt>
                <c:pt idx="742">
                  <c:v>1.8069999999999999E-2</c:v>
                </c:pt>
                <c:pt idx="743">
                  <c:v>2.5749999999999999E-2</c:v>
                </c:pt>
                <c:pt idx="744">
                  <c:v>1.8339999999999999E-2</c:v>
                </c:pt>
                <c:pt idx="745">
                  <c:v>1.528E-2</c:v>
                </c:pt>
                <c:pt idx="746">
                  <c:v>1.337E-2</c:v>
                </c:pt>
                <c:pt idx="747">
                  <c:v>1.159E-2</c:v>
                </c:pt>
                <c:pt idx="748">
                  <c:v>1.061E-2</c:v>
                </c:pt>
                <c:pt idx="749">
                  <c:v>1.0070000000000001E-2</c:v>
                </c:pt>
                <c:pt idx="750">
                  <c:v>1.0240000000000001E-2</c:v>
                </c:pt>
                <c:pt idx="751">
                  <c:v>1.022E-2</c:v>
                </c:pt>
                <c:pt idx="752">
                  <c:v>1.0319999999999999E-2</c:v>
                </c:pt>
                <c:pt idx="753">
                  <c:v>9.7000000000000003E-3</c:v>
                </c:pt>
                <c:pt idx="754">
                  <c:v>8.9800000000000001E-3</c:v>
                </c:pt>
                <c:pt idx="755">
                  <c:v>8.4200000000000004E-3</c:v>
                </c:pt>
                <c:pt idx="756">
                  <c:v>8.0099999999999998E-3</c:v>
                </c:pt>
                <c:pt idx="757">
                  <c:v>8.6199999999999992E-3</c:v>
                </c:pt>
                <c:pt idx="758">
                  <c:v>1.023E-2</c:v>
                </c:pt>
                <c:pt idx="759">
                  <c:v>1.047E-2</c:v>
                </c:pt>
                <c:pt idx="760">
                  <c:v>1.085E-2</c:v>
                </c:pt>
                <c:pt idx="761">
                  <c:v>1.0070000000000001E-2</c:v>
                </c:pt>
                <c:pt idx="762">
                  <c:v>9.9699999999999997E-3</c:v>
                </c:pt>
                <c:pt idx="763">
                  <c:v>9.9100000000000004E-3</c:v>
                </c:pt>
                <c:pt idx="764">
                  <c:v>9.7999999999999997E-3</c:v>
                </c:pt>
                <c:pt idx="765">
                  <c:v>9.4699999999999993E-3</c:v>
                </c:pt>
                <c:pt idx="766">
                  <c:v>1.5140000000000001E-2</c:v>
                </c:pt>
                <c:pt idx="767">
                  <c:v>2.1350000000000001E-2</c:v>
                </c:pt>
                <c:pt idx="768">
                  <c:v>2.3550000000000001E-2</c:v>
                </c:pt>
                <c:pt idx="769">
                  <c:v>2.726E-2</c:v>
                </c:pt>
                <c:pt idx="770">
                  <c:v>2.929E-2</c:v>
                </c:pt>
                <c:pt idx="771">
                  <c:v>2.878E-2</c:v>
                </c:pt>
                <c:pt idx="772">
                  <c:v>2.8219999999999999E-2</c:v>
                </c:pt>
                <c:pt idx="773">
                  <c:v>2.588E-2</c:v>
                </c:pt>
                <c:pt idx="774">
                  <c:v>2.4309999999999998E-2</c:v>
                </c:pt>
                <c:pt idx="775">
                  <c:v>2.2939999999999999E-2</c:v>
                </c:pt>
                <c:pt idx="776">
                  <c:v>2.172E-2</c:v>
                </c:pt>
                <c:pt idx="777">
                  <c:v>2.0449999999999999E-2</c:v>
                </c:pt>
                <c:pt idx="778">
                  <c:v>1.9570000000000001E-2</c:v>
                </c:pt>
                <c:pt idx="779">
                  <c:v>1.916E-2</c:v>
                </c:pt>
                <c:pt idx="780">
                  <c:v>1.8919999999999999E-2</c:v>
                </c:pt>
                <c:pt idx="781">
                  <c:v>1.8620000000000001E-2</c:v>
                </c:pt>
                <c:pt idx="782">
                  <c:v>1.7600000000000001E-2</c:v>
                </c:pt>
                <c:pt idx="783">
                  <c:v>1.6219999999999998E-2</c:v>
                </c:pt>
                <c:pt idx="784">
                  <c:v>1.4800000000000001E-2</c:v>
                </c:pt>
                <c:pt idx="785">
                  <c:v>1.3599999999999999E-2</c:v>
                </c:pt>
                <c:pt idx="786">
                  <c:v>1.3509999999999999E-2</c:v>
                </c:pt>
                <c:pt idx="787">
                  <c:v>1.3769999999999999E-2</c:v>
                </c:pt>
                <c:pt idx="788">
                  <c:v>1.2930000000000001E-2</c:v>
                </c:pt>
                <c:pt idx="789">
                  <c:v>1.235E-2</c:v>
                </c:pt>
                <c:pt idx="790">
                  <c:v>1.175E-2</c:v>
                </c:pt>
                <c:pt idx="791">
                  <c:v>1.065E-2</c:v>
                </c:pt>
                <c:pt idx="792">
                  <c:v>9.9600000000000001E-3</c:v>
                </c:pt>
                <c:pt idx="793">
                  <c:v>9.6799999999999994E-3</c:v>
                </c:pt>
                <c:pt idx="794">
                  <c:v>1.523E-2</c:v>
                </c:pt>
                <c:pt idx="795">
                  <c:v>1.8540000000000001E-2</c:v>
                </c:pt>
                <c:pt idx="796">
                  <c:v>1.687E-2</c:v>
                </c:pt>
                <c:pt idx="797">
                  <c:v>1.6629999999999999E-2</c:v>
                </c:pt>
                <c:pt idx="798">
                  <c:v>1.5630000000000002E-2</c:v>
                </c:pt>
                <c:pt idx="799">
                  <c:v>1.5779999999999999E-2</c:v>
                </c:pt>
                <c:pt idx="800">
                  <c:v>1.6060000000000001E-2</c:v>
                </c:pt>
                <c:pt idx="801">
                  <c:v>1.601E-2</c:v>
                </c:pt>
                <c:pt idx="802">
                  <c:v>1.532E-2</c:v>
                </c:pt>
                <c:pt idx="803">
                  <c:v>1.4789999999999999E-2</c:v>
                </c:pt>
                <c:pt idx="804">
                  <c:v>1.422E-2</c:v>
                </c:pt>
                <c:pt idx="805">
                  <c:v>1.404E-2</c:v>
                </c:pt>
                <c:pt idx="806">
                  <c:v>1.328E-2</c:v>
                </c:pt>
                <c:pt idx="807">
                  <c:v>1.4590000000000001E-2</c:v>
                </c:pt>
                <c:pt idx="808">
                  <c:v>1.387E-2</c:v>
                </c:pt>
                <c:pt idx="809">
                  <c:v>1.291E-2</c:v>
                </c:pt>
                <c:pt idx="810">
                  <c:v>1.2019999999999999E-2</c:v>
                </c:pt>
                <c:pt idx="811">
                  <c:v>1.1639999999999999E-2</c:v>
                </c:pt>
                <c:pt idx="812">
                  <c:v>1.159E-2</c:v>
                </c:pt>
                <c:pt idx="813">
                  <c:v>1.102E-2</c:v>
                </c:pt>
              </c:numCache>
            </c:numRef>
          </c:yVal>
          <c:smooth val="1"/>
          <c:extLst>
            <c:ext xmlns:c16="http://schemas.microsoft.com/office/drawing/2014/chart" uri="{C3380CC4-5D6E-409C-BE32-E72D297353CC}">
              <c16:uniqueId val="{00000000-6F5E-4F90-BC43-E015F6E5E63C}"/>
            </c:ext>
          </c:extLst>
        </c:ser>
        <c:dLbls>
          <c:showLegendKey val="0"/>
          <c:showVal val="0"/>
          <c:showCatName val="0"/>
          <c:showSerName val="0"/>
          <c:showPercent val="0"/>
          <c:showBubbleSize val="0"/>
        </c:dLbls>
        <c:axId val="46656649"/>
        <c:axId val="647310"/>
      </c:scatterChart>
      <c:valAx>
        <c:axId val="46656649"/>
        <c:scaling>
          <c:orientation val="minMax"/>
          <c:max val="2027"/>
          <c:min val="1958"/>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Year</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647310"/>
        <c:crosses val="min"/>
        <c:crossBetween val="midCat"/>
      </c:valAx>
      <c:valAx>
        <c:axId val="647310"/>
        <c:scaling>
          <c:orientation val="minMax"/>
          <c:max val="0.12"/>
          <c:min val="0"/>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Stratospheric AOD (550 nm)</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46656649"/>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What is left after CO2 and ENSO, vs volcanic AOD
Monthly; slope ≈ -2.2 °C per unit AOD</a:t>
            </a:r>
          </a:p>
        </c:rich>
      </c:tx>
      <c:overlay val="0"/>
      <c:spPr>
        <a:noFill/>
        <a:ln w="0">
          <a:noFill/>
        </a:ln>
      </c:spPr>
    </c:title>
    <c:autoTitleDeleted val="0"/>
    <c:plotArea>
      <c:layout/>
      <c:scatterChart>
        <c:scatterStyle val="lineMarker"/>
        <c:varyColors val="0"/>
        <c:ser>
          <c:idx val="0"/>
          <c:order val="0"/>
          <c:spPr>
            <a:ln w="38160">
              <a:noFill/>
            </a:ln>
          </c:spPr>
          <c:marker>
            <c:symbol val="circle"/>
            <c:size val="3"/>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0"/>
            <c:trendlineLbl>
              <c:numFmt formatCode="General" sourceLinked="0"/>
            </c:trendlineLbl>
          </c:trendline>
          <c:xVal>
            <c:numRef>
              <c:f>Volcanic!$E$14:$E$822</c:f>
              <c:numCache>
                <c:formatCode>0.0000</c:formatCode>
                <c:ptCount val="809"/>
                <c:pt idx="0">
                  <c:v>5.47E-3</c:v>
                </c:pt>
                <c:pt idx="1">
                  <c:v>5.3600000000000002E-3</c:v>
                </c:pt>
                <c:pt idx="2">
                  <c:v>5.2900000000000004E-3</c:v>
                </c:pt>
                <c:pt idx="3">
                  <c:v>5.0800000000000003E-3</c:v>
                </c:pt>
                <c:pt idx="4">
                  <c:v>4.8500000000000001E-3</c:v>
                </c:pt>
                <c:pt idx="5">
                  <c:v>4.6600000000000001E-3</c:v>
                </c:pt>
                <c:pt idx="6">
                  <c:v>4.4400000000000004E-3</c:v>
                </c:pt>
                <c:pt idx="7">
                  <c:v>4.3E-3</c:v>
                </c:pt>
                <c:pt idx="8">
                  <c:v>4.2599999999999999E-3</c:v>
                </c:pt>
                <c:pt idx="9">
                  <c:v>4.2500000000000003E-3</c:v>
                </c:pt>
                <c:pt idx="10">
                  <c:v>4.2700000000000004E-3</c:v>
                </c:pt>
                <c:pt idx="11">
                  <c:v>4.3099999999999996E-3</c:v>
                </c:pt>
                <c:pt idx="12">
                  <c:v>4.3699999999999998E-3</c:v>
                </c:pt>
                <c:pt idx="13">
                  <c:v>4.4099999999999999E-3</c:v>
                </c:pt>
                <c:pt idx="14">
                  <c:v>4.45E-3</c:v>
                </c:pt>
                <c:pt idx="15">
                  <c:v>4.3499999999999997E-3</c:v>
                </c:pt>
                <c:pt idx="16">
                  <c:v>4.2199999999999998E-3</c:v>
                </c:pt>
                <c:pt idx="17">
                  <c:v>4.1099999999999999E-3</c:v>
                </c:pt>
                <c:pt idx="18">
                  <c:v>3.9699999999999996E-3</c:v>
                </c:pt>
                <c:pt idx="19">
                  <c:v>3.8899999999999998E-3</c:v>
                </c:pt>
                <c:pt idx="20">
                  <c:v>3.9100000000000003E-3</c:v>
                </c:pt>
                <c:pt idx="21">
                  <c:v>3.9399999999999999E-3</c:v>
                </c:pt>
                <c:pt idx="22">
                  <c:v>4.0000000000000001E-3</c:v>
                </c:pt>
                <c:pt idx="23">
                  <c:v>4.0800000000000003E-3</c:v>
                </c:pt>
                <c:pt idx="24">
                  <c:v>4.1799999999999997E-3</c:v>
                </c:pt>
                <c:pt idx="25">
                  <c:v>4.2399999999999998E-3</c:v>
                </c:pt>
                <c:pt idx="26">
                  <c:v>4.3099999999999996E-3</c:v>
                </c:pt>
                <c:pt idx="27">
                  <c:v>4.2300000000000003E-3</c:v>
                </c:pt>
                <c:pt idx="28">
                  <c:v>4.1200000000000004E-3</c:v>
                </c:pt>
                <c:pt idx="29">
                  <c:v>4.0200000000000001E-3</c:v>
                </c:pt>
                <c:pt idx="30">
                  <c:v>3.8899999999999998E-3</c:v>
                </c:pt>
                <c:pt idx="31">
                  <c:v>3.82E-3</c:v>
                </c:pt>
                <c:pt idx="32">
                  <c:v>3.8500000000000001E-3</c:v>
                </c:pt>
                <c:pt idx="33">
                  <c:v>3.8899999999999998E-3</c:v>
                </c:pt>
                <c:pt idx="34">
                  <c:v>3.96E-3</c:v>
                </c:pt>
                <c:pt idx="35">
                  <c:v>4.0499999999999998E-3</c:v>
                </c:pt>
                <c:pt idx="36">
                  <c:v>4.15E-3</c:v>
                </c:pt>
                <c:pt idx="37">
                  <c:v>4.2199999999999998E-3</c:v>
                </c:pt>
                <c:pt idx="38">
                  <c:v>4.3E-3</c:v>
                </c:pt>
                <c:pt idx="39">
                  <c:v>4.2199999999999998E-3</c:v>
                </c:pt>
                <c:pt idx="40">
                  <c:v>4.1099999999999999E-3</c:v>
                </c:pt>
                <c:pt idx="41">
                  <c:v>4.0099999999999997E-3</c:v>
                </c:pt>
                <c:pt idx="42">
                  <c:v>3.8899999999999998E-3</c:v>
                </c:pt>
                <c:pt idx="43">
                  <c:v>3.82E-3</c:v>
                </c:pt>
                <c:pt idx="44">
                  <c:v>3.8500000000000001E-3</c:v>
                </c:pt>
                <c:pt idx="45">
                  <c:v>3.8899999999999998E-3</c:v>
                </c:pt>
                <c:pt idx="46">
                  <c:v>3.9699999999999996E-3</c:v>
                </c:pt>
                <c:pt idx="47">
                  <c:v>4.0499999999999998E-3</c:v>
                </c:pt>
                <c:pt idx="48">
                  <c:v>4.1599999999999996E-3</c:v>
                </c:pt>
                <c:pt idx="49">
                  <c:v>4.2300000000000003E-3</c:v>
                </c:pt>
                <c:pt idx="50">
                  <c:v>4.3E-3</c:v>
                </c:pt>
                <c:pt idx="51">
                  <c:v>4.2300000000000003E-3</c:v>
                </c:pt>
                <c:pt idx="52">
                  <c:v>4.1099999999999999E-3</c:v>
                </c:pt>
                <c:pt idx="53">
                  <c:v>4.0200000000000001E-3</c:v>
                </c:pt>
                <c:pt idx="54">
                  <c:v>3.8899999999999998E-3</c:v>
                </c:pt>
                <c:pt idx="55">
                  <c:v>5.0600000000000003E-3</c:v>
                </c:pt>
                <c:pt idx="56">
                  <c:v>2.034E-2</c:v>
                </c:pt>
                <c:pt idx="57">
                  <c:v>3.2120000000000003E-2</c:v>
                </c:pt>
                <c:pt idx="58">
                  <c:v>5.5280000000000003E-2</c:v>
                </c:pt>
                <c:pt idx="59">
                  <c:v>6.9760000000000003E-2</c:v>
                </c:pt>
                <c:pt idx="60">
                  <c:v>7.7710000000000001E-2</c:v>
                </c:pt>
                <c:pt idx="61">
                  <c:v>8.0869999999999997E-2</c:v>
                </c:pt>
                <c:pt idx="62">
                  <c:v>8.0670000000000006E-2</c:v>
                </c:pt>
                <c:pt idx="63">
                  <c:v>7.8039999999999998E-2</c:v>
                </c:pt>
                <c:pt idx="64">
                  <c:v>7.3910000000000003E-2</c:v>
                </c:pt>
                <c:pt idx="65">
                  <c:v>6.8930000000000005E-2</c:v>
                </c:pt>
                <c:pt idx="66">
                  <c:v>6.3469999999999999E-2</c:v>
                </c:pt>
                <c:pt idx="67">
                  <c:v>5.7950000000000002E-2</c:v>
                </c:pt>
                <c:pt idx="68">
                  <c:v>5.262E-2</c:v>
                </c:pt>
                <c:pt idx="69">
                  <c:v>4.7509999999999997E-2</c:v>
                </c:pt>
                <c:pt idx="70">
                  <c:v>4.2759999999999999E-2</c:v>
                </c:pt>
                <c:pt idx="71">
                  <c:v>3.8379999999999997E-2</c:v>
                </c:pt>
                <c:pt idx="72">
                  <c:v>3.44E-2</c:v>
                </c:pt>
                <c:pt idx="73">
                  <c:v>3.0769999999999999E-2</c:v>
                </c:pt>
                <c:pt idx="74">
                  <c:v>2.7529999999999999E-2</c:v>
                </c:pt>
                <c:pt idx="75">
                  <c:v>2.462E-2</c:v>
                </c:pt>
                <c:pt idx="76">
                  <c:v>2.2419999999999999E-2</c:v>
                </c:pt>
                <c:pt idx="77">
                  <c:v>2.01E-2</c:v>
                </c:pt>
                <c:pt idx="78">
                  <c:v>1.789E-2</c:v>
                </c:pt>
                <c:pt idx="79">
                  <c:v>1.5949999999999999E-2</c:v>
                </c:pt>
                <c:pt idx="80">
                  <c:v>1.4330000000000001E-2</c:v>
                </c:pt>
                <c:pt idx="81">
                  <c:v>1.295E-2</c:v>
                </c:pt>
                <c:pt idx="82">
                  <c:v>1.1809999999999999E-2</c:v>
                </c:pt>
                <c:pt idx="83">
                  <c:v>1.0829999999999999E-2</c:v>
                </c:pt>
                <c:pt idx="84">
                  <c:v>1.001E-2</c:v>
                </c:pt>
                <c:pt idx="85">
                  <c:v>9.2800000000000001E-3</c:v>
                </c:pt>
                <c:pt idx="86">
                  <c:v>9.1400000000000006E-3</c:v>
                </c:pt>
                <c:pt idx="87">
                  <c:v>8.7299999999999999E-3</c:v>
                </c:pt>
                <c:pt idx="88">
                  <c:v>8.1399999999999997E-3</c:v>
                </c:pt>
                <c:pt idx="89">
                  <c:v>7.5900000000000004E-3</c:v>
                </c:pt>
                <c:pt idx="90">
                  <c:v>7.0299999999999998E-3</c:v>
                </c:pt>
                <c:pt idx="91">
                  <c:v>6.5900000000000004E-3</c:v>
                </c:pt>
                <c:pt idx="92">
                  <c:v>6.28E-3</c:v>
                </c:pt>
                <c:pt idx="93">
                  <c:v>6.5799999999999999E-3</c:v>
                </c:pt>
                <c:pt idx="94">
                  <c:v>6.6E-3</c:v>
                </c:pt>
                <c:pt idx="95">
                  <c:v>6.4799999999999996E-3</c:v>
                </c:pt>
                <c:pt idx="96">
                  <c:v>6.5500000000000003E-3</c:v>
                </c:pt>
                <c:pt idx="97">
                  <c:v>6.9100000000000003E-3</c:v>
                </c:pt>
                <c:pt idx="98">
                  <c:v>6.8799999999999998E-3</c:v>
                </c:pt>
                <c:pt idx="99">
                  <c:v>6.6100000000000004E-3</c:v>
                </c:pt>
                <c:pt idx="100">
                  <c:v>6.3E-3</c:v>
                </c:pt>
                <c:pt idx="101">
                  <c:v>6.0000000000000001E-3</c:v>
                </c:pt>
                <c:pt idx="102">
                  <c:v>5.6800000000000002E-3</c:v>
                </c:pt>
                <c:pt idx="103">
                  <c:v>5.4299999999999999E-3</c:v>
                </c:pt>
                <c:pt idx="104">
                  <c:v>5.2900000000000004E-3</c:v>
                </c:pt>
                <c:pt idx="105">
                  <c:v>5.1799999999999997E-3</c:v>
                </c:pt>
                <c:pt idx="106">
                  <c:v>5.11E-3</c:v>
                </c:pt>
                <c:pt idx="107">
                  <c:v>5.0600000000000003E-3</c:v>
                </c:pt>
                <c:pt idx="108">
                  <c:v>5.0499999999999998E-3</c:v>
                </c:pt>
                <c:pt idx="109">
                  <c:v>5.0200000000000002E-3</c:v>
                </c:pt>
                <c:pt idx="110">
                  <c:v>5.0000000000000001E-3</c:v>
                </c:pt>
                <c:pt idx="111">
                  <c:v>4.8399999999999997E-3</c:v>
                </c:pt>
                <c:pt idx="112">
                  <c:v>4.6499999999999996E-3</c:v>
                </c:pt>
                <c:pt idx="113">
                  <c:v>4.4999999999999997E-3</c:v>
                </c:pt>
                <c:pt idx="114">
                  <c:v>4.3099999999999996E-3</c:v>
                </c:pt>
                <c:pt idx="115">
                  <c:v>4.1900000000000001E-3</c:v>
                </c:pt>
                <c:pt idx="116">
                  <c:v>4.1799999999999997E-3</c:v>
                </c:pt>
                <c:pt idx="117">
                  <c:v>4.1900000000000001E-3</c:v>
                </c:pt>
                <c:pt idx="118">
                  <c:v>5.4400000000000004E-3</c:v>
                </c:pt>
                <c:pt idx="119">
                  <c:v>1.0580000000000001E-2</c:v>
                </c:pt>
                <c:pt idx="120">
                  <c:v>1.392E-2</c:v>
                </c:pt>
                <c:pt idx="121">
                  <c:v>1.6070000000000001E-2</c:v>
                </c:pt>
                <c:pt idx="122">
                  <c:v>1.738E-2</c:v>
                </c:pt>
                <c:pt idx="123">
                  <c:v>1.7930000000000001E-2</c:v>
                </c:pt>
                <c:pt idx="124">
                  <c:v>1.7989999999999999E-2</c:v>
                </c:pt>
                <c:pt idx="125">
                  <c:v>1.7749999999999998E-2</c:v>
                </c:pt>
                <c:pt idx="126">
                  <c:v>1.7219999999999999E-2</c:v>
                </c:pt>
                <c:pt idx="127">
                  <c:v>1.6590000000000001E-2</c:v>
                </c:pt>
                <c:pt idx="128">
                  <c:v>1.593E-2</c:v>
                </c:pt>
                <c:pt idx="129">
                  <c:v>1.52E-2</c:v>
                </c:pt>
                <c:pt idx="130">
                  <c:v>1.4449999999999999E-2</c:v>
                </c:pt>
                <c:pt idx="131">
                  <c:v>1.37E-2</c:v>
                </c:pt>
                <c:pt idx="132">
                  <c:v>1.3010000000000001E-2</c:v>
                </c:pt>
                <c:pt idx="133">
                  <c:v>1.23E-2</c:v>
                </c:pt>
                <c:pt idx="134">
                  <c:v>1.163E-2</c:v>
                </c:pt>
                <c:pt idx="135">
                  <c:v>1.0840000000000001E-2</c:v>
                </c:pt>
                <c:pt idx="136">
                  <c:v>1.0059999999999999E-2</c:v>
                </c:pt>
                <c:pt idx="137">
                  <c:v>9.3399999999999993E-3</c:v>
                </c:pt>
                <c:pt idx="138">
                  <c:v>8.6400000000000001E-3</c:v>
                </c:pt>
                <c:pt idx="139">
                  <c:v>8.0499999999999999E-3</c:v>
                </c:pt>
                <c:pt idx="140">
                  <c:v>7.6099999999999996E-3</c:v>
                </c:pt>
                <c:pt idx="141">
                  <c:v>7.2300000000000003E-3</c:v>
                </c:pt>
                <c:pt idx="142">
                  <c:v>6.9100000000000003E-3</c:v>
                </c:pt>
                <c:pt idx="143">
                  <c:v>6.6499999999999997E-3</c:v>
                </c:pt>
                <c:pt idx="144">
                  <c:v>6.45E-3</c:v>
                </c:pt>
                <c:pt idx="145">
                  <c:v>6.2500000000000003E-3</c:v>
                </c:pt>
                <c:pt idx="146">
                  <c:v>6.0899999999999999E-3</c:v>
                </c:pt>
                <c:pt idx="147">
                  <c:v>5.79E-3</c:v>
                </c:pt>
                <c:pt idx="148">
                  <c:v>5.4900000000000001E-3</c:v>
                </c:pt>
                <c:pt idx="149">
                  <c:v>5.2199999999999998E-3</c:v>
                </c:pt>
                <c:pt idx="150">
                  <c:v>4.9500000000000004E-3</c:v>
                </c:pt>
                <c:pt idx="151">
                  <c:v>4.7499999999999999E-3</c:v>
                </c:pt>
                <c:pt idx="152">
                  <c:v>4.6699999999999997E-3</c:v>
                </c:pt>
                <c:pt idx="153">
                  <c:v>4.62E-3</c:v>
                </c:pt>
                <c:pt idx="154">
                  <c:v>4.5999999999999999E-3</c:v>
                </c:pt>
                <c:pt idx="155">
                  <c:v>4.6100000000000004E-3</c:v>
                </c:pt>
                <c:pt idx="156">
                  <c:v>4.6600000000000001E-3</c:v>
                </c:pt>
                <c:pt idx="157">
                  <c:v>4.6699999999999997E-3</c:v>
                </c:pt>
                <c:pt idx="158">
                  <c:v>4.7000000000000002E-3</c:v>
                </c:pt>
                <c:pt idx="159">
                  <c:v>4.5799999999999999E-3</c:v>
                </c:pt>
                <c:pt idx="160">
                  <c:v>4.4299999999999999E-3</c:v>
                </c:pt>
                <c:pt idx="161">
                  <c:v>4.3E-3</c:v>
                </c:pt>
                <c:pt idx="162">
                  <c:v>4.15E-3</c:v>
                </c:pt>
                <c:pt idx="163">
                  <c:v>4.0499999999999998E-3</c:v>
                </c:pt>
                <c:pt idx="164">
                  <c:v>4.0699999999999998E-3</c:v>
                </c:pt>
                <c:pt idx="165">
                  <c:v>4.0899999999999999E-3</c:v>
                </c:pt>
                <c:pt idx="166">
                  <c:v>4.15E-3</c:v>
                </c:pt>
                <c:pt idx="167">
                  <c:v>4.2199999999999998E-3</c:v>
                </c:pt>
                <c:pt idx="168">
                  <c:v>4.3200000000000001E-3</c:v>
                </c:pt>
                <c:pt idx="169">
                  <c:v>4.3800000000000002E-3</c:v>
                </c:pt>
                <c:pt idx="170">
                  <c:v>4.45E-3</c:v>
                </c:pt>
                <c:pt idx="171">
                  <c:v>4.3699999999999998E-3</c:v>
                </c:pt>
                <c:pt idx="172">
                  <c:v>4.2500000000000003E-3</c:v>
                </c:pt>
                <c:pt idx="173">
                  <c:v>4.15E-3</c:v>
                </c:pt>
                <c:pt idx="174">
                  <c:v>4.0099999999999997E-3</c:v>
                </c:pt>
                <c:pt idx="175">
                  <c:v>3.9399999999999999E-3</c:v>
                </c:pt>
                <c:pt idx="176">
                  <c:v>3.9699999999999996E-3</c:v>
                </c:pt>
                <c:pt idx="177">
                  <c:v>4.0099999999999997E-3</c:v>
                </c:pt>
                <c:pt idx="178">
                  <c:v>4.0800000000000003E-3</c:v>
                </c:pt>
                <c:pt idx="179">
                  <c:v>4.3400000000000001E-3</c:v>
                </c:pt>
                <c:pt idx="180">
                  <c:v>5.0800000000000003E-3</c:v>
                </c:pt>
                <c:pt idx="181">
                  <c:v>5.13E-3</c:v>
                </c:pt>
                <c:pt idx="182">
                  <c:v>5.13E-3</c:v>
                </c:pt>
                <c:pt idx="183">
                  <c:v>4.9699999999999996E-3</c:v>
                </c:pt>
                <c:pt idx="184">
                  <c:v>4.7800000000000004E-3</c:v>
                </c:pt>
                <c:pt idx="185">
                  <c:v>4.6100000000000004E-3</c:v>
                </c:pt>
                <c:pt idx="186">
                  <c:v>4.4099999999999999E-3</c:v>
                </c:pt>
                <c:pt idx="187">
                  <c:v>4.2900000000000004E-3</c:v>
                </c:pt>
                <c:pt idx="188">
                  <c:v>4.2700000000000004E-3</c:v>
                </c:pt>
                <c:pt idx="189">
                  <c:v>4.2700000000000004E-3</c:v>
                </c:pt>
                <c:pt idx="190">
                  <c:v>4.3E-3</c:v>
                </c:pt>
                <c:pt idx="191">
                  <c:v>4.3600000000000002E-3</c:v>
                </c:pt>
                <c:pt idx="192">
                  <c:v>4.4400000000000004E-3</c:v>
                </c:pt>
                <c:pt idx="193">
                  <c:v>4.4799999999999996E-3</c:v>
                </c:pt>
                <c:pt idx="194">
                  <c:v>4.6800000000000001E-3</c:v>
                </c:pt>
                <c:pt idx="195">
                  <c:v>5.1799999999999997E-3</c:v>
                </c:pt>
                <c:pt idx="196">
                  <c:v>5.13E-3</c:v>
                </c:pt>
                <c:pt idx="197">
                  <c:v>5.0000000000000001E-3</c:v>
                </c:pt>
                <c:pt idx="198">
                  <c:v>4.8300000000000001E-3</c:v>
                </c:pt>
                <c:pt idx="199">
                  <c:v>4.7099999999999998E-3</c:v>
                </c:pt>
                <c:pt idx="200">
                  <c:v>4.6800000000000001E-3</c:v>
                </c:pt>
                <c:pt idx="201">
                  <c:v>4.6699999999999997E-3</c:v>
                </c:pt>
                <c:pt idx="202">
                  <c:v>4.6800000000000001E-3</c:v>
                </c:pt>
                <c:pt idx="203">
                  <c:v>5.0499999999999998E-3</c:v>
                </c:pt>
                <c:pt idx="204">
                  <c:v>5.5100000000000001E-3</c:v>
                </c:pt>
                <c:pt idx="205">
                  <c:v>5.5500000000000002E-3</c:v>
                </c:pt>
                <c:pt idx="206">
                  <c:v>5.5300000000000002E-3</c:v>
                </c:pt>
                <c:pt idx="207">
                  <c:v>5.3299999999999997E-3</c:v>
                </c:pt>
                <c:pt idx="208">
                  <c:v>5.1000000000000004E-3</c:v>
                </c:pt>
                <c:pt idx="209">
                  <c:v>4.8900000000000002E-3</c:v>
                </c:pt>
                <c:pt idx="210">
                  <c:v>5.3499999999999997E-3</c:v>
                </c:pt>
                <c:pt idx="211">
                  <c:v>5.3E-3</c:v>
                </c:pt>
                <c:pt idx="212">
                  <c:v>5.2100000000000002E-3</c:v>
                </c:pt>
                <c:pt idx="213">
                  <c:v>5.11E-3</c:v>
                </c:pt>
                <c:pt idx="214">
                  <c:v>5.0400000000000002E-3</c:v>
                </c:pt>
                <c:pt idx="215">
                  <c:v>5.0099999999999997E-3</c:v>
                </c:pt>
                <c:pt idx="216">
                  <c:v>5.0000000000000001E-3</c:v>
                </c:pt>
                <c:pt idx="217">
                  <c:v>4.9699999999999996E-3</c:v>
                </c:pt>
                <c:pt idx="218">
                  <c:v>4.9699999999999996E-3</c:v>
                </c:pt>
                <c:pt idx="219">
                  <c:v>4.8199999999999996E-3</c:v>
                </c:pt>
                <c:pt idx="220">
                  <c:v>4.64E-3</c:v>
                </c:pt>
                <c:pt idx="221">
                  <c:v>4.4799999999999996E-3</c:v>
                </c:pt>
                <c:pt idx="222">
                  <c:v>4.3E-3</c:v>
                </c:pt>
                <c:pt idx="223">
                  <c:v>4.1999999999999997E-3</c:v>
                </c:pt>
                <c:pt idx="224">
                  <c:v>4.1900000000000001E-3</c:v>
                </c:pt>
                <c:pt idx="225">
                  <c:v>4.2100000000000002E-3</c:v>
                </c:pt>
                <c:pt idx="226">
                  <c:v>4.2599999999999999E-3</c:v>
                </c:pt>
                <c:pt idx="227">
                  <c:v>4.3200000000000001E-3</c:v>
                </c:pt>
                <c:pt idx="228">
                  <c:v>4.4099999999999999E-3</c:v>
                </c:pt>
                <c:pt idx="229">
                  <c:v>4.47E-3</c:v>
                </c:pt>
                <c:pt idx="230">
                  <c:v>4.5300000000000002E-3</c:v>
                </c:pt>
                <c:pt idx="231">
                  <c:v>4.4400000000000004E-3</c:v>
                </c:pt>
                <c:pt idx="232">
                  <c:v>4.3200000000000001E-3</c:v>
                </c:pt>
                <c:pt idx="233">
                  <c:v>4.2100000000000002E-3</c:v>
                </c:pt>
                <c:pt idx="234">
                  <c:v>4.0699999999999998E-3</c:v>
                </c:pt>
                <c:pt idx="235">
                  <c:v>4.0000000000000001E-3</c:v>
                </c:pt>
                <c:pt idx="236">
                  <c:v>4.0299999999999997E-3</c:v>
                </c:pt>
                <c:pt idx="237">
                  <c:v>4.0699999999999998E-3</c:v>
                </c:pt>
                <c:pt idx="238">
                  <c:v>4.1399999999999996E-3</c:v>
                </c:pt>
                <c:pt idx="239">
                  <c:v>4.2199999999999998E-3</c:v>
                </c:pt>
                <c:pt idx="240">
                  <c:v>4.3299999999999996E-3</c:v>
                </c:pt>
                <c:pt idx="241">
                  <c:v>4.4000000000000003E-3</c:v>
                </c:pt>
                <c:pt idx="242">
                  <c:v>4.4799999999999996E-3</c:v>
                </c:pt>
                <c:pt idx="243">
                  <c:v>4.3899999999999998E-3</c:v>
                </c:pt>
                <c:pt idx="244">
                  <c:v>4.28E-3</c:v>
                </c:pt>
                <c:pt idx="245">
                  <c:v>5.2700000000000004E-3</c:v>
                </c:pt>
                <c:pt idx="246">
                  <c:v>5.2500000000000003E-3</c:v>
                </c:pt>
                <c:pt idx="247">
                  <c:v>5.2300000000000003E-3</c:v>
                </c:pt>
                <c:pt idx="248">
                  <c:v>5.1700000000000001E-3</c:v>
                </c:pt>
                <c:pt idx="249">
                  <c:v>5.0899999999999999E-3</c:v>
                </c:pt>
                <c:pt idx="250">
                  <c:v>5.1200000000000004E-3</c:v>
                </c:pt>
                <c:pt idx="251">
                  <c:v>5.1500000000000001E-3</c:v>
                </c:pt>
                <c:pt idx="252">
                  <c:v>5.3200000000000001E-3</c:v>
                </c:pt>
                <c:pt idx="253">
                  <c:v>5.5700000000000003E-3</c:v>
                </c:pt>
                <c:pt idx="254">
                  <c:v>5.9100000000000003E-3</c:v>
                </c:pt>
                <c:pt idx="255">
                  <c:v>6.0800000000000003E-3</c:v>
                </c:pt>
                <c:pt idx="256">
                  <c:v>6.1900000000000002E-3</c:v>
                </c:pt>
                <c:pt idx="257">
                  <c:v>6.7200000000000003E-3</c:v>
                </c:pt>
                <c:pt idx="258">
                  <c:v>6.6499999999999997E-3</c:v>
                </c:pt>
                <c:pt idx="259">
                  <c:v>6.5399999999999998E-3</c:v>
                </c:pt>
                <c:pt idx="260">
                  <c:v>6.45E-3</c:v>
                </c:pt>
                <c:pt idx="261">
                  <c:v>6.3400000000000001E-3</c:v>
                </c:pt>
                <c:pt idx="262">
                  <c:v>7.1399999999999996E-3</c:v>
                </c:pt>
                <c:pt idx="263">
                  <c:v>8.0099999999999998E-3</c:v>
                </c:pt>
                <c:pt idx="264">
                  <c:v>8.5900000000000004E-3</c:v>
                </c:pt>
                <c:pt idx="265">
                  <c:v>8.7600000000000004E-3</c:v>
                </c:pt>
                <c:pt idx="266">
                  <c:v>8.9499999999999996E-3</c:v>
                </c:pt>
                <c:pt idx="267">
                  <c:v>8.8000000000000005E-3</c:v>
                </c:pt>
                <c:pt idx="268">
                  <c:v>8.8699999999999994E-3</c:v>
                </c:pt>
                <c:pt idx="269">
                  <c:v>9.2899999999999996E-3</c:v>
                </c:pt>
                <c:pt idx="270">
                  <c:v>9.3500000000000007E-3</c:v>
                </c:pt>
                <c:pt idx="271">
                  <c:v>9.2200000000000008E-3</c:v>
                </c:pt>
                <c:pt idx="272">
                  <c:v>9.0200000000000002E-3</c:v>
                </c:pt>
                <c:pt idx="273">
                  <c:v>8.8999999999999999E-3</c:v>
                </c:pt>
                <c:pt idx="274">
                  <c:v>9.2499999999999995E-3</c:v>
                </c:pt>
                <c:pt idx="275">
                  <c:v>9.6600000000000002E-3</c:v>
                </c:pt>
                <c:pt idx="276">
                  <c:v>9.9600000000000001E-3</c:v>
                </c:pt>
                <c:pt idx="277">
                  <c:v>9.6900000000000007E-3</c:v>
                </c:pt>
                <c:pt idx="278">
                  <c:v>9.4999999999999998E-3</c:v>
                </c:pt>
                <c:pt idx="279">
                  <c:v>9.3299999999999998E-3</c:v>
                </c:pt>
                <c:pt idx="280">
                  <c:v>8.3300000000000006E-3</c:v>
                </c:pt>
                <c:pt idx="281">
                  <c:v>7.4599999999999996E-3</c:v>
                </c:pt>
                <c:pt idx="282">
                  <c:v>7.3299999999999997E-3</c:v>
                </c:pt>
                <c:pt idx="283">
                  <c:v>7.6699999999999997E-3</c:v>
                </c:pt>
                <c:pt idx="284">
                  <c:v>2.0670000000000001E-2</c:v>
                </c:pt>
                <c:pt idx="285">
                  <c:v>2.3220000000000001E-2</c:v>
                </c:pt>
                <c:pt idx="286">
                  <c:v>2.6190000000000001E-2</c:v>
                </c:pt>
                <c:pt idx="287">
                  <c:v>2.7179999999999999E-2</c:v>
                </c:pt>
                <c:pt idx="288">
                  <c:v>2.86E-2</c:v>
                </c:pt>
                <c:pt idx="289">
                  <c:v>2.9919999999999999E-2</c:v>
                </c:pt>
                <c:pt idx="290">
                  <c:v>3.2079999999999997E-2</c:v>
                </c:pt>
                <c:pt idx="291">
                  <c:v>3.771E-2</c:v>
                </c:pt>
                <c:pt idx="292">
                  <c:v>5.3809999999999997E-2</c:v>
                </c:pt>
                <c:pt idx="293">
                  <c:v>5.7509999999999999E-2</c:v>
                </c:pt>
                <c:pt idx="294">
                  <c:v>5.6910000000000002E-2</c:v>
                </c:pt>
                <c:pt idx="295">
                  <c:v>5.6890000000000003E-2</c:v>
                </c:pt>
                <c:pt idx="296">
                  <c:v>5.74E-2</c:v>
                </c:pt>
                <c:pt idx="297">
                  <c:v>5.4690000000000003E-2</c:v>
                </c:pt>
                <c:pt idx="298">
                  <c:v>5.2319999999999998E-2</c:v>
                </c:pt>
                <c:pt idx="299">
                  <c:v>4.7759999999999997E-2</c:v>
                </c:pt>
                <c:pt idx="300">
                  <c:v>4.1610000000000001E-2</c:v>
                </c:pt>
                <c:pt idx="301">
                  <c:v>3.857E-2</c:v>
                </c:pt>
                <c:pt idx="302">
                  <c:v>3.4639999999999997E-2</c:v>
                </c:pt>
                <c:pt idx="303">
                  <c:v>3.4439999999999998E-2</c:v>
                </c:pt>
                <c:pt idx="304">
                  <c:v>3.7019999999999997E-2</c:v>
                </c:pt>
                <c:pt idx="305">
                  <c:v>3.5860000000000003E-2</c:v>
                </c:pt>
                <c:pt idx="306">
                  <c:v>3.3930000000000002E-2</c:v>
                </c:pt>
                <c:pt idx="307">
                  <c:v>3.1789999999999999E-2</c:v>
                </c:pt>
                <c:pt idx="308">
                  <c:v>3.0419999999999999E-2</c:v>
                </c:pt>
                <c:pt idx="309">
                  <c:v>2.904E-2</c:v>
                </c:pt>
                <c:pt idx="310">
                  <c:v>2.8459999999999999E-2</c:v>
                </c:pt>
                <c:pt idx="311">
                  <c:v>2.6579999999999999E-2</c:v>
                </c:pt>
                <c:pt idx="312">
                  <c:v>2.4930000000000001E-2</c:v>
                </c:pt>
                <c:pt idx="313">
                  <c:v>2.4070000000000001E-2</c:v>
                </c:pt>
                <c:pt idx="314">
                  <c:v>2.2290000000000001E-2</c:v>
                </c:pt>
                <c:pt idx="315">
                  <c:v>2.12E-2</c:v>
                </c:pt>
                <c:pt idx="316">
                  <c:v>1.9550000000000001E-2</c:v>
                </c:pt>
                <c:pt idx="317">
                  <c:v>1.8599999999999998E-2</c:v>
                </c:pt>
                <c:pt idx="318">
                  <c:v>1.737E-2</c:v>
                </c:pt>
                <c:pt idx="319">
                  <c:v>1.609E-2</c:v>
                </c:pt>
                <c:pt idx="320">
                  <c:v>1.4970000000000001E-2</c:v>
                </c:pt>
                <c:pt idx="321">
                  <c:v>1.376E-2</c:v>
                </c:pt>
                <c:pt idx="322">
                  <c:v>1.3259999999999999E-2</c:v>
                </c:pt>
                <c:pt idx="323">
                  <c:v>1.264E-2</c:v>
                </c:pt>
                <c:pt idx="324">
                  <c:v>1.2370000000000001E-2</c:v>
                </c:pt>
                <c:pt idx="325">
                  <c:v>1.179E-2</c:v>
                </c:pt>
                <c:pt idx="326">
                  <c:v>1.15E-2</c:v>
                </c:pt>
                <c:pt idx="327">
                  <c:v>1.103E-2</c:v>
                </c:pt>
                <c:pt idx="328">
                  <c:v>1.2829999999999999E-2</c:v>
                </c:pt>
                <c:pt idx="329">
                  <c:v>1.519E-2</c:v>
                </c:pt>
                <c:pt idx="330">
                  <c:v>1.5959999999999998E-2</c:v>
                </c:pt>
                <c:pt idx="331">
                  <c:v>1.5440000000000001E-2</c:v>
                </c:pt>
                <c:pt idx="332">
                  <c:v>1.507E-2</c:v>
                </c:pt>
                <c:pt idx="333">
                  <c:v>1.4999999999999999E-2</c:v>
                </c:pt>
                <c:pt idx="334">
                  <c:v>1.4019999999999999E-2</c:v>
                </c:pt>
                <c:pt idx="335">
                  <c:v>1.3820000000000001E-2</c:v>
                </c:pt>
                <c:pt idx="336">
                  <c:v>1.3639999999999999E-2</c:v>
                </c:pt>
                <c:pt idx="337">
                  <c:v>1.3050000000000001E-2</c:v>
                </c:pt>
                <c:pt idx="338">
                  <c:v>1.2919999999999999E-2</c:v>
                </c:pt>
                <c:pt idx="339">
                  <c:v>1.264E-2</c:v>
                </c:pt>
                <c:pt idx="340">
                  <c:v>1.243E-2</c:v>
                </c:pt>
                <c:pt idx="341">
                  <c:v>1.2070000000000001E-2</c:v>
                </c:pt>
                <c:pt idx="342">
                  <c:v>1.136E-2</c:v>
                </c:pt>
                <c:pt idx="343">
                  <c:v>1.09E-2</c:v>
                </c:pt>
                <c:pt idx="344">
                  <c:v>1.0619999999999999E-2</c:v>
                </c:pt>
                <c:pt idx="345">
                  <c:v>1.072E-2</c:v>
                </c:pt>
                <c:pt idx="346">
                  <c:v>1.061E-2</c:v>
                </c:pt>
                <c:pt idx="347">
                  <c:v>1.0160000000000001E-2</c:v>
                </c:pt>
                <c:pt idx="348">
                  <c:v>9.9299999999999996E-3</c:v>
                </c:pt>
                <c:pt idx="349">
                  <c:v>9.6500000000000006E-3</c:v>
                </c:pt>
                <c:pt idx="350">
                  <c:v>9.5499999999999995E-3</c:v>
                </c:pt>
                <c:pt idx="351">
                  <c:v>9.2300000000000004E-3</c:v>
                </c:pt>
                <c:pt idx="352">
                  <c:v>8.9499999999999996E-3</c:v>
                </c:pt>
                <c:pt idx="353">
                  <c:v>8.6199999999999992E-3</c:v>
                </c:pt>
                <c:pt idx="354">
                  <c:v>8.4200000000000004E-3</c:v>
                </c:pt>
                <c:pt idx="355">
                  <c:v>8.0599999999999995E-3</c:v>
                </c:pt>
                <c:pt idx="356">
                  <c:v>7.8200000000000006E-3</c:v>
                </c:pt>
                <c:pt idx="357">
                  <c:v>7.4900000000000001E-3</c:v>
                </c:pt>
                <c:pt idx="358">
                  <c:v>7.4200000000000004E-3</c:v>
                </c:pt>
                <c:pt idx="359">
                  <c:v>7.3800000000000003E-3</c:v>
                </c:pt>
                <c:pt idx="360">
                  <c:v>7.62E-3</c:v>
                </c:pt>
                <c:pt idx="361">
                  <c:v>7.7200000000000003E-3</c:v>
                </c:pt>
                <c:pt idx="362">
                  <c:v>7.4200000000000004E-3</c:v>
                </c:pt>
                <c:pt idx="363">
                  <c:v>7.1900000000000002E-3</c:v>
                </c:pt>
                <c:pt idx="364">
                  <c:v>6.8199999999999997E-3</c:v>
                </c:pt>
                <c:pt idx="365">
                  <c:v>6.5199999999999998E-3</c:v>
                </c:pt>
                <c:pt idx="366">
                  <c:v>6.3600000000000002E-3</c:v>
                </c:pt>
                <c:pt idx="367">
                  <c:v>5.9699999999999996E-3</c:v>
                </c:pt>
                <c:pt idx="368">
                  <c:v>5.8799999999999998E-3</c:v>
                </c:pt>
                <c:pt idx="369">
                  <c:v>5.7999999999999996E-3</c:v>
                </c:pt>
                <c:pt idx="370">
                  <c:v>5.7400000000000003E-3</c:v>
                </c:pt>
                <c:pt idx="371">
                  <c:v>5.64E-3</c:v>
                </c:pt>
                <c:pt idx="372">
                  <c:v>5.7000000000000002E-3</c:v>
                </c:pt>
                <c:pt idx="373">
                  <c:v>5.79E-3</c:v>
                </c:pt>
                <c:pt idx="374">
                  <c:v>5.6899999999999997E-3</c:v>
                </c:pt>
                <c:pt idx="375">
                  <c:v>5.4999999999999997E-3</c:v>
                </c:pt>
                <c:pt idx="376">
                  <c:v>5.3899999999999998E-3</c:v>
                </c:pt>
                <c:pt idx="377">
                  <c:v>5.2399999999999999E-3</c:v>
                </c:pt>
                <c:pt idx="378">
                  <c:v>5.2900000000000004E-3</c:v>
                </c:pt>
                <c:pt idx="379">
                  <c:v>5.7999999999999996E-3</c:v>
                </c:pt>
                <c:pt idx="380">
                  <c:v>5.9899999999999997E-3</c:v>
                </c:pt>
                <c:pt idx="381">
                  <c:v>6.1999999999999998E-3</c:v>
                </c:pt>
                <c:pt idx="382">
                  <c:v>6.2599999999999999E-3</c:v>
                </c:pt>
                <c:pt idx="383">
                  <c:v>6.3E-3</c:v>
                </c:pt>
                <c:pt idx="384">
                  <c:v>6.5799999999999999E-3</c:v>
                </c:pt>
                <c:pt idx="385">
                  <c:v>6.6E-3</c:v>
                </c:pt>
                <c:pt idx="386">
                  <c:v>6.2500000000000003E-3</c:v>
                </c:pt>
                <c:pt idx="387">
                  <c:v>6.1599999999999997E-3</c:v>
                </c:pt>
                <c:pt idx="388">
                  <c:v>5.8900000000000003E-3</c:v>
                </c:pt>
                <c:pt idx="389">
                  <c:v>5.7800000000000004E-3</c:v>
                </c:pt>
                <c:pt idx="390">
                  <c:v>5.7499999999999999E-3</c:v>
                </c:pt>
                <c:pt idx="391">
                  <c:v>5.6299999999999996E-3</c:v>
                </c:pt>
                <c:pt idx="392">
                  <c:v>5.5700000000000003E-3</c:v>
                </c:pt>
                <c:pt idx="393">
                  <c:v>5.5500000000000002E-3</c:v>
                </c:pt>
                <c:pt idx="394">
                  <c:v>6.0099999999999997E-3</c:v>
                </c:pt>
                <c:pt idx="395">
                  <c:v>2.5409999999999999E-2</c:v>
                </c:pt>
                <c:pt idx="396">
                  <c:v>4.9849999999999998E-2</c:v>
                </c:pt>
                <c:pt idx="397">
                  <c:v>7.442E-2</c:v>
                </c:pt>
                <c:pt idx="398">
                  <c:v>9.9510000000000001E-2</c:v>
                </c:pt>
                <c:pt idx="399">
                  <c:v>0.10833</c:v>
                </c:pt>
                <c:pt idx="400">
                  <c:v>0.10814</c:v>
                </c:pt>
                <c:pt idx="401">
                  <c:v>0.10936</c:v>
                </c:pt>
                <c:pt idx="402">
                  <c:v>0.11007</c:v>
                </c:pt>
                <c:pt idx="403">
                  <c:v>0.10983</c:v>
                </c:pt>
                <c:pt idx="404">
                  <c:v>0.10781</c:v>
                </c:pt>
                <c:pt idx="405">
                  <c:v>0.11117</c:v>
                </c:pt>
                <c:pt idx="406">
                  <c:v>0.11448</c:v>
                </c:pt>
                <c:pt idx="407">
                  <c:v>0.10786999999999999</c:v>
                </c:pt>
                <c:pt idx="408">
                  <c:v>0.10366</c:v>
                </c:pt>
                <c:pt idx="409">
                  <c:v>9.9900000000000003E-2</c:v>
                </c:pt>
                <c:pt idx="410">
                  <c:v>9.0620000000000006E-2</c:v>
                </c:pt>
                <c:pt idx="411">
                  <c:v>8.3360000000000004E-2</c:v>
                </c:pt>
                <c:pt idx="412">
                  <c:v>7.9369999999999996E-2</c:v>
                </c:pt>
                <c:pt idx="413">
                  <c:v>7.0660000000000001E-2</c:v>
                </c:pt>
                <c:pt idx="414">
                  <c:v>6.9159999999999999E-2</c:v>
                </c:pt>
                <c:pt idx="415">
                  <c:v>6.4710000000000004E-2</c:v>
                </c:pt>
                <c:pt idx="416">
                  <c:v>6.4380000000000007E-2</c:v>
                </c:pt>
                <c:pt idx="417">
                  <c:v>5.951E-2</c:v>
                </c:pt>
                <c:pt idx="418">
                  <c:v>5.4960000000000002E-2</c:v>
                </c:pt>
                <c:pt idx="419">
                  <c:v>5.0900000000000001E-2</c:v>
                </c:pt>
                <c:pt idx="420">
                  <c:v>4.6559999999999997E-2</c:v>
                </c:pt>
                <c:pt idx="421">
                  <c:v>4.249E-2</c:v>
                </c:pt>
                <c:pt idx="422">
                  <c:v>3.9300000000000002E-2</c:v>
                </c:pt>
                <c:pt idx="423">
                  <c:v>3.5959999999999999E-2</c:v>
                </c:pt>
                <c:pt idx="424">
                  <c:v>3.2710000000000003E-2</c:v>
                </c:pt>
                <c:pt idx="425">
                  <c:v>2.9739999999999999E-2</c:v>
                </c:pt>
                <c:pt idx="426">
                  <c:v>2.4920000000000001E-2</c:v>
                </c:pt>
                <c:pt idx="427">
                  <c:v>2.1430000000000001E-2</c:v>
                </c:pt>
                <c:pt idx="428">
                  <c:v>1.8630000000000001E-2</c:v>
                </c:pt>
                <c:pt idx="429">
                  <c:v>1.685E-2</c:v>
                </c:pt>
                <c:pt idx="430">
                  <c:v>1.5699999999999999E-2</c:v>
                </c:pt>
                <c:pt idx="431">
                  <c:v>1.482E-2</c:v>
                </c:pt>
                <c:pt idx="432">
                  <c:v>1.4149999999999999E-2</c:v>
                </c:pt>
                <c:pt idx="433">
                  <c:v>1.3639999999999999E-2</c:v>
                </c:pt>
                <c:pt idx="434">
                  <c:v>1.328E-2</c:v>
                </c:pt>
                <c:pt idx="435">
                  <c:v>1.247E-2</c:v>
                </c:pt>
                <c:pt idx="436">
                  <c:v>1.176E-2</c:v>
                </c:pt>
                <c:pt idx="437">
                  <c:v>1.1270000000000001E-2</c:v>
                </c:pt>
                <c:pt idx="438">
                  <c:v>1.0330000000000001E-2</c:v>
                </c:pt>
                <c:pt idx="439">
                  <c:v>9.8200000000000006E-3</c:v>
                </c:pt>
                <c:pt idx="440">
                  <c:v>9.3399999999999993E-3</c:v>
                </c:pt>
                <c:pt idx="441">
                  <c:v>8.7799999999999996E-3</c:v>
                </c:pt>
                <c:pt idx="442">
                  <c:v>8.4200000000000004E-3</c:v>
                </c:pt>
                <c:pt idx="443">
                  <c:v>8.3599999999999994E-3</c:v>
                </c:pt>
                <c:pt idx="444">
                  <c:v>7.9799999999999992E-3</c:v>
                </c:pt>
                <c:pt idx="445">
                  <c:v>7.6600000000000001E-3</c:v>
                </c:pt>
                <c:pt idx="446">
                  <c:v>7.3899999999999999E-3</c:v>
                </c:pt>
                <c:pt idx="447">
                  <c:v>7.1799999999999998E-3</c:v>
                </c:pt>
                <c:pt idx="448">
                  <c:v>6.8399999999999997E-3</c:v>
                </c:pt>
                <c:pt idx="449">
                  <c:v>6.45E-3</c:v>
                </c:pt>
                <c:pt idx="450">
                  <c:v>6.0600000000000003E-3</c:v>
                </c:pt>
                <c:pt idx="451">
                  <c:v>5.7499999999999999E-3</c:v>
                </c:pt>
                <c:pt idx="452">
                  <c:v>5.5700000000000003E-3</c:v>
                </c:pt>
                <c:pt idx="453">
                  <c:v>5.47E-3</c:v>
                </c:pt>
                <c:pt idx="454">
                  <c:v>5.79E-3</c:v>
                </c:pt>
                <c:pt idx="455">
                  <c:v>5.2100000000000002E-3</c:v>
                </c:pt>
                <c:pt idx="456">
                  <c:v>5.2300000000000003E-3</c:v>
                </c:pt>
                <c:pt idx="457">
                  <c:v>5.1799999999999997E-3</c:v>
                </c:pt>
                <c:pt idx="458">
                  <c:v>5.0800000000000003E-3</c:v>
                </c:pt>
                <c:pt idx="459">
                  <c:v>5.0200000000000002E-3</c:v>
                </c:pt>
                <c:pt idx="460">
                  <c:v>4.8599999999999997E-3</c:v>
                </c:pt>
                <c:pt idx="461">
                  <c:v>4.7299999999999998E-3</c:v>
                </c:pt>
                <c:pt idx="462">
                  <c:v>4.5999999999999999E-3</c:v>
                </c:pt>
                <c:pt idx="463">
                  <c:v>4.4900000000000001E-3</c:v>
                </c:pt>
                <c:pt idx="464">
                  <c:v>4.45E-3</c:v>
                </c:pt>
                <c:pt idx="465">
                  <c:v>4.4400000000000004E-3</c:v>
                </c:pt>
                <c:pt idx="466">
                  <c:v>4.3699999999999998E-3</c:v>
                </c:pt>
                <c:pt idx="467">
                  <c:v>4.3299999999999996E-3</c:v>
                </c:pt>
                <c:pt idx="468">
                  <c:v>4.3600000000000002E-3</c:v>
                </c:pt>
                <c:pt idx="469">
                  <c:v>4.4000000000000003E-3</c:v>
                </c:pt>
                <c:pt idx="470">
                  <c:v>4.3600000000000002E-3</c:v>
                </c:pt>
                <c:pt idx="471">
                  <c:v>4.3899999999999998E-3</c:v>
                </c:pt>
                <c:pt idx="472">
                  <c:v>4.3899999999999998E-3</c:v>
                </c:pt>
                <c:pt idx="473">
                  <c:v>4.3400000000000001E-3</c:v>
                </c:pt>
                <c:pt idx="474">
                  <c:v>4.2599999999999999E-3</c:v>
                </c:pt>
                <c:pt idx="475">
                  <c:v>4.1900000000000001E-3</c:v>
                </c:pt>
                <c:pt idx="476">
                  <c:v>4.1700000000000001E-3</c:v>
                </c:pt>
                <c:pt idx="477">
                  <c:v>4.2399999999999998E-3</c:v>
                </c:pt>
                <c:pt idx="478">
                  <c:v>4.1700000000000001E-3</c:v>
                </c:pt>
                <c:pt idx="479">
                  <c:v>4.1900000000000001E-3</c:v>
                </c:pt>
                <c:pt idx="480">
                  <c:v>4.3899999999999998E-3</c:v>
                </c:pt>
                <c:pt idx="481">
                  <c:v>4.7000000000000002E-3</c:v>
                </c:pt>
                <c:pt idx="482">
                  <c:v>4.7600000000000003E-3</c:v>
                </c:pt>
                <c:pt idx="483">
                  <c:v>4.5500000000000002E-3</c:v>
                </c:pt>
                <c:pt idx="484">
                  <c:v>4.3699999999999998E-3</c:v>
                </c:pt>
                <c:pt idx="485">
                  <c:v>4.2399999999999998E-3</c:v>
                </c:pt>
                <c:pt idx="486">
                  <c:v>4.0400000000000002E-3</c:v>
                </c:pt>
                <c:pt idx="487">
                  <c:v>3.8800000000000002E-3</c:v>
                </c:pt>
                <c:pt idx="488">
                  <c:v>3.8500000000000001E-3</c:v>
                </c:pt>
                <c:pt idx="489">
                  <c:v>4.0000000000000001E-3</c:v>
                </c:pt>
                <c:pt idx="490">
                  <c:v>4.1999999999999997E-3</c:v>
                </c:pt>
                <c:pt idx="491">
                  <c:v>4.1999999999999997E-3</c:v>
                </c:pt>
                <c:pt idx="492">
                  <c:v>4.3200000000000001E-3</c:v>
                </c:pt>
                <c:pt idx="493">
                  <c:v>4.4000000000000003E-3</c:v>
                </c:pt>
                <c:pt idx="494">
                  <c:v>4.45E-3</c:v>
                </c:pt>
                <c:pt idx="495">
                  <c:v>4.4400000000000004E-3</c:v>
                </c:pt>
                <c:pt idx="496">
                  <c:v>4.2500000000000003E-3</c:v>
                </c:pt>
                <c:pt idx="497">
                  <c:v>4.1799999999999997E-3</c:v>
                </c:pt>
                <c:pt idx="498">
                  <c:v>4.0600000000000002E-3</c:v>
                </c:pt>
                <c:pt idx="499">
                  <c:v>3.96E-3</c:v>
                </c:pt>
                <c:pt idx="500">
                  <c:v>4.0699999999999998E-3</c:v>
                </c:pt>
                <c:pt idx="501">
                  <c:v>4.0499999999999998E-3</c:v>
                </c:pt>
                <c:pt idx="502">
                  <c:v>4.0400000000000002E-3</c:v>
                </c:pt>
                <c:pt idx="503">
                  <c:v>4.0299999999999997E-3</c:v>
                </c:pt>
                <c:pt idx="504">
                  <c:v>4.1399999999999996E-3</c:v>
                </c:pt>
                <c:pt idx="505">
                  <c:v>4.2100000000000002E-3</c:v>
                </c:pt>
                <c:pt idx="506">
                  <c:v>4.3099999999999996E-3</c:v>
                </c:pt>
                <c:pt idx="507">
                  <c:v>4.4200000000000003E-3</c:v>
                </c:pt>
                <c:pt idx="508">
                  <c:v>4.3800000000000002E-3</c:v>
                </c:pt>
                <c:pt idx="509">
                  <c:v>4.3099999999999996E-3</c:v>
                </c:pt>
                <c:pt idx="510">
                  <c:v>4.1900000000000001E-3</c:v>
                </c:pt>
                <c:pt idx="511">
                  <c:v>4.1999999999999997E-3</c:v>
                </c:pt>
                <c:pt idx="512">
                  <c:v>4.0699999999999998E-3</c:v>
                </c:pt>
                <c:pt idx="513">
                  <c:v>4.0899999999999999E-3</c:v>
                </c:pt>
                <c:pt idx="514">
                  <c:v>4.3200000000000001E-3</c:v>
                </c:pt>
                <c:pt idx="515">
                  <c:v>4.7099999999999998E-3</c:v>
                </c:pt>
                <c:pt idx="516">
                  <c:v>4.9100000000000003E-3</c:v>
                </c:pt>
                <c:pt idx="517">
                  <c:v>4.6800000000000001E-3</c:v>
                </c:pt>
                <c:pt idx="518">
                  <c:v>4.7400000000000003E-3</c:v>
                </c:pt>
                <c:pt idx="519">
                  <c:v>4.4799999999999996E-3</c:v>
                </c:pt>
                <c:pt idx="520">
                  <c:v>4.3200000000000001E-3</c:v>
                </c:pt>
                <c:pt idx="521">
                  <c:v>4.2100000000000002E-3</c:v>
                </c:pt>
                <c:pt idx="522">
                  <c:v>4.0699999999999998E-3</c:v>
                </c:pt>
                <c:pt idx="523">
                  <c:v>4.0400000000000002E-3</c:v>
                </c:pt>
                <c:pt idx="524">
                  <c:v>3.8600000000000001E-3</c:v>
                </c:pt>
                <c:pt idx="525">
                  <c:v>3.8999999999999998E-3</c:v>
                </c:pt>
                <c:pt idx="526">
                  <c:v>3.9899999999999996E-3</c:v>
                </c:pt>
                <c:pt idx="527">
                  <c:v>4.0200000000000001E-3</c:v>
                </c:pt>
                <c:pt idx="528">
                  <c:v>4.0000000000000001E-3</c:v>
                </c:pt>
                <c:pt idx="529">
                  <c:v>3.9100000000000003E-3</c:v>
                </c:pt>
                <c:pt idx="530">
                  <c:v>4.0899999999999999E-3</c:v>
                </c:pt>
                <c:pt idx="531">
                  <c:v>4.3499999999999997E-3</c:v>
                </c:pt>
                <c:pt idx="532">
                  <c:v>4.4900000000000001E-3</c:v>
                </c:pt>
                <c:pt idx="533">
                  <c:v>4.81E-3</c:v>
                </c:pt>
                <c:pt idx="534">
                  <c:v>4.9300000000000004E-3</c:v>
                </c:pt>
                <c:pt idx="535">
                  <c:v>5.0400000000000002E-3</c:v>
                </c:pt>
                <c:pt idx="536">
                  <c:v>4.7200000000000002E-3</c:v>
                </c:pt>
                <c:pt idx="537">
                  <c:v>4.5900000000000003E-3</c:v>
                </c:pt>
                <c:pt idx="538">
                  <c:v>4.7400000000000003E-3</c:v>
                </c:pt>
                <c:pt idx="539">
                  <c:v>4.8399999999999997E-3</c:v>
                </c:pt>
                <c:pt idx="540">
                  <c:v>5.0499999999999998E-3</c:v>
                </c:pt>
                <c:pt idx="541">
                  <c:v>5.13E-3</c:v>
                </c:pt>
                <c:pt idx="542">
                  <c:v>5.1599999999999997E-3</c:v>
                </c:pt>
                <c:pt idx="543">
                  <c:v>5.0000000000000001E-3</c:v>
                </c:pt>
                <c:pt idx="544">
                  <c:v>4.7699999999999999E-3</c:v>
                </c:pt>
                <c:pt idx="545">
                  <c:v>4.6600000000000001E-3</c:v>
                </c:pt>
                <c:pt idx="546">
                  <c:v>4.4600000000000004E-3</c:v>
                </c:pt>
                <c:pt idx="547">
                  <c:v>4.3200000000000001E-3</c:v>
                </c:pt>
                <c:pt idx="548">
                  <c:v>4.3E-3</c:v>
                </c:pt>
                <c:pt idx="549">
                  <c:v>4.1999999999999997E-3</c:v>
                </c:pt>
                <c:pt idx="550">
                  <c:v>4.1399999999999996E-3</c:v>
                </c:pt>
                <c:pt idx="551">
                  <c:v>4.1799999999999997E-3</c:v>
                </c:pt>
                <c:pt idx="552">
                  <c:v>4.2700000000000004E-3</c:v>
                </c:pt>
                <c:pt idx="553">
                  <c:v>4.4299999999999999E-3</c:v>
                </c:pt>
                <c:pt idx="554">
                  <c:v>4.3099999999999996E-3</c:v>
                </c:pt>
                <c:pt idx="555">
                  <c:v>4.4000000000000003E-3</c:v>
                </c:pt>
                <c:pt idx="556">
                  <c:v>4.5500000000000002E-3</c:v>
                </c:pt>
                <c:pt idx="557">
                  <c:v>4.7099999999999998E-3</c:v>
                </c:pt>
                <c:pt idx="558">
                  <c:v>4.8799999999999998E-3</c:v>
                </c:pt>
                <c:pt idx="559">
                  <c:v>5.5399999999999998E-3</c:v>
                </c:pt>
                <c:pt idx="560">
                  <c:v>5.6699999999999997E-3</c:v>
                </c:pt>
                <c:pt idx="561">
                  <c:v>5.7200000000000003E-3</c:v>
                </c:pt>
                <c:pt idx="562">
                  <c:v>5.7499999999999999E-3</c:v>
                </c:pt>
                <c:pt idx="563">
                  <c:v>6.0000000000000001E-3</c:v>
                </c:pt>
                <c:pt idx="564">
                  <c:v>6.4599999999999996E-3</c:v>
                </c:pt>
                <c:pt idx="565">
                  <c:v>6.5300000000000002E-3</c:v>
                </c:pt>
                <c:pt idx="566">
                  <c:v>6.4999999999999997E-3</c:v>
                </c:pt>
                <c:pt idx="567">
                  <c:v>6.3200000000000001E-3</c:v>
                </c:pt>
                <c:pt idx="568">
                  <c:v>5.94E-3</c:v>
                </c:pt>
                <c:pt idx="569">
                  <c:v>6.1000000000000004E-3</c:v>
                </c:pt>
                <c:pt idx="570">
                  <c:v>6.0000000000000001E-3</c:v>
                </c:pt>
                <c:pt idx="571">
                  <c:v>5.8199999999999997E-3</c:v>
                </c:pt>
                <c:pt idx="572">
                  <c:v>5.8599999999999998E-3</c:v>
                </c:pt>
                <c:pt idx="573">
                  <c:v>5.8300000000000001E-3</c:v>
                </c:pt>
                <c:pt idx="574">
                  <c:v>6.3200000000000001E-3</c:v>
                </c:pt>
                <c:pt idx="575">
                  <c:v>6.8300000000000001E-3</c:v>
                </c:pt>
                <c:pt idx="576">
                  <c:v>7.3600000000000002E-3</c:v>
                </c:pt>
                <c:pt idx="577">
                  <c:v>7.5700000000000003E-3</c:v>
                </c:pt>
                <c:pt idx="578">
                  <c:v>7.4999999999999997E-3</c:v>
                </c:pt>
                <c:pt idx="579">
                  <c:v>8.3800000000000003E-3</c:v>
                </c:pt>
                <c:pt idx="580">
                  <c:v>8.8000000000000005E-3</c:v>
                </c:pt>
                <c:pt idx="581">
                  <c:v>8.9800000000000001E-3</c:v>
                </c:pt>
                <c:pt idx="582">
                  <c:v>8.9300000000000004E-3</c:v>
                </c:pt>
                <c:pt idx="583">
                  <c:v>8.1600000000000006E-3</c:v>
                </c:pt>
                <c:pt idx="584">
                  <c:v>7.7999999999999996E-3</c:v>
                </c:pt>
                <c:pt idx="585">
                  <c:v>7.4400000000000004E-3</c:v>
                </c:pt>
                <c:pt idx="586">
                  <c:v>7.2100000000000003E-3</c:v>
                </c:pt>
                <c:pt idx="587">
                  <c:v>7.1500000000000001E-3</c:v>
                </c:pt>
                <c:pt idx="588">
                  <c:v>7.1999999999999998E-3</c:v>
                </c:pt>
                <c:pt idx="589">
                  <c:v>7.11E-3</c:v>
                </c:pt>
                <c:pt idx="590">
                  <c:v>6.9800000000000001E-3</c:v>
                </c:pt>
                <c:pt idx="591">
                  <c:v>6.94E-3</c:v>
                </c:pt>
                <c:pt idx="592">
                  <c:v>6.5900000000000004E-3</c:v>
                </c:pt>
                <c:pt idx="593">
                  <c:v>6.2500000000000003E-3</c:v>
                </c:pt>
                <c:pt idx="594">
                  <c:v>6.2399999999999999E-3</c:v>
                </c:pt>
                <c:pt idx="595">
                  <c:v>6.1900000000000002E-3</c:v>
                </c:pt>
                <c:pt idx="596">
                  <c:v>6.2599999999999999E-3</c:v>
                </c:pt>
                <c:pt idx="597">
                  <c:v>6.1000000000000004E-3</c:v>
                </c:pt>
                <c:pt idx="598">
                  <c:v>6.0099999999999997E-3</c:v>
                </c:pt>
                <c:pt idx="599">
                  <c:v>6.0899999999999999E-3</c:v>
                </c:pt>
                <c:pt idx="600">
                  <c:v>6.4999999999999997E-3</c:v>
                </c:pt>
                <c:pt idx="601">
                  <c:v>7.62E-3</c:v>
                </c:pt>
                <c:pt idx="602">
                  <c:v>7.6600000000000001E-3</c:v>
                </c:pt>
                <c:pt idx="603">
                  <c:v>7.6499999999999997E-3</c:v>
                </c:pt>
                <c:pt idx="604">
                  <c:v>7.26E-3</c:v>
                </c:pt>
                <c:pt idx="605">
                  <c:v>6.96E-3</c:v>
                </c:pt>
                <c:pt idx="606">
                  <c:v>6.6899999999999998E-3</c:v>
                </c:pt>
                <c:pt idx="607">
                  <c:v>7.2500000000000004E-3</c:v>
                </c:pt>
                <c:pt idx="608">
                  <c:v>7.7200000000000003E-3</c:v>
                </c:pt>
                <c:pt idx="609">
                  <c:v>7.2700000000000004E-3</c:v>
                </c:pt>
                <c:pt idx="610">
                  <c:v>7.0099999999999997E-3</c:v>
                </c:pt>
                <c:pt idx="611">
                  <c:v>8.9499999999999996E-3</c:v>
                </c:pt>
                <c:pt idx="612">
                  <c:v>9.9000000000000008E-3</c:v>
                </c:pt>
                <c:pt idx="613">
                  <c:v>9.9000000000000008E-3</c:v>
                </c:pt>
                <c:pt idx="614">
                  <c:v>9.0600000000000003E-3</c:v>
                </c:pt>
                <c:pt idx="615">
                  <c:v>8.6099999999999996E-3</c:v>
                </c:pt>
                <c:pt idx="616">
                  <c:v>7.7200000000000003E-3</c:v>
                </c:pt>
                <c:pt idx="617">
                  <c:v>6.96E-3</c:v>
                </c:pt>
                <c:pt idx="618">
                  <c:v>6.3400000000000001E-3</c:v>
                </c:pt>
                <c:pt idx="619">
                  <c:v>6.4599999999999996E-3</c:v>
                </c:pt>
                <c:pt idx="620">
                  <c:v>6.5500000000000003E-3</c:v>
                </c:pt>
                <c:pt idx="621">
                  <c:v>6.2899999999999996E-3</c:v>
                </c:pt>
                <c:pt idx="622">
                  <c:v>6.2199999999999998E-3</c:v>
                </c:pt>
                <c:pt idx="623">
                  <c:v>6.3099999999999996E-3</c:v>
                </c:pt>
                <c:pt idx="624">
                  <c:v>6.2399999999999999E-3</c:v>
                </c:pt>
                <c:pt idx="625">
                  <c:v>6.0800000000000003E-3</c:v>
                </c:pt>
                <c:pt idx="626">
                  <c:v>5.8500000000000002E-3</c:v>
                </c:pt>
                <c:pt idx="627">
                  <c:v>6.0499999999999998E-3</c:v>
                </c:pt>
                <c:pt idx="628">
                  <c:v>6.9499999999999996E-3</c:v>
                </c:pt>
                <c:pt idx="629">
                  <c:v>7.1999999999999998E-3</c:v>
                </c:pt>
                <c:pt idx="630">
                  <c:v>7.1799999999999998E-3</c:v>
                </c:pt>
                <c:pt idx="631">
                  <c:v>7.0099999999999997E-3</c:v>
                </c:pt>
                <c:pt idx="632">
                  <c:v>6.8100000000000001E-3</c:v>
                </c:pt>
                <c:pt idx="633">
                  <c:v>6.5500000000000003E-3</c:v>
                </c:pt>
                <c:pt idx="634">
                  <c:v>7.5700000000000003E-3</c:v>
                </c:pt>
                <c:pt idx="635">
                  <c:v>9.1000000000000004E-3</c:v>
                </c:pt>
                <c:pt idx="636">
                  <c:v>1.0319999999999999E-2</c:v>
                </c:pt>
                <c:pt idx="637">
                  <c:v>1.0619999999999999E-2</c:v>
                </c:pt>
                <c:pt idx="638">
                  <c:v>1.043E-2</c:v>
                </c:pt>
                <c:pt idx="639">
                  <c:v>9.9100000000000004E-3</c:v>
                </c:pt>
                <c:pt idx="640">
                  <c:v>8.3300000000000006E-3</c:v>
                </c:pt>
                <c:pt idx="641">
                  <c:v>7.6600000000000001E-3</c:v>
                </c:pt>
                <c:pt idx="642">
                  <c:v>7.3200000000000001E-3</c:v>
                </c:pt>
                <c:pt idx="643">
                  <c:v>6.8999999999999999E-3</c:v>
                </c:pt>
                <c:pt idx="644">
                  <c:v>6.96E-3</c:v>
                </c:pt>
                <c:pt idx="645">
                  <c:v>6.5799999999999999E-3</c:v>
                </c:pt>
                <c:pt idx="646">
                  <c:v>6.3200000000000001E-3</c:v>
                </c:pt>
                <c:pt idx="647">
                  <c:v>6.2500000000000003E-3</c:v>
                </c:pt>
                <c:pt idx="648">
                  <c:v>6.1700000000000001E-3</c:v>
                </c:pt>
                <c:pt idx="649">
                  <c:v>6.0899999999999999E-3</c:v>
                </c:pt>
                <c:pt idx="650">
                  <c:v>5.94E-3</c:v>
                </c:pt>
                <c:pt idx="651">
                  <c:v>5.9500000000000004E-3</c:v>
                </c:pt>
                <c:pt idx="652">
                  <c:v>5.6800000000000002E-3</c:v>
                </c:pt>
                <c:pt idx="653">
                  <c:v>5.2100000000000002E-3</c:v>
                </c:pt>
                <c:pt idx="654">
                  <c:v>5.1200000000000004E-3</c:v>
                </c:pt>
                <c:pt idx="655">
                  <c:v>4.96E-3</c:v>
                </c:pt>
                <c:pt idx="656">
                  <c:v>4.8300000000000001E-3</c:v>
                </c:pt>
                <c:pt idx="657">
                  <c:v>4.6699999999999997E-3</c:v>
                </c:pt>
                <c:pt idx="658">
                  <c:v>4.3899999999999998E-3</c:v>
                </c:pt>
                <c:pt idx="659">
                  <c:v>4.3899999999999998E-3</c:v>
                </c:pt>
                <c:pt idx="660">
                  <c:v>4.4999999999999997E-3</c:v>
                </c:pt>
                <c:pt idx="661">
                  <c:v>4.5799999999999999E-3</c:v>
                </c:pt>
                <c:pt idx="662">
                  <c:v>4.5500000000000002E-3</c:v>
                </c:pt>
                <c:pt idx="663">
                  <c:v>4.5399999999999998E-3</c:v>
                </c:pt>
                <c:pt idx="664">
                  <c:v>4.2700000000000004E-3</c:v>
                </c:pt>
                <c:pt idx="665">
                  <c:v>4.1099999999999999E-3</c:v>
                </c:pt>
                <c:pt idx="666">
                  <c:v>4.5700000000000003E-3</c:v>
                </c:pt>
                <c:pt idx="667">
                  <c:v>7.0000000000000001E-3</c:v>
                </c:pt>
                <c:pt idx="668">
                  <c:v>7.43E-3</c:v>
                </c:pt>
                <c:pt idx="669">
                  <c:v>7.3600000000000002E-3</c:v>
                </c:pt>
                <c:pt idx="670">
                  <c:v>7.2700000000000004E-3</c:v>
                </c:pt>
                <c:pt idx="671">
                  <c:v>6.8700000000000002E-3</c:v>
                </c:pt>
                <c:pt idx="672">
                  <c:v>6.9800000000000001E-3</c:v>
                </c:pt>
                <c:pt idx="673">
                  <c:v>6.9300000000000004E-3</c:v>
                </c:pt>
                <c:pt idx="674">
                  <c:v>6.62E-3</c:v>
                </c:pt>
                <c:pt idx="675">
                  <c:v>6.6100000000000004E-3</c:v>
                </c:pt>
                <c:pt idx="676">
                  <c:v>6.6E-3</c:v>
                </c:pt>
                <c:pt idx="677">
                  <c:v>6.2300000000000003E-3</c:v>
                </c:pt>
                <c:pt idx="678">
                  <c:v>5.9899999999999997E-3</c:v>
                </c:pt>
                <c:pt idx="679">
                  <c:v>5.7499999999999999E-3</c:v>
                </c:pt>
                <c:pt idx="680">
                  <c:v>5.8199999999999997E-3</c:v>
                </c:pt>
                <c:pt idx="681">
                  <c:v>8.4600000000000005E-3</c:v>
                </c:pt>
                <c:pt idx="682">
                  <c:v>9.3200000000000002E-3</c:v>
                </c:pt>
                <c:pt idx="683">
                  <c:v>9.6200000000000001E-3</c:v>
                </c:pt>
                <c:pt idx="684">
                  <c:v>9.3900000000000008E-3</c:v>
                </c:pt>
                <c:pt idx="685">
                  <c:v>9.4800000000000006E-3</c:v>
                </c:pt>
                <c:pt idx="686">
                  <c:v>9.6299999999999997E-3</c:v>
                </c:pt>
                <c:pt idx="687">
                  <c:v>1.0120000000000001E-2</c:v>
                </c:pt>
                <c:pt idx="688">
                  <c:v>1.0109999999999999E-2</c:v>
                </c:pt>
                <c:pt idx="689">
                  <c:v>9.4299999999999991E-3</c:v>
                </c:pt>
                <c:pt idx="690">
                  <c:v>8.5800000000000008E-3</c:v>
                </c:pt>
                <c:pt idx="691">
                  <c:v>7.79E-3</c:v>
                </c:pt>
                <c:pt idx="692">
                  <c:v>7.1000000000000004E-3</c:v>
                </c:pt>
                <c:pt idx="693">
                  <c:v>6.8199999999999997E-3</c:v>
                </c:pt>
                <c:pt idx="694">
                  <c:v>6.2100000000000002E-3</c:v>
                </c:pt>
                <c:pt idx="695">
                  <c:v>5.9300000000000004E-3</c:v>
                </c:pt>
                <c:pt idx="696">
                  <c:v>5.77E-3</c:v>
                </c:pt>
                <c:pt idx="697">
                  <c:v>5.7099999999999998E-3</c:v>
                </c:pt>
                <c:pt idx="698">
                  <c:v>5.8199999999999997E-3</c:v>
                </c:pt>
                <c:pt idx="699">
                  <c:v>5.7299999999999999E-3</c:v>
                </c:pt>
                <c:pt idx="700">
                  <c:v>5.5799999999999999E-3</c:v>
                </c:pt>
                <c:pt idx="701">
                  <c:v>5.3E-3</c:v>
                </c:pt>
                <c:pt idx="702">
                  <c:v>5.1200000000000004E-3</c:v>
                </c:pt>
                <c:pt idx="703">
                  <c:v>4.9800000000000001E-3</c:v>
                </c:pt>
                <c:pt idx="704">
                  <c:v>4.8700000000000002E-3</c:v>
                </c:pt>
                <c:pt idx="705">
                  <c:v>4.7499999999999999E-3</c:v>
                </c:pt>
                <c:pt idx="706">
                  <c:v>4.5999999999999999E-3</c:v>
                </c:pt>
                <c:pt idx="707">
                  <c:v>4.5700000000000003E-3</c:v>
                </c:pt>
                <c:pt idx="708">
                  <c:v>4.6600000000000001E-3</c:v>
                </c:pt>
                <c:pt idx="709">
                  <c:v>7.1000000000000004E-3</c:v>
                </c:pt>
                <c:pt idx="710">
                  <c:v>6.8500000000000002E-3</c:v>
                </c:pt>
                <c:pt idx="711">
                  <c:v>6.5399999999999998E-3</c:v>
                </c:pt>
                <c:pt idx="712">
                  <c:v>6.2100000000000002E-3</c:v>
                </c:pt>
                <c:pt idx="713">
                  <c:v>5.8700000000000002E-3</c:v>
                </c:pt>
                <c:pt idx="714">
                  <c:v>5.6899999999999997E-3</c:v>
                </c:pt>
                <c:pt idx="715">
                  <c:v>5.3800000000000002E-3</c:v>
                </c:pt>
                <c:pt idx="716">
                  <c:v>5.2100000000000002E-3</c:v>
                </c:pt>
                <c:pt idx="717">
                  <c:v>5.3299999999999997E-3</c:v>
                </c:pt>
                <c:pt idx="718">
                  <c:v>5.13E-3</c:v>
                </c:pt>
                <c:pt idx="719">
                  <c:v>5.0299999999999997E-3</c:v>
                </c:pt>
                <c:pt idx="720">
                  <c:v>6.3499999999999997E-3</c:v>
                </c:pt>
                <c:pt idx="721">
                  <c:v>8.0000000000000002E-3</c:v>
                </c:pt>
                <c:pt idx="722">
                  <c:v>8.5100000000000002E-3</c:v>
                </c:pt>
                <c:pt idx="723">
                  <c:v>8.6099999999999996E-3</c:v>
                </c:pt>
                <c:pt idx="724">
                  <c:v>8.3300000000000006E-3</c:v>
                </c:pt>
                <c:pt idx="725">
                  <c:v>7.8899999999999994E-3</c:v>
                </c:pt>
                <c:pt idx="726">
                  <c:v>7.3600000000000002E-3</c:v>
                </c:pt>
                <c:pt idx="727">
                  <c:v>6.9899999999999997E-3</c:v>
                </c:pt>
                <c:pt idx="728">
                  <c:v>6.6E-3</c:v>
                </c:pt>
                <c:pt idx="729">
                  <c:v>6.3400000000000001E-3</c:v>
                </c:pt>
                <c:pt idx="730">
                  <c:v>6.28E-3</c:v>
                </c:pt>
                <c:pt idx="731">
                  <c:v>1.026E-2</c:v>
                </c:pt>
                <c:pt idx="732">
                  <c:v>1.898E-2</c:v>
                </c:pt>
                <c:pt idx="733">
                  <c:v>1.9550000000000001E-2</c:v>
                </c:pt>
                <c:pt idx="734">
                  <c:v>1.9689999999999999E-2</c:v>
                </c:pt>
                <c:pt idx="735">
                  <c:v>1.771E-2</c:v>
                </c:pt>
                <c:pt idx="736">
                  <c:v>1.494E-2</c:v>
                </c:pt>
                <c:pt idx="737">
                  <c:v>1.8069999999999999E-2</c:v>
                </c:pt>
                <c:pt idx="738">
                  <c:v>2.5749999999999999E-2</c:v>
                </c:pt>
                <c:pt idx="739">
                  <c:v>1.8339999999999999E-2</c:v>
                </c:pt>
                <c:pt idx="740">
                  <c:v>1.528E-2</c:v>
                </c:pt>
                <c:pt idx="741">
                  <c:v>1.337E-2</c:v>
                </c:pt>
                <c:pt idx="742">
                  <c:v>1.159E-2</c:v>
                </c:pt>
                <c:pt idx="743">
                  <c:v>1.061E-2</c:v>
                </c:pt>
                <c:pt idx="744">
                  <c:v>1.0070000000000001E-2</c:v>
                </c:pt>
                <c:pt idx="745">
                  <c:v>1.0240000000000001E-2</c:v>
                </c:pt>
                <c:pt idx="746">
                  <c:v>1.022E-2</c:v>
                </c:pt>
                <c:pt idx="747">
                  <c:v>1.0319999999999999E-2</c:v>
                </c:pt>
                <c:pt idx="748">
                  <c:v>9.7000000000000003E-3</c:v>
                </c:pt>
                <c:pt idx="749">
                  <c:v>8.9800000000000001E-3</c:v>
                </c:pt>
                <c:pt idx="750">
                  <c:v>8.4200000000000004E-3</c:v>
                </c:pt>
                <c:pt idx="751">
                  <c:v>8.0099999999999998E-3</c:v>
                </c:pt>
                <c:pt idx="752">
                  <c:v>8.6199999999999992E-3</c:v>
                </c:pt>
                <c:pt idx="753">
                  <c:v>1.023E-2</c:v>
                </c:pt>
                <c:pt idx="754">
                  <c:v>1.047E-2</c:v>
                </c:pt>
                <c:pt idx="755">
                  <c:v>1.085E-2</c:v>
                </c:pt>
                <c:pt idx="756">
                  <c:v>1.0070000000000001E-2</c:v>
                </c:pt>
                <c:pt idx="757">
                  <c:v>9.9699999999999997E-3</c:v>
                </c:pt>
                <c:pt idx="758">
                  <c:v>9.9100000000000004E-3</c:v>
                </c:pt>
                <c:pt idx="759">
                  <c:v>9.7999999999999997E-3</c:v>
                </c:pt>
                <c:pt idx="760">
                  <c:v>9.4699999999999993E-3</c:v>
                </c:pt>
                <c:pt idx="761">
                  <c:v>1.5140000000000001E-2</c:v>
                </c:pt>
                <c:pt idx="762">
                  <c:v>2.1350000000000001E-2</c:v>
                </c:pt>
                <c:pt idx="763">
                  <c:v>2.3550000000000001E-2</c:v>
                </c:pt>
                <c:pt idx="764">
                  <c:v>2.726E-2</c:v>
                </c:pt>
                <c:pt idx="765">
                  <c:v>2.929E-2</c:v>
                </c:pt>
                <c:pt idx="766">
                  <c:v>2.878E-2</c:v>
                </c:pt>
                <c:pt idx="767">
                  <c:v>2.8219999999999999E-2</c:v>
                </c:pt>
                <c:pt idx="768">
                  <c:v>2.588E-2</c:v>
                </c:pt>
                <c:pt idx="769">
                  <c:v>2.4309999999999998E-2</c:v>
                </c:pt>
                <c:pt idx="770">
                  <c:v>2.2939999999999999E-2</c:v>
                </c:pt>
                <c:pt idx="771">
                  <c:v>2.172E-2</c:v>
                </c:pt>
                <c:pt idx="772">
                  <c:v>2.0449999999999999E-2</c:v>
                </c:pt>
                <c:pt idx="773">
                  <c:v>1.9570000000000001E-2</c:v>
                </c:pt>
                <c:pt idx="774">
                  <c:v>1.916E-2</c:v>
                </c:pt>
                <c:pt idx="775">
                  <c:v>1.8919999999999999E-2</c:v>
                </c:pt>
                <c:pt idx="776">
                  <c:v>1.8620000000000001E-2</c:v>
                </c:pt>
                <c:pt idx="777">
                  <c:v>1.7600000000000001E-2</c:v>
                </c:pt>
                <c:pt idx="778">
                  <c:v>1.6219999999999998E-2</c:v>
                </c:pt>
                <c:pt idx="779">
                  <c:v>1.4800000000000001E-2</c:v>
                </c:pt>
                <c:pt idx="780">
                  <c:v>1.3599999999999999E-2</c:v>
                </c:pt>
                <c:pt idx="781">
                  <c:v>1.3509999999999999E-2</c:v>
                </c:pt>
                <c:pt idx="782">
                  <c:v>1.3769999999999999E-2</c:v>
                </c:pt>
                <c:pt idx="783">
                  <c:v>1.2930000000000001E-2</c:v>
                </c:pt>
                <c:pt idx="784">
                  <c:v>1.235E-2</c:v>
                </c:pt>
                <c:pt idx="785">
                  <c:v>1.175E-2</c:v>
                </c:pt>
                <c:pt idx="786">
                  <c:v>1.065E-2</c:v>
                </c:pt>
                <c:pt idx="787">
                  <c:v>9.9600000000000001E-3</c:v>
                </c:pt>
                <c:pt idx="788">
                  <c:v>9.6799999999999994E-3</c:v>
                </c:pt>
                <c:pt idx="789">
                  <c:v>1.523E-2</c:v>
                </c:pt>
                <c:pt idx="790">
                  <c:v>1.8540000000000001E-2</c:v>
                </c:pt>
                <c:pt idx="791">
                  <c:v>1.687E-2</c:v>
                </c:pt>
                <c:pt idx="792">
                  <c:v>1.6629999999999999E-2</c:v>
                </c:pt>
                <c:pt idx="793">
                  <c:v>1.5630000000000002E-2</c:v>
                </c:pt>
                <c:pt idx="794">
                  <c:v>1.5779999999999999E-2</c:v>
                </c:pt>
                <c:pt idx="795">
                  <c:v>1.6060000000000001E-2</c:v>
                </c:pt>
                <c:pt idx="796">
                  <c:v>1.601E-2</c:v>
                </c:pt>
                <c:pt idx="797">
                  <c:v>1.532E-2</c:v>
                </c:pt>
                <c:pt idx="798">
                  <c:v>1.4789999999999999E-2</c:v>
                </c:pt>
                <c:pt idx="799">
                  <c:v>1.422E-2</c:v>
                </c:pt>
                <c:pt idx="800">
                  <c:v>1.404E-2</c:v>
                </c:pt>
                <c:pt idx="801">
                  <c:v>1.328E-2</c:v>
                </c:pt>
                <c:pt idx="802">
                  <c:v>1.4590000000000001E-2</c:v>
                </c:pt>
                <c:pt idx="803">
                  <c:v>1.387E-2</c:v>
                </c:pt>
                <c:pt idx="804">
                  <c:v>1.291E-2</c:v>
                </c:pt>
                <c:pt idx="805">
                  <c:v>1.2019999999999999E-2</c:v>
                </c:pt>
                <c:pt idx="806">
                  <c:v>1.1639999999999999E-2</c:v>
                </c:pt>
                <c:pt idx="807">
                  <c:v>1.159E-2</c:v>
                </c:pt>
                <c:pt idx="808">
                  <c:v>1.102E-2</c:v>
                </c:pt>
              </c:numCache>
            </c:numRef>
          </c:xVal>
          <c:yVal>
            <c:numRef>
              <c:f>Volcanic!$K$14:$K$822</c:f>
              <c:numCache>
                <c:formatCode>0.000</c:formatCode>
                <c:ptCount val="809"/>
                <c:pt idx="0">
                  <c:v>0.23810787062118643</c:v>
                </c:pt>
                <c:pt idx="1">
                  <c:v>0.20125817268784932</c:v>
                </c:pt>
                <c:pt idx="2">
                  <c:v>7.0673659002601974E-2</c:v>
                </c:pt>
                <c:pt idx="3">
                  <c:v>7.6343120239443521E-2</c:v>
                </c:pt>
                <c:pt idx="4">
                  <c:v>0.10428115093962079</c:v>
                </c:pt>
                <c:pt idx="5">
                  <c:v>9.9180104100330985E-2</c:v>
                </c:pt>
                <c:pt idx="6">
                  <c:v>8.0431622194207686E-2</c:v>
                </c:pt>
                <c:pt idx="7">
                  <c:v>9.5154450547220742E-2</c:v>
                </c:pt>
                <c:pt idx="8">
                  <c:v>6.9961975191302039E-2</c:v>
                </c:pt>
                <c:pt idx="9">
                  <c:v>0.12374396900860193</c:v>
                </c:pt>
                <c:pt idx="10">
                  <c:v>0.10002906449794639</c:v>
                </c:pt>
                <c:pt idx="11">
                  <c:v>0.21270262436276932</c:v>
                </c:pt>
                <c:pt idx="12">
                  <c:v>-0.2669579066704677</c:v>
                </c:pt>
                <c:pt idx="13">
                  <c:v>-7.4565413173775671E-2</c:v>
                </c:pt>
                <c:pt idx="14">
                  <c:v>-1.7837732500750277E-2</c:v>
                </c:pt>
                <c:pt idx="15">
                  <c:v>2.5127205516298864E-2</c:v>
                </c:pt>
                <c:pt idx="16">
                  <c:v>3.2951174746805437E-2</c:v>
                </c:pt>
                <c:pt idx="17">
                  <c:v>0.13276469149730666</c:v>
                </c:pt>
                <c:pt idx="18">
                  <c:v>0.20800772878774526</c:v>
                </c:pt>
                <c:pt idx="19">
                  <c:v>0.20142826972197234</c:v>
                </c:pt>
                <c:pt idx="20">
                  <c:v>4.4966476855936577E-3</c:v>
                </c:pt>
                <c:pt idx="21">
                  <c:v>0.28607280667456281</c:v>
                </c:pt>
                <c:pt idx="22">
                  <c:v>0.1668836026960181</c:v>
                </c:pt>
                <c:pt idx="23">
                  <c:v>0.28982293803198234</c:v>
                </c:pt>
                <c:pt idx="24">
                  <c:v>0.17935913556673977</c:v>
                </c:pt>
                <c:pt idx="25">
                  <c:v>0.20158966487035501</c:v>
                </c:pt>
                <c:pt idx="26">
                  <c:v>0.1753577075291497</c:v>
                </c:pt>
                <c:pt idx="27">
                  <c:v>0.17712379576967277</c:v>
                </c:pt>
                <c:pt idx="28">
                  <c:v>8.8665801473808592E-2</c:v>
                </c:pt>
                <c:pt idx="29">
                  <c:v>9.5949037423440658E-2</c:v>
                </c:pt>
                <c:pt idx="30">
                  <c:v>0.18852980862115623</c:v>
                </c:pt>
                <c:pt idx="31">
                  <c:v>0.1166913215536217</c:v>
                </c:pt>
                <c:pt idx="32">
                  <c:v>0.16114566177314837</c:v>
                </c:pt>
                <c:pt idx="33">
                  <c:v>-2.9801635480232985E-2</c:v>
                </c:pt>
                <c:pt idx="34">
                  <c:v>0.15988612523540482</c:v>
                </c:pt>
                <c:pt idx="35">
                  <c:v>0.24271624355661553</c:v>
                </c:pt>
                <c:pt idx="36">
                  <c:v>0.17346155505246502</c:v>
                </c:pt>
                <c:pt idx="37">
                  <c:v>0.12201849884909112</c:v>
                </c:pt>
                <c:pt idx="38">
                  <c:v>7.3300136582425818E-3</c:v>
                </c:pt>
                <c:pt idx="39">
                  <c:v>0.10053008450238948</c:v>
                </c:pt>
                <c:pt idx="40">
                  <c:v>0.10738504341218125</c:v>
                </c:pt>
                <c:pt idx="41">
                  <c:v>0.10401124884927568</c:v>
                </c:pt>
                <c:pt idx="42">
                  <c:v>0.12329829575853041</c:v>
                </c:pt>
                <c:pt idx="43">
                  <c:v>0.13227211362166719</c:v>
                </c:pt>
                <c:pt idx="44">
                  <c:v>0.17505224117361862</c:v>
                </c:pt>
                <c:pt idx="45">
                  <c:v>7.765633732204115E-2</c:v>
                </c:pt>
                <c:pt idx="46">
                  <c:v>7.2538619745594987E-2</c:v>
                </c:pt>
                <c:pt idx="47">
                  <c:v>0.27843796110396252</c:v>
                </c:pt>
                <c:pt idx="48">
                  <c:v>-4.5268919342274255E-2</c:v>
                </c:pt>
                <c:pt idx="49">
                  <c:v>6.8145741133667226E-3</c:v>
                </c:pt>
                <c:pt idx="50">
                  <c:v>-7.7015710479601124E-3</c:v>
                </c:pt>
                <c:pt idx="51">
                  <c:v>9.5865604942914434E-2</c:v>
                </c:pt>
                <c:pt idx="52">
                  <c:v>0.11705105952468342</c:v>
                </c:pt>
                <c:pt idx="53">
                  <c:v>0.30241272213409914</c:v>
                </c:pt>
                <c:pt idx="54">
                  <c:v>0.24319233570155105</c:v>
                </c:pt>
                <c:pt idx="55">
                  <c:v>0.19896865820779236</c:v>
                </c:pt>
                <c:pt idx="56">
                  <c:v>0.15672514887220368</c:v>
                </c:pt>
                <c:pt idx="57">
                  <c:v>-3.9240281878278216E-2</c:v>
                </c:pt>
                <c:pt idx="58">
                  <c:v>-0.11787920641386558</c:v>
                </c:pt>
                <c:pt idx="59">
                  <c:v>-0.13892536919111684</c:v>
                </c:pt>
                <c:pt idx="60">
                  <c:v>-0.2524847052853208</c:v>
                </c:pt>
                <c:pt idx="61">
                  <c:v>-0.36026176466264226</c:v>
                </c:pt>
                <c:pt idx="62">
                  <c:v>-0.25788060669103618</c:v>
                </c:pt>
                <c:pt idx="63">
                  <c:v>-3.4137474883687777E-3</c:v>
                </c:pt>
                <c:pt idx="64">
                  <c:v>5.0163021658365878E-2</c:v>
                </c:pt>
                <c:pt idx="65">
                  <c:v>-8.6376478540560547E-2</c:v>
                </c:pt>
                <c:pt idx="66">
                  <c:v>-0.13645686276719327</c:v>
                </c:pt>
                <c:pt idx="67">
                  <c:v>-0.14758795696235202</c:v>
                </c:pt>
                <c:pt idx="68">
                  <c:v>-5.5093791714881407E-2</c:v>
                </c:pt>
                <c:pt idx="69">
                  <c:v>-0.15618063075848032</c:v>
                </c:pt>
                <c:pt idx="70">
                  <c:v>6.1716066743200154E-2</c:v>
                </c:pt>
                <c:pt idx="71">
                  <c:v>-4.1540359590229503E-2</c:v>
                </c:pt>
                <c:pt idx="72">
                  <c:v>-1.0582986881073814E-2</c:v>
                </c:pt>
                <c:pt idx="73">
                  <c:v>-0.10687877515726091</c:v>
                </c:pt>
                <c:pt idx="74">
                  <c:v>-5.9877621652226168E-2</c:v>
                </c:pt>
                <c:pt idx="75">
                  <c:v>-3.4463742763908643E-2</c:v>
                </c:pt>
                <c:pt idx="76">
                  <c:v>-9.373718660581655E-2</c:v>
                </c:pt>
                <c:pt idx="77">
                  <c:v>-1.744492141285324E-3</c:v>
                </c:pt>
                <c:pt idx="78">
                  <c:v>-0.12652606568220315</c:v>
                </c:pt>
                <c:pt idx="79">
                  <c:v>-4.7018761780506194E-2</c:v>
                </c:pt>
                <c:pt idx="80">
                  <c:v>-9.1374708052926412E-2</c:v>
                </c:pt>
                <c:pt idx="81">
                  <c:v>-0.14257457621666147</c:v>
                </c:pt>
                <c:pt idx="82">
                  <c:v>-0.28048978979327266</c:v>
                </c:pt>
                <c:pt idx="83">
                  <c:v>-0.15302842203628417</c:v>
                </c:pt>
                <c:pt idx="84">
                  <c:v>-7.3602639463268005E-2</c:v>
                </c:pt>
                <c:pt idx="85">
                  <c:v>-0.21833881874856181</c:v>
                </c:pt>
                <c:pt idx="86">
                  <c:v>-0.18774716017585669</c:v>
                </c:pt>
                <c:pt idx="87">
                  <c:v>-3.7172750238236282E-2</c:v>
                </c:pt>
                <c:pt idx="88">
                  <c:v>7.847739715248947E-2</c:v>
                </c:pt>
                <c:pt idx="89">
                  <c:v>-5.0199802103416867E-2</c:v>
                </c:pt>
                <c:pt idx="90">
                  <c:v>3.6355840742889389E-2</c:v>
                </c:pt>
                <c:pt idx="91">
                  <c:v>-0.10301535745103844</c:v>
                </c:pt>
                <c:pt idx="92">
                  <c:v>4.6555339086963625E-2</c:v>
                </c:pt>
                <c:pt idx="93">
                  <c:v>3.036699206707974E-2</c:v>
                </c:pt>
                <c:pt idx="94">
                  <c:v>-3.3160091957777096E-2</c:v>
                </c:pt>
                <c:pt idx="95">
                  <c:v>-0.15567540015219217</c:v>
                </c:pt>
                <c:pt idx="96">
                  <c:v>0.10826198699221783</c:v>
                </c:pt>
                <c:pt idx="97">
                  <c:v>9.4297060072135591E-4</c:v>
                </c:pt>
                <c:pt idx="98">
                  <c:v>0.16548320165815994</c:v>
                </c:pt>
                <c:pt idx="99">
                  <c:v>-2.1664670065222345E-2</c:v>
                </c:pt>
                <c:pt idx="100">
                  <c:v>8.6018409376229482E-2</c:v>
                </c:pt>
                <c:pt idx="101">
                  <c:v>7.6823887417710568E-2</c:v>
                </c:pt>
                <c:pt idx="102">
                  <c:v>1.0091694461493106E-2</c:v>
                </c:pt>
                <c:pt idx="103">
                  <c:v>0.16444692606124639</c:v>
                </c:pt>
                <c:pt idx="104">
                  <c:v>2.8744897759154578E-2</c:v>
                </c:pt>
                <c:pt idx="105">
                  <c:v>2.5761950048964408E-2</c:v>
                </c:pt>
                <c:pt idx="106">
                  <c:v>-0.19173902622174532</c:v>
                </c:pt>
                <c:pt idx="107">
                  <c:v>-8.2339468873363741E-2</c:v>
                </c:pt>
                <c:pt idx="108">
                  <c:v>0.2538185500793696</c:v>
                </c:pt>
                <c:pt idx="109">
                  <c:v>-2.5753670032714129E-3</c:v>
                </c:pt>
                <c:pt idx="110">
                  <c:v>-7.9701390814685552E-2</c:v>
                </c:pt>
                <c:pt idx="111">
                  <c:v>-3.5848254601271182E-2</c:v>
                </c:pt>
                <c:pt idx="112">
                  <c:v>-7.4016750020941949E-2</c:v>
                </c:pt>
                <c:pt idx="113">
                  <c:v>-3.21952001203063E-2</c:v>
                </c:pt>
                <c:pt idx="114">
                  <c:v>-0.14373604683026853</c:v>
                </c:pt>
                <c:pt idx="115">
                  <c:v>0.11375355559168469</c:v>
                </c:pt>
                <c:pt idx="116">
                  <c:v>-3.4242340995438485E-2</c:v>
                </c:pt>
                <c:pt idx="117">
                  <c:v>-0.14007624387163262</c:v>
                </c:pt>
                <c:pt idx="118">
                  <c:v>-0.13760181804129309</c:v>
                </c:pt>
                <c:pt idx="119">
                  <c:v>-0.2265393316755715</c:v>
                </c:pt>
                <c:pt idx="120">
                  <c:v>-7.4914332538685485E-2</c:v>
                </c:pt>
                <c:pt idx="121">
                  <c:v>6.8218866146949025E-2</c:v>
                </c:pt>
                <c:pt idx="122">
                  <c:v>6.9493988898310238E-2</c:v>
                </c:pt>
                <c:pt idx="123">
                  <c:v>-5.4109717501671997E-2</c:v>
                </c:pt>
                <c:pt idx="124">
                  <c:v>-0.10706650225775283</c:v>
                </c:pt>
                <c:pt idx="125">
                  <c:v>6.1143154859560692E-3</c:v>
                </c:pt>
                <c:pt idx="126">
                  <c:v>7.4002583829030313E-2</c:v>
                </c:pt>
                <c:pt idx="127">
                  <c:v>0.10095898575984155</c:v>
                </c:pt>
                <c:pt idx="128">
                  <c:v>0.11432205771620269</c:v>
                </c:pt>
                <c:pt idx="129">
                  <c:v>0.20147886421728517</c:v>
                </c:pt>
                <c:pt idx="130">
                  <c:v>2.1176731165336651E-2</c:v>
                </c:pt>
                <c:pt idx="131">
                  <c:v>0.14115156123113209</c:v>
                </c:pt>
                <c:pt idx="132">
                  <c:v>-2.1555016485458364E-2</c:v>
                </c:pt>
                <c:pt idx="133">
                  <c:v>-2.4314403824645781E-2</c:v>
                </c:pt>
                <c:pt idx="134">
                  <c:v>-8.3691826351908971E-2</c:v>
                </c:pt>
                <c:pt idx="135">
                  <c:v>-6.8736450757386547E-2</c:v>
                </c:pt>
                <c:pt idx="136">
                  <c:v>-1.6970797113557368E-2</c:v>
                </c:pt>
                <c:pt idx="137">
                  <c:v>-0.10196533723057395</c:v>
                </c:pt>
                <c:pt idx="138">
                  <c:v>0.16956995169000244</c:v>
                </c:pt>
                <c:pt idx="139">
                  <c:v>0.10530153132655654</c:v>
                </c:pt>
                <c:pt idx="140">
                  <c:v>9.8461954803554477E-2</c:v>
                </c:pt>
                <c:pt idx="141">
                  <c:v>-5.7823665396007029E-2</c:v>
                </c:pt>
                <c:pt idx="142">
                  <c:v>3.2131842815747783E-2</c:v>
                </c:pt>
                <c:pt idx="143">
                  <c:v>-9.8958579182034948E-2</c:v>
                </c:pt>
                <c:pt idx="144">
                  <c:v>-0.10704579897530346</c:v>
                </c:pt>
                <c:pt idx="145">
                  <c:v>1.2230860113276773E-2</c:v>
                </c:pt>
                <c:pt idx="146">
                  <c:v>2.4444585736031782E-2</c:v>
                </c:pt>
                <c:pt idx="147">
                  <c:v>-0.10558650923928556</c:v>
                </c:pt>
                <c:pt idx="148">
                  <c:v>-2.4466304506850889E-2</c:v>
                </c:pt>
                <c:pt idx="149">
                  <c:v>5.1132656963875492E-2</c:v>
                </c:pt>
                <c:pt idx="150">
                  <c:v>3.3808601117993775E-2</c:v>
                </c:pt>
                <c:pt idx="151">
                  <c:v>4.0487973434405619E-2</c:v>
                </c:pt>
                <c:pt idx="152">
                  <c:v>-1.1632875804812232E-2</c:v>
                </c:pt>
                <c:pt idx="153">
                  <c:v>-2.9405277533764276E-2</c:v>
                </c:pt>
                <c:pt idx="154">
                  <c:v>-0.16992887005065233</c:v>
                </c:pt>
                <c:pt idx="155">
                  <c:v>-0.13338149837265834</c:v>
                </c:pt>
                <c:pt idx="156">
                  <c:v>6.8204307567701503E-2</c:v>
                </c:pt>
                <c:pt idx="157">
                  <c:v>-3.8213784881045293E-3</c:v>
                </c:pt>
                <c:pt idx="158">
                  <c:v>-6.4137005794701635E-2</c:v>
                </c:pt>
                <c:pt idx="159">
                  <c:v>-9.3354258752861088E-3</c:v>
                </c:pt>
                <c:pt idx="160">
                  <c:v>-4.4949403162989274E-2</c:v>
                </c:pt>
                <c:pt idx="161">
                  <c:v>0.10586451895879974</c:v>
                </c:pt>
                <c:pt idx="162">
                  <c:v>-3.5269974836089145E-2</c:v>
                </c:pt>
                <c:pt idx="163">
                  <c:v>-5.7705872271407027E-3</c:v>
                </c:pt>
                <c:pt idx="164">
                  <c:v>-0.10421023633582879</c:v>
                </c:pt>
                <c:pt idx="165">
                  <c:v>2.3047486016113977E-2</c:v>
                </c:pt>
                <c:pt idx="166">
                  <c:v>0.10356008981111925</c:v>
                </c:pt>
                <c:pt idx="167">
                  <c:v>0.10822080372981532</c:v>
                </c:pt>
                <c:pt idx="168">
                  <c:v>7.5545547044234079E-2</c:v>
                </c:pt>
                <c:pt idx="169">
                  <c:v>6.0322891716437121E-2</c:v>
                </c:pt>
                <c:pt idx="170">
                  <c:v>4.5181004503735356E-2</c:v>
                </c:pt>
                <c:pt idx="171">
                  <c:v>5.9682289619415463E-2</c:v>
                </c:pt>
                <c:pt idx="172">
                  <c:v>6.5380826011247742E-2</c:v>
                </c:pt>
                <c:pt idx="173">
                  <c:v>4.5887067944513971E-2</c:v>
                </c:pt>
                <c:pt idx="174">
                  <c:v>0.13272694386176295</c:v>
                </c:pt>
                <c:pt idx="175">
                  <c:v>0.16325892864580205</c:v>
                </c:pt>
                <c:pt idx="176">
                  <c:v>0.10185184883411895</c:v>
                </c:pt>
                <c:pt idx="177">
                  <c:v>-8.8445042814880304E-4</c:v>
                </c:pt>
                <c:pt idx="178">
                  <c:v>-1.1584153262607311E-2</c:v>
                </c:pt>
                <c:pt idx="179">
                  <c:v>-0.17081215824619073</c:v>
                </c:pt>
                <c:pt idx="180">
                  <c:v>5.2908028574542132E-2</c:v>
                </c:pt>
                <c:pt idx="181">
                  <c:v>-4.5731377569826231E-2</c:v>
                </c:pt>
                <c:pt idx="182">
                  <c:v>3.4703566558916543E-3</c:v>
                </c:pt>
                <c:pt idx="183">
                  <c:v>-2.5200788451606407E-2</c:v>
                </c:pt>
                <c:pt idx="184">
                  <c:v>-1.345756655177989E-2</c:v>
                </c:pt>
                <c:pt idx="185">
                  <c:v>0.11522046792769718</c:v>
                </c:pt>
                <c:pt idx="186">
                  <c:v>-4.8899549914788447E-2</c:v>
                </c:pt>
                <c:pt idx="187">
                  <c:v>-4.3960982065780578E-2</c:v>
                </c:pt>
                <c:pt idx="188">
                  <c:v>-8.1635165486614106E-2</c:v>
                </c:pt>
                <c:pt idx="189">
                  <c:v>-9.084218719950013E-2</c:v>
                </c:pt>
                <c:pt idx="190">
                  <c:v>9.4502871709812197E-2</c:v>
                </c:pt>
                <c:pt idx="191">
                  <c:v>8.2302866005119518E-2</c:v>
                </c:pt>
                <c:pt idx="192">
                  <c:v>0.10177192858650445</c:v>
                </c:pt>
                <c:pt idx="193">
                  <c:v>-5.2269535479872939E-3</c:v>
                </c:pt>
                <c:pt idx="194">
                  <c:v>0.10392232316006647</c:v>
                </c:pt>
                <c:pt idx="195">
                  <c:v>-5.4561214911775964E-2</c:v>
                </c:pt>
                <c:pt idx="196">
                  <c:v>-3.2938091809282533E-2</c:v>
                </c:pt>
                <c:pt idx="197">
                  <c:v>-0.15656601715804622</c:v>
                </c:pt>
                <c:pt idx="198">
                  <c:v>2.145242227015344E-2</c:v>
                </c:pt>
                <c:pt idx="199">
                  <c:v>-5.3052949332184601E-2</c:v>
                </c:pt>
                <c:pt idx="200">
                  <c:v>-0.1218621558342504</c:v>
                </c:pt>
                <c:pt idx="201">
                  <c:v>-0.12375371523673274</c:v>
                </c:pt>
                <c:pt idx="202">
                  <c:v>9.4041092915152502E-3</c:v>
                </c:pt>
                <c:pt idx="203">
                  <c:v>-2.1618491500594555E-2</c:v>
                </c:pt>
                <c:pt idx="204">
                  <c:v>-0.17942139730640749</c:v>
                </c:pt>
                <c:pt idx="205">
                  <c:v>-5.3625569946339519E-2</c:v>
                </c:pt>
                <c:pt idx="206">
                  <c:v>-0.21646314724220389</c:v>
                </c:pt>
                <c:pt idx="207">
                  <c:v>-0.16761122103765655</c:v>
                </c:pt>
                <c:pt idx="208">
                  <c:v>-0.15444420202199424</c:v>
                </c:pt>
                <c:pt idx="209">
                  <c:v>-0.16493535982261143</c:v>
                </c:pt>
                <c:pt idx="210">
                  <c:v>-0.10428819028881897</c:v>
                </c:pt>
                <c:pt idx="211">
                  <c:v>-0.30141468224124301</c:v>
                </c:pt>
                <c:pt idx="212">
                  <c:v>-0.15353269581369089</c:v>
                </c:pt>
                <c:pt idx="213">
                  <c:v>-1.8425461132885096E-2</c:v>
                </c:pt>
                <c:pt idx="214">
                  <c:v>3.2390786976135733E-2</c:v>
                </c:pt>
                <c:pt idx="215">
                  <c:v>6.4817585694800617E-2</c:v>
                </c:pt>
                <c:pt idx="216">
                  <c:v>5.0972831617494496E-2</c:v>
                </c:pt>
                <c:pt idx="217">
                  <c:v>6.8352125418648269E-2</c:v>
                </c:pt>
                <c:pt idx="218">
                  <c:v>0.13340154942929505</c:v>
                </c:pt>
                <c:pt idx="219">
                  <c:v>0.11107282065996771</c:v>
                </c:pt>
                <c:pt idx="220">
                  <c:v>6.2282969080324047E-2</c:v>
                </c:pt>
                <c:pt idx="221">
                  <c:v>6.9950468615807213E-2</c:v>
                </c:pt>
                <c:pt idx="222">
                  <c:v>-9.2294779447390285E-2</c:v>
                </c:pt>
                <c:pt idx="223">
                  <c:v>-7.608251682278791E-2</c:v>
                </c:pt>
                <c:pt idx="224">
                  <c:v>4.3308849784640516E-2</c:v>
                </c:pt>
                <c:pt idx="225">
                  <c:v>-0.1089600236510965</c:v>
                </c:pt>
                <c:pt idx="226">
                  <c:v>-0.11486450545543286</c:v>
                </c:pt>
                <c:pt idx="227">
                  <c:v>-9.2574770159824904E-2</c:v>
                </c:pt>
                <c:pt idx="228">
                  <c:v>-1.7347626120546078E-2</c:v>
                </c:pt>
                <c:pt idx="229">
                  <c:v>-3.9878983476350272E-2</c:v>
                </c:pt>
                <c:pt idx="230">
                  <c:v>-0.10721246334090676</c:v>
                </c:pt>
                <c:pt idx="231">
                  <c:v>-0.17663200679912902</c:v>
                </c:pt>
                <c:pt idx="232">
                  <c:v>-8.8870597899998044E-2</c:v>
                </c:pt>
                <c:pt idx="233">
                  <c:v>-0.22515116860055501</c:v>
                </c:pt>
                <c:pt idx="234">
                  <c:v>-4.1467269943711582E-3</c:v>
                </c:pt>
                <c:pt idx="235">
                  <c:v>-2.3904758133556886E-2</c:v>
                </c:pt>
                <c:pt idx="236">
                  <c:v>6.0510784987551219E-2</c:v>
                </c:pt>
                <c:pt idx="237">
                  <c:v>2.9727529313337692E-3</c:v>
                </c:pt>
                <c:pt idx="238">
                  <c:v>-1.6350860089592995E-2</c:v>
                </c:pt>
                <c:pt idx="239">
                  <c:v>-0.23023712200609547</c:v>
                </c:pt>
                <c:pt idx="240">
                  <c:v>2.5543221965955071E-2</c:v>
                </c:pt>
                <c:pt idx="241">
                  <c:v>-2.7857745910259274E-2</c:v>
                </c:pt>
                <c:pt idx="242">
                  <c:v>-0.15450771779607958</c:v>
                </c:pt>
                <c:pt idx="243">
                  <c:v>-5.1704359972364694E-2</c:v>
                </c:pt>
                <c:pt idx="244">
                  <c:v>-0.13417361347925774</c:v>
                </c:pt>
                <c:pt idx="245">
                  <c:v>1.9862508076527313E-2</c:v>
                </c:pt>
                <c:pt idx="246">
                  <c:v>0.13362894074960022</c:v>
                </c:pt>
                <c:pt idx="247">
                  <c:v>0.14477838350034686</c:v>
                </c:pt>
                <c:pt idx="248">
                  <c:v>0.14067950776678348</c:v>
                </c:pt>
                <c:pt idx="249">
                  <c:v>0.30266526255177972</c:v>
                </c:pt>
                <c:pt idx="250">
                  <c:v>0.10854649908503092</c:v>
                </c:pt>
                <c:pt idx="251">
                  <c:v>0.19077853562452132</c:v>
                </c:pt>
                <c:pt idx="252">
                  <c:v>5.8382342542087462E-2</c:v>
                </c:pt>
                <c:pt idx="253">
                  <c:v>6.0114285894910274E-2</c:v>
                </c:pt>
                <c:pt idx="254">
                  <c:v>0.1171303524177815</c:v>
                </c:pt>
                <c:pt idx="255">
                  <c:v>-2.1380458474785896E-2</c:v>
                </c:pt>
                <c:pt idx="256">
                  <c:v>2.1725042621468488E-2</c:v>
                </c:pt>
                <c:pt idx="257">
                  <c:v>-7.0144565308939699E-3</c:v>
                </c:pt>
                <c:pt idx="258">
                  <c:v>3.4037244863784011E-2</c:v>
                </c:pt>
                <c:pt idx="259">
                  <c:v>-1.5517856539891184E-2</c:v>
                </c:pt>
                <c:pt idx="260">
                  <c:v>0.16171939073503552</c:v>
                </c:pt>
                <c:pt idx="261">
                  <c:v>6.9679507055239148E-2</c:v>
                </c:pt>
                <c:pt idx="262">
                  <c:v>0.36927883213209844</c:v>
                </c:pt>
                <c:pt idx="263">
                  <c:v>0.23153406310556651</c:v>
                </c:pt>
                <c:pt idx="264">
                  <c:v>0.29030150512250413</c:v>
                </c:pt>
                <c:pt idx="265">
                  <c:v>0.13821409529893922</c:v>
                </c:pt>
                <c:pt idx="266">
                  <c:v>7.6183629646752432E-2</c:v>
                </c:pt>
                <c:pt idx="267">
                  <c:v>0.12109345247380759</c:v>
                </c:pt>
                <c:pt idx="268">
                  <c:v>0.16885668895996184</c:v>
                </c:pt>
                <c:pt idx="269">
                  <c:v>0.21702859277478065</c:v>
                </c:pt>
                <c:pt idx="270">
                  <c:v>3.4111453180768775E-2</c:v>
                </c:pt>
                <c:pt idx="271">
                  <c:v>3.8059290389887424E-3</c:v>
                </c:pt>
                <c:pt idx="272">
                  <c:v>9.1506116975546448E-2</c:v>
                </c:pt>
                <c:pt idx="273">
                  <c:v>0.24291443371112392</c:v>
                </c:pt>
                <c:pt idx="274">
                  <c:v>-0.1219962535912392</c:v>
                </c:pt>
                <c:pt idx="275">
                  <c:v>-2.9020875039031807E-2</c:v>
                </c:pt>
                <c:pt idx="276">
                  <c:v>-0.16518229387193764</c:v>
                </c:pt>
                <c:pt idx="277">
                  <c:v>-6.663393537087331E-2</c:v>
                </c:pt>
                <c:pt idx="278">
                  <c:v>-5.2047679580685624E-2</c:v>
                </c:pt>
                <c:pt idx="279">
                  <c:v>-0.16615667450526717</c:v>
                </c:pt>
                <c:pt idx="280">
                  <c:v>-9.2796371364326585E-2</c:v>
                </c:pt>
                <c:pt idx="281">
                  <c:v>-0.20446852691380216</c:v>
                </c:pt>
                <c:pt idx="282">
                  <c:v>-7.9591509270405675E-2</c:v>
                </c:pt>
                <c:pt idx="283">
                  <c:v>-9.4411826403862975E-2</c:v>
                </c:pt>
                <c:pt idx="284">
                  <c:v>-7.4732764617880587E-2</c:v>
                </c:pt>
                <c:pt idx="285">
                  <c:v>0.11961684085070723</c:v>
                </c:pt>
                <c:pt idx="286">
                  <c:v>0.17823691568387812</c:v>
                </c:pt>
                <c:pt idx="287">
                  <c:v>4.5945745467741772E-2</c:v>
                </c:pt>
                <c:pt idx="288">
                  <c:v>2.12973751396065E-2</c:v>
                </c:pt>
                <c:pt idx="289">
                  <c:v>-0.14380236893657039</c:v>
                </c:pt>
                <c:pt idx="290">
                  <c:v>-7.2264652183403832E-2</c:v>
                </c:pt>
                <c:pt idx="291">
                  <c:v>-0.14396709626518489</c:v>
                </c:pt>
                <c:pt idx="292">
                  <c:v>-0.15218769906838664</c:v>
                </c:pt>
                <c:pt idx="293">
                  <c:v>7.3069165711000639E-2</c:v>
                </c:pt>
                <c:pt idx="294">
                  <c:v>0.13558108525256538</c:v>
                </c:pt>
                <c:pt idx="295">
                  <c:v>-3.3029622168968709E-2</c:v>
                </c:pt>
                <c:pt idx="296">
                  <c:v>0.10931637294629495</c:v>
                </c:pt>
                <c:pt idx="297">
                  <c:v>-4.7938775906113396E-3</c:v>
                </c:pt>
                <c:pt idx="298">
                  <c:v>0.152283658567128</c:v>
                </c:pt>
                <c:pt idx="299">
                  <c:v>-8.4743913586190767E-3</c:v>
                </c:pt>
                <c:pt idx="300">
                  <c:v>9.6710923080851274E-2</c:v>
                </c:pt>
                <c:pt idx="301">
                  <c:v>-0.14524543046715466</c:v>
                </c:pt>
                <c:pt idx="302">
                  <c:v>0.10974947137647367</c:v>
                </c:pt>
                <c:pt idx="303">
                  <c:v>-0.2046084732105154</c:v>
                </c:pt>
                <c:pt idx="304">
                  <c:v>-1.110575220333046E-2</c:v>
                </c:pt>
                <c:pt idx="305">
                  <c:v>1.9420397147029506E-2</c:v>
                </c:pt>
                <c:pt idx="306">
                  <c:v>6.1673270222961235E-2</c:v>
                </c:pt>
                <c:pt idx="307">
                  <c:v>-3.2772675439946081E-2</c:v>
                </c:pt>
                <c:pt idx="308">
                  <c:v>-0.13434173050052398</c:v>
                </c:pt>
                <c:pt idx="309">
                  <c:v>-0.24509757827896636</c:v>
                </c:pt>
                <c:pt idx="310">
                  <c:v>3.5504138767363275E-2</c:v>
                </c:pt>
                <c:pt idx="311">
                  <c:v>-0.20642652454862198</c:v>
                </c:pt>
                <c:pt idx="312">
                  <c:v>-3.9747140499810651E-3</c:v>
                </c:pt>
                <c:pt idx="313">
                  <c:v>-6.6860111104991626E-2</c:v>
                </c:pt>
                <c:pt idx="314">
                  <c:v>-5.6956295642075827E-2</c:v>
                </c:pt>
                <c:pt idx="315">
                  <c:v>-5.0672494962934689E-2</c:v>
                </c:pt>
                <c:pt idx="316">
                  <c:v>-0.14508362955712442</c:v>
                </c:pt>
                <c:pt idx="317">
                  <c:v>2.8248485206873175E-3</c:v>
                </c:pt>
                <c:pt idx="318">
                  <c:v>-3.3113809927439647E-2</c:v>
                </c:pt>
                <c:pt idx="319">
                  <c:v>-5.5655109783371903E-2</c:v>
                </c:pt>
                <c:pt idx="320">
                  <c:v>-0.15112467312256583</c:v>
                </c:pt>
                <c:pt idx="321">
                  <c:v>-7.881182610229992E-2</c:v>
                </c:pt>
                <c:pt idx="322">
                  <c:v>3.2768534701258067E-2</c:v>
                </c:pt>
                <c:pt idx="323">
                  <c:v>0.13303667118316315</c:v>
                </c:pt>
                <c:pt idx="324">
                  <c:v>6.1228045986527757E-2</c:v>
                </c:pt>
                <c:pt idx="325">
                  <c:v>-3.3568656913128159E-2</c:v>
                </c:pt>
                <c:pt idx="326">
                  <c:v>-5.2778048277167977E-2</c:v>
                </c:pt>
                <c:pt idx="327">
                  <c:v>-0.14798330360809892</c:v>
                </c:pt>
                <c:pt idx="328">
                  <c:v>-0.14530913029249148</c:v>
                </c:pt>
                <c:pt idx="329">
                  <c:v>-7.8532552988130083E-2</c:v>
                </c:pt>
                <c:pt idx="330">
                  <c:v>-0.21020003396195336</c:v>
                </c:pt>
                <c:pt idx="331">
                  <c:v>-0.10177064769287486</c:v>
                </c:pt>
                <c:pt idx="332">
                  <c:v>-0.18697566126481535</c:v>
                </c:pt>
                <c:pt idx="333">
                  <c:v>-0.18703807711522097</c:v>
                </c:pt>
                <c:pt idx="334">
                  <c:v>-3.0416264803984516E-2</c:v>
                </c:pt>
                <c:pt idx="335">
                  <c:v>6.001770644802229E-2</c:v>
                </c:pt>
                <c:pt idx="336">
                  <c:v>-0.21313308668760422</c:v>
                </c:pt>
                <c:pt idx="337">
                  <c:v>-0.1684933047851902</c:v>
                </c:pt>
                <c:pt idx="338">
                  <c:v>-0.15259026287255956</c:v>
                </c:pt>
                <c:pt idx="339">
                  <c:v>-4.6596628204783275E-2</c:v>
                </c:pt>
                <c:pt idx="340">
                  <c:v>2.5838338170040942E-2</c:v>
                </c:pt>
                <c:pt idx="341">
                  <c:v>-0.10222243419405197</c:v>
                </c:pt>
                <c:pt idx="342">
                  <c:v>1.4168028811084032E-3</c:v>
                </c:pt>
                <c:pt idx="343">
                  <c:v>-3.5806194595614571E-2</c:v>
                </c:pt>
                <c:pt idx="344">
                  <c:v>-0.10524576731056451</c:v>
                </c:pt>
                <c:pt idx="345">
                  <c:v>4.8504945117488263E-2</c:v>
                </c:pt>
                <c:pt idx="346">
                  <c:v>0.15153739981425962</c:v>
                </c:pt>
                <c:pt idx="347">
                  <c:v>2.6384239278424537E-2</c:v>
                </c:pt>
                <c:pt idx="348">
                  <c:v>0.11478800824349539</c:v>
                </c:pt>
                <c:pt idx="349">
                  <c:v>4.3860675978141694E-2</c:v>
                </c:pt>
                <c:pt idx="350">
                  <c:v>6.8878571438658387E-2</c:v>
                </c:pt>
                <c:pt idx="351">
                  <c:v>6.8953301791702448E-2</c:v>
                </c:pt>
                <c:pt idx="352">
                  <c:v>4.7621622381740558E-2</c:v>
                </c:pt>
                <c:pt idx="353">
                  <c:v>0.18065416961337499</c:v>
                </c:pt>
                <c:pt idx="354">
                  <c:v>0.20485901906249621</c:v>
                </c:pt>
                <c:pt idx="355">
                  <c:v>0.21031935115589889</c:v>
                </c:pt>
                <c:pt idx="356">
                  <c:v>-7.5498636053264651E-2</c:v>
                </c:pt>
                <c:pt idx="357">
                  <c:v>9.2269035584231995E-2</c:v>
                </c:pt>
                <c:pt idx="358">
                  <c:v>-7.0538795357375478E-2</c:v>
                </c:pt>
                <c:pt idx="359">
                  <c:v>0.12892289090315956</c:v>
                </c:pt>
                <c:pt idx="360">
                  <c:v>0.18512305249437511</c:v>
                </c:pt>
                <c:pt idx="361">
                  <c:v>7.8532960180150768E-2</c:v>
                </c:pt>
                <c:pt idx="362">
                  <c:v>-5.6658276214240355E-2</c:v>
                </c:pt>
                <c:pt idx="363">
                  <c:v>-0.10621733115646792</c:v>
                </c:pt>
                <c:pt idx="364">
                  <c:v>8.8421050543733393E-2</c:v>
                </c:pt>
                <c:pt idx="365">
                  <c:v>7.2345462909603697E-2</c:v>
                </c:pt>
                <c:pt idx="366">
                  <c:v>9.3827038371322558E-2</c:v>
                </c:pt>
                <c:pt idx="367">
                  <c:v>2.8500193447500544E-2</c:v>
                </c:pt>
                <c:pt idx="368">
                  <c:v>-7.6146350152144882E-2</c:v>
                </c:pt>
                <c:pt idx="369">
                  <c:v>7.5941719056026868E-2</c:v>
                </c:pt>
                <c:pt idx="370">
                  <c:v>0.10832557980984653</c:v>
                </c:pt>
                <c:pt idx="371">
                  <c:v>0.10314849530958398</c:v>
                </c:pt>
                <c:pt idx="372">
                  <c:v>0.4489383366824814</c:v>
                </c:pt>
                <c:pt idx="373">
                  <c:v>0.18277850460469208</c:v>
                </c:pt>
                <c:pt idx="374">
                  <c:v>7.0804137422405544E-2</c:v>
                </c:pt>
                <c:pt idx="375">
                  <c:v>-1.7777221832709911E-2</c:v>
                </c:pt>
                <c:pt idx="376">
                  <c:v>9.1547983283357448E-2</c:v>
                </c:pt>
                <c:pt idx="377">
                  <c:v>-6.2241638104728048E-3</c:v>
                </c:pt>
                <c:pt idx="378">
                  <c:v>-9.7322629445294628E-2</c:v>
                </c:pt>
                <c:pt idx="379">
                  <c:v>0.11831241984444552</c:v>
                </c:pt>
                <c:pt idx="380">
                  <c:v>0.10678536410333633</c:v>
                </c:pt>
                <c:pt idx="381">
                  <c:v>3.3429898665361224E-2</c:v>
                </c:pt>
                <c:pt idx="382">
                  <c:v>6.110135859786181E-2</c:v>
                </c:pt>
                <c:pt idx="383">
                  <c:v>0.1176954462314293</c:v>
                </c:pt>
                <c:pt idx="384">
                  <c:v>-4.1697066925680482E-2</c:v>
                </c:pt>
                <c:pt idx="385">
                  <c:v>9.1495049154988017E-2</c:v>
                </c:pt>
                <c:pt idx="386">
                  <c:v>-7.5749220829162245E-2</c:v>
                </c:pt>
                <c:pt idx="387">
                  <c:v>0.12790863749306924</c:v>
                </c:pt>
                <c:pt idx="388">
                  <c:v>9.4094014661891379E-2</c:v>
                </c:pt>
                <c:pt idx="389">
                  <c:v>1.2685959174409511E-2</c:v>
                </c:pt>
                <c:pt idx="390">
                  <c:v>6.8791104261281544E-2</c:v>
                </c:pt>
                <c:pt idx="391">
                  <c:v>-9.4406289678743704E-2</c:v>
                </c:pt>
                <c:pt idx="392">
                  <c:v>-9.2085116705540593E-2</c:v>
                </c:pt>
                <c:pt idx="393">
                  <c:v>-9.1190602017861555E-2</c:v>
                </c:pt>
                <c:pt idx="394">
                  <c:v>4.6648761582271825E-2</c:v>
                </c:pt>
                <c:pt idx="395">
                  <c:v>-7.3477770302227019E-2</c:v>
                </c:pt>
                <c:pt idx="396">
                  <c:v>-2.3659486624319159E-2</c:v>
                </c:pt>
                <c:pt idx="397">
                  <c:v>-0.24704725132712602</c:v>
                </c:pt>
                <c:pt idx="398">
                  <c:v>-0.21896756545449891</c:v>
                </c:pt>
                <c:pt idx="399">
                  <c:v>-0.25728818357852445</c:v>
                </c:pt>
                <c:pt idx="400">
                  <c:v>-0.39325662333683137</c:v>
                </c:pt>
                <c:pt idx="401">
                  <c:v>-0.36006907767383445</c:v>
                </c:pt>
                <c:pt idx="402">
                  <c:v>-0.39657066972251642</c:v>
                </c:pt>
                <c:pt idx="403">
                  <c:v>-0.28874230657578775</c:v>
                </c:pt>
                <c:pt idx="404">
                  <c:v>-0.31666322637788175</c:v>
                </c:pt>
                <c:pt idx="405">
                  <c:v>-0.12070768421102934</c:v>
                </c:pt>
                <c:pt idx="406">
                  <c:v>-4.0439487854143641E-4</c:v>
                </c:pt>
                <c:pt idx="407">
                  <c:v>1.7786865416356157E-2</c:v>
                </c:pt>
                <c:pt idx="408">
                  <c:v>-2.1701156410185274E-2</c:v>
                </c:pt>
                <c:pt idx="409">
                  <c:v>-0.12619893259739523</c:v>
                </c:pt>
                <c:pt idx="410">
                  <c:v>-0.1518871016846986</c:v>
                </c:pt>
                <c:pt idx="411">
                  <c:v>-0.21115855696606134</c:v>
                </c:pt>
                <c:pt idx="412">
                  <c:v>-0.1869723735986939</c:v>
                </c:pt>
                <c:pt idx="413">
                  <c:v>-0.31080327019131726</c:v>
                </c:pt>
                <c:pt idx="414">
                  <c:v>-0.27530942348025977</c:v>
                </c:pt>
                <c:pt idx="415">
                  <c:v>-0.12194581045216651</c:v>
                </c:pt>
                <c:pt idx="416">
                  <c:v>-0.33124008981519809</c:v>
                </c:pt>
                <c:pt idx="417">
                  <c:v>-0.20618338219258325</c:v>
                </c:pt>
                <c:pt idx="418">
                  <c:v>-0.14091804628815185</c:v>
                </c:pt>
                <c:pt idx="419">
                  <c:v>-0.38843044507637081</c:v>
                </c:pt>
                <c:pt idx="420">
                  <c:v>-0.12935228748477834</c:v>
                </c:pt>
                <c:pt idx="421">
                  <c:v>-1.2639418019507298E-2</c:v>
                </c:pt>
                <c:pt idx="422">
                  <c:v>-0.14114995370580996</c:v>
                </c:pt>
                <c:pt idx="423">
                  <c:v>1.4580247932391766E-2</c:v>
                </c:pt>
                <c:pt idx="424">
                  <c:v>-0.11100339430491313</c:v>
                </c:pt>
                <c:pt idx="425">
                  <c:v>-0.17674601875368162</c:v>
                </c:pt>
                <c:pt idx="426">
                  <c:v>-6.5786989594015299E-2</c:v>
                </c:pt>
                <c:pt idx="427">
                  <c:v>4.4224748603693298E-2</c:v>
                </c:pt>
                <c:pt idx="428">
                  <c:v>4.8237232422443266E-2</c:v>
                </c:pt>
                <c:pt idx="429">
                  <c:v>-4.2592818430422785E-2</c:v>
                </c:pt>
                <c:pt idx="430">
                  <c:v>7.0510342512731583E-2</c:v>
                </c:pt>
                <c:pt idx="431">
                  <c:v>0.29645794267061398</c:v>
                </c:pt>
                <c:pt idx="432">
                  <c:v>-3.7766702842466637E-2</c:v>
                </c:pt>
                <c:pt idx="433">
                  <c:v>-4.588455939315117E-2</c:v>
                </c:pt>
                <c:pt idx="434">
                  <c:v>-0.23011598005296219</c:v>
                </c:pt>
                <c:pt idx="435">
                  <c:v>-4.8129123100461357E-2</c:v>
                </c:pt>
                <c:pt idx="436">
                  <c:v>2.2312870015178898E-2</c:v>
                </c:pt>
                <c:pt idx="437">
                  <c:v>5.3166485506293437E-2</c:v>
                </c:pt>
                <c:pt idx="438">
                  <c:v>-4.3493987990412541E-2</c:v>
                </c:pt>
                <c:pt idx="439">
                  <c:v>0.10503437290834172</c:v>
                </c:pt>
                <c:pt idx="440">
                  <c:v>0.10056167820013345</c:v>
                </c:pt>
                <c:pt idx="441">
                  <c:v>-8.0119938990295625E-2</c:v>
                </c:pt>
                <c:pt idx="442">
                  <c:v>-0.10132115563719396</c:v>
                </c:pt>
                <c:pt idx="443">
                  <c:v>0.1129707171629164</c:v>
                </c:pt>
                <c:pt idx="444">
                  <c:v>-3.0531595080630247E-2</c:v>
                </c:pt>
                <c:pt idx="445">
                  <c:v>-4.630414740850175E-2</c:v>
                </c:pt>
                <c:pt idx="446">
                  <c:v>-0.12805134265907575</c:v>
                </c:pt>
                <c:pt idx="447">
                  <c:v>-0.15165619505183459</c:v>
                </c:pt>
                <c:pt idx="448">
                  <c:v>-4.068267716650209E-2</c:v>
                </c:pt>
                <c:pt idx="449">
                  <c:v>8.3129615239240062E-2</c:v>
                </c:pt>
                <c:pt idx="450">
                  <c:v>-0.11730150727704286</c:v>
                </c:pt>
                <c:pt idx="451">
                  <c:v>-0.15937276593525002</c:v>
                </c:pt>
                <c:pt idx="452">
                  <c:v>3.0464200649421791E-2</c:v>
                </c:pt>
                <c:pt idx="453">
                  <c:v>-3.171468490076923E-2</c:v>
                </c:pt>
                <c:pt idx="454">
                  <c:v>-8.8387545956895464E-2</c:v>
                </c:pt>
                <c:pt idx="455">
                  <c:v>-3.7334501586274715E-3</c:v>
                </c:pt>
                <c:pt idx="456">
                  <c:v>0.10322277199994118</c:v>
                </c:pt>
                <c:pt idx="457">
                  <c:v>-9.6722922322677596E-2</c:v>
                </c:pt>
                <c:pt idx="458">
                  <c:v>-0.10280502051115292</c:v>
                </c:pt>
                <c:pt idx="459">
                  <c:v>8.842899824420869E-2</c:v>
                </c:pt>
                <c:pt idx="460">
                  <c:v>-0.13650870479609067</c:v>
                </c:pt>
                <c:pt idx="461">
                  <c:v>-7.973218248505215E-2</c:v>
                </c:pt>
                <c:pt idx="462">
                  <c:v>1.5202424574098039E-2</c:v>
                </c:pt>
                <c:pt idx="463">
                  <c:v>6.8916500575568085E-2</c:v>
                </c:pt>
                <c:pt idx="464">
                  <c:v>6.3534256341774675E-2</c:v>
                </c:pt>
                <c:pt idx="465">
                  <c:v>-3.8498039255026595E-2</c:v>
                </c:pt>
                <c:pt idx="466">
                  <c:v>-7.5461028670072428E-2</c:v>
                </c:pt>
                <c:pt idx="467">
                  <c:v>0.2081424543251158</c:v>
                </c:pt>
                <c:pt idx="468">
                  <c:v>-5.8083925059074781E-2</c:v>
                </c:pt>
                <c:pt idx="469">
                  <c:v>-5.0424023065753998E-2</c:v>
                </c:pt>
                <c:pt idx="470">
                  <c:v>8.2923676067492291E-3</c:v>
                </c:pt>
                <c:pt idx="471">
                  <c:v>0.14729520167357912</c:v>
                </c:pt>
                <c:pt idx="472">
                  <c:v>8.1864254330065056E-2</c:v>
                </c:pt>
                <c:pt idx="473">
                  <c:v>0.1469957279108417</c:v>
                </c:pt>
                <c:pt idx="474">
                  <c:v>-2.017109616664009E-2</c:v>
                </c:pt>
                <c:pt idx="475">
                  <c:v>2.3566673230845159E-2</c:v>
                </c:pt>
                <c:pt idx="476">
                  <c:v>3.8709384653451306E-2</c:v>
                </c:pt>
                <c:pt idx="477">
                  <c:v>0.15762140028006932</c:v>
                </c:pt>
                <c:pt idx="478">
                  <c:v>8.501291883563511E-2</c:v>
                </c:pt>
                <c:pt idx="479">
                  <c:v>0.25155756258591233</c:v>
                </c:pt>
                <c:pt idx="480">
                  <c:v>-5.0521271280336788E-2</c:v>
                </c:pt>
                <c:pt idx="481">
                  <c:v>-7.1051445463883756E-2</c:v>
                </c:pt>
                <c:pt idx="482">
                  <c:v>-0.15336094102206244</c:v>
                </c:pt>
                <c:pt idx="483">
                  <c:v>-7.415932705664563E-2</c:v>
                </c:pt>
                <c:pt idx="484">
                  <c:v>-4.6371389360274295E-2</c:v>
                </c:pt>
                <c:pt idx="485">
                  <c:v>-9.9807087340252565E-2</c:v>
                </c:pt>
                <c:pt idx="486">
                  <c:v>7.3901401928046506E-3</c:v>
                </c:pt>
                <c:pt idx="487">
                  <c:v>-4.3572078363735278E-2</c:v>
                </c:pt>
                <c:pt idx="488">
                  <c:v>-2.480766060762124E-2</c:v>
                </c:pt>
                <c:pt idx="489">
                  <c:v>-4.4632557296430675E-3</c:v>
                </c:pt>
                <c:pt idx="490">
                  <c:v>-0.15593310715544467</c:v>
                </c:pt>
                <c:pt idx="491">
                  <c:v>0.1704273748818349</c:v>
                </c:pt>
                <c:pt idx="492">
                  <c:v>0.16496243521545256</c:v>
                </c:pt>
                <c:pt idx="493">
                  <c:v>0.15661498183455158</c:v>
                </c:pt>
                <c:pt idx="494">
                  <c:v>-6.9211948701855763E-2</c:v>
                </c:pt>
                <c:pt idx="495">
                  <c:v>-4.4861496608966767E-2</c:v>
                </c:pt>
                <c:pt idx="496">
                  <c:v>-4.9894407623565284E-2</c:v>
                </c:pt>
                <c:pt idx="497">
                  <c:v>-1.3293326792887694E-2</c:v>
                </c:pt>
                <c:pt idx="498">
                  <c:v>-3.5575031429950776E-2</c:v>
                </c:pt>
                <c:pt idx="499">
                  <c:v>-0.16808410736228224</c:v>
                </c:pt>
                <c:pt idx="500">
                  <c:v>-0.15959028152518584</c:v>
                </c:pt>
                <c:pt idx="501">
                  <c:v>-0.19180377947105076</c:v>
                </c:pt>
                <c:pt idx="502">
                  <c:v>-2.1311841283552624E-2</c:v>
                </c:pt>
                <c:pt idx="503">
                  <c:v>-2.2091192650831371E-2</c:v>
                </c:pt>
                <c:pt idx="504">
                  <c:v>7.9640362929898456E-2</c:v>
                </c:pt>
                <c:pt idx="505">
                  <c:v>1.8127788701651548E-2</c:v>
                </c:pt>
                <c:pt idx="506">
                  <c:v>6.3890688654968275E-2</c:v>
                </c:pt>
                <c:pt idx="507">
                  <c:v>2.099691278747795E-2</c:v>
                </c:pt>
                <c:pt idx="508">
                  <c:v>8.7107672372195633E-2</c:v>
                </c:pt>
                <c:pt idx="509">
                  <c:v>-1.1286672116148422E-2</c:v>
                </c:pt>
                <c:pt idx="510">
                  <c:v>3.4601221779281544E-2</c:v>
                </c:pt>
                <c:pt idx="511">
                  <c:v>9.0863553903737793E-3</c:v>
                </c:pt>
                <c:pt idx="512">
                  <c:v>0.22177677445280564</c:v>
                </c:pt>
                <c:pt idx="513">
                  <c:v>3.7695430549930742E-2</c:v>
                </c:pt>
                <c:pt idx="514">
                  <c:v>0.25363636708575876</c:v>
                </c:pt>
                <c:pt idx="515">
                  <c:v>0.26261153015095706</c:v>
                </c:pt>
                <c:pt idx="516">
                  <c:v>0.35188280362840196</c:v>
                </c:pt>
                <c:pt idx="517">
                  <c:v>2.7674958918699422E-2</c:v>
                </c:pt>
                <c:pt idx="518">
                  <c:v>6.0718403357262529E-2</c:v>
                </c:pt>
                <c:pt idx="519">
                  <c:v>-5.0232388633390967E-2</c:v>
                </c:pt>
                <c:pt idx="520">
                  <c:v>4.2457537125766831E-2</c:v>
                </c:pt>
                <c:pt idx="521">
                  <c:v>-2.7974496665299053E-2</c:v>
                </c:pt>
                <c:pt idx="522">
                  <c:v>8.0811009547923751E-2</c:v>
                </c:pt>
                <c:pt idx="523">
                  <c:v>-2.7603104286865521E-2</c:v>
                </c:pt>
                <c:pt idx="524">
                  <c:v>-9.5539186587456637E-4</c:v>
                </c:pt>
                <c:pt idx="525">
                  <c:v>-0.18046939003210161</c:v>
                </c:pt>
                <c:pt idx="526">
                  <c:v>9.9719554338032257E-2</c:v>
                </c:pt>
                <c:pt idx="527">
                  <c:v>-9.5604186748099451E-2</c:v>
                </c:pt>
                <c:pt idx="528">
                  <c:v>-7.4667005212341264E-2</c:v>
                </c:pt>
                <c:pt idx="529">
                  <c:v>-0.12244479687862109</c:v>
                </c:pt>
                <c:pt idx="530">
                  <c:v>-5.4470621335536151E-2</c:v>
                </c:pt>
                <c:pt idx="531">
                  <c:v>-0.15284344077815815</c:v>
                </c:pt>
                <c:pt idx="532">
                  <c:v>-2.3201736320519473E-3</c:v>
                </c:pt>
                <c:pt idx="533">
                  <c:v>9.6840002194392927E-2</c:v>
                </c:pt>
                <c:pt idx="534">
                  <c:v>8.5522396109261489E-2</c:v>
                </c:pt>
                <c:pt idx="535">
                  <c:v>0.16669253225765923</c:v>
                </c:pt>
                <c:pt idx="536">
                  <c:v>-4.3867538789963301E-2</c:v>
                </c:pt>
                <c:pt idx="537">
                  <c:v>0.1542632565077583</c:v>
                </c:pt>
                <c:pt idx="538">
                  <c:v>-2.6257335791971648E-2</c:v>
                </c:pt>
                <c:pt idx="539">
                  <c:v>9.9285324654884266E-2</c:v>
                </c:pt>
                <c:pt idx="540">
                  <c:v>-1.2875628779273063E-3</c:v>
                </c:pt>
                <c:pt idx="541">
                  <c:v>-4.1081619353143028E-2</c:v>
                </c:pt>
                <c:pt idx="542">
                  <c:v>-0.27769558545192607</c:v>
                </c:pt>
                <c:pt idx="543">
                  <c:v>-0.19104269632796367</c:v>
                </c:pt>
                <c:pt idx="544">
                  <c:v>-0.33998240625776321</c:v>
                </c:pt>
                <c:pt idx="545">
                  <c:v>-0.13616258880439369</c:v>
                </c:pt>
                <c:pt idx="546">
                  <c:v>-7.6493689230534567E-2</c:v>
                </c:pt>
                <c:pt idx="547">
                  <c:v>1.6593750049959333E-2</c:v>
                </c:pt>
                <c:pt idx="548">
                  <c:v>0.10559637501171737</c:v>
                </c:pt>
                <c:pt idx="549">
                  <c:v>-0.13207532185927462</c:v>
                </c:pt>
                <c:pt idx="550">
                  <c:v>9.5358231230311952E-2</c:v>
                </c:pt>
                <c:pt idx="551">
                  <c:v>-7.0626949265948813E-2</c:v>
                </c:pt>
                <c:pt idx="552">
                  <c:v>5.2447130529111652E-2</c:v>
                </c:pt>
                <c:pt idx="553">
                  <c:v>-2.5603246174970229E-2</c:v>
                </c:pt>
                <c:pt idx="554">
                  <c:v>-6.1167979627641755E-2</c:v>
                </c:pt>
                <c:pt idx="555">
                  <c:v>-2.5625988114308051E-2</c:v>
                </c:pt>
                <c:pt idx="556">
                  <c:v>-4.7751974515025775E-2</c:v>
                </c:pt>
                <c:pt idx="557">
                  <c:v>-2.8187521479872579E-2</c:v>
                </c:pt>
                <c:pt idx="558">
                  <c:v>0.12887090353412989</c:v>
                </c:pt>
                <c:pt idx="559">
                  <c:v>0.17703273486176063</c:v>
                </c:pt>
                <c:pt idx="560">
                  <c:v>0.15157862192873883</c:v>
                </c:pt>
                <c:pt idx="561">
                  <c:v>7.0481227889770959E-2</c:v>
                </c:pt>
                <c:pt idx="562">
                  <c:v>-4.8803945539939386E-2</c:v>
                </c:pt>
                <c:pt idx="563">
                  <c:v>0.1488006486785497</c:v>
                </c:pt>
                <c:pt idx="564">
                  <c:v>5.579600250240957E-2</c:v>
                </c:pt>
                <c:pt idx="565">
                  <c:v>-0.12075173757813096</c:v>
                </c:pt>
                <c:pt idx="566">
                  <c:v>-0.12029693465156466</c:v>
                </c:pt>
                <c:pt idx="567">
                  <c:v>6.5000828675241151E-2</c:v>
                </c:pt>
                <c:pt idx="568">
                  <c:v>-6.4233772810243339E-2</c:v>
                </c:pt>
                <c:pt idx="569">
                  <c:v>0.10442363228284135</c:v>
                </c:pt>
                <c:pt idx="570">
                  <c:v>5.8514369462276061E-2</c:v>
                </c:pt>
                <c:pt idx="571">
                  <c:v>9.0687214463207932E-2</c:v>
                </c:pt>
                <c:pt idx="572">
                  <c:v>8.1767835370575304E-2</c:v>
                </c:pt>
                <c:pt idx="573">
                  <c:v>0.10612860011214009</c:v>
                </c:pt>
                <c:pt idx="574">
                  <c:v>0.30014487488555575</c:v>
                </c:pt>
                <c:pt idx="575">
                  <c:v>-3.5188412445760431E-2</c:v>
                </c:pt>
                <c:pt idx="576">
                  <c:v>-3.2300438934476094E-2</c:v>
                </c:pt>
                <c:pt idx="577">
                  <c:v>3.0606305517699273E-2</c:v>
                </c:pt>
                <c:pt idx="578">
                  <c:v>-1.2479766028145933E-2</c:v>
                </c:pt>
                <c:pt idx="579">
                  <c:v>-6.0884857870241782E-2</c:v>
                </c:pt>
                <c:pt idx="580">
                  <c:v>-3.7031186135286664E-2</c:v>
                </c:pt>
                <c:pt idx="581">
                  <c:v>-9.5596206384230831E-3</c:v>
                </c:pt>
                <c:pt idx="582">
                  <c:v>7.3296891092091698E-3</c:v>
                </c:pt>
                <c:pt idx="583">
                  <c:v>2.5258586848474485E-3</c:v>
                </c:pt>
                <c:pt idx="584">
                  <c:v>1.3100538787360949E-2</c:v>
                </c:pt>
                <c:pt idx="585">
                  <c:v>-6.7927608534688044E-2</c:v>
                </c:pt>
                <c:pt idx="586">
                  <c:v>-0.25557161002918749</c:v>
                </c:pt>
                <c:pt idx="587">
                  <c:v>-0.16190959185908871</c:v>
                </c:pt>
                <c:pt idx="588">
                  <c:v>0.21888848333545863</c:v>
                </c:pt>
                <c:pt idx="589">
                  <c:v>1.6128136711937024E-3</c:v>
                </c:pt>
                <c:pt idx="590">
                  <c:v>-6.6250162600284823E-2</c:v>
                </c:pt>
                <c:pt idx="591">
                  <c:v>-7.9078657251758555E-2</c:v>
                </c:pt>
                <c:pt idx="592">
                  <c:v>7.0867021411911146E-3</c:v>
                </c:pt>
                <c:pt idx="593">
                  <c:v>-0.13667584148238077</c:v>
                </c:pt>
                <c:pt idx="594">
                  <c:v>-2.5225029103252972E-3</c:v>
                </c:pt>
                <c:pt idx="595">
                  <c:v>4.9423069066965031E-2</c:v>
                </c:pt>
                <c:pt idx="596">
                  <c:v>4.5821711357691641E-2</c:v>
                </c:pt>
                <c:pt idx="597">
                  <c:v>-0.11402701015094663</c:v>
                </c:pt>
                <c:pt idx="598">
                  <c:v>-8.6027593920974255E-3</c:v>
                </c:pt>
                <c:pt idx="599">
                  <c:v>-0.11574581082148361</c:v>
                </c:pt>
                <c:pt idx="600">
                  <c:v>-0.11027039781039694</c:v>
                </c:pt>
                <c:pt idx="601">
                  <c:v>-2.8893813985675254E-2</c:v>
                </c:pt>
                <c:pt idx="602">
                  <c:v>6.5863538268562394E-4</c:v>
                </c:pt>
                <c:pt idx="603">
                  <c:v>-3.0913551918203885E-2</c:v>
                </c:pt>
                <c:pt idx="604">
                  <c:v>6.959023039842116E-2</c:v>
                </c:pt>
                <c:pt idx="605">
                  <c:v>6.4697988411984708E-3</c:v>
                </c:pt>
                <c:pt idx="606">
                  <c:v>2.3258493257564239E-2</c:v>
                </c:pt>
                <c:pt idx="607">
                  <c:v>-5.7475032583372165E-2</c:v>
                </c:pt>
                <c:pt idx="608">
                  <c:v>7.0955343764881995E-2</c:v>
                </c:pt>
                <c:pt idx="609">
                  <c:v>-8.2086713781698406E-2</c:v>
                </c:pt>
                <c:pt idx="610">
                  <c:v>-3.7780573761939995E-2</c:v>
                </c:pt>
                <c:pt idx="611">
                  <c:v>3.0198812671711206E-3</c:v>
                </c:pt>
                <c:pt idx="612">
                  <c:v>5.6750351847385083E-2</c:v>
                </c:pt>
                <c:pt idx="613">
                  <c:v>-2.3779759500578312E-2</c:v>
                </c:pt>
                <c:pt idx="614">
                  <c:v>-0.10659582544610646</c:v>
                </c:pt>
                <c:pt idx="615">
                  <c:v>-0.13949974094887141</c:v>
                </c:pt>
                <c:pt idx="616">
                  <c:v>-0.12603499273554497</c:v>
                </c:pt>
                <c:pt idx="617">
                  <c:v>-2.0007881567158714E-2</c:v>
                </c:pt>
                <c:pt idx="618">
                  <c:v>-1.0582316016550797E-3</c:v>
                </c:pt>
                <c:pt idx="619">
                  <c:v>0.10270038108960933</c:v>
                </c:pt>
                <c:pt idx="620">
                  <c:v>0.21062860920745974</c:v>
                </c:pt>
                <c:pt idx="621">
                  <c:v>-0.14423119711406818</c:v>
                </c:pt>
                <c:pt idx="622">
                  <c:v>-7.9970914899172518E-2</c:v>
                </c:pt>
                <c:pt idx="623">
                  <c:v>-0.13292301172694576</c:v>
                </c:pt>
                <c:pt idx="624">
                  <c:v>3.1669930869556495E-2</c:v>
                </c:pt>
                <c:pt idx="625">
                  <c:v>-1.3186740610470205E-3</c:v>
                </c:pt>
                <c:pt idx="626">
                  <c:v>-0.14109532887325915</c:v>
                </c:pt>
                <c:pt idx="627">
                  <c:v>-6.4748766088367216E-2</c:v>
                </c:pt>
                <c:pt idx="628">
                  <c:v>2.2846882528481771E-2</c:v>
                </c:pt>
                <c:pt idx="629">
                  <c:v>6.137035413792491E-2</c:v>
                </c:pt>
                <c:pt idx="630">
                  <c:v>-0.121881297621527</c:v>
                </c:pt>
                <c:pt idx="631">
                  <c:v>-2.8353877378901493E-2</c:v>
                </c:pt>
                <c:pt idx="632">
                  <c:v>-8.0152214434223712E-2</c:v>
                </c:pt>
                <c:pt idx="633">
                  <c:v>-7.3524682716272993E-2</c:v>
                </c:pt>
                <c:pt idx="634">
                  <c:v>-0.2004722968339685</c:v>
                </c:pt>
                <c:pt idx="635">
                  <c:v>-0.19085756234749129</c:v>
                </c:pt>
                <c:pt idx="636">
                  <c:v>-0.11508873342254289</c:v>
                </c:pt>
                <c:pt idx="637">
                  <c:v>8.6973708798192551E-3</c:v>
                </c:pt>
                <c:pt idx="638">
                  <c:v>4.0146919260059644E-2</c:v>
                </c:pt>
                <c:pt idx="639">
                  <c:v>-9.010123759694566E-2</c:v>
                </c:pt>
                <c:pt idx="640">
                  <c:v>-0.14439896675106023</c:v>
                </c:pt>
                <c:pt idx="641">
                  <c:v>-6.9360004358644201E-2</c:v>
                </c:pt>
                <c:pt idx="642">
                  <c:v>-1.4797822619169287E-2</c:v>
                </c:pt>
                <c:pt idx="643">
                  <c:v>4.3949103400163891E-2</c:v>
                </c:pt>
                <c:pt idx="644">
                  <c:v>-5.1240723771832641E-3</c:v>
                </c:pt>
                <c:pt idx="645">
                  <c:v>-0.26716659545305188</c:v>
                </c:pt>
                <c:pt idx="646">
                  <c:v>-9.1467006871635781E-2</c:v>
                </c:pt>
                <c:pt idx="647">
                  <c:v>-0.18090737592889994</c:v>
                </c:pt>
                <c:pt idx="648">
                  <c:v>-0.12326443106823792</c:v>
                </c:pt>
                <c:pt idx="649">
                  <c:v>-0.25474044978999277</c:v>
                </c:pt>
                <c:pt idx="650">
                  <c:v>-0.19495351366336433</c:v>
                </c:pt>
                <c:pt idx="651">
                  <c:v>-8.730039842069004E-2</c:v>
                </c:pt>
                <c:pt idx="652">
                  <c:v>-0.17697293772917366</c:v>
                </c:pt>
                <c:pt idx="653">
                  <c:v>-4.7078258814816198E-2</c:v>
                </c:pt>
                <c:pt idx="654">
                  <c:v>4.6657754629271797E-2</c:v>
                </c:pt>
                <c:pt idx="655">
                  <c:v>-2.9060886269951292E-2</c:v>
                </c:pt>
                <c:pt idx="656">
                  <c:v>8.6703937849314738E-2</c:v>
                </c:pt>
                <c:pt idx="657">
                  <c:v>-6.1740379478602558E-2</c:v>
                </c:pt>
                <c:pt idx="658">
                  <c:v>-2.7475270726495471E-2</c:v>
                </c:pt>
                <c:pt idx="659">
                  <c:v>-0.24150518872519144</c:v>
                </c:pt>
                <c:pt idx="660">
                  <c:v>-2.8660072151914684E-2</c:v>
                </c:pt>
                <c:pt idx="661">
                  <c:v>-3.1682538344526279E-3</c:v>
                </c:pt>
                <c:pt idx="662">
                  <c:v>4.9781728444030948E-2</c:v>
                </c:pt>
                <c:pt idx="663">
                  <c:v>-0.16152690735799147</c:v>
                </c:pt>
                <c:pt idx="664">
                  <c:v>-0.25364669963442998</c:v>
                </c:pt>
                <c:pt idx="665">
                  <c:v>8.4474350712037127E-3</c:v>
                </c:pt>
                <c:pt idx="666">
                  <c:v>8.6159013633319237E-2</c:v>
                </c:pt>
                <c:pt idx="667">
                  <c:v>1.3007959929828061E-2</c:v>
                </c:pt>
                <c:pt idx="668">
                  <c:v>-0.12937639052903926</c:v>
                </c:pt>
                <c:pt idx="669">
                  <c:v>-4.0890106723473707E-2</c:v>
                </c:pt>
                <c:pt idx="670">
                  <c:v>-5.2980713869530405E-3</c:v>
                </c:pt>
                <c:pt idx="671">
                  <c:v>2.4502513879789412E-2</c:v>
                </c:pt>
                <c:pt idx="672">
                  <c:v>5.4043081017472683E-2</c:v>
                </c:pt>
                <c:pt idx="673">
                  <c:v>-0.16571368093317429</c:v>
                </c:pt>
                <c:pt idx="674">
                  <c:v>-0.11660262807613031</c:v>
                </c:pt>
                <c:pt idx="675">
                  <c:v>-9.1108160864988519E-2</c:v>
                </c:pt>
                <c:pt idx="676">
                  <c:v>-0.17841628424545364</c:v>
                </c:pt>
                <c:pt idx="677">
                  <c:v>-0.10081820578392953</c:v>
                </c:pt>
                <c:pt idx="678">
                  <c:v>-6.104463281649064E-2</c:v>
                </c:pt>
                <c:pt idx="679">
                  <c:v>0.15052749313773572</c:v>
                </c:pt>
                <c:pt idx="680">
                  <c:v>8.76247230384406E-2</c:v>
                </c:pt>
                <c:pt idx="681">
                  <c:v>0.15470175765500205</c:v>
                </c:pt>
                <c:pt idx="682">
                  <c:v>0.13547377060796717</c:v>
                </c:pt>
                <c:pt idx="683">
                  <c:v>0.29574898305632691</c:v>
                </c:pt>
                <c:pt idx="684">
                  <c:v>0.25563135710047025</c:v>
                </c:pt>
                <c:pt idx="685">
                  <c:v>-2.1307023391114566E-2</c:v>
                </c:pt>
                <c:pt idx="686">
                  <c:v>-0.12898167234467017</c:v>
                </c:pt>
                <c:pt idx="687">
                  <c:v>-0.22487141499281083</c:v>
                </c:pt>
                <c:pt idx="688">
                  <c:v>-0.12095196257993246</c:v>
                </c:pt>
                <c:pt idx="689">
                  <c:v>0.11706446386155223</c:v>
                </c:pt>
                <c:pt idx="690">
                  <c:v>6.0873766277982688E-2</c:v>
                </c:pt>
                <c:pt idx="691">
                  <c:v>4.9717300684497312E-2</c:v>
                </c:pt>
                <c:pt idx="692">
                  <c:v>8.3783263392216534E-2</c:v>
                </c:pt>
                <c:pt idx="693">
                  <c:v>3.1726126603006222E-2</c:v>
                </c:pt>
                <c:pt idx="694">
                  <c:v>0.18275062922562002</c:v>
                </c:pt>
                <c:pt idx="695">
                  <c:v>0.28808537798232281</c:v>
                </c:pt>
                <c:pt idx="696">
                  <c:v>0.29907475414137219</c:v>
                </c:pt>
                <c:pt idx="697">
                  <c:v>3.7531594101965049E-2</c:v>
                </c:pt>
                <c:pt idx="698">
                  <c:v>-1.2877264181408665E-2</c:v>
                </c:pt>
                <c:pt idx="699">
                  <c:v>-0.22157566668951656</c:v>
                </c:pt>
                <c:pt idx="700">
                  <c:v>-9.8938807677697915E-2</c:v>
                </c:pt>
                <c:pt idx="701">
                  <c:v>-3.194685830940347E-2</c:v>
                </c:pt>
                <c:pt idx="702">
                  <c:v>-0.1421890380878611</c:v>
                </c:pt>
                <c:pt idx="703">
                  <c:v>1.1023686686147616E-2</c:v>
                </c:pt>
                <c:pt idx="704">
                  <c:v>4.706775646681427E-3</c:v>
                </c:pt>
                <c:pt idx="705">
                  <c:v>6.2143736171589414E-2</c:v>
                </c:pt>
                <c:pt idx="706">
                  <c:v>-4.0759613077848478E-2</c:v>
                </c:pt>
                <c:pt idx="707">
                  <c:v>4.4604998271913221E-4</c:v>
                </c:pt>
                <c:pt idx="708">
                  <c:v>3.3135904428746699E-2</c:v>
                </c:pt>
                <c:pt idx="709">
                  <c:v>2.0472226414133932E-2</c:v>
                </c:pt>
                <c:pt idx="710">
                  <c:v>-6.2555971114835129E-2</c:v>
                </c:pt>
                <c:pt idx="711">
                  <c:v>-0.10866395131779438</c:v>
                </c:pt>
                <c:pt idx="712">
                  <c:v>-3.5868191892453605E-2</c:v>
                </c:pt>
                <c:pt idx="713">
                  <c:v>-0.10333985411696256</c:v>
                </c:pt>
                <c:pt idx="714">
                  <c:v>-8.660972212577045E-2</c:v>
                </c:pt>
                <c:pt idx="715">
                  <c:v>0.12261198544117813</c:v>
                </c:pt>
                <c:pt idx="716">
                  <c:v>-9.5750068922986653E-2</c:v>
                </c:pt>
                <c:pt idx="717">
                  <c:v>-2.5175226365030112E-2</c:v>
                </c:pt>
                <c:pt idx="718">
                  <c:v>-6.8291359595554768E-2</c:v>
                </c:pt>
                <c:pt idx="719">
                  <c:v>-6.6395781440456769E-2</c:v>
                </c:pt>
                <c:pt idx="720">
                  <c:v>0.14061814780124471</c:v>
                </c:pt>
                <c:pt idx="721">
                  <c:v>-2.721340122125393E-2</c:v>
                </c:pt>
                <c:pt idx="722">
                  <c:v>-0.18549040248244664</c:v>
                </c:pt>
                <c:pt idx="723">
                  <c:v>-0.13260994903070111</c:v>
                </c:pt>
                <c:pt idx="724">
                  <c:v>-6.7247472064757119E-2</c:v>
                </c:pt>
                <c:pt idx="725">
                  <c:v>-3.0417156355541319E-2</c:v>
                </c:pt>
                <c:pt idx="726">
                  <c:v>-2.6326675580852221E-2</c:v>
                </c:pt>
                <c:pt idx="727">
                  <c:v>6.2145154037228978E-2</c:v>
                </c:pt>
                <c:pt idx="728">
                  <c:v>5.1074765663358224E-2</c:v>
                </c:pt>
                <c:pt idx="729">
                  <c:v>0.15704559820397701</c:v>
                </c:pt>
                <c:pt idx="730">
                  <c:v>0.18408562719545829</c:v>
                </c:pt>
                <c:pt idx="731">
                  <c:v>0.21881940730687655</c:v>
                </c:pt>
                <c:pt idx="732">
                  <c:v>0.15238429516792484</c:v>
                </c:pt>
                <c:pt idx="733">
                  <c:v>7.965493657830347E-2</c:v>
                </c:pt>
                <c:pt idx="734">
                  <c:v>-5.4168777418375669E-2</c:v>
                </c:pt>
                <c:pt idx="735">
                  <c:v>-0.11968209562668308</c:v>
                </c:pt>
                <c:pt idx="736">
                  <c:v>-9.9721868514199397E-2</c:v>
                </c:pt>
                <c:pt idx="737">
                  <c:v>-8.695002427052545E-2</c:v>
                </c:pt>
                <c:pt idx="738">
                  <c:v>4.4217673069858465E-2</c:v>
                </c:pt>
                <c:pt idx="739">
                  <c:v>-3.6111869998664337E-2</c:v>
                </c:pt>
                <c:pt idx="740">
                  <c:v>0.18059882149549555</c:v>
                </c:pt>
                <c:pt idx="741">
                  <c:v>-9.0633411503476924E-2</c:v>
                </c:pt>
                <c:pt idx="742">
                  <c:v>-6.2650394769339424E-2</c:v>
                </c:pt>
                <c:pt idx="743">
                  <c:v>-0.24479019264924529</c:v>
                </c:pt>
                <c:pt idx="744">
                  <c:v>-7.5964905563078444E-3</c:v>
                </c:pt>
                <c:pt idx="745">
                  <c:v>-0.15695181050734519</c:v>
                </c:pt>
                <c:pt idx="746">
                  <c:v>-0.13989362647439296</c:v>
                </c:pt>
                <c:pt idx="747">
                  <c:v>-8.7954580342348709E-2</c:v>
                </c:pt>
                <c:pt idx="748">
                  <c:v>-1.4372302338600429E-2</c:v>
                </c:pt>
                <c:pt idx="749">
                  <c:v>-0.11465463117345254</c:v>
                </c:pt>
                <c:pt idx="750">
                  <c:v>-1.3802630858436027E-3</c:v>
                </c:pt>
                <c:pt idx="751">
                  <c:v>5.5968974443473374E-2</c:v>
                </c:pt>
                <c:pt idx="752">
                  <c:v>5.3118823217125355E-3</c:v>
                </c:pt>
                <c:pt idx="753">
                  <c:v>-4.5222442130044005E-2</c:v>
                </c:pt>
                <c:pt idx="754">
                  <c:v>-1.7768763699829715E-2</c:v>
                </c:pt>
                <c:pt idx="755">
                  <c:v>-3.6089461464183237E-2</c:v>
                </c:pt>
                <c:pt idx="756">
                  <c:v>0.1214872281893804</c:v>
                </c:pt>
                <c:pt idx="757">
                  <c:v>-0.11811466895240386</c:v>
                </c:pt>
                <c:pt idx="758">
                  <c:v>-0.12242700920270944</c:v>
                </c:pt>
                <c:pt idx="759">
                  <c:v>-2.4311195699088906E-2</c:v>
                </c:pt>
                <c:pt idx="760">
                  <c:v>1.3246769191812557E-2</c:v>
                </c:pt>
                <c:pt idx="761">
                  <c:v>2.675226499823069E-2</c:v>
                </c:pt>
                <c:pt idx="762">
                  <c:v>-3.0154373237685883E-2</c:v>
                </c:pt>
                <c:pt idx="763">
                  <c:v>5.8854584254121267E-2</c:v>
                </c:pt>
                <c:pt idx="764">
                  <c:v>-0.19063835393120832</c:v>
                </c:pt>
                <c:pt idx="765">
                  <c:v>-0.12720718827954391</c:v>
                </c:pt>
                <c:pt idx="766">
                  <c:v>-5.0098123738449463E-2</c:v>
                </c:pt>
                <c:pt idx="767">
                  <c:v>2.5976045297810058E-2</c:v>
                </c:pt>
                <c:pt idx="768">
                  <c:v>0.26912548123357471</c:v>
                </c:pt>
                <c:pt idx="769">
                  <c:v>-6.0828876758218797E-3</c:v>
                </c:pt>
                <c:pt idx="770">
                  <c:v>-8.1310888957660588E-2</c:v>
                </c:pt>
                <c:pt idx="771">
                  <c:v>5.2532715114912198E-2</c:v>
                </c:pt>
                <c:pt idx="772">
                  <c:v>0.14376280334156366</c:v>
                </c:pt>
                <c:pt idx="773">
                  <c:v>0.14051195547968653</c:v>
                </c:pt>
                <c:pt idx="774">
                  <c:v>0.41816949058942887</c:v>
                </c:pt>
                <c:pt idx="775">
                  <c:v>0.26164036089529552</c:v>
                </c:pt>
                <c:pt idx="776">
                  <c:v>0.27439387591713871</c:v>
                </c:pt>
                <c:pt idx="777">
                  <c:v>0.1994615064044547</c:v>
                </c:pt>
                <c:pt idx="778">
                  <c:v>5.9752269345420439E-2</c:v>
                </c:pt>
                <c:pt idx="779">
                  <c:v>0.21945780481579469</c:v>
                </c:pt>
                <c:pt idx="780">
                  <c:v>0.16388467152417396</c:v>
                </c:pt>
                <c:pt idx="781">
                  <c:v>8.6427349666664099E-2</c:v>
                </c:pt>
                <c:pt idx="782">
                  <c:v>-5.0212853492944465E-2</c:v>
                </c:pt>
                <c:pt idx="783">
                  <c:v>5.0157539949159835E-2</c:v>
                </c:pt>
                <c:pt idx="784">
                  <c:v>6.848736750633222E-2</c:v>
                </c:pt>
                <c:pt idx="785">
                  <c:v>0.22199132969828694</c:v>
                </c:pt>
                <c:pt idx="786">
                  <c:v>0.16275477028597862</c:v>
                </c:pt>
                <c:pt idx="787">
                  <c:v>0.30991422483061681</c:v>
                </c:pt>
                <c:pt idx="788">
                  <c:v>0.25485033594811157</c:v>
                </c:pt>
                <c:pt idx="789">
                  <c:v>0.21734805276445357</c:v>
                </c:pt>
                <c:pt idx="790">
                  <c:v>0.32181346815795164</c:v>
                </c:pt>
                <c:pt idx="791">
                  <c:v>0.20643256505476137</c:v>
                </c:pt>
                <c:pt idx="792">
                  <c:v>0.31879474195734225</c:v>
                </c:pt>
                <c:pt idx="793">
                  <c:v>0.18763895819148724</c:v>
                </c:pt>
                <c:pt idx="794">
                  <c:v>-1.1266447352925812E-2</c:v>
                </c:pt>
                <c:pt idx="795">
                  <c:v>-2.5158679381917848E-2</c:v>
                </c:pt>
                <c:pt idx="796">
                  <c:v>-6.777983607214666E-2</c:v>
                </c:pt>
                <c:pt idx="797">
                  <c:v>0.11963986585067166</c:v>
                </c:pt>
                <c:pt idx="798">
                  <c:v>0.19825081601133543</c:v>
                </c:pt>
                <c:pt idx="799">
                  <c:v>0.14141793765092658</c:v>
                </c:pt>
                <c:pt idx="800">
                  <c:v>0.15967125360408274</c:v>
                </c:pt>
                <c:pt idx="801">
                  <c:v>1.4908157350620677E-2</c:v>
                </c:pt>
                <c:pt idx="802">
                  <c:v>4.66322792403282E-2</c:v>
                </c:pt>
                <c:pt idx="803">
                  <c:v>0.20337034493854222</c:v>
                </c:pt>
                <c:pt idx="804">
                  <c:v>0.26512304518102092</c:v>
                </c:pt>
                <c:pt idx="805">
                  <c:v>8.7918976232482349E-2</c:v>
                </c:pt>
                <c:pt idx="806">
                  <c:v>2.1053961152577294E-2</c:v>
                </c:pt>
                <c:pt idx="807">
                  <c:v>5.1551642625417005E-2</c:v>
                </c:pt>
                <c:pt idx="808">
                  <c:v>0.11227099451839528</c:v>
                </c:pt>
              </c:numCache>
            </c:numRef>
          </c:yVal>
          <c:smooth val="1"/>
          <c:extLst>
            <c:ext xmlns:c16="http://schemas.microsoft.com/office/drawing/2014/chart" uri="{C3380CC4-5D6E-409C-BE32-E72D297353CC}">
              <c16:uniqueId val="{00000001-1768-4010-9867-B41DCA216F9A}"/>
            </c:ext>
          </c:extLst>
        </c:ser>
        <c:dLbls>
          <c:showLegendKey val="0"/>
          <c:showVal val="0"/>
          <c:showCatName val="0"/>
          <c:showSerName val="0"/>
          <c:showPercent val="0"/>
          <c:showBubbleSize val="0"/>
        </c:dLbls>
        <c:axId val="92131058"/>
        <c:axId val="19582933"/>
      </c:scatterChart>
      <c:valAx>
        <c:axId val="92131058"/>
        <c:scaling>
          <c:orientation val="minMax"/>
          <c:max val="0.12"/>
          <c:min val="0"/>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Stratospheric AOD, lagged 7 months</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19582933"/>
        <c:crosses val="min"/>
        <c:crossBetween val="midCat"/>
      </c:valAx>
      <c:valAx>
        <c:axId val="19582933"/>
        <c:scaling>
          <c:orientation val="minMax"/>
          <c:max val="0.5"/>
          <c:min val="-0.5"/>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Residual after CO2 + ENSO (°C)</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92131058"/>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Three-factor model: fitted vs observed, monthly
Points on the 1:1 diagonal would be a perfect fit</a:t>
            </a:r>
          </a:p>
        </c:rich>
      </c:tx>
      <c:overlay val="0"/>
      <c:spPr>
        <a:noFill/>
        <a:ln w="0">
          <a:noFill/>
        </a:ln>
      </c:spPr>
    </c:title>
    <c:autoTitleDeleted val="0"/>
    <c:plotArea>
      <c:layout/>
      <c:scatterChart>
        <c:scatterStyle val="lineMarker"/>
        <c:varyColors val="0"/>
        <c:ser>
          <c:idx val="0"/>
          <c:order val="0"/>
          <c:spPr>
            <a:ln w="38160">
              <a:noFill/>
            </a:ln>
          </c:spPr>
          <c:marker>
            <c:symbol val="circle"/>
            <c:size val="3"/>
            <c:spPr>
              <a:solidFill>
                <a:srgbClr val="2A78D6"/>
              </a:solidFill>
            </c:spPr>
          </c:marker>
          <c:dLbls>
            <c:spPr>
              <a:noFill/>
              <a:ln>
                <a:noFill/>
              </a:ln>
              <a:effectLst/>
            </c:spPr>
            <c:txPr>
              <a:bodyPr wrap="square"/>
              <a:lstStyle/>
              <a:p>
                <a:pPr>
                  <a:defRPr sz="1000" b="0" strike="noStrike" spc="-1">
                    <a:solidFill>
                      <a:srgbClr val="000000"/>
                    </a:solidFill>
                    <a:latin typeface="Arial"/>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0"/>
            <c:trendlineLbl>
              <c:numFmt formatCode="General" sourceLinked="0"/>
            </c:trendlineLbl>
          </c:trendline>
          <c:xVal>
            <c:numRef>
              <c:f>Volcanic!$I$9:$I$822</c:f>
              <c:numCache>
                <c:formatCode>0.000</c:formatCode>
                <c:ptCount val="814"/>
                <c:pt idx="0">
                  <c:v>-0.103368394860835</c:v>
                </c:pt>
                <c:pt idx="1">
                  <c:v>-0.10149320466842188</c:v>
                </c:pt>
                <c:pt idx="2">
                  <c:v>-8.7884886729467565E-2</c:v>
                </c:pt>
                <c:pt idx="3">
                  <c:v>-7.4292101185522569E-2</c:v>
                </c:pt>
                <c:pt idx="4">
                  <c:v>-5.7086244068745011E-2</c:v>
                </c:pt>
                <c:pt idx="5">
                  <c:v>-3.6340470524642184E-2</c:v>
                </c:pt>
                <c:pt idx="6">
                  <c:v>-1.911271577575855E-2</c:v>
                </c:pt>
                <c:pt idx="7">
                  <c:v>-8.1939776123813902E-3</c:v>
                </c:pt>
                <c:pt idx="8">
                  <c:v>-2.4310229689330932E-2</c:v>
                </c:pt>
                <c:pt idx="9">
                  <c:v>-5.2118554668902521E-2</c:v>
                </c:pt>
                <c:pt idx="10">
                  <c:v>-8.7308990025540129E-2</c:v>
                </c:pt>
                <c:pt idx="11">
                  <c:v>-0.11925767347322305</c:v>
                </c:pt>
                <c:pt idx="12">
                  <c:v>-0.14483602502503112</c:v>
                </c:pt>
                <c:pt idx="13">
                  <c:v>-0.12991751338226895</c:v>
                </c:pt>
                <c:pt idx="14">
                  <c:v>-0.10265189570869468</c:v>
                </c:pt>
                <c:pt idx="15">
                  <c:v>-7.8192579791383762E-2</c:v>
                </c:pt>
                <c:pt idx="16">
                  <c:v>-6.0311815121264448E-2</c:v>
                </c:pt>
                <c:pt idx="17">
                  <c:v>-6.1354304138753861E-2</c:v>
                </c:pt>
                <c:pt idx="18">
                  <c:v>-5.465298324215586E-2</c:v>
                </c:pt>
                <c:pt idx="19">
                  <c:v>-4.1498563394338328E-2</c:v>
                </c:pt>
                <c:pt idx="20">
                  <c:v>-4.4031426653555569E-2</c:v>
                </c:pt>
                <c:pt idx="21">
                  <c:v>-5.0813362405622085E-2</c:v>
                </c:pt>
                <c:pt idx="22">
                  <c:v>-9.0932311656421363E-2</c:v>
                </c:pt>
                <c:pt idx="23">
                  <c:v>-0.11594412830797993</c:v>
                </c:pt>
                <c:pt idx="24">
                  <c:v>-0.11910080927096894</c:v>
                </c:pt>
                <c:pt idx="25">
                  <c:v>-9.151117026698978E-2</c:v>
                </c:pt>
                <c:pt idx="26">
                  <c:v>-7.3028422530552431E-2</c:v>
                </c:pt>
                <c:pt idx="27">
                  <c:v>-7.4666335458493591E-2</c:v>
                </c:pt>
                <c:pt idx="28">
                  <c:v>-7.8716625656857969E-2</c:v>
                </c:pt>
                <c:pt idx="29">
                  <c:v>-6.8546648606183286E-2</c:v>
                </c:pt>
                <c:pt idx="30">
                  <c:v>-5.0588536222240965E-2</c:v>
                </c:pt>
                <c:pt idx="31">
                  <c:v>-3.4433939511127713E-2</c:v>
                </c:pt>
                <c:pt idx="32">
                  <c:v>-4.606844636030441E-2</c:v>
                </c:pt>
                <c:pt idx="33">
                  <c:v>-5.7032178435183101E-2</c:v>
                </c:pt>
                <c:pt idx="34">
                  <c:v>-6.2960942808106685E-2</c:v>
                </c:pt>
                <c:pt idx="35">
                  <c:v>-8.509642979198552E-2</c:v>
                </c:pt>
                <c:pt idx="36">
                  <c:v>-9.3938307910192337E-2</c:v>
                </c:pt>
                <c:pt idx="37">
                  <c:v>-0.11014061625772198</c:v>
                </c:pt>
                <c:pt idx="38">
                  <c:v>-0.11005253716268418</c:v>
                </c:pt>
                <c:pt idx="39">
                  <c:v>-8.9400460240417867E-2</c:v>
                </c:pt>
                <c:pt idx="40">
                  <c:v>-7.1848877911988518E-2</c:v>
                </c:pt>
                <c:pt idx="41">
                  <c:v>-5.2567745803674001E-2</c:v>
                </c:pt>
                <c:pt idx="42">
                  <c:v>-5.1989704077668612E-2</c:v>
                </c:pt>
                <c:pt idx="43">
                  <c:v>-4.7574020334851558E-2</c:v>
                </c:pt>
                <c:pt idx="44">
                  <c:v>-5.0448075636553874E-2</c:v>
                </c:pt>
                <c:pt idx="45">
                  <c:v>-6.7260687081179063E-2</c:v>
                </c:pt>
                <c:pt idx="46">
                  <c:v>-9.3415380365871992E-2</c:v>
                </c:pt>
                <c:pt idx="47">
                  <c:v>-0.10199063134563333</c:v>
                </c:pt>
                <c:pt idx="48">
                  <c:v>-9.9989427041849238E-2</c:v>
                </c:pt>
                <c:pt idx="49">
                  <c:v>-9.3523582473279812E-2</c:v>
                </c:pt>
                <c:pt idx="50">
                  <c:v>-8.6650110128825647E-2</c:v>
                </c:pt>
                <c:pt idx="51">
                  <c:v>-8.2317903443103302E-2</c:v>
                </c:pt>
                <c:pt idx="52">
                  <c:v>-7.8422190612535872E-2</c:v>
                </c:pt>
                <c:pt idx="53">
                  <c:v>-7.542946184511605E-2</c:v>
                </c:pt>
                <c:pt idx="54">
                  <c:v>-5.7857036543144197E-2</c:v>
                </c:pt>
                <c:pt idx="55">
                  <c:v>-3.2648437580249573E-2</c:v>
                </c:pt>
                <c:pt idx="56">
                  <c:v>-2.4960167186847047E-2</c:v>
                </c:pt>
                <c:pt idx="57">
                  <c:v>-3.5038176478481953E-2</c:v>
                </c:pt>
                <c:pt idx="58">
                  <c:v>-6.0086668577668881E-2</c:v>
                </c:pt>
                <c:pt idx="59">
                  <c:v>-4.8542817648816877E-2</c:v>
                </c:pt>
                <c:pt idx="60">
                  <c:v>-2.508935664175916E-2</c:v>
                </c:pt>
                <c:pt idx="61">
                  <c:v>-1.4662688348626635E-2</c:v>
                </c:pt>
                <c:pt idx="62">
                  <c:v>-2.4729994507756162E-2</c:v>
                </c:pt>
                <c:pt idx="63">
                  <c:v>-5.692782758515437E-2</c:v>
                </c:pt>
                <c:pt idx="64">
                  <c:v>-7.7438400486985623E-2</c:v>
                </c:pt>
                <c:pt idx="65">
                  <c:v>-9.177922693464427E-2</c:v>
                </c:pt>
                <c:pt idx="66">
                  <c:v>-0.10208639027732451</c:v>
                </c:pt>
                <c:pt idx="67">
                  <c:v>-0.13653867109676915</c:v>
                </c:pt>
                <c:pt idx="68">
                  <c:v>-0.17783570038520216</c:v>
                </c:pt>
                <c:pt idx="69">
                  <c:v>-0.22455931705636475</c:v>
                </c:pt>
                <c:pt idx="70">
                  <c:v>-0.25834833933534102</c:v>
                </c:pt>
                <c:pt idx="71">
                  <c:v>-0.27642530213301703</c:v>
                </c:pt>
                <c:pt idx="72">
                  <c:v>-0.26321995024084355</c:v>
                </c:pt>
                <c:pt idx="73">
                  <c:v>-0.2442302996867142</c:v>
                </c:pt>
                <c:pt idx="74">
                  <c:v>-0.22210526507764453</c:v>
                </c:pt>
                <c:pt idx="75">
                  <c:v>-0.2100748042818481</c:v>
                </c:pt>
                <c:pt idx="76">
                  <c:v>-0.18721060839872622</c:v>
                </c:pt>
                <c:pt idx="77">
                  <c:v>-0.16921950602335903</c:v>
                </c:pt>
                <c:pt idx="78">
                  <c:v>-0.12366334752526693</c:v>
                </c:pt>
                <c:pt idx="79">
                  <c:v>-9.2041078216831801E-2</c:v>
                </c:pt>
                <c:pt idx="80">
                  <c:v>-6.9816876007898113E-2</c:v>
                </c:pt>
                <c:pt idx="81">
                  <c:v>-5.449384675908809E-2</c:v>
                </c:pt>
                <c:pt idx="82">
                  <c:v>-4.9392651863940804E-2</c:v>
                </c:pt>
                <c:pt idx="83">
                  <c:v>-2.7813808659605248E-2</c:v>
                </c:pt>
                <c:pt idx="84">
                  <c:v>-1.2219228591151474E-3</c:v>
                </c:pt>
                <c:pt idx="85">
                  <c:v>3.7539393070555163E-2</c:v>
                </c:pt>
                <c:pt idx="86">
                  <c:v>7.33396163120624E-2</c:v>
                </c:pt>
                <c:pt idx="87">
                  <c:v>0.10452202954671443</c:v>
                </c:pt>
                <c:pt idx="88">
                  <c:v>0.1298225895143669</c:v>
                </c:pt>
                <c:pt idx="89">
                  <c:v>0.1208659389896332</c:v>
                </c:pt>
                <c:pt idx="90">
                  <c:v>0.1050224437541294</c:v>
                </c:pt>
                <c:pt idx="91">
                  <c:v>8.3036446670448572E-2</c:v>
                </c:pt>
                <c:pt idx="92">
                  <c:v>6.229877484118343E-2</c:v>
                </c:pt>
                <c:pt idx="93">
                  <c:v>1.6166317350163759E-2</c:v>
                </c:pt>
                <c:pt idx="94">
                  <c:v>-2.4865379400199273E-2</c:v>
                </c:pt>
                <c:pt idx="95">
                  <c:v>-5.0383817865561648E-2</c:v>
                </c:pt>
                <c:pt idx="96">
                  <c:v>-4.9594058199848204E-2</c:v>
                </c:pt>
                <c:pt idx="97">
                  <c:v>-3.932071622151237E-2</c:v>
                </c:pt>
                <c:pt idx="98">
                  <c:v>-4.5167222224356818E-2</c:v>
                </c:pt>
                <c:pt idx="99">
                  <c:v>-3.1970668480136313E-2</c:v>
                </c:pt>
                <c:pt idx="100">
                  <c:v>-3.9839349821814488E-2</c:v>
                </c:pt>
                <c:pt idx="101">
                  <c:v>-4.4667519152430654E-2</c:v>
                </c:pt>
                <c:pt idx="102">
                  <c:v>-3.8893056356165551E-2</c:v>
                </c:pt>
                <c:pt idx="103">
                  <c:v>-3.353319948154055E-2</c:v>
                </c:pt>
                <c:pt idx="104">
                  <c:v>-4.5828020741290144E-2</c:v>
                </c:pt>
                <c:pt idx="105">
                  <c:v>-5.1946576216873451E-2</c:v>
                </c:pt>
                <c:pt idx="106">
                  <c:v>-5.068464146840216E-2</c:v>
                </c:pt>
                <c:pt idx="107">
                  <c:v>-5.1951085091035229E-2</c:v>
                </c:pt>
                <c:pt idx="108">
                  <c:v>-5.6171487965224372E-2</c:v>
                </c:pt>
                <c:pt idx="109">
                  <c:v>-6.1660148830467665E-2</c:v>
                </c:pt>
                <c:pt idx="110">
                  <c:v>-5.9348142371332409E-2</c:v>
                </c:pt>
                <c:pt idx="111">
                  <c:v>-5.1746037936566465E-2</c:v>
                </c:pt>
                <c:pt idx="112">
                  <c:v>-4.0855490182089421E-2</c:v>
                </c:pt>
                <c:pt idx="113">
                  <c:v>-3.7400860951051426E-2</c:v>
                </c:pt>
                <c:pt idx="114">
                  <c:v>-4.2189709687885893E-2</c:v>
                </c:pt>
                <c:pt idx="115">
                  <c:v>-4.570022516385893E-2</c:v>
                </c:pt>
                <c:pt idx="116">
                  <c:v>-3.860754923207018E-2</c:v>
                </c:pt>
                <c:pt idx="117">
                  <c:v>-3.9052416487980163E-2</c:v>
                </c:pt>
                <c:pt idx="118">
                  <c:v>-2.8180595592646906E-2</c:v>
                </c:pt>
                <c:pt idx="119">
                  <c:v>-2.451236942628391E-2</c:v>
                </c:pt>
                <c:pt idx="120">
                  <c:v>-1.7649322882663972E-4</c:v>
                </c:pt>
                <c:pt idx="121">
                  <c:v>7.4027583462657753E-3</c:v>
                </c:pt>
                <c:pt idx="122">
                  <c:v>2.284815658329542E-2</c:v>
                </c:pt>
                <c:pt idx="123">
                  <c:v>4.8448546561126765E-2</c:v>
                </c:pt>
                <c:pt idx="124">
                  <c:v>5.6962068299782377E-2</c:v>
                </c:pt>
                <c:pt idx="125">
                  <c:v>8.9437452636425385E-2</c:v>
                </c:pt>
                <c:pt idx="126">
                  <c:v>0.10177310438024924</c:v>
                </c:pt>
                <c:pt idx="127">
                  <c:v>0.10755399279978854</c:v>
                </c:pt>
                <c:pt idx="128">
                  <c:v>7.8795734137004469E-2</c:v>
                </c:pt>
                <c:pt idx="129">
                  <c:v>6.1231003104961934E-2</c:v>
                </c:pt>
                <c:pt idx="130">
                  <c:v>2.8366287094818858E-2</c:v>
                </c:pt>
                <c:pt idx="131">
                  <c:v>9.4892765236376242E-4</c:v>
                </c:pt>
                <c:pt idx="132">
                  <c:v>-1.5202490160255953E-2</c:v>
                </c:pt>
                <c:pt idx="133">
                  <c:v>3.0241888795006638E-3</c:v>
                </c:pt>
                <c:pt idx="134">
                  <c:v>3.8516237329751138E-2</c:v>
                </c:pt>
                <c:pt idx="135">
                  <c:v>6.0962568134572008E-2</c:v>
                </c:pt>
                <c:pt idx="136">
                  <c:v>8.3133888951118659E-2</c:v>
                </c:pt>
                <c:pt idx="137">
                  <c:v>8.6702519928537697E-2</c:v>
                </c:pt>
                <c:pt idx="138">
                  <c:v>7.9482459919688886E-2</c:v>
                </c:pt>
                <c:pt idx="139">
                  <c:v>5.9014210556531957E-2</c:v>
                </c:pt>
                <c:pt idx="140">
                  <c:v>5.5832058291129472E-2</c:v>
                </c:pt>
                <c:pt idx="141">
                  <c:v>4.6184201753556017E-2</c:v>
                </c:pt>
                <c:pt idx="142">
                  <c:v>1.1926776818287757E-2</c:v>
                </c:pt>
                <c:pt idx="143">
                  <c:v>-4.0062123002831185E-2</c:v>
                </c:pt>
                <c:pt idx="144">
                  <c:v>-6.6161636181778297E-2</c:v>
                </c:pt>
                <c:pt idx="145">
                  <c:v>-6.9414692877845963E-2</c:v>
                </c:pt>
                <c:pt idx="146">
                  <c:v>-5.2216653222813464E-2</c:v>
                </c:pt>
                <c:pt idx="147">
                  <c:v>-4.1730012890774347E-2</c:v>
                </c:pt>
                <c:pt idx="148">
                  <c:v>-4.0457450795356856E-2</c:v>
                </c:pt>
                <c:pt idx="149">
                  <c:v>-6.3814362841450104E-2</c:v>
                </c:pt>
                <c:pt idx="150">
                  <c:v>-7.3796028944444481E-2</c:v>
                </c:pt>
                <c:pt idx="151">
                  <c:v>-6.6158578811375574E-2</c:v>
                </c:pt>
                <c:pt idx="152">
                  <c:v>-4.3824747583878207E-2</c:v>
                </c:pt>
                <c:pt idx="153">
                  <c:v>-3.2627287994810135E-2</c:v>
                </c:pt>
                <c:pt idx="154">
                  <c:v>-4.6948758461547523E-2</c:v>
                </c:pt>
                <c:pt idx="155">
                  <c:v>-6.8679566987513194E-2</c:v>
                </c:pt>
                <c:pt idx="156">
                  <c:v>-6.4878575432094479E-2</c:v>
                </c:pt>
                <c:pt idx="157">
                  <c:v>-4.2228010569904995E-2</c:v>
                </c:pt>
                <c:pt idx="158">
                  <c:v>-3.4910084318405539E-2</c:v>
                </c:pt>
                <c:pt idx="159">
                  <c:v>-3.498328025147817E-2</c:v>
                </c:pt>
                <c:pt idx="160">
                  <c:v>-3.2086685725188573E-2</c:v>
                </c:pt>
                <c:pt idx="161">
                  <c:v>-2.3332163217633258E-2</c:v>
                </c:pt>
                <c:pt idx="162">
                  <c:v>1.9713072979335843E-2</c:v>
                </c:pt>
                <c:pt idx="163">
                  <c:v>5.166021493887886E-2</c:v>
                </c:pt>
                <c:pt idx="164">
                  <c:v>6.8990518582087171E-2</c:v>
                </c:pt>
                <c:pt idx="165">
                  <c:v>7.623287584294193E-2</c:v>
                </c:pt>
                <c:pt idx="166">
                  <c:v>7.7176076490326151E-2</c:v>
                </c:pt>
                <c:pt idx="167">
                  <c:v>8.0034249657184947E-2</c:v>
                </c:pt>
                <c:pt idx="168">
                  <c:v>0.11245111798872248</c:v>
                </c:pt>
                <c:pt idx="169">
                  <c:v>0.15223215383556671</c:v>
                </c:pt>
                <c:pt idx="170">
                  <c:v>0.18616486484389255</c:v>
                </c:pt>
                <c:pt idx="171">
                  <c:v>0.21658650262895587</c:v>
                </c:pt>
                <c:pt idx="172">
                  <c:v>0.24254872745019657</c:v>
                </c:pt>
                <c:pt idx="173">
                  <c:v>0.24453911093644232</c:v>
                </c:pt>
                <c:pt idx="174">
                  <c:v>0.23826180778937475</c:v>
                </c:pt>
                <c:pt idx="175">
                  <c:v>0.21074913523869107</c:v>
                </c:pt>
                <c:pt idx="176">
                  <c:v>0.15317673058123293</c:v>
                </c:pt>
                <c:pt idx="177">
                  <c:v>8.4446630540288101E-2</c:v>
                </c:pt>
                <c:pt idx="178">
                  <c:v>2.1529015585743043E-2</c:v>
                </c:pt>
                <c:pt idx="179">
                  <c:v>-2.6520097782360356E-2</c:v>
                </c:pt>
                <c:pt idx="180">
                  <c:v>-4.7963763403575992E-2</c:v>
                </c:pt>
                <c:pt idx="181">
                  <c:v>-4.7397140590349086E-2</c:v>
                </c:pt>
                <c:pt idx="182">
                  <c:v>-5.5653286901075301E-2</c:v>
                </c:pt>
                <c:pt idx="183">
                  <c:v>-7.7010234108116513E-2</c:v>
                </c:pt>
                <c:pt idx="184">
                  <c:v>-9.0253376921147432E-2</c:v>
                </c:pt>
                <c:pt idx="185">
                  <c:v>-9.6531244566410657E-2</c:v>
                </c:pt>
                <c:pt idx="186">
                  <c:v>-6.712074428211684E-2</c:v>
                </c:pt>
                <c:pt idx="187">
                  <c:v>-3.4755777458224557E-2</c:v>
                </c:pt>
                <c:pt idx="188">
                  <c:v>-1.363438291471167E-2</c:v>
                </c:pt>
                <c:pt idx="189">
                  <c:v>-3.4250063857084647E-3</c:v>
                </c:pt>
                <c:pt idx="190">
                  <c:v>4.5585399697780846E-5</c:v>
                </c:pt>
                <c:pt idx="191">
                  <c:v>-1.4836369297787493E-2</c:v>
                </c:pt>
                <c:pt idx="192">
                  <c:v>1.5296783553401024E-3</c:v>
                </c:pt>
                <c:pt idx="193">
                  <c:v>1.9505493289974633E-2</c:v>
                </c:pt>
                <c:pt idx="194">
                  <c:v>2.8201615362288449E-2</c:v>
                </c:pt>
                <c:pt idx="195">
                  <c:v>2.142661203685442E-2</c:v>
                </c:pt>
                <c:pt idx="196">
                  <c:v>1.2339105778580531E-2</c:v>
                </c:pt>
                <c:pt idx="197">
                  <c:v>3.3632307268243955E-2</c:v>
                </c:pt>
                <c:pt idx="198">
                  <c:v>6.1308435325383076E-2</c:v>
                </c:pt>
                <c:pt idx="199">
                  <c:v>7.1706279746890006E-2</c:v>
                </c:pt>
                <c:pt idx="200">
                  <c:v>5.8788593293238878E-2</c:v>
                </c:pt>
                <c:pt idx="201">
                  <c:v>3.7109421366082473E-2</c:v>
                </c:pt>
                <c:pt idx="202">
                  <c:v>3.8794207454650488E-4</c:v>
                </c:pt>
                <c:pt idx="203">
                  <c:v>-2.7823376674352328E-2</c:v>
                </c:pt>
                <c:pt idx="204">
                  <c:v>-4.3964060526833132E-2</c:v>
                </c:pt>
                <c:pt idx="205">
                  <c:v>-3.5405806781304006E-2</c:v>
                </c:pt>
                <c:pt idx="206">
                  <c:v>-3.4588658385960494E-2</c:v>
                </c:pt>
                <c:pt idx="207">
                  <c:v>-2.8007868045763801E-2</c:v>
                </c:pt>
                <c:pt idx="208">
                  <c:v>-2.8762263636033479E-2</c:v>
                </c:pt>
                <c:pt idx="209">
                  <c:v>-3.2656839534930177E-2</c:v>
                </c:pt>
                <c:pt idx="210">
                  <c:v>-8.1379747154350091E-3</c:v>
                </c:pt>
                <c:pt idx="211">
                  <c:v>2.6933032704424237E-2</c:v>
                </c:pt>
                <c:pt idx="212">
                  <c:v>6.1232196838053657E-2</c:v>
                </c:pt>
                <c:pt idx="213">
                  <c:v>6.9797279310371885E-2</c:v>
                </c:pt>
                <c:pt idx="214">
                  <c:v>6.2219193868546435E-2</c:v>
                </c:pt>
                <c:pt idx="215">
                  <c:v>6.2029763344897945E-2</c:v>
                </c:pt>
                <c:pt idx="216">
                  <c:v>8.061083502172775E-2</c:v>
                </c:pt>
                <c:pt idx="217">
                  <c:v>0.11378346109111986</c:v>
                </c:pt>
                <c:pt idx="218">
                  <c:v>0.14992440596949122</c:v>
                </c:pt>
                <c:pt idx="219">
                  <c:v>0.18026687620234449</c:v>
                </c:pt>
                <c:pt idx="220">
                  <c:v>0.18798010286023442</c:v>
                </c:pt>
                <c:pt idx="221">
                  <c:v>0.21186983944193016</c:v>
                </c:pt>
                <c:pt idx="222">
                  <c:v>0.21370984103262508</c:v>
                </c:pt>
                <c:pt idx="223">
                  <c:v>0.21830695424428742</c:v>
                </c:pt>
                <c:pt idx="224">
                  <c:v>0.17912895130394063</c:v>
                </c:pt>
                <c:pt idx="225">
                  <c:v>0.15801846694613567</c:v>
                </c:pt>
                <c:pt idx="226">
                  <c:v>0.13089813353505458</c:v>
                </c:pt>
                <c:pt idx="227">
                  <c:v>0.13479781792701287</c:v>
                </c:pt>
                <c:pt idx="228">
                  <c:v>0.12840342687618345</c:v>
                </c:pt>
                <c:pt idx="229">
                  <c:v>0.13870441100257691</c:v>
                </c:pt>
                <c:pt idx="230">
                  <c:v>0.16140934160677722</c:v>
                </c:pt>
                <c:pt idx="231">
                  <c:v>0.19841594650500466</c:v>
                </c:pt>
                <c:pt idx="232">
                  <c:v>0.21688866324760375</c:v>
                </c:pt>
                <c:pt idx="233">
                  <c:v>0.23123188946612871</c:v>
                </c:pt>
                <c:pt idx="234">
                  <c:v>0.23291256122409021</c:v>
                </c:pt>
                <c:pt idx="235">
                  <c:v>0.21899284761216165</c:v>
                </c:pt>
                <c:pt idx="236">
                  <c:v>0.18659621354056385</c:v>
                </c:pt>
                <c:pt idx="237">
                  <c:v>0.14789980115820758</c:v>
                </c:pt>
                <c:pt idx="238">
                  <c:v>0.10332909081702615</c:v>
                </c:pt>
                <c:pt idx="239">
                  <c:v>8.3035662012252112E-2</c:v>
                </c:pt>
                <c:pt idx="240">
                  <c:v>7.2191709547213725E-2</c:v>
                </c:pt>
                <c:pt idx="241">
                  <c:v>8.7600255081221781E-2</c:v>
                </c:pt>
                <c:pt idx="242">
                  <c:v>9.4551143034839844E-2</c:v>
                </c:pt>
                <c:pt idx="243">
                  <c:v>0.12459701815943676</c:v>
                </c:pt>
                <c:pt idx="244">
                  <c:v>0.14941301351793682</c:v>
                </c:pt>
                <c:pt idx="245">
                  <c:v>0.18429610123427448</c:v>
                </c:pt>
                <c:pt idx="246">
                  <c:v>0.19795822404442887</c:v>
                </c:pt>
                <c:pt idx="247">
                  <c:v>0.20451269312468096</c:v>
                </c:pt>
                <c:pt idx="248">
                  <c:v>0.21236629917651562</c:v>
                </c:pt>
                <c:pt idx="249">
                  <c:v>0.19539234828566615</c:v>
                </c:pt>
                <c:pt idx="250">
                  <c:v>0.16915624853235861</c:v>
                </c:pt>
                <c:pt idx="251">
                  <c:v>0.13471628730514826</c:v>
                </c:pt>
                <c:pt idx="252">
                  <c:v>0.13330040583584332</c:v>
                </c:pt>
                <c:pt idx="253">
                  <c:v>0.15818959278157788</c:v>
                </c:pt>
                <c:pt idx="254">
                  <c:v>0.18694683495756331</c:v>
                </c:pt>
                <c:pt idx="255">
                  <c:v>0.21165773768657636</c:v>
                </c:pt>
                <c:pt idx="256">
                  <c:v>0.21949604225059155</c:v>
                </c:pt>
                <c:pt idx="257">
                  <c:v>0.25218166359277816</c:v>
                </c:pt>
                <c:pt idx="258">
                  <c:v>0.25971390564309771</c:v>
                </c:pt>
                <c:pt idx="259">
                  <c:v>0.25104354156816194</c:v>
                </c:pt>
                <c:pt idx="260">
                  <c:v>0.23849678996305024</c:v>
                </c:pt>
                <c:pt idx="261">
                  <c:v>0.21524847859333851</c:v>
                </c:pt>
                <c:pt idx="262">
                  <c:v>0.20360201297983466</c:v>
                </c:pt>
                <c:pt idx="263">
                  <c:v>0.18253424016943837</c:v>
                </c:pt>
                <c:pt idx="264">
                  <c:v>0.16107392975438736</c:v>
                </c:pt>
                <c:pt idx="265">
                  <c:v>0.15255670331766225</c:v>
                </c:pt>
                <c:pt idx="266">
                  <c:v>0.15412342712913341</c:v>
                </c:pt>
                <c:pt idx="267">
                  <c:v>0.17325705890295501</c:v>
                </c:pt>
                <c:pt idx="268">
                  <c:v>0.19984752152779958</c:v>
                </c:pt>
                <c:pt idx="269">
                  <c:v>0.19896694917804314</c:v>
                </c:pt>
                <c:pt idx="270">
                  <c:v>0.18933447136688231</c:v>
                </c:pt>
                <c:pt idx="271">
                  <c:v>0.18004741611014694</c:v>
                </c:pt>
                <c:pt idx="272">
                  <c:v>0.17556598025019576</c:v>
                </c:pt>
                <c:pt idx="273">
                  <c:v>0.16859540945236692</c:v>
                </c:pt>
                <c:pt idx="274">
                  <c:v>0.13963431417388908</c:v>
                </c:pt>
                <c:pt idx="275">
                  <c:v>0.12260361038847184</c:v>
                </c:pt>
                <c:pt idx="276">
                  <c:v>0.12312931546786025</c:v>
                </c:pt>
                <c:pt idx="277">
                  <c:v>0.14603049244361194</c:v>
                </c:pt>
                <c:pt idx="278">
                  <c:v>0.17564024564042216</c:v>
                </c:pt>
                <c:pt idx="279">
                  <c:v>0.17923649722560592</c:v>
                </c:pt>
                <c:pt idx="280">
                  <c:v>0.18511830604167165</c:v>
                </c:pt>
                <c:pt idx="281">
                  <c:v>0.20082420129006356</c:v>
                </c:pt>
                <c:pt idx="282">
                  <c:v>0.22329205487266449</c:v>
                </c:pt>
                <c:pt idx="283">
                  <c:v>0.23946114129330365</c:v>
                </c:pt>
                <c:pt idx="284">
                  <c:v>0.23430429073523262</c:v>
                </c:pt>
                <c:pt idx="285">
                  <c:v>0.24481769554912564</c:v>
                </c:pt>
                <c:pt idx="286">
                  <c:v>0.25036738536217396</c:v>
                </c:pt>
                <c:pt idx="287">
                  <c:v>0.23639100798251997</c:v>
                </c:pt>
                <c:pt idx="288">
                  <c:v>0.24074776429925776</c:v>
                </c:pt>
                <c:pt idx="289">
                  <c:v>0.2435882181770393</c:v>
                </c:pt>
                <c:pt idx="290">
                  <c:v>0.2961659452663214</c:v>
                </c:pt>
                <c:pt idx="291">
                  <c:v>0.33307629681814199</c:v>
                </c:pt>
                <c:pt idx="292">
                  <c:v>0.3642993192669709</c:v>
                </c:pt>
                <c:pt idx="293">
                  <c:v>0.37629328268706463</c:v>
                </c:pt>
                <c:pt idx="294">
                  <c:v>0.3984389803341154</c:v>
                </c:pt>
                <c:pt idx="295">
                  <c:v>0.38076452885426121</c:v>
                </c:pt>
                <c:pt idx="296">
                  <c:v>0.32786435985008877</c:v>
                </c:pt>
                <c:pt idx="297">
                  <c:v>0.24910631840361114</c:v>
                </c:pt>
                <c:pt idx="298">
                  <c:v>0.19424341052983268</c:v>
                </c:pt>
                <c:pt idx="299">
                  <c:v>0.14131957326992287</c:v>
                </c:pt>
                <c:pt idx="300">
                  <c:v>0.10783836174400646</c:v>
                </c:pt>
                <c:pt idx="301">
                  <c:v>9.2482230535847948E-2</c:v>
                </c:pt>
                <c:pt idx="302">
                  <c:v>8.0310207712325776E-2</c:v>
                </c:pt>
                <c:pt idx="303">
                  <c:v>6.6465495897589322E-2</c:v>
                </c:pt>
                <c:pt idx="304">
                  <c:v>6.6048119545155007E-2</c:v>
                </c:pt>
                <c:pt idx="305">
                  <c:v>9.4736471266686037E-2</c:v>
                </c:pt>
                <c:pt idx="306">
                  <c:v>0.1447424898265382</c:v>
                </c:pt>
                <c:pt idx="307">
                  <c:v>0.1690536809394883</c:v>
                </c:pt>
                <c:pt idx="308">
                  <c:v>0.17464919807103729</c:v>
                </c:pt>
                <c:pt idx="309">
                  <c:v>0.14506191538463081</c:v>
                </c:pt>
                <c:pt idx="310">
                  <c:v>0.11679376094147137</c:v>
                </c:pt>
                <c:pt idx="311">
                  <c:v>9.9135624756243865E-2</c:v>
                </c:pt>
                <c:pt idx="312">
                  <c:v>0.11901668627429862</c:v>
                </c:pt>
                <c:pt idx="313">
                  <c:v>0.15446067594073176</c:v>
                </c:pt>
                <c:pt idx="314">
                  <c:v>0.16754005700085772</c:v>
                </c:pt>
                <c:pt idx="315">
                  <c:v>0.14644851705131828</c:v>
                </c:pt>
                <c:pt idx="316">
                  <c:v>0.1305408262325945</c:v>
                </c:pt>
                <c:pt idx="317">
                  <c:v>0.14096555404771466</c:v>
                </c:pt>
                <c:pt idx="318">
                  <c:v>0.15597093846488586</c:v>
                </c:pt>
                <c:pt idx="319">
                  <c:v>0.18079768748616418</c:v>
                </c:pt>
                <c:pt idx="320">
                  <c:v>0.17702029411085646</c:v>
                </c:pt>
                <c:pt idx="321">
                  <c:v>0.16549049336023575</c:v>
                </c:pt>
                <c:pt idx="322">
                  <c:v>0.14986234988993211</c:v>
                </c:pt>
                <c:pt idx="323">
                  <c:v>0.14974657795739771</c:v>
                </c:pt>
                <c:pt idx="324">
                  <c:v>0.16603525313934425</c:v>
                </c:pt>
                <c:pt idx="325">
                  <c:v>0.19449041443035975</c:v>
                </c:pt>
                <c:pt idx="326">
                  <c:v>0.21484268538355014</c:v>
                </c:pt>
                <c:pt idx="327">
                  <c:v>0.2243668361639902</c:v>
                </c:pt>
                <c:pt idx="328">
                  <c:v>0.23552171011356737</c:v>
                </c:pt>
                <c:pt idx="329">
                  <c:v>0.23740199356927336</c:v>
                </c:pt>
                <c:pt idx="330">
                  <c:v>0.25311571393838944</c:v>
                </c:pt>
                <c:pt idx="331">
                  <c:v>0.26302568393725761</c:v>
                </c:pt>
                <c:pt idx="332">
                  <c:v>0.27005663172949557</c:v>
                </c:pt>
                <c:pt idx="333">
                  <c:v>0.25402088448860821</c:v>
                </c:pt>
                <c:pt idx="334">
                  <c:v>0.23267946593707606</c:v>
                </c:pt>
                <c:pt idx="335">
                  <c:v>0.23334173015089835</c:v>
                </c:pt>
                <c:pt idx="336">
                  <c:v>0.24737655861324775</c:v>
                </c:pt>
                <c:pt idx="337">
                  <c:v>0.28454906552348697</c:v>
                </c:pt>
                <c:pt idx="338">
                  <c:v>0.31570029310854908</c:v>
                </c:pt>
                <c:pt idx="339">
                  <c:v>0.35240107168999524</c:v>
                </c:pt>
                <c:pt idx="340">
                  <c:v>0.37354339856949514</c:v>
                </c:pt>
                <c:pt idx="341">
                  <c:v>0.39788265164611025</c:v>
                </c:pt>
                <c:pt idx="342">
                  <c:v>0.41424162717066787</c:v>
                </c:pt>
                <c:pt idx="343">
                  <c:v>0.4182771879419987</c:v>
                </c:pt>
                <c:pt idx="344">
                  <c:v>0.4023116247197957</c:v>
                </c:pt>
                <c:pt idx="345">
                  <c:v>0.37998726001264282</c:v>
                </c:pt>
                <c:pt idx="346">
                  <c:v>0.35905858379149325</c:v>
                </c:pt>
                <c:pt idx="347">
                  <c:v>0.35802662556168868</c:v>
                </c:pt>
                <c:pt idx="348">
                  <c:v>0.37735082537491826</c:v>
                </c:pt>
                <c:pt idx="349">
                  <c:v>0.4082182554251112</c:v>
                </c:pt>
                <c:pt idx="350">
                  <c:v>0.42432404958754361</c:v>
                </c:pt>
                <c:pt idx="351">
                  <c:v>0.43097481635396501</c:v>
                </c:pt>
                <c:pt idx="352">
                  <c:v>0.42581439845171037</c:v>
                </c:pt>
                <c:pt idx="353">
                  <c:v>0.41670176714934481</c:v>
                </c:pt>
                <c:pt idx="354">
                  <c:v>0.39602241585646619</c:v>
                </c:pt>
                <c:pt idx="355">
                  <c:v>0.37967399285241737</c:v>
                </c:pt>
                <c:pt idx="356">
                  <c:v>0.33803756753737879</c:v>
                </c:pt>
                <c:pt idx="357">
                  <c:v>0.28765271881598514</c:v>
                </c:pt>
                <c:pt idx="358">
                  <c:v>0.21242095254406906</c:v>
                </c:pt>
                <c:pt idx="359">
                  <c:v>0.16699288408035889</c:v>
                </c:pt>
                <c:pt idx="360">
                  <c:v>0.17229266529617535</c:v>
                </c:pt>
                <c:pt idx="361">
                  <c:v>0.19947603498266897</c:v>
                </c:pt>
                <c:pt idx="362">
                  <c:v>0.20159050323276712</c:v>
                </c:pt>
                <c:pt idx="363">
                  <c:v>0.19288289913394882</c:v>
                </c:pt>
                <c:pt idx="364">
                  <c:v>0.17192629126101827</c:v>
                </c:pt>
                <c:pt idx="365">
                  <c:v>0.17491640760792421</c:v>
                </c:pt>
                <c:pt idx="366">
                  <c:v>0.212366349884309</c:v>
                </c:pt>
                <c:pt idx="367">
                  <c:v>0.23969651285307289</c:v>
                </c:pt>
                <c:pt idx="368">
                  <c:v>0.26147131850635158</c:v>
                </c:pt>
                <c:pt idx="369">
                  <c:v>0.26913830484144596</c:v>
                </c:pt>
                <c:pt idx="370">
                  <c:v>0.26743072045733601</c:v>
                </c:pt>
                <c:pt idx="371">
                  <c:v>0.26764956595931089</c:v>
                </c:pt>
                <c:pt idx="372">
                  <c:v>0.27398811457297229</c:v>
                </c:pt>
                <c:pt idx="373">
                  <c:v>0.28879311352826448</c:v>
                </c:pt>
                <c:pt idx="374">
                  <c:v>0.30694588944256601</c:v>
                </c:pt>
                <c:pt idx="375">
                  <c:v>0.32507950424668719</c:v>
                </c:pt>
                <c:pt idx="376">
                  <c:v>0.35112731057718183</c:v>
                </c:pt>
                <c:pt idx="377">
                  <c:v>0.36561492128975365</c:v>
                </c:pt>
                <c:pt idx="378">
                  <c:v>0.39279387081836548</c:v>
                </c:pt>
                <c:pt idx="379">
                  <c:v>0.40496754092758347</c:v>
                </c:pt>
                <c:pt idx="380">
                  <c:v>0.40467778475372435</c:v>
                </c:pt>
                <c:pt idx="381">
                  <c:v>0.38553976777984644</c:v>
                </c:pt>
                <c:pt idx="382">
                  <c:v>0.363671296741579</c:v>
                </c:pt>
                <c:pt idx="383">
                  <c:v>0.34479303739863748</c:v>
                </c:pt>
                <c:pt idx="384">
                  <c:v>0.34806873737051952</c:v>
                </c:pt>
                <c:pt idx="385">
                  <c:v>0.36940818039787832</c:v>
                </c:pt>
                <c:pt idx="386">
                  <c:v>0.38214367950230438</c:v>
                </c:pt>
                <c:pt idx="387">
                  <c:v>0.38406893643240964</c:v>
                </c:pt>
                <c:pt idx="388">
                  <c:v>0.39754713817290027</c:v>
                </c:pt>
                <c:pt idx="389">
                  <c:v>0.4163779286522527</c:v>
                </c:pt>
                <c:pt idx="390">
                  <c:v>0.43308698752029923</c:v>
                </c:pt>
                <c:pt idx="391">
                  <c:v>0.43054742122383488</c:v>
                </c:pt>
                <c:pt idx="392">
                  <c:v>0.41699277816465619</c:v>
                </c:pt>
                <c:pt idx="393">
                  <c:v>0.4018978964283888</c:v>
                </c:pt>
                <c:pt idx="394">
                  <c:v>0.39488278690400541</c:v>
                </c:pt>
                <c:pt idx="395">
                  <c:v>0.38977864995653372</c:v>
                </c:pt>
                <c:pt idx="396">
                  <c:v>0.40403896323980959</c:v>
                </c:pt>
                <c:pt idx="397">
                  <c:v>0.41115855756602571</c:v>
                </c:pt>
                <c:pt idx="398">
                  <c:v>0.43049187061104932</c:v>
                </c:pt>
                <c:pt idx="399">
                  <c:v>0.45218488278537583</c:v>
                </c:pt>
                <c:pt idx="400">
                  <c:v>0.45157147179481649</c:v>
                </c:pt>
                <c:pt idx="401">
                  <c:v>0.42935649706649925</c:v>
                </c:pt>
                <c:pt idx="402">
                  <c:v>0.39921749111175625</c:v>
                </c:pt>
                <c:pt idx="403">
                  <c:v>0.3456625840310642</c:v>
                </c:pt>
                <c:pt idx="404">
                  <c:v>0.31402135453972102</c:v>
                </c:pt>
                <c:pt idx="405">
                  <c:v>0.28001074686639105</c:v>
                </c:pt>
                <c:pt idx="406">
                  <c:v>0.23304170085129181</c:v>
                </c:pt>
                <c:pt idx="407">
                  <c:v>0.17606473945244674</c:v>
                </c:pt>
                <c:pt idx="408">
                  <c:v>0.1466034233649402</c:v>
                </c:pt>
                <c:pt idx="409">
                  <c:v>0.13733405725986719</c:v>
                </c:pt>
                <c:pt idx="410">
                  <c:v>0.12256199246022914</c:v>
                </c:pt>
                <c:pt idx="411">
                  <c:v>0.12446118427323816</c:v>
                </c:pt>
                <c:pt idx="412">
                  <c:v>0.14067407659405914</c:v>
                </c:pt>
                <c:pt idx="413">
                  <c:v>0.18042812938857161</c:v>
                </c:pt>
                <c:pt idx="414">
                  <c:v>0.2141732586677777</c:v>
                </c:pt>
                <c:pt idx="415">
                  <c:v>0.26124633068750347</c:v>
                </c:pt>
                <c:pt idx="416">
                  <c:v>0.28763745747754133</c:v>
                </c:pt>
                <c:pt idx="417">
                  <c:v>0.29372553758118058</c:v>
                </c:pt>
                <c:pt idx="418">
                  <c:v>0.29702665690417307</c:v>
                </c:pt>
                <c:pt idx="419">
                  <c:v>0.26380943303120641</c:v>
                </c:pt>
                <c:pt idx="420">
                  <c:v>0.2486182576898108</c:v>
                </c:pt>
                <c:pt idx="421">
                  <c:v>0.25819084863369823</c:v>
                </c:pt>
                <c:pt idx="422">
                  <c:v>0.28361705652832869</c:v>
                </c:pt>
                <c:pt idx="423">
                  <c:v>0.30825941528595413</c:v>
                </c:pt>
                <c:pt idx="424">
                  <c:v>0.32465226717130446</c:v>
                </c:pt>
                <c:pt idx="425">
                  <c:v>0.34498290777386603</c:v>
                </c:pt>
                <c:pt idx="426">
                  <c:v>0.35643776752222073</c:v>
                </c:pt>
                <c:pt idx="427">
                  <c:v>0.36153195831244977</c:v>
                </c:pt>
                <c:pt idx="428">
                  <c:v>0.3634461835370737</c:v>
                </c:pt>
                <c:pt idx="429">
                  <c:v>0.36704034860913493</c:v>
                </c:pt>
                <c:pt idx="430">
                  <c:v>0.35992824403259571</c:v>
                </c:pt>
                <c:pt idx="431">
                  <c:v>0.34959529407712275</c:v>
                </c:pt>
                <c:pt idx="432">
                  <c:v>0.36763832073972469</c:v>
                </c:pt>
                <c:pt idx="433">
                  <c:v>0.38967408009506294</c:v>
                </c:pt>
                <c:pt idx="434">
                  <c:v>0.42528642139610218</c:v>
                </c:pt>
                <c:pt idx="435">
                  <c:v>0.45573448641666209</c:v>
                </c:pt>
                <c:pt idx="436">
                  <c:v>0.49320323899128177</c:v>
                </c:pt>
                <c:pt idx="437">
                  <c:v>0.50905665031362923</c:v>
                </c:pt>
                <c:pt idx="438">
                  <c:v>0.51766604697844254</c:v>
                </c:pt>
                <c:pt idx="439">
                  <c:v>0.50133545640808264</c:v>
                </c:pt>
                <c:pt idx="440">
                  <c:v>0.48007543896729915</c:v>
                </c:pt>
                <c:pt idx="441">
                  <c:v>0.43976071227789454</c:v>
                </c:pt>
                <c:pt idx="442">
                  <c:v>0.3992540019198263</c:v>
                </c:pt>
                <c:pt idx="443">
                  <c:v>0.37725545125004223</c:v>
                </c:pt>
                <c:pt idx="444">
                  <c:v>0.35876943505367564</c:v>
                </c:pt>
                <c:pt idx="445">
                  <c:v>0.35274451924172212</c:v>
                </c:pt>
                <c:pt idx="446">
                  <c:v>0.34306757825833206</c:v>
                </c:pt>
                <c:pt idx="447">
                  <c:v>0.34403308576207459</c:v>
                </c:pt>
                <c:pt idx="448">
                  <c:v>0.34932329816337959</c:v>
                </c:pt>
                <c:pt idx="449">
                  <c:v>0.36382136791976077</c:v>
                </c:pt>
                <c:pt idx="450">
                  <c:v>0.38101503984375251</c:v>
                </c:pt>
                <c:pt idx="451">
                  <c:v>0.40434975578143023</c:v>
                </c:pt>
                <c:pt idx="452">
                  <c:v>0.4194675271034789</c:v>
                </c:pt>
                <c:pt idx="453">
                  <c:v>0.42026835921766048</c:v>
                </c:pt>
                <c:pt idx="454">
                  <c:v>0.40811242121858787</c:v>
                </c:pt>
                <c:pt idx="455">
                  <c:v>0.38960339013149436</c:v>
                </c:pt>
                <c:pt idx="456">
                  <c:v>0.39246957220922601</c:v>
                </c:pt>
                <c:pt idx="457">
                  <c:v>0.40263844827417389</c:v>
                </c:pt>
                <c:pt idx="458">
                  <c:v>0.41476035323927091</c:v>
                </c:pt>
                <c:pt idx="459">
                  <c:v>0.42049091396226784</c:v>
                </c:pt>
                <c:pt idx="460">
                  <c:v>0.4266930615435392</c:v>
                </c:pt>
                <c:pt idx="461">
                  <c:v>0.42954394714772676</c:v>
                </c:pt>
                <c:pt idx="462">
                  <c:v>0.44945900308653602</c:v>
                </c:pt>
                <c:pt idx="463">
                  <c:v>0.46660338110407129</c:v>
                </c:pt>
                <c:pt idx="464">
                  <c:v>0.47690490348122666</c:v>
                </c:pt>
                <c:pt idx="465">
                  <c:v>0.49419176336676596</c:v>
                </c:pt>
                <c:pt idx="466">
                  <c:v>0.5102201584795093</c:v>
                </c:pt>
                <c:pt idx="467">
                  <c:v>0.52814119006860627</c:v>
                </c:pt>
                <c:pt idx="468">
                  <c:v>0.56664312738826939</c:v>
                </c:pt>
                <c:pt idx="469">
                  <c:v>0.61376837225041436</c:v>
                </c:pt>
                <c:pt idx="470">
                  <c:v>0.65711901968241537</c:v>
                </c:pt>
                <c:pt idx="471">
                  <c:v>0.68532009845530839</c:v>
                </c:pt>
                <c:pt idx="472">
                  <c:v>0.70232610531505324</c:v>
                </c:pt>
                <c:pt idx="473">
                  <c:v>0.71856317749468157</c:v>
                </c:pt>
                <c:pt idx="474">
                  <c:v>0.71984310444036248</c:v>
                </c:pt>
                <c:pt idx="475">
                  <c:v>0.69937169511068231</c:v>
                </c:pt>
                <c:pt idx="476">
                  <c:v>0.64739918985300926</c:v>
                </c:pt>
                <c:pt idx="477">
                  <c:v>0.60078715418491691</c:v>
                </c:pt>
                <c:pt idx="478">
                  <c:v>0.52228177161948885</c:v>
                </c:pt>
                <c:pt idx="479">
                  <c:v>0.45700962504782061</c:v>
                </c:pt>
                <c:pt idx="480">
                  <c:v>0.41023024946398096</c:v>
                </c:pt>
                <c:pt idx="481">
                  <c:v>0.4038936049234797</c:v>
                </c:pt>
                <c:pt idx="482">
                  <c:v>0.40360939624922337</c:v>
                </c:pt>
                <c:pt idx="483">
                  <c:v>0.40571640432826511</c:v>
                </c:pt>
                <c:pt idx="484">
                  <c:v>0.39796341003849872</c:v>
                </c:pt>
                <c:pt idx="485">
                  <c:v>0.38863866806838981</c:v>
                </c:pt>
                <c:pt idx="486">
                  <c:v>0.39815763355548417</c:v>
                </c:pt>
                <c:pt idx="487">
                  <c:v>0.42183425076356135</c:v>
                </c:pt>
                <c:pt idx="488">
                  <c:v>0.444986771710281</c:v>
                </c:pt>
                <c:pt idx="489">
                  <c:v>0.4484075321634034</c:v>
                </c:pt>
                <c:pt idx="490">
                  <c:v>0.4223803163236674</c:v>
                </c:pt>
                <c:pt idx="491">
                  <c:v>0.39549640109750123</c:v>
                </c:pt>
                <c:pt idx="492">
                  <c:v>0.39642162861049451</c:v>
                </c:pt>
                <c:pt idx="493">
                  <c:v>0.40738914742262011</c:v>
                </c:pt>
                <c:pt idx="494">
                  <c:v>0.41626433706482141</c:v>
                </c:pt>
                <c:pt idx="495">
                  <c:v>0.41645551863245051</c:v>
                </c:pt>
                <c:pt idx="496">
                  <c:v>0.39880878293614808</c:v>
                </c:pt>
                <c:pt idx="497">
                  <c:v>0.39289487567518572</c:v>
                </c:pt>
                <c:pt idx="498">
                  <c:v>0.41131917748007002</c:v>
                </c:pt>
                <c:pt idx="499">
                  <c:v>0.42826239632549029</c:v>
                </c:pt>
                <c:pt idx="500">
                  <c:v>0.45553695729467869</c:v>
                </c:pt>
                <c:pt idx="501">
                  <c:v>0.45210603824100282</c:v>
                </c:pt>
                <c:pt idx="502">
                  <c:v>0.44659747695279717</c:v>
                </c:pt>
                <c:pt idx="503">
                  <c:v>0.43951620445045436</c:v>
                </c:pt>
                <c:pt idx="504">
                  <c:v>0.45304904666371654</c:v>
                </c:pt>
                <c:pt idx="505">
                  <c:v>0.47467120417837005</c:v>
                </c:pt>
                <c:pt idx="506">
                  <c:v>0.48671515958899109</c:v>
                </c:pt>
                <c:pt idx="507">
                  <c:v>0.48548417026901308</c:v>
                </c:pt>
                <c:pt idx="508">
                  <c:v>0.47494892176689973</c:v>
                </c:pt>
                <c:pt idx="509">
                  <c:v>0.48278959816998152</c:v>
                </c:pt>
                <c:pt idx="510">
                  <c:v>0.49419438229699647</c:v>
                </c:pt>
                <c:pt idx="511">
                  <c:v>0.51944215527801807</c:v>
                </c:pt>
                <c:pt idx="512">
                  <c:v>0.52277429910394302</c:v>
                </c:pt>
                <c:pt idx="513">
                  <c:v>0.51768659077428436</c:v>
                </c:pt>
                <c:pt idx="514">
                  <c:v>0.50695390554565911</c:v>
                </c:pt>
                <c:pt idx="515">
                  <c:v>0.50207238850383606</c:v>
                </c:pt>
                <c:pt idx="516">
                  <c:v>0.50771749176436076</c:v>
                </c:pt>
                <c:pt idx="517">
                  <c:v>0.5147518891927011</c:v>
                </c:pt>
                <c:pt idx="518">
                  <c:v>0.52856250451796472</c:v>
                </c:pt>
                <c:pt idx="519">
                  <c:v>0.53138604919769628</c:v>
                </c:pt>
                <c:pt idx="520">
                  <c:v>0.53109954945421523</c:v>
                </c:pt>
                <c:pt idx="521">
                  <c:v>0.54137625742119189</c:v>
                </c:pt>
                <c:pt idx="522">
                  <c:v>0.56700254604145062</c:v>
                </c:pt>
                <c:pt idx="523">
                  <c:v>0.59503861116879653</c:v>
                </c:pt>
                <c:pt idx="524">
                  <c:v>0.59680963106847651</c:v>
                </c:pt>
                <c:pt idx="525">
                  <c:v>0.58481609162353354</c:v>
                </c:pt>
                <c:pt idx="526">
                  <c:v>0.57651329168290988</c:v>
                </c:pt>
                <c:pt idx="527">
                  <c:v>0.57898292495986325</c:v>
                </c:pt>
                <c:pt idx="528">
                  <c:v>0.58816823724758915</c:v>
                </c:pt>
                <c:pt idx="529">
                  <c:v>0.61213417100619794</c:v>
                </c:pt>
                <c:pt idx="530">
                  <c:v>0.64230767862795812</c:v>
                </c:pt>
                <c:pt idx="531">
                  <c:v>0.67304839315574094</c:v>
                </c:pt>
                <c:pt idx="532">
                  <c:v>0.69940174826829982</c:v>
                </c:pt>
                <c:pt idx="533">
                  <c:v>0.69781436927024698</c:v>
                </c:pt>
                <c:pt idx="534">
                  <c:v>0.694659077870314</c:v>
                </c:pt>
                <c:pt idx="535">
                  <c:v>0.67444057211230124</c:v>
                </c:pt>
                <c:pt idx="536">
                  <c:v>0.65105589710861866</c:v>
                </c:pt>
                <c:pt idx="537">
                  <c:v>0.59809616581622893</c:v>
                </c:pt>
                <c:pt idx="538">
                  <c:v>0.55742495743599974</c:v>
                </c:pt>
                <c:pt idx="539">
                  <c:v>0.5488583006140535</c:v>
                </c:pt>
                <c:pt idx="540">
                  <c:v>0.56871496542519306</c:v>
                </c:pt>
                <c:pt idx="541">
                  <c:v>0.59015271221824639</c:v>
                </c:pt>
                <c:pt idx="542">
                  <c:v>0.61272713505502274</c:v>
                </c:pt>
                <c:pt idx="543">
                  <c:v>0.62284348384865207</c:v>
                </c:pt>
                <c:pt idx="544">
                  <c:v>0.63736109766063176</c:v>
                </c:pt>
                <c:pt idx="545">
                  <c:v>0.64739735176898694</c:v>
                </c:pt>
                <c:pt idx="546">
                  <c:v>0.66719434498380281</c:v>
                </c:pt>
                <c:pt idx="547">
                  <c:v>0.66332020644604894</c:v>
                </c:pt>
                <c:pt idx="548">
                  <c:v>0.64662712646988352</c:v>
                </c:pt>
                <c:pt idx="549">
                  <c:v>0.61571856013056603</c:v>
                </c:pt>
                <c:pt idx="550">
                  <c:v>0.60236565868656455</c:v>
                </c:pt>
                <c:pt idx="551">
                  <c:v>0.593842117286563</c:v>
                </c:pt>
                <c:pt idx="552">
                  <c:v>0.61202653617630343</c:v>
                </c:pt>
                <c:pt idx="553">
                  <c:v>0.64380498110881523</c:v>
                </c:pt>
                <c:pt idx="554">
                  <c:v>0.66182693457918373</c:v>
                </c:pt>
                <c:pt idx="555">
                  <c:v>0.67462791564066094</c:v>
                </c:pt>
                <c:pt idx="556">
                  <c:v>0.69060348633182533</c:v>
                </c:pt>
                <c:pt idx="557">
                  <c:v>0.70765798633085253</c:v>
                </c:pt>
                <c:pt idx="558">
                  <c:v>0.71472614300482273</c:v>
                </c:pt>
                <c:pt idx="559">
                  <c:v>0.71014022379262376</c:v>
                </c:pt>
                <c:pt idx="560">
                  <c:v>0.69355414716863206</c:v>
                </c:pt>
                <c:pt idx="561">
                  <c:v>0.67528499639919215</c:v>
                </c:pt>
                <c:pt idx="562">
                  <c:v>0.64493987083722015</c:v>
                </c:pt>
                <c:pt idx="563">
                  <c:v>0.60662193435524836</c:v>
                </c:pt>
                <c:pt idx="564">
                  <c:v>0.59623719325826263</c:v>
                </c:pt>
                <c:pt idx="565">
                  <c:v>0.60072969513067531</c:v>
                </c:pt>
                <c:pt idx="566">
                  <c:v>0.62175942477868018</c:v>
                </c:pt>
                <c:pt idx="567">
                  <c:v>0.61996426352395451</c:v>
                </c:pt>
                <c:pt idx="568">
                  <c:v>0.60002241847947313</c:v>
                </c:pt>
                <c:pt idx="569">
                  <c:v>0.58054199509922022</c:v>
                </c:pt>
                <c:pt idx="570">
                  <c:v>0.59656417546274998</c:v>
                </c:pt>
                <c:pt idx="571">
                  <c:v>0.6064903327603749</c:v>
                </c:pt>
                <c:pt idx="572">
                  <c:v>0.61263854826239716</c:v>
                </c:pt>
                <c:pt idx="573">
                  <c:v>0.61386146682008491</c:v>
                </c:pt>
                <c:pt idx="574">
                  <c:v>0.61649900564191362</c:v>
                </c:pt>
                <c:pt idx="575">
                  <c:v>0.61354909575995942</c:v>
                </c:pt>
                <c:pt idx="576">
                  <c:v>0.63272967334815144</c:v>
                </c:pt>
                <c:pt idx="577">
                  <c:v>0.6626950170077377</c:v>
                </c:pt>
                <c:pt idx="578">
                  <c:v>0.6994868534154316</c:v>
                </c:pt>
                <c:pt idx="579">
                  <c:v>0.72529224551457738</c:v>
                </c:pt>
                <c:pt idx="580">
                  <c:v>0.750407779527548</c:v>
                </c:pt>
                <c:pt idx="581">
                  <c:v>0.75630346568291362</c:v>
                </c:pt>
                <c:pt idx="582">
                  <c:v>0.75129867728375599</c:v>
                </c:pt>
                <c:pt idx="583">
                  <c:v>0.71205954505015068</c:v>
                </c:pt>
                <c:pt idx="584">
                  <c:v>0.67677611279737715</c:v>
                </c:pt>
                <c:pt idx="585">
                  <c:v>0.64096282114893854</c:v>
                </c:pt>
                <c:pt idx="586">
                  <c:v>0.61316149966472089</c:v>
                </c:pt>
                <c:pt idx="587">
                  <c:v>0.59605533785789477</c:v>
                </c:pt>
                <c:pt idx="588">
                  <c:v>0.59208040011464746</c:v>
                </c:pt>
                <c:pt idx="589">
                  <c:v>0.58058853010141609</c:v>
                </c:pt>
                <c:pt idx="590">
                  <c:v>0.57068818445732095</c:v>
                </c:pt>
                <c:pt idx="591">
                  <c:v>0.55682296043895674</c:v>
                </c:pt>
                <c:pt idx="592">
                  <c:v>0.54217881126280554</c:v>
                </c:pt>
                <c:pt idx="593">
                  <c:v>0.53039121119713206</c:v>
                </c:pt>
                <c:pt idx="594">
                  <c:v>0.53755876366177857</c:v>
                </c:pt>
                <c:pt idx="595">
                  <c:v>0.56646695219188326</c:v>
                </c:pt>
                <c:pt idx="596">
                  <c:v>0.58082204261290127</c:v>
                </c:pt>
                <c:pt idx="597">
                  <c:v>0.59736797541698372</c:v>
                </c:pt>
                <c:pt idx="598">
                  <c:v>0.59319683131899248</c:v>
                </c:pt>
                <c:pt idx="599">
                  <c:v>0.61080134556812926</c:v>
                </c:pt>
                <c:pt idx="600">
                  <c:v>0.63030380955845777</c:v>
                </c:pt>
                <c:pt idx="601">
                  <c:v>0.6544129411583548</c:v>
                </c:pt>
                <c:pt idx="602">
                  <c:v>0.66422571478275438</c:v>
                </c:pt>
                <c:pt idx="603">
                  <c:v>0.66826641431883305</c:v>
                </c:pt>
                <c:pt idx="604">
                  <c:v>0.65398618748851911</c:v>
                </c:pt>
                <c:pt idx="605">
                  <c:v>0.64624561545601433</c:v>
                </c:pt>
                <c:pt idx="606">
                  <c:v>0.64177724155894111</c:v>
                </c:pt>
                <c:pt idx="607">
                  <c:v>0.65238165409213056</c:v>
                </c:pt>
                <c:pt idx="608">
                  <c:v>0.66523215506458711</c:v>
                </c:pt>
                <c:pt idx="609">
                  <c:v>0.67730343210815791</c:v>
                </c:pt>
                <c:pt idx="610">
                  <c:v>0.69341243670353481</c:v>
                </c:pt>
                <c:pt idx="611">
                  <c:v>0.70909969171536646</c:v>
                </c:pt>
                <c:pt idx="612">
                  <c:v>0.71954469306738489</c:v>
                </c:pt>
                <c:pt idx="613">
                  <c:v>0.74031030518822294</c:v>
                </c:pt>
                <c:pt idx="614">
                  <c:v>0.7648171330075082</c:v>
                </c:pt>
                <c:pt idx="615">
                  <c:v>0.80248784151813235</c:v>
                </c:pt>
                <c:pt idx="616">
                  <c:v>0.8495564527716416</c:v>
                </c:pt>
                <c:pt idx="617">
                  <c:v>0.8747608921815373</c:v>
                </c:pt>
                <c:pt idx="618">
                  <c:v>0.88502561478895825</c:v>
                </c:pt>
                <c:pt idx="619">
                  <c:v>0.86815468864839185</c:v>
                </c:pt>
                <c:pt idx="620">
                  <c:v>0.83020792193011794</c:v>
                </c:pt>
                <c:pt idx="621">
                  <c:v>0.76596352157676773</c:v>
                </c:pt>
                <c:pt idx="622">
                  <c:v>0.6986339408664487</c:v>
                </c:pt>
                <c:pt idx="623">
                  <c:v>0.63827870341555037</c:v>
                </c:pt>
                <c:pt idx="624">
                  <c:v>0.61238486287883398</c:v>
                </c:pt>
                <c:pt idx="625">
                  <c:v>0.60265804432518977</c:v>
                </c:pt>
                <c:pt idx="626">
                  <c:v>0.59691569462900307</c:v>
                </c:pt>
                <c:pt idx="627">
                  <c:v>0.60206814741851733</c:v>
                </c:pt>
                <c:pt idx="628">
                  <c:v>0.60461026356637937</c:v>
                </c:pt>
                <c:pt idx="629">
                  <c:v>0.62063608869508791</c:v>
                </c:pt>
                <c:pt idx="630">
                  <c:v>0.64502513152355989</c:v>
                </c:pt>
                <c:pt idx="631">
                  <c:v>0.67656322117656187</c:v>
                </c:pt>
                <c:pt idx="632">
                  <c:v>0.69101822122451562</c:v>
                </c:pt>
                <c:pt idx="633">
                  <c:v>0.69250837557196843</c:v>
                </c:pt>
                <c:pt idx="634">
                  <c:v>0.68464170864314722</c:v>
                </c:pt>
                <c:pt idx="635">
                  <c:v>0.68893380200555598</c:v>
                </c:pt>
                <c:pt idx="636">
                  <c:v>0.68561418588498446</c:v>
                </c:pt>
                <c:pt idx="637">
                  <c:v>0.68701167751925885</c:v>
                </c:pt>
                <c:pt idx="638">
                  <c:v>0.67934650621039538</c:v>
                </c:pt>
                <c:pt idx="639">
                  <c:v>0.6729245006313409</c:v>
                </c:pt>
                <c:pt idx="640">
                  <c:v>0.66943082780923246</c:v>
                </c:pt>
                <c:pt idx="641">
                  <c:v>0.6815143148087367</c:v>
                </c:pt>
                <c:pt idx="642">
                  <c:v>0.71815064293713871</c:v>
                </c:pt>
                <c:pt idx="643">
                  <c:v>0.73794399938890642</c:v>
                </c:pt>
                <c:pt idx="644">
                  <c:v>0.74009911320499744</c:v>
                </c:pt>
                <c:pt idx="645">
                  <c:v>0.73848700386648092</c:v>
                </c:pt>
                <c:pt idx="646">
                  <c:v>0.736040887334107</c:v>
                </c:pt>
                <c:pt idx="647">
                  <c:v>0.74352639475986781</c:v>
                </c:pt>
                <c:pt idx="648">
                  <c:v>0.76714649898631604</c:v>
                </c:pt>
                <c:pt idx="649">
                  <c:v>0.79658344457151209</c:v>
                </c:pt>
                <c:pt idx="650">
                  <c:v>0.8092497576285993</c:v>
                </c:pt>
                <c:pt idx="651">
                  <c:v>0.81351854152243341</c:v>
                </c:pt>
                <c:pt idx="652">
                  <c:v>0.81216122700374049</c:v>
                </c:pt>
                <c:pt idx="653">
                  <c:v>0.80372884293527491</c:v>
                </c:pt>
                <c:pt idx="654">
                  <c:v>0.79410308389817053</c:v>
                </c:pt>
                <c:pt idx="655">
                  <c:v>0.80431933735622052</c:v>
                </c:pt>
                <c:pt idx="656">
                  <c:v>0.79701673953462082</c:v>
                </c:pt>
                <c:pt idx="657">
                  <c:v>0.78754733360973217</c:v>
                </c:pt>
                <c:pt idx="658">
                  <c:v>0.75826053282277528</c:v>
                </c:pt>
                <c:pt idx="659">
                  <c:v>0.73438025369225257</c:v>
                </c:pt>
                <c:pt idx="660">
                  <c:v>0.73003517066938028</c:v>
                </c:pt>
                <c:pt idx="661">
                  <c:v>0.755086300608797</c:v>
                </c:pt>
                <c:pt idx="662">
                  <c:v>0.77388002656243959</c:v>
                </c:pt>
                <c:pt idx="663">
                  <c:v>0.80119632099569027</c:v>
                </c:pt>
                <c:pt idx="664">
                  <c:v>0.80532524085235402</c:v>
                </c:pt>
                <c:pt idx="665">
                  <c:v>0.82218082050271257</c:v>
                </c:pt>
                <c:pt idx="666">
                  <c:v>0.82565294845072668</c:v>
                </c:pt>
                <c:pt idx="667">
                  <c:v>0.83291039132676414</c:v>
                </c:pt>
                <c:pt idx="668">
                  <c:v>0.84537177872221092</c:v>
                </c:pt>
                <c:pt idx="669">
                  <c:v>0.84979089594122947</c:v>
                </c:pt>
                <c:pt idx="670">
                  <c:v>0.83877120795108628</c:v>
                </c:pt>
                <c:pt idx="671">
                  <c:v>0.80941465386812139</c:v>
                </c:pt>
                <c:pt idx="672">
                  <c:v>0.79631149529048439</c:v>
                </c:pt>
                <c:pt idx="673">
                  <c:v>0.80766236048742912</c:v>
                </c:pt>
                <c:pt idx="674">
                  <c:v>0.84019094360737812</c:v>
                </c:pt>
                <c:pt idx="675">
                  <c:v>0.87627447529997438</c:v>
                </c:pt>
                <c:pt idx="676">
                  <c:v>0.8984220816953371</c:v>
                </c:pt>
                <c:pt idx="677">
                  <c:v>0.91913230010404978</c:v>
                </c:pt>
                <c:pt idx="678">
                  <c:v>0.92848430328721443</c:v>
                </c:pt>
                <c:pt idx="679">
                  <c:v>0.92953940830098347</c:v>
                </c:pt>
                <c:pt idx="680">
                  <c:v>0.92455166351215823</c:v>
                </c:pt>
                <c:pt idx="681">
                  <c:v>0.92279271779572269</c:v>
                </c:pt>
                <c:pt idx="682">
                  <c:v>0.91720913658661307</c:v>
                </c:pt>
                <c:pt idx="683">
                  <c:v>0.91891770612974422</c:v>
                </c:pt>
                <c:pt idx="684">
                  <c:v>0.9492659507000456</c:v>
                </c:pt>
                <c:pt idx="685">
                  <c:v>0.99355974717275186</c:v>
                </c:pt>
                <c:pt idx="686">
                  <c:v>1.0322186912267741</c:v>
                </c:pt>
                <c:pt idx="687">
                  <c:v>1.0610047292811444</c:v>
                </c:pt>
                <c:pt idx="688">
                  <c:v>1.0909428688567042</c:v>
                </c:pt>
                <c:pt idx="689">
                  <c:v>1.1123166517881442</c:v>
                </c:pt>
                <c:pt idx="690">
                  <c:v>1.1283641591679432</c:v>
                </c:pt>
                <c:pt idx="691">
                  <c:v>1.1040185933664697</c:v>
                </c:pt>
                <c:pt idx="692">
                  <c:v>1.0458988097559292</c:v>
                </c:pt>
                <c:pt idx="693">
                  <c:v>0.96882743873218535</c:v>
                </c:pt>
                <c:pt idx="694">
                  <c:v>0.89934654311622153</c:v>
                </c:pt>
                <c:pt idx="695">
                  <c:v>0.84472890539894685</c:v>
                </c:pt>
                <c:pt idx="696">
                  <c:v>0.82597264407933468</c:v>
                </c:pt>
                <c:pt idx="697">
                  <c:v>0.83242742318186869</c:v>
                </c:pt>
                <c:pt idx="698">
                  <c:v>0.83457646926186868</c:v>
                </c:pt>
                <c:pt idx="699">
                  <c:v>0.84425749394015581</c:v>
                </c:pt>
                <c:pt idx="700">
                  <c:v>0.8496333653349607</c:v>
                </c:pt>
                <c:pt idx="701">
                  <c:v>0.86962650738550884</c:v>
                </c:pt>
                <c:pt idx="702">
                  <c:v>0.91285632749029244</c:v>
                </c:pt>
                <c:pt idx="703">
                  <c:v>0.93389858985807994</c:v>
                </c:pt>
                <c:pt idx="704">
                  <c:v>0.9439441793688329</c:v>
                </c:pt>
                <c:pt idx="705">
                  <c:v>0.93204503923955972</c:v>
                </c:pt>
                <c:pt idx="706">
                  <c:v>0.91598014578706854</c:v>
                </c:pt>
                <c:pt idx="707">
                  <c:v>0.89656658914449039</c:v>
                </c:pt>
                <c:pt idx="708">
                  <c:v>0.88260830346575059</c:v>
                </c:pt>
                <c:pt idx="709">
                  <c:v>0.87785530959368419</c:v>
                </c:pt>
                <c:pt idx="710">
                  <c:v>0.87964495188164449</c:v>
                </c:pt>
                <c:pt idx="711">
                  <c:v>0.87159048256938287</c:v>
                </c:pt>
                <c:pt idx="712">
                  <c:v>0.85944677647663192</c:v>
                </c:pt>
                <c:pt idx="713">
                  <c:v>0.85562220431945846</c:v>
                </c:pt>
                <c:pt idx="714">
                  <c:v>0.86314627081691242</c:v>
                </c:pt>
                <c:pt idx="715">
                  <c:v>0.87688752349825627</c:v>
                </c:pt>
                <c:pt idx="716">
                  <c:v>0.8843990635187452</c:v>
                </c:pt>
                <c:pt idx="717">
                  <c:v>0.88362334218187821</c:v>
                </c:pt>
                <c:pt idx="718">
                  <c:v>0.89357432321354013</c:v>
                </c:pt>
                <c:pt idx="719">
                  <c:v>0.89849140198467392</c:v>
                </c:pt>
                <c:pt idx="720">
                  <c:v>0.91032176786298835</c:v>
                </c:pt>
                <c:pt idx="721">
                  <c:v>0.93949497752922528</c:v>
                </c:pt>
                <c:pt idx="722">
                  <c:v>0.96985021495032175</c:v>
                </c:pt>
                <c:pt idx="723">
                  <c:v>1.0150136753513137</c:v>
                </c:pt>
                <c:pt idx="724">
                  <c:v>1.0445415684292056</c:v>
                </c:pt>
                <c:pt idx="725">
                  <c:v>1.0446658269148206</c:v>
                </c:pt>
                <c:pt idx="726">
                  <c:v>1.0484293051580156</c:v>
                </c:pt>
                <c:pt idx="727">
                  <c:v>1.0552072062156053</c:v>
                </c:pt>
                <c:pt idx="728">
                  <c:v>1.0417515776213393</c:v>
                </c:pt>
                <c:pt idx="729">
                  <c:v>1.0168655025770854</c:v>
                </c:pt>
                <c:pt idx="730">
                  <c:v>0.99049173438338711</c:v>
                </c:pt>
                <c:pt idx="731">
                  <c:v>0.9669728013389749</c:v>
                </c:pt>
                <c:pt idx="732">
                  <c:v>0.94810744782282785</c:v>
                </c:pt>
                <c:pt idx="733">
                  <c:v>0.94888163958567673</c:v>
                </c:pt>
                <c:pt idx="734">
                  <c:v>0.9740142596570992</c:v>
                </c:pt>
                <c:pt idx="735">
                  <c:v>1.0081480260994329</c:v>
                </c:pt>
                <c:pt idx="736">
                  <c:v>1.0258165845717118</c:v>
                </c:pt>
                <c:pt idx="737">
                  <c:v>1.0132103759453848</c:v>
                </c:pt>
                <c:pt idx="738">
                  <c:v>1.0243409257193568</c:v>
                </c:pt>
                <c:pt idx="739">
                  <c:v>1.0275110741951345</c:v>
                </c:pt>
                <c:pt idx="740">
                  <c:v>1.016909856353281</c:v>
                </c:pt>
                <c:pt idx="741">
                  <c:v>0.9817973548610518</c:v>
                </c:pt>
                <c:pt idx="742">
                  <c:v>0.93059243375638334</c:v>
                </c:pt>
                <c:pt idx="743">
                  <c:v>0.881344197174601</c:v>
                </c:pt>
                <c:pt idx="744">
                  <c:v>0.88734573252323312</c:v>
                </c:pt>
                <c:pt idx="745">
                  <c:v>0.89645297848002148</c:v>
                </c:pt>
                <c:pt idx="746">
                  <c:v>0.87985408289122757</c:v>
                </c:pt>
                <c:pt idx="747">
                  <c:v>0.87437865174270146</c:v>
                </c:pt>
                <c:pt idx="748">
                  <c:v>0.87795889162348861</c:v>
                </c:pt>
                <c:pt idx="749">
                  <c:v>0.89218162197525808</c:v>
                </c:pt>
                <c:pt idx="750">
                  <c:v>0.91147236153990718</c:v>
                </c:pt>
                <c:pt idx="751">
                  <c:v>0.9252588639475926</c:v>
                </c:pt>
                <c:pt idx="752">
                  <c:v>0.93374375062666193</c:v>
                </c:pt>
                <c:pt idx="753">
                  <c:v>0.9326977387227956</c:v>
                </c:pt>
                <c:pt idx="754">
                  <c:v>0.92565221472580117</c:v>
                </c:pt>
                <c:pt idx="755">
                  <c:v>0.92420652740522136</c:v>
                </c:pt>
                <c:pt idx="756">
                  <c:v>0.92748590000119846</c:v>
                </c:pt>
                <c:pt idx="757">
                  <c:v>0.92609533000741795</c:v>
                </c:pt>
                <c:pt idx="758">
                  <c:v>0.92193653363969186</c:v>
                </c:pt>
                <c:pt idx="759">
                  <c:v>0.92310858004990703</c:v>
                </c:pt>
                <c:pt idx="760">
                  <c:v>0.91971304190343273</c:v>
                </c:pt>
                <c:pt idx="761">
                  <c:v>0.92434522046623269</c:v>
                </c:pt>
                <c:pt idx="762">
                  <c:v>0.94447489348008995</c:v>
                </c:pt>
                <c:pt idx="763">
                  <c:v>0.95932800750658498</c:v>
                </c:pt>
                <c:pt idx="764">
                  <c:v>0.9509380722112315</c:v>
                </c:pt>
                <c:pt idx="765">
                  <c:v>0.9237271680618302</c:v>
                </c:pt>
                <c:pt idx="766">
                  <c:v>0.89803204598518493</c:v>
                </c:pt>
                <c:pt idx="767">
                  <c:v>0.88193341411211978</c:v>
                </c:pt>
                <c:pt idx="768">
                  <c:v>0.87826782383095148</c:v>
                </c:pt>
                <c:pt idx="769">
                  <c:v>0.8790208289392597</c:v>
                </c:pt>
                <c:pt idx="770">
                  <c:v>0.88050323230634331</c:v>
                </c:pt>
                <c:pt idx="771">
                  <c:v>0.88436854005789567</c:v>
                </c:pt>
                <c:pt idx="772">
                  <c:v>0.89987433625219915</c:v>
                </c:pt>
                <c:pt idx="773">
                  <c:v>0.92251941906353707</c:v>
                </c:pt>
                <c:pt idx="774">
                  <c:v>0.96188970814803842</c:v>
                </c:pt>
                <c:pt idx="775">
                  <c:v>0.99135591239028897</c:v>
                </c:pt>
                <c:pt idx="776">
                  <c:v>1.0114844309283508</c:v>
                </c:pt>
                <c:pt idx="777">
                  <c:v>1.0248982545443297</c:v>
                </c:pt>
                <c:pt idx="778">
                  <c:v>1.0317826660772762</c:v>
                </c:pt>
                <c:pt idx="779">
                  <c:v>1.0466604154710866</c:v>
                </c:pt>
                <c:pt idx="780">
                  <c:v>1.0752507261654802</c:v>
                </c:pt>
                <c:pt idx="781">
                  <c:v>1.1144874144187682</c:v>
                </c:pt>
                <c:pt idx="782">
                  <c:v>1.1530105598493714</c:v>
                </c:pt>
                <c:pt idx="783">
                  <c:v>1.1870758225798632</c:v>
                </c:pt>
                <c:pt idx="784">
                  <c:v>1.2213005173591085</c:v>
                </c:pt>
                <c:pt idx="785">
                  <c:v>1.2399776452617945</c:v>
                </c:pt>
                <c:pt idx="786">
                  <c:v>1.2366952749338387</c:v>
                </c:pt>
                <c:pt idx="787">
                  <c:v>1.210953098818967</c:v>
                </c:pt>
                <c:pt idx="788">
                  <c:v>1.1804153106817477</c:v>
                </c:pt>
                <c:pt idx="789">
                  <c:v>1.1310903839482898</c:v>
                </c:pt>
                <c:pt idx="790">
                  <c:v>1.0771177895562558</c:v>
                </c:pt>
                <c:pt idx="791">
                  <c:v>1.047398920754719</c:v>
                </c:pt>
                <c:pt idx="792">
                  <c:v>1.0410436735864292</c:v>
                </c:pt>
                <c:pt idx="793">
                  <c:v>1.0460508476711659</c:v>
                </c:pt>
                <c:pt idx="794">
                  <c:v>1.0407785876300455</c:v>
                </c:pt>
                <c:pt idx="795">
                  <c:v>1.0385450044780156</c:v>
                </c:pt>
                <c:pt idx="796">
                  <c:v>1.0369959663240687</c:v>
                </c:pt>
                <c:pt idx="797">
                  <c:v>1.0342865875032188</c:v>
                </c:pt>
                <c:pt idx="798">
                  <c:v>1.0473729225709054</c:v>
                </c:pt>
                <c:pt idx="799">
                  <c:v>1.0772734834196871</c:v>
                </c:pt>
                <c:pt idx="800">
                  <c:v>1.0814141134079038</c:v>
                </c:pt>
                <c:pt idx="801">
                  <c:v>1.0748344260768692</c:v>
                </c:pt>
                <c:pt idx="802">
                  <c:v>1.0487440676272608</c:v>
                </c:pt>
                <c:pt idx="803">
                  <c:v>1.0414874487611014</c:v>
                </c:pt>
                <c:pt idx="804">
                  <c:v>1.0390234694485343</c:v>
                </c:pt>
                <c:pt idx="805">
                  <c:v>1.0401982446540483</c:v>
                </c:pt>
                <c:pt idx="806">
                  <c:v>1.0355874636395579</c:v>
                </c:pt>
                <c:pt idx="807">
                  <c:v>1.0301010943108466</c:v>
                </c:pt>
                <c:pt idx="808">
                  <c:v>1.0346694379840524</c:v>
                </c:pt>
                <c:pt idx="809">
                  <c:v>1.0450346266900661</c:v>
                </c:pt>
                <c:pt idx="810">
                  <c:v>1.0753430840772848</c:v>
                </c:pt>
                <c:pt idx="811">
                  <c:v>1.1040015679933757</c:v>
                </c:pt>
                <c:pt idx="812">
                  <c:v>1.1255151048728973</c:v>
                </c:pt>
                <c:pt idx="813">
                  <c:v>1.1382143681343375</c:v>
                </c:pt>
              </c:numCache>
            </c:numRef>
          </c:xVal>
          <c:yVal>
            <c:numRef>
              <c:f>Volcanic!$B$9:$B$822</c:f>
              <c:numCache>
                <c:formatCode>0.00</c:formatCode>
                <c:ptCount val="814"/>
                <c:pt idx="0">
                  <c:v>3.9999999999999147E-2</c:v>
                </c:pt>
                <c:pt idx="1">
                  <c:v>2.0000000000003126E-2</c:v>
                </c:pt>
                <c:pt idx="2">
                  <c:v>1.0000000000001563E-2</c:v>
                </c:pt>
                <c:pt idx="3">
                  <c:v>8.0000000000000071E-2</c:v>
                </c:pt>
                <c:pt idx="4">
                  <c:v>7.0000000000000284E-2</c:v>
                </c:pt>
                <c:pt idx="5">
                  <c:v>0.17999999999999972</c:v>
                </c:pt>
                <c:pt idx="6">
                  <c:v>0.16000000000000014</c:v>
                </c:pt>
                <c:pt idx="7">
                  <c:v>3.9999999999999147E-2</c:v>
                </c:pt>
                <c:pt idx="8">
                  <c:v>2.9999999999997584E-2</c:v>
                </c:pt>
                <c:pt idx="9">
                  <c:v>2.9999999999997584E-2</c:v>
                </c:pt>
                <c:pt idx="10">
                  <c:v>-9.9999999999980105E-3</c:v>
                </c:pt>
                <c:pt idx="11">
                  <c:v>-6.0000000000000497E-2</c:v>
                </c:pt>
                <c:pt idx="12">
                  <c:v>-7.0000000000000284E-2</c:v>
                </c:pt>
                <c:pt idx="13">
                  <c:v>-8.0000000000001847E-2</c:v>
                </c:pt>
                <c:pt idx="14">
                  <c:v>0</c:v>
                </c:pt>
                <c:pt idx="15">
                  <c:v>0</c:v>
                </c:pt>
                <c:pt idx="16">
                  <c:v>0.12999999999999901</c:v>
                </c:pt>
                <c:pt idx="17">
                  <c:v>-0.35000000000000142</c:v>
                </c:pt>
                <c:pt idx="18">
                  <c:v>-0.14999999999999858</c:v>
                </c:pt>
                <c:pt idx="19">
                  <c:v>-8.0000000000001847E-2</c:v>
                </c:pt>
                <c:pt idx="20">
                  <c:v>-3.9999999999999147E-2</c:v>
                </c:pt>
                <c:pt idx="21">
                  <c:v>-3.9999999999999147E-2</c:v>
                </c:pt>
                <c:pt idx="22">
                  <c:v>2.0000000000003126E-2</c:v>
                </c:pt>
                <c:pt idx="23">
                  <c:v>7.0000000000000284E-2</c:v>
                </c:pt>
                <c:pt idx="24">
                  <c:v>5.9999999999998721E-2</c:v>
                </c:pt>
                <c:pt idx="25">
                  <c:v>-0.10999999999999766</c:v>
                </c:pt>
                <c:pt idx="26">
                  <c:v>0.19000000000000128</c:v>
                </c:pt>
                <c:pt idx="27">
                  <c:v>7.0000000000000284E-2</c:v>
                </c:pt>
                <c:pt idx="28">
                  <c:v>0.19000000000000128</c:v>
                </c:pt>
                <c:pt idx="29">
                  <c:v>8.9999999999999858E-2</c:v>
                </c:pt>
                <c:pt idx="30">
                  <c:v>0.12999999999999901</c:v>
                </c:pt>
                <c:pt idx="31">
                  <c:v>0.11999999999999744</c:v>
                </c:pt>
                <c:pt idx="32">
                  <c:v>0.10999999999999766</c:v>
                </c:pt>
                <c:pt idx="33">
                  <c:v>1.0000000000001563E-2</c:v>
                </c:pt>
                <c:pt idx="34">
                  <c:v>1.0000000000001563E-2</c:v>
                </c:pt>
                <c:pt idx="35">
                  <c:v>8.0000000000000071E-2</c:v>
                </c:pt>
                <c:pt idx="36">
                  <c:v>0</c:v>
                </c:pt>
                <c:pt idx="37">
                  <c:v>2.9999999999997584E-2</c:v>
                </c:pt>
                <c:pt idx="38">
                  <c:v>-0.16000000000000014</c:v>
                </c:pt>
                <c:pt idx="39">
                  <c:v>5.0000000000004263E-2</c:v>
                </c:pt>
                <c:pt idx="40">
                  <c:v>0.14999999999999858</c:v>
                </c:pt>
                <c:pt idx="41">
                  <c:v>9.9999999999997868E-2</c:v>
                </c:pt>
                <c:pt idx="42">
                  <c:v>5.0000000000004263E-2</c:v>
                </c:pt>
                <c:pt idx="43">
                  <c:v>-6.0000000000000497E-2</c:v>
                </c:pt>
                <c:pt idx="44">
                  <c:v>2.9999999999997584E-2</c:v>
                </c:pt>
                <c:pt idx="45">
                  <c:v>2.0000000000003126E-2</c:v>
                </c:pt>
                <c:pt idx="46">
                  <c:v>-9.9999999999980105E-3</c:v>
                </c:pt>
                <c:pt idx="47">
                  <c:v>0</c:v>
                </c:pt>
                <c:pt idx="48">
                  <c:v>1.0000000000001563E-2</c:v>
                </c:pt>
                <c:pt idx="49">
                  <c:v>5.9999999999998721E-2</c:v>
                </c:pt>
                <c:pt idx="50">
                  <c:v>-2.9999999999999361E-2</c:v>
                </c:pt>
                <c:pt idx="51">
                  <c:v>-2.9999999999999361E-2</c:v>
                </c:pt>
                <c:pt idx="52">
                  <c:v>0.17999999999999972</c:v>
                </c:pt>
                <c:pt idx="53">
                  <c:v>-0.13999999999999879</c:v>
                </c:pt>
                <c:pt idx="54">
                  <c:v>-7.0000000000000284E-2</c:v>
                </c:pt>
                <c:pt idx="55">
                  <c:v>-6.0000000000000497E-2</c:v>
                </c:pt>
                <c:pt idx="56">
                  <c:v>5.0000000000004263E-2</c:v>
                </c:pt>
                <c:pt idx="57">
                  <c:v>5.9999999999998721E-2</c:v>
                </c:pt>
                <c:pt idx="58">
                  <c:v>0.22000000000000242</c:v>
                </c:pt>
                <c:pt idx="59">
                  <c:v>0.16999999999999993</c:v>
                </c:pt>
                <c:pt idx="60">
                  <c:v>0.14999999999999858</c:v>
                </c:pt>
                <c:pt idx="61">
                  <c:v>0.14999999999999858</c:v>
                </c:pt>
                <c:pt idx="62">
                  <c:v>-2.9999999999999361E-2</c:v>
                </c:pt>
                <c:pt idx="63">
                  <c:v>-9.0000000000001634E-2</c:v>
                </c:pt>
                <c:pt idx="64">
                  <c:v>-0.10000000000000142</c:v>
                </c:pt>
                <c:pt idx="65">
                  <c:v>-0.20999999999999908</c:v>
                </c:pt>
                <c:pt idx="66">
                  <c:v>-0.32000000000000206</c:v>
                </c:pt>
                <c:pt idx="67">
                  <c:v>-0.25</c:v>
                </c:pt>
                <c:pt idx="68">
                  <c:v>-3.9999999999999147E-2</c:v>
                </c:pt>
                <c:pt idx="69">
                  <c:v>-3.9999999999999147E-2</c:v>
                </c:pt>
                <c:pt idx="70">
                  <c:v>-0.21999999999999886</c:v>
                </c:pt>
                <c:pt idx="71">
                  <c:v>-0.30000000000000249</c:v>
                </c:pt>
                <c:pt idx="72">
                  <c:v>-0.31000000000000227</c:v>
                </c:pt>
                <c:pt idx="73">
                  <c:v>-0.20999999999999908</c:v>
                </c:pt>
                <c:pt idx="74">
                  <c:v>-0.30000000000000249</c:v>
                </c:pt>
                <c:pt idx="75">
                  <c:v>-8.0000000000001847E-2</c:v>
                </c:pt>
                <c:pt idx="76">
                  <c:v>-0.16999999999999638</c:v>
                </c:pt>
                <c:pt idx="77">
                  <c:v>-0.13000000000000256</c:v>
                </c:pt>
                <c:pt idx="78">
                  <c:v>-0.18999999999999773</c:v>
                </c:pt>
                <c:pt idx="79">
                  <c:v>-0.11999999999999744</c:v>
                </c:pt>
                <c:pt idx="80">
                  <c:v>-8.0000000000001847E-2</c:v>
                </c:pt>
                <c:pt idx="81">
                  <c:v>-0.13000000000000256</c:v>
                </c:pt>
                <c:pt idx="82">
                  <c:v>-3.9999999999999147E-2</c:v>
                </c:pt>
                <c:pt idx="83">
                  <c:v>-0.14999999999999858</c:v>
                </c:pt>
                <c:pt idx="84">
                  <c:v>-5.0000000000000711E-2</c:v>
                </c:pt>
                <c:pt idx="85">
                  <c:v>-6.0000000000000497E-2</c:v>
                </c:pt>
                <c:pt idx="86">
                  <c:v>-8.0000000000001847E-2</c:v>
                </c:pt>
                <c:pt idx="87">
                  <c:v>-0.18999999999999773</c:v>
                </c:pt>
                <c:pt idx="88">
                  <c:v>-3.9999999999999147E-2</c:v>
                </c:pt>
                <c:pt idx="89">
                  <c:v>2.9999999999997584E-2</c:v>
                </c:pt>
                <c:pt idx="90">
                  <c:v>-0.13000000000000256</c:v>
                </c:pt>
                <c:pt idx="91">
                  <c:v>-0.11999999999999744</c:v>
                </c:pt>
                <c:pt idx="92">
                  <c:v>1.0000000000001563E-2</c:v>
                </c:pt>
                <c:pt idx="93">
                  <c:v>8.0000000000000071E-2</c:v>
                </c:pt>
                <c:pt idx="94">
                  <c:v>-9.0000000000001634E-2</c:v>
                </c:pt>
                <c:pt idx="95">
                  <c:v>-2.9999999999999361E-2</c:v>
                </c:pt>
                <c:pt idx="96">
                  <c:v>-0.16999999999999638</c:v>
                </c:pt>
                <c:pt idx="97">
                  <c:v>-9.9999999999980105E-3</c:v>
                </c:pt>
                <c:pt idx="98">
                  <c:v>-2.9999999999999361E-2</c:v>
                </c:pt>
                <c:pt idx="99">
                  <c:v>-8.0000000000001847E-2</c:v>
                </c:pt>
                <c:pt idx="100">
                  <c:v>-0.20999999999999908</c:v>
                </c:pt>
                <c:pt idx="101">
                  <c:v>5.0000000000004263E-2</c:v>
                </c:pt>
                <c:pt idx="102">
                  <c:v>-5.0000000000000711E-2</c:v>
                </c:pt>
                <c:pt idx="103">
                  <c:v>0.11999999999999744</c:v>
                </c:pt>
                <c:pt idx="104">
                  <c:v>-8.0000000000001847E-2</c:v>
                </c:pt>
                <c:pt idx="105">
                  <c:v>2.0000000000003126E-2</c:v>
                </c:pt>
                <c:pt idx="106">
                  <c:v>1.0000000000001563E-2</c:v>
                </c:pt>
                <c:pt idx="107">
                  <c:v>-6.0000000000000497E-2</c:v>
                </c:pt>
                <c:pt idx="108">
                  <c:v>8.9999999999999858E-2</c:v>
                </c:pt>
                <c:pt idx="109">
                  <c:v>-5.0000000000000711E-2</c:v>
                </c:pt>
                <c:pt idx="110">
                  <c:v>-5.0000000000000711E-2</c:v>
                </c:pt>
                <c:pt idx="111">
                  <c:v>-0.25999999999999979</c:v>
                </c:pt>
                <c:pt idx="112">
                  <c:v>-0.13999999999999879</c:v>
                </c:pt>
                <c:pt idx="113">
                  <c:v>0.20000000000000107</c:v>
                </c:pt>
                <c:pt idx="114">
                  <c:v>-6.0000000000000497E-2</c:v>
                </c:pt>
                <c:pt idx="115">
                  <c:v>-0.13999999999999879</c:v>
                </c:pt>
                <c:pt idx="116">
                  <c:v>-9.0000000000001634E-2</c:v>
                </c:pt>
                <c:pt idx="117">
                  <c:v>-0.13000000000000256</c:v>
                </c:pt>
                <c:pt idx="118">
                  <c:v>-8.0000000000001847E-2</c:v>
                </c:pt>
                <c:pt idx="119">
                  <c:v>-0.18999999999999773</c:v>
                </c:pt>
                <c:pt idx="120">
                  <c:v>8.9999999999999858E-2</c:v>
                </c:pt>
                <c:pt idx="121">
                  <c:v>-5.0000000000000711E-2</c:v>
                </c:pt>
                <c:pt idx="122">
                  <c:v>-0.13999999999999879</c:v>
                </c:pt>
                <c:pt idx="123">
                  <c:v>-0.10999999999999766</c:v>
                </c:pt>
                <c:pt idx="124">
                  <c:v>-0.17999999999999794</c:v>
                </c:pt>
                <c:pt idx="125">
                  <c:v>1.0000000000001563E-2</c:v>
                </c:pt>
                <c:pt idx="126">
                  <c:v>0.16999999999999993</c:v>
                </c:pt>
                <c:pt idx="127">
                  <c:v>0.17999999999999972</c:v>
                </c:pt>
                <c:pt idx="128">
                  <c:v>2.9999999999997584E-2</c:v>
                </c:pt>
                <c:pt idx="129">
                  <c:v>-3.9999999999999147E-2</c:v>
                </c:pt>
                <c:pt idx="130">
                  <c:v>3.9999999999999147E-2</c:v>
                </c:pt>
                <c:pt idx="131">
                  <c:v>8.0000000000000071E-2</c:v>
                </c:pt>
                <c:pt idx="132">
                  <c:v>8.9999999999999858E-2</c:v>
                </c:pt>
                <c:pt idx="133">
                  <c:v>0.11999999999999744</c:v>
                </c:pt>
                <c:pt idx="134">
                  <c:v>0.24000000000000199</c:v>
                </c:pt>
                <c:pt idx="135">
                  <c:v>8.0000000000000071E-2</c:v>
                </c:pt>
                <c:pt idx="136">
                  <c:v>0.22000000000000242</c:v>
                </c:pt>
                <c:pt idx="137">
                  <c:v>5.9999999999998721E-2</c:v>
                </c:pt>
                <c:pt idx="138">
                  <c:v>5.0000000000004263E-2</c:v>
                </c:pt>
                <c:pt idx="139">
                  <c:v>-2.9999999999999361E-2</c:v>
                </c:pt>
                <c:pt idx="140">
                  <c:v>-1.9999999999999574E-2</c:v>
                </c:pt>
                <c:pt idx="141">
                  <c:v>2.0000000000003126E-2</c:v>
                </c:pt>
                <c:pt idx="142">
                  <c:v>-0.10000000000000142</c:v>
                </c:pt>
                <c:pt idx="143">
                  <c:v>0.11999999999999744</c:v>
                </c:pt>
                <c:pt idx="144">
                  <c:v>2.9999999999997584E-2</c:v>
                </c:pt>
                <c:pt idx="145">
                  <c:v>2.0000000000003126E-2</c:v>
                </c:pt>
                <c:pt idx="146">
                  <c:v>-0.11999999999999744</c:v>
                </c:pt>
                <c:pt idx="147">
                  <c:v>-1.9999999999999574E-2</c:v>
                </c:pt>
                <c:pt idx="148">
                  <c:v>-0.14999999999999858</c:v>
                </c:pt>
                <c:pt idx="149">
                  <c:v>-0.17999999999999794</c:v>
                </c:pt>
                <c:pt idx="150">
                  <c:v>-7.0000000000000284E-2</c:v>
                </c:pt>
                <c:pt idx="151">
                  <c:v>-5.0000000000000711E-2</c:v>
                </c:pt>
                <c:pt idx="152">
                  <c:v>-0.16000000000000014</c:v>
                </c:pt>
                <c:pt idx="153">
                  <c:v>-7.0000000000000284E-2</c:v>
                </c:pt>
                <c:pt idx="154">
                  <c:v>-9.9999999999980105E-3</c:v>
                </c:pt>
                <c:pt idx="155">
                  <c:v>-5.0000000000000711E-2</c:v>
                </c:pt>
                <c:pt idx="156">
                  <c:v>-3.9999999999999147E-2</c:v>
                </c:pt>
                <c:pt idx="157">
                  <c:v>-7.0000000000000284E-2</c:v>
                </c:pt>
                <c:pt idx="158">
                  <c:v>-8.0000000000001847E-2</c:v>
                </c:pt>
                <c:pt idx="159">
                  <c:v>-0.21999999999999886</c:v>
                </c:pt>
                <c:pt idx="160">
                  <c:v>-0.17999999999999794</c:v>
                </c:pt>
                <c:pt idx="161">
                  <c:v>2.9999999999997584E-2</c:v>
                </c:pt>
                <c:pt idx="162">
                  <c:v>0</c:v>
                </c:pt>
                <c:pt idx="163">
                  <c:v>-2.9999999999999361E-2</c:v>
                </c:pt>
                <c:pt idx="164">
                  <c:v>3.9999999999999147E-2</c:v>
                </c:pt>
                <c:pt idx="165">
                  <c:v>1.0000000000001563E-2</c:v>
                </c:pt>
                <c:pt idx="166">
                  <c:v>0.16000000000000014</c:v>
                </c:pt>
                <c:pt idx="167">
                  <c:v>2.0000000000003126E-2</c:v>
                </c:pt>
                <c:pt idx="168">
                  <c:v>8.0000000000000071E-2</c:v>
                </c:pt>
                <c:pt idx="169">
                  <c:v>2.0000000000003126E-2</c:v>
                </c:pt>
                <c:pt idx="170">
                  <c:v>0.17999999999999972</c:v>
                </c:pt>
                <c:pt idx="171">
                  <c:v>0.28999999999999559</c:v>
                </c:pt>
                <c:pt idx="172">
                  <c:v>0.32000000000000028</c:v>
                </c:pt>
                <c:pt idx="173">
                  <c:v>0.28999999999999559</c:v>
                </c:pt>
                <c:pt idx="174">
                  <c:v>0.27000000000000135</c:v>
                </c:pt>
                <c:pt idx="175">
                  <c:v>0.2300000000000022</c:v>
                </c:pt>
                <c:pt idx="176">
                  <c:v>0.19000000000000128</c:v>
                </c:pt>
                <c:pt idx="177">
                  <c:v>0.12999999999999901</c:v>
                </c:pt>
                <c:pt idx="178">
                  <c:v>5.0000000000004263E-2</c:v>
                </c:pt>
                <c:pt idx="179">
                  <c:v>8.9999999999999858E-2</c:v>
                </c:pt>
                <c:pt idx="180">
                  <c:v>9.9999999999997868E-2</c:v>
                </c:pt>
                <c:pt idx="181">
                  <c:v>3.9999999999999147E-2</c:v>
                </c:pt>
                <c:pt idx="182">
                  <c:v>-7.0000000000000284E-2</c:v>
                </c:pt>
                <c:pt idx="183">
                  <c:v>-0.10000000000000142</c:v>
                </c:pt>
                <c:pt idx="184">
                  <c:v>-0.27000000000000135</c:v>
                </c:pt>
                <c:pt idx="185">
                  <c:v>-5.0000000000000711E-2</c:v>
                </c:pt>
                <c:pt idx="186">
                  <c:v>-0.11999999999999744</c:v>
                </c:pt>
                <c:pt idx="187">
                  <c:v>-3.9999999999999147E-2</c:v>
                </c:pt>
                <c:pt idx="188">
                  <c:v>-5.0000000000000711E-2</c:v>
                </c:pt>
                <c:pt idx="189">
                  <c:v>-2.9999999999999361E-2</c:v>
                </c:pt>
                <c:pt idx="190">
                  <c:v>9.9999999999997868E-2</c:v>
                </c:pt>
                <c:pt idx="191">
                  <c:v>-8.0000000000001847E-2</c:v>
                </c:pt>
                <c:pt idx="192">
                  <c:v>-6.0000000000000497E-2</c:v>
                </c:pt>
                <c:pt idx="193">
                  <c:v>-8.0000000000001847E-2</c:v>
                </c:pt>
                <c:pt idx="194">
                  <c:v>-8.0000000000001847E-2</c:v>
                </c:pt>
                <c:pt idx="195">
                  <c:v>9.9999999999997868E-2</c:v>
                </c:pt>
                <c:pt idx="196">
                  <c:v>8.0000000000000071E-2</c:v>
                </c:pt>
                <c:pt idx="197">
                  <c:v>0.11999999999999744</c:v>
                </c:pt>
                <c:pt idx="198">
                  <c:v>3.9999999999999147E-2</c:v>
                </c:pt>
                <c:pt idx="199">
                  <c:v>0.16000000000000014</c:v>
                </c:pt>
                <c:pt idx="200">
                  <c:v>-9.9999999999980105E-3</c:v>
                </c:pt>
                <c:pt idx="201">
                  <c:v>-9.9999999999980105E-3</c:v>
                </c:pt>
                <c:pt idx="202">
                  <c:v>-0.16999999999999638</c:v>
                </c:pt>
                <c:pt idx="203">
                  <c:v>-1.9999999999999574E-2</c:v>
                </c:pt>
                <c:pt idx="204">
                  <c:v>-0.10999999999999766</c:v>
                </c:pt>
                <c:pt idx="205">
                  <c:v>-0.16999999999999638</c:v>
                </c:pt>
                <c:pt idx="206">
                  <c:v>-0.16999999999999638</c:v>
                </c:pt>
                <c:pt idx="207">
                  <c:v>-2.9999999999999361E-2</c:v>
                </c:pt>
                <c:pt idx="208">
                  <c:v>-6.0000000000000497E-2</c:v>
                </c:pt>
                <c:pt idx="209">
                  <c:v>-0.21999999999999886</c:v>
                </c:pt>
                <c:pt idx="210">
                  <c:v>-7.0000000000000284E-2</c:v>
                </c:pt>
                <c:pt idx="211">
                  <c:v>-0.19999999999999751</c:v>
                </c:pt>
                <c:pt idx="212">
                  <c:v>-0.11999999999999744</c:v>
                </c:pt>
                <c:pt idx="213">
                  <c:v>-0.10000000000000142</c:v>
                </c:pt>
                <c:pt idx="214">
                  <c:v>-0.11999999999999744</c:v>
                </c:pt>
                <c:pt idx="215">
                  <c:v>-6.0000000000000497E-2</c:v>
                </c:pt>
                <c:pt idx="216">
                  <c:v>-0.24000000000000021</c:v>
                </c:pt>
                <c:pt idx="217">
                  <c:v>-6.0000000000000497E-2</c:v>
                </c:pt>
                <c:pt idx="218">
                  <c:v>0.10999999999999766</c:v>
                </c:pt>
                <c:pt idx="219">
                  <c:v>0.19000000000000128</c:v>
                </c:pt>
                <c:pt idx="220">
                  <c:v>0.2300000000000022</c:v>
                </c:pt>
                <c:pt idx="221">
                  <c:v>0.24000000000000199</c:v>
                </c:pt>
                <c:pt idx="222">
                  <c:v>0.25999999999999979</c:v>
                </c:pt>
                <c:pt idx="223">
                  <c:v>0.32999999999999652</c:v>
                </c:pt>
                <c:pt idx="224">
                  <c:v>0.27000000000000135</c:v>
                </c:pt>
                <c:pt idx="225">
                  <c:v>0.20000000000000107</c:v>
                </c:pt>
                <c:pt idx="226">
                  <c:v>0.17999999999999972</c:v>
                </c:pt>
                <c:pt idx="227">
                  <c:v>2.0000000000003126E-2</c:v>
                </c:pt>
                <c:pt idx="228">
                  <c:v>2.9999999999997584E-2</c:v>
                </c:pt>
                <c:pt idx="229">
                  <c:v>0.16000000000000014</c:v>
                </c:pt>
                <c:pt idx="230">
                  <c:v>2.9999999999997584E-2</c:v>
                </c:pt>
                <c:pt idx="231">
                  <c:v>5.9999999999998721E-2</c:v>
                </c:pt>
                <c:pt idx="232">
                  <c:v>9.9999999999997868E-2</c:v>
                </c:pt>
                <c:pt idx="233">
                  <c:v>0.19000000000000128</c:v>
                </c:pt>
                <c:pt idx="234">
                  <c:v>0.16999999999999993</c:v>
                </c:pt>
                <c:pt idx="235">
                  <c:v>8.9999999999999858E-2</c:v>
                </c:pt>
                <c:pt idx="236">
                  <c:v>-9.9999999999980105E-3</c:v>
                </c:pt>
                <c:pt idx="237">
                  <c:v>3.9999999999999147E-2</c:v>
                </c:pt>
                <c:pt idx="238">
                  <c:v>-0.13999999999999879</c:v>
                </c:pt>
                <c:pt idx="239">
                  <c:v>5.9999999999998721E-2</c:v>
                </c:pt>
                <c:pt idx="240">
                  <c:v>2.9999999999997584E-2</c:v>
                </c:pt>
                <c:pt idx="241">
                  <c:v>0.12999999999999901</c:v>
                </c:pt>
                <c:pt idx="242">
                  <c:v>8.0000000000000071E-2</c:v>
                </c:pt>
                <c:pt idx="243">
                  <c:v>8.9999999999999858E-2</c:v>
                </c:pt>
                <c:pt idx="244">
                  <c:v>-0.10000000000000142</c:v>
                </c:pt>
                <c:pt idx="245">
                  <c:v>0.19000000000000128</c:v>
                </c:pt>
                <c:pt idx="246">
                  <c:v>0.14999999999999858</c:v>
                </c:pt>
                <c:pt idx="247">
                  <c:v>2.9999999999997584E-2</c:v>
                </c:pt>
                <c:pt idx="248">
                  <c:v>0.13999999999999879</c:v>
                </c:pt>
                <c:pt idx="249">
                  <c:v>3.9999999999999147E-2</c:v>
                </c:pt>
                <c:pt idx="250">
                  <c:v>0.16999999999999993</c:v>
                </c:pt>
                <c:pt idx="251">
                  <c:v>0.25000000000000355</c:v>
                </c:pt>
                <c:pt idx="252">
                  <c:v>0.25999999999999979</c:v>
                </c:pt>
                <c:pt idx="253">
                  <c:v>0.28000000000000114</c:v>
                </c:pt>
                <c:pt idx="254">
                  <c:v>0.47000000000000242</c:v>
                </c:pt>
                <c:pt idx="255">
                  <c:v>0.30000000000000249</c:v>
                </c:pt>
                <c:pt idx="256">
                  <c:v>0.38999999999999879</c:v>
                </c:pt>
                <c:pt idx="257">
                  <c:v>0.28999999999999559</c:v>
                </c:pt>
                <c:pt idx="258">
                  <c:v>0.30000000000000249</c:v>
                </c:pt>
                <c:pt idx="259">
                  <c:v>0.34999999999999787</c:v>
                </c:pt>
                <c:pt idx="260">
                  <c:v>0.20000000000000107</c:v>
                </c:pt>
                <c:pt idx="261">
                  <c:v>0.22000000000000242</c:v>
                </c:pt>
                <c:pt idx="262">
                  <c:v>0.17999999999999972</c:v>
                </c:pt>
                <c:pt idx="263">
                  <c:v>0.20000000000000107</c:v>
                </c:pt>
                <c:pt idx="264">
                  <c:v>0.12999999999999901</c:v>
                </c:pt>
                <c:pt idx="265">
                  <c:v>0.30000000000000249</c:v>
                </c:pt>
                <c:pt idx="266">
                  <c:v>0.21000000000000085</c:v>
                </c:pt>
                <c:pt idx="267">
                  <c:v>0.52999999999999758</c:v>
                </c:pt>
                <c:pt idx="268">
                  <c:v>0.42000000000000348</c:v>
                </c:pt>
                <c:pt idx="269">
                  <c:v>0.47999999999999865</c:v>
                </c:pt>
                <c:pt idx="270">
                  <c:v>0.32000000000000028</c:v>
                </c:pt>
                <c:pt idx="271">
                  <c:v>0.25000000000000355</c:v>
                </c:pt>
                <c:pt idx="272">
                  <c:v>0.28999999999999559</c:v>
                </c:pt>
                <c:pt idx="273">
                  <c:v>0.32999999999999652</c:v>
                </c:pt>
                <c:pt idx="274">
                  <c:v>0.34999999999999787</c:v>
                </c:pt>
                <c:pt idx="275">
                  <c:v>0.14999999999999858</c:v>
                </c:pt>
                <c:pt idx="276">
                  <c:v>0.11999999999999744</c:v>
                </c:pt>
                <c:pt idx="277">
                  <c:v>0.2300000000000022</c:v>
                </c:pt>
                <c:pt idx="278">
                  <c:v>0.41000000000000014</c:v>
                </c:pt>
                <c:pt idx="279">
                  <c:v>5.0000000000004263E-2</c:v>
                </c:pt>
                <c:pt idx="280">
                  <c:v>0.14999999999999858</c:v>
                </c:pt>
                <c:pt idx="281">
                  <c:v>2.9999999999997584E-2</c:v>
                </c:pt>
                <c:pt idx="282">
                  <c:v>0.14999999999999858</c:v>
                </c:pt>
                <c:pt idx="283">
                  <c:v>0.17999999999999972</c:v>
                </c:pt>
                <c:pt idx="284">
                  <c:v>5.9999999999998721E-2</c:v>
                </c:pt>
                <c:pt idx="285">
                  <c:v>0.13999999999999879</c:v>
                </c:pt>
                <c:pt idx="286">
                  <c:v>2.9999999999997584E-2</c:v>
                </c:pt>
                <c:pt idx="287">
                  <c:v>0.13999999999999879</c:v>
                </c:pt>
                <c:pt idx="288">
                  <c:v>0.12999999999999901</c:v>
                </c:pt>
                <c:pt idx="289">
                  <c:v>0.17999999999999972</c:v>
                </c:pt>
                <c:pt idx="290">
                  <c:v>0.42999999999999972</c:v>
                </c:pt>
                <c:pt idx="291">
                  <c:v>0.52999999999999758</c:v>
                </c:pt>
                <c:pt idx="292">
                  <c:v>0.42999999999999972</c:v>
                </c:pt>
                <c:pt idx="293">
                  <c:v>0.42000000000000348</c:v>
                </c:pt>
                <c:pt idx="294">
                  <c:v>0.28000000000000114</c:v>
                </c:pt>
                <c:pt idx="295">
                  <c:v>0.33999999999999986</c:v>
                </c:pt>
                <c:pt idx="296">
                  <c:v>0.2300000000000022</c:v>
                </c:pt>
                <c:pt idx="297">
                  <c:v>0.17999999999999972</c:v>
                </c:pt>
                <c:pt idx="298">
                  <c:v>0.36000000000000121</c:v>
                </c:pt>
                <c:pt idx="299">
                  <c:v>0.36999999999999744</c:v>
                </c:pt>
                <c:pt idx="300">
                  <c:v>0.16999999999999993</c:v>
                </c:pt>
                <c:pt idx="301">
                  <c:v>0.30000000000000249</c:v>
                </c:pt>
                <c:pt idx="302">
                  <c:v>0.16999999999999993</c:v>
                </c:pt>
                <c:pt idx="303">
                  <c:v>0.31000000000000227</c:v>
                </c:pt>
                <c:pt idx="304">
                  <c:v>0.13999999999999879</c:v>
                </c:pt>
                <c:pt idx="305">
                  <c:v>0.25999999999999979</c:v>
                </c:pt>
                <c:pt idx="306">
                  <c:v>5.9999999999998721E-2</c:v>
                </c:pt>
                <c:pt idx="307">
                  <c:v>0.32999999999999652</c:v>
                </c:pt>
                <c:pt idx="308">
                  <c:v>2.0000000000003126E-2</c:v>
                </c:pt>
                <c:pt idx="309">
                  <c:v>0.19000000000000128</c:v>
                </c:pt>
                <c:pt idx="310">
                  <c:v>0.19000000000000128</c:v>
                </c:pt>
                <c:pt idx="311">
                  <c:v>0.21000000000000085</c:v>
                </c:pt>
                <c:pt idx="312">
                  <c:v>0.12999999999999901</c:v>
                </c:pt>
                <c:pt idx="313">
                  <c:v>5.9999999999998721E-2</c:v>
                </c:pt>
                <c:pt idx="314">
                  <c:v>-3.9999999999999147E-2</c:v>
                </c:pt>
                <c:pt idx="315">
                  <c:v>0.22000000000000242</c:v>
                </c:pt>
                <c:pt idx="316">
                  <c:v>-3.9999999999999147E-2</c:v>
                </c:pt>
                <c:pt idx="317">
                  <c:v>0.16999999999999993</c:v>
                </c:pt>
                <c:pt idx="318">
                  <c:v>0.11999999999999744</c:v>
                </c:pt>
                <c:pt idx="319">
                  <c:v>0.14999999999999858</c:v>
                </c:pt>
                <c:pt idx="320">
                  <c:v>0.14999999999999858</c:v>
                </c:pt>
                <c:pt idx="321">
                  <c:v>3.9999999999999147E-2</c:v>
                </c:pt>
                <c:pt idx="322">
                  <c:v>0.16999999999999993</c:v>
                </c:pt>
                <c:pt idx="323">
                  <c:v>0.12999999999999901</c:v>
                </c:pt>
                <c:pt idx="324">
                  <c:v>0.11999999999999744</c:v>
                </c:pt>
                <c:pt idx="325">
                  <c:v>5.0000000000004263E-2</c:v>
                </c:pt>
                <c:pt idx="326">
                  <c:v>0.13999999999999879</c:v>
                </c:pt>
                <c:pt idx="327">
                  <c:v>0.25999999999999979</c:v>
                </c:pt>
                <c:pt idx="328">
                  <c:v>0.36999999999999744</c:v>
                </c:pt>
                <c:pt idx="329">
                  <c:v>0.30000000000000249</c:v>
                </c:pt>
                <c:pt idx="330">
                  <c:v>0.22000000000000242</c:v>
                </c:pt>
                <c:pt idx="331">
                  <c:v>0.21000000000000085</c:v>
                </c:pt>
                <c:pt idx="332">
                  <c:v>0.11999999999999744</c:v>
                </c:pt>
                <c:pt idx="333">
                  <c:v>0.10999999999999766</c:v>
                </c:pt>
                <c:pt idx="334">
                  <c:v>0.16000000000000014</c:v>
                </c:pt>
                <c:pt idx="335">
                  <c:v>2.9999999999997584E-2</c:v>
                </c:pt>
                <c:pt idx="336">
                  <c:v>0.14999999999999858</c:v>
                </c:pt>
                <c:pt idx="337">
                  <c:v>9.9999999999997868E-2</c:v>
                </c:pt>
                <c:pt idx="338">
                  <c:v>0.12999999999999901</c:v>
                </c:pt>
                <c:pt idx="339">
                  <c:v>0.32000000000000028</c:v>
                </c:pt>
                <c:pt idx="340">
                  <c:v>0.42999999999999972</c:v>
                </c:pt>
                <c:pt idx="341">
                  <c:v>0.17999999999999972</c:v>
                </c:pt>
                <c:pt idx="342">
                  <c:v>0.24000000000000199</c:v>
                </c:pt>
                <c:pt idx="343">
                  <c:v>0.25999999999999979</c:v>
                </c:pt>
                <c:pt idx="344">
                  <c:v>0.34999999999999787</c:v>
                </c:pt>
                <c:pt idx="345">
                  <c:v>0.40000000000000213</c:v>
                </c:pt>
                <c:pt idx="346">
                  <c:v>0.25000000000000355</c:v>
                </c:pt>
                <c:pt idx="347">
                  <c:v>0.34999999999999787</c:v>
                </c:pt>
                <c:pt idx="348">
                  <c:v>0.32999999999999652</c:v>
                </c:pt>
                <c:pt idx="349">
                  <c:v>0.28999999999999559</c:v>
                </c:pt>
                <c:pt idx="350">
                  <c:v>0.46000000000000441</c:v>
                </c:pt>
                <c:pt idx="351">
                  <c:v>0.57000000000000028</c:v>
                </c:pt>
                <c:pt idx="352">
                  <c:v>0.44000000000000483</c:v>
                </c:pt>
                <c:pt idx="353">
                  <c:v>0.5199999999999978</c:v>
                </c:pt>
                <c:pt idx="354">
                  <c:v>0.42999999999999972</c:v>
                </c:pt>
                <c:pt idx="355">
                  <c:v>0.44000000000000483</c:v>
                </c:pt>
                <c:pt idx="356">
                  <c:v>0.40000000000000213</c:v>
                </c:pt>
                <c:pt idx="357">
                  <c:v>0.32999999999999652</c:v>
                </c:pt>
                <c:pt idx="358">
                  <c:v>0.38999999999999879</c:v>
                </c:pt>
                <c:pt idx="359">
                  <c:v>0.36999999999999744</c:v>
                </c:pt>
                <c:pt idx="360">
                  <c:v>0.38000000000000256</c:v>
                </c:pt>
                <c:pt idx="361">
                  <c:v>0.11999999999999744</c:v>
                </c:pt>
                <c:pt idx="362">
                  <c:v>0.28999999999999559</c:v>
                </c:pt>
                <c:pt idx="363">
                  <c:v>0.11999999999999744</c:v>
                </c:pt>
                <c:pt idx="364">
                  <c:v>0.30000000000000249</c:v>
                </c:pt>
                <c:pt idx="365">
                  <c:v>0.36000000000000121</c:v>
                </c:pt>
                <c:pt idx="366">
                  <c:v>0.28999999999999559</c:v>
                </c:pt>
                <c:pt idx="367">
                  <c:v>0.17999999999999972</c:v>
                </c:pt>
                <c:pt idx="368">
                  <c:v>0.14999999999999858</c:v>
                </c:pt>
                <c:pt idx="369">
                  <c:v>0.34999999999999787</c:v>
                </c:pt>
                <c:pt idx="370">
                  <c:v>0.32999999999999652</c:v>
                </c:pt>
                <c:pt idx="371">
                  <c:v>0.34999999999999787</c:v>
                </c:pt>
                <c:pt idx="372">
                  <c:v>0.28999999999999559</c:v>
                </c:pt>
                <c:pt idx="373">
                  <c:v>0.20000000000000107</c:v>
                </c:pt>
                <c:pt idx="374">
                  <c:v>0.36999999999999744</c:v>
                </c:pt>
                <c:pt idx="375">
                  <c:v>0.42000000000000348</c:v>
                </c:pt>
                <c:pt idx="376">
                  <c:v>0.44000000000000483</c:v>
                </c:pt>
                <c:pt idx="377">
                  <c:v>0.79999999999999893</c:v>
                </c:pt>
                <c:pt idx="378">
                  <c:v>0.55999999999999872</c:v>
                </c:pt>
                <c:pt idx="379">
                  <c:v>0.46000000000000441</c:v>
                </c:pt>
                <c:pt idx="380">
                  <c:v>0.36999999999999744</c:v>
                </c:pt>
                <c:pt idx="381">
                  <c:v>0.46000000000000441</c:v>
                </c:pt>
                <c:pt idx="382">
                  <c:v>0.33999999999999986</c:v>
                </c:pt>
                <c:pt idx="383">
                  <c:v>0.2300000000000022</c:v>
                </c:pt>
                <c:pt idx="384">
                  <c:v>0.44999999999999751</c:v>
                </c:pt>
                <c:pt idx="385">
                  <c:v>0.46000000000000441</c:v>
                </c:pt>
                <c:pt idx="386">
                  <c:v>0.40000000000000213</c:v>
                </c:pt>
                <c:pt idx="387">
                  <c:v>0.42999999999999972</c:v>
                </c:pt>
                <c:pt idx="388">
                  <c:v>0.5</c:v>
                </c:pt>
                <c:pt idx="389">
                  <c:v>0.36000000000000121</c:v>
                </c:pt>
                <c:pt idx="390">
                  <c:v>0.50999999999999801</c:v>
                </c:pt>
                <c:pt idx="391">
                  <c:v>0.33999999999999986</c:v>
                </c:pt>
                <c:pt idx="392">
                  <c:v>0.52999999999999758</c:v>
                </c:pt>
                <c:pt idx="393">
                  <c:v>0.47999999999999865</c:v>
                </c:pt>
                <c:pt idx="394">
                  <c:v>0.38999999999999879</c:v>
                </c:pt>
                <c:pt idx="395">
                  <c:v>0.44000000000000483</c:v>
                </c:pt>
                <c:pt idx="396">
                  <c:v>0.28999999999999559</c:v>
                </c:pt>
                <c:pt idx="397">
                  <c:v>0.30000000000000249</c:v>
                </c:pt>
                <c:pt idx="398">
                  <c:v>0.32000000000000028</c:v>
                </c:pt>
                <c:pt idx="399">
                  <c:v>0.47999999999999865</c:v>
                </c:pt>
                <c:pt idx="400">
                  <c:v>0.40000000000000213</c:v>
                </c:pt>
                <c:pt idx="401">
                  <c:v>0.47999999999999865</c:v>
                </c:pt>
                <c:pt idx="402">
                  <c:v>0.28000000000000114</c:v>
                </c:pt>
                <c:pt idx="403">
                  <c:v>0.31000000000000227</c:v>
                </c:pt>
                <c:pt idx="404">
                  <c:v>0.25999999999999979</c:v>
                </c:pt>
                <c:pt idx="405">
                  <c:v>8.9999999999999858E-2</c:v>
                </c:pt>
                <c:pt idx="406">
                  <c:v>8.0000000000000071E-2</c:v>
                </c:pt>
                <c:pt idx="407">
                  <c:v>-9.9999999999980105E-3</c:v>
                </c:pt>
                <c:pt idx="408">
                  <c:v>7.0000000000000284E-2</c:v>
                </c:pt>
                <c:pt idx="409">
                  <c:v>2.9999999999997584E-2</c:v>
                </c:pt>
                <c:pt idx="410">
                  <c:v>0.22000000000000242</c:v>
                </c:pt>
                <c:pt idx="411">
                  <c:v>0.34999999999999787</c:v>
                </c:pt>
                <c:pt idx="412">
                  <c:v>0.36999999999999744</c:v>
                </c:pt>
                <c:pt idx="413">
                  <c:v>0.36000000000000121</c:v>
                </c:pt>
                <c:pt idx="414">
                  <c:v>0.28000000000000114</c:v>
                </c:pt>
                <c:pt idx="415">
                  <c:v>0.28000000000000114</c:v>
                </c:pt>
                <c:pt idx="416">
                  <c:v>0.2300000000000022</c:v>
                </c:pt>
                <c:pt idx="417">
                  <c:v>0.25000000000000355</c:v>
                </c:pt>
                <c:pt idx="418">
                  <c:v>0.10999999999999766</c:v>
                </c:pt>
                <c:pt idx="419">
                  <c:v>0.10999999999999766</c:v>
                </c:pt>
                <c:pt idx="420">
                  <c:v>0.24000000000000199</c:v>
                </c:pt>
                <c:pt idx="421">
                  <c:v>3.9999999999999147E-2</c:v>
                </c:pt>
                <c:pt idx="422">
                  <c:v>0.17999999999999972</c:v>
                </c:pt>
                <c:pt idx="423">
                  <c:v>0.25999999999999979</c:v>
                </c:pt>
                <c:pt idx="424">
                  <c:v>2.0000000000003126E-2</c:v>
                </c:pt>
                <c:pt idx="425">
                  <c:v>0.28999999999999559</c:v>
                </c:pt>
                <c:pt idx="426">
                  <c:v>0.41000000000000014</c:v>
                </c:pt>
                <c:pt idx="427">
                  <c:v>0.28000000000000114</c:v>
                </c:pt>
                <c:pt idx="428">
                  <c:v>0.42999999999999972</c:v>
                </c:pt>
                <c:pt idx="429">
                  <c:v>0.30000000000000249</c:v>
                </c:pt>
                <c:pt idx="430">
                  <c:v>0.22000000000000242</c:v>
                </c:pt>
                <c:pt idx="431">
                  <c:v>0.31000000000000227</c:v>
                </c:pt>
                <c:pt idx="432">
                  <c:v>0.42999999999999972</c:v>
                </c:pt>
                <c:pt idx="433">
                  <c:v>0.44999999999999751</c:v>
                </c:pt>
                <c:pt idx="434">
                  <c:v>0.38999999999999879</c:v>
                </c:pt>
                <c:pt idx="435">
                  <c:v>0.52999999999999758</c:v>
                </c:pt>
                <c:pt idx="436">
                  <c:v>0.79000000000000092</c:v>
                </c:pt>
                <c:pt idx="437">
                  <c:v>0.47000000000000242</c:v>
                </c:pt>
                <c:pt idx="438">
                  <c:v>0.47000000000000242</c:v>
                </c:pt>
                <c:pt idx="439">
                  <c:v>0.27000000000000135</c:v>
                </c:pt>
                <c:pt idx="440">
                  <c:v>0.42999999999999972</c:v>
                </c:pt>
                <c:pt idx="441">
                  <c:v>0.46000000000000441</c:v>
                </c:pt>
                <c:pt idx="442">
                  <c:v>0.44999999999999751</c:v>
                </c:pt>
                <c:pt idx="443">
                  <c:v>0.32999999999999652</c:v>
                </c:pt>
                <c:pt idx="444">
                  <c:v>0.46000000000000441</c:v>
                </c:pt>
                <c:pt idx="445">
                  <c:v>0.44999999999999751</c:v>
                </c:pt>
                <c:pt idx="446">
                  <c:v>0.25999999999999979</c:v>
                </c:pt>
                <c:pt idx="447">
                  <c:v>0.24000000000000199</c:v>
                </c:pt>
                <c:pt idx="448">
                  <c:v>0.46000000000000441</c:v>
                </c:pt>
                <c:pt idx="449">
                  <c:v>0.32999999999999652</c:v>
                </c:pt>
                <c:pt idx="450">
                  <c:v>0.32999999999999652</c:v>
                </c:pt>
                <c:pt idx="451">
                  <c:v>0.27000000000000135</c:v>
                </c:pt>
                <c:pt idx="452">
                  <c:v>0.25999999999999979</c:v>
                </c:pt>
                <c:pt idx="453">
                  <c:v>0.36999999999999744</c:v>
                </c:pt>
                <c:pt idx="454">
                  <c:v>0.47999999999999865</c:v>
                </c:pt>
                <c:pt idx="455">
                  <c:v>0.25999999999999979</c:v>
                </c:pt>
                <c:pt idx="456">
                  <c:v>0.22000000000000242</c:v>
                </c:pt>
                <c:pt idx="457">
                  <c:v>0.42000000000000348</c:v>
                </c:pt>
                <c:pt idx="458">
                  <c:v>0.36999999999999744</c:v>
                </c:pt>
                <c:pt idx="459">
                  <c:v>0.32000000000000028</c:v>
                </c:pt>
                <c:pt idx="460">
                  <c:v>0.41000000000000014</c:v>
                </c:pt>
                <c:pt idx="461">
                  <c:v>0.5199999999999978</c:v>
                </c:pt>
                <c:pt idx="462">
                  <c:v>0.33999999999999986</c:v>
                </c:pt>
                <c:pt idx="463">
                  <c:v>0.34999999999999787</c:v>
                </c:pt>
                <c:pt idx="464">
                  <c:v>0.54999999999999893</c:v>
                </c:pt>
                <c:pt idx="465">
                  <c:v>0.33999999999999986</c:v>
                </c:pt>
                <c:pt idx="466">
                  <c:v>0.41000000000000014</c:v>
                </c:pt>
                <c:pt idx="467">
                  <c:v>0.5199999999999978</c:v>
                </c:pt>
                <c:pt idx="468">
                  <c:v>0.61000000000000121</c:v>
                </c:pt>
                <c:pt idx="469">
                  <c:v>0.65000000000000213</c:v>
                </c:pt>
                <c:pt idx="470">
                  <c:v>0.58999999999999986</c:v>
                </c:pt>
                <c:pt idx="471">
                  <c:v>0.58000000000000007</c:v>
                </c:pt>
                <c:pt idx="472">
                  <c:v>0.88000000000000256</c:v>
                </c:pt>
                <c:pt idx="473">
                  <c:v>0.63000000000000256</c:v>
                </c:pt>
                <c:pt idx="474">
                  <c:v>0.64000000000000234</c:v>
                </c:pt>
                <c:pt idx="475">
                  <c:v>0.67999999999999972</c:v>
                </c:pt>
                <c:pt idx="476">
                  <c:v>0.77000000000000135</c:v>
                </c:pt>
                <c:pt idx="477">
                  <c:v>0.66000000000000369</c:v>
                </c:pt>
                <c:pt idx="478">
                  <c:v>0.65000000000000213</c:v>
                </c:pt>
                <c:pt idx="479">
                  <c:v>0.42000000000000348</c:v>
                </c:pt>
                <c:pt idx="480">
                  <c:v>0.42000000000000348</c:v>
                </c:pt>
                <c:pt idx="481">
                  <c:v>0.42999999999999972</c:v>
                </c:pt>
                <c:pt idx="482">
                  <c:v>0.54999999999999893</c:v>
                </c:pt>
                <c:pt idx="483">
                  <c:v>0.47999999999999865</c:v>
                </c:pt>
                <c:pt idx="484">
                  <c:v>0.64000000000000234</c:v>
                </c:pt>
                <c:pt idx="485">
                  <c:v>0.32999999999999652</c:v>
                </c:pt>
                <c:pt idx="486">
                  <c:v>0.32000000000000028</c:v>
                </c:pt>
                <c:pt idx="487">
                  <c:v>0.25999999999999979</c:v>
                </c:pt>
                <c:pt idx="488">
                  <c:v>0.36000000000000121</c:v>
                </c:pt>
                <c:pt idx="489">
                  <c:v>0.38999999999999879</c:v>
                </c:pt>
                <c:pt idx="490">
                  <c:v>0.31000000000000227</c:v>
                </c:pt>
                <c:pt idx="491">
                  <c:v>0.38999999999999879</c:v>
                </c:pt>
                <c:pt idx="492">
                  <c:v>0.33999999999999986</c:v>
                </c:pt>
                <c:pt idx="493">
                  <c:v>0.36999999999999744</c:v>
                </c:pt>
                <c:pt idx="494">
                  <c:v>0.40000000000000213</c:v>
                </c:pt>
                <c:pt idx="495">
                  <c:v>0.25000000000000355</c:v>
                </c:pt>
                <c:pt idx="496">
                  <c:v>0.55999999999999872</c:v>
                </c:pt>
                <c:pt idx="497">
                  <c:v>0.54999999999999893</c:v>
                </c:pt>
                <c:pt idx="498">
                  <c:v>0.55999999999999872</c:v>
                </c:pt>
                <c:pt idx="499">
                  <c:v>0.34999999999999787</c:v>
                </c:pt>
                <c:pt idx="500">
                  <c:v>0.40000000000000213</c:v>
                </c:pt>
                <c:pt idx="501">
                  <c:v>0.38999999999999879</c:v>
                </c:pt>
                <c:pt idx="502">
                  <c:v>0.42000000000000348</c:v>
                </c:pt>
                <c:pt idx="503">
                  <c:v>0.38999999999999879</c:v>
                </c:pt>
                <c:pt idx="504">
                  <c:v>0.27000000000000135</c:v>
                </c:pt>
                <c:pt idx="505">
                  <c:v>0.30000000000000249</c:v>
                </c:pt>
                <c:pt idx="506">
                  <c:v>0.28000000000000114</c:v>
                </c:pt>
                <c:pt idx="507">
                  <c:v>0.44999999999999751</c:v>
                </c:pt>
                <c:pt idx="508">
                  <c:v>0.44000000000000483</c:v>
                </c:pt>
                <c:pt idx="509">
                  <c:v>0.54999999999999893</c:v>
                </c:pt>
                <c:pt idx="510">
                  <c:v>0.5</c:v>
                </c:pt>
                <c:pt idx="511">
                  <c:v>0.57000000000000028</c:v>
                </c:pt>
                <c:pt idx="512">
                  <c:v>0.52999999999999758</c:v>
                </c:pt>
                <c:pt idx="513">
                  <c:v>0.58999999999999986</c:v>
                </c:pt>
                <c:pt idx="514">
                  <c:v>0.47999999999999865</c:v>
                </c:pt>
                <c:pt idx="515">
                  <c:v>0.5199999999999978</c:v>
                </c:pt>
                <c:pt idx="516">
                  <c:v>0.5</c:v>
                </c:pt>
                <c:pt idx="517">
                  <c:v>0.72000000000000242</c:v>
                </c:pt>
                <c:pt idx="518">
                  <c:v>0.54999999999999893</c:v>
                </c:pt>
                <c:pt idx="519">
                  <c:v>0.77000000000000135</c:v>
                </c:pt>
                <c:pt idx="520">
                  <c:v>0.77999999999999758</c:v>
                </c:pt>
                <c:pt idx="521">
                  <c:v>0.88000000000000256</c:v>
                </c:pt>
                <c:pt idx="522">
                  <c:v>0.58000000000000007</c:v>
                </c:pt>
                <c:pt idx="523">
                  <c:v>0.64000000000000234</c:v>
                </c:pt>
                <c:pt idx="524">
                  <c:v>0.52999999999999758</c:v>
                </c:pt>
                <c:pt idx="525">
                  <c:v>0.61000000000000121</c:v>
                </c:pt>
                <c:pt idx="526">
                  <c:v>0.52999999999999758</c:v>
                </c:pt>
                <c:pt idx="527">
                  <c:v>0.64000000000000234</c:v>
                </c:pt>
                <c:pt idx="528">
                  <c:v>0.53999999999999915</c:v>
                </c:pt>
                <c:pt idx="529">
                  <c:v>0.58999999999999986</c:v>
                </c:pt>
                <c:pt idx="530">
                  <c:v>0.44000000000000483</c:v>
                </c:pt>
                <c:pt idx="531">
                  <c:v>0.75</c:v>
                </c:pt>
                <c:pt idx="532">
                  <c:v>0.58000000000000007</c:v>
                </c:pt>
                <c:pt idx="533">
                  <c:v>0.60000000000000142</c:v>
                </c:pt>
                <c:pt idx="534">
                  <c:v>0.54999999999999893</c:v>
                </c:pt>
                <c:pt idx="535">
                  <c:v>0.60000000000000142</c:v>
                </c:pt>
                <c:pt idx="536">
                  <c:v>0.47999999999999865</c:v>
                </c:pt>
                <c:pt idx="537">
                  <c:v>0.58000000000000007</c:v>
                </c:pt>
                <c:pt idx="538">
                  <c:v>0.64000000000000234</c:v>
                </c:pt>
                <c:pt idx="539">
                  <c:v>0.62000000000000099</c:v>
                </c:pt>
                <c:pt idx="540">
                  <c:v>0.72000000000000242</c:v>
                </c:pt>
                <c:pt idx="541">
                  <c:v>0.52999999999999758</c:v>
                </c:pt>
                <c:pt idx="542">
                  <c:v>0.75</c:v>
                </c:pt>
                <c:pt idx="543">
                  <c:v>0.58000000000000007</c:v>
                </c:pt>
                <c:pt idx="544">
                  <c:v>0.72000000000000242</c:v>
                </c:pt>
                <c:pt idx="545">
                  <c:v>0.63000000000000256</c:v>
                </c:pt>
                <c:pt idx="546">
                  <c:v>0.61000000000000121</c:v>
                </c:pt>
                <c:pt idx="547">
                  <c:v>0.36999999999999744</c:v>
                </c:pt>
                <c:pt idx="548">
                  <c:v>0.44000000000000483</c:v>
                </c:pt>
                <c:pt idx="549">
                  <c:v>0.25999999999999979</c:v>
                </c:pt>
                <c:pt idx="550">
                  <c:v>0.44999999999999751</c:v>
                </c:pt>
                <c:pt idx="551">
                  <c:v>0.5</c:v>
                </c:pt>
                <c:pt idx="552">
                  <c:v>0.61000000000000121</c:v>
                </c:pt>
                <c:pt idx="553">
                  <c:v>0.7300000000000022</c:v>
                </c:pt>
                <c:pt idx="554">
                  <c:v>0.50999999999999801</c:v>
                </c:pt>
                <c:pt idx="555">
                  <c:v>0.75</c:v>
                </c:pt>
                <c:pt idx="556">
                  <c:v>0.60000000000000142</c:v>
                </c:pt>
                <c:pt idx="557">
                  <c:v>0.73999999999999666</c:v>
                </c:pt>
                <c:pt idx="558">
                  <c:v>0.66999999999999993</c:v>
                </c:pt>
                <c:pt idx="559">
                  <c:v>0.63000000000000256</c:v>
                </c:pt>
                <c:pt idx="560">
                  <c:v>0.65000000000000213</c:v>
                </c:pt>
                <c:pt idx="561">
                  <c:v>0.61000000000000121</c:v>
                </c:pt>
                <c:pt idx="562">
                  <c:v>0.60000000000000142</c:v>
                </c:pt>
                <c:pt idx="563">
                  <c:v>0.72000000000000242</c:v>
                </c:pt>
                <c:pt idx="564">
                  <c:v>0.75999999999999801</c:v>
                </c:pt>
                <c:pt idx="565">
                  <c:v>0.73999999999999666</c:v>
                </c:pt>
                <c:pt idx="566">
                  <c:v>0.67999999999999972</c:v>
                </c:pt>
                <c:pt idx="567">
                  <c:v>0.55999999999999872</c:v>
                </c:pt>
                <c:pt idx="568">
                  <c:v>0.73999999999999666</c:v>
                </c:pt>
                <c:pt idx="569">
                  <c:v>0.63000000000000256</c:v>
                </c:pt>
                <c:pt idx="570">
                  <c:v>0.47000000000000242</c:v>
                </c:pt>
                <c:pt idx="571">
                  <c:v>0.47999999999999865</c:v>
                </c:pt>
                <c:pt idx="572">
                  <c:v>0.66999999999999993</c:v>
                </c:pt>
                <c:pt idx="573">
                  <c:v>0.53999999999999915</c:v>
                </c:pt>
                <c:pt idx="574">
                  <c:v>0.71000000000000085</c:v>
                </c:pt>
                <c:pt idx="575">
                  <c:v>0.66000000000000369</c:v>
                </c:pt>
                <c:pt idx="576">
                  <c:v>0.71000000000000085</c:v>
                </c:pt>
                <c:pt idx="577">
                  <c:v>0.7300000000000022</c:v>
                </c:pt>
                <c:pt idx="578">
                  <c:v>0.79000000000000092</c:v>
                </c:pt>
                <c:pt idx="579">
                  <c:v>1.0099999999999998</c:v>
                </c:pt>
                <c:pt idx="580">
                  <c:v>0.70000000000000107</c:v>
                </c:pt>
                <c:pt idx="581">
                  <c:v>0.71000000000000085</c:v>
                </c:pt>
                <c:pt idx="582">
                  <c:v>0.77000000000000135</c:v>
                </c:pt>
                <c:pt idx="583">
                  <c:v>0.69000000000000128</c:v>
                </c:pt>
                <c:pt idx="584">
                  <c:v>0.61000000000000121</c:v>
                </c:pt>
                <c:pt idx="585">
                  <c:v>0.60000000000000142</c:v>
                </c:pt>
                <c:pt idx="586">
                  <c:v>0.60000000000000142</c:v>
                </c:pt>
                <c:pt idx="587">
                  <c:v>0.60000000000000142</c:v>
                </c:pt>
                <c:pt idx="588">
                  <c:v>0.58999999999999986</c:v>
                </c:pt>
                <c:pt idx="589">
                  <c:v>0.58999999999999986</c:v>
                </c:pt>
                <c:pt idx="590">
                  <c:v>0.5</c:v>
                </c:pt>
                <c:pt idx="591">
                  <c:v>0.30000000000000249</c:v>
                </c:pt>
                <c:pt idx="592">
                  <c:v>0.38000000000000256</c:v>
                </c:pt>
                <c:pt idx="593">
                  <c:v>0.75</c:v>
                </c:pt>
                <c:pt idx="594">
                  <c:v>0.53999999999999915</c:v>
                </c:pt>
                <c:pt idx="595">
                  <c:v>0.5</c:v>
                </c:pt>
                <c:pt idx="596">
                  <c:v>0.5</c:v>
                </c:pt>
                <c:pt idx="597">
                  <c:v>0.60000000000000142</c:v>
                </c:pt>
                <c:pt idx="598">
                  <c:v>0.44999999999999751</c:v>
                </c:pt>
                <c:pt idx="599">
                  <c:v>0.60000000000000142</c:v>
                </c:pt>
                <c:pt idx="600">
                  <c:v>0.66999999999999993</c:v>
                </c:pt>
                <c:pt idx="601">
                  <c:v>0.69000000000000128</c:v>
                </c:pt>
                <c:pt idx="602">
                  <c:v>0.53999999999999915</c:v>
                </c:pt>
                <c:pt idx="603">
                  <c:v>0.65000000000000213</c:v>
                </c:pt>
                <c:pt idx="604">
                  <c:v>0.52999999999999758</c:v>
                </c:pt>
                <c:pt idx="605">
                  <c:v>0.52999999999999758</c:v>
                </c:pt>
                <c:pt idx="606">
                  <c:v>0.61000000000000121</c:v>
                </c:pt>
                <c:pt idx="607">
                  <c:v>0.65000000000000213</c:v>
                </c:pt>
                <c:pt idx="608">
                  <c:v>0.63000000000000256</c:v>
                </c:pt>
                <c:pt idx="609">
                  <c:v>0.73999999999999666</c:v>
                </c:pt>
                <c:pt idx="610">
                  <c:v>0.69000000000000128</c:v>
                </c:pt>
                <c:pt idx="611">
                  <c:v>0.72000000000000242</c:v>
                </c:pt>
                <c:pt idx="612">
                  <c:v>0.65000000000000213</c:v>
                </c:pt>
                <c:pt idx="613">
                  <c:v>0.79999999999999893</c:v>
                </c:pt>
                <c:pt idx="614">
                  <c:v>0.66999999999999993</c:v>
                </c:pt>
                <c:pt idx="615">
                  <c:v>0.75</c:v>
                </c:pt>
                <c:pt idx="616">
                  <c:v>0.83999999999999986</c:v>
                </c:pt>
                <c:pt idx="617">
                  <c:v>0.91999999999999993</c:v>
                </c:pt>
                <c:pt idx="618">
                  <c:v>0.8500000000000032</c:v>
                </c:pt>
                <c:pt idx="619">
                  <c:v>0.75</c:v>
                </c:pt>
                <c:pt idx="620">
                  <c:v>0.67999999999999972</c:v>
                </c:pt>
                <c:pt idx="621">
                  <c:v>0.63000000000000256</c:v>
                </c:pt>
                <c:pt idx="622">
                  <c:v>0.66999999999999993</c:v>
                </c:pt>
                <c:pt idx="623">
                  <c:v>0.63000000000000256</c:v>
                </c:pt>
                <c:pt idx="624">
                  <c:v>0.71000000000000085</c:v>
                </c:pt>
                <c:pt idx="625">
                  <c:v>0.81000000000000227</c:v>
                </c:pt>
                <c:pt idx="626">
                  <c:v>0.44999999999999751</c:v>
                </c:pt>
                <c:pt idx="627">
                  <c:v>0.5199999999999978</c:v>
                </c:pt>
                <c:pt idx="628">
                  <c:v>0.47000000000000242</c:v>
                </c:pt>
                <c:pt idx="629">
                  <c:v>0.65000000000000213</c:v>
                </c:pt>
                <c:pt idx="630">
                  <c:v>0.64000000000000234</c:v>
                </c:pt>
                <c:pt idx="631">
                  <c:v>0.52999999999999758</c:v>
                </c:pt>
                <c:pt idx="632">
                  <c:v>0.62000000000000099</c:v>
                </c:pt>
                <c:pt idx="633">
                  <c:v>0.71000000000000085</c:v>
                </c:pt>
                <c:pt idx="634">
                  <c:v>0.73999999999999666</c:v>
                </c:pt>
                <c:pt idx="635">
                  <c:v>0.55999999999999872</c:v>
                </c:pt>
                <c:pt idx="636">
                  <c:v>0.65000000000000213</c:v>
                </c:pt>
                <c:pt idx="637">
                  <c:v>0.60000000000000142</c:v>
                </c:pt>
                <c:pt idx="638">
                  <c:v>0.60000000000000142</c:v>
                </c:pt>
                <c:pt idx="639">
                  <c:v>0.47000000000000242</c:v>
                </c:pt>
                <c:pt idx="640">
                  <c:v>0.47999999999999865</c:v>
                </c:pt>
                <c:pt idx="641">
                  <c:v>0.57000000000000028</c:v>
                </c:pt>
                <c:pt idx="642">
                  <c:v>0.7300000000000022</c:v>
                </c:pt>
                <c:pt idx="643">
                  <c:v>0.77999999999999758</c:v>
                </c:pt>
                <c:pt idx="644">
                  <c:v>0.65000000000000213</c:v>
                </c:pt>
                <c:pt idx="645">
                  <c:v>0.58999999999999986</c:v>
                </c:pt>
                <c:pt idx="646">
                  <c:v>0.66000000000000369</c:v>
                </c:pt>
                <c:pt idx="647">
                  <c:v>0.72000000000000242</c:v>
                </c:pt>
                <c:pt idx="648">
                  <c:v>0.79999999999999893</c:v>
                </c:pt>
                <c:pt idx="649">
                  <c:v>0.77999999999999758</c:v>
                </c:pt>
                <c:pt idx="650">
                  <c:v>0.52999999999999758</c:v>
                </c:pt>
                <c:pt idx="651">
                  <c:v>0.71000000000000085</c:v>
                </c:pt>
                <c:pt idx="652">
                  <c:v>0.62000000000000099</c:v>
                </c:pt>
                <c:pt idx="653">
                  <c:v>0.66999999999999993</c:v>
                </c:pt>
                <c:pt idx="654">
                  <c:v>0.52999999999999758</c:v>
                </c:pt>
                <c:pt idx="655">
                  <c:v>0.60000000000000142</c:v>
                </c:pt>
                <c:pt idx="656">
                  <c:v>0.70000000000000107</c:v>
                </c:pt>
                <c:pt idx="657">
                  <c:v>0.60000000000000142</c:v>
                </c:pt>
                <c:pt idx="658">
                  <c:v>0.70000000000000107</c:v>
                </c:pt>
                <c:pt idx="659">
                  <c:v>0.77000000000000135</c:v>
                </c:pt>
                <c:pt idx="660">
                  <c:v>0.69000000000000128</c:v>
                </c:pt>
                <c:pt idx="661">
                  <c:v>0.83000000000000362</c:v>
                </c:pt>
                <c:pt idx="662">
                  <c:v>0.70000000000000107</c:v>
                </c:pt>
                <c:pt idx="663">
                  <c:v>0.75999999999999801</c:v>
                </c:pt>
                <c:pt idx="664">
                  <c:v>0.54999999999999893</c:v>
                </c:pt>
                <c:pt idx="665">
                  <c:v>0.77999999999999758</c:v>
                </c:pt>
                <c:pt idx="666">
                  <c:v>0.81000000000000227</c:v>
                </c:pt>
                <c:pt idx="667">
                  <c:v>0.86999999999999744</c:v>
                </c:pt>
                <c:pt idx="668">
                  <c:v>0.66999999999999993</c:v>
                </c:pt>
                <c:pt idx="669">
                  <c:v>0.58000000000000007</c:v>
                </c:pt>
                <c:pt idx="670">
                  <c:v>0.83000000000000362</c:v>
                </c:pt>
                <c:pt idx="671">
                  <c:v>0.88000000000000256</c:v>
                </c:pt>
                <c:pt idx="672">
                  <c:v>0.79999999999999893</c:v>
                </c:pt>
                <c:pt idx="673">
                  <c:v>0.66999999999999993</c:v>
                </c:pt>
                <c:pt idx="674">
                  <c:v>0.79000000000000092</c:v>
                </c:pt>
                <c:pt idx="675">
                  <c:v>0.86000000000000121</c:v>
                </c:pt>
                <c:pt idx="676">
                  <c:v>0.91000000000000014</c:v>
                </c:pt>
                <c:pt idx="677">
                  <c:v>0.95999999999999908</c:v>
                </c:pt>
                <c:pt idx="678">
                  <c:v>0.75</c:v>
                </c:pt>
                <c:pt idx="679">
                  <c:v>0.79999999999999893</c:v>
                </c:pt>
                <c:pt idx="680">
                  <c:v>0.82000000000000028</c:v>
                </c:pt>
                <c:pt idx="681">
                  <c:v>0.7300000000000022</c:v>
                </c:pt>
                <c:pt idx="682">
                  <c:v>0.79999999999999893</c:v>
                </c:pt>
                <c:pt idx="683">
                  <c:v>0.83999999999999986</c:v>
                </c:pt>
                <c:pt idx="684">
                  <c:v>1.0800000000000036</c:v>
                </c:pt>
                <c:pt idx="685">
                  <c:v>1.0600000000000023</c:v>
                </c:pt>
                <c:pt idx="686">
                  <c:v>1.1699999999999964</c:v>
                </c:pt>
                <c:pt idx="687">
                  <c:v>1.1799999999999997</c:v>
                </c:pt>
                <c:pt idx="688">
                  <c:v>1.370000000000001</c:v>
                </c:pt>
                <c:pt idx="689">
                  <c:v>1.3499999999999979</c:v>
                </c:pt>
                <c:pt idx="690">
                  <c:v>1.0899999999999999</c:v>
                </c:pt>
                <c:pt idx="691">
                  <c:v>0.95999999999999908</c:v>
                </c:pt>
                <c:pt idx="692">
                  <c:v>0.81000000000000227</c:v>
                </c:pt>
                <c:pt idx="693">
                  <c:v>0.83999999999999986</c:v>
                </c:pt>
                <c:pt idx="694">
                  <c:v>1.0099999999999998</c:v>
                </c:pt>
                <c:pt idx="695">
                  <c:v>0.89999999999999858</c:v>
                </c:pt>
                <c:pt idx="696">
                  <c:v>0.86999999999999744</c:v>
                </c:pt>
                <c:pt idx="697">
                  <c:v>0.91000000000000014</c:v>
                </c:pt>
                <c:pt idx="698">
                  <c:v>0.86000000000000121</c:v>
                </c:pt>
                <c:pt idx="699">
                  <c:v>1.0200000000000014</c:v>
                </c:pt>
                <c:pt idx="700">
                  <c:v>1.1299999999999955</c:v>
                </c:pt>
                <c:pt idx="701">
                  <c:v>1.1600000000000001</c:v>
                </c:pt>
                <c:pt idx="702">
                  <c:v>0.93999999999999773</c:v>
                </c:pt>
                <c:pt idx="703">
                  <c:v>0.91000000000000014</c:v>
                </c:pt>
                <c:pt idx="704">
                  <c:v>0.71000000000000085</c:v>
                </c:pt>
                <c:pt idx="705">
                  <c:v>0.82000000000000028</c:v>
                </c:pt>
                <c:pt idx="706">
                  <c:v>0.86999999999999744</c:v>
                </c:pt>
                <c:pt idx="707">
                  <c:v>0.73999999999999666</c:v>
                </c:pt>
                <c:pt idx="708">
                  <c:v>0.88000000000000256</c:v>
                </c:pt>
                <c:pt idx="709">
                  <c:v>0.86999999999999744</c:v>
                </c:pt>
                <c:pt idx="710">
                  <c:v>0.92999999999999794</c:v>
                </c:pt>
                <c:pt idx="711">
                  <c:v>0.82000000000000028</c:v>
                </c:pt>
                <c:pt idx="712">
                  <c:v>0.8500000000000032</c:v>
                </c:pt>
                <c:pt idx="713">
                  <c:v>0.88000000000000256</c:v>
                </c:pt>
                <c:pt idx="714">
                  <c:v>0.88000000000000256</c:v>
                </c:pt>
                <c:pt idx="715">
                  <c:v>0.81000000000000227</c:v>
                </c:pt>
                <c:pt idx="716">
                  <c:v>0.77000000000000135</c:v>
                </c:pt>
                <c:pt idx="717">
                  <c:v>0.83999999999999986</c:v>
                </c:pt>
                <c:pt idx="718">
                  <c:v>0.77999999999999758</c:v>
                </c:pt>
                <c:pt idx="719">
                  <c:v>0.79999999999999893</c:v>
                </c:pt>
                <c:pt idx="720">
                  <c:v>1.0200000000000014</c:v>
                </c:pt>
                <c:pt idx="721">
                  <c:v>0.83000000000000362</c:v>
                </c:pt>
                <c:pt idx="722">
                  <c:v>0.92999999999999794</c:v>
                </c:pt>
                <c:pt idx="723">
                  <c:v>0.92999999999999794</c:v>
                </c:pt>
                <c:pt idx="724">
                  <c:v>0.95999999999999908</c:v>
                </c:pt>
                <c:pt idx="725">
                  <c:v>1.1699999999999964</c:v>
                </c:pt>
                <c:pt idx="726">
                  <c:v>1.0099999999999998</c:v>
                </c:pt>
                <c:pt idx="727">
                  <c:v>0.86000000000000121</c:v>
                </c:pt>
                <c:pt idx="728">
                  <c:v>0.89999999999999858</c:v>
                </c:pt>
                <c:pt idx="729">
                  <c:v>0.93999999999999773</c:v>
                </c:pt>
                <c:pt idx="730">
                  <c:v>0.94999999999999751</c:v>
                </c:pt>
                <c:pt idx="731">
                  <c:v>0.92999999999999794</c:v>
                </c:pt>
                <c:pt idx="732">
                  <c:v>1</c:v>
                </c:pt>
                <c:pt idx="733">
                  <c:v>0.99000000000000021</c:v>
                </c:pt>
                <c:pt idx="734">
                  <c:v>1.120000000000001</c:v>
                </c:pt>
                <c:pt idx="735">
                  <c:v>1.1799999999999997</c:v>
                </c:pt>
                <c:pt idx="736">
                  <c:v>1.240000000000002</c:v>
                </c:pt>
                <c:pt idx="737">
                  <c:v>1.1799999999999997</c:v>
                </c:pt>
                <c:pt idx="738">
                  <c:v>1.120000000000001</c:v>
                </c:pt>
                <c:pt idx="739">
                  <c:v>0.99000000000000021</c:v>
                </c:pt>
                <c:pt idx="740">
                  <c:v>0.91000000000000014</c:v>
                </c:pt>
                <c:pt idx="741">
                  <c:v>0.8900000000000059</c:v>
                </c:pt>
                <c:pt idx="742">
                  <c:v>0.86000000000000121</c:v>
                </c:pt>
                <c:pt idx="743">
                  <c:v>0.95999999999999908</c:v>
                </c:pt>
                <c:pt idx="744">
                  <c:v>0.86999999999999744</c:v>
                </c:pt>
                <c:pt idx="745">
                  <c:v>1.0899999999999999</c:v>
                </c:pt>
                <c:pt idx="746">
                  <c:v>0.79999999999999893</c:v>
                </c:pt>
                <c:pt idx="747">
                  <c:v>0.82000000000000028</c:v>
                </c:pt>
                <c:pt idx="748">
                  <c:v>0.64000000000000234</c:v>
                </c:pt>
                <c:pt idx="749">
                  <c:v>0.8900000000000059</c:v>
                </c:pt>
                <c:pt idx="750">
                  <c:v>0.75999999999999801</c:v>
                </c:pt>
                <c:pt idx="751">
                  <c:v>0.79000000000000092</c:v>
                </c:pt>
                <c:pt idx="752">
                  <c:v>0.8500000000000032</c:v>
                </c:pt>
                <c:pt idx="753">
                  <c:v>0.91999999999999993</c:v>
                </c:pt>
                <c:pt idx="754">
                  <c:v>0.81000000000000227</c:v>
                </c:pt>
                <c:pt idx="755">
                  <c:v>0.91999999999999993</c:v>
                </c:pt>
                <c:pt idx="756">
                  <c:v>0.97999999999999865</c:v>
                </c:pt>
                <c:pt idx="757">
                  <c:v>0.92999999999999794</c:v>
                </c:pt>
                <c:pt idx="758">
                  <c:v>0.88000000000000256</c:v>
                </c:pt>
                <c:pt idx="759">
                  <c:v>0.91000000000000014</c:v>
                </c:pt>
                <c:pt idx="760">
                  <c:v>0.8900000000000059</c:v>
                </c:pt>
                <c:pt idx="761">
                  <c:v>1.0500000000000025</c:v>
                </c:pt>
                <c:pt idx="762">
                  <c:v>0.83000000000000362</c:v>
                </c:pt>
                <c:pt idx="763">
                  <c:v>0.83999999999999986</c:v>
                </c:pt>
                <c:pt idx="764">
                  <c:v>0.92999999999999794</c:v>
                </c:pt>
                <c:pt idx="765">
                  <c:v>0.93999999999999773</c:v>
                </c:pt>
                <c:pt idx="766">
                  <c:v>0.93999999999999773</c:v>
                </c:pt>
                <c:pt idx="767">
                  <c:v>0.88000000000000256</c:v>
                </c:pt>
                <c:pt idx="768">
                  <c:v>0.96999999999999886</c:v>
                </c:pt>
                <c:pt idx="769">
                  <c:v>0.7300000000000022</c:v>
                </c:pt>
                <c:pt idx="770">
                  <c:v>0.79999999999999893</c:v>
                </c:pt>
                <c:pt idx="771">
                  <c:v>0.88000000000000256</c:v>
                </c:pt>
                <c:pt idx="772">
                  <c:v>0.96999999999999886</c:v>
                </c:pt>
                <c:pt idx="773">
                  <c:v>1.2299999999999986</c:v>
                </c:pt>
                <c:pt idx="774">
                  <c:v>0.99000000000000021</c:v>
                </c:pt>
                <c:pt idx="775">
                  <c:v>0.93999999999999773</c:v>
                </c:pt>
                <c:pt idx="776">
                  <c:v>1.0899999999999999</c:v>
                </c:pt>
                <c:pt idx="777">
                  <c:v>1.1899999999999977</c:v>
                </c:pt>
                <c:pt idx="778">
                  <c:v>1.1899999999999977</c:v>
                </c:pt>
                <c:pt idx="779">
                  <c:v>1.4800000000000022</c:v>
                </c:pt>
                <c:pt idx="780">
                  <c:v>1.3499999999999979</c:v>
                </c:pt>
                <c:pt idx="781">
                  <c:v>1.3999999999999986</c:v>
                </c:pt>
                <c:pt idx="782">
                  <c:v>1.3599999999999977</c:v>
                </c:pt>
                <c:pt idx="783">
                  <c:v>1.25</c:v>
                </c:pt>
                <c:pt idx="784">
                  <c:v>1.4400000000000013</c:v>
                </c:pt>
                <c:pt idx="785">
                  <c:v>1.3999999999999986</c:v>
                </c:pt>
                <c:pt idx="786">
                  <c:v>1.3200000000000003</c:v>
                </c:pt>
                <c:pt idx="787">
                  <c:v>1.1600000000000001</c:v>
                </c:pt>
                <c:pt idx="788">
                  <c:v>1.2299999999999986</c:v>
                </c:pt>
                <c:pt idx="789">
                  <c:v>1.2000000000000011</c:v>
                </c:pt>
                <c:pt idx="790">
                  <c:v>1.3000000000000043</c:v>
                </c:pt>
                <c:pt idx="791">
                  <c:v>1.2099999999999991</c:v>
                </c:pt>
                <c:pt idx="792">
                  <c:v>1.3499999999999979</c:v>
                </c:pt>
                <c:pt idx="793">
                  <c:v>1.3000000000000043</c:v>
                </c:pt>
                <c:pt idx="794">
                  <c:v>1.2700000000000014</c:v>
                </c:pt>
                <c:pt idx="795">
                  <c:v>1.379999999999999</c:v>
                </c:pt>
                <c:pt idx="796">
                  <c:v>1.2600000000000033</c:v>
                </c:pt>
                <c:pt idx="797">
                  <c:v>1.370000000000001</c:v>
                </c:pt>
                <c:pt idx="798">
                  <c:v>1.25</c:v>
                </c:pt>
                <c:pt idx="799">
                  <c:v>1.0800000000000036</c:v>
                </c:pt>
                <c:pt idx="800">
                  <c:v>1.0700000000000021</c:v>
                </c:pt>
                <c:pt idx="801">
                  <c:v>1.0200000000000014</c:v>
                </c:pt>
                <c:pt idx="802">
                  <c:v>1.1799999999999997</c:v>
                </c:pt>
                <c:pt idx="803">
                  <c:v>1.25</c:v>
                </c:pt>
                <c:pt idx="804">
                  <c:v>1.1899999999999977</c:v>
                </c:pt>
                <c:pt idx="805">
                  <c:v>1.2099999999999991</c:v>
                </c:pt>
                <c:pt idx="806">
                  <c:v>1.0600000000000023</c:v>
                </c:pt>
                <c:pt idx="807">
                  <c:v>1.0899999999999999</c:v>
                </c:pt>
                <c:pt idx="808">
                  <c:v>1.25</c:v>
                </c:pt>
                <c:pt idx="809">
                  <c:v>1.3200000000000003</c:v>
                </c:pt>
                <c:pt idx="810">
                  <c:v>1.1699999999999964</c:v>
                </c:pt>
                <c:pt idx="811">
                  <c:v>1.1299999999999955</c:v>
                </c:pt>
                <c:pt idx="812">
                  <c:v>1.1799999999999997</c:v>
                </c:pt>
                <c:pt idx="813">
                  <c:v>1.25</c:v>
                </c:pt>
              </c:numCache>
            </c:numRef>
          </c:yVal>
          <c:smooth val="1"/>
          <c:extLst>
            <c:ext xmlns:c16="http://schemas.microsoft.com/office/drawing/2014/chart" uri="{C3380CC4-5D6E-409C-BE32-E72D297353CC}">
              <c16:uniqueId val="{00000001-7BA2-4779-A479-E145FD2C87B6}"/>
            </c:ext>
          </c:extLst>
        </c:ser>
        <c:dLbls>
          <c:showLegendKey val="0"/>
          <c:showVal val="0"/>
          <c:showCatName val="0"/>
          <c:showSerName val="0"/>
          <c:showPercent val="0"/>
          <c:showBubbleSize val="0"/>
        </c:dLbls>
        <c:axId val="19568559"/>
        <c:axId val="18689669"/>
      </c:scatterChart>
      <c:valAx>
        <c:axId val="19568559"/>
        <c:scaling>
          <c:orientation val="minMax"/>
          <c:max val="1.6"/>
          <c:min val="-0.4"/>
        </c:scaling>
        <c:delete val="0"/>
        <c:axPos val="b"/>
        <c:majorGridlines>
          <c:spPr>
            <a:ln w="12600">
              <a:solidFill>
                <a:srgbClr val="8B8B8B"/>
              </a:solidFill>
              <a:round/>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Fitted, CO2 + ENSO + AOD (°C)</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18689669"/>
        <c:crosses val="min"/>
        <c:crossBetween val="midCat"/>
      </c:valAx>
      <c:valAx>
        <c:axId val="18689669"/>
        <c:scaling>
          <c:orientation val="minMax"/>
          <c:max val="1.6"/>
          <c:min val="-0.4"/>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Observed anomaly (°C)</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19568559"/>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sz="1300" b="1" strike="noStrike" spc="-1">
                <a:solidFill>
                  <a:srgbClr val="000000"/>
                </a:solidFill>
                <a:latin typeface="Calibri"/>
                <a:ea typeface="Calibri"/>
              </a:rPr>
              <a:t>Lag test
Correlation is most negative at a 6-8 month lag</a:t>
            </a:r>
          </a:p>
        </c:rich>
      </c:tx>
      <c:overlay val="0"/>
      <c:spPr>
        <a:noFill/>
        <a:ln w="0">
          <a:noFill/>
        </a:ln>
      </c:spPr>
    </c:title>
    <c:autoTitleDeleted val="0"/>
    <c:plotArea>
      <c:layout/>
      <c:barChart>
        <c:barDir val="col"/>
        <c:grouping val="clustered"/>
        <c:varyColors val="0"/>
        <c:ser>
          <c:idx val="0"/>
          <c:order val="0"/>
          <c:spPr>
            <a:solidFill>
              <a:srgbClr val="2A78D6"/>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Volcanic!$P$4:$P$16</c:f>
              <c:numCache>
                <c:formatCode>General</c:formatCode>
                <c:ptCount val="13"/>
                <c:pt idx="0">
                  <c:v>0</c:v>
                </c:pt>
                <c:pt idx="1">
                  <c:v>1</c:v>
                </c:pt>
                <c:pt idx="2">
                  <c:v>2</c:v>
                </c:pt>
                <c:pt idx="3">
                  <c:v>3</c:v>
                </c:pt>
                <c:pt idx="4">
                  <c:v>4</c:v>
                </c:pt>
                <c:pt idx="5">
                  <c:v>5</c:v>
                </c:pt>
                <c:pt idx="6">
                  <c:v>6</c:v>
                </c:pt>
                <c:pt idx="7">
                  <c:v>7</c:v>
                </c:pt>
                <c:pt idx="8">
                  <c:v>8</c:v>
                </c:pt>
                <c:pt idx="9">
                  <c:v>9</c:v>
                </c:pt>
                <c:pt idx="10">
                  <c:v>10</c:v>
                </c:pt>
                <c:pt idx="11">
                  <c:v>11</c:v>
                </c:pt>
                <c:pt idx="12">
                  <c:v>12</c:v>
                </c:pt>
              </c:numCache>
            </c:numRef>
          </c:cat>
          <c:val>
            <c:numRef>
              <c:f>Volcanic!$Q$4:$Q$16</c:f>
              <c:numCache>
                <c:formatCode>0.000</c:formatCode>
                <c:ptCount val="13"/>
                <c:pt idx="0">
                  <c:v>-0.19418603505299159</c:v>
                </c:pt>
                <c:pt idx="1">
                  <c:v>-0.21331488395942036</c:v>
                </c:pt>
                <c:pt idx="2">
                  <c:v>-0.23279067956203031</c:v>
                </c:pt>
                <c:pt idx="3">
                  <c:v>-0.25141813446882039</c:v>
                </c:pt>
                <c:pt idx="4">
                  <c:v>-0.2671866163341311</c:v>
                </c:pt>
                <c:pt idx="5">
                  <c:v>-0.2795141362314994</c:v>
                </c:pt>
                <c:pt idx="6">
                  <c:v>-0.29003076191322791</c:v>
                </c:pt>
                <c:pt idx="7">
                  <c:v>-0.29239949111070396</c:v>
                </c:pt>
                <c:pt idx="8">
                  <c:v>-0.28865991746285763</c:v>
                </c:pt>
                <c:pt idx="9">
                  <c:v>-0.28190370700963929</c:v>
                </c:pt>
                <c:pt idx="10">
                  <c:v>-0.27008853901918944</c:v>
                </c:pt>
                <c:pt idx="11">
                  <c:v>-0.2523445493292264</c:v>
                </c:pt>
                <c:pt idx="12">
                  <c:v>-0.23280758569115509</c:v>
                </c:pt>
              </c:numCache>
            </c:numRef>
          </c:val>
          <c:extLst>
            <c:ext xmlns:c16="http://schemas.microsoft.com/office/drawing/2014/chart" uri="{C3380CC4-5D6E-409C-BE32-E72D297353CC}">
              <c16:uniqueId val="{00000000-72B5-40EB-9DE6-87D86099EB0F}"/>
            </c:ext>
          </c:extLst>
        </c:ser>
        <c:dLbls>
          <c:showLegendKey val="0"/>
          <c:showVal val="0"/>
          <c:showCatName val="0"/>
          <c:showSerName val="0"/>
          <c:showPercent val="0"/>
          <c:showBubbleSize val="0"/>
        </c:dLbls>
        <c:gapWidth val="150"/>
        <c:axId val="9293217"/>
        <c:axId val="52123500"/>
      </c:barChart>
      <c:catAx>
        <c:axId val="9293217"/>
        <c:scaling>
          <c:orientation val="minMax"/>
        </c:scaling>
        <c:delete val="0"/>
        <c:axPos val="t"/>
        <c:title>
          <c:tx>
            <c:rich>
              <a:bodyPr rot="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AOD lag (months)</a:t>
                </a:r>
              </a:p>
            </c:rich>
          </c:tx>
          <c:overlay val="0"/>
          <c:spPr>
            <a:noFill/>
            <a:ln w="0">
              <a:noFill/>
            </a:ln>
          </c:spPr>
        </c:title>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52123500"/>
        <c:crosses val="max"/>
        <c:auto val="1"/>
        <c:lblAlgn val="ctr"/>
        <c:lblOffset val="100"/>
        <c:noMultiLvlLbl val="0"/>
      </c:catAx>
      <c:valAx>
        <c:axId val="52123500"/>
        <c:scaling>
          <c:orientation val="minMax"/>
          <c:max val="0"/>
          <c:min val="-0.35"/>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r with CO2+ENSO residual</a:t>
                </a:r>
              </a:p>
            </c:rich>
          </c:tx>
          <c:overlay val="0"/>
          <c:spPr>
            <a:noFill/>
            <a:ln w="0">
              <a:noFill/>
            </a:ln>
          </c:spPr>
        </c:title>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929321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Effective radiative forcing by component, 1959-2025
Forster et al. / ClimateIndicator; aerosols offset roughly a third of greenhouse-gas forcing</a:t>
            </a:r>
          </a:p>
        </c:rich>
      </c:tx>
      <c:overlay val="0"/>
      <c:spPr>
        <a:noFill/>
        <a:ln w="0">
          <a:noFill/>
        </a:ln>
      </c:spPr>
    </c:title>
    <c:autoTitleDeleted val="0"/>
    <c:plotArea>
      <c:layout/>
      <c:scatterChart>
        <c:scatterStyle val="lineMarker"/>
        <c:varyColors val="0"/>
        <c:ser>
          <c:idx val="0"/>
          <c:order val="0"/>
          <c:tx>
            <c:v>Greenhouse gases</c:v>
          </c:tx>
          <c:spPr>
            <a:ln w="19080">
              <a:solidFill>
                <a:srgbClr val="2A78D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Forcing!$A$2:$A$68</c:f>
              <c:numCache>
                <c:formatCode>0</c:formatCode>
                <c:ptCount val="67"/>
                <c:pt idx="0">
                  <c:v>1959</c:v>
                </c:pt>
                <c:pt idx="1">
                  <c:v>1960</c:v>
                </c:pt>
                <c:pt idx="2">
                  <c:v>1961</c:v>
                </c:pt>
                <c:pt idx="3">
                  <c:v>1962</c:v>
                </c:pt>
                <c:pt idx="4">
                  <c:v>1963</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pt idx="66">
                  <c:v>2025</c:v>
                </c:pt>
              </c:numCache>
            </c:numRef>
          </c:xVal>
          <c:yVal>
            <c:numRef>
              <c:f>Forcing!$K$2:$K$68</c:f>
              <c:numCache>
                <c:formatCode>0.000</c:formatCode>
                <c:ptCount val="67"/>
                <c:pt idx="0">
                  <c:v>1.0916000000000001</c:v>
                </c:pt>
                <c:pt idx="1">
                  <c:v>1.1125</c:v>
                </c:pt>
                <c:pt idx="2">
                  <c:v>1.1307</c:v>
                </c:pt>
                <c:pt idx="3">
                  <c:v>1.1543000000000001</c:v>
                </c:pt>
                <c:pt idx="4">
                  <c:v>1.1785000000000001</c:v>
                </c:pt>
                <c:pt idx="5">
                  <c:v>1.2037</c:v>
                </c:pt>
                <c:pt idx="6">
                  <c:v>1.2245999999999999</c:v>
                </c:pt>
                <c:pt idx="7">
                  <c:v>1.2550999999999999</c:v>
                </c:pt>
                <c:pt idx="8">
                  <c:v>1.2786</c:v>
                </c:pt>
                <c:pt idx="9">
                  <c:v>1.3106</c:v>
                </c:pt>
                <c:pt idx="10">
                  <c:v>1.3428</c:v>
                </c:pt>
                <c:pt idx="11">
                  <c:v>1.3887999999999998</c:v>
                </c:pt>
                <c:pt idx="12">
                  <c:v>1.4191</c:v>
                </c:pt>
                <c:pt idx="13">
                  <c:v>1.4721</c:v>
                </c:pt>
                <c:pt idx="14">
                  <c:v>1.5344</c:v>
                </c:pt>
                <c:pt idx="15">
                  <c:v>1.5688</c:v>
                </c:pt>
                <c:pt idx="16">
                  <c:v>1.5914000000000001</c:v>
                </c:pt>
                <c:pt idx="17">
                  <c:v>1.6253</c:v>
                </c:pt>
                <c:pt idx="18">
                  <c:v>1.6778</c:v>
                </c:pt>
                <c:pt idx="19">
                  <c:v>1.7278</c:v>
                </c:pt>
                <c:pt idx="20">
                  <c:v>1.7776999999999998</c:v>
                </c:pt>
                <c:pt idx="21">
                  <c:v>1.8334999999999999</c:v>
                </c:pt>
                <c:pt idx="22">
                  <c:v>1.8747000000000003</c:v>
                </c:pt>
                <c:pt idx="23">
                  <c:v>1.9086000000000001</c:v>
                </c:pt>
                <c:pt idx="24">
                  <c:v>1.9550000000000001</c:v>
                </c:pt>
                <c:pt idx="25">
                  <c:v>1.9986000000000002</c:v>
                </c:pt>
                <c:pt idx="26">
                  <c:v>2.0421999999999998</c:v>
                </c:pt>
                <c:pt idx="27">
                  <c:v>2.0872999999999999</c:v>
                </c:pt>
                <c:pt idx="28">
                  <c:v>2.1341000000000001</c:v>
                </c:pt>
                <c:pt idx="29">
                  <c:v>2.1968999999999999</c:v>
                </c:pt>
                <c:pt idx="30">
                  <c:v>2.2456</c:v>
                </c:pt>
                <c:pt idx="31">
                  <c:v>2.2835999999999999</c:v>
                </c:pt>
                <c:pt idx="32">
                  <c:v>2.3216000000000001</c:v>
                </c:pt>
                <c:pt idx="33">
                  <c:v>2.3454999999999999</c:v>
                </c:pt>
                <c:pt idx="34">
                  <c:v>2.3638000000000003</c:v>
                </c:pt>
                <c:pt idx="35">
                  <c:v>2.3952</c:v>
                </c:pt>
                <c:pt idx="36">
                  <c:v>2.4314</c:v>
                </c:pt>
                <c:pt idx="37">
                  <c:v>2.4655</c:v>
                </c:pt>
                <c:pt idx="38">
                  <c:v>2.4891000000000001</c:v>
                </c:pt>
                <c:pt idx="39">
                  <c:v>2.5388999999999999</c:v>
                </c:pt>
                <c:pt idx="40">
                  <c:v>2.5795000000000003</c:v>
                </c:pt>
                <c:pt idx="41">
                  <c:v>2.6030000000000002</c:v>
                </c:pt>
                <c:pt idx="42">
                  <c:v>2.6310000000000002</c:v>
                </c:pt>
                <c:pt idx="43">
                  <c:v>2.6657000000000002</c:v>
                </c:pt>
                <c:pt idx="44">
                  <c:v>2.7096</c:v>
                </c:pt>
                <c:pt idx="45">
                  <c:v>2.7403</c:v>
                </c:pt>
                <c:pt idx="46">
                  <c:v>2.7736999999999998</c:v>
                </c:pt>
                <c:pt idx="47">
                  <c:v>2.8102999999999998</c:v>
                </c:pt>
                <c:pt idx="48">
                  <c:v>2.843</c:v>
                </c:pt>
                <c:pt idx="49">
                  <c:v>2.8816000000000002</c:v>
                </c:pt>
                <c:pt idx="50">
                  <c:v>2.9091</c:v>
                </c:pt>
                <c:pt idx="51">
                  <c:v>2.9485000000000001</c:v>
                </c:pt>
                <c:pt idx="52">
                  <c:v>2.9826999999999999</c:v>
                </c:pt>
                <c:pt idx="53">
                  <c:v>3.0182000000000002</c:v>
                </c:pt>
                <c:pt idx="54">
                  <c:v>3.0644999999999998</c:v>
                </c:pt>
                <c:pt idx="55">
                  <c:v>3.1009000000000002</c:v>
                </c:pt>
                <c:pt idx="56">
                  <c:v>3.1423999999999999</c:v>
                </c:pt>
                <c:pt idx="57">
                  <c:v>3.1981000000000002</c:v>
                </c:pt>
                <c:pt idx="58">
                  <c:v>3.2358000000000002</c:v>
                </c:pt>
                <c:pt idx="59">
                  <c:v>3.2779999999999996</c:v>
                </c:pt>
                <c:pt idx="60">
                  <c:v>3.3197000000000001</c:v>
                </c:pt>
                <c:pt idx="61">
                  <c:v>3.3612000000000002</c:v>
                </c:pt>
                <c:pt idx="62">
                  <c:v>3.4034</c:v>
                </c:pt>
                <c:pt idx="63">
                  <c:v>3.4468000000000001</c:v>
                </c:pt>
                <c:pt idx="64">
                  <c:v>3.4853000000000001</c:v>
                </c:pt>
                <c:pt idx="65">
                  <c:v>3.5383</c:v>
                </c:pt>
                <c:pt idx="66">
                  <c:v>3.5846</c:v>
                </c:pt>
              </c:numCache>
            </c:numRef>
          </c:yVal>
          <c:smooth val="1"/>
          <c:extLst>
            <c:ext xmlns:c16="http://schemas.microsoft.com/office/drawing/2014/chart" uri="{C3380CC4-5D6E-409C-BE32-E72D297353CC}">
              <c16:uniqueId val="{00000000-0E5D-4130-86B0-698B97E110BC}"/>
            </c:ext>
          </c:extLst>
        </c:ser>
        <c:ser>
          <c:idx val="1"/>
          <c:order val="1"/>
          <c:tx>
            <c:v>Aerosols</c:v>
          </c:tx>
          <c:spPr>
            <a:ln w="19080">
              <a:solidFill>
                <a:srgbClr val="1BAF7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Forcing!$A$2:$A$68</c:f>
              <c:numCache>
                <c:formatCode>0</c:formatCode>
                <c:ptCount val="67"/>
                <c:pt idx="0">
                  <c:v>1959</c:v>
                </c:pt>
                <c:pt idx="1">
                  <c:v>1960</c:v>
                </c:pt>
                <c:pt idx="2">
                  <c:v>1961</c:v>
                </c:pt>
                <c:pt idx="3">
                  <c:v>1962</c:v>
                </c:pt>
                <c:pt idx="4">
                  <c:v>1963</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pt idx="66">
                  <c:v>2025</c:v>
                </c:pt>
              </c:numCache>
            </c:numRef>
          </c:xVal>
          <c:yVal>
            <c:numRef>
              <c:f>Forcing!$I$2:$I$68</c:f>
              <c:numCache>
                <c:formatCode>0.000</c:formatCode>
                <c:ptCount val="67"/>
                <c:pt idx="0">
                  <c:v>-0.91220000000000001</c:v>
                </c:pt>
                <c:pt idx="1">
                  <c:v>-0.9486</c:v>
                </c:pt>
                <c:pt idx="2">
                  <c:v>-0.98460000000000003</c:v>
                </c:pt>
                <c:pt idx="3">
                  <c:v>-0.99160000000000004</c:v>
                </c:pt>
                <c:pt idx="4">
                  <c:v>-1.0605</c:v>
                </c:pt>
                <c:pt idx="5">
                  <c:v>-1.0545</c:v>
                </c:pt>
                <c:pt idx="6">
                  <c:v>-1.0791999999999999</c:v>
                </c:pt>
                <c:pt idx="7">
                  <c:v>-1.0942000000000001</c:v>
                </c:pt>
                <c:pt idx="8">
                  <c:v>-1.1205000000000001</c:v>
                </c:pt>
                <c:pt idx="9">
                  <c:v>-1.1406000000000001</c:v>
                </c:pt>
                <c:pt idx="10">
                  <c:v>-1.1591</c:v>
                </c:pt>
                <c:pt idx="11">
                  <c:v>-1.2258</c:v>
                </c:pt>
                <c:pt idx="12">
                  <c:v>-1.2357</c:v>
                </c:pt>
                <c:pt idx="13">
                  <c:v>-1.3046</c:v>
                </c:pt>
                <c:pt idx="14">
                  <c:v>-1.3083</c:v>
                </c:pt>
                <c:pt idx="15">
                  <c:v>-1.3004</c:v>
                </c:pt>
                <c:pt idx="16">
                  <c:v>-1.2810999999999999</c:v>
                </c:pt>
                <c:pt idx="17">
                  <c:v>-1.3487</c:v>
                </c:pt>
                <c:pt idx="18">
                  <c:v>-1.3574999999999999</c:v>
                </c:pt>
                <c:pt idx="19">
                  <c:v>-1.3764000000000001</c:v>
                </c:pt>
                <c:pt idx="20">
                  <c:v>-1.3988</c:v>
                </c:pt>
                <c:pt idx="21">
                  <c:v>-1.3938999999999999</c:v>
                </c:pt>
                <c:pt idx="22">
                  <c:v>-1.3544</c:v>
                </c:pt>
                <c:pt idx="23">
                  <c:v>-1.393</c:v>
                </c:pt>
                <c:pt idx="24">
                  <c:v>-1.3101</c:v>
                </c:pt>
                <c:pt idx="25">
                  <c:v>-1.3374999999999999</c:v>
                </c:pt>
                <c:pt idx="26">
                  <c:v>-1.3503000000000001</c:v>
                </c:pt>
                <c:pt idx="27">
                  <c:v>-1.3520000000000001</c:v>
                </c:pt>
                <c:pt idx="28">
                  <c:v>-1.3934</c:v>
                </c:pt>
                <c:pt idx="29">
                  <c:v>-1.4008</c:v>
                </c:pt>
                <c:pt idx="30">
                  <c:v>-1.3841000000000001</c:v>
                </c:pt>
                <c:pt idx="31">
                  <c:v>-1.3994</c:v>
                </c:pt>
                <c:pt idx="32">
                  <c:v>-1.4888999999999999</c:v>
                </c:pt>
                <c:pt idx="33">
                  <c:v>-1.333</c:v>
                </c:pt>
                <c:pt idx="34">
                  <c:v>-1.3407</c:v>
                </c:pt>
                <c:pt idx="35">
                  <c:v>-1.3979999999999999</c:v>
                </c:pt>
                <c:pt idx="36">
                  <c:v>-1.3271999999999999</c:v>
                </c:pt>
                <c:pt idx="37">
                  <c:v>-1.2894000000000001</c:v>
                </c:pt>
                <c:pt idx="38">
                  <c:v>-1.4273</c:v>
                </c:pt>
                <c:pt idx="39">
                  <c:v>-1.4064000000000001</c:v>
                </c:pt>
                <c:pt idx="40">
                  <c:v>-1.2664</c:v>
                </c:pt>
                <c:pt idx="41">
                  <c:v>-1.2185999999999999</c:v>
                </c:pt>
                <c:pt idx="42">
                  <c:v>-1.2191000000000001</c:v>
                </c:pt>
                <c:pt idx="43">
                  <c:v>-1.3027</c:v>
                </c:pt>
                <c:pt idx="44">
                  <c:v>-1.343</c:v>
                </c:pt>
                <c:pt idx="45">
                  <c:v>-1.3455999999999999</c:v>
                </c:pt>
                <c:pt idx="46">
                  <c:v>-1.3895</c:v>
                </c:pt>
                <c:pt idx="47">
                  <c:v>-1.4141999999999999</c:v>
                </c:pt>
                <c:pt idx="48">
                  <c:v>-1.3866000000000001</c:v>
                </c:pt>
                <c:pt idx="49">
                  <c:v>-1.3311999999999999</c:v>
                </c:pt>
                <c:pt idx="50">
                  <c:v>-1.2533000000000001</c:v>
                </c:pt>
                <c:pt idx="51">
                  <c:v>-1.2698</c:v>
                </c:pt>
                <c:pt idx="52">
                  <c:v>-1.2567999999999999</c:v>
                </c:pt>
                <c:pt idx="53">
                  <c:v>-1.2790999999999999</c:v>
                </c:pt>
                <c:pt idx="54">
                  <c:v>-1.1999</c:v>
                </c:pt>
                <c:pt idx="55">
                  <c:v>-1.2081</c:v>
                </c:pt>
                <c:pt idx="56">
                  <c:v>-1.1941999999999999</c:v>
                </c:pt>
                <c:pt idx="57">
                  <c:v>-1.0971</c:v>
                </c:pt>
                <c:pt idx="58">
                  <c:v>-1.0743</c:v>
                </c:pt>
                <c:pt idx="59">
                  <c:v>-1.0561</c:v>
                </c:pt>
                <c:pt idx="60">
                  <c:v>-1.1129</c:v>
                </c:pt>
                <c:pt idx="61">
                  <c:v>-0.95650000000000002</c:v>
                </c:pt>
                <c:pt idx="62">
                  <c:v>-1.0387</c:v>
                </c:pt>
                <c:pt idx="63">
                  <c:v>-0.92569999999999997</c:v>
                </c:pt>
                <c:pt idx="64">
                  <c:v>-1.1308</c:v>
                </c:pt>
                <c:pt idx="65">
                  <c:v>-1.0662</c:v>
                </c:pt>
                <c:pt idx="66">
                  <c:v>-0.96179999999999999</c:v>
                </c:pt>
              </c:numCache>
            </c:numRef>
          </c:yVal>
          <c:smooth val="1"/>
          <c:extLst>
            <c:ext xmlns:c16="http://schemas.microsoft.com/office/drawing/2014/chart" uri="{C3380CC4-5D6E-409C-BE32-E72D297353CC}">
              <c16:uniqueId val="{00000001-0E5D-4130-86B0-698B97E110BC}"/>
            </c:ext>
          </c:extLst>
        </c:ser>
        <c:ser>
          <c:idx val="2"/>
          <c:order val="2"/>
          <c:tx>
            <c:v>Anthropogenic total</c:v>
          </c:tx>
          <c:spPr>
            <a:ln w="19080">
              <a:solidFill>
                <a:srgbClr val="EB683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Forcing!$A$2:$A$68</c:f>
              <c:numCache>
                <c:formatCode>0</c:formatCode>
                <c:ptCount val="67"/>
                <c:pt idx="0">
                  <c:v>1959</c:v>
                </c:pt>
                <c:pt idx="1">
                  <c:v>1960</c:v>
                </c:pt>
                <c:pt idx="2">
                  <c:v>1961</c:v>
                </c:pt>
                <c:pt idx="3">
                  <c:v>1962</c:v>
                </c:pt>
                <c:pt idx="4">
                  <c:v>1963</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pt idx="66">
                  <c:v>2025</c:v>
                </c:pt>
              </c:numCache>
            </c:numRef>
          </c:xVal>
          <c:yVal>
            <c:numRef>
              <c:f>Forcing!$L$2:$L$68</c:f>
              <c:numCache>
                <c:formatCode>0.000</c:formatCode>
                <c:ptCount val="67"/>
                <c:pt idx="0">
                  <c:v>0.30580000000000013</c:v>
                </c:pt>
                <c:pt idx="1">
                  <c:v>0.29660000000000009</c:v>
                </c:pt>
                <c:pt idx="2">
                  <c:v>0.28620000000000001</c:v>
                </c:pt>
                <c:pt idx="3">
                  <c:v>0.30610000000000004</c:v>
                </c:pt>
                <c:pt idx="4">
                  <c:v>0.2793000000000001</c:v>
                </c:pt>
                <c:pt idx="5">
                  <c:v>0.3095</c:v>
                </c:pt>
                <c:pt idx="6">
                  <c:v>0.31409999999999993</c:v>
                </c:pt>
                <c:pt idx="7">
                  <c:v>0.33479999999999982</c:v>
                </c:pt>
                <c:pt idx="8">
                  <c:v>0.34409999999999991</c:v>
                </c:pt>
                <c:pt idx="9">
                  <c:v>0.36069999999999991</c:v>
                </c:pt>
                <c:pt idx="10">
                  <c:v>0.37939999999999996</c:v>
                </c:pt>
                <c:pt idx="11">
                  <c:v>0.37419999999999981</c:v>
                </c:pt>
                <c:pt idx="12">
                  <c:v>0.40539999999999998</c:v>
                </c:pt>
                <c:pt idx="13">
                  <c:v>0.41099999999999998</c:v>
                </c:pt>
                <c:pt idx="14">
                  <c:v>0.46879999999999999</c:v>
                </c:pt>
                <c:pt idx="15">
                  <c:v>0.51219999999999999</c:v>
                </c:pt>
                <c:pt idx="16">
                  <c:v>0.55320000000000025</c:v>
                </c:pt>
                <c:pt idx="17">
                  <c:v>0.53579999999999994</c:v>
                </c:pt>
                <c:pt idx="18">
                  <c:v>0.58800000000000008</c:v>
                </c:pt>
                <c:pt idx="19">
                  <c:v>0.62959999999999994</c:v>
                </c:pt>
                <c:pt idx="20">
                  <c:v>0.66369999999999973</c:v>
                </c:pt>
                <c:pt idx="21">
                  <c:v>0.72320000000000007</c:v>
                </c:pt>
                <c:pt idx="22">
                  <c:v>0.79930000000000023</c:v>
                </c:pt>
                <c:pt idx="23">
                  <c:v>0.81170000000000009</c:v>
                </c:pt>
                <c:pt idx="24">
                  <c:v>0.92230000000000001</c:v>
                </c:pt>
                <c:pt idx="25">
                  <c:v>0.94940000000000024</c:v>
                </c:pt>
                <c:pt idx="26">
                  <c:v>0.9856999999999998</c:v>
                </c:pt>
                <c:pt idx="27">
                  <c:v>1.0379999999999998</c:v>
                </c:pt>
                <c:pt idx="28">
                  <c:v>1.0542000000000002</c:v>
                </c:pt>
                <c:pt idx="29">
                  <c:v>1.1193999999999997</c:v>
                </c:pt>
                <c:pt idx="30">
                  <c:v>1.1875</c:v>
                </c:pt>
                <c:pt idx="31">
                  <c:v>1.2159</c:v>
                </c:pt>
                <c:pt idx="32">
                  <c:v>1.2000000000000002</c:v>
                </c:pt>
                <c:pt idx="33">
                  <c:v>1.3488</c:v>
                </c:pt>
                <c:pt idx="34">
                  <c:v>1.3699000000000003</c:v>
                </c:pt>
                <c:pt idx="35">
                  <c:v>1.3697000000000001</c:v>
                </c:pt>
                <c:pt idx="36">
                  <c:v>1.472</c:v>
                </c:pt>
                <c:pt idx="37">
                  <c:v>1.5419999999999998</c:v>
                </c:pt>
                <c:pt idx="38">
                  <c:v>1.4751000000000001</c:v>
                </c:pt>
                <c:pt idx="39">
                  <c:v>1.5399999999999998</c:v>
                </c:pt>
                <c:pt idx="40">
                  <c:v>1.6950000000000003</c:v>
                </c:pt>
                <c:pt idx="41">
                  <c:v>1.7592000000000003</c:v>
                </c:pt>
                <c:pt idx="42">
                  <c:v>1.7915000000000001</c:v>
                </c:pt>
                <c:pt idx="43">
                  <c:v>1.7610000000000001</c:v>
                </c:pt>
                <c:pt idx="44">
                  <c:v>1.7699</c:v>
                </c:pt>
                <c:pt idx="45">
                  <c:v>1.8122</c:v>
                </c:pt>
                <c:pt idx="46">
                  <c:v>1.8112999999999999</c:v>
                </c:pt>
                <c:pt idx="47">
                  <c:v>1.8320999999999998</c:v>
                </c:pt>
                <c:pt idx="48">
                  <c:v>1.9038999999999999</c:v>
                </c:pt>
                <c:pt idx="49">
                  <c:v>1.9909000000000003</c:v>
                </c:pt>
                <c:pt idx="50">
                  <c:v>2.0844999999999998</c:v>
                </c:pt>
                <c:pt idx="51">
                  <c:v>2.1269</c:v>
                </c:pt>
                <c:pt idx="52">
                  <c:v>2.1751</c:v>
                </c:pt>
                <c:pt idx="53">
                  <c:v>2.1985000000000001</c:v>
                </c:pt>
                <c:pt idx="54">
                  <c:v>2.3132999999999999</c:v>
                </c:pt>
                <c:pt idx="55">
                  <c:v>2.3534000000000002</c:v>
                </c:pt>
                <c:pt idx="56">
                  <c:v>2.4205999999999999</c:v>
                </c:pt>
                <c:pt idx="57">
                  <c:v>2.5571000000000002</c:v>
                </c:pt>
                <c:pt idx="58">
                  <c:v>2.6228000000000002</c:v>
                </c:pt>
                <c:pt idx="59">
                  <c:v>2.6823999999999999</c:v>
                </c:pt>
                <c:pt idx="60">
                  <c:v>2.6877000000000004</c:v>
                </c:pt>
                <c:pt idx="61">
                  <c:v>2.8317000000000001</c:v>
                </c:pt>
                <c:pt idx="62">
                  <c:v>2.8166000000000002</c:v>
                </c:pt>
                <c:pt idx="63">
                  <c:v>2.9706000000000001</c:v>
                </c:pt>
                <c:pt idx="64">
                  <c:v>2.8590999999999998</c:v>
                </c:pt>
                <c:pt idx="65">
                  <c:v>2.9832000000000001</c:v>
                </c:pt>
                <c:pt idx="66">
                  <c:v>3.1034999999999999</c:v>
                </c:pt>
              </c:numCache>
            </c:numRef>
          </c:yVal>
          <c:smooth val="1"/>
          <c:extLst>
            <c:ext xmlns:c16="http://schemas.microsoft.com/office/drawing/2014/chart" uri="{C3380CC4-5D6E-409C-BE32-E72D297353CC}">
              <c16:uniqueId val="{00000002-0E5D-4130-86B0-698B97E110BC}"/>
            </c:ext>
          </c:extLst>
        </c:ser>
        <c:ser>
          <c:idx val="3"/>
          <c:order val="3"/>
          <c:tx>
            <c:v>Volcanic</c:v>
          </c:tx>
          <c:spPr>
            <a:ln w="19080">
              <a:solidFill>
                <a:srgbClr val="EDA1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Forcing!$A$2:$A$68</c:f>
              <c:numCache>
                <c:formatCode>0</c:formatCode>
                <c:ptCount val="67"/>
                <c:pt idx="0">
                  <c:v>1959</c:v>
                </c:pt>
                <c:pt idx="1">
                  <c:v>1960</c:v>
                </c:pt>
                <c:pt idx="2">
                  <c:v>1961</c:v>
                </c:pt>
                <c:pt idx="3">
                  <c:v>1962</c:v>
                </c:pt>
                <c:pt idx="4">
                  <c:v>1963</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pt idx="66">
                  <c:v>2025</c:v>
                </c:pt>
              </c:numCache>
            </c:numRef>
          </c:xVal>
          <c:yVal>
            <c:numRef>
              <c:f>Forcing!$N$2:$N$68</c:f>
              <c:numCache>
                <c:formatCode>0.000</c:formatCode>
                <c:ptCount val="67"/>
                <c:pt idx="0">
                  <c:v>0.2175</c:v>
                </c:pt>
                <c:pt idx="1">
                  <c:v>0.223</c:v>
                </c:pt>
                <c:pt idx="2">
                  <c:v>0.2238</c:v>
                </c:pt>
                <c:pt idx="3">
                  <c:v>0.22370000000000001</c:v>
                </c:pt>
                <c:pt idx="4">
                  <c:v>-0.66490000000000005</c:v>
                </c:pt>
                <c:pt idx="5">
                  <c:v>-0.54769999999999996</c:v>
                </c:pt>
                <c:pt idx="6">
                  <c:v>5.6000000000000001E-2</c:v>
                </c:pt>
                <c:pt idx="7">
                  <c:v>0.1706</c:v>
                </c:pt>
                <c:pt idx="8">
                  <c:v>0.20069999999999999</c:v>
                </c:pt>
                <c:pt idx="9">
                  <c:v>0.10349999999999999</c:v>
                </c:pt>
                <c:pt idx="10">
                  <c:v>2.35E-2</c:v>
                </c:pt>
                <c:pt idx="11">
                  <c:v>0.1638</c:v>
                </c:pt>
                <c:pt idx="12">
                  <c:v>0.21049999999999999</c:v>
                </c:pt>
                <c:pt idx="13">
                  <c:v>0.21990000000000001</c:v>
                </c:pt>
                <c:pt idx="14">
                  <c:v>0.21529999999999999</c:v>
                </c:pt>
                <c:pt idx="15">
                  <c:v>0.21390000000000001</c:v>
                </c:pt>
                <c:pt idx="16">
                  <c:v>0.20349999999999999</c:v>
                </c:pt>
                <c:pt idx="17">
                  <c:v>0.2041</c:v>
                </c:pt>
                <c:pt idx="18">
                  <c:v>0.2177</c:v>
                </c:pt>
                <c:pt idx="19">
                  <c:v>0.2203</c:v>
                </c:pt>
                <c:pt idx="20">
                  <c:v>0.19570000000000001</c:v>
                </c:pt>
                <c:pt idx="21">
                  <c:v>0.15160000000000001</c:v>
                </c:pt>
                <c:pt idx="22">
                  <c:v>0.1187</c:v>
                </c:pt>
                <c:pt idx="23">
                  <c:v>-0.19850000000000001</c:v>
                </c:pt>
                <c:pt idx="24">
                  <c:v>-0.64500000000000002</c:v>
                </c:pt>
                <c:pt idx="25">
                  <c:v>-0.24229999999999999</c:v>
                </c:pt>
                <c:pt idx="26">
                  <c:v>2.76E-2</c:v>
                </c:pt>
                <c:pt idx="27">
                  <c:v>2.2599999999999999E-2</c:v>
                </c:pt>
                <c:pt idx="28">
                  <c:v>9.8299999999999998E-2</c:v>
                </c:pt>
                <c:pt idx="29">
                  <c:v>0.15129999999999999</c:v>
                </c:pt>
                <c:pt idx="30">
                  <c:v>0.188</c:v>
                </c:pt>
                <c:pt idx="31">
                  <c:v>0.1837</c:v>
                </c:pt>
                <c:pt idx="32">
                  <c:v>-0.52859999999999996</c:v>
                </c:pt>
                <c:pt idx="33">
                  <c:v>-1.7412000000000001</c:v>
                </c:pt>
                <c:pt idx="34">
                  <c:v>-0.74760000000000004</c:v>
                </c:pt>
                <c:pt idx="35">
                  <c:v>-4.1000000000000002E-2</c:v>
                </c:pt>
                <c:pt idx="36">
                  <c:v>0.1323</c:v>
                </c:pt>
                <c:pt idx="37">
                  <c:v>0.1951</c:v>
                </c:pt>
                <c:pt idx="38">
                  <c:v>0.2157</c:v>
                </c:pt>
                <c:pt idx="39">
                  <c:v>0.21740000000000001</c:v>
                </c:pt>
                <c:pt idx="40">
                  <c:v>0.22090000000000001</c:v>
                </c:pt>
                <c:pt idx="41">
                  <c:v>0.2215</c:v>
                </c:pt>
                <c:pt idx="42">
                  <c:v>0.2162</c:v>
                </c:pt>
                <c:pt idx="43">
                  <c:v>0.223</c:v>
                </c:pt>
                <c:pt idx="44">
                  <c:v>0.20669999999999999</c:v>
                </c:pt>
                <c:pt idx="45">
                  <c:v>0.21759999999999999</c:v>
                </c:pt>
                <c:pt idx="46">
                  <c:v>0.18790000000000001</c:v>
                </c:pt>
                <c:pt idx="47">
                  <c:v>0.1673</c:v>
                </c:pt>
                <c:pt idx="48">
                  <c:v>0.15379999999999999</c:v>
                </c:pt>
                <c:pt idx="49">
                  <c:v>0.17150000000000001</c:v>
                </c:pt>
                <c:pt idx="50">
                  <c:v>0.1429</c:v>
                </c:pt>
                <c:pt idx="51">
                  <c:v>0.1774</c:v>
                </c:pt>
                <c:pt idx="52">
                  <c:v>0.13619999999999999</c:v>
                </c:pt>
                <c:pt idx="53">
                  <c:v>0.1749</c:v>
                </c:pt>
                <c:pt idx="54">
                  <c:v>0.21129999999999999</c:v>
                </c:pt>
                <c:pt idx="55">
                  <c:v>0.17399999999999999</c:v>
                </c:pt>
                <c:pt idx="56">
                  <c:v>0.1381</c:v>
                </c:pt>
                <c:pt idx="57">
                  <c:v>0.17050000000000001</c:v>
                </c:pt>
                <c:pt idx="58">
                  <c:v>0.1953</c:v>
                </c:pt>
                <c:pt idx="59">
                  <c:v>0.17549999999999999</c:v>
                </c:pt>
                <c:pt idx="60">
                  <c:v>6.7000000000000004E-2</c:v>
                </c:pt>
                <c:pt idx="61">
                  <c:v>3.2000000000000001E-2</c:v>
                </c:pt>
                <c:pt idx="62">
                  <c:v>0.1133</c:v>
                </c:pt>
                <c:pt idx="63">
                  <c:v>-3.5400000000000001E-2</c:v>
                </c:pt>
                <c:pt idx="64">
                  <c:v>0.16819999999999999</c:v>
                </c:pt>
                <c:pt idx="65">
                  <c:v>0.1663</c:v>
                </c:pt>
                <c:pt idx="66">
                  <c:v>0.1573</c:v>
                </c:pt>
              </c:numCache>
            </c:numRef>
          </c:yVal>
          <c:smooth val="1"/>
          <c:extLst>
            <c:ext xmlns:c16="http://schemas.microsoft.com/office/drawing/2014/chart" uri="{C3380CC4-5D6E-409C-BE32-E72D297353CC}">
              <c16:uniqueId val="{00000003-0E5D-4130-86B0-698B97E110BC}"/>
            </c:ext>
          </c:extLst>
        </c:ser>
        <c:dLbls>
          <c:showLegendKey val="0"/>
          <c:showVal val="0"/>
          <c:showCatName val="0"/>
          <c:showSerName val="0"/>
          <c:showPercent val="0"/>
          <c:showBubbleSize val="0"/>
        </c:dLbls>
        <c:axId val="64419850"/>
        <c:axId val="59993005"/>
      </c:scatterChart>
      <c:valAx>
        <c:axId val="64419850"/>
        <c:scaling>
          <c:orientation val="minMax"/>
          <c:max val="2026"/>
          <c:min val="1955"/>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Year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59993005"/>
        <c:crosses val="min"/>
        <c:crossBetween val="midCat"/>
      </c:valAx>
      <c:valAx>
        <c:axId val="59993005"/>
        <c:scaling>
          <c:orientation val="minMax"/>
          <c:max val="3.5"/>
          <c:min val="-2"/>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ERF vs 1750 (W/m²)</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64419850"/>
        <c:crosses val="min"/>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Temperature anomaly vs anthropogenic forcing, 1959-2025
Slope ≈ 0.40 °C per W/m²; × 3.93 W/m² per doubling ≈ 1.6 °C (historical regression, not TCR)</a:t>
            </a:r>
          </a:p>
        </c:rich>
      </c:tx>
      <c:overlay val="0"/>
      <c:spPr>
        <a:noFill/>
        <a:ln w="0">
          <a:noFill/>
        </a:ln>
      </c:spPr>
    </c:title>
    <c:autoTitleDeleted val="0"/>
    <c:plotArea>
      <c:layout/>
      <c:scatterChart>
        <c:scatterStyle val="lineMarker"/>
        <c:varyColors val="0"/>
        <c:ser>
          <c:idx val="0"/>
          <c:order val="0"/>
          <c:spPr>
            <a:ln w="38160">
              <a:noFill/>
            </a:ln>
          </c:spPr>
          <c:marker>
            <c:symbol val="circle"/>
            <c:size val="5"/>
            <c:spPr>
              <a:solidFill>
                <a:srgbClr val="2A78D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1"/>
            <c:trendlineLbl>
              <c:numFmt formatCode="General" sourceLinked="0"/>
            </c:trendlineLbl>
          </c:trendline>
          <c:xVal>
            <c:numRef>
              <c:f>Forcing!$L$2:$L$68</c:f>
              <c:numCache>
                <c:formatCode>0.000</c:formatCode>
                <c:ptCount val="67"/>
                <c:pt idx="0">
                  <c:v>0.30580000000000013</c:v>
                </c:pt>
                <c:pt idx="1">
                  <c:v>0.29660000000000009</c:v>
                </c:pt>
                <c:pt idx="2">
                  <c:v>0.28620000000000001</c:v>
                </c:pt>
                <c:pt idx="3">
                  <c:v>0.30610000000000004</c:v>
                </c:pt>
                <c:pt idx="4">
                  <c:v>0.2793000000000001</c:v>
                </c:pt>
                <c:pt idx="5">
                  <c:v>0.3095</c:v>
                </c:pt>
                <c:pt idx="6">
                  <c:v>0.31409999999999993</c:v>
                </c:pt>
                <c:pt idx="7">
                  <c:v>0.33479999999999982</c:v>
                </c:pt>
                <c:pt idx="8">
                  <c:v>0.34409999999999991</c:v>
                </c:pt>
                <c:pt idx="9">
                  <c:v>0.36069999999999991</c:v>
                </c:pt>
                <c:pt idx="10">
                  <c:v>0.37939999999999996</c:v>
                </c:pt>
                <c:pt idx="11">
                  <c:v>0.37419999999999981</c:v>
                </c:pt>
                <c:pt idx="12">
                  <c:v>0.40539999999999998</c:v>
                </c:pt>
                <c:pt idx="13">
                  <c:v>0.41099999999999998</c:v>
                </c:pt>
                <c:pt idx="14">
                  <c:v>0.46879999999999999</c:v>
                </c:pt>
                <c:pt idx="15">
                  <c:v>0.51219999999999999</c:v>
                </c:pt>
                <c:pt idx="16">
                  <c:v>0.55320000000000025</c:v>
                </c:pt>
                <c:pt idx="17">
                  <c:v>0.53579999999999994</c:v>
                </c:pt>
                <c:pt idx="18">
                  <c:v>0.58800000000000008</c:v>
                </c:pt>
                <c:pt idx="19">
                  <c:v>0.62959999999999994</c:v>
                </c:pt>
                <c:pt idx="20">
                  <c:v>0.66369999999999973</c:v>
                </c:pt>
                <c:pt idx="21">
                  <c:v>0.72320000000000007</c:v>
                </c:pt>
                <c:pt idx="22">
                  <c:v>0.79930000000000023</c:v>
                </c:pt>
                <c:pt idx="23">
                  <c:v>0.81170000000000009</c:v>
                </c:pt>
                <c:pt idx="24">
                  <c:v>0.92230000000000001</c:v>
                </c:pt>
                <c:pt idx="25">
                  <c:v>0.94940000000000024</c:v>
                </c:pt>
                <c:pt idx="26">
                  <c:v>0.9856999999999998</c:v>
                </c:pt>
                <c:pt idx="27">
                  <c:v>1.0379999999999998</c:v>
                </c:pt>
                <c:pt idx="28">
                  <c:v>1.0542000000000002</c:v>
                </c:pt>
                <c:pt idx="29">
                  <c:v>1.1193999999999997</c:v>
                </c:pt>
                <c:pt idx="30">
                  <c:v>1.1875</c:v>
                </c:pt>
                <c:pt idx="31">
                  <c:v>1.2159</c:v>
                </c:pt>
                <c:pt idx="32">
                  <c:v>1.2000000000000002</c:v>
                </c:pt>
                <c:pt idx="33">
                  <c:v>1.3488</c:v>
                </c:pt>
                <c:pt idx="34">
                  <c:v>1.3699000000000003</c:v>
                </c:pt>
                <c:pt idx="35">
                  <c:v>1.3697000000000001</c:v>
                </c:pt>
                <c:pt idx="36">
                  <c:v>1.472</c:v>
                </c:pt>
                <c:pt idx="37">
                  <c:v>1.5419999999999998</c:v>
                </c:pt>
                <c:pt idx="38">
                  <c:v>1.4751000000000001</c:v>
                </c:pt>
                <c:pt idx="39">
                  <c:v>1.5399999999999998</c:v>
                </c:pt>
                <c:pt idx="40">
                  <c:v>1.6950000000000003</c:v>
                </c:pt>
                <c:pt idx="41">
                  <c:v>1.7592000000000003</c:v>
                </c:pt>
                <c:pt idx="42">
                  <c:v>1.7915000000000001</c:v>
                </c:pt>
                <c:pt idx="43">
                  <c:v>1.7610000000000001</c:v>
                </c:pt>
                <c:pt idx="44">
                  <c:v>1.7699</c:v>
                </c:pt>
                <c:pt idx="45">
                  <c:v>1.8122</c:v>
                </c:pt>
                <c:pt idx="46">
                  <c:v>1.8112999999999999</c:v>
                </c:pt>
                <c:pt idx="47">
                  <c:v>1.8320999999999998</c:v>
                </c:pt>
                <c:pt idx="48">
                  <c:v>1.9038999999999999</c:v>
                </c:pt>
                <c:pt idx="49">
                  <c:v>1.9909000000000003</c:v>
                </c:pt>
                <c:pt idx="50">
                  <c:v>2.0844999999999998</c:v>
                </c:pt>
                <c:pt idx="51">
                  <c:v>2.1269</c:v>
                </c:pt>
                <c:pt idx="52">
                  <c:v>2.1751</c:v>
                </c:pt>
                <c:pt idx="53">
                  <c:v>2.1985000000000001</c:v>
                </c:pt>
                <c:pt idx="54">
                  <c:v>2.3132999999999999</c:v>
                </c:pt>
                <c:pt idx="55">
                  <c:v>2.3534000000000002</c:v>
                </c:pt>
                <c:pt idx="56">
                  <c:v>2.4205999999999999</c:v>
                </c:pt>
                <c:pt idx="57">
                  <c:v>2.5571000000000002</c:v>
                </c:pt>
                <c:pt idx="58">
                  <c:v>2.6228000000000002</c:v>
                </c:pt>
                <c:pt idx="59">
                  <c:v>2.6823999999999999</c:v>
                </c:pt>
                <c:pt idx="60">
                  <c:v>2.6877000000000004</c:v>
                </c:pt>
                <c:pt idx="61">
                  <c:v>2.8317000000000001</c:v>
                </c:pt>
                <c:pt idx="62">
                  <c:v>2.8166000000000002</c:v>
                </c:pt>
                <c:pt idx="63">
                  <c:v>2.9706000000000001</c:v>
                </c:pt>
                <c:pt idx="64">
                  <c:v>2.8590999999999998</c:v>
                </c:pt>
                <c:pt idx="65">
                  <c:v>2.9832000000000001</c:v>
                </c:pt>
                <c:pt idx="66">
                  <c:v>3.1034999999999999</c:v>
                </c:pt>
              </c:numCache>
            </c:numRef>
          </c:xVal>
          <c:yVal>
            <c:numRef>
              <c:f>Forcing!$B$2:$B$68</c:f>
              <c:numCache>
                <c:formatCode>0.000</c:formatCode>
                <c:ptCount val="67"/>
                <c:pt idx="0">
                  <c:v>3.0833333333332824E-2</c:v>
                </c:pt>
                <c:pt idx="1">
                  <c:v>-2.4999999999999616E-2</c:v>
                </c:pt>
                <c:pt idx="2">
                  <c:v>5.6666666666666345E-2</c:v>
                </c:pt>
                <c:pt idx="3">
                  <c:v>3.0833333333334007E-2</c:v>
                </c:pt>
                <c:pt idx="4">
                  <c:v>5.4166666666666995E-2</c:v>
                </c:pt>
                <c:pt idx="5">
                  <c:v>-0.1991666666666673</c:v>
                </c:pt>
                <c:pt idx="6">
                  <c:v>-0.10666666666666676</c:v>
                </c:pt>
                <c:pt idx="7">
                  <c:v>-5.7499999999999364E-2</c:v>
                </c:pt>
                <c:pt idx="8">
                  <c:v>-2.4166666666666597E-2</c:v>
                </c:pt>
                <c:pt idx="9">
                  <c:v>-8.2500000000000018E-2</c:v>
                </c:pt>
                <c:pt idx="10">
                  <c:v>5.2500000000000213E-2</c:v>
                </c:pt>
                <c:pt idx="11">
                  <c:v>2.7500000000000746E-2</c:v>
                </c:pt>
                <c:pt idx="12">
                  <c:v>-7.9166666666666455E-2</c:v>
                </c:pt>
                <c:pt idx="13">
                  <c:v>9.1666666666673589E-3</c:v>
                </c:pt>
                <c:pt idx="14">
                  <c:v>0.16083333333333302</c:v>
                </c:pt>
                <c:pt idx="15">
                  <c:v>-7.1666666666667364E-2</c:v>
                </c:pt>
                <c:pt idx="16">
                  <c:v>-1.3333333333332309E-2</c:v>
                </c:pt>
                <c:pt idx="17">
                  <c:v>-9.7499999999999698E-2</c:v>
                </c:pt>
                <c:pt idx="18">
                  <c:v>0.17833333333333354</c:v>
                </c:pt>
                <c:pt idx="19">
                  <c:v>6.6666666666666277E-2</c:v>
                </c:pt>
                <c:pt idx="20">
                  <c:v>0.16416666666666671</c:v>
                </c:pt>
                <c:pt idx="21">
                  <c:v>0.25583333333333363</c:v>
                </c:pt>
                <c:pt idx="22">
                  <c:v>0.32333333333333264</c:v>
                </c:pt>
                <c:pt idx="23">
                  <c:v>0.13916666666666591</c:v>
                </c:pt>
                <c:pt idx="24">
                  <c:v>0.31500000000000039</c:v>
                </c:pt>
                <c:pt idx="25">
                  <c:v>0.15500000000000011</c:v>
                </c:pt>
                <c:pt idx="26">
                  <c:v>0.11833333333333303</c:v>
                </c:pt>
                <c:pt idx="27">
                  <c:v>0.17999999999999927</c:v>
                </c:pt>
                <c:pt idx="28">
                  <c:v>0.3216666666666666</c:v>
                </c:pt>
                <c:pt idx="29">
                  <c:v>0.38999999999999985</c:v>
                </c:pt>
                <c:pt idx="30">
                  <c:v>0.27416666666666512</c:v>
                </c:pt>
                <c:pt idx="31">
                  <c:v>0.44916666666666821</c:v>
                </c:pt>
                <c:pt idx="32">
                  <c:v>0.40749999999999975</c:v>
                </c:pt>
                <c:pt idx="33">
                  <c:v>0.22416666666666707</c:v>
                </c:pt>
                <c:pt idx="34">
                  <c:v>0.23333333333333339</c:v>
                </c:pt>
                <c:pt idx="35">
                  <c:v>0.31583333333333358</c:v>
                </c:pt>
                <c:pt idx="36">
                  <c:v>0.4475000000000004</c:v>
                </c:pt>
                <c:pt idx="37">
                  <c:v>0.33416666666666667</c:v>
                </c:pt>
                <c:pt idx="38">
                  <c:v>0.46749999999999964</c:v>
                </c:pt>
                <c:pt idx="39">
                  <c:v>0.6091666666666683</c:v>
                </c:pt>
                <c:pt idx="40">
                  <c:v>0.38249999999999984</c:v>
                </c:pt>
                <c:pt idx="41">
                  <c:v>0.39333333333333381</c:v>
                </c:pt>
                <c:pt idx="42">
                  <c:v>0.5333333333333331</c:v>
                </c:pt>
                <c:pt idx="43">
                  <c:v>0.6275000000000005</c:v>
                </c:pt>
                <c:pt idx="44">
                  <c:v>0.61666666666666703</c:v>
                </c:pt>
                <c:pt idx="45">
                  <c:v>0.53416666666666723</c:v>
                </c:pt>
                <c:pt idx="46">
                  <c:v>0.67916666666666681</c:v>
                </c:pt>
                <c:pt idx="47">
                  <c:v>0.64083333333333392</c:v>
                </c:pt>
                <c:pt idx="48">
                  <c:v>0.66416666666666746</c:v>
                </c:pt>
                <c:pt idx="49">
                  <c:v>0.54333333333333378</c:v>
                </c:pt>
                <c:pt idx="50">
                  <c:v>0.65583333333333371</c:v>
                </c:pt>
                <c:pt idx="51">
                  <c:v>0.7241666666666674</c:v>
                </c:pt>
                <c:pt idx="52">
                  <c:v>0.60750000000000037</c:v>
                </c:pt>
                <c:pt idx="53">
                  <c:v>0.64666666666666694</c:v>
                </c:pt>
                <c:pt idx="54">
                  <c:v>0.67666666666666764</c:v>
                </c:pt>
                <c:pt idx="55">
                  <c:v>0.74916666666666665</c:v>
                </c:pt>
                <c:pt idx="56">
                  <c:v>0.89833333333333354</c:v>
                </c:pt>
                <c:pt idx="57">
                  <c:v>1.0124999999999997</c:v>
                </c:pt>
                <c:pt idx="58">
                  <c:v>0.91499999999999904</c:v>
                </c:pt>
                <c:pt idx="59">
                  <c:v>0.85083333333333433</c:v>
                </c:pt>
                <c:pt idx="60">
                  <c:v>0.97999999999999898</c:v>
                </c:pt>
                <c:pt idx="61">
                  <c:v>1.0075000000000005</c:v>
                </c:pt>
                <c:pt idx="62">
                  <c:v>0.84916666666666762</c:v>
                </c:pt>
                <c:pt idx="63">
                  <c:v>0.89250000000000063</c:v>
                </c:pt>
                <c:pt idx="64">
                  <c:v>1.1724999999999992</c:v>
                </c:pt>
                <c:pt idx="65">
                  <c:v>1.2858333333333338</c:v>
                </c:pt>
                <c:pt idx="66">
                  <c:v>1.193333333333334</c:v>
                </c:pt>
              </c:numCache>
            </c:numRef>
          </c:yVal>
          <c:smooth val="1"/>
          <c:extLst>
            <c:ext xmlns:c16="http://schemas.microsoft.com/office/drawing/2014/chart" uri="{C3380CC4-5D6E-409C-BE32-E72D297353CC}">
              <c16:uniqueId val="{00000001-9EAD-42B2-824E-AC716A07928F}"/>
            </c:ext>
          </c:extLst>
        </c:ser>
        <c:dLbls>
          <c:showLegendKey val="0"/>
          <c:showVal val="0"/>
          <c:showCatName val="0"/>
          <c:showSerName val="0"/>
          <c:showPercent val="0"/>
          <c:showBubbleSize val="0"/>
        </c:dLbls>
        <c:axId val="72064516"/>
        <c:axId val="10456457"/>
      </c:scatterChart>
      <c:valAx>
        <c:axId val="72064516"/>
        <c:scaling>
          <c:orientation val="minMax"/>
          <c:max val="3.2"/>
          <c:min val="0"/>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Anthropogenic ERF (W/m²)</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0456457"/>
        <c:crosses val="min"/>
        <c:crossBetween val="midCat"/>
      </c:valAx>
      <c:valAx>
        <c:axId val="10456457"/>
        <c:scaling>
          <c:orientation val="minMax"/>
          <c:max val="1.5"/>
          <c:min val="-0.3"/>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Annual mean anomaly (°C)</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72064516"/>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CO2 alone vs temperature, 1959-2025
Non-CO2 human forcing and ENSO removed at the fitted coefficients; slope ≈ 1.6 °C per doubling (grey = raw, slope 2.7)</a:t>
            </a:r>
          </a:p>
        </c:rich>
      </c:tx>
      <c:overlay val="0"/>
      <c:spPr>
        <a:noFill/>
        <a:ln w="0">
          <a:noFill/>
        </a:ln>
      </c:spPr>
    </c:title>
    <c:autoTitleDeleted val="0"/>
    <c:plotArea>
      <c:layout/>
      <c:scatterChart>
        <c:scatterStyle val="lineMarker"/>
        <c:varyColors val="0"/>
        <c:ser>
          <c:idx val="0"/>
          <c:order val="0"/>
          <c:tx>
            <c:v>Annual, adjusted</c:v>
          </c:tx>
          <c:spPr>
            <a:ln w="38160">
              <a:noFill/>
            </a:ln>
          </c:spPr>
          <c:marker>
            <c:symbol val="circle"/>
            <c:size val="5"/>
            <c:spPr>
              <a:solidFill>
                <a:srgbClr val="2A78D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1"/>
            <c:trendlineLbl>
              <c:numFmt formatCode="General" sourceLinked="0"/>
            </c:trendlineLbl>
          </c:trendline>
          <c:xVal>
            <c:numRef>
              <c:f>Forcing!$C$2:$C$68</c:f>
              <c:numCache>
                <c:formatCode>0.0000</c:formatCode>
                <c:ptCount val="67"/>
                <c:pt idx="0">
                  <c:v>0.17439669687104098</c:v>
                </c:pt>
                <c:pt idx="1">
                  <c:v>0.17861133837791365</c:v>
                </c:pt>
                <c:pt idx="2">
                  <c:v>0.18196022855888627</c:v>
                </c:pt>
                <c:pt idx="3">
                  <c:v>0.18563275308825636</c:v>
                </c:pt>
                <c:pt idx="4">
                  <c:v>0.18806837681949565</c:v>
                </c:pt>
                <c:pt idx="5">
                  <c:v>0.19090694656901711</c:v>
                </c:pt>
                <c:pt idx="6">
                  <c:v>0.19279248762081727</c:v>
                </c:pt>
                <c:pt idx="7">
                  <c:v>0.19877221770103162</c:v>
                </c:pt>
                <c:pt idx="8">
                  <c:v>0.20241455784943219</c:v>
                </c:pt>
                <c:pt idx="9">
                  <c:v>0.20630941394392599</c:v>
                </c:pt>
                <c:pt idx="10">
                  <c:v>0.21330789689493801</c:v>
                </c:pt>
                <c:pt idx="11">
                  <c:v>0.21801538220265768</c:v>
                </c:pt>
                <c:pt idx="12">
                  <c:v>0.22084048798225211</c:v>
                </c:pt>
                <c:pt idx="13">
                  <c:v>0.22586052597671843</c:v>
                </c:pt>
                <c:pt idx="14">
                  <c:v>0.23562787907160213</c:v>
                </c:pt>
                <c:pt idx="15">
                  <c:v>0.23785981722471297</c:v>
                </c:pt>
                <c:pt idx="16">
                  <c:v>0.24193918054612207</c:v>
                </c:pt>
                <c:pt idx="17">
                  <c:v>0.24584257261243991</c:v>
                </c:pt>
                <c:pt idx="18">
                  <c:v>0.25372586794152979</c:v>
                </c:pt>
                <c:pt idx="19">
                  <c:v>0.26049697715420922</c:v>
                </c:pt>
                <c:pt idx="20">
                  <c:v>0.26659553851729739</c:v>
                </c:pt>
                <c:pt idx="21">
                  <c:v>0.27482718847371568</c:v>
                </c:pt>
                <c:pt idx="22">
                  <c:v>0.28059166813261399</c:v>
                </c:pt>
                <c:pt idx="23">
                  <c:v>0.2863409347995432</c:v>
                </c:pt>
                <c:pt idx="24">
                  <c:v>0.29340200418028634</c:v>
                </c:pt>
                <c:pt idx="25">
                  <c:v>0.3005889072552464</c:v>
                </c:pt>
                <c:pt idx="26">
                  <c:v>0.30678880266607567</c:v>
                </c:pt>
                <c:pt idx="27">
                  <c:v>0.31201397935412778</c:v>
                </c:pt>
                <c:pt idx="28">
                  <c:v>0.31907046120568344</c:v>
                </c:pt>
                <c:pt idx="29">
                  <c:v>0.32886051990619497</c:v>
                </c:pt>
                <c:pt idx="30">
                  <c:v>0.3350581779738751</c:v>
                </c:pt>
                <c:pt idx="31">
                  <c:v>0.34014660517272827</c:v>
                </c:pt>
                <c:pt idx="32">
                  <c:v>0.34522235607120461</c:v>
                </c:pt>
                <c:pt idx="33">
                  <c:v>0.34862967062131672</c:v>
                </c:pt>
                <c:pt idx="34">
                  <c:v>0.35134440078007922</c:v>
                </c:pt>
                <c:pt idx="35">
                  <c:v>0.35837405183815102</c:v>
                </c:pt>
                <c:pt idx="36">
                  <c:v>0.36642608584109237</c:v>
                </c:pt>
                <c:pt idx="37">
                  <c:v>0.37350293517077987</c:v>
                </c:pt>
                <c:pt idx="38">
                  <c:v>0.37800252302471615</c:v>
                </c:pt>
                <c:pt idx="39">
                  <c:v>0.3897083812206969</c:v>
                </c:pt>
                <c:pt idx="40">
                  <c:v>0.3963732865394658</c:v>
                </c:pt>
                <c:pt idx="41">
                  <c:v>0.400943554731721</c:v>
                </c:pt>
                <c:pt idx="42">
                  <c:v>0.40721575059890908</c:v>
                </c:pt>
                <c:pt idx="43">
                  <c:v>0.41548364377270341</c:v>
                </c:pt>
                <c:pt idx="44">
                  <c:v>0.42522603502993445</c:v>
                </c:pt>
                <c:pt idx="45">
                  <c:v>0.43178694907654275</c:v>
                </c:pt>
                <c:pt idx="46">
                  <c:v>0.44049121010051245</c:v>
                </c:pt>
                <c:pt idx="47">
                  <c:v>0.44847021068533954</c:v>
                </c:pt>
                <c:pt idx="48">
                  <c:v>0.45575620866675709</c:v>
                </c:pt>
                <c:pt idx="49">
                  <c:v>0.46253433128659666</c:v>
                </c:pt>
                <c:pt idx="50">
                  <c:v>0.46928442493460149</c:v>
                </c:pt>
                <c:pt idx="51">
                  <c:v>0.47840548027096802</c:v>
                </c:pt>
                <c:pt idx="52">
                  <c:v>0.48486472333529007</c:v>
                </c:pt>
                <c:pt idx="53">
                  <c:v>0.49295906457010003</c:v>
                </c:pt>
                <c:pt idx="54">
                  <c:v>0.50274186240145013</c:v>
                </c:pt>
                <c:pt idx="55">
                  <c:v>0.51026535704843223</c:v>
                </c:pt>
                <c:pt idx="56">
                  <c:v>0.5182044540111318</c:v>
                </c:pt>
                <c:pt idx="57">
                  <c:v>0.53038105662294244</c:v>
                </c:pt>
                <c:pt idx="58">
                  <c:v>0.53872858215798958</c:v>
                </c:pt>
                <c:pt idx="59">
                  <c:v>0.54565570832238308</c:v>
                </c:pt>
                <c:pt idx="60">
                  <c:v>0.55597376133382259</c:v>
                </c:pt>
                <c:pt idx="61">
                  <c:v>0.56493356806233885</c:v>
                </c:pt>
                <c:pt idx="62">
                  <c:v>0.57257663795460223</c:v>
                </c:pt>
                <c:pt idx="63">
                  <c:v>0.579887058389435</c:v>
                </c:pt>
                <c:pt idx="64">
                  <c:v>0.58865435505823871</c:v>
                </c:pt>
                <c:pt idx="65">
                  <c:v>0.6006802435656321</c:v>
                </c:pt>
                <c:pt idx="66">
                  <c:v>0.60997494216523618</c:v>
                </c:pt>
              </c:numCache>
            </c:numRef>
          </c:xVal>
          <c:yVal>
            <c:numRef>
              <c:f>Forcing!$BA$2:$BA$68</c:f>
              <c:numCache>
                <c:formatCode>0.000</c:formatCode>
                <c:ptCount val="67"/>
                <c:pt idx="0">
                  <c:v>0.16542641707229502</c:v>
                </c:pt>
                <c:pt idx="1">
                  <c:v>0.13582085507136643</c:v>
                </c:pt>
                <c:pt idx="2">
                  <c:v>0.23592936603008463</c:v>
                </c:pt>
                <c:pt idx="3">
                  <c:v>0.22132138089090431</c:v>
                </c:pt>
                <c:pt idx="4">
                  <c:v>0.22637448684615158</c:v>
                </c:pt>
                <c:pt idx="5">
                  <c:v>-2.566495833080383E-2</c:v>
                </c:pt>
                <c:pt idx="6">
                  <c:v>6.0546240396754936E-2</c:v>
                </c:pt>
                <c:pt idx="7">
                  <c:v>4.955861763119225E-2</c:v>
                </c:pt>
                <c:pt idx="8">
                  <c:v>0.18870251780924513</c:v>
                </c:pt>
                <c:pt idx="9">
                  <c:v>0.12249631455964587</c:v>
                </c:pt>
                <c:pt idx="10">
                  <c:v>0.16804839179276301</c:v>
                </c:pt>
                <c:pt idx="11">
                  <c:v>0.21215231950486738</c:v>
                </c:pt>
                <c:pt idx="12">
                  <c:v>0.19677295779641196</c:v>
                </c:pt>
                <c:pt idx="13">
                  <c:v>0.19111857946300484</c:v>
                </c:pt>
                <c:pt idx="14">
                  <c:v>0.3209578072321474</c:v>
                </c:pt>
                <c:pt idx="15">
                  <c:v>0.22595464997057818</c:v>
                </c:pt>
                <c:pt idx="16">
                  <c:v>0.23410892573152459</c:v>
                </c:pt>
                <c:pt idx="17">
                  <c:v>0.13830173102158977</c:v>
                </c:pt>
                <c:pt idx="18">
                  <c:v>0.29223421286077039</c:v>
                </c:pt>
                <c:pt idx="19">
                  <c:v>0.21128753299547354</c:v>
                </c:pt>
                <c:pt idx="20">
                  <c:v>0.30738770521385117</c:v>
                </c:pt>
                <c:pt idx="21">
                  <c:v>0.3689747885788654</c:v>
                </c:pt>
                <c:pt idx="22">
                  <c:v>0.47023074774165552</c:v>
                </c:pt>
                <c:pt idx="23">
                  <c:v>0.22655614787580355</c:v>
                </c:pt>
                <c:pt idx="24">
                  <c:v>0.28735170196001297</c:v>
                </c:pt>
                <c:pt idx="25">
                  <c:v>0.30110614961715954</c:v>
                </c:pt>
                <c:pt idx="26">
                  <c:v>0.27636867826586431</c:v>
                </c:pt>
                <c:pt idx="27">
                  <c:v>0.26068229924697944</c:v>
                </c:pt>
                <c:pt idx="28">
                  <c:v>0.2839804311825358</c:v>
                </c:pt>
                <c:pt idx="29">
                  <c:v>0.47327148864704172</c:v>
                </c:pt>
                <c:pt idx="30">
                  <c:v>0.42757651850081002</c:v>
                </c:pt>
                <c:pt idx="31">
                  <c:v>0.47982220856616553</c:v>
                </c:pt>
                <c:pt idx="32">
                  <c:v>0.42443561338593988</c:v>
                </c:pt>
                <c:pt idx="33">
                  <c:v>0.13478487642691617</c:v>
                </c:pt>
                <c:pt idx="34">
                  <c:v>0.2082258018024945</c:v>
                </c:pt>
                <c:pt idx="35">
                  <c:v>0.30682590378117364</c:v>
                </c:pt>
                <c:pt idx="36">
                  <c:v>0.40351039471729977</c:v>
                </c:pt>
                <c:pt idx="37">
                  <c:v>0.35513411946830115</c:v>
                </c:pt>
                <c:pt idx="38">
                  <c:v>0.41833504234785784</c:v>
                </c:pt>
                <c:pt idx="39">
                  <c:v>0.50185497218914155</c:v>
                </c:pt>
                <c:pt idx="40">
                  <c:v>0.42920567063098136</c:v>
                </c:pt>
                <c:pt idx="41">
                  <c:v>0.40635095378716829</c:v>
                </c:pt>
                <c:pt idx="42">
                  <c:v>0.48892500983586495</c:v>
                </c:pt>
                <c:pt idx="43">
                  <c:v>0.55151285344940648</c:v>
                </c:pt>
                <c:pt idx="44">
                  <c:v>0.52523788009316719</c:v>
                </c:pt>
                <c:pt idx="45">
                  <c:v>0.45094826653075482</c:v>
                </c:pt>
                <c:pt idx="46">
                  <c:v>0.60520425587279514</c:v>
                </c:pt>
                <c:pt idx="47">
                  <c:v>0.63580936874168004</c:v>
                </c:pt>
                <c:pt idx="48">
                  <c:v>0.61140322258341129</c:v>
                </c:pt>
                <c:pt idx="49">
                  <c:v>0.57260950898015406</c:v>
                </c:pt>
                <c:pt idx="50">
                  <c:v>0.56874580080931769</c:v>
                </c:pt>
                <c:pt idx="51">
                  <c:v>0.58638134561742217</c:v>
                </c:pt>
                <c:pt idx="52">
                  <c:v>0.58040601530042568</c:v>
                </c:pt>
                <c:pt idx="53">
                  <c:v>0.56386478518529315</c:v>
                </c:pt>
                <c:pt idx="54">
                  <c:v>0.54882429931491672</c:v>
                </c:pt>
                <c:pt idx="55">
                  <c:v>0.59331053468642381</c:v>
                </c:pt>
                <c:pt idx="56">
                  <c:v>0.62693558590752063</c:v>
                </c:pt>
                <c:pt idx="57">
                  <c:v>0.68690761499407871</c:v>
                </c:pt>
                <c:pt idx="58">
                  <c:v>0.69982269017848409</c:v>
                </c:pt>
                <c:pt idx="59">
                  <c:v>0.64805778943644454</c:v>
                </c:pt>
                <c:pt idx="60">
                  <c:v>0.69009218761759394</c:v>
                </c:pt>
                <c:pt idx="61">
                  <c:v>0.72358666926871762</c:v>
                </c:pt>
                <c:pt idx="62">
                  <c:v>0.67768982006171974</c:v>
                </c:pt>
                <c:pt idx="63">
                  <c:v>0.67995483908153465</c:v>
                </c:pt>
                <c:pt idx="64">
                  <c:v>0.92360821444427998</c:v>
                </c:pt>
                <c:pt idx="65">
                  <c:v>0.92314006566865625</c:v>
                </c:pt>
                <c:pt idx="66">
                  <c:v>0.91499984218518349</c:v>
                </c:pt>
              </c:numCache>
            </c:numRef>
          </c:yVal>
          <c:smooth val="1"/>
          <c:extLst>
            <c:ext xmlns:c16="http://schemas.microsoft.com/office/drawing/2014/chart" uri="{C3380CC4-5D6E-409C-BE32-E72D297353CC}">
              <c16:uniqueId val="{00000001-E103-492F-9C30-4E7B75866134}"/>
            </c:ext>
          </c:extLst>
        </c:ser>
        <c:ser>
          <c:idx val="1"/>
          <c:order val="1"/>
          <c:tx>
            <c:v>Annual, raw (for comparison)</c:v>
          </c:tx>
          <c:spPr>
            <a:ln w="38160">
              <a:noFill/>
            </a:ln>
          </c:spPr>
          <c:marker>
            <c:symbol val="circle"/>
            <c:size val="4"/>
            <c:spPr>
              <a:solidFill>
                <a:srgbClr val="C3C2B7"/>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Forcing!$C$2:$C$68</c:f>
              <c:numCache>
                <c:formatCode>0.0000</c:formatCode>
                <c:ptCount val="67"/>
                <c:pt idx="0">
                  <c:v>0.17439669687104098</c:v>
                </c:pt>
                <c:pt idx="1">
                  <c:v>0.17861133837791365</c:v>
                </c:pt>
                <c:pt idx="2">
                  <c:v>0.18196022855888627</c:v>
                </c:pt>
                <c:pt idx="3">
                  <c:v>0.18563275308825636</c:v>
                </c:pt>
                <c:pt idx="4">
                  <c:v>0.18806837681949565</c:v>
                </c:pt>
                <c:pt idx="5">
                  <c:v>0.19090694656901711</c:v>
                </c:pt>
                <c:pt idx="6">
                  <c:v>0.19279248762081727</c:v>
                </c:pt>
                <c:pt idx="7">
                  <c:v>0.19877221770103162</c:v>
                </c:pt>
                <c:pt idx="8">
                  <c:v>0.20241455784943219</c:v>
                </c:pt>
                <c:pt idx="9">
                  <c:v>0.20630941394392599</c:v>
                </c:pt>
                <c:pt idx="10">
                  <c:v>0.21330789689493801</c:v>
                </c:pt>
                <c:pt idx="11">
                  <c:v>0.21801538220265768</c:v>
                </c:pt>
                <c:pt idx="12">
                  <c:v>0.22084048798225211</c:v>
                </c:pt>
                <c:pt idx="13">
                  <c:v>0.22586052597671843</c:v>
                </c:pt>
                <c:pt idx="14">
                  <c:v>0.23562787907160213</c:v>
                </c:pt>
                <c:pt idx="15">
                  <c:v>0.23785981722471297</c:v>
                </c:pt>
                <c:pt idx="16">
                  <c:v>0.24193918054612207</c:v>
                </c:pt>
                <c:pt idx="17">
                  <c:v>0.24584257261243991</c:v>
                </c:pt>
                <c:pt idx="18">
                  <c:v>0.25372586794152979</c:v>
                </c:pt>
                <c:pt idx="19">
                  <c:v>0.26049697715420922</c:v>
                </c:pt>
                <c:pt idx="20">
                  <c:v>0.26659553851729739</c:v>
                </c:pt>
                <c:pt idx="21">
                  <c:v>0.27482718847371568</c:v>
                </c:pt>
                <c:pt idx="22">
                  <c:v>0.28059166813261399</c:v>
                </c:pt>
                <c:pt idx="23">
                  <c:v>0.2863409347995432</c:v>
                </c:pt>
                <c:pt idx="24">
                  <c:v>0.29340200418028634</c:v>
                </c:pt>
                <c:pt idx="25">
                  <c:v>0.3005889072552464</c:v>
                </c:pt>
                <c:pt idx="26">
                  <c:v>0.30678880266607567</c:v>
                </c:pt>
                <c:pt idx="27">
                  <c:v>0.31201397935412778</c:v>
                </c:pt>
                <c:pt idx="28">
                  <c:v>0.31907046120568344</c:v>
                </c:pt>
                <c:pt idx="29">
                  <c:v>0.32886051990619497</c:v>
                </c:pt>
                <c:pt idx="30">
                  <c:v>0.3350581779738751</c:v>
                </c:pt>
                <c:pt idx="31">
                  <c:v>0.34014660517272827</c:v>
                </c:pt>
                <c:pt idx="32">
                  <c:v>0.34522235607120461</c:v>
                </c:pt>
                <c:pt idx="33">
                  <c:v>0.34862967062131672</c:v>
                </c:pt>
                <c:pt idx="34">
                  <c:v>0.35134440078007922</c:v>
                </c:pt>
                <c:pt idx="35">
                  <c:v>0.35837405183815102</c:v>
                </c:pt>
                <c:pt idx="36">
                  <c:v>0.36642608584109237</c:v>
                </c:pt>
                <c:pt idx="37">
                  <c:v>0.37350293517077987</c:v>
                </c:pt>
                <c:pt idx="38">
                  <c:v>0.37800252302471615</c:v>
                </c:pt>
                <c:pt idx="39">
                  <c:v>0.3897083812206969</c:v>
                </c:pt>
                <c:pt idx="40">
                  <c:v>0.3963732865394658</c:v>
                </c:pt>
                <c:pt idx="41">
                  <c:v>0.400943554731721</c:v>
                </c:pt>
                <c:pt idx="42">
                  <c:v>0.40721575059890908</c:v>
                </c:pt>
                <c:pt idx="43">
                  <c:v>0.41548364377270341</c:v>
                </c:pt>
                <c:pt idx="44">
                  <c:v>0.42522603502993445</c:v>
                </c:pt>
                <c:pt idx="45">
                  <c:v>0.43178694907654275</c:v>
                </c:pt>
                <c:pt idx="46">
                  <c:v>0.44049121010051245</c:v>
                </c:pt>
                <c:pt idx="47">
                  <c:v>0.44847021068533954</c:v>
                </c:pt>
                <c:pt idx="48">
                  <c:v>0.45575620866675709</c:v>
                </c:pt>
                <c:pt idx="49">
                  <c:v>0.46253433128659666</c:v>
                </c:pt>
                <c:pt idx="50">
                  <c:v>0.46928442493460149</c:v>
                </c:pt>
                <c:pt idx="51">
                  <c:v>0.47840548027096802</c:v>
                </c:pt>
                <c:pt idx="52">
                  <c:v>0.48486472333529007</c:v>
                </c:pt>
                <c:pt idx="53">
                  <c:v>0.49295906457010003</c:v>
                </c:pt>
                <c:pt idx="54">
                  <c:v>0.50274186240145013</c:v>
                </c:pt>
                <c:pt idx="55">
                  <c:v>0.51026535704843223</c:v>
                </c:pt>
                <c:pt idx="56">
                  <c:v>0.5182044540111318</c:v>
                </c:pt>
                <c:pt idx="57">
                  <c:v>0.53038105662294244</c:v>
                </c:pt>
                <c:pt idx="58">
                  <c:v>0.53872858215798958</c:v>
                </c:pt>
                <c:pt idx="59">
                  <c:v>0.54565570832238308</c:v>
                </c:pt>
                <c:pt idx="60">
                  <c:v>0.55597376133382259</c:v>
                </c:pt>
                <c:pt idx="61">
                  <c:v>0.56493356806233885</c:v>
                </c:pt>
                <c:pt idx="62">
                  <c:v>0.57257663795460223</c:v>
                </c:pt>
                <c:pt idx="63">
                  <c:v>0.579887058389435</c:v>
                </c:pt>
                <c:pt idx="64">
                  <c:v>0.58865435505823871</c:v>
                </c:pt>
                <c:pt idx="65">
                  <c:v>0.6006802435656321</c:v>
                </c:pt>
                <c:pt idx="66">
                  <c:v>0.60997494216523618</c:v>
                </c:pt>
              </c:numCache>
            </c:numRef>
          </c:xVal>
          <c:yVal>
            <c:numRef>
              <c:f>Forcing!$B$2:$B$68</c:f>
              <c:numCache>
                <c:formatCode>0.000</c:formatCode>
                <c:ptCount val="67"/>
                <c:pt idx="0">
                  <c:v>3.0833333333332824E-2</c:v>
                </c:pt>
                <c:pt idx="1">
                  <c:v>-2.4999999999999616E-2</c:v>
                </c:pt>
                <c:pt idx="2">
                  <c:v>5.6666666666666345E-2</c:v>
                </c:pt>
                <c:pt idx="3">
                  <c:v>3.0833333333334007E-2</c:v>
                </c:pt>
                <c:pt idx="4">
                  <c:v>5.4166666666666995E-2</c:v>
                </c:pt>
                <c:pt idx="5">
                  <c:v>-0.1991666666666673</c:v>
                </c:pt>
                <c:pt idx="6">
                  <c:v>-0.10666666666666676</c:v>
                </c:pt>
                <c:pt idx="7">
                  <c:v>-5.7499999999999364E-2</c:v>
                </c:pt>
                <c:pt idx="8">
                  <c:v>-2.4166666666666597E-2</c:v>
                </c:pt>
                <c:pt idx="9">
                  <c:v>-8.2500000000000018E-2</c:v>
                </c:pt>
                <c:pt idx="10">
                  <c:v>5.2500000000000213E-2</c:v>
                </c:pt>
                <c:pt idx="11">
                  <c:v>2.7500000000000746E-2</c:v>
                </c:pt>
                <c:pt idx="12">
                  <c:v>-7.9166666666666455E-2</c:v>
                </c:pt>
                <c:pt idx="13">
                  <c:v>9.1666666666673589E-3</c:v>
                </c:pt>
                <c:pt idx="14">
                  <c:v>0.16083333333333302</c:v>
                </c:pt>
                <c:pt idx="15">
                  <c:v>-7.1666666666667364E-2</c:v>
                </c:pt>
                <c:pt idx="16">
                  <c:v>-1.3333333333332309E-2</c:v>
                </c:pt>
                <c:pt idx="17">
                  <c:v>-9.7499999999999698E-2</c:v>
                </c:pt>
                <c:pt idx="18">
                  <c:v>0.17833333333333354</c:v>
                </c:pt>
                <c:pt idx="19">
                  <c:v>6.6666666666666277E-2</c:v>
                </c:pt>
                <c:pt idx="20">
                  <c:v>0.16416666666666671</c:v>
                </c:pt>
                <c:pt idx="21">
                  <c:v>0.25583333333333363</c:v>
                </c:pt>
                <c:pt idx="22">
                  <c:v>0.32333333333333264</c:v>
                </c:pt>
                <c:pt idx="23">
                  <c:v>0.13916666666666591</c:v>
                </c:pt>
                <c:pt idx="24">
                  <c:v>0.31500000000000039</c:v>
                </c:pt>
                <c:pt idx="25">
                  <c:v>0.15500000000000011</c:v>
                </c:pt>
                <c:pt idx="26">
                  <c:v>0.11833333333333303</c:v>
                </c:pt>
                <c:pt idx="27">
                  <c:v>0.17999999999999927</c:v>
                </c:pt>
                <c:pt idx="28">
                  <c:v>0.3216666666666666</c:v>
                </c:pt>
                <c:pt idx="29">
                  <c:v>0.38999999999999985</c:v>
                </c:pt>
                <c:pt idx="30">
                  <c:v>0.27416666666666512</c:v>
                </c:pt>
                <c:pt idx="31">
                  <c:v>0.44916666666666821</c:v>
                </c:pt>
                <c:pt idx="32">
                  <c:v>0.40749999999999975</c:v>
                </c:pt>
                <c:pt idx="33">
                  <c:v>0.22416666666666707</c:v>
                </c:pt>
                <c:pt idx="34">
                  <c:v>0.23333333333333339</c:v>
                </c:pt>
                <c:pt idx="35">
                  <c:v>0.31583333333333358</c:v>
                </c:pt>
                <c:pt idx="36">
                  <c:v>0.4475000000000004</c:v>
                </c:pt>
                <c:pt idx="37">
                  <c:v>0.33416666666666667</c:v>
                </c:pt>
                <c:pt idx="38">
                  <c:v>0.46749999999999964</c:v>
                </c:pt>
                <c:pt idx="39">
                  <c:v>0.6091666666666683</c:v>
                </c:pt>
                <c:pt idx="40">
                  <c:v>0.38249999999999984</c:v>
                </c:pt>
                <c:pt idx="41">
                  <c:v>0.39333333333333381</c:v>
                </c:pt>
                <c:pt idx="42">
                  <c:v>0.5333333333333331</c:v>
                </c:pt>
                <c:pt idx="43">
                  <c:v>0.6275000000000005</c:v>
                </c:pt>
                <c:pt idx="44">
                  <c:v>0.61666666666666703</c:v>
                </c:pt>
                <c:pt idx="45">
                  <c:v>0.53416666666666723</c:v>
                </c:pt>
                <c:pt idx="46">
                  <c:v>0.67916666666666681</c:v>
                </c:pt>
                <c:pt idx="47">
                  <c:v>0.64083333333333392</c:v>
                </c:pt>
                <c:pt idx="48">
                  <c:v>0.66416666666666746</c:v>
                </c:pt>
                <c:pt idx="49">
                  <c:v>0.54333333333333378</c:v>
                </c:pt>
                <c:pt idx="50">
                  <c:v>0.65583333333333371</c:v>
                </c:pt>
                <c:pt idx="51">
                  <c:v>0.7241666666666674</c:v>
                </c:pt>
                <c:pt idx="52">
                  <c:v>0.60750000000000037</c:v>
                </c:pt>
                <c:pt idx="53">
                  <c:v>0.64666666666666694</c:v>
                </c:pt>
                <c:pt idx="54">
                  <c:v>0.67666666666666764</c:v>
                </c:pt>
                <c:pt idx="55">
                  <c:v>0.74916666666666665</c:v>
                </c:pt>
                <c:pt idx="56">
                  <c:v>0.89833333333333354</c:v>
                </c:pt>
                <c:pt idx="57">
                  <c:v>1.0124999999999997</c:v>
                </c:pt>
                <c:pt idx="58">
                  <c:v>0.91499999999999904</c:v>
                </c:pt>
                <c:pt idx="59">
                  <c:v>0.85083333333333433</c:v>
                </c:pt>
                <c:pt idx="60">
                  <c:v>0.97999999999999898</c:v>
                </c:pt>
                <c:pt idx="61">
                  <c:v>1.0075000000000005</c:v>
                </c:pt>
                <c:pt idx="62">
                  <c:v>0.84916666666666762</c:v>
                </c:pt>
                <c:pt idx="63">
                  <c:v>0.89250000000000063</c:v>
                </c:pt>
                <c:pt idx="64">
                  <c:v>1.1724999999999992</c:v>
                </c:pt>
                <c:pt idx="65">
                  <c:v>1.2858333333333338</c:v>
                </c:pt>
                <c:pt idx="66">
                  <c:v>1.193333333333334</c:v>
                </c:pt>
              </c:numCache>
            </c:numRef>
          </c:yVal>
          <c:smooth val="1"/>
          <c:extLst>
            <c:ext xmlns:c16="http://schemas.microsoft.com/office/drawing/2014/chart" uri="{C3380CC4-5D6E-409C-BE32-E72D297353CC}">
              <c16:uniqueId val="{00000002-E103-492F-9C30-4E7B75866134}"/>
            </c:ext>
          </c:extLst>
        </c:ser>
        <c:dLbls>
          <c:showLegendKey val="0"/>
          <c:showVal val="0"/>
          <c:showCatName val="0"/>
          <c:showSerName val="0"/>
          <c:showPercent val="0"/>
          <c:showBubbleSize val="0"/>
        </c:dLbls>
        <c:axId val="34432967"/>
        <c:axId val="18649519"/>
      </c:scatterChart>
      <c:valAx>
        <c:axId val="34432967"/>
        <c:scaling>
          <c:orientation val="minMax"/>
          <c:max val="0.7"/>
          <c:min val="0.1"/>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log2(CO2 / 280 ppm)  [doublings above preindustrial]</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8649519"/>
        <c:crosses val="min"/>
        <c:crossBetween val="midCat"/>
      </c:valAx>
      <c:valAx>
        <c:axId val="18649519"/>
        <c:scaling>
          <c:orientation val="minMax"/>
          <c:max val="1.5"/>
          <c:min val="-0.3"/>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Anomaly, non-CO2 forcing and ENSO removed (°C)</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34432967"/>
        <c:crosses val="min"/>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Where the fitted warming came from, 1959-2025
Component ERF change × 0.41 °C per W/m² (all human forcing; natural variability not shown); black = observed</a:t>
            </a:r>
          </a:p>
        </c:rich>
      </c:tx>
      <c:overlay val="0"/>
      <c:spPr>
        <a:noFill/>
        <a:ln w="0">
          <a:noFill/>
        </a:ln>
      </c:spPr>
    </c:title>
    <c:autoTitleDeleted val="0"/>
    <c:plotArea>
      <c:layout/>
      <c:barChart>
        <c:barDir val="col"/>
        <c:grouping val="stacked"/>
        <c:varyColors val="0"/>
        <c:ser>
          <c:idx val="0"/>
          <c:order val="0"/>
          <c:tx>
            <c:strRef>
              <c:f>Forcing!$BB$1</c:f>
              <c:strCache>
                <c:ptCount val="1"/>
                <c:pt idx="0">
                  <c:v>Warming from CO2 since 1959</c:v>
                </c:pt>
              </c:strCache>
            </c:strRef>
          </c:tx>
          <c:spPr>
            <a:solidFill>
              <a:srgbClr val="2A78D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Forcing!$A$2:$A$68</c:f>
              <c:numCache>
                <c:formatCode>0</c:formatCode>
                <c:ptCount val="67"/>
                <c:pt idx="0">
                  <c:v>1959</c:v>
                </c:pt>
                <c:pt idx="1">
                  <c:v>1960</c:v>
                </c:pt>
                <c:pt idx="2">
                  <c:v>1961</c:v>
                </c:pt>
                <c:pt idx="3">
                  <c:v>1962</c:v>
                </c:pt>
                <c:pt idx="4">
                  <c:v>1963</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pt idx="66">
                  <c:v>2025</c:v>
                </c:pt>
              </c:numCache>
            </c:numRef>
          </c:cat>
          <c:val>
            <c:numRef>
              <c:f>Forcing!$BB$2:$BB$68</c:f>
              <c:numCache>
                <c:formatCode>0.000</c:formatCode>
                <c:ptCount val="67"/>
                <c:pt idx="0">
                  <c:v>0</c:v>
                </c:pt>
                <c:pt idx="1">
                  <c:v>5.7644551113258564E-3</c:v>
                </c:pt>
                <c:pt idx="2">
                  <c:v>1.050684371355136E-2</c:v>
                </c:pt>
                <c:pt idx="3">
                  <c:v>1.5780706900509069E-2</c:v>
                </c:pt>
                <c:pt idx="4">
                  <c:v>2.0032503578366466E-2</c:v>
                </c:pt>
                <c:pt idx="5">
                  <c:v>2.4815774840955981E-2</c:v>
                </c:pt>
                <c:pt idx="6">
                  <c:v>2.8168152990805054E-2</c:v>
                </c:pt>
                <c:pt idx="7">
                  <c:v>3.5608797177055444E-2</c:v>
                </c:pt>
                <c:pt idx="8">
                  <c:v>3.9778828534184831E-2</c:v>
                </c:pt>
                <c:pt idx="9">
                  <c:v>4.6115640890606852E-2</c:v>
                </c:pt>
                <c:pt idx="10">
                  <c:v>5.2125391964116759E-2</c:v>
                </c:pt>
                <c:pt idx="11">
                  <c:v>6.2754883658760197E-2</c:v>
                </c:pt>
                <c:pt idx="12">
                  <c:v>6.7006680336617594E-2</c:v>
                </c:pt>
                <c:pt idx="13">
                  <c:v>8.04979582567419E-2</c:v>
                </c:pt>
                <c:pt idx="14">
                  <c:v>9.8159267533995592E-2</c:v>
                </c:pt>
                <c:pt idx="15">
                  <c:v>0.10392372264532145</c:v>
                </c:pt>
                <c:pt idx="16">
                  <c:v>0.10433254924896158</c:v>
                </c:pt>
                <c:pt idx="17">
                  <c:v>0.10919758583227916</c:v>
                </c:pt>
                <c:pt idx="18">
                  <c:v>0.12150326660184713</c:v>
                </c:pt>
                <c:pt idx="19">
                  <c:v>0.13270511554158673</c:v>
                </c:pt>
                <c:pt idx="20">
                  <c:v>0.14423402576423844</c:v>
                </c:pt>
                <c:pt idx="21">
                  <c:v>0.15813413028800294</c:v>
                </c:pt>
                <c:pt idx="22">
                  <c:v>0.16614713171934953</c:v>
                </c:pt>
                <c:pt idx="23">
                  <c:v>0.17109393362339512</c:v>
                </c:pt>
                <c:pt idx="24">
                  <c:v>0.18233666522349867</c:v>
                </c:pt>
                <c:pt idx="25">
                  <c:v>0.19255733031450203</c:v>
                </c:pt>
                <c:pt idx="26">
                  <c:v>0.20228740348113708</c:v>
                </c:pt>
                <c:pt idx="27">
                  <c:v>0.21169041536486016</c:v>
                </c:pt>
                <c:pt idx="28">
                  <c:v>0.22293314696496372</c:v>
                </c:pt>
                <c:pt idx="29">
                  <c:v>0.23912268046911297</c:v>
                </c:pt>
                <c:pt idx="30">
                  <c:v>0.24971128950339241</c:v>
                </c:pt>
                <c:pt idx="31">
                  <c:v>0.25792870423655906</c:v>
                </c:pt>
                <c:pt idx="32">
                  <c:v>0.26647318025263778</c:v>
                </c:pt>
                <c:pt idx="33">
                  <c:v>0.27101115555304328</c:v>
                </c:pt>
                <c:pt idx="34">
                  <c:v>0.27575354415526881</c:v>
                </c:pt>
                <c:pt idx="35">
                  <c:v>0.28536096934081184</c:v>
                </c:pt>
                <c:pt idx="36">
                  <c:v>0.2970942928652836</c:v>
                </c:pt>
                <c:pt idx="37">
                  <c:v>0.30825525914465923</c:v>
                </c:pt>
                <c:pt idx="38">
                  <c:v>0.31528707672726958</c:v>
                </c:pt>
                <c:pt idx="39">
                  <c:v>0.33200808481615091</c:v>
                </c:pt>
                <c:pt idx="40">
                  <c:v>0.34517230145336314</c:v>
                </c:pt>
                <c:pt idx="41">
                  <c:v>0.35240853233779351</c:v>
                </c:pt>
                <c:pt idx="42">
                  <c:v>0.3623430188062487</c:v>
                </c:pt>
                <c:pt idx="43">
                  <c:v>0.37481223021727272</c:v>
                </c:pt>
                <c:pt idx="44">
                  <c:v>0.39059293711778176</c:v>
                </c:pt>
                <c:pt idx="45">
                  <c:v>0.40167213807642932</c:v>
                </c:pt>
                <c:pt idx="46">
                  <c:v>0.41401870150636128</c:v>
                </c:pt>
                <c:pt idx="47">
                  <c:v>0.42718291814357351</c:v>
                </c:pt>
                <c:pt idx="48">
                  <c:v>0.43773064451748894</c:v>
                </c:pt>
                <c:pt idx="49">
                  <c:v>0.45048603455106107</c:v>
                </c:pt>
                <c:pt idx="50">
                  <c:v>0.45935757185005188</c:v>
                </c:pt>
                <c:pt idx="51">
                  <c:v>0.47272620178908425</c:v>
                </c:pt>
                <c:pt idx="52">
                  <c:v>0.48384628540809577</c:v>
                </c:pt>
                <c:pt idx="53">
                  <c:v>0.49582490489475167</c:v>
                </c:pt>
                <c:pt idx="54">
                  <c:v>0.51197355573853687</c:v>
                </c:pt>
                <c:pt idx="55">
                  <c:v>0.52329805265936846</c:v>
                </c:pt>
                <c:pt idx="56">
                  <c:v>0.53670756525876473</c:v>
                </c:pt>
                <c:pt idx="57">
                  <c:v>0.55645389021458325</c:v>
                </c:pt>
                <c:pt idx="58">
                  <c:v>0.56880045364451515</c:v>
                </c:pt>
                <c:pt idx="59">
                  <c:v>0.58245526220609545</c:v>
                </c:pt>
                <c:pt idx="60">
                  <c:v>0.59643713205058801</c:v>
                </c:pt>
                <c:pt idx="61">
                  <c:v>0.60984664464998439</c:v>
                </c:pt>
                <c:pt idx="62">
                  <c:v>0.6225611520231924</c:v>
                </c:pt>
                <c:pt idx="63">
                  <c:v>0.63584801664149682</c:v>
                </c:pt>
                <c:pt idx="64">
                  <c:v>0.64856252401470482</c:v>
                </c:pt>
                <c:pt idx="65">
                  <c:v>0.66757296108397091</c:v>
                </c:pt>
                <c:pt idx="66">
                  <c:v>0.68327190266375193</c:v>
                </c:pt>
              </c:numCache>
            </c:numRef>
          </c:val>
          <c:extLst>
            <c:ext xmlns:c16="http://schemas.microsoft.com/office/drawing/2014/chart" uri="{C3380CC4-5D6E-409C-BE32-E72D297353CC}">
              <c16:uniqueId val="{00000000-7E90-40E1-95B2-7175CEE068CF}"/>
            </c:ext>
          </c:extLst>
        </c:ser>
        <c:ser>
          <c:idx val="1"/>
          <c:order val="1"/>
          <c:tx>
            <c:strRef>
              <c:f>Forcing!$BC$1</c:f>
              <c:strCache>
                <c:ptCount val="1"/>
                <c:pt idx="0">
                  <c:v>from other GHG</c:v>
                </c:pt>
              </c:strCache>
            </c:strRef>
          </c:tx>
          <c:spPr>
            <a:solidFill>
              <a:srgbClr val="1BAF7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Forcing!$A$2:$A$68</c:f>
              <c:numCache>
                <c:formatCode>0</c:formatCode>
                <c:ptCount val="67"/>
                <c:pt idx="0">
                  <c:v>1959</c:v>
                </c:pt>
                <c:pt idx="1">
                  <c:v>1960</c:v>
                </c:pt>
                <c:pt idx="2">
                  <c:v>1961</c:v>
                </c:pt>
                <c:pt idx="3">
                  <c:v>1962</c:v>
                </c:pt>
                <c:pt idx="4">
                  <c:v>1963</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pt idx="66">
                  <c:v>2025</c:v>
                </c:pt>
              </c:numCache>
            </c:numRef>
          </c:cat>
          <c:val>
            <c:numRef>
              <c:f>Forcing!$BC$2:$BC$68</c:f>
              <c:numCache>
                <c:formatCode>0.000</c:formatCode>
                <c:ptCount val="67"/>
                <c:pt idx="0">
                  <c:v>0</c:v>
                </c:pt>
                <c:pt idx="1">
                  <c:v>2.780020904752884E-3</c:v>
                </c:pt>
                <c:pt idx="2">
                  <c:v>5.4782764887777507E-3</c:v>
                </c:pt>
                <c:pt idx="3">
                  <c:v>9.852721147727176E-3</c:v>
                </c:pt>
                <c:pt idx="4">
                  <c:v>1.5494528277960985E-2</c:v>
                </c:pt>
                <c:pt idx="5">
                  <c:v>2.1013687427102766E-2</c:v>
                </c:pt>
                <c:pt idx="6">
                  <c:v>2.6205785293332434E-2</c:v>
                </c:pt>
                <c:pt idx="7">
                  <c:v>3.1234352518106044E-2</c:v>
                </c:pt>
                <c:pt idx="8">
                  <c:v>3.6671746346519811E-2</c:v>
                </c:pt>
                <c:pt idx="9">
                  <c:v>4.3417385306581964E-2</c:v>
                </c:pt>
                <c:pt idx="10">
                  <c:v>5.0571850870284298E-2</c:v>
                </c:pt>
                <c:pt idx="11">
                  <c:v>5.8748382943086888E-2</c:v>
                </c:pt>
                <c:pt idx="12">
                  <c:v>6.6884032355525522E-2</c:v>
                </c:pt>
                <c:pt idx="13">
                  <c:v>7.5060564428328161E-2</c:v>
                </c:pt>
                <c:pt idx="14">
                  <c:v>8.2869152557854681E-2</c:v>
                </c:pt>
                <c:pt idx="15">
                  <c:v>9.1168332611749336E-2</c:v>
                </c:pt>
                <c:pt idx="16">
                  <c:v>9.9998987250376217E-2</c:v>
                </c:pt>
                <c:pt idx="17">
                  <c:v>0.10899317253045906</c:v>
                </c:pt>
                <c:pt idx="18">
                  <c:v>0.11815088845199806</c:v>
                </c:pt>
                <c:pt idx="19">
                  <c:v>0.12739036969426501</c:v>
                </c:pt>
                <c:pt idx="20">
                  <c:v>0.13626190699325585</c:v>
                </c:pt>
                <c:pt idx="21">
                  <c:v>0.14517432695261073</c:v>
                </c:pt>
                <c:pt idx="22">
                  <c:v>0.1540049815912376</c:v>
                </c:pt>
                <c:pt idx="23">
                  <c:v>0.16291740155059245</c:v>
                </c:pt>
                <c:pt idx="24">
                  <c:v>0.17064422435939094</c:v>
                </c:pt>
                <c:pt idx="25">
                  <c:v>0.17824839918709737</c:v>
                </c:pt>
                <c:pt idx="26">
                  <c:v>0.186343165939172</c:v>
                </c:pt>
                <c:pt idx="27">
                  <c:v>0.19537823387961889</c:v>
                </c:pt>
                <c:pt idx="28">
                  <c:v>0.20326858732987343</c:v>
                </c:pt>
                <c:pt idx="29">
                  <c:v>0.21275336453432447</c:v>
                </c:pt>
                <c:pt idx="30">
                  <c:v>0.22207461109731952</c:v>
                </c:pt>
                <c:pt idx="31">
                  <c:v>0.22939260730247782</c:v>
                </c:pt>
                <c:pt idx="32">
                  <c:v>0.23638354222472407</c:v>
                </c:pt>
                <c:pt idx="33">
                  <c:v>0.24161652275131779</c:v>
                </c:pt>
                <c:pt idx="34">
                  <c:v>0.24435566099570669</c:v>
                </c:pt>
                <c:pt idx="35">
                  <c:v>0.24758539116446374</c:v>
                </c:pt>
                <c:pt idx="36">
                  <c:v>0.25065159069176474</c:v>
                </c:pt>
                <c:pt idx="37">
                  <c:v>0.25343161159651761</c:v>
                </c:pt>
                <c:pt idx="38">
                  <c:v>0.25604810185981441</c:v>
                </c:pt>
                <c:pt idx="39">
                  <c:v>0.25968665863221158</c:v>
                </c:pt>
                <c:pt idx="40">
                  <c:v>0.26312080210278876</c:v>
                </c:pt>
                <c:pt idx="41">
                  <c:v>0.26549199640390153</c:v>
                </c:pt>
                <c:pt idx="42">
                  <c:v>0.2670046548373699</c:v>
                </c:pt>
                <c:pt idx="43">
                  <c:v>0.26872172657265847</c:v>
                </c:pt>
                <c:pt idx="44">
                  <c:v>0.27088850757195121</c:v>
                </c:pt>
                <c:pt idx="45">
                  <c:v>0.27236028334505569</c:v>
                </c:pt>
                <c:pt idx="46">
                  <c:v>0.27366852847670409</c:v>
                </c:pt>
                <c:pt idx="47">
                  <c:v>0.27546736553272072</c:v>
                </c:pt>
                <c:pt idx="48">
                  <c:v>0.2782882690978376</c:v>
                </c:pt>
                <c:pt idx="49">
                  <c:v>0.28131358596477457</c:v>
                </c:pt>
                <c:pt idx="50">
                  <c:v>0.28368478026588734</c:v>
                </c:pt>
                <c:pt idx="51">
                  <c:v>0.28642391851027621</c:v>
                </c:pt>
                <c:pt idx="52">
                  <c:v>0.2892857047357571</c:v>
                </c:pt>
                <c:pt idx="53">
                  <c:v>0.29182042967832589</c:v>
                </c:pt>
                <c:pt idx="54">
                  <c:v>0.29460045058307888</c:v>
                </c:pt>
                <c:pt idx="55">
                  <c:v>0.29815724203474797</c:v>
                </c:pt>
                <c:pt idx="56">
                  <c:v>0.30171403348641707</c:v>
                </c:pt>
                <c:pt idx="57">
                  <c:v>0.30473935035335409</c:v>
                </c:pt>
                <c:pt idx="58">
                  <c:v>0.30780554988065512</c:v>
                </c:pt>
                <c:pt idx="59">
                  <c:v>0.31140322399268822</c:v>
                </c:pt>
                <c:pt idx="60">
                  <c:v>0.31446942351998924</c:v>
                </c:pt>
                <c:pt idx="61">
                  <c:v>0.31802621497165834</c:v>
                </c:pt>
                <c:pt idx="62">
                  <c:v>0.32256419027206384</c:v>
                </c:pt>
                <c:pt idx="63">
                  <c:v>0.32702040025174128</c:v>
                </c:pt>
                <c:pt idx="64">
                  <c:v>0.33004571711867825</c:v>
                </c:pt>
                <c:pt idx="65">
                  <c:v>0.33270309004233911</c:v>
                </c:pt>
                <c:pt idx="66">
                  <c:v>0.33593282021109616</c:v>
                </c:pt>
              </c:numCache>
            </c:numRef>
          </c:val>
          <c:extLst>
            <c:ext xmlns:c16="http://schemas.microsoft.com/office/drawing/2014/chart" uri="{C3380CC4-5D6E-409C-BE32-E72D297353CC}">
              <c16:uniqueId val="{00000001-7E90-40E1-95B2-7175CEE068CF}"/>
            </c:ext>
          </c:extLst>
        </c:ser>
        <c:ser>
          <c:idx val="2"/>
          <c:order val="2"/>
          <c:tx>
            <c:strRef>
              <c:f>Forcing!$BD$1</c:f>
              <c:strCache>
                <c:ptCount val="1"/>
                <c:pt idx="0">
                  <c:v>from ozone, land use, other</c:v>
                </c:pt>
              </c:strCache>
            </c:strRef>
          </c:tx>
          <c:spPr>
            <a:solidFill>
              <a:srgbClr val="EDA1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Forcing!$A$2:$A$68</c:f>
              <c:numCache>
                <c:formatCode>0</c:formatCode>
                <c:ptCount val="67"/>
                <c:pt idx="0">
                  <c:v>1959</c:v>
                </c:pt>
                <c:pt idx="1">
                  <c:v>1960</c:v>
                </c:pt>
                <c:pt idx="2">
                  <c:v>1961</c:v>
                </c:pt>
                <c:pt idx="3">
                  <c:v>1962</c:v>
                </c:pt>
                <c:pt idx="4">
                  <c:v>1963</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pt idx="66">
                  <c:v>2025</c:v>
                </c:pt>
              </c:numCache>
            </c:numRef>
          </c:cat>
          <c:val>
            <c:numRef>
              <c:f>Forcing!$BD$2:$BD$68</c:f>
              <c:numCache>
                <c:formatCode>0.000</c:formatCode>
                <c:ptCount val="67"/>
                <c:pt idx="0">
                  <c:v>0</c:v>
                </c:pt>
                <c:pt idx="1">
                  <c:v>2.5756076029328293E-3</c:v>
                </c:pt>
                <c:pt idx="2">
                  <c:v>5.6009244698697995E-3</c:v>
                </c:pt>
                <c:pt idx="3">
                  <c:v>6.9500522618822329E-3</c:v>
                </c:pt>
                <c:pt idx="4">
                  <c:v>1.4268048467040589E-2</c:v>
                </c:pt>
                <c:pt idx="5">
                  <c:v>1.3859221863400457E-2</c:v>
                </c:pt>
                <c:pt idx="6">
                  <c:v>1.7293365333977559E-2</c:v>
                </c:pt>
                <c:pt idx="7">
                  <c:v>1.9419263672906247E-2</c:v>
                </c:pt>
                <c:pt idx="8">
                  <c:v>2.436606557695184E-2</c:v>
                </c:pt>
                <c:pt idx="9">
                  <c:v>2.6287550614060462E-2</c:v>
                </c:pt>
                <c:pt idx="10">
                  <c:v>2.8331683632261122E-2</c:v>
                </c:pt>
                <c:pt idx="11">
                  <c:v>3.4668495988683157E-2</c:v>
                </c:pt>
                <c:pt idx="12">
                  <c:v>3.9083823307996576E-2</c:v>
                </c:pt>
                <c:pt idx="13">
                  <c:v>4.7873595286259403E-2</c:v>
                </c:pt>
                <c:pt idx="14">
                  <c:v>4.7546534003347303E-2</c:v>
                </c:pt>
                <c:pt idx="15">
                  <c:v>4.7996243267351441E-2</c:v>
                </c:pt>
                <c:pt idx="16">
                  <c:v>4.7628299324075328E-2</c:v>
                </c:pt>
                <c:pt idx="17">
                  <c:v>5.429217296340947E-2</c:v>
                </c:pt>
                <c:pt idx="18">
                  <c:v>5.7767199094350588E-2</c:v>
                </c:pt>
                <c:pt idx="19">
                  <c:v>6.2059878432571977E-2</c:v>
                </c:pt>
                <c:pt idx="20">
                  <c:v>6.4758134016596844E-2</c:v>
                </c:pt>
                <c:pt idx="21">
                  <c:v>6.4267542092228694E-2</c:v>
                </c:pt>
                <c:pt idx="22">
                  <c:v>6.2386939715484091E-2</c:v>
                </c:pt>
                <c:pt idx="23">
                  <c:v>6.9377874637730319E-2</c:v>
                </c:pt>
                <c:pt idx="24">
                  <c:v>6.1732817149659863E-2</c:v>
                </c:pt>
                <c:pt idx="25">
                  <c:v>6.6189027129337302E-2</c:v>
                </c:pt>
                <c:pt idx="26">
                  <c:v>6.8437573449358025E-2</c:v>
                </c:pt>
                <c:pt idx="27">
                  <c:v>7.2076130221755214E-2</c:v>
                </c:pt>
                <c:pt idx="28">
                  <c:v>7.6491457541068619E-2</c:v>
                </c:pt>
                <c:pt idx="29">
                  <c:v>8.04979582567419E-2</c:v>
                </c:pt>
                <c:pt idx="30">
                  <c:v>8.1601790086570272E-2</c:v>
                </c:pt>
                <c:pt idx="31">
                  <c:v>8.393210172731902E-2</c:v>
                </c:pt>
                <c:pt idx="32">
                  <c:v>9.8486328816907706E-2</c:v>
                </c:pt>
                <c:pt idx="33">
                  <c:v>8.5812704104063622E-2</c:v>
                </c:pt>
                <c:pt idx="34">
                  <c:v>9.0105383442284998E-2</c:v>
                </c:pt>
                <c:pt idx="35">
                  <c:v>0.10061222715583638</c:v>
                </c:pt>
                <c:pt idx="36">
                  <c:v>9.8690742118727776E-2</c:v>
                </c:pt>
                <c:pt idx="37">
                  <c:v>9.7913971571811517E-2</c:v>
                </c:pt>
                <c:pt idx="38">
                  <c:v>0.11729235258435376</c:v>
                </c:pt>
                <c:pt idx="39">
                  <c:v>0.11492115828324098</c:v>
                </c:pt>
                <c:pt idx="40">
                  <c:v>0.10445519723005363</c:v>
                </c:pt>
                <c:pt idx="41">
                  <c:v>0.10155252834420871</c:v>
                </c:pt>
                <c:pt idx="42">
                  <c:v>0.10351489604168132</c:v>
                </c:pt>
                <c:pt idx="43">
                  <c:v>0.11103730554865976</c:v>
                </c:pt>
                <c:pt idx="44">
                  <c:v>0.11320408654795244</c:v>
                </c:pt>
                <c:pt idx="45">
                  <c:v>0.1190094243196423</c:v>
                </c:pt>
                <c:pt idx="46">
                  <c:v>0.12293415971458757</c:v>
                </c:pt>
                <c:pt idx="47">
                  <c:v>0.12657271648698473</c:v>
                </c:pt>
                <c:pt idx="48">
                  <c:v>0.13127422242884626</c:v>
                </c:pt>
                <c:pt idx="49">
                  <c:v>0.12841243620336534</c:v>
                </c:pt>
                <c:pt idx="50">
                  <c:v>0.1235882822804118</c:v>
                </c:pt>
                <c:pt idx="51">
                  <c:v>0.13156040105139435</c:v>
                </c:pt>
                <c:pt idx="52">
                  <c:v>0.13196922765503447</c:v>
                </c:pt>
                <c:pt idx="53">
                  <c:v>0.13613925901216381</c:v>
                </c:pt>
                <c:pt idx="54">
                  <c:v>0.13176481435321441</c:v>
                </c:pt>
                <c:pt idx="55">
                  <c:v>0.13662985093653199</c:v>
                </c:pt>
                <c:pt idx="56">
                  <c:v>0.14145400485948553</c:v>
                </c:pt>
                <c:pt idx="57">
                  <c:v>0.1347901312201514</c:v>
                </c:pt>
                <c:pt idx="58">
                  <c:v>0.13691602955908008</c:v>
                </c:pt>
                <c:pt idx="59">
                  <c:v>0.13658896827616798</c:v>
                </c:pt>
                <c:pt idx="60">
                  <c:v>0.14492903099042664</c:v>
                </c:pt>
                <c:pt idx="61">
                  <c:v>0.12289327705422355</c:v>
                </c:pt>
                <c:pt idx="62">
                  <c:v>0.13307305948486284</c:v>
                </c:pt>
                <c:pt idx="63">
                  <c:v>0.13209187563612654</c:v>
                </c:pt>
                <c:pt idx="64">
                  <c:v>0.15461822149669779</c:v>
                </c:pt>
                <c:pt idx="65">
                  <c:v>0.15727559442035863</c:v>
                </c:pt>
                <c:pt idx="66">
                  <c:v>0.14484726566969863</c:v>
                </c:pt>
              </c:numCache>
            </c:numRef>
          </c:val>
          <c:extLst>
            <c:ext xmlns:c16="http://schemas.microsoft.com/office/drawing/2014/chart" uri="{C3380CC4-5D6E-409C-BE32-E72D297353CC}">
              <c16:uniqueId val="{00000002-7E90-40E1-95B2-7175CEE068CF}"/>
            </c:ext>
          </c:extLst>
        </c:ser>
        <c:ser>
          <c:idx val="3"/>
          <c:order val="3"/>
          <c:tx>
            <c:strRef>
              <c:f>Forcing!$BE$1</c:f>
              <c:strCache>
                <c:ptCount val="1"/>
                <c:pt idx="0">
                  <c:v>from aerosols</c:v>
                </c:pt>
              </c:strCache>
            </c:strRef>
          </c:tx>
          <c:spPr>
            <a:solidFill>
              <a:srgbClr val="E34948"/>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Forcing!$A$2:$A$68</c:f>
              <c:numCache>
                <c:formatCode>0</c:formatCode>
                <c:ptCount val="67"/>
                <c:pt idx="0">
                  <c:v>1959</c:v>
                </c:pt>
                <c:pt idx="1">
                  <c:v>1960</c:v>
                </c:pt>
                <c:pt idx="2">
                  <c:v>1961</c:v>
                </c:pt>
                <c:pt idx="3">
                  <c:v>1962</c:v>
                </c:pt>
                <c:pt idx="4">
                  <c:v>1963</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pt idx="66">
                  <c:v>2025</c:v>
                </c:pt>
              </c:numCache>
            </c:numRef>
          </c:cat>
          <c:val>
            <c:numRef>
              <c:f>Forcing!$BE$2:$BE$68</c:f>
              <c:numCache>
                <c:formatCode>0.000</c:formatCode>
                <c:ptCount val="67"/>
                <c:pt idx="0">
                  <c:v>0</c:v>
                </c:pt>
                <c:pt idx="1">
                  <c:v>-1.4881288372500787E-2</c:v>
                </c:pt>
                <c:pt idx="2">
                  <c:v>-2.9599046103545537E-2</c:v>
                </c:pt>
                <c:pt idx="3">
                  <c:v>-3.2460832329026461E-2</c:v>
                </c:pt>
                <c:pt idx="4">
                  <c:v>-6.0628985319831512E-2</c:v>
                </c:pt>
                <c:pt idx="5">
                  <c:v>-5.817602569799072E-2</c:v>
                </c:pt>
                <c:pt idx="6">
                  <c:v>-6.8274042807901947E-2</c:v>
                </c:pt>
                <c:pt idx="7">
                  <c:v>-7.4406441862503975E-2</c:v>
                </c:pt>
                <c:pt idx="8">
                  <c:v>-8.5158581538239436E-2</c:v>
                </c:pt>
                <c:pt idx="9">
                  <c:v>-9.3375996271406081E-2</c:v>
                </c:pt>
                <c:pt idx="10">
                  <c:v>-0.1009392884387485</c:v>
                </c:pt>
                <c:pt idx="11">
                  <c:v>-0.12820802290154526</c:v>
                </c:pt>
                <c:pt idx="12">
                  <c:v>-0.13225540627758259</c:v>
                </c:pt>
                <c:pt idx="13">
                  <c:v>-0.16042355926838764</c:v>
                </c:pt>
                <c:pt idx="14">
                  <c:v>-0.16193621770185615</c:v>
                </c:pt>
                <c:pt idx="15">
                  <c:v>-0.1587064875330991</c:v>
                </c:pt>
                <c:pt idx="16">
                  <c:v>-0.1508161340828445</c:v>
                </c:pt>
                <c:pt idx="17">
                  <c:v>-0.17845281248891745</c:v>
                </c:pt>
                <c:pt idx="18">
                  <c:v>-0.18205048660095058</c:v>
                </c:pt>
                <c:pt idx="19">
                  <c:v>-0.18977730940974913</c:v>
                </c:pt>
                <c:pt idx="20">
                  <c:v>-0.19893502533128807</c:v>
                </c:pt>
                <c:pt idx="21">
                  <c:v>-0.19693177497345138</c:v>
                </c:pt>
                <c:pt idx="22">
                  <c:v>-0.18078312412966621</c:v>
                </c:pt>
                <c:pt idx="23">
                  <c:v>-0.1965638310301753</c:v>
                </c:pt>
                <c:pt idx="24">
                  <c:v>-0.16267210558840839</c:v>
                </c:pt>
                <c:pt idx="25">
                  <c:v>-0.17387395452814794</c:v>
                </c:pt>
                <c:pt idx="26">
                  <c:v>-0.17910693505474168</c:v>
                </c:pt>
                <c:pt idx="27">
                  <c:v>-0.17980194028092991</c:v>
                </c:pt>
                <c:pt idx="28">
                  <c:v>-0.19672736167163132</c:v>
                </c:pt>
                <c:pt idx="29">
                  <c:v>-0.19975267853856832</c:v>
                </c:pt>
                <c:pt idx="30">
                  <c:v>-0.19292527425777814</c:v>
                </c:pt>
                <c:pt idx="31">
                  <c:v>-0.1991803212934721</c:v>
                </c:pt>
                <c:pt idx="32">
                  <c:v>-0.23577030231926385</c:v>
                </c:pt>
                <c:pt idx="33">
                  <c:v>-0.17203423481176736</c:v>
                </c:pt>
                <c:pt idx="34">
                  <c:v>-0.17518219965979639</c:v>
                </c:pt>
                <c:pt idx="35">
                  <c:v>-0.19860796404837591</c:v>
                </c:pt>
                <c:pt idx="36">
                  <c:v>-0.16966304051065459</c:v>
                </c:pt>
                <c:pt idx="37">
                  <c:v>-0.15420939489305768</c:v>
                </c:pt>
                <c:pt idx="38">
                  <c:v>-0.21058658353503179</c:v>
                </c:pt>
                <c:pt idx="39">
                  <c:v>-0.20204210751895307</c:v>
                </c:pt>
                <c:pt idx="40">
                  <c:v>-0.1448063830093346</c:v>
                </c:pt>
                <c:pt idx="41">
                  <c:v>-0.12526447135533628</c:v>
                </c:pt>
                <c:pt idx="42">
                  <c:v>-0.12546888465715642</c:v>
                </c:pt>
                <c:pt idx="43">
                  <c:v>-0.15964678872147139</c:v>
                </c:pt>
                <c:pt idx="44">
                  <c:v>-0.17612250084816869</c:v>
                </c:pt>
                <c:pt idx="45">
                  <c:v>-0.177185450017633</c:v>
                </c:pt>
                <c:pt idx="46">
                  <c:v>-0.1951329379174348</c:v>
                </c:pt>
                <c:pt idx="47">
                  <c:v>-0.20523095502734603</c:v>
                </c:pt>
                <c:pt idx="48">
                  <c:v>-0.19394734076687847</c:v>
                </c:pt>
                <c:pt idx="49">
                  <c:v>-0.17129834692521512</c:v>
                </c:pt>
                <c:pt idx="50">
                  <c:v>-0.13945075450164893</c:v>
                </c:pt>
                <c:pt idx="51">
                  <c:v>-0.14619639346171109</c:v>
                </c:pt>
                <c:pt idx="52">
                  <c:v>-0.14088164761438932</c:v>
                </c:pt>
                <c:pt idx="53">
                  <c:v>-0.14999848087556425</c:v>
                </c:pt>
                <c:pt idx="54">
                  <c:v>-0.11761941386726585</c:v>
                </c:pt>
                <c:pt idx="55">
                  <c:v>-0.12097179201711493</c:v>
                </c:pt>
                <c:pt idx="56">
                  <c:v>-0.11528910222651709</c:v>
                </c:pt>
                <c:pt idx="57">
                  <c:v>-7.5592039013060316E-2</c:v>
                </c:pt>
                <c:pt idx="58">
                  <c:v>-6.6270792450065341E-2</c:v>
                </c:pt>
                <c:pt idx="59">
                  <c:v>-5.8830148263814955E-2</c:v>
                </c:pt>
                <c:pt idx="60">
                  <c:v>-8.2051499350574417E-2</c:v>
                </c:pt>
                <c:pt idx="61">
                  <c:v>-1.8111018541257833E-2</c:v>
                </c:pt>
                <c:pt idx="62">
                  <c:v>-5.1716565360476627E-2</c:v>
                </c:pt>
                <c:pt idx="63">
                  <c:v>-5.5191591491417589E-3</c:v>
                </c:pt>
                <c:pt idx="64">
                  <c:v>-8.9369495555732786E-2</c:v>
                </c:pt>
                <c:pt idx="65">
                  <c:v>-6.295929696058028E-2</c:v>
                </c:pt>
                <c:pt idx="66">
                  <c:v>-2.027779954055052E-2</c:v>
                </c:pt>
              </c:numCache>
            </c:numRef>
          </c:val>
          <c:extLst>
            <c:ext xmlns:c16="http://schemas.microsoft.com/office/drawing/2014/chart" uri="{C3380CC4-5D6E-409C-BE32-E72D297353CC}">
              <c16:uniqueId val="{00000003-7E90-40E1-95B2-7175CEE068CF}"/>
            </c:ext>
          </c:extLst>
        </c:ser>
        <c:dLbls>
          <c:showLegendKey val="0"/>
          <c:showVal val="0"/>
          <c:showCatName val="0"/>
          <c:showSerName val="0"/>
          <c:showPercent val="0"/>
          <c:showBubbleSize val="0"/>
        </c:dLbls>
        <c:gapWidth val="0"/>
        <c:overlap val="100"/>
        <c:axId val="97593879"/>
        <c:axId val="18248975"/>
      </c:barChart>
      <c:lineChart>
        <c:grouping val="stacked"/>
        <c:varyColors val="0"/>
        <c:ser>
          <c:idx val="4"/>
          <c:order val="4"/>
          <c:tx>
            <c:strRef>
              <c:f>Forcing!$BF$1</c:f>
              <c:strCache>
                <c:ptCount val="1"/>
                <c:pt idx="0">
                  <c:v>Observed since 1959</c:v>
                </c:pt>
              </c:strCache>
            </c:strRef>
          </c:tx>
          <c:spPr>
            <a:ln w="19080">
              <a:solidFill>
                <a:srgbClr val="0B0B0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Forcing!$A$2:$A$68</c:f>
              <c:numCache>
                <c:formatCode>0</c:formatCode>
                <c:ptCount val="67"/>
                <c:pt idx="0">
                  <c:v>1959</c:v>
                </c:pt>
                <c:pt idx="1">
                  <c:v>1960</c:v>
                </c:pt>
                <c:pt idx="2">
                  <c:v>1961</c:v>
                </c:pt>
                <c:pt idx="3">
                  <c:v>1962</c:v>
                </c:pt>
                <c:pt idx="4">
                  <c:v>1963</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pt idx="66">
                  <c:v>2025</c:v>
                </c:pt>
              </c:numCache>
            </c:numRef>
          </c:cat>
          <c:val>
            <c:numRef>
              <c:f>Forcing!$BF$2:$BF$68</c:f>
              <c:numCache>
                <c:formatCode>0.000</c:formatCode>
                <c:ptCount val="67"/>
                <c:pt idx="0">
                  <c:v>0</c:v>
                </c:pt>
                <c:pt idx="1">
                  <c:v>-5.5833333333332444E-2</c:v>
                </c:pt>
                <c:pt idx="2">
                  <c:v>2.583333333333352E-2</c:v>
                </c:pt>
                <c:pt idx="3">
                  <c:v>1.1830814106161824E-15</c:v>
                </c:pt>
                <c:pt idx="4">
                  <c:v>2.3333333333334171E-2</c:v>
                </c:pt>
                <c:pt idx="5">
                  <c:v>-0.23000000000000012</c:v>
                </c:pt>
                <c:pt idx="6">
                  <c:v>-0.13749999999999957</c:v>
                </c:pt>
                <c:pt idx="7">
                  <c:v>-8.8333333333332181E-2</c:v>
                </c:pt>
                <c:pt idx="8">
                  <c:v>-5.4999999999999424E-2</c:v>
                </c:pt>
                <c:pt idx="9">
                  <c:v>-0.11333333333333284</c:v>
                </c:pt>
                <c:pt idx="10">
                  <c:v>2.1666666666667389E-2</c:v>
                </c:pt>
                <c:pt idx="11">
                  <c:v>-3.333333333332078E-3</c:v>
                </c:pt>
                <c:pt idx="12">
                  <c:v>-0.10999999999999928</c:v>
                </c:pt>
                <c:pt idx="13">
                  <c:v>-2.1666666666665467E-2</c:v>
                </c:pt>
                <c:pt idx="14">
                  <c:v>0.1300000000000002</c:v>
                </c:pt>
                <c:pt idx="15">
                  <c:v>-0.10250000000000019</c:v>
                </c:pt>
                <c:pt idx="16">
                  <c:v>-4.4166666666665133E-2</c:v>
                </c:pt>
                <c:pt idx="17">
                  <c:v>-0.12833333333333252</c:v>
                </c:pt>
                <c:pt idx="18">
                  <c:v>0.14750000000000071</c:v>
                </c:pt>
                <c:pt idx="19">
                  <c:v>3.5833333333333453E-2</c:v>
                </c:pt>
                <c:pt idx="20">
                  <c:v>0.13333333333333389</c:v>
                </c:pt>
                <c:pt idx="21">
                  <c:v>0.22500000000000081</c:v>
                </c:pt>
                <c:pt idx="22">
                  <c:v>0.29249999999999982</c:v>
                </c:pt>
                <c:pt idx="23">
                  <c:v>0.10833333333333309</c:v>
                </c:pt>
                <c:pt idx="24">
                  <c:v>0.28416666666666757</c:v>
                </c:pt>
                <c:pt idx="25">
                  <c:v>0.12416666666666729</c:v>
                </c:pt>
                <c:pt idx="26">
                  <c:v>8.7500000000000203E-2</c:v>
                </c:pt>
                <c:pt idx="27">
                  <c:v>0.14916666666666645</c:v>
                </c:pt>
                <c:pt idx="28">
                  <c:v>0.29083333333333378</c:v>
                </c:pt>
                <c:pt idx="29">
                  <c:v>0.35916666666666702</c:v>
                </c:pt>
                <c:pt idx="30">
                  <c:v>0.24333333333333229</c:v>
                </c:pt>
                <c:pt idx="31">
                  <c:v>0.41833333333333539</c:v>
                </c:pt>
                <c:pt idx="32">
                  <c:v>0.37666666666666693</c:v>
                </c:pt>
                <c:pt idx="33">
                  <c:v>0.19333333333333425</c:v>
                </c:pt>
                <c:pt idx="34">
                  <c:v>0.20250000000000057</c:v>
                </c:pt>
                <c:pt idx="35">
                  <c:v>0.28500000000000075</c:v>
                </c:pt>
                <c:pt idx="36">
                  <c:v>0.41666666666666757</c:v>
                </c:pt>
                <c:pt idx="37">
                  <c:v>0.30333333333333384</c:v>
                </c:pt>
                <c:pt idx="38">
                  <c:v>0.43666666666666681</c:v>
                </c:pt>
                <c:pt idx="39">
                  <c:v>0.57833333333333548</c:v>
                </c:pt>
                <c:pt idx="40">
                  <c:v>0.35166666666666702</c:v>
                </c:pt>
                <c:pt idx="41">
                  <c:v>0.36250000000000099</c:v>
                </c:pt>
                <c:pt idx="42">
                  <c:v>0.50250000000000028</c:v>
                </c:pt>
                <c:pt idx="43">
                  <c:v>0.59666666666666768</c:v>
                </c:pt>
                <c:pt idx="44">
                  <c:v>0.58583333333333421</c:v>
                </c:pt>
                <c:pt idx="45">
                  <c:v>0.50333333333333441</c:v>
                </c:pt>
                <c:pt idx="46">
                  <c:v>0.64833333333333398</c:v>
                </c:pt>
                <c:pt idx="47">
                  <c:v>0.6100000000000011</c:v>
                </c:pt>
                <c:pt idx="48">
                  <c:v>0.63333333333333464</c:v>
                </c:pt>
                <c:pt idx="49">
                  <c:v>0.51250000000000095</c:v>
                </c:pt>
                <c:pt idx="50">
                  <c:v>0.62500000000000089</c:v>
                </c:pt>
                <c:pt idx="51">
                  <c:v>0.69333333333333458</c:v>
                </c:pt>
                <c:pt idx="52">
                  <c:v>0.57666666666666755</c:v>
                </c:pt>
                <c:pt idx="53">
                  <c:v>0.61583333333333412</c:v>
                </c:pt>
                <c:pt idx="54">
                  <c:v>0.64583333333333481</c:v>
                </c:pt>
                <c:pt idx="55">
                  <c:v>0.71833333333333382</c:v>
                </c:pt>
                <c:pt idx="56">
                  <c:v>0.86750000000000071</c:v>
                </c:pt>
                <c:pt idx="57">
                  <c:v>0.98166666666666691</c:v>
                </c:pt>
                <c:pt idx="58">
                  <c:v>0.88416666666666621</c:v>
                </c:pt>
                <c:pt idx="59">
                  <c:v>0.82000000000000151</c:v>
                </c:pt>
                <c:pt idx="60">
                  <c:v>0.94916666666666616</c:v>
                </c:pt>
                <c:pt idx="61">
                  <c:v>0.97666666666666768</c:v>
                </c:pt>
                <c:pt idx="62">
                  <c:v>0.8183333333333348</c:v>
                </c:pt>
                <c:pt idx="63">
                  <c:v>0.8616666666666678</c:v>
                </c:pt>
                <c:pt idx="64">
                  <c:v>1.1416666666666664</c:v>
                </c:pt>
                <c:pt idx="65">
                  <c:v>1.255000000000001</c:v>
                </c:pt>
                <c:pt idx="66">
                  <c:v>1.1625000000000012</c:v>
                </c:pt>
              </c:numCache>
            </c:numRef>
          </c:val>
          <c:smooth val="0"/>
          <c:extLst>
            <c:ext xmlns:c16="http://schemas.microsoft.com/office/drawing/2014/chart" uri="{C3380CC4-5D6E-409C-BE32-E72D297353CC}">
              <c16:uniqueId val="{00000004-7E90-40E1-95B2-7175CEE068CF}"/>
            </c:ext>
          </c:extLst>
        </c:ser>
        <c:dLbls>
          <c:showLegendKey val="0"/>
          <c:showVal val="0"/>
          <c:showCatName val="0"/>
          <c:showSerName val="0"/>
          <c:showPercent val="0"/>
          <c:showBubbleSize val="0"/>
        </c:dLbls>
        <c:hiLowLines>
          <c:spPr>
            <a:ln w="0">
              <a:noFill/>
            </a:ln>
          </c:spPr>
        </c:hiLowLines>
        <c:marker val="1"/>
        <c:smooth val="0"/>
        <c:axId val="97593879"/>
        <c:axId val="18248975"/>
      </c:lineChart>
      <c:catAx>
        <c:axId val="97593879"/>
        <c:scaling>
          <c:orientation val="minMax"/>
        </c:scaling>
        <c:delete val="0"/>
        <c:axPos val="b"/>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Year</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8248975"/>
        <c:crosses val="autoZero"/>
        <c:auto val="1"/>
        <c:lblAlgn val="ctr"/>
        <c:lblOffset val="100"/>
        <c:noMultiLvlLbl val="0"/>
      </c:catAx>
      <c:valAx>
        <c:axId val="18248975"/>
        <c:scaling>
          <c:orientation val="minMax"/>
          <c:max val="1.5"/>
          <c:min val="-0.4"/>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Warming since 1959 (°C)</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9759387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lang="en-US" sz="1300" b="1" strike="noStrike" spc="-1">
                <a:solidFill>
                  <a:srgbClr val="000000"/>
                </a:solidFill>
                <a:latin typeface="Calibri"/>
                <a:ea typeface="Calibri"/>
              </a:rPr>
              <a:t>Anthropogenic forcing + ENSO: fitted vs observed
67 years; the 2023-2025 points sit above the line</a:t>
            </a:r>
          </a:p>
        </c:rich>
      </c:tx>
      <c:overlay val="0"/>
      <c:spPr>
        <a:noFill/>
        <a:ln w="0">
          <a:noFill/>
        </a:ln>
      </c:spPr>
    </c:title>
    <c:autoTitleDeleted val="0"/>
    <c:plotArea>
      <c:layout/>
      <c:scatterChart>
        <c:scatterStyle val="lineMarker"/>
        <c:varyColors val="0"/>
        <c:ser>
          <c:idx val="0"/>
          <c:order val="0"/>
          <c:spPr>
            <a:ln w="38160">
              <a:noFill/>
            </a:ln>
          </c:spPr>
          <c:marker>
            <c:symbol val="circle"/>
            <c:size val="5"/>
            <c:spPr>
              <a:solidFill>
                <a:srgbClr val="2A78D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B6834"/>
                </a:solidFill>
                <a:prstDash val="dash"/>
                <a:round/>
              </a:ln>
            </c:spPr>
            <c:trendlineType val="linear"/>
            <c:dispRSqr val="1"/>
            <c:dispEq val="1"/>
            <c:trendlineLbl>
              <c:numFmt formatCode="General" sourceLinked="0"/>
            </c:trendlineLbl>
          </c:trendline>
          <c:xVal>
            <c:numRef>
              <c:f>Forcing!$P$2:$P$68</c:f>
              <c:numCache>
                <c:formatCode>0.000</c:formatCode>
                <c:ptCount val="67"/>
                <c:pt idx="0">
                  <c:v>-1.6962681538356283E-2</c:v>
                </c:pt>
                <c:pt idx="1">
                  <c:v>-3.7425997759434226E-2</c:v>
                </c:pt>
                <c:pt idx="2">
                  <c:v>-5.1125453449261012E-2</c:v>
                </c:pt>
                <c:pt idx="3">
                  <c:v>-5.7076938456455284E-2</c:v>
                </c:pt>
                <c:pt idx="4">
                  <c:v>-3.4544914400512189E-2</c:v>
                </c:pt>
                <c:pt idx="5">
                  <c:v>-3.1055531294301567E-2</c:v>
                </c:pt>
                <c:pt idx="6">
                  <c:v>-2.1414351872010698E-2</c:v>
                </c:pt>
                <c:pt idx="7">
                  <c:v>4.6180581746469759E-2</c:v>
                </c:pt>
                <c:pt idx="8">
                  <c:v>-5.5459953741120942E-2</c:v>
                </c:pt>
                <c:pt idx="9">
                  <c:v>-4.1250271468433117E-2</c:v>
                </c:pt>
                <c:pt idx="10">
                  <c:v>5.4207402371959895E-2</c:v>
                </c:pt>
                <c:pt idx="11">
                  <c:v>-4.2670336455004898E-3</c:v>
                </c:pt>
                <c:pt idx="12">
                  <c:v>-9.1302541925854894E-2</c:v>
                </c:pt>
                <c:pt idx="13">
                  <c:v>1.6176447661010351E-2</c:v>
                </c:pt>
                <c:pt idx="14">
                  <c:v>5.5665195835787135E-2</c:v>
                </c:pt>
                <c:pt idx="15">
                  <c:v>-7.606719179131817E-2</c:v>
                </c:pt>
                <c:pt idx="16">
                  <c:v>-2.5479307615289382E-2</c:v>
                </c:pt>
                <c:pt idx="17">
                  <c:v>-8.9737429887043751E-3</c:v>
                </c:pt>
                <c:pt idx="18">
                  <c:v>0.12523278927501619</c:v>
                </c:pt>
                <c:pt idx="19">
                  <c:v>0.10571465141338537</c:v>
                </c:pt>
                <c:pt idx="20">
                  <c:v>0.11864338941765998</c:v>
                </c:pt>
                <c:pt idx="21">
                  <c:v>0.16262307724307712</c:v>
                </c:pt>
                <c:pt idx="22">
                  <c:v>0.13688011951163259</c:v>
                </c:pt>
                <c:pt idx="23">
                  <c:v>0.20133485461486342</c:v>
                </c:pt>
                <c:pt idx="24">
                  <c:v>0.32761536546409203</c:v>
                </c:pt>
                <c:pt idx="25">
                  <c:v>0.16408158289794852</c:v>
                </c:pt>
                <c:pt idx="26">
                  <c:v>0.16188246074921175</c:v>
                </c:pt>
                <c:pt idx="27">
                  <c:v>0.24863851831848591</c:v>
                </c:pt>
                <c:pt idx="28">
                  <c:v>0.37824978464970044</c:v>
                </c:pt>
                <c:pt idx="29">
                  <c:v>0.27348159402267702</c:v>
                </c:pt>
                <c:pt idx="30">
                  <c:v>0.21393183986985342</c:v>
                </c:pt>
                <c:pt idx="31">
                  <c:v>0.34490356453766763</c:v>
                </c:pt>
                <c:pt idx="32">
                  <c:v>0.36716796906730359</c:v>
                </c:pt>
                <c:pt idx="33">
                  <c:v>0.47802334799340007</c:v>
                </c:pt>
                <c:pt idx="34">
                  <c:v>0.41849147788671359</c:v>
                </c:pt>
                <c:pt idx="35">
                  <c:v>0.41199880109357778</c:v>
                </c:pt>
                <c:pt idx="36">
                  <c:v>0.45871430034859006</c:v>
                </c:pt>
                <c:pt idx="37">
                  <c:v>0.4049182085436307</c:v>
                </c:pt>
                <c:pt idx="38">
                  <c:v>0.4820824365800172</c:v>
                </c:pt>
                <c:pt idx="39">
                  <c:v>0.55695018149428355</c:v>
                </c:pt>
                <c:pt idx="40">
                  <c:v>0.41609703302298751</c:v>
                </c:pt>
                <c:pt idx="41">
                  <c:v>0.45702131408456492</c:v>
                </c:pt>
                <c:pt idx="42">
                  <c:v>0.52438174450432273</c:v>
                </c:pt>
                <c:pt idx="43">
                  <c:v>0.56842977896847269</c:v>
                </c:pt>
                <c:pt idx="44">
                  <c:v>0.59965212589188754</c:v>
                </c:pt>
                <c:pt idx="45">
                  <c:v>0.60252094041294768</c:v>
                </c:pt>
                <c:pt idx="46">
                  <c:v>0.60561151450083883</c:v>
                </c:pt>
                <c:pt idx="47">
                  <c:v>0.54983728493583328</c:v>
                </c:pt>
                <c:pt idx="48">
                  <c:v>0.608124490801351</c:v>
                </c:pt>
                <c:pt idx="49">
                  <c:v>0.53884026110484684</c:v>
                </c:pt>
                <c:pt idx="50">
                  <c:v>0.66407550657467385</c:v>
                </c:pt>
                <c:pt idx="51">
                  <c:v>0.72814192503893538</c:v>
                </c:pt>
                <c:pt idx="52">
                  <c:v>0.62857067230827635</c:v>
                </c:pt>
                <c:pt idx="53">
                  <c:v>0.69625718857673147</c:v>
                </c:pt>
                <c:pt idx="54">
                  <c:v>0.75744632529089373</c:v>
                </c:pt>
                <c:pt idx="55">
                  <c:v>0.79678458684021725</c:v>
                </c:pt>
                <c:pt idx="56">
                  <c:v>0.92573571488518358</c:v>
                </c:pt>
                <c:pt idx="57">
                  <c:v>0.9996766774211101</c:v>
                </c:pt>
                <c:pt idx="58">
                  <c:v>0.90160816566663593</c:v>
                </c:pt>
                <c:pt idx="59">
                  <c:v>0.90286120830359118</c:v>
                </c:pt>
                <c:pt idx="60">
                  <c:v>1.0039753466335992</c:v>
                </c:pt>
                <c:pt idx="61">
                  <c:v>1.0113903775818733</c:v>
                </c:pt>
                <c:pt idx="62">
                  <c:v>0.91166840082874623</c:v>
                </c:pt>
                <c:pt idx="63">
                  <c:v>0.96602357976056852</c:v>
                </c:pt>
                <c:pt idx="64">
                  <c:v>1.01508471177103</c:v>
                </c:pt>
                <c:pt idx="65">
                  <c:v>1.1478966309492544</c:v>
                </c:pt>
                <c:pt idx="66">
                  <c:v>1.0792357960125085</c:v>
                </c:pt>
              </c:numCache>
            </c:numRef>
          </c:xVal>
          <c:yVal>
            <c:numRef>
              <c:f>Forcing!$B$2:$B$68</c:f>
              <c:numCache>
                <c:formatCode>0.000</c:formatCode>
                <c:ptCount val="67"/>
                <c:pt idx="0">
                  <c:v>3.0833333333332824E-2</c:v>
                </c:pt>
                <c:pt idx="1">
                  <c:v>-2.4999999999999616E-2</c:v>
                </c:pt>
                <c:pt idx="2">
                  <c:v>5.6666666666666345E-2</c:v>
                </c:pt>
                <c:pt idx="3">
                  <c:v>3.0833333333334007E-2</c:v>
                </c:pt>
                <c:pt idx="4">
                  <c:v>5.4166666666666995E-2</c:v>
                </c:pt>
                <c:pt idx="5">
                  <c:v>-0.1991666666666673</c:v>
                </c:pt>
                <c:pt idx="6">
                  <c:v>-0.10666666666666676</c:v>
                </c:pt>
                <c:pt idx="7">
                  <c:v>-5.7499999999999364E-2</c:v>
                </c:pt>
                <c:pt idx="8">
                  <c:v>-2.4166666666666597E-2</c:v>
                </c:pt>
                <c:pt idx="9">
                  <c:v>-8.2500000000000018E-2</c:v>
                </c:pt>
                <c:pt idx="10">
                  <c:v>5.2500000000000213E-2</c:v>
                </c:pt>
                <c:pt idx="11">
                  <c:v>2.7500000000000746E-2</c:v>
                </c:pt>
                <c:pt idx="12">
                  <c:v>-7.9166666666666455E-2</c:v>
                </c:pt>
                <c:pt idx="13">
                  <c:v>9.1666666666673589E-3</c:v>
                </c:pt>
                <c:pt idx="14">
                  <c:v>0.16083333333333302</c:v>
                </c:pt>
                <c:pt idx="15">
                  <c:v>-7.1666666666667364E-2</c:v>
                </c:pt>
                <c:pt idx="16">
                  <c:v>-1.3333333333332309E-2</c:v>
                </c:pt>
                <c:pt idx="17">
                  <c:v>-9.7499999999999698E-2</c:v>
                </c:pt>
                <c:pt idx="18">
                  <c:v>0.17833333333333354</c:v>
                </c:pt>
                <c:pt idx="19">
                  <c:v>6.6666666666666277E-2</c:v>
                </c:pt>
                <c:pt idx="20">
                  <c:v>0.16416666666666671</c:v>
                </c:pt>
                <c:pt idx="21">
                  <c:v>0.25583333333333363</c:v>
                </c:pt>
                <c:pt idx="22">
                  <c:v>0.32333333333333264</c:v>
                </c:pt>
                <c:pt idx="23">
                  <c:v>0.13916666666666591</c:v>
                </c:pt>
                <c:pt idx="24">
                  <c:v>0.31500000000000039</c:v>
                </c:pt>
                <c:pt idx="25">
                  <c:v>0.15500000000000011</c:v>
                </c:pt>
                <c:pt idx="26">
                  <c:v>0.11833333333333303</c:v>
                </c:pt>
                <c:pt idx="27">
                  <c:v>0.17999999999999927</c:v>
                </c:pt>
                <c:pt idx="28">
                  <c:v>0.3216666666666666</c:v>
                </c:pt>
                <c:pt idx="29">
                  <c:v>0.38999999999999985</c:v>
                </c:pt>
                <c:pt idx="30">
                  <c:v>0.27416666666666512</c:v>
                </c:pt>
                <c:pt idx="31">
                  <c:v>0.44916666666666821</c:v>
                </c:pt>
                <c:pt idx="32">
                  <c:v>0.40749999999999975</c:v>
                </c:pt>
                <c:pt idx="33">
                  <c:v>0.22416666666666707</c:v>
                </c:pt>
                <c:pt idx="34">
                  <c:v>0.23333333333333339</c:v>
                </c:pt>
                <c:pt idx="35">
                  <c:v>0.31583333333333358</c:v>
                </c:pt>
                <c:pt idx="36">
                  <c:v>0.4475000000000004</c:v>
                </c:pt>
                <c:pt idx="37">
                  <c:v>0.33416666666666667</c:v>
                </c:pt>
                <c:pt idx="38">
                  <c:v>0.46749999999999964</c:v>
                </c:pt>
                <c:pt idx="39">
                  <c:v>0.6091666666666683</c:v>
                </c:pt>
                <c:pt idx="40">
                  <c:v>0.38249999999999984</c:v>
                </c:pt>
                <c:pt idx="41">
                  <c:v>0.39333333333333381</c:v>
                </c:pt>
                <c:pt idx="42">
                  <c:v>0.5333333333333331</c:v>
                </c:pt>
                <c:pt idx="43">
                  <c:v>0.6275000000000005</c:v>
                </c:pt>
                <c:pt idx="44">
                  <c:v>0.61666666666666703</c:v>
                </c:pt>
                <c:pt idx="45">
                  <c:v>0.53416666666666723</c:v>
                </c:pt>
                <c:pt idx="46">
                  <c:v>0.67916666666666681</c:v>
                </c:pt>
                <c:pt idx="47">
                  <c:v>0.64083333333333392</c:v>
                </c:pt>
                <c:pt idx="48">
                  <c:v>0.66416666666666746</c:v>
                </c:pt>
                <c:pt idx="49">
                  <c:v>0.54333333333333378</c:v>
                </c:pt>
                <c:pt idx="50">
                  <c:v>0.65583333333333371</c:v>
                </c:pt>
                <c:pt idx="51">
                  <c:v>0.7241666666666674</c:v>
                </c:pt>
                <c:pt idx="52">
                  <c:v>0.60750000000000037</c:v>
                </c:pt>
                <c:pt idx="53">
                  <c:v>0.64666666666666694</c:v>
                </c:pt>
                <c:pt idx="54">
                  <c:v>0.67666666666666764</c:v>
                </c:pt>
                <c:pt idx="55">
                  <c:v>0.74916666666666665</c:v>
                </c:pt>
                <c:pt idx="56">
                  <c:v>0.89833333333333354</c:v>
                </c:pt>
                <c:pt idx="57">
                  <c:v>1.0124999999999997</c:v>
                </c:pt>
                <c:pt idx="58">
                  <c:v>0.91499999999999904</c:v>
                </c:pt>
                <c:pt idx="59">
                  <c:v>0.85083333333333433</c:v>
                </c:pt>
                <c:pt idx="60">
                  <c:v>0.97999999999999898</c:v>
                </c:pt>
                <c:pt idx="61">
                  <c:v>1.0075000000000005</c:v>
                </c:pt>
                <c:pt idx="62">
                  <c:v>0.84916666666666762</c:v>
                </c:pt>
                <c:pt idx="63">
                  <c:v>0.89250000000000063</c:v>
                </c:pt>
                <c:pt idx="64">
                  <c:v>1.1724999999999992</c:v>
                </c:pt>
                <c:pt idx="65">
                  <c:v>1.2858333333333338</c:v>
                </c:pt>
                <c:pt idx="66">
                  <c:v>1.193333333333334</c:v>
                </c:pt>
              </c:numCache>
            </c:numRef>
          </c:yVal>
          <c:smooth val="1"/>
          <c:extLst>
            <c:ext xmlns:c16="http://schemas.microsoft.com/office/drawing/2014/chart" uri="{C3380CC4-5D6E-409C-BE32-E72D297353CC}">
              <c16:uniqueId val="{00000001-7C01-4A3D-82B9-6AFE65F78B1F}"/>
            </c:ext>
          </c:extLst>
        </c:ser>
        <c:dLbls>
          <c:showLegendKey val="0"/>
          <c:showVal val="0"/>
          <c:showCatName val="0"/>
          <c:showSerName val="0"/>
          <c:showPercent val="0"/>
          <c:showBubbleSize val="0"/>
        </c:dLbls>
        <c:axId val="75388623"/>
        <c:axId val="91809681"/>
      </c:scatterChart>
      <c:valAx>
        <c:axId val="75388623"/>
        <c:scaling>
          <c:orientation val="minMax"/>
          <c:max val="1.5"/>
          <c:min val="-0.3"/>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Fitted, anthro ERF + ENSO (°C)</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91809681"/>
        <c:crosses val="min"/>
        <c:crossBetween val="midCat"/>
      </c:valAx>
      <c:valAx>
        <c:axId val="91809681"/>
        <c:scaling>
          <c:orientation val="minMax"/>
          <c:max val="1.5"/>
          <c:min val="-0.3"/>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Observed annual anomaly (°C)</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75388623"/>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sz="1300" b="1" strike="noStrike" spc="-1">
                <a:solidFill>
                  <a:srgbClr val="000000"/>
                </a:solidFill>
                <a:latin typeface="Calibri"/>
                <a:ea typeface="Calibri"/>
              </a:rPr>
              <a:t>Response kernels
Weights (1-a)·a^k; area under each = 1</a:t>
            </a:r>
          </a:p>
        </c:rich>
      </c:tx>
      <c:overlay val="0"/>
      <c:spPr>
        <a:noFill/>
        <a:ln w="0">
          <a:noFill/>
        </a:ln>
      </c:spPr>
    </c:title>
    <c:autoTitleDeleted val="0"/>
    <c:plotArea>
      <c:layout/>
      <c:scatterChart>
        <c:scatterStyle val="lineMarker"/>
        <c:varyColors val="0"/>
        <c:ser>
          <c:idx val="0"/>
          <c:order val="0"/>
          <c:tx>
            <c:v>ENSO (τ = 6 mo)</c:v>
          </c:tx>
          <c:spPr>
            <a:ln w="15120">
              <a:solidFill>
                <a:srgbClr val="2A78D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Kernel!$S$10:$S$46</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xVal>
          <c:yVal>
            <c:numRef>
              <c:f>Kernel!$T$10:$T$46</c:f>
              <c:numCache>
                <c:formatCode>0.000</c:formatCode>
                <c:ptCount val="37"/>
                <c:pt idx="0">
                  <c:v>0.15351827510938587</c:v>
                </c:pt>
                <c:pt idx="1">
                  <c:v>0.12995041431682477</c:v>
                </c:pt>
                <c:pt idx="2">
                  <c:v>0.1100006508611558</c:v>
                </c:pt>
                <c:pt idx="3">
                  <c:v>9.3113540680041379E-2</c:v>
                </c:pt>
                <c:pt idx="4">
                  <c:v>7.8818910525513805E-2</c:v>
                </c:pt>
                <c:pt idx="5">
                  <c:v>6.6718767335635906E-2</c:v>
                </c:pt>
                <c:pt idx="6">
                  <c:v>5.6476217256844652E-2</c:v>
                </c:pt>
                <c:pt idx="7">
                  <c:v>4.7806085798870919E-2</c:v>
                </c:pt>
                <c:pt idx="8">
                  <c:v>4.0466977967296959E-2</c:v>
                </c:pt>
                <c:pt idx="9">
                  <c:v>3.425455731086801E-2</c:v>
                </c:pt>
                <c:pt idx="10">
                  <c:v>2.8995856757867949E-2</c:v>
                </c:pt>
                <c:pt idx="11">
                  <c:v>2.4544462843081233E-2</c:v>
                </c:pt>
                <c:pt idx="12">
                  <c:v>2.0776439243924992E-2</c:v>
                </c:pt>
                <c:pt idx="13">
                  <c:v>1.7586876128282674E-2</c:v>
                </c:pt>
                <c:pt idx="14">
                  <c:v>1.4886969240506285E-2</c:v>
                </c:pt>
                <c:pt idx="15">
                  <c:v>1.2601547401097273E-2</c:v>
                </c:pt>
                <c:pt idx="16">
                  <c:v>1.0666979580371659E-2</c:v>
                </c:pt>
                <c:pt idx="17">
                  <c:v>9.0294032745659603E-3</c:v>
                </c:pt>
                <c:pt idx="18">
                  <c:v>7.643224858587554E-3</c:v>
                </c:pt>
                <c:pt idx="19">
                  <c:v>6.4698501620240132E-3</c:v>
                </c:pt>
                <c:pt idx="20">
                  <c:v>5.4766099249339058E-3</c:v>
                </c:pt>
                <c:pt idx="21">
                  <c:v>4.6358502158111098E-3</c:v>
                </c:pt>
                <c:pt idx="22">
                  <c:v>3.9241624870143144E-3</c:v>
                </c:pt>
                <c:pt idx="23">
                  <c:v>3.3217318307589188E-3</c:v>
                </c:pt>
                <c:pt idx="24">
                  <c:v>2.8117852897248676E-3</c:v>
                </c:pt>
                <c:pt idx="25">
                  <c:v>2.3801248620683615E-3</c:v>
                </c:pt>
                <c:pt idx="26">
                  <c:v>2.0147321986986612E-3</c:v>
                </c:pt>
                <c:pt idx="27">
                  <c:v>1.7054339867471023E-3</c:v>
                </c:pt>
                <c:pt idx="28">
                  <c:v>1.4436187027887645E-3</c:v>
                </c:pt>
                <c:pt idx="29">
                  <c:v>1.221996849620984E-3</c:v>
                </c:pt>
                <c:pt idx="30">
                  <c:v>1.0343980010780671E-3</c:v>
                </c:pt>
                <c:pt idx="31">
                  <c:v>8.7559900417596536E-4</c:v>
                </c:pt>
                <c:pt idx="32">
                  <c:v>7.4117855536737546E-4</c:v>
                </c:pt>
                <c:pt idx="33">
                  <c:v>6.2739410199930947E-4</c:v>
                </c:pt>
                <c:pt idx="34">
                  <c:v>5.3107764164657346E-4</c:v>
                </c:pt>
                <c:pt idx="35">
                  <c:v>4.4954751815183091E-4</c:v>
                </c:pt>
                <c:pt idx="36">
                  <c:v>3.8053375858545656E-4</c:v>
                </c:pt>
              </c:numCache>
            </c:numRef>
          </c:yVal>
          <c:smooth val="1"/>
          <c:extLst>
            <c:ext xmlns:c16="http://schemas.microsoft.com/office/drawing/2014/chart" uri="{C3380CC4-5D6E-409C-BE32-E72D297353CC}">
              <c16:uniqueId val="{00000000-0072-48AE-8DBB-6DB85A19E6F6}"/>
            </c:ext>
          </c:extLst>
        </c:ser>
        <c:ser>
          <c:idx val="1"/>
          <c:order val="1"/>
          <c:tx>
            <c:v>AOD (τ = 12 mo)</c:v>
          </c:tx>
          <c:spPr>
            <a:ln w="15120">
              <a:solidFill>
                <a:srgbClr val="EB683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Kernel!$S$10:$S$46</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xVal>
          <c:yVal>
            <c:numRef>
              <c:f>Kernel!$U$10:$U$46</c:f>
              <c:numCache>
                <c:formatCode>0.000</c:formatCode>
                <c:ptCount val="37"/>
                <c:pt idx="0">
                  <c:v>7.9955585370676707E-2</c:v>
                </c:pt>
                <c:pt idx="1">
                  <c:v>7.3562689738709136E-2</c:v>
                </c:pt>
                <c:pt idx="2">
                  <c:v>6.7680941819209167E-2</c:v>
                </c:pt>
                <c:pt idx="3">
                  <c:v>6.2269472497615594E-2</c:v>
                </c:pt>
                <c:pt idx="4">
                  <c:v>5.7290680373345483E-2</c:v>
                </c:pt>
                <c:pt idx="5">
                  <c:v>5.2709970487810301E-2</c:v>
                </c:pt>
                <c:pt idx="6">
                  <c:v>4.8495513942586332E-2</c:v>
                </c:pt>
                <c:pt idx="7">
                  <c:v>4.461802673745504E-2</c:v>
                </c:pt>
                <c:pt idx="8">
                  <c:v>4.1050566291577315E-2</c:v>
                </c:pt>
                <c:pt idx="9">
                  <c:v>3.7768344233936477E-2</c:v>
                </c:pt>
                <c:pt idx="10">
                  <c:v>3.4748554162230862E-2</c:v>
                </c:pt>
                <c:pt idx="11">
                  <c:v>3.1970213173405038E-2</c:v>
                </c:pt>
                <c:pt idx="12">
                  <c:v>2.9414016064700114E-2</c:v>
                </c:pt>
                <c:pt idx="13">
                  <c:v>2.7062201192144527E-2</c:v>
                </c:pt>
                <c:pt idx="14">
                  <c:v>2.4898427054407583E-2</c:v>
                </c:pt>
                <c:pt idx="15">
                  <c:v>2.2907658744463339E-2</c:v>
                </c:pt>
                <c:pt idx="16">
                  <c:v>2.107606348007807E-2</c:v>
                </c:pt>
                <c:pt idx="17">
                  <c:v>1.9390914487218885E-2</c:v>
                </c:pt>
                <c:pt idx="18">
                  <c:v>1.7840502568520565E-2</c:v>
                </c:pt>
                <c:pt idx="19">
                  <c:v>1.6414054742347441E-2</c:v>
                </c:pt>
                <c:pt idx="20">
                  <c:v>1.5101659387116719E-2</c:v>
                </c:pt>
                <c:pt idx="21">
                  <c:v>1.3894197370751225E-2</c:v>
                </c:pt>
                <c:pt idx="22">
                  <c:v>1.2783278686717095E-2</c:v>
                </c:pt>
                <c:pt idx="23">
                  <c:v>1.1761184156364136E-2</c:v>
                </c:pt>
                <c:pt idx="24">
                  <c:v>1.0820811792489712E-2</c:v>
                </c:pt>
                <c:pt idx="25">
                  <c:v>9.9556274514352745E-3</c:v>
                </c:pt>
                <c:pt idx="26">
                  <c:v>9.1596194308233899E-3</c:v>
                </c:pt>
                <c:pt idx="27">
                  <c:v>8.4272566974592806E-3</c:v>
                </c:pt>
                <c:pt idx="28">
                  <c:v>7.7534504551449689E-3</c:v>
                </c:pt>
                <c:pt idx="29">
                  <c:v>7.1335187853613126E-3</c:v>
                </c:pt>
                <c:pt idx="30">
                  <c:v>6.5631541151250292E-3</c:v>
                </c:pt>
                <c:pt idx="31">
                  <c:v>6.0383932859722437E-3</c:v>
                </c:pt>
                <c:pt idx="32">
                  <c:v>5.5555900160939682E-3</c:v>
                </c:pt>
                <c:pt idx="33">
                  <c:v>5.111389564277688E-3</c:v>
                </c:pt>
                <c:pt idx="34">
                  <c:v>4.7027054196082966E-3</c:v>
                </c:pt>
                <c:pt idx="35">
                  <c:v>4.326697854957662E-3</c:v>
                </c:pt>
                <c:pt idx="36">
                  <c:v>3.980754195242471E-3</c:v>
                </c:pt>
              </c:numCache>
            </c:numRef>
          </c:yVal>
          <c:smooth val="1"/>
          <c:extLst>
            <c:ext xmlns:c16="http://schemas.microsoft.com/office/drawing/2014/chart" uri="{C3380CC4-5D6E-409C-BE32-E72D297353CC}">
              <c16:uniqueId val="{00000001-0072-48AE-8DBB-6DB85A19E6F6}"/>
            </c:ext>
          </c:extLst>
        </c:ser>
        <c:dLbls>
          <c:showLegendKey val="0"/>
          <c:showVal val="0"/>
          <c:showCatName val="0"/>
          <c:showSerName val="0"/>
          <c:showPercent val="0"/>
          <c:showBubbleSize val="0"/>
        </c:dLbls>
        <c:axId val="4954326"/>
        <c:axId val="79319011"/>
      </c:scatterChart>
      <c:valAx>
        <c:axId val="4954326"/>
        <c:scaling>
          <c:orientation val="minMax"/>
          <c:max val="36"/>
          <c:min val="0"/>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Months after the input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79319011"/>
        <c:crosses val="min"/>
        <c:crossBetween val="midCat"/>
      </c:valAx>
      <c:valAx>
        <c:axId val="79319011"/>
        <c:scaling>
          <c:orientation val="minMax"/>
          <c:max val="0.2"/>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Weight</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4954326"/>
        <c:crosses val="min"/>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sz="1300" b="1" strike="noStrike" spc="-1">
                <a:solidFill>
                  <a:srgbClr val="000000"/>
                </a:solidFill>
                <a:latin typeface="Calibri"/>
                <a:ea typeface="Calibri"/>
              </a:rPr>
              <a:t>Observed vs kernel model, monthly
CO2 + ENSO + volcanic responses; Jul 1958 - Dec 2025</a:t>
            </a:r>
          </a:p>
        </c:rich>
      </c:tx>
      <c:overlay val="0"/>
      <c:spPr>
        <a:noFill/>
        <a:ln w="0">
          <a:noFill/>
        </a:ln>
      </c:spPr>
    </c:title>
    <c:autoTitleDeleted val="0"/>
    <c:plotArea>
      <c:layout/>
      <c:scatterChart>
        <c:scatterStyle val="lineMarker"/>
        <c:varyColors val="0"/>
        <c:ser>
          <c:idx val="0"/>
          <c:order val="0"/>
          <c:tx>
            <c:v>Observed</c:v>
          </c:tx>
          <c:spPr>
            <a:ln w="15120">
              <a:solidFill>
                <a:srgbClr val="2A78D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Kernel!$B$9:$B$815</c:f>
              <c:numCache>
                <c:formatCode>0.00</c:formatCode>
                <c:ptCount val="807"/>
                <c:pt idx="0">
                  <c:v>1958.7916666666667</c:v>
                </c:pt>
                <c:pt idx="1">
                  <c:v>1958.875</c:v>
                </c:pt>
                <c:pt idx="2">
                  <c:v>1958.9583333333333</c:v>
                </c:pt>
                <c:pt idx="3">
                  <c:v>1959.0416666666667</c:v>
                </c:pt>
                <c:pt idx="4">
                  <c:v>1959.125</c:v>
                </c:pt>
                <c:pt idx="5">
                  <c:v>1959.2083333333333</c:v>
                </c:pt>
                <c:pt idx="6">
                  <c:v>1959.2916666666667</c:v>
                </c:pt>
                <c:pt idx="7">
                  <c:v>1959.375</c:v>
                </c:pt>
                <c:pt idx="8">
                  <c:v>1959.4583333333333</c:v>
                </c:pt>
                <c:pt idx="9">
                  <c:v>1959.5416666666667</c:v>
                </c:pt>
                <c:pt idx="10">
                  <c:v>1959.625</c:v>
                </c:pt>
                <c:pt idx="11">
                  <c:v>1959.7083333333333</c:v>
                </c:pt>
                <c:pt idx="12">
                  <c:v>1959.7916666666667</c:v>
                </c:pt>
                <c:pt idx="13">
                  <c:v>1959.875</c:v>
                </c:pt>
                <c:pt idx="14">
                  <c:v>1959.9583333333333</c:v>
                </c:pt>
                <c:pt idx="15">
                  <c:v>1960.0416666666667</c:v>
                </c:pt>
                <c:pt idx="16">
                  <c:v>1960.125</c:v>
                </c:pt>
                <c:pt idx="17">
                  <c:v>1960.2083333333333</c:v>
                </c:pt>
                <c:pt idx="18">
                  <c:v>1960.2916666666667</c:v>
                </c:pt>
                <c:pt idx="19">
                  <c:v>1960.375</c:v>
                </c:pt>
                <c:pt idx="20">
                  <c:v>1960.4583333333333</c:v>
                </c:pt>
                <c:pt idx="21">
                  <c:v>1960.5416666666667</c:v>
                </c:pt>
                <c:pt idx="22">
                  <c:v>1960.625</c:v>
                </c:pt>
                <c:pt idx="23">
                  <c:v>1960.7083333333333</c:v>
                </c:pt>
                <c:pt idx="24">
                  <c:v>1960.7916666666667</c:v>
                </c:pt>
                <c:pt idx="25">
                  <c:v>1960.875</c:v>
                </c:pt>
                <c:pt idx="26">
                  <c:v>1960.9583333333333</c:v>
                </c:pt>
                <c:pt idx="27">
                  <c:v>1961.0416666666667</c:v>
                </c:pt>
                <c:pt idx="28">
                  <c:v>1961.125</c:v>
                </c:pt>
                <c:pt idx="29">
                  <c:v>1961.2083333333333</c:v>
                </c:pt>
                <c:pt idx="30">
                  <c:v>1961.2916666666667</c:v>
                </c:pt>
                <c:pt idx="31">
                  <c:v>1961.375</c:v>
                </c:pt>
                <c:pt idx="32">
                  <c:v>1961.4583333333333</c:v>
                </c:pt>
                <c:pt idx="33">
                  <c:v>1961.5416666666667</c:v>
                </c:pt>
                <c:pt idx="34">
                  <c:v>1961.625</c:v>
                </c:pt>
                <c:pt idx="35">
                  <c:v>1961.7083333333333</c:v>
                </c:pt>
                <c:pt idx="36">
                  <c:v>1961.7916666666667</c:v>
                </c:pt>
                <c:pt idx="37">
                  <c:v>1961.875</c:v>
                </c:pt>
                <c:pt idx="38">
                  <c:v>1961.9583333333333</c:v>
                </c:pt>
                <c:pt idx="39">
                  <c:v>1962.0416666666667</c:v>
                </c:pt>
                <c:pt idx="40">
                  <c:v>1962.125</c:v>
                </c:pt>
                <c:pt idx="41">
                  <c:v>1962.2083333333333</c:v>
                </c:pt>
                <c:pt idx="42">
                  <c:v>1962.2916666666667</c:v>
                </c:pt>
                <c:pt idx="43">
                  <c:v>1962.375</c:v>
                </c:pt>
                <c:pt idx="44">
                  <c:v>1962.4583333333333</c:v>
                </c:pt>
                <c:pt idx="45">
                  <c:v>1962.5416666666667</c:v>
                </c:pt>
                <c:pt idx="46">
                  <c:v>1962.625</c:v>
                </c:pt>
                <c:pt idx="47">
                  <c:v>1962.7083333333333</c:v>
                </c:pt>
                <c:pt idx="48">
                  <c:v>1962.7916666666667</c:v>
                </c:pt>
                <c:pt idx="49">
                  <c:v>1962.875</c:v>
                </c:pt>
                <c:pt idx="50">
                  <c:v>1962.9583333333333</c:v>
                </c:pt>
                <c:pt idx="51">
                  <c:v>1963.0416666666667</c:v>
                </c:pt>
                <c:pt idx="52">
                  <c:v>1963.125</c:v>
                </c:pt>
                <c:pt idx="53">
                  <c:v>1963.2083333333333</c:v>
                </c:pt>
                <c:pt idx="54">
                  <c:v>1963.2916666666667</c:v>
                </c:pt>
                <c:pt idx="55">
                  <c:v>1963.375</c:v>
                </c:pt>
                <c:pt idx="56">
                  <c:v>1963.4583333333333</c:v>
                </c:pt>
                <c:pt idx="57">
                  <c:v>1963.5416666666667</c:v>
                </c:pt>
                <c:pt idx="58">
                  <c:v>1963.625</c:v>
                </c:pt>
                <c:pt idx="59">
                  <c:v>1963.7083333333333</c:v>
                </c:pt>
                <c:pt idx="60">
                  <c:v>1963.7916666666667</c:v>
                </c:pt>
                <c:pt idx="61">
                  <c:v>1963.875</c:v>
                </c:pt>
                <c:pt idx="62">
                  <c:v>1963.9583333333333</c:v>
                </c:pt>
                <c:pt idx="63">
                  <c:v>1964.0416666666667</c:v>
                </c:pt>
                <c:pt idx="64">
                  <c:v>1964.125</c:v>
                </c:pt>
                <c:pt idx="65">
                  <c:v>1964.2083333333333</c:v>
                </c:pt>
                <c:pt idx="66">
                  <c:v>1964.2916666666667</c:v>
                </c:pt>
                <c:pt idx="67">
                  <c:v>1964.375</c:v>
                </c:pt>
                <c:pt idx="68">
                  <c:v>1964.4583333333333</c:v>
                </c:pt>
                <c:pt idx="69">
                  <c:v>1964.5416666666667</c:v>
                </c:pt>
                <c:pt idx="70">
                  <c:v>1964.625</c:v>
                </c:pt>
                <c:pt idx="71">
                  <c:v>1964.7083333333333</c:v>
                </c:pt>
                <c:pt idx="72">
                  <c:v>1964.7916666666667</c:v>
                </c:pt>
                <c:pt idx="73">
                  <c:v>1964.875</c:v>
                </c:pt>
                <c:pt idx="74">
                  <c:v>1964.9583333333333</c:v>
                </c:pt>
                <c:pt idx="75">
                  <c:v>1965.0416666666667</c:v>
                </c:pt>
                <c:pt idx="76">
                  <c:v>1965.125</c:v>
                </c:pt>
                <c:pt idx="77">
                  <c:v>1965.2083333333333</c:v>
                </c:pt>
                <c:pt idx="78">
                  <c:v>1965.2916666666667</c:v>
                </c:pt>
                <c:pt idx="79">
                  <c:v>1965.375</c:v>
                </c:pt>
                <c:pt idx="80">
                  <c:v>1965.4583333333333</c:v>
                </c:pt>
                <c:pt idx="81">
                  <c:v>1965.5416666666667</c:v>
                </c:pt>
                <c:pt idx="82">
                  <c:v>1965.625</c:v>
                </c:pt>
                <c:pt idx="83">
                  <c:v>1965.7083333333333</c:v>
                </c:pt>
                <c:pt idx="84">
                  <c:v>1965.7916666666667</c:v>
                </c:pt>
                <c:pt idx="85">
                  <c:v>1965.875</c:v>
                </c:pt>
                <c:pt idx="86">
                  <c:v>1965.9583333333333</c:v>
                </c:pt>
                <c:pt idx="87">
                  <c:v>1966.0416666666667</c:v>
                </c:pt>
                <c:pt idx="88">
                  <c:v>1966.125</c:v>
                </c:pt>
                <c:pt idx="89">
                  <c:v>1966.2083333333333</c:v>
                </c:pt>
                <c:pt idx="90">
                  <c:v>1966.2916666666667</c:v>
                </c:pt>
                <c:pt idx="91">
                  <c:v>1966.375</c:v>
                </c:pt>
                <c:pt idx="92">
                  <c:v>1966.4583333333333</c:v>
                </c:pt>
                <c:pt idx="93">
                  <c:v>1966.5416666666667</c:v>
                </c:pt>
                <c:pt idx="94">
                  <c:v>1966.625</c:v>
                </c:pt>
                <c:pt idx="95">
                  <c:v>1966.7083333333333</c:v>
                </c:pt>
                <c:pt idx="96">
                  <c:v>1966.7916666666667</c:v>
                </c:pt>
                <c:pt idx="97">
                  <c:v>1966.875</c:v>
                </c:pt>
                <c:pt idx="98">
                  <c:v>1966.9583333333333</c:v>
                </c:pt>
                <c:pt idx="99">
                  <c:v>1967.0416666666667</c:v>
                </c:pt>
                <c:pt idx="100">
                  <c:v>1967.125</c:v>
                </c:pt>
                <c:pt idx="101">
                  <c:v>1967.2083333333333</c:v>
                </c:pt>
                <c:pt idx="102">
                  <c:v>1967.2916666666667</c:v>
                </c:pt>
                <c:pt idx="103">
                  <c:v>1967.375</c:v>
                </c:pt>
                <c:pt idx="104">
                  <c:v>1967.4583333333333</c:v>
                </c:pt>
                <c:pt idx="105">
                  <c:v>1967.5416666666667</c:v>
                </c:pt>
                <c:pt idx="106">
                  <c:v>1967.625</c:v>
                </c:pt>
                <c:pt idx="107">
                  <c:v>1967.7083333333333</c:v>
                </c:pt>
                <c:pt idx="108">
                  <c:v>1967.7916666666667</c:v>
                </c:pt>
                <c:pt idx="109">
                  <c:v>1967.875</c:v>
                </c:pt>
                <c:pt idx="110">
                  <c:v>1967.9583333333333</c:v>
                </c:pt>
                <c:pt idx="111">
                  <c:v>1968.0416666666667</c:v>
                </c:pt>
                <c:pt idx="112">
                  <c:v>1968.125</c:v>
                </c:pt>
                <c:pt idx="113">
                  <c:v>1968.2083333333333</c:v>
                </c:pt>
                <c:pt idx="114">
                  <c:v>1968.2916666666667</c:v>
                </c:pt>
                <c:pt idx="115">
                  <c:v>1968.375</c:v>
                </c:pt>
                <c:pt idx="116">
                  <c:v>1968.4583333333333</c:v>
                </c:pt>
                <c:pt idx="117">
                  <c:v>1968.5416666666667</c:v>
                </c:pt>
                <c:pt idx="118">
                  <c:v>1968.625</c:v>
                </c:pt>
                <c:pt idx="119">
                  <c:v>1968.7083333333333</c:v>
                </c:pt>
                <c:pt idx="120">
                  <c:v>1968.7916666666667</c:v>
                </c:pt>
                <c:pt idx="121">
                  <c:v>1968.875</c:v>
                </c:pt>
                <c:pt idx="122">
                  <c:v>1968.9583333333333</c:v>
                </c:pt>
                <c:pt idx="123">
                  <c:v>1969.0416666666667</c:v>
                </c:pt>
                <c:pt idx="124">
                  <c:v>1969.125</c:v>
                </c:pt>
                <c:pt idx="125">
                  <c:v>1969.2083333333333</c:v>
                </c:pt>
                <c:pt idx="126">
                  <c:v>1969.2916666666667</c:v>
                </c:pt>
                <c:pt idx="127">
                  <c:v>1969.375</c:v>
                </c:pt>
                <c:pt idx="128">
                  <c:v>1969.4583333333333</c:v>
                </c:pt>
                <c:pt idx="129">
                  <c:v>1969.5416666666667</c:v>
                </c:pt>
                <c:pt idx="130">
                  <c:v>1969.625</c:v>
                </c:pt>
                <c:pt idx="131">
                  <c:v>1969.7083333333333</c:v>
                </c:pt>
                <c:pt idx="132">
                  <c:v>1969.7916666666667</c:v>
                </c:pt>
                <c:pt idx="133">
                  <c:v>1969.875</c:v>
                </c:pt>
                <c:pt idx="134">
                  <c:v>1969.9583333333333</c:v>
                </c:pt>
                <c:pt idx="135">
                  <c:v>1970.0416666666667</c:v>
                </c:pt>
                <c:pt idx="136">
                  <c:v>1970.125</c:v>
                </c:pt>
                <c:pt idx="137">
                  <c:v>1970.2083333333333</c:v>
                </c:pt>
                <c:pt idx="138">
                  <c:v>1970.2916666666667</c:v>
                </c:pt>
                <c:pt idx="139">
                  <c:v>1970.375</c:v>
                </c:pt>
                <c:pt idx="140">
                  <c:v>1970.4583333333333</c:v>
                </c:pt>
                <c:pt idx="141">
                  <c:v>1970.5416666666667</c:v>
                </c:pt>
                <c:pt idx="142">
                  <c:v>1970.625</c:v>
                </c:pt>
                <c:pt idx="143">
                  <c:v>1970.7083333333333</c:v>
                </c:pt>
                <c:pt idx="144">
                  <c:v>1970.7916666666667</c:v>
                </c:pt>
                <c:pt idx="145">
                  <c:v>1970.875</c:v>
                </c:pt>
                <c:pt idx="146">
                  <c:v>1970.9583333333333</c:v>
                </c:pt>
                <c:pt idx="147">
                  <c:v>1971.0416666666667</c:v>
                </c:pt>
                <c:pt idx="148">
                  <c:v>1971.125</c:v>
                </c:pt>
                <c:pt idx="149">
                  <c:v>1971.2083333333333</c:v>
                </c:pt>
                <c:pt idx="150">
                  <c:v>1971.2916666666667</c:v>
                </c:pt>
                <c:pt idx="151">
                  <c:v>1971.375</c:v>
                </c:pt>
                <c:pt idx="152">
                  <c:v>1971.4583333333333</c:v>
                </c:pt>
                <c:pt idx="153">
                  <c:v>1971.5416666666667</c:v>
                </c:pt>
                <c:pt idx="154">
                  <c:v>1971.625</c:v>
                </c:pt>
                <c:pt idx="155">
                  <c:v>1971.7083333333333</c:v>
                </c:pt>
                <c:pt idx="156">
                  <c:v>1971.7916666666667</c:v>
                </c:pt>
                <c:pt idx="157">
                  <c:v>1971.875</c:v>
                </c:pt>
                <c:pt idx="158">
                  <c:v>1971.9583333333333</c:v>
                </c:pt>
                <c:pt idx="159">
                  <c:v>1972.0416666666667</c:v>
                </c:pt>
                <c:pt idx="160">
                  <c:v>1972.125</c:v>
                </c:pt>
                <c:pt idx="161">
                  <c:v>1972.2083333333333</c:v>
                </c:pt>
                <c:pt idx="162">
                  <c:v>1972.2916666666667</c:v>
                </c:pt>
                <c:pt idx="163">
                  <c:v>1972.375</c:v>
                </c:pt>
                <c:pt idx="164">
                  <c:v>1972.4583333333333</c:v>
                </c:pt>
                <c:pt idx="165">
                  <c:v>1972.5416666666667</c:v>
                </c:pt>
                <c:pt idx="166">
                  <c:v>1972.625</c:v>
                </c:pt>
                <c:pt idx="167">
                  <c:v>1972.7083333333333</c:v>
                </c:pt>
                <c:pt idx="168">
                  <c:v>1972.7916666666667</c:v>
                </c:pt>
                <c:pt idx="169">
                  <c:v>1972.875</c:v>
                </c:pt>
                <c:pt idx="170">
                  <c:v>1972.9583333333333</c:v>
                </c:pt>
                <c:pt idx="171">
                  <c:v>1973.0416666666667</c:v>
                </c:pt>
                <c:pt idx="172">
                  <c:v>1973.125</c:v>
                </c:pt>
                <c:pt idx="173">
                  <c:v>1973.2083333333333</c:v>
                </c:pt>
                <c:pt idx="174">
                  <c:v>1973.2916666666667</c:v>
                </c:pt>
                <c:pt idx="175">
                  <c:v>1973.375</c:v>
                </c:pt>
                <c:pt idx="176">
                  <c:v>1973.4583333333333</c:v>
                </c:pt>
                <c:pt idx="177">
                  <c:v>1973.5416666666667</c:v>
                </c:pt>
                <c:pt idx="178">
                  <c:v>1973.625</c:v>
                </c:pt>
                <c:pt idx="179">
                  <c:v>1973.7083333333333</c:v>
                </c:pt>
                <c:pt idx="180">
                  <c:v>1973.7916666666667</c:v>
                </c:pt>
                <c:pt idx="181">
                  <c:v>1973.875</c:v>
                </c:pt>
                <c:pt idx="182">
                  <c:v>1973.9583333333333</c:v>
                </c:pt>
                <c:pt idx="183">
                  <c:v>1974.0416666666667</c:v>
                </c:pt>
                <c:pt idx="184">
                  <c:v>1974.125</c:v>
                </c:pt>
                <c:pt idx="185">
                  <c:v>1974.2083333333333</c:v>
                </c:pt>
                <c:pt idx="186">
                  <c:v>1974.2916666666667</c:v>
                </c:pt>
                <c:pt idx="187">
                  <c:v>1974.375</c:v>
                </c:pt>
                <c:pt idx="188">
                  <c:v>1974.4583333333333</c:v>
                </c:pt>
                <c:pt idx="189">
                  <c:v>1974.5416666666667</c:v>
                </c:pt>
                <c:pt idx="190">
                  <c:v>1974.625</c:v>
                </c:pt>
                <c:pt idx="191">
                  <c:v>1974.7083333333333</c:v>
                </c:pt>
                <c:pt idx="192">
                  <c:v>1974.7916666666667</c:v>
                </c:pt>
                <c:pt idx="193">
                  <c:v>1974.875</c:v>
                </c:pt>
                <c:pt idx="194">
                  <c:v>1974.9583333333333</c:v>
                </c:pt>
                <c:pt idx="195">
                  <c:v>1975.0416666666667</c:v>
                </c:pt>
                <c:pt idx="196">
                  <c:v>1975.125</c:v>
                </c:pt>
                <c:pt idx="197">
                  <c:v>1975.2083333333333</c:v>
                </c:pt>
                <c:pt idx="198">
                  <c:v>1975.2916666666667</c:v>
                </c:pt>
                <c:pt idx="199">
                  <c:v>1975.375</c:v>
                </c:pt>
                <c:pt idx="200">
                  <c:v>1975.4583333333333</c:v>
                </c:pt>
                <c:pt idx="201">
                  <c:v>1975.5416666666667</c:v>
                </c:pt>
                <c:pt idx="202">
                  <c:v>1975.625</c:v>
                </c:pt>
                <c:pt idx="203">
                  <c:v>1975.7083333333333</c:v>
                </c:pt>
                <c:pt idx="204">
                  <c:v>1975.7916666666667</c:v>
                </c:pt>
                <c:pt idx="205">
                  <c:v>1975.875</c:v>
                </c:pt>
                <c:pt idx="206">
                  <c:v>1975.9583333333333</c:v>
                </c:pt>
                <c:pt idx="207">
                  <c:v>1976.0416666666667</c:v>
                </c:pt>
                <c:pt idx="208">
                  <c:v>1976.125</c:v>
                </c:pt>
                <c:pt idx="209">
                  <c:v>1976.2083333333333</c:v>
                </c:pt>
                <c:pt idx="210">
                  <c:v>1976.2916666666667</c:v>
                </c:pt>
                <c:pt idx="211">
                  <c:v>1976.375</c:v>
                </c:pt>
                <c:pt idx="212">
                  <c:v>1976.4583333333333</c:v>
                </c:pt>
                <c:pt idx="213">
                  <c:v>1976.5416666666667</c:v>
                </c:pt>
                <c:pt idx="214">
                  <c:v>1976.625</c:v>
                </c:pt>
                <c:pt idx="215">
                  <c:v>1976.7083333333333</c:v>
                </c:pt>
                <c:pt idx="216">
                  <c:v>1976.7916666666667</c:v>
                </c:pt>
                <c:pt idx="217">
                  <c:v>1976.875</c:v>
                </c:pt>
                <c:pt idx="218">
                  <c:v>1976.9583333333333</c:v>
                </c:pt>
                <c:pt idx="219">
                  <c:v>1977.0416666666667</c:v>
                </c:pt>
                <c:pt idx="220">
                  <c:v>1977.125</c:v>
                </c:pt>
                <c:pt idx="221">
                  <c:v>1977.2083333333333</c:v>
                </c:pt>
                <c:pt idx="222">
                  <c:v>1977.2916666666667</c:v>
                </c:pt>
                <c:pt idx="223">
                  <c:v>1977.375</c:v>
                </c:pt>
                <c:pt idx="224">
                  <c:v>1977.4583333333333</c:v>
                </c:pt>
                <c:pt idx="225">
                  <c:v>1977.5416666666667</c:v>
                </c:pt>
                <c:pt idx="226">
                  <c:v>1977.625</c:v>
                </c:pt>
                <c:pt idx="227">
                  <c:v>1977.7083333333333</c:v>
                </c:pt>
                <c:pt idx="228">
                  <c:v>1977.7916666666667</c:v>
                </c:pt>
                <c:pt idx="229">
                  <c:v>1977.875</c:v>
                </c:pt>
                <c:pt idx="230">
                  <c:v>1977.9583333333333</c:v>
                </c:pt>
                <c:pt idx="231">
                  <c:v>1978.0416666666667</c:v>
                </c:pt>
                <c:pt idx="232">
                  <c:v>1978.125</c:v>
                </c:pt>
                <c:pt idx="233">
                  <c:v>1978.2083333333333</c:v>
                </c:pt>
                <c:pt idx="234">
                  <c:v>1978.2916666666667</c:v>
                </c:pt>
                <c:pt idx="235">
                  <c:v>1978.375</c:v>
                </c:pt>
                <c:pt idx="236">
                  <c:v>1978.4583333333333</c:v>
                </c:pt>
                <c:pt idx="237">
                  <c:v>1978.5416666666667</c:v>
                </c:pt>
                <c:pt idx="238">
                  <c:v>1978.625</c:v>
                </c:pt>
                <c:pt idx="239">
                  <c:v>1978.7083333333333</c:v>
                </c:pt>
                <c:pt idx="240">
                  <c:v>1978.7916666666667</c:v>
                </c:pt>
                <c:pt idx="241">
                  <c:v>1978.875</c:v>
                </c:pt>
                <c:pt idx="242">
                  <c:v>1978.9583333333333</c:v>
                </c:pt>
                <c:pt idx="243">
                  <c:v>1979.0416666666667</c:v>
                </c:pt>
                <c:pt idx="244">
                  <c:v>1979.125</c:v>
                </c:pt>
                <c:pt idx="245">
                  <c:v>1979.2083333333333</c:v>
                </c:pt>
                <c:pt idx="246">
                  <c:v>1979.2916666666667</c:v>
                </c:pt>
                <c:pt idx="247">
                  <c:v>1979.375</c:v>
                </c:pt>
                <c:pt idx="248">
                  <c:v>1979.4583333333333</c:v>
                </c:pt>
                <c:pt idx="249">
                  <c:v>1979.5416666666667</c:v>
                </c:pt>
                <c:pt idx="250">
                  <c:v>1979.625</c:v>
                </c:pt>
                <c:pt idx="251">
                  <c:v>1979.7083333333333</c:v>
                </c:pt>
                <c:pt idx="252">
                  <c:v>1979.7916666666667</c:v>
                </c:pt>
                <c:pt idx="253">
                  <c:v>1979.875</c:v>
                </c:pt>
                <c:pt idx="254">
                  <c:v>1979.9583333333333</c:v>
                </c:pt>
                <c:pt idx="255">
                  <c:v>1980.0416666666667</c:v>
                </c:pt>
                <c:pt idx="256">
                  <c:v>1980.125</c:v>
                </c:pt>
                <c:pt idx="257">
                  <c:v>1980.2083333333333</c:v>
                </c:pt>
                <c:pt idx="258">
                  <c:v>1980.2916666666667</c:v>
                </c:pt>
                <c:pt idx="259">
                  <c:v>1980.375</c:v>
                </c:pt>
                <c:pt idx="260">
                  <c:v>1980.4583333333333</c:v>
                </c:pt>
                <c:pt idx="261">
                  <c:v>1980.5416666666667</c:v>
                </c:pt>
                <c:pt idx="262">
                  <c:v>1980.625</c:v>
                </c:pt>
                <c:pt idx="263">
                  <c:v>1980.7083333333333</c:v>
                </c:pt>
                <c:pt idx="264">
                  <c:v>1980.7916666666667</c:v>
                </c:pt>
                <c:pt idx="265">
                  <c:v>1980.875</c:v>
                </c:pt>
                <c:pt idx="266">
                  <c:v>1980.9583333333333</c:v>
                </c:pt>
                <c:pt idx="267">
                  <c:v>1981.0416666666667</c:v>
                </c:pt>
                <c:pt idx="268">
                  <c:v>1981.125</c:v>
                </c:pt>
                <c:pt idx="269">
                  <c:v>1981.2083333333333</c:v>
                </c:pt>
                <c:pt idx="270">
                  <c:v>1981.2916666666667</c:v>
                </c:pt>
                <c:pt idx="271">
                  <c:v>1981.375</c:v>
                </c:pt>
                <c:pt idx="272">
                  <c:v>1981.4583333333333</c:v>
                </c:pt>
                <c:pt idx="273">
                  <c:v>1981.5416666666667</c:v>
                </c:pt>
                <c:pt idx="274">
                  <c:v>1981.625</c:v>
                </c:pt>
                <c:pt idx="275">
                  <c:v>1981.7083333333333</c:v>
                </c:pt>
                <c:pt idx="276">
                  <c:v>1981.7916666666667</c:v>
                </c:pt>
                <c:pt idx="277">
                  <c:v>1981.875</c:v>
                </c:pt>
                <c:pt idx="278">
                  <c:v>1981.9583333333333</c:v>
                </c:pt>
                <c:pt idx="279">
                  <c:v>1982.0416666666667</c:v>
                </c:pt>
                <c:pt idx="280">
                  <c:v>1982.125</c:v>
                </c:pt>
                <c:pt idx="281">
                  <c:v>1982.2083333333333</c:v>
                </c:pt>
                <c:pt idx="282">
                  <c:v>1982.2916666666667</c:v>
                </c:pt>
                <c:pt idx="283">
                  <c:v>1982.375</c:v>
                </c:pt>
                <c:pt idx="284">
                  <c:v>1982.4583333333333</c:v>
                </c:pt>
                <c:pt idx="285">
                  <c:v>1982.5416666666667</c:v>
                </c:pt>
                <c:pt idx="286">
                  <c:v>1982.625</c:v>
                </c:pt>
                <c:pt idx="287">
                  <c:v>1982.7083333333333</c:v>
                </c:pt>
                <c:pt idx="288">
                  <c:v>1982.7916666666667</c:v>
                </c:pt>
                <c:pt idx="289">
                  <c:v>1982.875</c:v>
                </c:pt>
                <c:pt idx="290">
                  <c:v>1982.9583333333333</c:v>
                </c:pt>
                <c:pt idx="291">
                  <c:v>1983.0416666666667</c:v>
                </c:pt>
                <c:pt idx="292">
                  <c:v>1983.125</c:v>
                </c:pt>
                <c:pt idx="293">
                  <c:v>1983.2083333333333</c:v>
                </c:pt>
                <c:pt idx="294">
                  <c:v>1983.2916666666667</c:v>
                </c:pt>
                <c:pt idx="295">
                  <c:v>1983.375</c:v>
                </c:pt>
                <c:pt idx="296">
                  <c:v>1983.4583333333333</c:v>
                </c:pt>
                <c:pt idx="297">
                  <c:v>1983.5416666666667</c:v>
                </c:pt>
                <c:pt idx="298">
                  <c:v>1983.625</c:v>
                </c:pt>
                <c:pt idx="299">
                  <c:v>1983.7083333333333</c:v>
                </c:pt>
                <c:pt idx="300">
                  <c:v>1983.7916666666667</c:v>
                </c:pt>
                <c:pt idx="301">
                  <c:v>1983.875</c:v>
                </c:pt>
                <c:pt idx="302">
                  <c:v>1983.9583333333333</c:v>
                </c:pt>
                <c:pt idx="303">
                  <c:v>1984.0416666666667</c:v>
                </c:pt>
                <c:pt idx="304">
                  <c:v>1984.125</c:v>
                </c:pt>
                <c:pt idx="305">
                  <c:v>1984.2083333333333</c:v>
                </c:pt>
                <c:pt idx="306">
                  <c:v>1984.2916666666667</c:v>
                </c:pt>
                <c:pt idx="307">
                  <c:v>1984.375</c:v>
                </c:pt>
                <c:pt idx="308">
                  <c:v>1984.4583333333333</c:v>
                </c:pt>
                <c:pt idx="309">
                  <c:v>1984.5416666666667</c:v>
                </c:pt>
                <c:pt idx="310">
                  <c:v>1984.625</c:v>
                </c:pt>
                <c:pt idx="311">
                  <c:v>1984.7083333333333</c:v>
                </c:pt>
                <c:pt idx="312">
                  <c:v>1984.7916666666667</c:v>
                </c:pt>
                <c:pt idx="313">
                  <c:v>1984.875</c:v>
                </c:pt>
                <c:pt idx="314">
                  <c:v>1984.9583333333333</c:v>
                </c:pt>
                <c:pt idx="315">
                  <c:v>1985.0416666666667</c:v>
                </c:pt>
                <c:pt idx="316">
                  <c:v>1985.125</c:v>
                </c:pt>
                <c:pt idx="317">
                  <c:v>1985.2083333333333</c:v>
                </c:pt>
                <c:pt idx="318">
                  <c:v>1985.2916666666667</c:v>
                </c:pt>
                <c:pt idx="319">
                  <c:v>1985.375</c:v>
                </c:pt>
                <c:pt idx="320">
                  <c:v>1985.4583333333333</c:v>
                </c:pt>
                <c:pt idx="321">
                  <c:v>1985.5416666666667</c:v>
                </c:pt>
                <c:pt idx="322">
                  <c:v>1985.625</c:v>
                </c:pt>
                <c:pt idx="323">
                  <c:v>1985.7083333333333</c:v>
                </c:pt>
                <c:pt idx="324">
                  <c:v>1985.7916666666667</c:v>
                </c:pt>
                <c:pt idx="325">
                  <c:v>1985.875</c:v>
                </c:pt>
                <c:pt idx="326">
                  <c:v>1985.9583333333333</c:v>
                </c:pt>
                <c:pt idx="327">
                  <c:v>1986.0416666666667</c:v>
                </c:pt>
                <c:pt idx="328">
                  <c:v>1986.125</c:v>
                </c:pt>
                <c:pt idx="329">
                  <c:v>1986.2083333333333</c:v>
                </c:pt>
                <c:pt idx="330">
                  <c:v>1986.2916666666667</c:v>
                </c:pt>
                <c:pt idx="331">
                  <c:v>1986.375</c:v>
                </c:pt>
                <c:pt idx="332">
                  <c:v>1986.4583333333333</c:v>
                </c:pt>
                <c:pt idx="333">
                  <c:v>1986.5416666666667</c:v>
                </c:pt>
                <c:pt idx="334">
                  <c:v>1986.625</c:v>
                </c:pt>
                <c:pt idx="335">
                  <c:v>1986.7083333333333</c:v>
                </c:pt>
                <c:pt idx="336">
                  <c:v>1986.7916666666667</c:v>
                </c:pt>
                <c:pt idx="337">
                  <c:v>1986.875</c:v>
                </c:pt>
                <c:pt idx="338">
                  <c:v>1986.9583333333333</c:v>
                </c:pt>
                <c:pt idx="339">
                  <c:v>1987.0416666666667</c:v>
                </c:pt>
                <c:pt idx="340">
                  <c:v>1987.125</c:v>
                </c:pt>
                <c:pt idx="341">
                  <c:v>1987.2083333333333</c:v>
                </c:pt>
                <c:pt idx="342">
                  <c:v>1987.2916666666667</c:v>
                </c:pt>
                <c:pt idx="343">
                  <c:v>1987.375</c:v>
                </c:pt>
                <c:pt idx="344">
                  <c:v>1987.4583333333333</c:v>
                </c:pt>
                <c:pt idx="345">
                  <c:v>1987.5416666666667</c:v>
                </c:pt>
                <c:pt idx="346">
                  <c:v>1987.625</c:v>
                </c:pt>
                <c:pt idx="347">
                  <c:v>1987.7083333333333</c:v>
                </c:pt>
                <c:pt idx="348">
                  <c:v>1987.7916666666667</c:v>
                </c:pt>
                <c:pt idx="349">
                  <c:v>1987.875</c:v>
                </c:pt>
                <c:pt idx="350">
                  <c:v>1987.9583333333333</c:v>
                </c:pt>
                <c:pt idx="351">
                  <c:v>1988.0416666666667</c:v>
                </c:pt>
                <c:pt idx="352">
                  <c:v>1988.125</c:v>
                </c:pt>
                <c:pt idx="353">
                  <c:v>1988.2083333333333</c:v>
                </c:pt>
                <c:pt idx="354">
                  <c:v>1988.2916666666667</c:v>
                </c:pt>
                <c:pt idx="355">
                  <c:v>1988.375</c:v>
                </c:pt>
                <c:pt idx="356">
                  <c:v>1988.4583333333333</c:v>
                </c:pt>
                <c:pt idx="357">
                  <c:v>1988.5416666666667</c:v>
                </c:pt>
                <c:pt idx="358">
                  <c:v>1988.625</c:v>
                </c:pt>
                <c:pt idx="359">
                  <c:v>1988.7083333333333</c:v>
                </c:pt>
                <c:pt idx="360">
                  <c:v>1988.7916666666667</c:v>
                </c:pt>
                <c:pt idx="361">
                  <c:v>1988.875</c:v>
                </c:pt>
                <c:pt idx="362">
                  <c:v>1988.9583333333333</c:v>
                </c:pt>
                <c:pt idx="363">
                  <c:v>1989.0416666666667</c:v>
                </c:pt>
                <c:pt idx="364">
                  <c:v>1989.125</c:v>
                </c:pt>
                <c:pt idx="365">
                  <c:v>1989.2083333333333</c:v>
                </c:pt>
                <c:pt idx="366">
                  <c:v>1989.2916666666667</c:v>
                </c:pt>
                <c:pt idx="367">
                  <c:v>1989.375</c:v>
                </c:pt>
                <c:pt idx="368">
                  <c:v>1989.4583333333333</c:v>
                </c:pt>
                <c:pt idx="369">
                  <c:v>1989.5416666666667</c:v>
                </c:pt>
                <c:pt idx="370">
                  <c:v>1989.625</c:v>
                </c:pt>
                <c:pt idx="371">
                  <c:v>1989.7083333333333</c:v>
                </c:pt>
                <c:pt idx="372">
                  <c:v>1989.7916666666667</c:v>
                </c:pt>
                <c:pt idx="373">
                  <c:v>1989.875</c:v>
                </c:pt>
                <c:pt idx="374">
                  <c:v>1989.9583333333333</c:v>
                </c:pt>
                <c:pt idx="375">
                  <c:v>1990.0416666666667</c:v>
                </c:pt>
                <c:pt idx="376">
                  <c:v>1990.125</c:v>
                </c:pt>
                <c:pt idx="377">
                  <c:v>1990.2083333333333</c:v>
                </c:pt>
                <c:pt idx="378">
                  <c:v>1990.2916666666667</c:v>
                </c:pt>
                <c:pt idx="379">
                  <c:v>1990.375</c:v>
                </c:pt>
                <c:pt idx="380">
                  <c:v>1990.4583333333333</c:v>
                </c:pt>
                <c:pt idx="381">
                  <c:v>1990.5416666666667</c:v>
                </c:pt>
                <c:pt idx="382">
                  <c:v>1990.625</c:v>
                </c:pt>
                <c:pt idx="383">
                  <c:v>1990.7083333333333</c:v>
                </c:pt>
                <c:pt idx="384">
                  <c:v>1990.7916666666667</c:v>
                </c:pt>
                <c:pt idx="385">
                  <c:v>1990.875</c:v>
                </c:pt>
                <c:pt idx="386">
                  <c:v>1990.9583333333333</c:v>
                </c:pt>
                <c:pt idx="387">
                  <c:v>1991.0416666666667</c:v>
                </c:pt>
                <c:pt idx="388">
                  <c:v>1991.125</c:v>
                </c:pt>
                <c:pt idx="389">
                  <c:v>1991.2083333333333</c:v>
                </c:pt>
                <c:pt idx="390">
                  <c:v>1991.2916666666667</c:v>
                </c:pt>
                <c:pt idx="391">
                  <c:v>1991.375</c:v>
                </c:pt>
                <c:pt idx="392">
                  <c:v>1991.4583333333333</c:v>
                </c:pt>
                <c:pt idx="393">
                  <c:v>1991.5416666666667</c:v>
                </c:pt>
                <c:pt idx="394">
                  <c:v>1991.625</c:v>
                </c:pt>
                <c:pt idx="395">
                  <c:v>1991.7083333333333</c:v>
                </c:pt>
                <c:pt idx="396">
                  <c:v>1991.7916666666667</c:v>
                </c:pt>
                <c:pt idx="397">
                  <c:v>1991.875</c:v>
                </c:pt>
                <c:pt idx="398">
                  <c:v>1991.9583333333333</c:v>
                </c:pt>
                <c:pt idx="399">
                  <c:v>1992.0416666666667</c:v>
                </c:pt>
                <c:pt idx="400">
                  <c:v>1992.125</c:v>
                </c:pt>
                <c:pt idx="401">
                  <c:v>1992.2083333333333</c:v>
                </c:pt>
                <c:pt idx="402">
                  <c:v>1992.2916666666667</c:v>
                </c:pt>
                <c:pt idx="403">
                  <c:v>1992.375</c:v>
                </c:pt>
                <c:pt idx="404">
                  <c:v>1992.4583333333333</c:v>
                </c:pt>
                <c:pt idx="405">
                  <c:v>1992.5416666666667</c:v>
                </c:pt>
                <c:pt idx="406">
                  <c:v>1992.625</c:v>
                </c:pt>
                <c:pt idx="407">
                  <c:v>1992.7083333333333</c:v>
                </c:pt>
                <c:pt idx="408">
                  <c:v>1992.7916666666667</c:v>
                </c:pt>
                <c:pt idx="409">
                  <c:v>1992.875</c:v>
                </c:pt>
                <c:pt idx="410">
                  <c:v>1992.9583333333333</c:v>
                </c:pt>
                <c:pt idx="411">
                  <c:v>1993.0416666666667</c:v>
                </c:pt>
                <c:pt idx="412">
                  <c:v>1993.125</c:v>
                </c:pt>
                <c:pt idx="413">
                  <c:v>1993.2083333333333</c:v>
                </c:pt>
                <c:pt idx="414">
                  <c:v>1993.2916666666667</c:v>
                </c:pt>
                <c:pt idx="415">
                  <c:v>1993.375</c:v>
                </c:pt>
                <c:pt idx="416">
                  <c:v>1993.4583333333333</c:v>
                </c:pt>
                <c:pt idx="417">
                  <c:v>1993.5416666666667</c:v>
                </c:pt>
                <c:pt idx="418">
                  <c:v>1993.625</c:v>
                </c:pt>
                <c:pt idx="419">
                  <c:v>1993.7083333333333</c:v>
                </c:pt>
                <c:pt idx="420">
                  <c:v>1993.7916666666667</c:v>
                </c:pt>
                <c:pt idx="421">
                  <c:v>1993.875</c:v>
                </c:pt>
                <c:pt idx="422">
                  <c:v>1993.9583333333333</c:v>
                </c:pt>
                <c:pt idx="423">
                  <c:v>1994.0416666666667</c:v>
                </c:pt>
                <c:pt idx="424">
                  <c:v>1994.125</c:v>
                </c:pt>
                <c:pt idx="425">
                  <c:v>1994.2083333333333</c:v>
                </c:pt>
                <c:pt idx="426">
                  <c:v>1994.2916666666667</c:v>
                </c:pt>
                <c:pt idx="427">
                  <c:v>1994.375</c:v>
                </c:pt>
                <c:pt idx="428">
                  <c:v>1994.4583333333333</c:v>
                </c:pt>
                <c:pt idx="429">
                  <c:v>1994.5416666666667</c:v>
                </c:pt>
                <c:pt idx="430">
                  <c:v>1994.625</c:v>
                </c:pt>
                <c:pt idx="431">
                  <c:v>1994.7083333333333</c:v>
                </c:pt>
                <c:pt idx="432">
                  <c:v>1994.7916666666667</c:v>
                </c:pt>
                <c:pt idx="433">
                  <c:v>1994.875</c:v>
                </c:pt>
                <c:pt idx="434">
                  <c:v>1994.9583333333333</c:v>
                </c:pt>
                <c:pt idx="435">
                  <c:v>1995.0416666666667</c:v>
                </c:pt>
                <c:pt idx="436">
                  <c:v>1995.125</c:v>
                </c:pt>
                <c:pt idx="437">
                  <c:v>1995.2083333333333</c:v>
                </c:pt>
                <c:pt idx="438">
                  <c:v>1995.2916666666667</c:v>
                </c:pt>
                <c:pt idx="439">
                  <c:v>1995.375</c:v>
                </c:pt>
                <c:pt idx="440">
                  <c:v>1995.4583333333333</c:v>
                </c:pt>
                <c:pt idx="441">
                  <c:v>1995.5416666666667</c:v>
                </c:pt>
                <c:pt idx="442">
                  <c:v>1995.625</c:v>
                </c:pt>
                <c:pt idx="443">
                  <c:v>1995.7083333333333</c:v>
                </c:pt>
                <c:pt idx="444">
                  <c:v>1995.7916666666667</c:v>
                </c:pt>
                <c:pt idx="445">
                  <c:v>1995.875</c:v>
                </c:pt>
                <c:pt idx="446">
                  <c:v>1995.9583333333333</c:v>
                </c:pt>
                <c:pt idx="447">
                  <c:v>1996.0416666666667</c:v>
                </c:pt>
                <c:pt idx="448">
                  <c:v>1996.125</c:v>
                </c:pt>
                <c:pt idx="449">
                  <c:v>1996.2083333333333</c:v>
                </c:pt>
                <c:pt idx="450">
                  <c:v>1996.2916666666667</c:v>
                </c:pt>
                <c:pt idx="451">
                  <c:v>1996.375</c:v>
                </c:pt>
                <c:pt idx="452">
                  <c:v>1996.4583333333333</c:v>
                </c:pt>
                <c:pt idx="453">
                  <c:v>1996.5416666666667</c:v>
                </c:pt>
                <c:pt idx="454">
                  <c:v>1996.625</c:v>
                </c:pt>
                <c:pt idx="455">
                  <c:v>1996.7083333333333</c:v>
                </c:pt>
                <c:pt idx="456">
                  <c:v>1996.7916666666667</c:v>
                </c:pt>
                <c:pt idx="457">
                  <c:v>1996.875</c:v>
                </c:pt>
                <c:pt idx="458">
                  <c:v>1996.9583333333333</c:v>
                </c:pt>
                <c:pt idx="459">
                  <c:v>1997.0416666666667</c:v>
                </c:pt>
                <c:pt idx="460">
                  <c:v>1997.125</c:v>
                </c:pt>
                <c:pt idx="461">
                  <c:v>1997.2083333333333</c:v>
                </c:pt>
                <c:pt idx="462">
                  <c:v>1997.2916666666667</c:v>
                </c:pt>
                <c:pt idx="463">
                  <c:v>1997.375</c:v>
                </c:pt>
                <c:pt idx="464">
                  <c:v>1997.4583333333333</c:v>
                </c:pt>
                <c:pt idx="465">
                  <c:v>1997.5416666666667</c:v>
                </c:pt>
                <c:pt idx="466">
                  <c:v>1997.625</c:v>
                </c:pt>
                <c:pt idx="467">
                  <c:v>1997.7083333333333</c:v>
                </c:pt>
                <c:pt idx="468">
                  <c:v>1997.7916666666667</c:v>
                </c:pt>
                <c:pt idx="469">
                  <c:v>1997.875</c:v>
                </c:pt>
                <c:pt idx="470">
                  <c:v>1997.9583333333333</c:v>
                </c:pt>
                <c:pt idx="471">
                  <c:v>1998.0416666666667</c:v>
                </c:pt>
                <c:pt idx="472">
                  <c:v>1998.125</c:v>
                </c:pt>
                <c:pt idx="473">
                  <c:v>1998.2083333333333</c:v>
                </c:pt>
                <c:pt idx="474">
                  <c:v>1998.2916666666667</c:v>
                </c:pt>
                <c:pt idx="475">
                  <c:v>1998.375</c:v>
                </c:pt>
                <c:pt idx="476">
                  <c:v>1998.4583333333333</c:v>
                </c:pt>
                <c:pt idx="477">
                  <c:v>1998.5416666666667</c:v>
                </c:pt>
                <c:pt idx="478">
                  <c:v>1998.625</c:v>
                </c:pt>
                <c:pt idx="479">
                  <c:v>1998.7083333333333</c:v>
                </c:pt>
                <c:pt idx="480">
                  <c:v>1998.7916666666667</c:v>
                </c:pt>
                <c:pt idx="481">
                  <c:v>1998.875</c:v>
                </c:pt>
                <c:pt idx="482">
                  <c:v>1998.9583333333333</c:v>
                </c:pt>
                <c:pt idx="483">
                  <c:v>1999.0416666666667</c:v>
                </c:pt>
                <c:pt idx="484">
                  <c:v>1999.125</c:v>
                </c:pt>
                <c:pt idx="485">
                  <c:v>1999.2083333333333</c:v>
                </c:pt>
                <c:pt idx="486">
                  <c:v>1999.2916666666667</c:v>
                </c:pt>
                <c:pt idx="487">
                  <c:v>1999.375</c:v>
                </c:pt>
                <c:pt idx="488">
                  <c:v>1999.4583333333333</c:v>
                </c:pt>
                <c:pt idx="489">
                  <c:v>1999.5416666666667</c:v>
                </c:pt>
                <c:pt idx="490">
                  <c:v>1999.625</c:v>
                </c:pt>
                <c:pt idx="491">
                  <c:v>1999.7083333333333</c:v>
                </c:pt>
                <c:pt idx="492">
                  <c:v>1999.7916666666667</c:v>
                </c:pt>
                <c:pt idx="493">
                  <c:v>1999.875</c:v>
                </c:pt>
                <c:pt idx="494">
                  <c:v>1999.9583333333333</c:v>
                </c:pt>
                <c:pt idx="495">
                  <c:v>2000.0416666666667</c:v>
                </c:pt>
                <c:pt idx="496">
                  <c:v>2000.125</c:v>
                </c:pt>
                <c:pt idx="497">
                  <c:v>2000.2083333333333</c:v>
                </c:pt>
                <c:pt idx="498">
                  <c:v>2000.2916666666667</c:v>
                </c:pt>
                <c:pt idx="499">
                  <c:v>2000.375</c:v>
                </c:pt>
                <c:pt idx="500">
                  <c:v>2000.4583333333333</c:v>
                </c:pt>
                <c:pt idx="501">
                  <c:v>2000.5416666666667</c:v>
                </c:pt>
                <c:pt idx="502">
                  <c:v>2000.625</c:v>
                </c:pt>
                <c:pt idx="503">
                  <c:v>2000.7083333333333</c:v>
                </c:pt>
                <c:pt idx="504">
                  <c:v>2000.7916666666667</c:v>
                </c:pt>
                <c:pt idx="505">
                  <c:v>2000.875</c:v>
                </c:pt>
                <c:pt idx="506">
                  <c:v>2000.9583333333333</c:v>
                </c:pt>
                <c:pt idx="507">
                  <c:v>2001.0416666666667</c:v>
                </c:pt>
                <c:pt idx="508">
                  <c:v>2001.125</c:v>
                </c:pt>
                <c:pt idx="509">
                  <c:v>2001.2083333333333</c:v>
                </c:pt>
                <c:pt idx="510">
                  <c:v>2001.2916666666667</c:v>
                </c:pt>
                <c:pt idx="511">
                  <c:v>2001.375</c:v>
                </c:pt>
                <c:pt idx="512">
                  <c:v>2001.4583333333333</c:v>
                </c:pt>
                <c:pt idx="513">
                  <c:v>2001.5416666666667</c:v>
                </c:pt>
                <c:pt idx="514">
                  <c:v>2001.625</c:v>
                </c:pt>
                <c:pt idx="515">
                  <c:v>2001.7083333333333</c:v>
                </c:pt>
                <c:pt idx="516">
                  <c:v>2001.7916666666667</c:v>
                </c:pt>
                <c:pt idx="517">
                  <c:v>2001.875</c:v>
                </c:pt>
                <c:pt idx="518">
                  <c:v>2001.9583333333333</c:v>
                </c:pt>
                <c:pt idx="519">
                  <c:v>2002.0416666666667</c:v>
                </c:pt>
                <c:pt idx="520">
                  <c:v>2002.125</c:v>
                </c:pt>
                <c:pt idx="521">
                  <c:v>2002.2083333333333</c:v>
                </c:pt>
                <c:pt idx="522">
                  <c:v>2002.2916666666667</c:v>
                </c:pt>
                <c:pt idx="523">
                  <c:v>2002.375</c:v>
                </c:pt>
                <c:pt idx="524">
                  <c:v>2002.4583333333333</c:v>
                </c:pt>
                <c:pt idx="525">
                  <c:v>2002.5416666666667</c:v>
                </c:pt>
                <c:pt idx="526">
                  <c:v>2002.625</c:v>
                </c:pt>
                <c:pt idx="527">
                  <c:v>2002.7083333333333</c:v>
                </c:pt>
                <c:pt idx="528">
                  <c:v>2002.7916666666667</c:v>
                </c:pt>
                <c:pt idx="529">
                  <c:v>2002.875</c:v>
                </c:pt>
                <c:pt idx="530">
                  <c:v>2002.9583333333333</c:v>
                </c:pt>
                <c:pt idx="531">
                  <c:v>2003.0416666666667</c:v>
                </c:pt>
                <c:pt idx="532">
                  <c:v>2003.125</c:v>
                </c:pt>
                <c:pt idx="533">
                  <c:v>2003.2083333333333</c:v>
                </c:pt>
                <c:pt idx="534">
                  <c:v>2003.2916666666667</c:v>
                </c:pt>
                <c:pt idx="535">
                  <c:v>2003.375</c:v>
                </c:pt>
                <c:pt idx="536">
                  <c:v>2003.4583333333333</c:v>
                </c:pt>
                <c:pt idx="537">
                  <c:v>2003.5416666666667</c:v>
                </c:pt>
                <c:pt idx="538">
                  <c:v>2003.625</c:v>
                </c:pt>
                <c:pt idx="539">
                  <c:v>2003.7083333333333</c:v>
                </c:pt>
                <c:pt idx="540">
                  <c:v>2003.7916666666667</c:v>
                </c:pt>
                <c:pt idx="541">
                  <c:v>2003.875</c:v>
                </c:pt>
                <c:pt idx="542">
                  <c:v>2003.9583333333333</c:v>
                </c:pt>
                <c:pt idx="543">
                  <c:v>2004.0416666666667</c:v>
                </c:pt>
                <c:pt idx="544">
                  <c:v>2004.125</c:v>
                </c:pt>
                <c:pt idx="545">
                  <c:v>2004.2083333333333</c:v>
                </c:pt>
                <c:pt idx="546">
                  <c:v>2004.2916666666667</c:v>
                </c:pt>
                <c:pt idx="547">
                  <c:v>2004.375</c:v>
                </c:pt>
                <c:pt idx="548">
                  <c:v>2004.4583333333333</c:v>
                </c:pt>
                <c:pt idx="549">
                  <c:v>2004.5416666666667</c:v>
                </c:pt>
                <c:pt idx="550">
                  <c:v>2004.625</c:v>
                </c:pt>
                <c:pt idx="551">
                  <c:v>2004.7083333333333</c:v>
                </c:pt>
                <c:pt idx="552">
                  <c:v>2004.7916666666667</c:v>
                </c:pt>
                <c:pt idx="553">
                  <c:v>2004.875</c:v>
                </c:pt>
                <c:pt idx="554">
                  <c:v>2004.9583333333333</c:v>
                </c:pt>
                <c:pt idx="555">
                  <c:v>2005.0416666666667</c:v>
                </c:pt>
                <c:pt idx="556">
                  <c:v>2005.125</c:v>
                </c:pt>
                <c:pt idx="557">
                  <c:v>2005.2083333333333</c:v>
                </c:pt>
                <c:pt idx="558">
                  <c:v>2005.2916666666667</c:v>
                </c:pt>
                <c:pt idx="559">
                  <c:v>2005.375</c:v>
                </c:pt>
                <c:pt idx="560">
                  <c:v>2005.4583333333333</c:v>
                </c:pt>
                <c:pt idx="561">
                  <c:v>2005.5416666666667</c:v>
                </c:pt>
                <c:pt idx="562">
                  <c:v>2005.625</c:v>
                </c:pt>
                <c:pt idx="563">
                  <c:v>2005.7083333333333</c:v>
                </c:pt>
                <c:pt idx="564">
                  <c:v>2005.7916666666667</c:v>
                </c:pt>
                <c:pt idx="565">
                  <c:v>2005.875</c:v>
                </c:pt>
                <c:pt idx="566">
                  <c:v>2005.9583333333333</c:v>
                </c:pt>
                <c:pt idx="567">
                  <c:v>2006.0416666666667</c:v>
                </c:pt>
                <c:pt idx="568">
                  <c:v>2006.125</c:v>
                </c:pt>
                <c:pt idx="569">
                  <c:v>2006.2083333333333</c:v>
                </c:pt>
                <c:pt idx="570">
                  <c:v>2006.2916666666667</c:v>
                </c:pt>
                <c:pt idx="571">
                  <c:v>2006.375</c:v>
                </c:pt>
                <c:pt idx="572">
                  <c:v>2006.4583333333333</c:v>
                </c:pt>
                <c:pt idx="573">
                  <c:v>2006.5416666666667</c:v>
                </c:pt>
                <c:pt idx="574">
                  <c:v>2006.625</c:v>
                </c:pt>
                <c:pt idx="575">
                  <c:v>2006.7083333333333</c:v>
                </c:pt>
                <c:pt idx="576">
                  <c:v>2006.7916666666667</c:v>
                </c:pt>
                <c:pt idx="577">
                  <c:v>2006.875</c:v>
                </c:pt>
                <c:pt idx="578">
                  <c:v>2006.9583333333333</c:v>
                </c:pt>
                <c:pt idx="579">
                  <c:v>2007.0416666666667</c:v>
                </c:pt>
                <c:pt idx="580">
                  <c:v>2007.125</c:v>
                </c:pt>
                <c:pt idx="581">
                  <c:v>2007.2083333333333</c:v>
                </c:pt>
                <c:pt idx="582">
                  <c:v>2007.2916666666667</c:v>
                </c:pt>
                <c:pt idx="583">
                  <c:v>2007.375</c:v>
                </c:pt>
                <c:pt idx="584">
                  <c:v>2007.4583333333333</c:v>
                </c:pt>
                <c:pt idx="585">
                  <c:v>2007.5416666666667</c:v>
                </c:pt>
                <c:pt idx="586">
                  <c:v>2007.625</c:v>
                </c:pt>
                <c:pt idx="587">
                  <c:v>2007.7083333333333</c:v>
                </c:pt>
                <c:pt idx="588">
                  <c:v>2007.7916666666667</c:v>
                </c:pt>
                <c:pt idx="589">
                  <c:v>2007.875</c:v>
                </c:pt>
                <c:pt idx="590">
                  <c:v>2007.9583333333333</c:v>
                </c:pt>
                <c:pt idx="591">
                  <c:v>2008.0416666666667</c:v>
                </c:pt>
                <c:pt idx="592">
                  <c:v>2008.125</c:v>
                </c:pt>
                <c:pt idx="593">
                  <c:v>2008.2083333333333</c:v>
                </c:pt>
                <c:pt idx="594">
                  <c:v>2008.2916666666667</c:v>
                </c:pt>
                <c:pt idx="595">
                  <c:v>2008.375</c:v>
                </c:pt>
                <c:pt idx="596">
                  <c:v>2008.4583333333333</c:v>
                </c:pt>
                <c:pt idx="597">
                  <c:v>2008.5416666666667</c:v>
                </c:pt>
                <c:pt idx="598">
                  <c:v>2008.625</c:v>
                </c:pt>
                <c:pt idx="599">
                  <c:v>2008.7083333333333</c:v>
                </c:pt>
                <c:pt idx="600">
                  <c:v>2008.7916666666667</c:v>
                </c:pt>
                <c:pt idx="601">
                  <c:v>2008.875</c:v>
                </c:pt>
                <c:pt idx="602">
                  <c:v>2008.9583333333333</c:v>
                </c:pt>
                <c:pt idx="603">
                  <c:v>2009.0416666666667</c:v>
                </c:pt>
                <c:pt idx="604">
                  <c:v>2009.125</c:v>
                </c:pt>
                <c:pt idx="605">
                  <c:v>2009.2083333333333</c:v>
                </c:pt>
                <c:pt idx="606">
                  <c:v>2009.2916666666667</c:v>
                </c:pt>
                <c:pt idx="607">
                  <c:v>2009.375</c:v>
                </c:pt>
                <c:pt idx="608">
                  <c:v>2009.4583333333333</c:v>
                </c:pt>
                <c:pt idx="609">
                  <c:v>2009.5416666666667</c:v>
                </c:pt>
                <c:pt idx="610">
                  <c:v>2009.625</c:v>
                </c:pt>
                <c:pt idx="611">
                  <c:v>2009.7083333333333</c:v>
                </c:pt>
                <c:pt idx="612">
                  <c:v>2009.7916666666667</c:v>
                </c:pt>
                <c:pt idx="613">
                  <c:v>2009.875</c:v>
                </c:pt>
                <c:pt idx="614">
                  <c:v>2009.9583333333333</c:v>
                </c:pt>
                <c:pt idx="615">
                  <c:v>2010.0416666666667</c:v>
                </c:pt>
                <c:pt idx="616">
                  <c:v>2010.125</c:v>
                </c:pt>
                <c:pt idx="617">
                  <c:v>2010.2083333333333</c:v>
                </c:pt>
                <c:pt idx="618">
                  <c:v>2010.2916666666667</c:v>
                </c:pt>
                <c:pt idx="619">
                  <c:v>2010.375</c:v>
                </c:pt>
                <c:pt idx="620">
                  <c:v>2010.4583333333333</c:v>
                </c:pt>
                <c:pt idx="621">
                  <c:v>2010.5416666666667</c:v>
                </c:pt>
                <c:pt idx="622">
                  <c:v>2010.625</c:v>
                </c:pt>
                <c:pt idx="623">
                  <c:v>2010.7083333333333</c:v>
                </c:pt>
                <c:pt idx="624">
                  <c:v>2010.7916666666667</c:v>
                </c:pt>
                <c:pt idx="625">
                  <c:v>2010.875</c:v>
                </c:pt>
                <c:pt idx="626">
                  <c:v>2010.9583333333333</c:v>
                </c:pt>
                <c:pt idx="627">
                  <c:v>2011.0416666666667</c:v>
                </c:pt>
                <c:pt idx="628">
                  <c:v>2011.125</c:v>
                </c:pt>
                <c:pt idx="629">
                  <c:v>2011.2083333333333</c:v>
                </c:pt>
                <c:pt idx="630">
                  <c:v>2011.2916666666667</c:v>
                </c:pt>
                <c:pt idx="631">
                  <c:v>2011.375</c:v>
                </c:pt>
                <c:pt idx="632">
                  <c:v>2011.4583333333333</c:v>
                </c:pt>
                <c:pt idx="633">
                  <c:v>2011.5416666666667</c:v>
                </c:pt>
                <c:pt idx="634">
                  <c:v>2011.625</c:v>
                </c:pt>
                <c:pt idx="635">
                  <c:v>2011.7083333333333</c:v>
                </c:pt>
                <c:pt idx="636">
                  <c:v>2011.7916666666667</c:v>
                </c:pt>
                <c:pt idx="637">
                  <c:v>2011.875</c:v>
                </c:pt>
                <c:pt idx="638">
                  <c:v>2011.9583333333333</c:v>
                </c:pt>
                <c:pt idx="639">
                  <c:v>2012.0416666666667</c:v>
                </c:pt>
                <c:pt idx="640">
                  <c:v>2012.125</c:v>
                </c:pt>
                <c:pt idx="641">
                  <c:v>2012.2083333333333</c:v>
                </c:pt>
                <c:pt idx="642">
                  <c:v>2012.2916666666667</c:v>
                </c:pt>
                <c:pt idx="643">
                  <c:v>2012.375</c:v>
                </c:pt>
                <c:pt idx="644">
                  <c:v>2012.4583333333333</c:v>
                </c:pt>
                <c:pt idx="645">
                  <c:v>2012.5416666666667</c:v>
                </c:pt>
                <c:pt idx="646">
                  <c:v>2012.625</c:v>
                </c:pt>
                <c:pt idx="647">
                  <c:v>2012.7083333333333</c:v>
                </c:pt>
                <c:pt idx="648">
                  <c:v>2012.7916666666667</c:v>
                </c:pt>
                <c:pt idx="649">
                  <c:v>2012.875</c:v>
                </c:pt>
                <c:pt idx="650">
                  <c:v>2012.9583333333333</c:v>
                </c:pt>
                <c:pt idx="651">
                  <c:v>2013.0416666666667</c:v>
                </c:pt>
                <c:pt idx="652">
                  <c:v>2013.125</c:v>
                </c:pt>
                <c:pt idx="653">
                  <c:v>2013.2083333333333</c:v>
                </c:pt>
                <c:pt idx="654">
                  <c:v>2013.2916666666667</c:v>
                </c:pt>
                <c:pt idx="655">
                  <c:v>2013.375</c:v>
                </c:pt>
                <c:pt idx="656">
                  <c:v>2013.4583333333333</c:v>
                </c:pt>
                <c:pt idx="657">
                  <c:v>2013.5416666666667</c:v>
                </c:pt>
                <c:pt idx="658">
                  <c:v>2013.625</c:v>
                </c:pt>
                <c:pt idx="659">
                  <c:v>2013.7083333333333</c:v>
                </c:pt>
                <c:pt idx="660">
                  <c:v>2013.7916666666667</c:v>
                </c:pt>
                <c:pt idx="661">
                  <c:v>2013.875</c:v>
                </c:pt>
                <c:pt idx="662">
                  <c:v>2013.9583333333333</c:v>
                </c:pt>
                <c:pt idx="663">
                  <c:v>2014.0416666666667</c:v>
                </c:pt>
                <c:pt idx="664">
                  <c:v>2014.125</c:v>
                </c:pt>
                <c:pt idx="665">
                  <c:v>2014.2083333333333</c:v>
                </c:pt>
                <c:pt idx="666">
                  <c:v>2014.2916666666667</c:v>
                </c:pt>
                <c:pt idx="667">
                  <c:v>2014.375</c:v>
                </c:pt>
                <c:pt idx="668">
                  <c:v>2014.4583333333333</c:v>
                </c:pt>
                <c:pt idx="669">
                  <c:v>2014.5416666666667</c:v>
                </c:pt>
                <c:pt idx="670">
                  <c:v>2014.625</c:v>
                </c:pt>
                <c:pt idx="671">
                  <c:v>2014.7083333333333</c:v>
                </c:pt>
                <c:pt idx="672">
                  <c:v>2014.7916666666667</c:v>
                </c:pt>
                <c:pt idx="673">
                  <c:v>2014.875</c:v>
                </c:pt>
                <c:pt idx="674">
                  <c:v>2014.9583333333333</c:v>
                </c:pt>
                <c:pt idx="675">
                  <c:v>2015.0416666666667</c:v>
                </c:pt>
                <c:pt idx="676">
                  <c:v>2015.125</c:v>
                </c:pt>
                <c:pt idx="677">
                  <c:v>2015.2083333333333</c:v>
                </c:pt>
                <c:pt idx="678">
                  <c:v>2015.2916666666667</c:v>
                </c:pt>
                <c:pt idx="679">
                  <c:v>2015.375</c:v>
                </c:pt>
                <c:pt idx="680">
                  <c:v>2015.4583333333333</c:v>
                </c:pt>
                <c:pt idx="681">
                  <c:v>2015.5416666666667</c:v>
                </c:pt>
                <c:pt idx="682">
                  <c:v>2015.625</c:v>
                </c:pt>
                <c:pt idx="683">
                  <c:v>2015.7083333333333</c:v>
                </c:pt>
                <c:pt idx="684">
                  <c:v>2015.7916666666667</c:v>
                </c:pt>
                <c:pt idx="685">
                  <c:v>2015.875</c:v>
                </c:pt>
                <c:pt idx="686">
                  <c:v>2015.9583333333333</c:v>
                </c:pt>
                <c:pt idx="687">
                  <c:v>2016.0416666666667</c:v>
                </c:pt>
                <c:pt idx="688">
                  <c:v>2016.125</c:v>
                </c:pt>
                <c:pt idx="689">
                  <c:v>2016.2083333333333</c:v>
                </c:pt>
                <c:pt idx="690">
                  <c:v>2016.2916666666667</c:v>
                </c:pt>
                <c:pt idx="691">
                  <c:v>2016.375</c:v>
                </c:pt>
                <c:pt idx="692">
                  <c:v>2016.4583333333333</c:v>
                </c:pt>
                <c:pt idx="693">
                  <c:v>2016.5416666666667</c:v>
                </c:pt>
                <c:pt idx="694">
                  <c:v>2016.625</c:v>
                </c:pt>
                <c:pt idx="695">
                  <c:v>2016.7083333333333</c:v>
                </c:pt>
                <c:pt idx="696">
                  <c:v>2016.7916666666667</c:v>
                </c:pt>
                <c:pt idx="697">
                  <c:v>2016.875</c:v>
                </c:pt>
                <c:pt idx="698">
                  <c:v>2016.9583333333333</c:v>
                </c:pt>
                <c:pt idx="699">
                  <c:v>2017.0416666666667</c:v>
                </c:pt>
                <c:pt idx="700">
                  <c:v>2017.125</c:v>
                </c:pt>
                <c:pt idx="701">
                  <c:v>2017.2083333333333</c:v>
                </c:pt>
                <c:pt idx="702">
                  <c:v>2017.2916666666667</c:v>
                </c:pt>
                <c:pt idx="703">
                  <c:v>2017.375</c:v>
                </c:pt>
                <c:pt idx="704">
                  <c:v>2017.4583333333333</c:v>
                </c:pt>
                <c:pt idx="705">
                  <c:v>2017.5416666666667</c:v>
                </c:pt>
                <c:pt idx="706">
                  <c:v>2017.625</c:v>
                </c:pt>
                <c:pt idx="707">
                  <c:v>2017.7083333333333</c:v>
                </c:pt>
                <c:pt idx="708">
                  <c:v>2017.7916666666667</c:v>
                </c:pt>
                <c:pt idx="709">
                  <c:v>2017.875</c:v>
                </c:pt>
                <c:pt idx="710">
                  <c:v>2017.9583333333333</c:v>
                </c:pt>
                <c:pt idx="711">
                  <c:v>2018.0416666666667</c:v>
                </c:pt>
                <c:pt idx="712">
                  <c:v>2018.125</c:v>
                </c:pt>
                <c:pt idx="713">
                  <c:v>2018.2083333333333</c:v>
                </c:pt>
                <c:pt idx="714">
                  <c:v>2018.2916666666667</c:v>
                </c:pt>
                <c:pt idx="715">
                  <c:v>2018.375</c:v>
                </c:pt>
                <c:pt idx="716">
                  <c:v>2018.4583333333333</c:v>
                </c:pt>
                <c:pt idx="717">
                  <c:v>2018.5416666666667</c:v>
                </c:pt>
                <c:pt idx="718">
                  <c:v>2018.625</c:v>
                </c:pt>
                <c:pt idx="719">
                  <c:v>2018.7083333333333</c:v>
                </c:pt>
                <c:pt idx="720">
                  <c:v>2018.7916666666667</c:v>
                </c:pt>
                <c:pt idx="721">
                  <c:v>2018.875</c:v>
                </c:pt>
                <c:pt idx="722">
                  <c:v>2018.9583333333333</c:v>
                </c:pt>
                <c:pt idx="723">
                  <c:v>2019.0416666666667</c:v>
                </c:pt>
                <c:pt idx="724">
                  <c:v>2019.125</c:v>
                </c:pt>
                <c:pt idx="725">
                  <c:v>2019.2083333333333</c:v>
                </c:pt>
                <c:pt idx="726">
                  <c:v>2019.2916666666667</c:v>
                </c:pt>
                <c:pt idx="727">
                  <c:v>2019.375</c:v>
                </c:pt>
                <c:pt idx="728">
                  <c:v>2019.4583333333333</c:v>
                </c:pt>
                <c:pt idx="729">
                  <c:v>2019.5416666666667</c:v>
                </c:pt>
                <c:pt idx="730">
                  <c:v>2019.625</c:v>
                </c:pt>
                <c:pt idx="731">
                  <c:v>2019.7083333333333</c:v>
                </c:pt>
                <c:pt idx="732">
                  <c:v>2019.7916666666667</c:v>
                </c:pt>
                <c:pt idx="733">
                  <c:v>2019.875</c:v>
                </c:pt>
                <c:pt idx="734">
                  <c:v>2019.9583333333333</c:v>
                </c:pt>
                <c:pt idx="735">
                  <c:v>2020.0416666666667</c:v>
                </c:pt>
                <c:pt idx="736">
                  <c:v>2020.125</c:v>
                </c:pt>
                <c:pt idx="737">
                  <c:v>2020.2083333333333</c:v>
                </c:pt>
                <c:pt idx="738">
                  <c:v>2020.2916666666667</c:v>
                </c:pt>
                <c:pt idx="739">
                  <c:v>2020.375</c:v>
                </c:pt>
                <c:pt idx="740">
                  <c:v>2020.4583333333333</c:v>
                </c:pt>
                <c:pt idx="741">
                  <c:v>2020.5416666666667</c:v>
                </c:pt>
                <c:pt idx="742">
                  <c:v>2020.625</c:v>
                </c:pt>
                <c:pt idx="743">
                  <c:v>2020.7083333333333</c:v>
                </c:pt>
                <c:pt idx="744">
                  <c:v>2020.7916666666667</c:v>
                </c:pt>
                <c:pt idx="745">
                  <c:v>2020.875</c:v>
                </c:pt>
                <c:pt idx="746">
                  <c:v>2020.9583333333333</c:v>
                </c:pt>
                <c:pt idx="747">
                  <c:v>2021.0416666666667</c:v>
                </c:pt>
                <c:pt idx="748">
                  <c:v>2021.125</c:v>
                </c:pt>
                <c:pt idx="749">
                  <c:v>2021.2083333333333</c:v>
                </c:pt>
                <c:pt idx="750">
                  <c:v>2021.2916666666667</c:v>
                </c:pt>
                <c:pt idx="751">
                  <c:v>2021.375</c:v>
                </c:pt>
                <c:pt idx="752">
                  <c:v>2021.4583333333333</c:v>
                </c:pt>
                <c:pt idx="753">
                  <c:v>2021.5416666666667</c:v>
                </c:pt>
                <c:pt idx="754">
                  <c:v>2021.625</c:v>
                </c:pt>
                <c:pt idx="755">
                  <c:v>2021.7083333333333</c:v>
                </c:pt>
                <c:pt idx="756">
                  <c:v>2021.7916666666667</c:v>
                </c:pt>
                <c:pt idx="757">
                  <c:v>2021.875</c:v>
                </c:pt>
                <c:pt idx="758">
                  <c:v>2021.9583333333333</c:v>
                </c:pt>
                <c:pt idx="759">
                  <c:v>2022.0416666666667</c:v>
                </c:pt>
                <c:pt idx="760">
                  <c:v>2022.125</c:v>
                </c:pt>
                <c:pt idx="761">
                  <c:v>2022.2083333333333</c:v>
                </c:pt>
                <c:pt idx="762">
                  <c:v>2022.2916666666667</c:v>
                </c:pt>
                <c:pt idx="763">
                  <c:v>2022.375</c:v>
                </c:pt>
                <c:pt idx="764">
                  <c:v>2022.4583333333333</c:v>
                </c:pt>
                <c:pt idx="765">
                  <c:v>2022.5416666666667</c:v>
                </c:pt>
                <c:pt idx="766">
                  <c:v>2022.625</c:v>
                </c:pt>
                <c:pt idx="767">
                  <c:v>2022.7083333333333</c:v>
                </c:pt>
                <c:pt idx="768">
                  <c:v>2022.7916666666667</c:v>
                </c:pt>
                <c:pt idx="769">
                  <c:v>2022.875</c:v>
                </c:pt>
                <c:pt idx="770">
                  <c:v>2022.9583333333333</c:v>
                </c:pt>
                <c:pt idx="771">
                  <c:v>2023.0416666666667</c:v>
                </c:pt>
                <c:pt idx="772">
                  <c:v>2023.125</c:v>
                </c:pt>
                <c:pt idx="773">
                  <c:v>2023.2083333333333</c:v>
                </c:pt>
                <c:pt idx="774">
                  <c:v>2023.2916666666667</c:v>
                </c:pt>
                <c:pt idx="775">
                  <c:v>2023.375</c:v>
                </c:pt>
                <c:pt idx="776">
                  <c:v>2023.4583333333333</c:v>
                </c:pt>
                <c:pt idx="777">
                  <c:v>2023.5416666666667</c:v>
                </c:pt>
                <c:pt idx="778">
                  <c:v>2023.625</c:v>
                </c:pt>
                <c:pt idx="779">
                  <c:v>2023.7083333333333</c:v>
                </c:pt>
                <c:pt idx="780">
                  <c:v>2023.7916666666667</c:v>
                </c:pt>
                <c:pt idx="781">
                  <c:v>2023.875</c:v>
                </c:pt>
                <c:pt idx="782">
                  <c:v>2023.9583333333333</c:v>
                </c:pt>
                <c:pt idx="783">
                  <c:v>2024.0416666666667</c:v>
                </c:pt>
                <c:pt idx="784">
                  <c:v>2024.125</c:v>
                </c:pt>
                <c:pt idx="785">
                  <c:v>2024.2083333333333</c:v>
                </c:pt>
                <c:pt idx="786">
                  <c:v>2024.2916666666667</c:v>
                </c:pt>
                <c:pt idx="787">
                  <c:v>2024.375</c:v>
                </c:pt>
                <c:pt idx="788">
                  <c:v>2024.4583333333333</c:v>
                </c:pt>
                <c:pt idx="789">
                  <c:v>2024.5416666666667</c:v>
                </c:pt>
                <c:pt idx="790">
                  <c:v>2024.625</c:v>
                </c:pt>
                <c:pt idx="791">
                  <c:v>2024.7083333333333</c:v>
                </c:pt>
                <c:pt idx="792">
                  <c:v>2024.7916666666667</c:v>
                </c:pt>
                <c:pt idx="793">
                  <c:v>2024.875</c:v>
                </c:pt>
                <c:pt idx="794">
                  <c:v>2024.9583333333333</c:v>
                </c:pt>
                <c:pt idx="795">
                  <c:v>2025.0416666666667</c:v>
                </c:pt>
                <c:pt idx="796">
                  <c:v>2025.125</c:v>
                </c:pt>
                <c:pt idx="797">
                  <c:v>2025.2083333333333</c:v>
                </c:pt>
                <c:pt idx="798">
                  <c:v>2025.2916666666667</c:v>
                </c:pt>
                <c:pt idx="799">
                  <c:v>2025.375</c:v>
                </c:pt>
                <c:pt idx="800">
                  <c:v>2025.4583333333333</c:v>
                </c:pt>
                <c:pt idx="801">
                  <c:v>2025.5416666666667</c:v>
                </c:pt>
                <c:pt idx="802">
                  <c:v>2025.625</c:v>
                </c:pt>
                <c:pt idx="803">
                  <c:v>2025.7083333333333</c:v>
                </c:pt>
                <c:pt idx="804">
                  <c:v>2025.7916666666667</c:v>
                </c:pt>
                <c:pt idx="805">
                  <c:v>2025.875</c:v>
                </c:pt>
                <c:pt idx="806">
                  <c:v>2025.9583333333333</c:v>
                </c:pt>
              </c:numCache>
            </c:numRef>
          </c:xVal>
          <c:yVal>
            <c:numRef>
              <c:f>Kernel!$C$9:$C$815</c:f>
              <c:numCache>
                <c:formatCode>0.00</c:formatCode>
                <c:ptCount val="807"/>
                <c:pt idx="0">
                  <c:v>3.9999999999999147E-2</c:v>
                </c:pt>
                <c:pt idx="1">
                  <c:v>2.0000000000003126E-2</c:v>
                </c:pt>
                <c:pt idx="2">
                  <c:v>1.0000000000001563E-2</c:v>
                </c:pt>
                <c:pt idx="3">
                  <c:v>8.0000000000000071E-2</c:v>
                </c:pt>
                <c:pt idx="4">
                  <c:v>7.0000000000000284E-2</c:v>
                </c:pt>
                <c:pt idx="5">
                  <c:v>0.17999999999999972</c:v>
                </c:pt>
                <c:pt idx="6">
                  <c:v>0.16000000000000014</c:v>
                </c:pt>
                <c:pt idx="7">
                  <c:v>3.9999999999999147E-2</c:v>
                </c:pt>
                <c:pt idx="8">
                  <c:v>2.9999999999997584E-2</c:v>
                </c:pt>
                <c:pt idx="9">
                  <c:v>2.9999999999997584E-2</c:v>
                </c:pt>
                <c:pt idx="10">
                  <c:v>-9.9999999999980105E-3</c:v>
                </c:pt>
                <c:pt idx="11">
                  <c:v>-6.0000000000000497E-2</c:v>
                </c:pt>
                <c:pt idx="12">
                  <c:v>-7.0000000000000284E-2</c:v>
                </c:pt>
                <c:pt idx="13">
                  <c:v>-8.0000000000001847E-2</c:v>
                </c:pt>
                <c:pt idx="14">
                  <c:v>0</c:v>
                </c:pt>
                <c:pt idx="15">
                  <c:v>0</c:v>
                </c:pt>
                <c:pt idx="16">
                  <c:v>0.12999999999999901</c:v>
                </c:pt>
                <c:pt idx="17">
                  <c:v>-0.35000000000000142</c:v>
                </c:pt>
                <c:pt idx="18">
                  <c:v>-0.14999999999999858</c:v>
                </c:pt>
                <c:pt idx="19">
                  <c:v>-8.0000000000001847E-2</c:v>
                </c:pt>
                <c:pt idx="20">
                  <c:v>-3.9999999999999147E-2</c:v>
                </c:pt>
                <c:pt idx="21">
                  <c:v>-3.9999999999999147E-2</c:v>
                </c:pt>
                <c:pt idx="22">
                  <c:v>2.0000000000003126E-2</c:v>
                </c:pt>
                <c:pt idx="23">
                  <c:v>7.0000000000000284E-2</c:v>
                </c:pt>
                <c:pt idx="24">
                  <c:v>5.9999999999998721E-2</c:v>
                </c:pt>
                <c:pt idx="25">
                  <c:v>-0.10999999999999766</c:v>
                </c:pt>
                <c:pt idx="26">
                  <c:v>0.19000000000000128</c:v>
                </c:pt>
                <c:pt idx="27">
                  <c:v>7.0000000000000284E-2</c:v>
                </c:pt>
                <c:pt idx="28">
                  <c:v>0.19000000000000128</c:v>
                </c:pt>
                <c:pt idx="29">
                  <c:v>8.9999999999999858E-2</c:v>
                </c:pt>
                <c:pt idx="30">
                  <c:v>0.12999999999999901</c:v>
                </c:pt>
                <c:pt idx="31">
                  <c:v>0.11999999999999744</c:v>
                </c:pt>
                <c:pt idx="32">
                  <c:v>0.10999999999999766</c:v>
                </c:pt>
                <c:pt idx="33">
                  <c:v>1.0000000000001563E-2</c:v>
                </c:pt>
                <c:pt idx="34">
                  <c:v>1.0000000000001563E-2</c:v>
                </c:pt>
                <c:pt idx="35">
                  <c:v>8.0000000000000071E-2</c:v>
                </c:pt>
                <c:pt idx="36">
                  <c:v>0</c:v>
                </c:pt>
                <c:pt idx="37">
                  <c:v>2.9999999999997584E-2</c:v>
                </c:pt>
                <c:pt idx="38">
                  <c:v>-0.16000000000000014</c:v>
                </c:pt>
                <c:pt idx="39">
                  <c:v>5.0000000000004263E-2</c:v>
                </c:pt>
                <c:pt idx="40">
                  <c:v>0.14999999999999858</c:v>
                </c:pt>
                <c:pt idx="41">
                  <c:v>9.9999999999997868E-2</c:v>
                </c:pt>
                <c:pt idx="42">
                  <c:v>5.0000000000004263E-2</c:v>
                </c:pt>
                <c:pt idx="43">
                  <c:v>-6.0000000000000497E-2</c:v>
                </c:pt>
                <c:pt idx="44">
                  <c:v>2.9999999999997584E-2</c:v>
                </c:pt>
                <c:pt idx="45">
                  <c:v>2.0000000000003126E-2</c:v>
                </c:pt>
                <c:pt idx="46">
                  <c:v>-9.9999999999980105E-3</c:v>
                </c:pt>
                <c:pt idx="47">
                  <c:v>0</c:v>
                </c:pt>
                <c:pt idx="48">
                  <c:v>1.0000000000001563E-2</c:v>
                </c:pt>
                <c:pt idx="49">
                  <c:v>5.9999999999998721E-2</c:v>
                </c:pt>
                <c:pt idx="50">
                  <c:v>-2.9999999999999361E-2</c:v>
                </c:pt>
                <c:pt idx="51">
                  <c:v>-2.9999999999999361E-2</c:v>
                </c:pt>
                <c:pt idx="52">
                  <c:v>0.17999999999999972</c:v>
                </c:pt>
                <c:pt idx="53">
                  <c:v>-0.13999999999999879</c:v>
                </c:pt>
                <c:pt idx="54">
                  <c:v>-7.0000000000000284E-2</c:v>
                </c:pt>
                <c:pt idx="55">
                  <c:v>-6.0000000000000497E-2</c:v>
                </c:pt>
                <c:pt idx="56">
                  <c:v>5.0000000000004263E-2</c:v>
                </c:pt>
                <c:pt idx="57">
                  <c:v>5.9999999999998721E-2</c:v>
                </c:pt>
                <c:pt idx="58">
                  <c:v>0.22000000000000242</c:v>
                </c:pt>
                <c:pt idx="59">
                  <c:v>0.16999999999999993</c:v>
                </c:pt>
                <c:pt idx="60">
                  <c:v>0.14999999999999858</c:v>
                </c:pt>
                <c:pt idx="61">
                  <c:v>0.14999999999999858</c:v>
                </c:pt>
                <c:pt idx="62">
                  <c:v>-2.9999999999999361E-2</c:v>
                </c:pt>
                <c:pt idx="63">
                  <c:v>-9.0000000000001634E-2</c:v>
                </c:pt>
                <c:pt idx="64">
                  <c:v>-0.10000000000000142</c:v>
                </c:pt>
                <c:pt idx="65">
                  <c:v>-0.20999999999999908</c:v>
                </c:pt>
                <c:pt idx="66">
                  <c:v>-0.32000000000000206</c:v>
                </c:pt>
                <c:pt idx="67">
                  <c:v>-0.25</c:v>
                </c:pt>
                <c:pt idx="68">
                  <c:v>-3.9999999999999147E-2</c:v>
                </c:pt>
                <c:pt idx="69">
                  <c:v>-3.9999999999999147E-2</c:v>
                </c:pt>
                <c:pt idx="70">
                  <c:v>-0.21999999999999886</c:v>
                </c:pt>
                <c:pt idx="71">
                  <c:v>-0.30000000000000249</c:v>
                </c:pt>
                <c:pt idx="72">
                  <c:v>-0.31000000000000227</c:v>
                </c:pt>
                <c:pt idx="73">
                  <c:v>-0.20999999999999908</c:v>
                </c:pt>
                <c:pt idx="74">
                  <c:v>-0.30000000000000249</c:v>
                </c:pt>
                <c:pt idx="75">
                  <c:v>-8.0000000000001847E-2</c:v>
                </c:pt>
                <c:pt idx="76">
                  <c:v>-0.16999999999999638</c:v>
                </c:pt>
                <c:pt idx="77">
                  <c:v>-0.13000000000000256</c:v>
                </c:pt>
                <c:pt idx="78">
                  <c:v>-0.18999999999999773</c:v>
                </c:pt>
                <c:pt idx="79">
                  <c:v>-0.11999999999999744</c:v>
                </c:pt>
                <c:pt idx="80">
                  <c:v>-8.0000000000001847E-2</c:v>
                </c:pt>
                <c:pt idx="81">
                  <c:v>-0.13000000000000256</c:v>
                </c:pt>
                <c:pt idx="82">
                  <c:v>-3.9999999999999147E-2</c:v>
                </c:pt>
                <c:pt idx="83">
                  <c:v>-0.14999999999999858</c:v>
                </c:pt>
                <c:pt idx="84">
                  <c:v>-5.0000000000000711E-2</c:v>
                </c:pt>
                <c:pt idx="85">
                  <c:v>-6.0000000000000497E-2</c:v>
                </c:pt>
                <c:pt idx="86">
                  <c:v>-8.0000000000001847E-2</c:v>
                </c:pt>
                <c:pt idx="87">
                  <c:v>-0.18999999999999773</c:v>
                </c:pt>
                <c:pt idx="88">
                  <c:v>-3.9999999999999147E-2</c:v>
                </c:pt>
                <c:pt idx="89">
                  <c:v>2.9999999999997584E-2</c:v>
                </c:pt>
                <c:pt idx="90">
                  <c:v>-0.13000000000000256</c:v>
                </c:pt>
                <c:pt idx="91">
                  <c:v>-0.11999999999999744</c:v>
                </c:pt>
                <c:pt idx="92">
                  <c:v>1.0000000000001563E-2</c:v>
                </c:pt>
                <c:pt idx="93">
                  <c:v>8.0000000000000071E-2</c:v>
                </c:pt>
                <c:pt idx="94">
                  <c:v>-9.0000000000001634E-2</c:v>
                </c:pt>
                <c:pt idx="95">
                  <c:v>-2.9999999999999361E-2</c:v>
                </c:pt>
                <c:pt idx="96">
                  <c:v>-0.16999999999999638</c:v>
                </c:pt>
                <c:pt idx="97">
                  <c:v>-9.9999999999980105E-3</c:v>
                </c:pt>
                <c:pt idx="98">
                  <c:v>-2.9999999999999361E-2</c:v>
                </c:pt>
                <c:pt idx="99">
                  <c:v>-8.0000000000001847E-2</c:v>
                </c:pt>
                <c:pt idx="100">
                  <c:v>-0.20999999999999908</c:v>
                </c:pt>
                <c:pt idx="101">
                  <c:v>5.0000000000004263E-2</c:v>
                </c:pt>
                <c:pt idx="102">
                  <c:v>-5.0000000000000711E-2</c:v>
                </c:pt>
                <c:pt idx="103">
                  <c:v>0.11999999999999744</c:v>
                </c:pt>
                <c:pt idx="104">
                  <c:v>-8.0000000000001847E-2</c:v>
                </c:pt>
                <c:pt idx="105">
                  <c:v>2.0000000000003126E-2</c:v>
                </c:pt>
                <c:pt idx="106">
                  <c:v>1.0000000000001563E-2</c:v>
                </c:pt>
                <c:pt idx="107">
                  <c:v>-6.0000000000000497E-2</c:v>
                </c:pt>
                <c:pt idx="108">
                  <c:v>8.9999999999999858E-2</c:v>
                </c:pt>
                <c:pt idx="109">
                  <c:v>-5.0000000000000711E-2</c:v>
                </c:pt>
                <c:pt idx="110">
                  <c:v>-5.0000000000000711E-2</c:v>
                </c:pt>
                <c:pt idx="111">
                  <c:v>-0.25999999999999979</c:v>
                </c:pt>
                <c:pt idx="112">
                  <c:v>-0.13999999999999879</c:v>
                </c:pt>
                <c:pt idx="113">
                  <c:v>0.20000000000000107</c:v>
                </c:pt>
                <c:pt idx="114">
                  <c:v>-6.0000000000000497E-2</c:v>
                </c:pt>
                <c:pt idx="115">
                  <c:v>-0.13999999999999879</c:v>
                </c:pt>
                <c:pt idx="116">
                  <c:v>-9.0000000000001634E-2</c:v>
                </c:pt>
                <c:pt idx="117">
                  <c:v>-0.13000000000000256</c:v>
                </c:pt>
                <c:pt idx="118">
                  <c:v>-8.0000000000001847E-2</c:v>
                </c:pt>
                <c:pt idx="119">
                  <c:v>-0.18999999999999773</c:v>
                </c:pt>
                <c:pt idx="120">
                  <c:v>8.9999999999999858E-2</c:v>
                </c:pt>
                <c:pt idx="121">
                  <c:v>-5.0000000000000711E-2</c:v>
                </c:pt>
                <c:pt idx="122">
                  <c:v>-0.13999999999999879</c:v>
                </c:pt>
                <c:pt idx="123">
                  <c:v>-0.10999999999999766</c:v>
                </c:pt>
                <c:pt idx="124">
                  <c:v>-0.17999999999999794</c:v>
                </c:pt>
                <c:pt idx="125">
                  <c:v>1.0000000000001563E-2</c:v>
                </c:pt>
                <c:pt idx="126">
                  <c:v>0.16999999999999993</c:v>
                </c:pt>
                <c:pt idx="127">
                  <c:v>0.17999999999999972</c:v>
                </c:pt>
                <c:pt idx="128">
                  <c:v>2.9999999999997584E-2</c:v>
                </c:pt>
                <c:pt idx="129">
                  <c:v>-3.9999999999999147E-2</c:v>
                </c:pt>
                <c:pt idx="130">
                  <c:v>3.9999999999999147E-2</c:v>
                </c:pt>
                <c:pt idx="131">
                  <c:v>8.0000000000000071E-2</c:v>
                </c:pt>
                <c:pt idx="132">
                  <c:v>8.9999999999999858E-2</c:v>
                </c:pt>
                <c:pt idx="133">
                  <c:v>0.11999999999999744</c:v>
                </c:pt>
                <c:pt idx="134">
                  <c:v>0.24000000000000199</c:v>
                </c:pt>
                <c:pt idx="135">
                  <c:v>8.0000000000000071E-2</c:v>
                </c:pt>
                <c:pt idx="136">
                  <c:v>0.22000000000000242</c:v>
                </c:pt>
                <c:pt idx="137">
                  <c:v>5.9999999999998721E-2</c:v>
                </c:pt>
                <c:pt idx="138">
                  <c:v>5.0000000000004263E-2</c:v>
                </c:pt>
                <c:pt idx="139">
                  <c:v>-2.9999999999999361E-2</c:v>
                </c:pt>
                <c:pt idx="140">
                  <c:v>-1.9999999999999574E-2</c:v>
                </c:pt>
                <c:pt idx="141">
                  <c:v>2.0000000000003126E-2</c:v>
                </c:pt>
                <c:pt idx="142">
                  <c:v>-0.10000000000000142</c:v>
                </c:pt>
                <c:pt idx="143">
                  <c:v>0.11999999999999744</c:v>
                </c:pt>
                <c:pt idx="144">
                  <c:v>2.9999999999997584E-2</c:v>
                </c:pt>
                <c:pt idx="145">
                  <c:v>2.0000000000003126E-2</c:v>
                </c:pt>
                <c:pt idx="146">
                  <c:v>-0.11999999999999744</c:v>
                </c:pt>
                <c:pt idx="147">
                  <c:v>-1.9999999999999574E-2</c:v>
                </c:pt>
                <c:pt idx="148">
                  <c:v>-0.14999999999999858</c:v>
                </c:pt>
                <c:pt idx="149">
                  <c:v>-0.17999999999999794</c:v>
                </c:pt>
                <c:pt idx="150">
                  <c:v>-7.0000000000000284E-2</c:v>
                </c:pt>
                <c:pt idx="151">
                  <c:v>-5.0000000000000711E-2</c:v>
                </c:pt>
                <c:pt idx="152">
                  <c:v>-0.16000000000000014</c:v>
                </c:pt>
                <c:pt idx="153">
                  <c:v>-7.0000000000000284E-2</c:v>
                </c:pt>
                <c:pt idx="154">
                  <c:v>-9.9999999999980105E-3</c:v>
                </c:pt>
                <c:pt idx="155">
                  <c:v>-5.0000000000000711E-2</c:v>
                </c:pt>
                <c:pt idx="156">
                  <c:v>-3.9999999999999147E-2</c:v>
                </c:pt>
                <c:pt idx="157">
                  <c:v>-7.0000000000000284E-2</c:v>
                </c:pt>
                <c:pt idx="158">
                  <c:v>-8.0000000000001847E-2</c:v>
                </c:pt>
                <c:pt idx="159">
                  <c:v>-0.21999999999999886</c:v>
                </c:pt>
                <c:pt idx="160">
                  <c:v>-0.17999999999999794</c:v>
                </c:pt>
                <c:pt idx="161">
                  <c:v>2.9999999999997584E-2</c:v>
                </c:pt>
                <c:pt idx="162">
                  <c:v>0</c:v>
                </c:pt>
                <c:pt idx="163">
                  <c:v>-2.9999999999999361E-2</c:v>
                </c:pt>
                <c:pt idx="164">
                  <c:v>3.9999999999999147E-2</c:v>
                </c:pt>
                <c:pt idx="165">
                  <c:v>1.0000000000001563E-2</c:v>
                </c:pt>
                <c:pt idx="166">
                  <c:v>0.16000000000000014</c:v>
                </c:pt>
                <c:pt idx="167">
                  <c:v>2.0000000000003126E-2</c:v>
                </c:pt>
                <c:pt idx="168">
                  <c:v>8.0000000000000071E-2</c:v>
                </c:pt>
                <c:pt idx="169">
                  <c:v>2.0000000000003126E-2</c:v>
                </c:pt>
                <c:pt idx="170">
                  <c:v>0.17999999999999972</c:v>
                </c:pt>
                <c:pt idx="171">
                  <c:v>0.28999999999999559</c:v>
                </c:pt>
                <c:pt idx="172">
                  <c:v>0.32000000000000028</c:v>
                </c:pt>
                <c:pt idx="173">
                  <c:v>0.28999999999999559</c:v>
                </c:pt>
                <c:pt idx="174">
                  <c:v>0.27000000000000135</c:v>
                </c:pt>
                <c:pt idx="175">
                  <c:v>0.2300000000000022</c:v>
                </c:pt>
                <c:pt idx="176">
                  <c:v>0.19000000000000128</c:v>
                </c:pt>
                <c:pt idx="177">
                  <c:v>0.12999999999999901</c:v>
                </c:pt>
                <c:pt idx="178">
                  <c:v>5.0000000000004263E-2</c:v>
                </c:pt>
                <c:pt idx="179">
                  <c:v>8.9999999999999858E-2</c:v>
                </c:pt>
                <c:pt idx="180">
                  <c:v>9.9999999999997868E-2</c:v>
                </c:pt>
                <c:pt idx="181">
                  <c:v>3.9999999999999147E-2</c:v>
                </c:pt>
                <c:pt idx="182">
                  <c:v>-7.0000000000000284E-2</c:v>
                </c:pt>
                <c:pt idx="183">
                  <c:v>-0.10000000000000142</c:v>
                </c:pt>
                <c:pt idx="184">
                  <c:v>-0.27000000000000135</c:v>
                </c:pt>
                <c:pt idx="185">
                  <c:v>-5.0000000000000711E-2</c:v>
                </c:pt>
                <c:pt idx="186">
                  <c:v>-0.11999999999999744</c:v>
                </c:pt>
                <c:pt idx="187">
                  <c:v>-3.9999999999999147E-2</c:v>
                </c:pt>
                <c:pt idx="188">
                  <c:v>-5.0000000000000711E-2</c:v>
                </c:pt>
                <c:pt idx="189">
                  <c:v>-2.9999999999999361E-2</c:v>
                </c:pt>
                <c:pt idx="190">
                  <c:v>9.9999999999997868E-2</c:v>
                </c:pt>
                <c:pt idx="191">
                  <c:v>-8.0000000000001847E-2</c:v>
                </c:pt>
                <c:pt idx="192">
                  <c:v>-6.0000000000000497E-2</c:v>
                </c:pt>
                <c:pt idx="193">
                  <c:v>-8.0000000000001847E-2</c:v>
                </c:pt>
                <c:pt idx="194">
                  <c:v>-8.0000000000001847E-2</c:v>
                </c:pt>
                <c:pt idx="195">
                  <c:v>9.9999999999997868E-2</c:v>
                </c:pt>
                <c:pt idx="196">
                  <c:v>8.0000000000000071E-2</c:v>
                </c:pt>
                <c:pt idx="197">
                  <c:v>0.11999999999999744</c:v>
                </c:pt>
                <c:pt idx="198">
                  <c:v>3.9999999999999147E-2</c:v>
                </c:pt>
                <c:pt idx="199">
                  <c:v>0.16000000000000014</c:v>
                </c:pt>
                <c:pt idx="200">
                  <c:v>-9.9999999999980105E-3</c:v>
                </c:pt>
                <c:pt idx="201">
                  <c:v>-9.9999999999980105E-3</c:v>
                </c:pt>
                <c:pt idx="202">
                  <c:v>-0.16999999999999638</c:v>
                </c:pt>
                <c:pt idx="203">
                  <c:v>-1.9999999999999574E-2</c:v>
                </c:pt>
                <c:pt idx="204">
                  <c:v>-0.10999999999999766</c:v>
                </c:pt>
                <c:pt idx="205">
                  <c:v>-0.16999999999999638</c:v>
                </c:pt>
                <c:pt idx="206">
                  <c:v>-0.16999999999999638</c:v>
                </c:pt>
                <c:pt idx="207">
                  <c:v>-2.9999999999999361E-2</c:v>
                </c:pt>
                <c:pt idx="208">
                  <c:v>-6.0000000000000497E-2</c:v>
                </c:pt>
                <c:pt idx="209">
                  <c:v>-0.21999999999999886</c:v>
                </c:pt>
                <c:pt idx="210">
                  <c:v>-7.0000000000000284E-2</c:v>
                </c:pt>
                <c:pt idx="211">
                  <c:v>-0.19999999999999751</c:v>
                </c:pt>
                <c:pt idx="212">
                  <c:v>-0.11999999999999744</c:v>
                </c:pt>
                <c:pt idx="213">
                  <c:v>-0.10000000000000142</c:v>
                </c:pt>
                <c:pt idx="214">
                  <c:v>-0.11999999999999744</c:v>
                </c:pt>
                <c:pt idx="215">
                  <c:v>-6.0000000000000497E-2</c:v>
                </c:pt>
                <c:pt idx="216">
                  <c:v>-0.24000000000000021</c:v>
                </c:pt>
                <c:pt idx="217">
                  <c:v>-6.0000000000000497E-2</c:v>
                </c:pt>
                <c:pt idx="218">
                  <c:v>0.10999999999999766</c:v>
                </c:pt>
                <c:pt idx="219">
                  <c:v>0.19000000000000128</c:v>
                </c:pt>
                <c:pt idx="220">
                  <c:v>0.2300000000000022</c:v>
                </c:pt>
                <c:pt idx="221">
                  <c:v>0.24000000000000199</c:v>
                </c:pt>
                <c:pt idx="222">
                  <c:v>0.25999999999999979</c:v>
                </c:pt>
                <c:pt idx="223">
                  <c:v>0.32999999999999652</c:v>
                </c:pt>
                <c:pt idx="224">
                  <c:v>0.27000000000000135</c:v>
                </c:pt>
                <c:pt idx="225">
                  <c:v>0.20000000000000107</c:v>
                </c:pt>
                <c:pt idx="226">
                  <c:v>0.17999999999999972</c:v>
                </c:pt>
                <c:pt idx="227">
                  <c:v>2.0000000000003126E-2</c:v>
                </c:pt>
                <c:pt idx="228">
                  <c:v>2.9999999999997584E-2</c:v>
                </c:pt>
                <c:pt idx="229">
                  <c:v>0.16000000000000014</c:v>
                </c:pt>
                <c:pt idx="230">
                  <c:v>2.9999999999997584E-2</c:v>
                </c:pt>
                <c:pt idx="231">
                  <c:v>5.9999999999998721E-2</c:v>
                </c:pt>
                <c:pt idx="232">
                  <c:v>9.9999999999997868E-2</c:v>
                </c:pt>
                <c:pt idx="233">
                  <c:v>0.19000000000000128</c:v>
                </c:pt>
                <c:pt idx="234">
                  <c:v>0.16999999999999993</c:v>
                </c:pt>
                <c:pt idx="235">
                  <c:v>8.9999999999999858E-2</c:v>
                </c:pt>
                <c:pt idx="236">
                  <c:v>-9.9999999999980105E-3</c:v>
                </c:pt>
                <c:pt idx="237">
                  <c:v>3.9999999999999147E-2</c:v>
                </c:pt>
                <c:pt idx="238">
                  <c:v>-0.13999999999999879</c:v>
                </c:pt>
                <c:pt idx="239">
                  <c:v>5.9999999999998721E-2</c:v>
                </c:pt>
                <c:pt idx="240">
                  <c:v>2.9999999999997584E-2</c:v>
                </c:pt>
                <c:pt idx="241">
                  <c:v>0.12999999999999901</c:v>
                </c:pt>
                <c:pt idx="242">
                  <c:v>8.0000000000000071E-2</c:v>
                </c:pt>
                <c:pt idx="243">
                  <c:v>8.9999999999999858E-2</c:v>
                </c:pt>
                <c:pt idx="244">
                  <c:v>-0.10000000000000142</c:v>
                </c:pt>
                <c:pt idx="245">
                  <c:v>0.19000000000000128</c:v>
                </c:pt>
                <c:pt idx="246">
                  <c:v>0.14999999999999858</c:v>
                </c:pt>
                <c:pt idx="247">
                  <c:v>2.9999999999997584E-2</c:v>
                </c:pt>
                <c:pt idx="248">
                  <c:v>0.13999999999999879</c:v>
                </c:pt>
                <c:pt idx="249">
                  <c:v>3.9999999999999147E-2</c:v>
                </c:pt>
                <c:pt idx="250">
                  <c:v>0.16999999999999993</c:v>
                </c:pt>
                <c:pt idx="251">
                  <c:v>0.25000000000000355</c:v>
                </c:pt>
                <c:pt idx="252">
                  <c:v>0.25999999999999979</c:v>
                </c:pt>
                <c:pt idx="253">
                  <c:v>0.28000000000000114</c:v>
                </c:pt>
                <c:pt idx="254">
                  <c:v>0.47000000000000242</c:v>
                </c:pt>
                <c:pt idx="255">
                  <c:v>0.30000000000000249</c:v>
                </c:pt>
                <c:pt idx="256">
                  <c:v>0.38999999999999879</c:v>
                </c:pt>
                <c:pt idx="257">
                  <c:v>0.28999999999999559</c:v>
                </c:pt>
                <c:pt idx="258">
                  <c:v>0.30000000000000249</c:v>
                </c:pt>
                <c:pt idx="259">
                  <c:v>0.34999999999999787</c:v>
                </c:pt>
                <c:pt idx="260">
                  <c:v>0.20000000000000107</c:v>
                </c:pt>
                <c:pt idx="261">
                  <c:v>0.22000000000000242</c:v>
                </c:pt>
                <c:pt idx="262">
                  <c:v>0.17999999999999972</c:v>
                </c:pt>
                <c:pt idx="263">
                  <c:v>0.20000000000000107</c:v>
                </c:pt>
                <c:pt idx="264">
                  <c:v>0.12999999999999901</c:v>
                </c:pt>
                <c:pt idx="265">
                  <c:v>0.30000000000000249</c:v>
                </c:pt>
                <c:pt idx="266">
                  <c:v>0.21000000000000085</c:v>
                </c:pt>
                <c:pt idx="267">
                  <c:v>0.52999999999999758</c:v>
                </c:pt>
                <c:pt idx="268">
                  <c:v>0.42000000000000348</c:v>
                </c:pt>
                <c:pt idx="269">
                  <c:v>0.47999999999999865</c:v>
                </c:pt>
                <c:pt idx="270">
                  <c:v>0.32000000000000028</c:v>
                </c:pt>
                <c:pt idx="271">
                  <c:v>0.25000000000000355</c:v>
                </c:pt>
                <c:pt idx="272">
                  <c:v>0.28999999999999559</c:v>
                </c:pt>
                <c:pt idx="273">
                  <c:v>0.32999999999999652</c:v>
                </c:pt>
                <c:pt idx="274">
                  <c:v>0.34999999999999787</c:v>
                </c:pt>
                <c:pt idx="275">
                  <c:v>0.14999999999999858</c:v>
                </c:pt>
                <c:pt idx="276">
                  <c:v>0.11999999999999744</c:v>
                </c:pt>
                <c:pt idx="277">
                  <c:v>0.2300000000000022</c:v>
                </c:pt>
                <c:pt idx="278">
                  <c:v>0.41000000000000014</c:v>
                </c:pt>
                <c:pt idx="279">
                  <c:v>5.0000000000004263E-2</c:v>
                </c:pt>
                <c:pt idx="280">
                  <c:v>0.14999999999999858</c:v>
                </c:pt>
                <c:pt idx="281">
                  <c:v>2.9999999999997584E-2</c:v>
                </c:pt>
                <c:pt idx="282">
                  <c:v>0.14999999999999858</c:v>
                </c:pt>
                <c:pt idx="283">
                  <c:v>0.17999999999999972</c:v>
                </c:pt>
                <c:pt idx="284">
                  <c:v>5.9999999999998721E-2</c:v>
                </c:pt>
                <c:pt idx="285">
                  <c:v>0.13999999999999879</c:v>
                </c:pt>
                <c:pt idx="286">
                  <c:v>2.9999999999997584E-2</c:v>
                </c:pt>
                <c:pt idx="287">
                  <c:v>0.13999999999999879</c:v>
                </c:pt>
                <c:pt idx="288">
                  <c:v>0.12999999999999901</c:v>
                </c:pt>
                <c:pt idx="289">
                  <c:v>0.17999999999999972</c:v>
                </c:pt>
                <c:pt idx="290">
                  <c:v>0.42999999999999972</c:v>
                </c:pt>
                <c:pt idx="291">
                  <c:v>0.52999999999999758</c:v>
                </c:pt>
                <c:pt idx="292">
                  <c:v>0.42999999999999972</c:v>
                </c:pt>
                <c:pt idx="293">
                  <c:v>0.42000000000000348</c:v>
                </c:pt>
                <c:pt idx="294">
                  <c:v>0.28000000000000114</c:v>
                </c:pt>
                <c:pt idx="295">
                  <c:v>0.33999999999999986</c:v>
                </c:pt>
                <c:pt idx="296">
                  <c:v>0.2300000000000022</c:v>
                </c:pt>
                <c:pt idx="297">
                  <c:v>0.17999999999999972</c:v>
                </c:pt>
                <c:pt idx="298">
                  <c:v>0.36000000000000121</c:v>
                </c:pt>
                <c:pt idx="299">
                  <c:v>0.36999999999999744</c:v>
                </c:pt>
                <c:pt idx="300">
                  <c:v>0.16999999999999993</c:v>
                </c:pt>
                <c:pt idx="301">
                  <c:v>0.30000000000000249</c:v>
                </c:pt>
                <c:pt idx="302">
                  <c:v>0.16999999999999993</c:v>
                </c:pt>
                <c:pt idx="303">
                  <c:v>0.31000000000000227</c:v>
                </c:pt>
                <c:pt idx="304">
                  <c:v>0.13999999999999879</c:v>
                </c:pt>
                <c:pt idx="305">
                  <c:v>0.25999999999999979</c:v>
                </c:pt>
                <c:pt idx="306">
                  <c:v>5.9999999999998721E-2</c:v>
                </c:pt>
                <c:pt idx="307">
                  <c:v>0.32999999999999652</c:v>
                </c:pt>
                <c:pt idx="308">
                  <c:v>2.0000000000003126E-2</c:v>
                </c:pt>
                <c:pt idx="309">
                  <c:v>0.19000000000000128</c:v>
                </c:pt>
                <c:pt idx="310">
                  <c:v>0.19000000000000128</c:v>
                </c:pt>
                <c:pt idx="311">
                  <c:v>0.21000000000000085</c:v>
                </c:pt>
                <c:pt idx="312">
                  <c:v>0.12999999999999901</c:v>
                </c:pt>
                <c:pt idx="313">
                  <c:v>5.9999999999998721E-2</c:v>
                </c:pt>
                <c:pt idx="314">
                  <c:v>-3.9999999999999147E-2</c:v>
                </c:pt>
                <c:pt idx="315">
                  <c:v>0.22000000000000242</c:v>
                </c:pt>
                <c:pt idx="316">
                  <c:v>-3.9999999999999147E-2</c:v>
                </c:pt>
                <c:pt idx="317">
                  <c:v>0.16999999999999993</c:v>
                </c:pt>
                <c:pt idx="318">
                  <c:v>0.11999999999999744</c:v>
                </c:pt>
                <c:pt idx="319">
                  <c:v>0.14999999999999858</c:v>
                </c:pt>
                <c:pt idx="320">
                  <c:v>0.14999999999999858</c:v>
                </c:pt>
                <c:pt idx="321">
                  <c:v>3.9999999999999147E-2</c:v>
                </c:pt>
                <c:pt idx="322">
                  <c:v>0.16999999999999993</c:v>
                </c:pt>
                <c:pt idx="323">
                  <c:v>0.12999999999999901</c:v>
                </c:pt>
                <c:pt idx="324">
                  <c:v>0.11999999999999744</c:v>
                </c:pt>
                <c:pt idx="325">
                  <c:v>5.0000000000004263E-2</c:v>
                </c:pt>
                <c:pt idx="326">
                  <c:v>0.13999999999999879</c:v>
                </c:pt>
                <c:pt idx="327">
                  <c:v>0.25999999999999979</c:v>
                </c:pt>
                <c:pt idx="328">
                  <c:v>0.36999999999999744</c:v>
                </c:pt>
                <c:pt idx="329">
                  <c:v>0.30000000000000249</c:v>
                </c:pt>
                <c:pt idx="330">
                  <c:v>0.22000000000000242</c:v>
                </c:pt>
                <c:pt idx="331">
                  <c:v>0.21000000000000085</c:v>
                </c:pt>
                <c:pt idx="332">
                  <c:v>0.11999999999999744</c:v>
                </c:pt>
                <c:pt idx="333">
                  <c:v>0.10999999999999766</c:v>
                </c:pt>
                <c:pt idx="334">
                  <c:v>0.16000000000000014</c:v>
                </c:pt>
                <c:pt idx="335">
                  <c:v>2.9999999999997584E-2</c:v>
                </c:pt>
                <c:pt idx="336">
                  <c:v>0.14999999999999858</c:v>
                </c:pt>
                <c:pt idx="337">
                  <c:v>9.9999999999997868E-2</c:v>
                </c:pt>
                <c:pt idx="338">
                  <c:v>0.12999999999999901</c:v>
                </c:pt>
                <c:pt idx="339">
                  <c:v>0.32000000000000028</c:v>
                </c:pt>
                <c:pt idx="340">
                  <c:v>0.42999999999999972</c:v>
                </c:pt>
                <c:pt idx="341">
                  <c:v>0.17999999999999972</c:v>
                </c:pt>
                <c:pt idx="342">
                  <c:v>0.24000000000000199</c:v>
                </c:pt>
                <c:pt idx="343">
                  <c:v>0.25999999999999979</c:v>
                </c:pt>
                <c:pt idx="344">
                  <c:v>0.34999999999999787</c:v>
                </c:pt>
                <c:pt idx="345">
                  <c:v>0.40000000000000213</c:v>
                </c:pt>
                <c:pt idx="346">
                  <c:v>0.25000000000000355</c:v>
                </c:pt>
                <c:pt idx="347">
                  <c:v>0.34999999999999787</c:v>
                </c:pt>
                <c:pt idx="348">
                  <c:v>0.32999999999999652</c:v>
                </c:pt>
                <c:pt idx="349">
                  <c:v>0.28999999999999559</c:v>
                </c:pt>
                <c:pt idx="350">
                  <c:v>0.46000000000000441</c:v>
                </c:pt>
                <c:pt idx="351">
                  <c:v>0.57000000000000028</c:v>
                </c:pt>
                <c:pt idx="352">
                  <c:v>0.44000000000000483</c:v>
                </c:pt>
                <c:pt idx="353">
                  <c:v>0.5199999999999978</c:v>
                </c:pt>
                <c:pt idx="354">
                  <c:v>0.42999999999999972</c:v>
                </c:pt>
                <c:pt idx="355">
                  <c:v>0.44000000000000483</c:v>
                </c:pt>
                <c:pt idx="356">
                  <c:v>0.40000000000000213</c:v>
                </c:pt>
                <c:pt idx="357">
                  <c:v>0.32999999999999652</c:v>
                </c:pt>
                <c:pt idx="358">
                  <c:v>0.38999999999999879</c:v>
                </c:pt>
                <c:pt idx="359">
                  <c:v>0.36999999999999744</c:v>
                </c:pt>
                <c:pt idx="360">
                  <c:v>0.38000000000000256</c:v>
                </c:pt>
                <c:pt idx="361">
                  <c:v>0.11999999999999744</c:v>
                </c:pt>
                <c:pt idx="362">
                  <c:v>0.28999999999999559</c:v>
                </c:pt>
                <c:pt idx="363">
                  <c:v>0.11999999999999744</c:v>
                </c:pt>
                <c:pt idx="364">
                  <c:v>0.30000000000000249</c:v>
                </c:pt>
                <c:pt idx="365">
                  <c:v>0.36000000000000121</c:v>
                </c:pt>
                <c:pt idx="366">
                  <c:v>0.28999999999999559</c:v>
                </c:pt>
                <c:pt idx="367">
                  <c:v>0.17999999999999972</c:v>
                </c:pt>
                <c:pt idx="368">
                  <c:v>0.14999999999999858</c:v>
                </c:pt>
                <c:pt idx="369">
                  <c:v>0.34999999999999787</c:v>
                </c:pt>
                <c:pt idx="370">
                  <c:v>0.32999999999999652</c:v>
                </c:pt>
                <c:pt idx="371">
                  <c:v>0.34999999999999787</c:v>
                </c:pt>
                <c:pt idx="372">
                  <c:v>0.28999999999999559</c:v>
                </c:pt>
                <c:pt idx="373">
                  <c:v>0.20000000000000107</c:v>
                </c:pt>
                <c:pt idx="374">
                  <c:v>0.36999999999999744</c:v>
                </c:pt>
                <c:pt idx="375">
                  <c:v>0.42000000000000348</c:v>
                </c:pt>
                <c:pt idx="376">
                  <c:v>0.44000000000000483</c:v>
                </c:pt>
                <c:pt idx="377">
                  <c:v>0.79999999999999893</c:v>
                </c:pt>
                <c:pt idx="378">
                  <c:v>0.55999999999999872</c:v>
                </c:pt>
                <c:pt idx="379">
                  <c:v>0.46000000000000441</c:v>
                </c:pt>
                <c:pt idx="380">
                  <c:v>0.36999999999999744</c:v>
                </c:pt>
                <c:pt idx="381">
                  <c:v>0.46000000000000441</c:v>
                </c:pt>
                <c:pt idx="382">
                  <c:v>0.33999999999999986</c:v>
                </c:pt>
                <c:pt idx="383">
                  <c:v>0.2300000000000022</c:v>
                </c:pt>
                <c:pt idx="384">
                  <c:v>0.44999999999999751</c:v>
                </c:pt>
                <c:pt idx="385">
                  <c:v>0.46000000000000441</c:v>
                </c:pt>
                <c:pt idx="386">
                  <c:v>0.40000000000000213</c:v>
                </c:pt>
                <c:pt idx="387">
                  <c:v>0.42999999999999972</c:v>
                </c:pt>
                <c:pt idx="388">
                  <c:v>0.5</c:v>
                </c:pt>
                <c:pt idx="389">
                  <c:v>0.36000000000000121</c:v>
                </c:pt>
                <c:pt idx="390">
                  <c:v>0.50999999999999801</c:v>
                </c:pt>
                <c:pt idx="391">
                  <c:v>0.33999999999999986</c:v>
                </c:pt>
                <c:pt idx="392">
                  <c:v>0.52999999999999758</c:v>
                </c:pt>
                <c:pt idx="393">
                  <c:v>0.47999999999999865</c:v>
                </c:pt>
                <c:pt idx="394">
                  <c:v>0.38999999999999879</c:v>
                </c:pt>
                <c:pt idx="395">
                  <c:v>0.44000000000000483</c:v>
                </c:pt>
                <c:pt idx="396">
                  <c:v>0.28999999999999559</c:v>
                </c:pt>
                <c:pt idx="397">
                  <c:v>0.30000000000000249</c:v>
                </c:pt>
                <c:pt idx="398">
                  <c:v>0.32000000000000028</c:v>
                </c:pt>
                <c:pt idx="399">
                  <c:v>0.47999999999999865</c:v>
                </c:pt>
                <c:pt idx="400">
                  <c:v>0.40000000000000213</c:v>
                </c:pt>
                <c:pt idx="401">
                  <c:v>0.47999999999999865</c:v>
                </c:pt>
                <c:pt idx="402">
                  <c:v>0.28000000000000114</c:v>
                </c:pt>
                <c:pt idx="403">
                  <c:v>0.31000000000000227</c:v>
                </c:pt>
                <c:pt idx="404">
                  <c:v>0.25999999999999979</c:v>
                </c:pt>
                <c:pt idx="405">
                  <c:v>8.9999999999999858E-2</c:v>
                </c:pt>
                <c:pt idx="406">
                  <c:v>8.0000000000000071E-2</c:v>
                </c:pt>
                <c:pt idx="407">
                  <c:v>-9.9999999999980105E-3</c:v>
                </c:pt>
                <c:pt idx="408">
                  <c:v>7.0000000000000284E-2</c:v>
                </c:pt>
                <c:pt idx="409">
                  <c:v>2.9999999999997584E-2</c:v>
                </c:pt>
                <c:pt idx="410">
                  <c:v>0.22000000000000242</c:v>
                </c:pt>
                <c:pt idx="411">
                  <c:v>0.34999999999999787</c:v>
                </c:pt>
                <c:pt idx="412">
                  <c:v>0.36999999999999744</c:v>
                </c:pt>
                <c:pt idx="413">
                  <c:v>0.36000000000000121</c:v>
                </c:pt>
                <c:pt idx="414">
                  <c:v>0.28000000000000114</c:v>
                </c:pt>
                <c:pt idx="415">
                  <c:v>0.28000000000000114</c:v>
                </c:pt>
                <c:pt idx="416">
                  <c:v>0.2300000000000022</c:v>
                </c:pt>
                <c:pt idx="417">
                  <c:v>0.25000000000000355</c:v>
                </c:pt>
                <c:pt idx="418">
                  <c:v>0.10999999999999766</c:v>
                </c:pt>
                <c:pt idx="419">
                  <c:v>0.10999999999999766</c:v>
                </c:pt>
                <c:pt idx="420">
                  <c:v>0.24000000000000199</c:v>
                </c:pt>
                <c:pt idx="421">
                  <c:v>3.9999999999999147E-2</c:v>
                </c:pt>
                <c:pt idx="422">
                  <c:v>0.17999999999999972</c:v>
                </c:pt>
                <c:pt idx="423">
                  <c:v>0.25999999999999979</c:v>
                </c:pt>
                <c:pt idx="424">
                  <c:v>2.0000000000003126E-2</c:v>
                </c:pt>
                <c:pt idx="425">
                  <c:v>0.28999999999999559</c:v>
                </c:pt>
                <c:pt idx="426">
                  <c:v>0.41000000000000014</c:v>
                </c:pt>
                <c:pt idx="427">
                  <c:v>0.28000000000000114</c:v>
                </c:pt>
                <c:pt idx="428">
                  <c:v>0.42999999999999972</c:v>
                </c:pt>
                <c:pt idx="429">
                  <c:v>0.30000000000000249</c:v>
                </c:pt>
                <c:pt idx="430">
                  <c:v>0.22000000000000242</c:v>
                </c:pt>
                <c:pt idx="431">
                  <c:v>0.31000000000000227</c:v>
                </c:pt>
                <c:pt idx="432">
                  <c:v>0.42999999999999972</c:v>
                </c:pt>
                <c:pt idx="433">
                  <c:v>0.44999999999999751</c:v>
                </c:pt>
                <c:pt idx="434">
                  <c:v>0.38999999999999879</c:v>
                </c:pt>
                <c:pt idx="435">
                  <c:v>0.52999999999999758</c:v>
                </c:pt>
                <c:pt idx="436">
                  <c:v>0.79000000000000092</c:v>
                </c:pt>
                <c:pt idx="437">
                  <c:v>0.47000000000000242</c:v>
                </c:pt>
                <c:pt idx="438">
                  <c:v>0.47000000000000242</c:v>
                </c:pt>
                <c:pt idx="439">
                  <c:v>0.27000000000000135</c:v>
                </c:pt>
                <c:pt idx="440">
                  <c:v>0.42999999999999972</c:v>
                </c:pt>
                <c:pt idx="441">
                  <c:v>0.46000000000000441</c:v>
                </c:pt>
                <c:pt idx="442">
                  <c:v>0.44999999999999751</c:v>
                </c:pt>
                <c:pt idx="443">
                  <c:v>0.32999999999999652</c:v>
                </c:pt>
                <c:pt idx="444">
                  <c:v>0.46000000000000441</c:v>
                </c:pt>
                <c:pt idx="445">
                  <c:v>0.44999999999999751</c:v>
                </c:pt>
                <c:pt idx="446">
                  <c:v>0.25999999999999979</c:v>
                </c:pt>
                <c:pt idx="447">
                  <c:v>0.24000000000000199</c:v>
                </c:pt>
                <c:pt idx="448">
                  <c:v>0.46000000000000441</c:v>
                </c:pt>
                <c:pt idx="449">
                  <c:v>0.32999999999999652</c:v>
                </c:pt>
                <c:pt idx="450">
                  <c:v>0.32999999999999652</c:v>
                </c:pt>
                <c:pt idx="451">
                  <c:v>0.27000000000000135</c:v>
                </c:pt>
                <c:pt idx="452">
                  <c:v>0.25999999999999979</c:v>
                </c:pt>
                <c:pt idx="453">
                  <c:v>0.36999999999999744</c:v>
                </c:pt>
                <c:pt idx="454">
                  <c:v>0.47999999999999865</c:v>
                </c:pt>
                <c:pt idx="455">
                  <c:v>0.25999999999999979</c:v>
                </c:pt>
                <c:pt idx="456">
                  <c:v>0.22000000000000242</c:v>
                </c:pt>
                <c:pt idx="457">
                  <c:v>0.42000000000000348</c:v>
                </c:pt>
                <c:pt idx="458">
                  <c:v>0.36999999999999744</c:v>
                </c:pt>
                <c:pt idx="459">
                  <c:v>0.32000000000000028</c:v>
                </c:pt>
                <c:pt idx="460">
                  <c:v>0.41000000000000014</c:v>
                </c:pt>
                <c:pt idx="461">
                  <c:v>0.5199999999999978</c:v>
                </c:pt>
                <c:pt idx="462">
                  <c:v>0.33999999999999986</c:v>
                </c:pt>
                <c:pt idx="463">
                  <c:v>0.34999999999999787</c:v>
                </c:pt>
                <c:pt idx="464">
                  <c:v>0.54999999999999893</c:v>
                </c:pt>
                <c:pt idx="465">
                  <c:v>0.33999999999999986</c:v>
                </c:pt>
                <c:pt idx="466">
                  <c:v>0.41000000000000014</c:v>
                </c:pt>
                <c:pt idx="467">
                  <c:v>0.5199999999999978</c:v>
                </c:pt>
                <c:pt idx="468">
                  <c:v>0.61000000000000121</c:v>
                </c:pt>
                <c:pt idx="469">
                  <c:v>0.65000000000000213</c:v>
                </c:pt>
                <c:pt idx="470">
                  <c:v>0.58999999999999986</c:v>
                </c:pt>
                <c:pt idx="471">
                  <c:v>0.58000000000000007</c:v>
                </c:pt>
                <c:pt idx="472">
                  <c:v>0.88000000000000256</c:v>
                </c:pt>
                <c:pt idx="473">
                  <c:v>0.63000000000000256</c:v>
                </c:pt>
                <c:pt idx="474">
                  <c:v>0.64000000000000234</c:v>
                </c:pt>
                <c:pt idx="475">
                  <c:v>0.67999999999999972</c:v>
                </c:pt>
                <c:pt idx="476">
                  <c:v>0.77000000000000135</c:v>
                </c:pt>
                <c:pt idx="477">
                  <c:v>0.66000000000000369</c:v>
                </c:pt>
                <c:pt idx="478">
                  <c:v>0.65000000000000213</c:v>
                </c:pt>
                <c:pt idx="479">
                  <c:v>0.42000000000000348</c:v>
                </c:pt>
                <c:pt idx="480">
                  <c:v>0.42000000000000348</c:v>
                </c:pt>
                <c:pt idx="481">
                  <c:v>0.42999999999999972</c:v>
                </c:pt>
                <c:pt idx="482">
                  <c:v>0.54999999999999893</c:v>
                </c:pt>
                <c:pt idx="483">
                  <c:v>0.47999999999999865</c:v>
                </c:pt>
                <c:pt idx="484">
                  <c:v>0.64000000000000234</c:v>
                </c:pt>
                <c:pt idx="485">
                  <c:v>0.32999999999999652</c:v>
                </c:pt>
                <c:pt idx="486">
                  <c:v>0.32000000000000028</c:v>
                </c:pt>
                <c:pt idx="487">
                  <c:v>0.25999999999999979</c:v>
                </c:pt>
                <c:pt idx="488">
                  <c:v>0.36000000000000121</c:v>
                </c:pt>
                <c:pt idx="489">
                  <c:v>0.38999999999999879</c:v>
                </c:pt>
                <c:pt idx="490">
                  <c:v>0.31000000000000227</c:v>
                </c:pt>
                <c:pt idx="491">
                  <c:v>0.38999999999999879</c:v>
                </c:pt>
                <c:pt idx="492">
                  <c:v>0.33999999999999986</c:v>
                </c:pt>
                <c:pt idx="493">
                  <c:v>0.36999999999999744</c:v>
                </c:pt>
                <c:pt idx="494">
                  <c:v>0.40000000000000213</c:v>
                </c:pt>
                <c:pt idx="495">
                  <c:v>0.25000000000000355</c:v>
                </c:pt>
                <c:pt idx="496">
                  <c:v>0.55999999999999872</c:v>
                </c:pt>
                <c:pt idx="497">
                  <c:v>0.54999999999999893</c:v>
                </c:pt>
                <c:pt idx="498">
                  <c:v>0.55999999999999872</c:v>
                </c:pt>
                <c:pt idx="499">
                  <c:v>0.34999999999999787</c:v>
                </c:pt>
                <c:pt idx="500">
                  <c:v>0.40000000000000213</c:v>
                </c:pt>
                <c:pt idx="501">
                  <c:v>0.38999999999999879</c:v>
                </c:pt>
                <c:pt idx="502">
                  <c:v>0.42000000000000348</c:v>
                </c:pt>
                <c:pt idx="503">
                  <c:v>0.38999999999999879</c:v>
                </c:pt>
                <c:pt idx="504">
                  <c:v>0.27000000000000135</c:v>
                </c:pt>
                <c:pt idx="505">
                  <c:v>0.30000000000000249</c:v>
                </c:pt>
                <c:pt idx="506">
                  <c:v>0.28000000000000114</c:v>
                </c:pt>
                <c:pt idx="507">
                  <c:v>0.44999999999999751</c:v>
                </c:pt>
                <c:pt idx="508">
                  <c:v>0.44000000000000483</c:v>
                </c:pt>
                <c:pt idx="509">
                  <c:v>0.54999999999999893</c:v>
                </c:pt>
                <c:pt idx="510">
                  <c:v>0.5</c:v>
                </c:pt>
                <c:pt idx="511">
                  <c:v>0.57000000000000028</c:v>
                </c:pt>
                <c:pt idx="512">
                  <c:v>0.52999999999999758</c:v>
                </c:pt>
                <c:pt idx="513">
                  <c:v>0.58999999999999986</c:v>
                </c:pt>
                <c:pt idx="514">
                  <c:v>0.47999999999999865</c:v>
                </c:pt>
                <c:pt idx="515">
                  <c:v>0.5199999999999978</c:v>
                </c:pt>
                <c:pt idx="516">
                  <c:v>0.5</c:v>
                </c:pt>
                <c:pt idx="517">
                  <c:v>0.72000000000000242</c:v>
                </c:pt>
                <c:pt idx="518">
                  <c:v>0.54999999999999893</c:v>
                </c:pt>
                <c:pt idx="519">
                  <c:v>0.77000000000000135</c:v>
                </c:pt>
                <c:pt idx="520">
                  <c:v>0.77999999999999758</c:v>
                </c:pt>
                <c:pt idx="521">
                  <c:v>0.88000000000000256</c:v>
                </c:pt>
                <c:pt idx="522">
                  <c:v>0.58000000000000007</c:v>
                </c:pt>
                <c:pt idx="523">
                  <c:v>0.64000000000000234</c:v>
                </c:pt>
                <c:pt idx="524">
                  <c:v>0.52999999999999758</c:v>
                </c:pt>
                <c:pt idx="525">
                  <c:v>0.61000000000000121</c:v>
                </c:pt>
                <c:pt idx="526">
                  <c:v>0.52999999999999758</c:v>
                </c:pt>
                <c:pt idx="527">
                  <c:v>0.64000000000000234</c:v>
                </c:pt>
                <c:pt idx="528">
                  <c:v>0.53999999999999915</c:v>
                </c:pt>
                <c:pt idx="529">
                  <c:v>0.58999999999999986</c:v>
                </c:pt>
                <c:pt idx="530">
                  <c:v>0.44000000000000483</c:v>
                </c:pt>
                <c:pt idx="531">
                  <c:v>0.75</c:v>
                </c:pt>
                <c:pt idx="532">
                  <c:v>0.58000000000000007</c:v>
                </c:pt>
                <c:pt idx="533">
                  <c:v>0.60000000000000142</c:v>
                </c:pt>
                <c:pt idx="534">
                  <c:v>0.54999999999999893</c:v>
                </c:pt>
                <c:pt idx="535">
                  <c:v>0.60000000000000142</c:v>
                </c:pt>
                <c:pt idx="536">
                  <c:v>0.47999999999999865</c:v>
                </c:pt>
                <c:pt idx="537">
                  <c:v>0.58000000000000007</c:v>
                </c:pt>
                <c:pt idx="538">
                  <c:v>0.64000000000000234</c:v>
                </c:pt>
                <c:pt idx="539">
                  <c:v>0.62000000000000099</c:v>
                </c:pt>
                <c:pt idx="540">
                  <c:v>0.72000000000000242</c:v>
                </c:pt>
                <c:pt idx="541">
                  <c:v>0.52999999999999758</c:v>
                </c:pt>
                <c:pt idx="542">
                  <c:v>0.75</c:v>
                </c:pt>
                <c:pt idx="543">
                  <c:v>0.58000000000000007</c:v>
                </c:pt>
                <c:pt idx="544">
                  <c:v>0.72000000000000242</c:v>
                </c:pt>
                <c:pt idx="545">
                  <c:v>0.63000000000000256</c:v>
                </c:pt>
                <c:pt idx="546">
                  <c:v>0.61000000000000121</c:v>
                </c:pt>
                <c:pt idx="547">
                  <c:v>0.36999999999999744</c:v>
                </c:pt>
                <c:pt idx="548">
                  <c:v>0.44000000000000483</c:v>
                </c:pt>
                <c:pt idx="549">
                  <c:v>0.25999999999999979</c:v>
                </c:pt>
                <c:pt idx="550">
                  <c:v>0.44999999999999751</c:v>
                </c:pt>
                <c:pt idx="551">
                  <c:v>0.5</c:v>
                </c:pt>
                <c:pt idx="552">
                  <c:v>0.61000000000000121</c:v>
                </c:pt>
                <c:pt idx="553">
                  <c:v>0.7300000000000022</c:v>
                </c:pt>
                <c:pt idx="554">
                  <c:v>0.50999999999999801</c:v>
                </c:pt>
                <c:pt idx="555">
                  <c:v>0.75</c:v>
                </c:pt>
                <c:pt idx="556">
                  <c:v>0.60000000000000142</c:v>
                </c:pt>
                <c:pt idx="557">
                  <c:v>0.73999999999999666</c:v>
                </c:pt>
                <c:pt idx="558">
                  <c:v>0.66999999999999993</c:v>
                </c:pt>
                <c:pt idx="559">
                  <c:v>0.63000000000000256</c:v>
                </c:pt>
                <c:pt idx="560">
                  <c:v>0.65000000000000213</c:v>
                </c:pt>
                <c:pt idx="561">
                  <c:v>0.61000000000000121</c:v>
                </c:pt>
                <c:pt idx="562">
                  <c:v>0.60000000000000142</c:v>
                </c:pt>
                <c:pt idx="563">
                  <c:v>0.72000000000000242</c:v>
                </c:pt>
                <c:pt idx="564">
                  <c:v>0.75999999999999801</c:v>
                </c:pt>
                <c:pt idx="565">
                  <c:v>0.73999999999999666</c:v>
                </c:pt>
                <c:pt idx="566">
                  <c:v>0.67999999999999972</c:v>
                </c:pt>
                <c:pt idx="567">
                  <c:v>0.55999999999999872</c:v>
                </c:pt>
                <c:pt idx="568">
                  <c:v>0.73999999999999666</c:v>
                </c:pt>
                <c:pt idx="569">
                  <c:v>0.63000000000000256</c:v>
                </c:pt>
                <c:pt idx="570">
                  <c:v>0.47000000000000242</c:v>
                </c:pt>
                <c:pt idx="571">
                  <c:v>0.47999999999999865</c:v>
                </c:pt>
                <c:pt idx="572">
                  <c:v>0.66999999999999993</c:v>
                </c:pt>
                <c:pt idx="573">
                  <c:v>0.53999999999999915</c:v>
                </c:pt>
                <c:pt idx="574">
                  <c:v>0.71000000000000085</c:v>
                </c:pt>
                <c:pt idx="575">
                  <c:v>0.66000000000000369</c:v>
                </c:pt>
                <c:pt idx="576">
                  <c:v>0.71000000000000085</c:v>
                </c:pt>
                <c:pt idx="577">
                  <c:v>0.7300000000000022</c:v>
                </c:pt>
                <c:pt idx="578">
                  <c:v>0.79000000000000092</c:v>
                </c:pt>
                <c:pt idx="579">
                  <c:v>1.0099999999999998</c:v>
                </c:pt>
                <c:pt idx="580">
                  <c:v>0.70000000000000107</c:v>
                </c:pt>
                <c:pt idx="581">
                  <c:v>0.71000000000000085</c:v>
                </c:pt>
                <c:pt idx="582">
                  <c:v>0.77000000000000135</c:v>
                </c:pt>
                <c:pt idx="583">
                  <c:v>0.69000000000000128</c:v>
                </c:pt>
                <c:pt idx="584">
                  <c:v>0.61000000000000121</c:v>
                </c:pt>
                <c:pt idx="585">
                  <c:v>0.60000000000000142</c:v>
                </c:pt>
                <c:pt idx="586">
                  <c:v>0.60000000000000142</c:v>
                </c:pt>
                <c:pt idx="587">
                  <c:v>0.60000000000000142</c:v>
                </c:pt>
                <c:pt idx="588">
                  <c:v>0.58999999999999986</c:v>
                </c:pt>
                <c:pt idx="589">
                  <c:v>0.58999999999999986</c:v>
                </c:pt>
                <c:pt idx="590">
                  <c:v>0.5</c:v>
                </c:pt>
                <c:pt idx="591">
                  <c:v>0.30000000000000249</c:v>
                </c:pt>
                <c:pt idx="592">
                  <c:v>0.38000000000000256</c:v>
                </c:pt>
                <c:pt idx="593">
                  <c:v>0.75</c:v>
                </c:pt>
                <c:pt idx="594">
                  <c:v>0.53999999999999915</c:v>
                </c:pt>
                <c:pt idx="595">
                  <c:v>0.5</c:v>
                </c:pt>
                <c:pt idx="596">
                  <c:v>0.5</c:v>
                </c:pt>
                <c:pt idx="597">
                  <c:v>0.60000000000000142</c:v>
                </c:pt>
                <c:pt idx="598">
                  <c:v>0.44999999999999751</c:v>
                </c:pt>
                <c:pt idx="599">
                  <c:v>0.60000000000000142</c:v>
                </c:pt>
                <c:pt idx="600">
                  <c:v>0.66999999999999993</c:v>
                </c:pt>
                <c:pt idx="601">
                  <c:v>0.69000000000000128</c:v>
                </c:pt>
                <c:pt idx="602">
                  <c:v>0.53999999999999915</c:v>
                </c:pt>
                <c:pt idx="603">
                  <c:v>0.65000000000000213</c:v>
                </c:pt>
                <c:pt idx="604">
                  <c:v>0.52999999999999758</c:v>
                </c:pt>
                <c:pt idx="605">
                  <c:v>0.52999999999999758</c:v>
                </c:pt>
                <c:pt idx="606">
                  <c:v>0.61000000000000121</c:v>
                </c:pt>
                <c:pt idx="607">
                  <c:v>0.65000000000000213</c:v>
                </c:pt>
                <c:pt idx="608">
                  <c:v>0.63000000000000256</c:v>
                </c:pt>
                <c:pt idx="609">
                  <c:v>0.73999999999999666</c:v>
                </c:pt>
                <c:pt idx="610">
                  <c:v>0.69000000000000128</c:v>
                </c:pt>
                <c:pt idx="611">
                  <c:v>0.72000000000000242</c:v>
                </c:pt>
                <c:pt idx="612">
                  <c:v>0.65000000000000213</c:v>
                </c:pt>
                <c:pt idx="613">
                  <c:v>0.79999999999999893</c:v>
                </c:pt>
                <c:pt idx="614">
                  <c:v>0.66999999999999993</c:v>
                </c:pt>
                <c:pt idx="615">
                  <c:v>0.75</c:v>
                </c:pt>
                <c:pt idx="616">
                  <c:v>0.83999999999999986</c:v>
                </c:pt>
                <c:pt idx="617">
                  <c:v>0.91999999999999993</c:v>
                </c:pt>
                <c:pt idx="618">
                  <c:v>0.8500000000000032</c:v>
                </c:pt>
                <c:pt idx="619">
                  <c:v>0.75</c:v>
                </c:pt>
                <c:pt idx="620">
                  <c:v>0.67999999999999972</c:v>
                </c:pt>
                <c:pt idx="621">
                  <c:v>0.63000000000000256</c:v>
                </c:pt>
                <c:pt idx="622">
                  <c:v>0.66999999999999993</c:v>
                </c:pt>
                <c:pt idx="623">
                  <c:v>0.63000000000000256</c:v>
                </c:pt>
                <c:pt idx="624">
                  <c:v>0.71000000000000085</c:v>
                </c:pt>
                <c:pt idx="625">
                  <c:v>0.81000000000000227</c:v>
                </c:pt>
                <c:pt idx="626">
                  <c:v>0.44999999999999751</c:v>
                </c:pt>
                <c:pt idx="627">
                  <c:v>0.5199999999999978</c:v>
                </c:pt>
                <c:pt idx="628">
                  <c:v>0.47000000000000242</c:v>
                </c:pt>
                <c:pt idx="629">
                  <c:v>0.65000000000000213</c:v>
                </c:pt>
                <c:pt idx="630">
                  <c:v>0.64000000000000234</c:v>
                </c:pt>
                <c:pt idx="631">
                  <c:v>0.52999999999999758</c:v>
                </c:pt>
                <c:pt idx="632">
                  <c:v>0.62000000000000099</c:v>
                </c:pt>
                <c:pt idx="633">
                  <c:v>0.71000000000000085</c:v>
                </c:pt>
                <c:pt idx="634">
                  <c:v>0.73999999999999666</c:v>
                </c:pt>
                <c:pt idx="635">
                  <c:v>0.55999999999999872</c:v>
                </c:pt>
                <c:pt idx="636">
                  <c:v>0.65000000000000213</c:v>
                </c:pt>
                <c:pt idx="637">
                  <c:v>0.60000000000000142</c:v>
                </c:pt>
                <c:pt idx="638">
                  <c:v>0.60000000000000142</c:v>
                </c:pt>
                <c:pt idx="639">
                  <c:v>0.47000000000000242</c:v>
                </c:pt>
                <c:pt idx="640">
                  <c:v>0.47999999999999865</c:v>
                </c:pt>
                <c:pt idx="641">
                  <c:v>0.57000000000000028</c:v>
                </c:pt>
                <c:pt idx="642">
                  <c:v>0.7300000000000022</c:v>
                </c:pt>
                <c:pt idx="643">
                  <c:v>0.77999999999999758</c:v>
                </c:pt>
                <c:pt idx="644">
                  <c:v>0.65000000000000213</c:v>
                </c:pt>
                <c:pt idx="645">
                  <c:v>0.58999999999999986</c:v>
                </c:pt>
                <c:pt idx="646">
                  <c:v>0.66000000000000369</c:v>
                </c:pt>
                <c:pt idx="647">
                  <c:v>0.72000000000000242</c:v>
                </c:pt>
                <c:pt idx="648">
                  <c:v>0.79999999999999893</c:v>
                </c:pt>
                <c:pt idx="649">
                  <c:v>0.77999999999999758</c:v>
                </c:pt>
                <c:pt idx="650">
                  <c:v>0.52999999999999758</c:v>
                </c:pt>
                <c:pt idx="651">
                  <c:v>0.71000000000000085</c:v>
                </c:pt>
                <c:pt idx="652">
                  <c:v>0.62000000000000099</c:v>
                </c:pt>
                <c:pt idx="653">
                  <c:v>0.66999999999999993</c:v>
                </c:pt>
                <c:pt idx="654">
                  <c:v>0.52999999999999758</c:v>
                </c:pt>
                <c:pt idx="655">
                  <c:v>0.60000000000000142</c:v>
                </c:pt>
                <c:pt idx="656">
                  <c:v>0.70000000000000107</c:v>
                </c:pt>
                <c:pt idx="657">
                  <c:v>0.60000000000000142</c:v>
                </c:pt>
                <c:pt idx="658">
                  <c:v>0.70000000000000107</c:v>
                </c:pt>
                <c:pt idx="659">
                  <c:v>0.77000000000000135</c:v>
                </c:pt>
                <c:pt idx="660">
                  <c:v>0.69000000000000128</c:v>
                </c:pt>
                <c:pt idx="661">
                  <c:v>0.83000000000000362</c:v>
                </c:pt>
                <c:pt idx="662">
                  <c:v>0.70000000000000107</c:v>
                </c:pt>
                <c:pt idx="663">
                  <c:v>0.75999999999999801</c:v>
                </c:pt>
                <c:pt idx="664">
                  <c:v>0.54999999999999893</c:v>
                </c:pt>
                <c:pt idx="665">
                  <c:v>0.77999999999999758</c:v>
                </c:pt>
                <c:pt idx="666">
                  <c:v>0.81000000000000227</c:v>
                </c:pt>
                <c:pt idx="667">
                  <c:v>0.86999999999999744</c:v>
                </c:pt>
                <c:pt idx="668">
                  <c:v>0.66999999999999993</c:v>
                </c:pt>
                <c:pt idx="669">
                  <c:v>0.58000000000000007</c:v>
                </c:pt>
                <c:pt idx="670">
                  <c:v>0.83000000000000362</c:v>
                </c:pt>
                <c:pt idx="671">
                  <c:v>0.88000000000000256</c:v>
                </c:pt>
                <c:pt idx="672">
                  <c:v>0.79999999999999893</c:v>
                </c:pt>
                <c:pt idx="673">
                  <c:v>0.66999999999999993</c:v>
                </c:pt>
                <c:pt idx="674">
                  <c:v>0.79000000000000092</c:v>
                </c:pt>
                <c:pt idx="675">
                  <c:v>0.86000000000000121</c:v>
                </c:pt>
                <c:pt idx="676">
                  <c:v>0.91000000000000014</c:v>
                </c:pt>
                <c:pt idx="677">
                  <c:v>0.95999999999999908</c:v>
                </c:pt>
                <c:pt idx="678">
                  <c:v>0.75</c:v>
                </c:pt>
                <c:pt idx="679">
                  <c:v>0.79999999999999893</c:v>
                </c:pt>
                <c:pt idx="680">
                  <c:v>0.82000000000000028</c:v>
                </c:pt>
                <c:pt idx="681">
                  <c:v>0.7300000000000022</c:v>
                </c:pt>
                <c:pt idx="682">
                  <c:v>0.79999999999999893</c:v>
                </c:pt>
                <c:pt idx="683">
                  <c:v>0.83999999999999986</c:v>
                </c:pt>
                <c:pt idx="684">
                  <c:v>1.0800000000000036</c:v>
                </c:pt>
                <c:pt idx="685">
                  <c:v>1.0600000000000023</c:v>
                </c:pt>
                <c:pt idx="686">
                  <c:v>1.1699999999999964</c:v>
                </c:pt>
                <c:pt idx="687">
                  <c:v>1.1799999999999997</c:v>
                </c:pt>
                <c:pt idx="688">
                  <c:v>1.370000000000001</c:v>
                </c:pt>
                <c:pt idx="689">
                  <c:v>1.3499999999999979</c:v>
                </c:pt>
                <c:pt idx="690">
                  <c:v>1.0899999999999999</c:v>
                </c:pt>
                <c:pt idx="691">
                  <c:v>0.95999999999999908</c:v>
                </c:pt>
                <c:pt idx="692">
                  <c:v>0.81000000000000227</c:v>
                </c:pt>
                <c:pt idx="693">
                  <c:v>0.83999999999999986</c:v>
                </c:pt>
                <c:pt idx="694">
                  <c:v>1.0099999999999998</c:v>
                </c:pt>
                <c:pt idx="695">
                  <c:v>0.89999999999999858</c:v>
                </c:pt>
                <c:pt idx="696">
                  <c:v>0.86999999999999744</c:v>
                </c:pt>
                <c:pt idx="697">
                  <c:v>0.91000000000000014</c:v>
                </c:pt>
                <c:pt idx="698">
                  <c:v>0.86000000000000121</c:v>
                </c:pt>
                <c:pt idx="699">
                  <c:v>1.0200000000000014</c:v>
                </c:pt>
                <c:pt idx="700">
                  <c:v>1.1299999999999955</c:v>
                </c:pt>
                <c:pt idx="701">
                  <c:v>1.1600000000000001</c:v>
                </c:pt>
                <c:pt idx="702">
                  <c:v>0.93999999999999773</c:v>
                </c:pt>
                <c:pt idx="703">
                  <c:v>0.91000000000000014</c:v>
                </c:pt>
                <c:pt idx="704">
                  <c:v>0.71000000000000085</c:v>
                </c:pt>
                <c:pt idx="705">
                  <c:v>0.82000000000000028</c:v>
                </c:pt>
                <c:pt idx="706">
                  <c:v>0.86999999999999744</c:v>
                </c:pt>
                <c:pt idx="707">
                  <c:v>0.73999999999999666</c:v>
                </c:pt>
                <c:pt idx="708">
                  <c:v>0.88000000000000256</c:v>
                </c:pt>
                <c:pt idx="709">
                  <c:v>0.86999999999999744</c:v>
                </c:pt>
                <c:pt idx="710">
                  <c:v>0.92999999999999794</c:v>
                </c:pt>
                <c:pt idx="711">
                  <c:v>0.82000000000000028</c:v>
                </c:pt>
                <c:pt idx="712">
                  <c:v>0.8500000000000032</c:v>
                </c:pt>
                <c:pt idx="713">
                  <c:v>0.88000000000000256</c:v>
                </c:pt>
                <c:pt idx="714">
                  <c:v>0.88000000000000256</c:v>
                </c:pt>
                <c:pt idx="715">
                  <c:v>0.81000000000000227</c:v>
                </c:pt>
                <c:pt idx="716">
                  <c:v>0.77000000000000135</c:v>
                </c:pt>
                <c:pt idx="717">
                  <c:v>0.83999999999999986</c:v>
                </c:pt>
                <c:pt idx="718">
                  <c:v>0.77999999999999758</c:v>
                </c:pt>
                <c:pt idx="719">
                  <c:v>0.79999999999999893</c:v>
                </c:pt>
                <c:pt idx="720">
                  <c:v>1.0200000000000014</c:v>
                </c:pt>
                <c:pt idx="721">
                  <c:v>0.83000000000000362</c:v>
                </c:pt>
                <c:pt idx="722">
                  <c:v>0.92999999999999794</c:v>
                </c:pt>
                <c:pt idx="723">
                  <c:v>0.92999999999999794</c:v>
                </c:pt>
                <c:pt idx="724">
                  <c:v>0.95999999999999908</c:v>
                </c:pt>
                <c:pt idx="725">
                  <c:v>1.1699999999999964</c:v>
                </c:pt>
                <c:pt idx="726">
                  <c:v>1.0099999999999998</c:v>
                </c:pt>
                <c:pt idx="727">
                  <c:v>0.86000000000000121</c:v>
                </c:pt>
                <c:pt idx="728">
                  <c:v>0.89999999999999858</c:v>
                </c:pt>
                <c:pt idx="729">
                  <c:v>0.93999999999999773</c:v>
                </c:pt>
                <c:pt idx="730">
                  <c:v>0.94999999999999751</c:v>
                </c:pt>
                <c:pt idx="731">
                  <c:v>0.92999999999999794</c:v>
                </c:pt>
                <c:pt idx="732">
                  <c:v>1</c:v>
                </c:pt>
                <c:pt idx="733">
                  <c:v>0.99000000000000021</c:v>
                </c:pt>
                <c:pt idx="734">
                  <c:v>1.120000000000001</c:v>
                </c:pt>
                <c:pt idx="735">
                  <c:v>1.1799999999999997</c:v>
                </c:pt>
                <c:pt idx="736">
                  <c:v>1.240000000000002</c:v>
                </c:pt>
                <c:pt idx="737">
                  <c:v>1.1799999999999997</c:v>
                </c:pt>
                <c:pt idx="738">
                  <c:v>1.120000000000001</c:v>
                </c:pt>
                <c:pt idx="739">
                  <c:v>0.99000000000000021</c:v>
                </c:pt>
                <c:pt idx="740">
                  <c:v>0.91000000000000014</c:v>
                </c:pt>
                <c:pt idx="741">
                  <c:v>0.8900000000000059</c:v>
                </c:pt>
                <c:pt idx="742">
                  <c:v>0.86000000000000121</c:v>
                </c:pt>
                <c:pt idx="743">
                  <c:v>0.95999999999999908</c:v>
                </c:pt>
                <c:pt idx="744">
                  <c:v>0.86999999999999744</c:v>
                </c:pt>
                <c:pt idx="745">
                  <c:v>1.0899999999999999</c:v>
                </c:pt>
                <c:pt idx="746">
                  <c:v>0.79999999999999893</c:v>
                </c:pt>
                <c:pt idx="747">
                  <c:v>0.82000000000000028</c:v>
                </c:pt>
                <c:pt idx="748">
                  <c:v>0.64000000000000234</c:v>
                </c:pt>
                <c:pt idx="749">
                  <c:v>0.8900000000000059</c:v>
                </c:pt>
                <c:pt idx="750">
                  <c:v>0.75999999999999801</c:v>
                </c:pt>
                <c:pt idx="751">
                  <c:v>0.79000000000000092</c:v>
                </c:pt>
                <c:pt idx="752">
                  <c:v>0.8500000000000032</c:v>
                </c:pt>
                <c:pt idx="753">
                  <c:v>0.91999999999999993</c:v>
                </c:pt>
                <c:pt idx="754">
                  <c:v>0.81000000000000227</c:v>
                </c:pt>
                <c:pt idx="755">
                  <c:v>0.91999999999999993</c:v>
                </c:pt>
                <c:pt idx="756">
                  <c:v>0.97999999999999865</c:v>
                </c:pt>
                <c:pt idx="757">
                  <c:v>0.92999999999999794</c:v>
                </c:pt>
                <c:pt idx="758">
                  <c:v>0.88000000000000256</c:v>
                </c:pt>
                <c:pt idx="759">
                  <c:v>0.91000000000000014</c:v>
                </c:pt>
                <c:pt idx="760">
                  <c:v>0.8900000000000059</c:v>
                </c:pt>
                <c:pt idx="761">
                  <c:v>1.0500000000000025</c:v>
                </c:pt>
                <c:pt idx="762">
                  <c:v>0.83000000000000362</c:v>
                </c:pt>
                <c:pt idx="763">
                  <c:v>0.83999999999999986</c:v>
                </c:pt>
                <c:pt idx="764">
                  <c:v>0.92999999999999794</c:v>
                </c:pt>
                <c:pt idx="765">
                  <c:v>0.93999999999999773</c:v>
                </c:pt>
                <c:pt idx="766">
                  <c:v>0.93999999999999773</c:v>
                </c:pt>
                <c:pt idx="767">
                  <c:v>0.88000000000000256</c:v>
                </c:pt>
                <c:pt idx="768">
                  <c:v>0.96999999999999886</c:v>
                </c:pt>
                <c:pt idx="769">
                  <c:v>0.7300000000000022</c:v>
                </c:pt>
                <c:pt idx="770">
                  <c:v>0.79999999999999893</c:v>
                </c:pt>
                <c:pt idx="771">
                  <c:v>0.88000000000000256</c:v>
                </c:pt>
                <c:pt idx="772">
                  <c:v>0.96999999999999886</c:v>
                </c:pt>
                <c:pt idx="773">
                  <c:v>1.2299999999999986</c:v>
                </c:pt>
                <c:pt idx="774">
                  <c:v>0.99000000000000021</c:v>
                </c:pt>
                <c:pt idx="775">
                  <c:v>0.93999999999999773</c:v>
                </c:pt>
                <c:pt idx="776">
                  <c:v>1.0899999999999999</c:v>
                </c:pt>
                <c:pt idx="777">
                  <c:v>1.1899999999999977</c:v>
                </c:pt>
                <c:pt idx="778">
                  <c:v>1.1899999999999977</c:v>
                </c:pt>
                <c:pt idx="779">
                  <c:v>1.4800000000000022</c:v>
                </c:pt>
                <c:pt idx="780">
                  <c:v>1.3499999999999979</c:v>
                </c:pt>
                <c:pt idx="781">
                  <c:v>1.3999999999999986</c:v>
                </c:pt>
                <c:pt idx="782">
                  <c:v>1.3599999999999977</c:v>
                </c:pt>
                <c:pt idx="783">
                  <c:v>1.25</c:v>
                </c:pt>
                <c:pt idx="784">
                  <c:v>1.4400000000000013</c:v>
                </c:pt>
                <c:pt idx="785">
                  <c:v>1.3999999999999986</c:v>
                </c:pt>
                <c:pt idx="786">
                  <c:v>1.3200000000000003</c:v>
                </c:pt>
                <c:pt idx="787">
                  <c:v>1.1600000000000001</c:v>
                </c:pt>
                <c:pt idx="788">
                  <c:v>1.2299999999999986</c:v>
                </c:pt>
                <c:pt idx="789">
                  <c:v>1.2000000000000011</c:v>
                </c:pt>
                <c:pt idx="790">
                  <c:v>1.3000000000000043</c:v>
                </c:pt>
                <c:pt idx="791">
                  <c:v>1.2099999999999991</c:v>
                </c:pt>
                <c:pt idx="792">
                  <c:v>1.3499999999999979</c:v>
                </c:pt>
                <c:pt idx="793">
                  <c:v>1.3000000000000043</c:v>
                </c:pt>
                <c:pt idx="794">
                  <c:v>1.2700000000000014</c:v>
                </c:pt>
                <c:pt idx="795">
                  <c:v>1.379999999999999</c:v>
                </c:pt>
                <c:pt idx="796">
                  <c:v>1.2600000000000033</c:v>
                </c:pt>
                <c:pt idx="797">
                  <c:v>1.370000000000001</c:v>
                </c:pt>
                <c:pt idx="798">
                  <c:v>1.25</c:v>
                </c:pt>
                <c:pt idx="799">
                  <c:v>1.0800000000000036</c:v>
                </c:pt>
                <c:pt idx="800">
                  <c:v>1.0700000000000021</c:v>
                </c:pt>
                <c:pt idx="801">
                  <c:v>1.0200000000000014</c:v>
                </c:pt>
                <c:pt idx="802">
                  <c:v>1.1799999999999997</c:v>
                </c:pt>
                <c:pt idx="803">
                  <c:v>1.25</c:v>
                </c:pt>
                <c:pt idx="804">
                  <c:v>1.1899999999999977</c:v>
                </c:pt>
                <c:pt idx="805">
                  <c:v>1.2099999999999991</c:v>
                </c:pt>
                <c:pt idx="806">
                  <c:v>1.0600000000000023</c:v>
                </c:pt>
              </c:numCache>
            </c:numRef>
          </c:yVal>
          <c:smooth val="1"/>
          <c:extLst>
            <c:ext xmlns:c16="http://schemas.microsoft.com/office/drawing/2014/chart" uri="{C3380CC4-5D6E-409C-BE32-E72D297353CC}">
              <c16:uniqueId val="{00000000-0939-402F-A7EE-24123B301551}"/>
            </c:ext>
          </c:extLst>
        </c:ser>
        <c:ser>
          <c:idx val="1"/>
          <c:order val="1"/>
          <c:tx>
            <c:v>Kernel model</c:v>
          </c:tx>
          <c:spPr>
            <a:ln w="15120">
              <a:solidFill>
                <a:srgbClr val="EB683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Kernel!$B$9:$B$815</c:f>
              <c:numCache>
                <c:formatCode>0.00</c:formatCode>
                <c:ptCount val="807"/>
                <c:pt idx="0">
                  <c:v>1958.7916666666667</c:v>
                </c:pt>
                <c:pt idx="1">
                  <c:v>1958.875</c:v>
                </c:pt>
                <c:pt idx="2">
                  <c:v>1958.9583333333333</c:v>
                </c:pt>
                <c:pt idx="3">
                  <c:v>1959.0416666666667</c:v>
                </c:pt>
                <c:pt idx="4">
                  <c:v>1959.125</c:v>
                </c:pt>
                <c:pt idx="5">
                  <c:v>1959.2083333333333</c:v>
                </c:pt>
                <c:pt idx="6">
                  <c:v>1959.2916666666667</c:v>
                </c:pt>
                <c:pt idx="7">
                  <c:v>1959.375</c:v>
                </c:pt>
                <c:pt idx="8">
                  <c:v>1959.4583333333333</c:v>
                </c:pt>
                <c:pt idx="9">
                  <c:v>1959.5416666666667</c:v>
                </c:pt>
                <c:pt idx="10">
                  <c:v>1959.625</c:v>
                </c:pt>
                <c:pt idx="11">
                  <c:v>1959.7083333333333</c:v>
                </c:pt>
                <c:pt idx="12">
                  <c:v>1959.7916666666667</c:v>
                </c:pt>
                <c:pt idx="13">
                  <c:v>1959.875</c:v>
                </c:pt>
                <c:pt idx="14">
                  <c:v>1959.9583333333333</c:v>
                </c:pt>
                <c:pt idx="15">
                  <c:v>1960.0416666666667</c:v>
                </c:pt>
                <c:pt idx="16">
                  <c:v>1960.125</c:v>
                </c:pt>
                <c:pt idx="17">
                  <c:v>1960.2083333333333</c:v>
                </c:pt>
                <c:pt idx="18">
                  <c:v>1960.2916666666667</c:v>
                </c:pt>
                <c:pt idx="19">
                  <c:v>1960.375</c:v>
                </c:pt>
                <c:pt idx="20">
                  <c:v>1960.4583333333333</c:v>
                </c:pt>
                <c:pt idx="21">
                  <c:v>1960.5416666666667</c:v>
                </c:pt>
                <c:pt idx="22">
                  <c:v>1960.625</c:v>
                </c:pt>
                <c:pt idx="23">
                  <c:v>1960.7083333333333</c:v>
                </c:pt>
                <c:pt idx="24">
                  <c:v>1960.7916666666667</c:v>
                </c:pt>
                <c:pt idx="25">
                  <c:v>1960.875</c:v>
                </c:pt>
                <c:pt idx="26">
                  <c:v>1960.9583333333333</c:v>
                </c:pt>
                <c:pt idx="27">
                  <c:v>1961.0416666666667</c:v>
                </c:pt>
                <c:pt idx="28">
                  <c:v>1961.125</c:v>
                </c:pt>
                <c:pt idx="29">
                  <c:v>1961.2083333333333</c:v>
                </c:pt>
                <c:pt idx="30">
                  <c:v>1961.2916666666667</c:v>
                </c:pt>
                <c:pt idx="31">
                  <c:v>1961.375</c:v>
                </c:pt>
                <c:pt idx="32">
                  <c:v>1961.4583333333333</c:v>
                </c:pt>
                <c:pt idx="33">
                  <c:v>1961.5416666666667</c:v>
                </c:pt>
                <c:pt idx="34">
                  <c:v>1961.625</c:v>
                </c:pt>
                <c:pt idx="35">
                  <c:v>1961.7083333333333</c:v>
                </c:pt>
                <c:pt idx="36">
                  <c:v>1961.7916666666667</c:v>
                </c:pt>
                <c:pt idx="37">
                  <c:v>1961.875</c:v>
                </c:pt>
                <c:pt idx="38">
                  <c:v>1961.9583333333333</c:v>
                </c:pt>
                <c:pt idx="39">
                  <c:v>1962.0416666666667</c:v>
                </c:pt>
                <c:pt idx="40">
                  <c:v>1962.125</c:v>
                </c:pt>
                <c:pt idx="41">
                  <c:v>1962.2083333333333</c:v>
                </c:pt>
                <c:pt idx="42">
                  <c:v>1962.2916666666667</c:v>
                </c:pt>
                <c:pt idx="43">
                  <c:v>1962.375</c:v>
                </c:pt>
                <c:pt idx="44">
                  <c:v>1962.4583333333333</c:v>
                </c:pt>
                <c:pt idx="45">
                  <c:v>1962.5416666666667</c:v>
                </c:pt>
                <c:pt idx="46">
                  <c:v>1962.625</c:v>
                </c:pt>
                <c:pt idx="47">
                  <c:v>1962.7083333333333</c:v>
                </c:pt>
                <c:pt idx="48">
                  <c:v>1962.7916666666667</c:v>
                </c:pt>
                <c:pt idx="49">
                  <c:v>1962.875</c:v>
                </c:pt>
                <c:pt idx="50">
                  <c:v>1962.9583333333333</c:v>
                </c:pt>
                <c:pt idx="51">
                  <c:v>1963.0416666666667</c:v>
                </c:pt>
                <c:pt idx="52">
                  <c:v>1963.125</c:v>
                </c:pt>
                <c:pt idx="53">
                  <c:v>1963.2083333333333</c:v>
                </c:pt>
                <c:pt idx="54">
                  <c:v>1963.2916666666667</c:v>
                </c:pt>
                <c:pt idx="55">
                  <c:v>1963.375</c:v>
                </c:pt>
                <c:pt idx="56">
                  <c:v>1963.4583333333333</c:v>
                </c:pt>
                <c:pt idx="57">
                  <c:v>1963.5416666666667</c:v>
                </c:pt>
                <c:pt idx="58">
                  <c:v>1963.625</c:v>
                </c:pt>
                <c:pt idx="59">
                  <c:v>1963.7083333333333</c:v>
                </c:pt>
                <c:pt idx="60">
                  <c:v>1963.7916666666667</c:v>
                </c:pt>
                <c:pt idx="61">
                  <c:v>1963.875</c:v>
                </c:pt>
                <c:pt idx="62">
                  <c:v>1963.9583333333333</c:v>
                </c:pt>
                <c:pt idx="63">
                  <c:v>1964.0416666666667</c:v>
                </c:pt>
                <c:pt idx="64">
                  <c:v>1964.125</c:v>
                </c:pt>
                <c:pt idx="65">
                  <c:v>1964.2083333333333</c:v>
                </c:pt>
                <c:pt idx="66">
                  <c:v>1964.2916666666667</c:v>
                </c:pt>
                <c:pt idx="67">
                  <c:v>1964.375</c:v>
                </c:pt>
                <c:pt idx="68">
                  <c:v>1964.4583333333333</c:v>
                </c:pt>
                <c:pt idx="69">
                  <c:v>1964.5416666666667</c:v>
                </c:pt>
                <c:pt idx="70">
                  <c:v>1964.625</c:v>
                </c:pt>
                <c:pt idx="71">
                  <c:v>1964.7083333333333</c:v>
                </c:pt>
                <c:pt idx="72">
                  <c:v>1964.7916666666667</c:v>
                </c:pt>
                <c:pt idx="73">
                  <c:v>1964.875</c:v>
                </c:pt>
                <c:pt idx="74">
                  <c:v>1964.9583333333333</c:v>
                </c:pt>
                <c:pt idx="75">
                  <c:v>1965.0416666666667</c:v>
                </c:pt>
                <c:pt idx="76">
                  <c:v>1965.125</c:v>
                </c:pt>
                <c:pt idx="77">
                  <c:v>1965.2083333333333</c:v>
                </c:pt>
                <c:pt idx="78">
                  <c:v>1965.2916666666667</c:v>
                </c:pt>
                <c:pt idx="79">
                  <c:v>1965.375</c:v>
                </c:pt>
                <c:pt idx="80">
                  <c:v>1965.4583333333333</c:v>
                </c:pt>
                <c:pt idx="81">
                  <c:v>1965.5416666666667</c:v>
                </c:pt>
                <c:pt idx="82">
                  <c:v>1965.625</c:v>
                </c:pt>
                <c:pt idx="83">
                  <c:v>1965.7083333333333</c:v>
                </c:pt>
                <c:pt idx="84">
                  <c:v>1965.7916666666667</c:v>
                </c:pt>
                <c:pt idx="85">
                  <c:v>1965.875</c:v>
                </c:pt>
                <c:pt idx="86">
                  <c:v>1965.9583333333333</c:v>
                </c:pt>
                <c:pt idx="87">
                  <c:v>1966.0416666666667</c:v>
                </c:pt>
                <c:pt idx="88">
                  <c:v>1966.125</c:v>
                </c:pt>
                <c:pt idx="89">
                  <c:v>1966.2083333333333</c:v>
                </c:pt>
                <c:pt idx="90">
                  <c:v>1966.2916666666667</c:v>
                </c:pt>
                <c:pt idx="91">
                  <c:v>1966.375</c:v>
                </c:pt>
                <c:pt idx="92">
                  <c:v>1966.4583333333333</c:v>
                </c:pt>
                <c:pt idx="93">
                  <c:v>1966.5416666666667</c:v>
                </c:pt>
                <c:pt idx="94">
                  <c:v>1966.625</c:v>
                </c:pt>
                <c:pt idx="95">
                  <c:v>1966.7083333333333</c:v>
                </c:pt>
                <c:pt idx="96">
                  <c:v>1966.7916666666667</c:v>
                </c:pt>
                <c:pt idx="97">
                  <c:v>1966.875</c:v>
                </c:pt>
                <c:pt idx="98">
                  <c:v>1966.9583333333333</c:v>
                </c:pt>
                <c:pt idx="99">
                  <c:v>1967.0416666666667</c:v>
                </c:pt>
                <c:pt idx="100">
                  <c:v>1967.125</c:v>
                </c:pt>
                <c:pt idx="101">
                  <c:v>1967.2083333333333</c:v>
                </c:pt>
                <c:pt idx="102">
                  <c:v>1967.2916666666667</c:v>
                </c:pt>
                <c:pt idx="103">
                  <c:v>1967.375</c:v>
                </c:pt>
                <c:pt idx="104">
                  <c:v>1967.4583333333333</c:v>
                </c:pt>
                <c:pt idx="105">
                  <c:v>1967.5416666666667</c:v>
                </c:pt>
                <c:pt idx="106">
                  <c:v>1967.625</c:v>
                </c:pt>
                <c:pt idx="107">
                  <c:v>1967.7083333333333</c:v>
                </c:pt>
                <c:pt idx="108">
                  <c:v>1967.7916666666667</c:v>
                </c:pt>
                <c:pt idx="109">
                  <c:v>1967.875</c:v>
                </c:pt>
                <c:pt idx="110">
                  <c:v>1967.9583333333333</c:v>
                </c:pt>
                <c:pt idx="111">
                  <c:v>1968.0416666666667</c:v>
                </c:pt>
                <c:pt idx="112">
                  <c:v>1968.125</c:v>
                </c:pt>
                <c:pt idx="113">
                  <c:v>1968.2083333333333</c:v>
                </c:pt>
                <c:pt idx="114">
                  <c:v>1968.2916666666667</c:v>
                </c:pt>
                <c:pt idx="115">
                  <c:v>1968.375</c:v>
                </c:pt>
                <c:pt idx="116">
                  <c:v>1968.4583333333333</c:v>
                </c:pt>
                <c:pt idx="117">
                  <c:v>1968.5416666666667</c:v>
                </c:pt>
                <c:pt idx="118">
                  <c:v>1968.625</c:v>
                </c:pt>
                <c:pt idx="119">
                  <c:v>1968.7083333333333</c:v>
                </c:pt>
                <c:pt idx="120">
                  <c:v>1968.7916666666667</c:v>
                </c:pt>
                <c:pt idx="121">
                  <c:v>1968.875</c:v>
                </c:pt>
                <c:pt idx="122">
                  <c:v>1968.9583333333333</c:v>
                </c:pt>
                <c:pt idx="123">
                  <c:v>1969.0416666666667</c:v>
                </c:pt>
                <c:pt idx="124">
                  <c:v>1969.125</c:v>
                </c:pt>
                <c:pt idx="125">
                  <c:v>1969.2083333333333</c:v>
                </c:pt>
                <c:pt idx="126">
                  <c:v>1969.2916666666667</c:v>
                </c:pt>
                <c:pt idx="127">
                  <c:v>1969.375</c:v>
                </c:pt>
                <c:pt idx="128">
                  <c:v>1969.4583333333333</c:v>
                </c:pt>
                <c:pt idx="129">
                  <c:v>1969.5416666666667</c:v>
                </c:pt>
                <c:pt idx="130">
                  <c:v>1969.625</c:v>
                </c:pt>
                <c:pt idx="131">
                  <c:v>1969.7083333333333</c:v>
                </c:pt>
                <c:pt idx="132">
                  <c:v>1969.7916666666667</c:v>
                </c:pt>
                <c:pt idx="133">
                  <c:v>1969.875</c:v>
                </c:pt>
                <c:pt idx="134">
                  <c:v>1969.9583333333333</c:v>
                </c:pt>
                <c:pt idx="135">
                  <c:v>1970.0416666666667</c:v>
                </c:pt>
                <c:pt idx="136">
                  <c:v>1970.125</c:v>
                </c:pt>
                <c:pt idx="137">
                  <c:v>1970.2083333333333</c:v>
                </c:pt>
                <c:pt idx="138">
                  <c:v>1970.2916666666667</c:v>
                </c:pt>
                <c:pt idx="139">
                  <c:v>1970.375</c:v>
                </c:pt>
                <c:pt idx="140">
                  <c:v>1970.4583333333333</c:v>
                </c:pt>
                <c:pt idx="141">
                  <c:v>1970.5416666666667</c:v>
                </c:pt>
                <c:pt idx="142">
                  <c:v>1970.625</c:v>
                </c:pt>
                <c:pt idx="143">
                  <c:v>1970.7083333333333</c:v>
                </c:pt>
                <c:pt idx="144">
                  <c:v>1970.7916666666667</c:v>
                </c:pt>
                <c:pt idx="145">
                  <c:v>1970.875</c:v>
                </c:pt>
                <c:pt idx="146">
                  <c:v>1970.9583333333333</c:v>
                </c:pt>
                <c:pt idx="147">
                  <c:v>1971.0416666666667</c:v>
                </c:pt>
                <c:pt idx="148">
                  <c:v>1971.125</c:v>
                </c:pt>
                <c:pt idx="149">
                  <c:v>1971.2083333333333</c:v>
                </c:pt>
                <c:pt idx="150">
                  <c:v>1971.2916666666667</c:v>
                </c:pt>
                <c:pt idx="151">
                  <c:v>1971.375</c:v>
                </c:pt>
                <c:pt idx="152">
                  <c:v>1971.4583333333333</c:v>
                </c:pt>
                <c:pt idx="153">
                  <c:v>1971.5416666666667</c:v>
                </c:pt>
                <c:pt idx="154">
                  <c:v>1971.625</c:v>
                </c:pt>
                <c:pt idx="155">
                  <c:v>1971.7083333333333</c:v>
                </c:pt>
                <c:pt idx="156">
                  <c:v>1971.7916666666667</c:v>
                </c:pt>
                <c:pt idx="157">
                  <c:v>1971.875</c:v>
                </c:pt>
                <c:pt idx="158">
                  <c:v>1971.9583333333333</c:v>
                </c:pt>
                <c:pt idx="159">
                  <c:v>1972.0416666666667</c:v>
                </c:pt>
                <c:pt idx="160">
                  <c:v>1972.125</c:v>
                </c:pt>
                <c:pt idx="161">
                  <c:v>1972.2083333333333</c:v>
                </c:pt>
                <c:pt idx="162">
                  <c:v>1972.2916666666667</c:v>
                </c:pt>
                <c:pt idx="163">
                  <c:v>1972.375</c:v>
                </c:pt>
                <c:pt idx="164">
                  <c:v>1972.4583333333333</c:v>
                </c:pt>
                <c:pt idx="165">
                  <c:v>1972.5416666666667</c:v>
                </c:pt>
                <c:pt idx="166">
                  <c:v>1972.625</c:v>
                </c:pt>
                <c:pt idx="167">
                  <c:v>1972.7083333333333</c:v>
                </c:pt>
                <c:pt idx="168">
                  <c:v>1972.7916666666667</c:v>
                </c:pt>
                <c:pt idx="169">
                  <c:v>1972.875</c:v>
                </c:pt>
                <c:pt idx="170">
                  <c:v>1972.9583333333333</c:v>
                </c:pt>
                <c:pt idx="171">
                  <c:v>1973.0416666666667</c:v>
                </c:pt>
                <c:pt idx="172">
                  <c:v>1973.125</c:v>
                </c:pt>
                <c:pt idx="173">
                  <c:v>1973.2083333333333</c:v>
                </c:pt>
                <c:pt idx="174">
                  <c:v>1973.2916666666667</c:v>
                </c:pt>
                <c:pt idx="175">
                  <c:v>1973.375</c:v>
                </c:pt>
                <c:pt idx="176">
                  <c:v>1973.4583333333333</c:v>
                </c:pt>
                <c:pt idx="177">
                  <c:v>1973.5416666666667</c:v>
                </c:pt>
                <c:pt idx="178">
                  <c:v>1973.625</c:v>
                </c:pt>
                <c:pt idx="179">
                  <c:v>1973.7083333333333</c:v>
                </c:pt>
                <c:pt idx="180">
                  <c:v>1973.7916666666667</c:v>
                </c:pt>
                <c:pt idx="181">
                  <c:v>1973.875</c:v>
                </c:pt>
                <c:pt idx="182">
                  <c:v>1973.9583333333333</c:v>
                </c:pt>
                <c:pt idx="183">
                  <c:v>1974.0416666666667</c:v>
                </c:pt>
                <c:pt idx="184">
                  <c:v>1974.125</c:v>
                </c:pt>
                <c:pt idx="185">
                  <c:v>1974.2083333333333</c:v>
                </c:pt>
                <c:pt idx="186">
                  <c:v>1974.2916666666667</c:v>
                </c:pt>
                <c:pt idx="187">
                  <c:v>1974.375</c:v>
                </c:pt>
                <c:pt idx="188">
                  <c:v>1974.4583333333333</c:v>
                </c:pt>
                <c:pt idx="189">
                  <c:v>1974.5416666666667</c:v>
                </c:pt>
                <c:pt idx="190">
                  <c:v>1974.625</c:v>
                </c:pt>
                <c:pt idx="191">
                  <c:v>1974.7083333333333</c:v>
                </c:pt>
                <c:pt idx="192">
                  <c:v>1974.7916666666667</c:v>
                </c:pt>
                <c:pt idx="193">
                  <c:v>1974.875</c:v>
                </c:pt>
                <c:pt idx="194">
                  <c:v>1974.9583333333333</c:v>
                </c:pt>
                <c:pt idx="195">
                  <c:v>1975.0416666666667</c:v>
                </c:pt>
                <c:pt idx="196">
                  <c:v>1975.125</c:v>
                </c:pt>
                <c:pt idx="197">
                  <c:v>1975.2083333333333</c:v>
                </c:pt>
                <c:pt idx="198">
                  <c:v>1975.2916666666667</c:v>
                </c:pt>
                <c:pt idx="199">
                  <c:v>1975.375</c:v>
                </c:pt>
                <c:pt idx="200">
                  <c:v>1975.4583333333333</c:v>
                </c:pt>
                <c:pt idx="201">
                  <c:v>1975.5416666666667</c:v>
                </c:pt>
                <c:pt idx="202">
                  <c:v>1975.625</c:v>
                </c:pt>
                <c:pt idx="203">
                  <c:v>1975.7083333333333</c:v>
                </c:pt>
                <c:pt idx="204">
                  <c:v>1975.7916666666667</c:v>
                </c:pt>
                <c:pt idx="205">
                  <c:v>1975.875</c:v>
                </c:pt>
                <c:pt idx="206">
                  <c:v>1975.9583333333333</c:v>
                </c:pt>
                <c:pt idx="207">
                  <c:v>1976.0416666666667</c:v>
                </c:pt>
                <c:pt idx="208">
                  <c:v>1976.125</c:v>
                </c:pt>
                <c:pt idx="209">
                  <c:v>1976.2083333333333</c:v>
                </c:pt>
                <c:pt idx="210">
                  <c:v>1976.2916666666667</c:v>
                </c:pt>
                <c:pt idx="211">
                  <c:v>1976.375</c:v>
                </c:pt>
                <c:pt idx="212">
                  <c:v>1976.4583333333333</c:v>
                </c:pt>
                <c:pt idx="213">
                  <c:v>1976.5416666666667</c:v>
                </c:pt>
                <c:pt idx="214">
                  <c:v>1976.625</c:v>
                </c:pt>
                <c:pt idx="215">
                  <c:v>1976.7083333333333</c:v>
                </c:pt>
                <c:pt idx="216">
                  <c:v>1976.7916666666667</c:v>
                </c:pt>
                <c:pt idx="217">
                  <c:v>1976.875</c:v>
                </c:pt>
                <c:pt idx="218">
                  <c:v>1976.9583333333333</c:v>
                </c:pt>
                <c:pt idx="219">
                  <c:v>1977.0416666666667</c:v>
                </c:pt>
                <c:pt idx="220">
                  <c:v>1977.125</c:v>
                </c:pt>
                <c:pt idx="221">
                  <c:v>1977.2083333333333</c:v>
                </c:pt>
                <c:pt idx="222">
                  <c:v>1977.2916666666667</c:v>
                </c:pt>
                <c:pt idx="223">
                  <c:v>1977.375</c:v>
                </c:pt>
                <c:pt idx="224">
                  <c:v>1977.4583333333333</c:v>
                </c:pt>
                <c:pt idx="225">
                  <c:v>1977.5416666666667</c:v>
                </c:pt>
                <c:pt idx="226">
                  <c:v>1977.625</c:v>
                </c:pt>
                <c:pt idx="227">
                  <c:v>1977.7083333333333</c:v>
                </c:pt>
                <c:pt idx="228">
                  <c:v>1977.7916666666667</c:v>
                </c:pt>
                <c:pt idx="229">
                  <c:v>1977.875</c:v>
                </c:pt>
                <c:pt idx="230">
                  <c:v>1977.9583333333333</c:v>
                </c:pt>
                <c:pt idx="231">
                  <c:v>1978.0416666666667</c:v>
                </c:pt>
                <c:pt idx="232">
                  <c:v>1978.125</c:v>
                </c:pt>
                <c:pt idx="233">
                  <c:v>1978.2083333333333</c:v>
                </c:pt>
                <c:pt idx="234">
                  <c:v>1978.2916666666667</c:v>
                </c:pt>
                <c:pt idx="235">
                  <c:v>1978.375</c:v>
                </c:pt>
                <c:pt idx="236">
                  <c:v>1978.4583333333333</c:v>
                </c:pt>
                <c:pt idx="237">
                  <c:v>1978.5416666666667</c:v>
                </c:pt>
                <c:pt idx="238">
                  <c:v>1978.625</c:v>
                </c:pt>
                <c:pt idx="239">
                  <c:v>1978.7083333333333</c:v>
                </c:pt>
                <c:pt idx="240">
                  <c:v>1978.7916666666667</c:v>
                </c:pt>
                <c:pt idx="241">
                  <c:v>1978.875</c:v>
                </c:pt>
                <c:pt idx="242">
                  <c:v>1978.9583333333333</c:v>
                </c:pt>
                <c:pt idx="243">
                  <c:v>1979.0416666666667</c:v>
                </c:pt>
                <c:pt idx="244">
                  <c:v>1979.125</c:v>
                </c:pt>
                <c:pt idx="245">
                  <c:v>1979.2083333333333</c:v>
                </c:pt>
                <c:pt idx="246">
                  <c:v>1979.2916666666667</c:v>
                </c:pt>
                <c:pt idx="247">
                  <c:v>1979.375</c:v>
                </c:pt>
                <c:pt idx="248">
                  <c:v>1979.4583333333333</c:v>
                </c:pt>
                <c:pt idx="249">
                  <c:v>1979.5416666666667</c:v>
                </c:pt>
                <c:pt idx="250">
                  <c:v>1979.625</c:v>
                </c:pt>
                <c:pt idx="251">
                  <c:v>1979.7083333333333</c:v>
                </c:pt>
                <c:pt idx="252">
                  <c:v>1979.7916666666667</c:v>
                </c:pt>
                <c:pt idx="253">
                  <c:v>1979.875</c:v>
                </c:pt>
                <c:pt idx="254">
                  <c:v>1979.9583333333333</c:v>
                </c:pt>
                <c:pt idx="255">
                  <c:v>1980.0416666666667</c:v>
                </c:pt>
                <c:pt idx="256">
                  <c:v>1980.125</c:v>
                </c:pt>
                <c:pt idx="257">
                  <c:v>1980.2083333333333</c:v>
                </c:pt>
                <c:pt idx="258">
                  <c:v>1980.2916666666667</c:v>
                </c:pt>
                <c:pt idx="259">
                  <c:v>1980.375</c:v>
                </c:pt>
                <c:pt idx="260">
                  <c:v>1980.4583333333333</c:v>
                </c:pt>
                <c:pt idx="261">
                  <c:v>1980.5416666666667</c:v>
                </c:pt>
                <c:pt idx="262">
                  <c:v>1980.625</c:v>
                </c:pt>
                <c:pt idx="263">
                  <c:v>1980.7083333333333</c:v>
                </c:pt>
                <c:pt idx="264">
                  <c:v>1980.7916666666667</c:v>
                </c:pt>
                <c:pt idx="265">
                  <c:v>1980.875</c:v>
                </c:pt>
                <c:pt idx="266">
                  <c:v>1980.9583333333333</c:v>
                </c:pt>
                <c:pt idx="267">
                  <c:v>1981.0416666666667</c:v>
                </c:pt>
                <c:pt idx="268">
                  <c:v>1981.125</c:v>
                </c:pt>
                <c:pt idx="269">
                  <c:v>1981.2083333333333</c:v>
                </c:pt>
                <c:pt idx="270">
                  <c:v>1981.2916666666667</c:v>
                </c:pt>
                <c:pt idx="271">
                  <c:v>1981.375</c:v>
                </c:pt>
                <c:pt idx="272">
                  <c:v>1981.4583333333333</c:v>
                </c:pt>
                <c:pt idx="273">
                  <c:v>1981.5416666666667</c:v>
                </c:pt>
                <c:pt idx="274">
                  <c:v>1981.625</c:v>
                </c:pt>
                <c:pt idx="275">
                  <c:v>1981.7083333333333</c:v>
                </c:pt>
                <c:pt idx="276">
                  <c:v>1981.7916666666667</c:v>
                </c:pt>
                <c:pt idx="277">
                  <c:v>1981.875</c:v>
                </c:pt>
                <c:pt idx="278">
                  <c:v>1981.9583333333333</c:v>
                </c:pt>
                <c:pt idx="279">
                  <c:v>1982.0416666666667</c:v>
                </c:pt>
                <c:pt idx="280">
                  <c:v>1982.125</c:v>
                </c:pt>
                <c:pt idx="281">
                  <c:v>1982.2083333333333</c:v>
                </c:pt>
                <c:pt idx="282">
                  <c:v>1982.2916666666667</c:v>
                </c:pt>
                <c:pt idx="283">
                  <c:v>1982.375</c:v>
                </c:pt>
                <c:pt idx="284">
                  <c:v>1982.4583333333333</c:v>
                </c:pt>
                <c:pt idx="285">
                  <c:v>1982.5416666666667</c:v>
                </c:pt>
                <c:pt idx="286">
                  <c:v>1982.625</c:v>
                </c:pt>
                <c:pt idx="287">
                  <c:v>1982.7083333333333</c:v>
                </c:pt>
                <c:pt idx="288">
                  <c:v>1982.7916666666667</c:v>
                </c:pt>
                <c:pt idx="289">
                  <c:v>1982.875</c:v>
                </c:pt>
                <c:pt idx="290">
                  <c:v>1982.9583333333333</c:v>
                </c:pt>
                <c:pt idx="291">
                  <c:v>1983.0416666666667</c:v>
                </c:pt>
                <c:pt idx="292">
                  <c:v>1983.125</c:v>
                </c:pt>
                <c:pt idx="293">
                  <c:v>1983.2083333333333</c:v>
                </c:pt>
                <c:pt idx="294">
                  <c:v>1983.2916666666667</c:v>
                </c:pt>
                <c:pt idx="295">
                  <c:v>1983.375</c:v>
                </c:pt>
                <c:pt idx="296">
                  <c:v>1983.4583333333333</c:v>
                </c:pt>
                <c:pt idx="297">
                  <c:v>1983.5416666666667</c:v>
                </c:pt>
                <c:pt idx="298">
                  <c:v>1983.625</c:v>
                </c:pt>
                <c:pt idx="299">
                  <c:v>1983.7083333333333</c:v>
                </c:pt>
                <c:pt idx="300">
                  <c:v>1983.7916666666667</c:v>
                </c:pt>
                <c:pt idx="301">
                  <c:v>1983.875</c:v>
                </c:pt>
                <c:pt idx="302">
                  <c:v>1983.9583333333333</c:v>
                </c:pt>
                <c:pt idx="303">
                  <c:v>1984.0416666666667</c:v>
                </c:pt>
                <c:pt idx="304">
                  <c:v>1984.125</c:v>
                </c:pt>
                <c:pt idx="305">
                  <c:v>1984.2083333333333</c:v>
                </c:pt>
                <c:pt idx="306">
                  <c:v>1984.2916666666667</c:v>
                </c:pt>
                <c:pt idx="307">
                  <c:v>1984.375</c:v>
                </c:pt>
                <c:pt idx="308">
                  <c:v>1984.4583333333333</c:v>
                </c:pt>
                <c:pt idx="309">
                  <c:v>1984.5416666666667</c:v>
                </c:pt>
                <c:pt idx="310">
                  <c:v>1984.625</c:v>
                </c:pt>
                <c:pt idx="311">
                  <c:v>1984.7083333333333</c:v>
                </c:pt>
                <c:pt idx="312">
                  <c:v>1984.7916666666667</c:v>
                </c:pt>
                <c:pt idx="313">
                  <c:v>1984.875</c:v>
                </c:pt>
                <c:pt idx="314">
                  <c:v>1984.9583333333333</c:v>
                </c:pt>
                <c:pt idx="315">
                  <c:v>1985.0416666666667</c:v>
                </c:pt>
                <c:pt idx="316">
                  <c:v>1985.125</c:v>
                </c:pt>
                <c:pt idx="317">
                  <c:v>1985.2083333333333</c:v>
                </c:pt>
                <c:pt idx="318">
                  <c:v>1985.2916666666667</c:v>
                </c:pt>
                <c:pt idx="319">
                  <c:v>1985.375</c:v>
                </c:pt>
                <c:pt idx="320">
                  <c:v>1985.4583333333333</c:v>
                </c:pt>
                <c:pt idx="321">
                  <c:v>1985.5416666666667</c:v>
                </c:pt>
                <c:pt idx="322">
                  <c:v>1985.625</c:v>
                </c:pt>
                <c:pt idx="323">
                  <c:v>1985.7083333333333</c:v>
                </c:pt>
                <c:pt idx="324">
                  <c:v>1985.7916666666667</c:v>
                </c:pt>
                <c:pt idx="325">
                  <c:v>1985.875</c:v>
                </c:pt>
                <c:pt idx="326">
                  <c:v>1985.9583333333333</c:v>
                </c:pt>
                <c:pt idx="327">
                  <c:v>1986.0416666666667</c:v>
                </c:pt>
                <c:pt idx="328">
                  <c:v>1986.125</c:v>
                </c:pt>
                <c:pt idx="329">
                  <c:v>1986.2083333333333</c:v>
                </c:pt>
                <c:pt idx="330">
                  <c:v>1986.2916666666667</c:v>
                </c:pt>
                <c:pt idx="331">
                  <c:v>1986.375</c:v>
                </c:pt>
                <c:pt idx="332">
                  <c:v>1986.4583333333333</c:v>
                </c:pt>
                <c:pt idx="333">
                  <c:v>1986.5416666666667</c:v>
                </c:pt>
                <c:pt idx="334">
                  <c:v>1986.625</c:v>
                </c:pt>
                <c:pt idx="335">
                  <c:v>1986.7083333333333</c:v>
                </c:pt>
                <c:pt idx="336">
                  <c:v>1986.7916666666667</c:v>
                </c:pt>
                <c:pt idx="337">
                  <c:v>1986.875</c:v>
                </c:pt>
                <c:pt idx="338">
                  <c:v>1986.9583333333333</c:v>
                </c:pt>
                <c:pt idx="339">
                  <c:v>1987.0416666666667</c:v>
                </c:pt>
                <c:pt idx="340">
                  <c:v>1987.125</c:v>
                </c:pt>
                <c:pt idx="341">
                  <c:v>1987.2083333333333</c:v>
                </c:pt>
                <c:pt idx="342">
                  <c:v>1987.2916666666667</c:v>
                </c:pt>
                <c:pt idx="343">
                  <c:v>1987.375</c:v>
                </c:pt>
                <c:pt idx="344">
                  <c:v>1987.4583333333333</c:v>
                </c:pt>
                <c:pt idx="345">
                  <c:v>1987.5416666666667</c:v>
                </c:pt>
                <c:pt idx="346">
                  <c:v>1987.625</c:v>
                </c:pt>
                <c:pt idx="347">
                  <c:v>1987.7083333333333</c:v>
                </c:pt>
                <c:pt idx="348">
                  <c:v>1987.7916666666667</c:v>
                </c:pt>
                <c:pt idx="349">
                  <c:v>1987.875</c:v>
                </c:pt>
                <c:pt idx="350">
                  <c:v>1987.9583333333333</c:v>
                </c:pt>
                <c:pt idx="351">
                  <c:v>1988.0416666666667</c:v>
                </c:pt>
                <c:pt idx="352">
                  <c:v>1988.125</c:v>
                </c:pt>
                <c:pt idx="353">
                  <c:v>1988.2083333333333</c:v>
                </c:pt>
                <c:pt idx="354">
                  <c:v>1988.2916666666667</c:v>
                </c:pt>
                <c:pt idx="355">
                  <c:v>1988.375</c:v>
                </c:pt>
                <c:pt idx="356">
                  <c:v>1988.4583333333333</c:v>
                </c:pt>
                <c:pt idx="357">
                  <c:v>1988.5416666666667</c:v>
                </c:pt>
                <c:pt idx="358">
                  <c:v>1988.625</c:v>
                </c:pt>
                <c:pt idx="359">
                  <c:v>1988.7083333333333</c:v>
                </c:pt>
                <c:pt idx="360">
                  <c:v>1988.7916666666667</c:v>
                </c:pt>
                <c:pt idx="361">
                  <c:v>1988.875</c:v>
                </c:pt>
                <c:pt idx="362">
                  <c:v>1988.9583333333333</c:v>
                </c:pt>
                <c:pt idx="363">
                  <c:v>1989.0416666666667</c:v>
                </c:pt>
                <c:pt idx="364">
                  <c:v>1989.125</c:v>
                </c:pt>
                <c:pt idx="365">
                  <c:v>1989.2083333333333</c:v>
                </c:pt>
                <c:pt idx="366">
                  <c:v>1989.2916666666667</c:v>
                </c:pt>
                <c:pt idx="367">
                  <c:v>1989.375</c:v>
                </c:pt>
                <c:pt idx="368">
                  <c:v>1989.4583333333333</c:v>
                </c:pt>
                <c:pt idx="369">
                  <c:v>1989.5416666666667</c:v>
                </c:pt>
                <c:pt idx="370">
                  <c:v>1989.625</c:v>
                </c:pt>
                <c:pt idx="371">
                  <c:v>1989.7083333333333</c:v>
                </c:pt>
                <c:pt idx="372">
                  <c:v>1989.7916666666667</c:v>
                </c:pt>
                <c:pt idx="373">
                  <c:v>1989.875</c:v>
                </c:pt>
                <c:pt idx="374">
                  <c:v>1989.9583333333333</c:v>
                </c:pt>
                <c:pt idx="375">
                  <c:v>1990.0416666666667</c:v>
                </c:pt>
                <c:pt idx="376">
                  <c:v>1990.125</c:v>
                </c:pt>
                <c:pt idx="377">
                  <c:v>1990.2083333333333</c:v>
                </c:pt>
                <c:pt idx="378">
                  <c:v>1990.2916666666667</c:v>
                </c:pt>
                <c:pt idx="379">
                  <c:v>1990.375</c:v>
                </c:pt>
                <c:pt idx="380">
                  <c:v>1990.4583333333333</c:v>
                </c:pt>
                <c:pt idx="381">
                  <c:v>1990.5416666666667</c:v>
                </c:pt>
                <c:pt idx="382">
                  <c:v>1990.625</c:v>
                </c:pt>
                <c:pt idx="383">
                  <c:v>1990.7083333333333</c:v>
                </c:pt>
                <c:pt idx="384">
                  <c:v>1990.7916666666667</c:v>
                </c:pt>
                <c:pt idx="385">
                  <c:v>1990.875</c:v>
                </c:pt>
                <c:pt idx="386">
                  <c:v>1990.9583333333333</c:v>
                </c:pt>
                <c:pt idx="387">
                  <c:v>1991.0416666666667</c:v>
                </c:pt>
                <c:pt idx="388">
                  <c:v>1991.125</c:v>
                </c:pt>
                <c:pt idx="389">
                  <c:v>1991.2083333333333</c:v>
                </c:pt>
                <c:pt idx="390">
                  <c:v>1991.2916666666667</c:v>
                </c:pt>
                <c:pt idx="391">
                  <c:v>1991.375</c:v>
                </c:pt>
                <c:pt idx="392">
                  <c:v>1991.4583333333333</c:v>
                </c:pt>
                <c:pt idx="393">
                  <c:v>1991.5416666666667</c:v>
                </c:pt>
                <c:pt idx="394">
                  <c:v>1991.625</c:v>
                </c:pt>
                <c:pt idx="395">
                  <c:v>1991.7083333333333</c:v>
                </c:pt>
                <c:pt idx="396">
                  <c:v>1991.7916666666667</c:v>
                </c:pt>
                <c:pt idx="397">
                  <c:v>1991.875</c:v>
                </c:pt>
                <c:pt idx="398">
                  <c:v>1991.9583333333333</c:v>
                </c:pt>
                <c:pt idx="399">
                  <c:v>1992.0416666666667</c:v>
                </c:pt>
                <c:pt idx="400">
                  <c:v>1992.125</c:v>
                </c:pt>
                <c:pt idx="401">
                  <c:v>1992.2083333333333</c:v>
                </c:pt>
                <c:pt idx="402">
                  <c:v>1992.2916666666667</c:v>
                </c:pt>
                <c:pt idx="403">
                  <c:v>1992.375</c:v>
                </c:pt>
                <c:pt idx="404">
                  <c:v>1992.4583333333333</c:v>
                </c:pt>
                <c:pt idx="405">
                  <c:v>1992.5416666666667</c:v>
                </c:pt>
                <c:pt idx="406">
                  <c:v>1992.625</c:v>
                </c:pt>
                <c:pt idx="407">
                  <c:v>1992.7083333333333</c:v>
                </c:pt>
                <c:pt idx="408">
                  <c:v>1992.7916666666667</c:v>
                </c:pt>
                <c:pt idx="409">
                  <c:v>1992.875</c:v>
                </c:pt>
                <c:pt idx="410">
                  <c:v>1992.9583333333333</c:v>
                </c:pt>
                <c:pt idx="411">
                  <c:v>1993.0416666666667</c:v>
                </c:pt>
                <c:pt idx="412">
                  <c:v>1993.125</c:v>
                </c:pt>
                <c:pt idx="413">
                  <c:v>1993.2083333333333</c:v>
                </c:pt>
                <c:pt idx="414">
                  <c:v>1993.2916666666667</c:v>
                </c:pt>
                <c:pt idx="415">
                  <c:v>1993.375</c:v>
                </c:pt>
                <c:pt idx="416">
                  <c:v>1993.4583333333333</c:v>
                </c:pt>
                <c:pt idx="417">
                  <c:v>1993.5416666666667</c:v>
                </c:pt>
                <c:pt idx="418">
                  <c:v>1993.625</c:v>
                </c:pt>
                <c:pt idx="419">
                  <c:v>1993.7083333333333</c:v>
                </c:pt>
                <c:pt idx="420">
                  <c:v>1993.7916666666667</c:v>
                </c:pt>
                <c:pt idx="421">
                  <c:v>1993.875</c:v>
                </c:pt>
                <c:pt idx="422">
                  <c:v>1993.9583333333333</c:v>
                </c:pt>
                <c:pt idx="423">
                  <c:v>1994.0416666666667</c:v>
                </c:pt>
                <c:pt idx="424">
                  <c:v>1994.125</c:v>
                </c:pt>
                <c:pt idx="425">
                  <c:v>1994.2083333333333</c:v>
                </c:pt>
                <c:pt idx="426">
                  <c:v>1994.2916666666667</c:v>
                </c:pt>
                <c:pt idx="427">
                  <c:v>1994.375</c:v>
                </c:pt>
                <c:pt idx="428">
                  <c:v>1994.4583333333333</c:v>
                </c:pt>
                <c:pt idx="429">
                  <c:v>1994.5416666666667</c:v>
                </c:pt>
                <c:pt idx="430">
                  <c:v>1994.625</c:v>
                </c:pt>
                <c:pt idx="431">
                  <c:v>1994.7083333333333</c:v>
                </c:pt>
                <c:pt idx="432">
                  <c:v>1994.7916666666667</c:v>
                </c:pt>
                <c:pt idx="433">
                  <c:v>1994.875</c:v>
                </c:pt>
                <c:pt idx="434">
                  <c:v>1994.9583333333333</c:v>
                </c:pt>
                <c:pt idx="435">
                  <c:v>1995.0416666666667</c:v>
                </c:pt>
                <c:pt idx="436">
                  <c:v>1995.125</c:v>
                </c:pt>
                <c:pt idx="437">
                  <c:v>1995.2083333333333</c:v>
                </c:pt>
                <c:pt idx="438">
                  <c:v>1995.2916666666667</c:v>
                </c:pt>
                <c:pt idx="439">
                  <c:v>1995.375</c:v>
                </c:pt>
                <c:pt idx="440">
                  <c:v>1995.4583333333333</c:v>
                </c:pt>
                <c:pt idx="441">
                  <c:v>1995.5416666666667</c:v>
                </c:pt>
                <c:pt idx="442">
                  <c:v>1995.625</c:v>
                </c:pt>
                <c:pt idx="443">
                  <c:v>1995.7083333333333</c:v>
                </c:pt>
                <c:pt idx="444">
                  <c:v>1995.7916666666667</c:v>
                </c:pt>
                <c:pt idx="445">
                  <c:v>1995.875</c:v>
                </c:pt>
                <c:pt idx="446">
                  <c:v>1995.9583333333333</c:v>
                </c:pt>
                <c:pt idx="447">
                  <c:v>1996.0416666666667</c:v>
                </c:pt>
                <c:pt idx="448">
                  <c:v>1996.125</c:v>
                </c:pt>
                <c:pt idx="449">
                  <c:v>1996.2083333333333</c:v>
                </c:pt>
                <c:pt idx="450">
                  <c:v>1996.2916666666667</c:v>
                </c:pt>
                <c:pt idx="451">
                  <c:v>1996.375</c:v>
                </c:pt>
                <c:pt idx="452">
                  <c:v>1996.4583333333333</c:v>
                </c:pt>
                <c:pt idx="453">
                  <c:v>1996.5416666666667</c:v>
                </c:pt>
                <c:pt idx="454">
                  <c:v>1996.625</c:v>
                </c:pt>
                <c:pt idx="455">
                  <c:v>1996.7083333333333</c:v>
                </c:pt>
                <c:pt idx="456">
                  <c:v>1996.7916666666667</c:v>
                </c:pt>
                <c:pt idx="457">
                  <c:v>1996.875</c:v>
                </c:pt>
                <c:pt idx="458">
                  <c:v>1996.9583333333333</c:v>
                </c:pt>
                <c:pt idx="459">
                  <c:v>1997.0416666666667</c:v>
                </c:pt>
                <c:pt idx="460">
                  <c:v>1997.125</c:v>
                </c:pt>
                <c:pt idx="461">
                  <c:v>1997.2083333333333</c:v>
                </c:pt>
                <c:pt idx="462">
                  <c:v>1997.2916666666667</c:v>
                </c:pt>
                <c:pt idx="463">
                  <c:v>1997.375</c:v>
                </c:pt>
                <c:pt idx="464">
                  <c:v>1997.4583333333333</c:v>
                </c:pt>
                <c:pt idx="465">
                  <c:v>1997.5416666666667</c:v>
                </c:pt>
                <c:pt idx="466">
                  <c:v>1997.625</c:v>
                </c:pt>
                <c:pt idx="467">
                  <c:v>1997.7083333333333</c:v>
                </c:pt>
                <c:pt idx="468">
                  <c:v>1997.7916666666667</c:v>
                </c:pt>
                <c:pt idx="469">
                  <c:v>1997.875</c:v>
                </c:pt>
                <c:pt idx="470">
                  <c:v>1997.9583333333333</c:v>
                </c:pt>
                <c:pt idx="471">
                  <c:v>1998.0416666666667</c:v>
                </c:pt>
                <c:pt idx="472">
                  <c:v>1998.125</c:v>
                </c:pt>
                <c:pt idx="473">
                  <c:v>1998.2083333333333</c:v>
                </c:pt>
                <c:pt idx="474">
                  <c:v>1998.2916666666667</c:v>
                </c:pt>
                <c:pt idx="475">
                  <c:v>1998.375</c:v>
                </c:pt>
                <c:pt idx="476">
                  <c:v>1998.4583333333333</c:v>
                </c:pt>
                <c:pt idx="477">
                  <c:v>1998.5416666666667</c:v>
                </c:pt>
                <c:pt idx="478">
                  <c:v>1998.625</c:v>
                </c:pt>
                <c:pt idx="479">
                  <c:v>1998.7083333333333</c:v>
                </c:pt>
                <c:pt idx="480">
                  <c:v>1998.7916666666667</c:v>
                </c:pt>
                <c:pt idx="481">
                  <c:v>1998.875</c:v>
                </c:pt>
                <c:pt idx="482">
                  <c:v>1998.9583333333333</c:v>
                </c:pt>
                <c:pt idx="483">
                  <c:v>1999.0416666666667</c:v>
                </c:pt>
                <c:pt idx="484">
                  <c:v>1999.125</c:v>
                </c:pt>
                <c:pt idx="485">
                  <c:v>1999.2083333333333</c:v>
                </c:pt>
                <c:pt idx="486">
                  <c:v>1999.2916666666667</c:v>
                </c:pt>
                <c:pt idx="487">
                  <c:v>1999.375</c:v>
                </c:pt>
                <c:pt idx="488">
                  <c:v>1999.4583333333333</c:v>
                </c:pt>
                <c:pt idx="489">
                  <c:v>1999.5416666666667</c:v>
                </c:pt>
                <c:pt idx="490">
                  <c:v>1999.625</c:v>
                </c:pt>
                <c:pt idx="491">
                  <c:v>1999.7083333333333</c:v>
                </c:pt>
                <c:pt idx="492">
                  <c:v>1999.7916666666667</c:v>
                </c:pt>
                <c:pt idx="493">
                  <c:v>1999.875</c:v>
                </c:pt>
                <c:pt idx="494">
                  <c:v>1999.9583333333333</c:v>
                </c:pt>
                <c:pt idx="495">
                  <c:v>2000.0416666666667</c:v>
                </c:pt>
                <c:pt idx="496">
                  <c:v>2000.125</c:v>
                </c:pt>
                <c:pt idx="497">
                  <c:v>2000.2083333333333</c:v>
                </c:pt>
                <c:pt idx="498">
                  <c:v>2000.2916666666667</c:v>
                </c:pt>
                <c:pt idx="499">
                  <c:v>2000.375</c:v>
                </c:pt>
                <c:pt idx="500">
                  <c:v>2000.4583333333333</c:v>
                </c:pt>
                <c:pt idx="501">
                  <c:v>2000.5416666666667</c:v>
                </c:pt>
                <c:pt idx="502">
                  <c:v>2000.625</c:v>
                </c:pt>
                <c:pt idx="503">
                  <c:v>2000.7083333333333</c:v>
                </c:pt>
                <c:pt idx="504">
                  <c:v>2000.7916666666667</c:v>
                </c:pt>
                <c:pt idx="505">
                  <c:v>2000.875</c:v>
                </c:pt>
                <c:pt idx="506">
                  <c:v>2000.9583333333333</c:v>
                </c:pt>
                <c:pt idx="507">
                  <c:v>2001.0416666666667</c:v>
                </c:pt>
                <c:pt idx="508">
                  <c:v>2001.125</c:v>
                </c:pt>
                <c:pt idx="509">
                  <c:v>2001.2083333333333</c:v>
                </c:pt>
                <c:pt idx="510">
                  <c:v>2001.2916666666667</c:v>
                </c:pt>
                <c:pt idx="511">
                  <c:v>2001.375</c:v>
                </c:pt>
                <c:pt idx="512">
                  <c:v>2001.4583333333333</c:v>
                </c:pt>
                <c:pt idx="513">
                  <c:v>2001.5416666666667</c:v>
                </c:pt>
                <c:pt idx="514">
                  <c:v>2001.625</c:v>
                </c:pt>
                <c:pt idx="515">
                  <c:v>2001.7083333333333</c:v>
                </c:pt>
                <c:pt idx="516">
                  <c:v>2001.7916666666667</c:v>
                </c:pt>
                <c:pt idx="517">
                  <c:v>2001.875</c:v>
                </c:pt>
                <c:pt idx="518">
                  <c:v>2001.9583333333333</c:v>
                </c:pt>
                <c:pt idx="519">
                  <c:v>2002.0416666666667</c:v>
                </c:pt>
                <c:pt idx="520">
                  <c:v>2002.125</c:v>
                </c:pt>
                <c:pt idx="521">
                  <c:v>2002.2083333333333</c:v>
                </c:pt>
                <c:pt idx="522">
                  <c:v>2002.2916666666667</c:v>
                </c:pt>
                <c:pt idx="523">
                  <c:v>2002.375</c:v>
                </c:pt>
                <c:pt idx="524">
                  <c:v>2002.4583333333333</c:v>
                </c:pt>
                <c:pt idx="525">
                  <c:v>2002.5416666666667</c:v>
                </c:pt>
                <c:pt idx="526">
                  <c:v>2002.625</c:v>
                </c:pt>
                <c:pt idx="527">
                  <c:v>2002.7083333333333</c:v>
                </c:pt>
                <c:pt idx="528">
                  <c:v>2002.7916666666667</c:v>
                </c:pt>
                <c:pt idx="529">
                  <c:v>2002.875</c:v>
                </c:pt>
                <c:pt idx="530">
                  <c:v>2002.9583333333333</c:v>
                </c:pt>
                <c:pt idx="531">
                  <c:v>2003.0416666666667</c:v>
                </c:pt>
                <c:pt idx="532">
                  <c:v>2003.125</c:v>
                </c:pt>
                <c:pt idx="533">
                  <c:v>2003.2083333333333</c:v>
                </c:pt>
                <c:pt idx="534">
                  <c:v>2003.2916666666667</c:v>
                </c:pt>
                <c:pt idx="535">
                  <c:v>2003.375</c:v>
                </c:pt>
                <c:pt idx="536">
                  <c:v>2003.4583333333333</c:v>
                </c:pt>
                <c:pt idx="537">
                  <c:v>2003.5416666666667</c:v>
                </c:pt>
                <c:pt idx="538">
                  <c:v>2003.625</c:v>
                </c:pt>
                <c:pt idx="539">
                  <c:v>2003.7083333333333</c:v>
                </c:pt>
                <c:pt idx="540">
                  <c:v>2003.7916666666667</c:v>
                </c:pt>
                <c:pt idx="541">
                  <c:v>2003.875</c:v>
                </c:pt>
                <c:pt idx="542">
                  <c:v>2003.9583333333333</c:v>
                </c:pt>
                <c:pt idx="543">
                  <c:v>2004.0416666666667</c:v>
                </c:pt>
                <c:pt idx="544">
                  <c:v>2004.125</c:v>
                </c:pt>
                <c:pt idx="545">
                  <c:v>2004.2083333333333</c:v>
                </c:pt>
                <c:pt idx="546">
                  <c:v>2004.2916666666667</c:v>
                </c:pt>
                <c:pt idx="547">
                  <c:v>2004.375</c:v>
                </c:pt>
                <c:pt idx="548">
                  <c:v>2004.4583333333333</c:v>
                </c:pt>
                <c:pt idx="549">
                  <c:v>2004.5416666666667</c:v>
                </c:pt>
                <c:pt idx="550">
                  <c:v>2004.625</c:v>
                </c:pt>
                <c:pt idx="551">
                  <c:v>2004.7083333333333</c:v>
                </c:pt>
                <c:pt idx="552">
                  <c:v>2004.7916666666667</c:v>
                </c:pt>
                <c:pt idx="553">
                  <c:v>2004.875</c:v>
                </c:pt>
                <c:pt idx="554">
                  <c:v>2004.9583333333333</c:v>
                </c:pt>
                <c:pt idx="555">
                  <c:v>2005.0416666666667</c:v>
                </c:pt>
                <c:pt idx="556">
                  <c:v>2005.125</c:v>
                </c:pt>
                <c:pt idx="557">
                  <c:v>2005.2083333333333</c:v>
                </c:pt>
                <c:pt idx="558">
                  <c:v>2005.2916666666667</c:v>
                </c:pt>
                <c:pt idx="559">
                  <c:v>2005.375</c:v>
                </c:pt>
                <c:pt idx="560">
                  <c:v>2005.4583333333333</c:v>
                </c:pt>
                <c:pt idx="561">
                  <c:v>2005.5416666666667</c:v>
                </c:pt>
                <c:pt idx="562">
                  <c:v>2005.625</c:v>
                </c:pt>
                <c:pt idx="563">
                  <c:v>2005.7083333333333</c:v>
                </c:pt>
                <c:pt idx="564">
                  <c:v>2005.7916666666667</c:v>
                </c:pt>
                <c:pt idx="565">
                  <c:v>2005.875</c:v>
                </c:pt>
                <c:pt idx="566">
                  <c:v>2005.9583333333333</c:v>
                </c:pt>
                <c:pt idx="567">
                  <c:v>2006.0416666666667</c:v>
                </c:pt>
                <c:pt idx="568">
                  <c:v>2006.125</c:v>
                </c:pt>
                <c:pt idx="569">
                  <c:v>2006.2083333333333</c:v>
                </c:pt>
                <c:pt idx="570">
                  <c:v>2006.2916666666667</c:v>
                </c:pt>
                <c:pt idx="571">
                  <c:v>2006.375</c:v>
                </c:pt>
                <c:pt idx="572">
                  <c:v>2006.4583333333333</c:v>
                </c:pt>
                <c:pt idx="573">
                  <c:v>2006.5416666666667</c:v>
                </c:pt>
                <c:pt idx="574">
                  <c:v>2006.625</c:v>
                </c:pt>
                <c:pt idx="575">
                  <c:v>2006.7083333333333</c:v>
                </c:pt>
                <c:pt idx="576">
                  <c:v>2006.7916666666667</c:v>
                </c:pt>
                <c:pt idx="577">
                  <c:v>2006.875</c:v>
                </c:pt>
                <c:pt idx="578">
                  <c:v>2006.9583333333333</c:v>
                </c:pt>
                <c:pt idx="579">
                  <c:v>2007.0416666666667</c:v>
                </c:pt>
                <c:pt idx="580">
                  <c:v>2007.125</c:v>
                </c:pt>
                <c:pt idx="581">
                  <c:v>2007.2083333333333</c:v>
                </c:pt>
                <c:pt idx="582">
                  <c:v>2007.2916666666667</c:v>
                </c:pt>
                <c:pt idx="583">
                  <c:v>2007.375</c:v>
                </c:pt>
                <c:pt idx="584">
                  <c:v>2007.4583333333333</c:v>
                </c:pt>
                <c:pt idx="585">
                  <c:v>2007.5416666666667</c:v>
                </c:pt>
                <c:pt idx="586">
                  <c:v>2007.625</c:v>
                </c:pt>
                <c:pt idx="587">
                  <c:v>2007.7083333333333</c:v>
                </c:pt>
                <c:pt idx="588">
                  <c:v>2007.7916666666667</c:v>
                </c:pt>
                <c:pt idx="589">
                  <c:v>2007.875</c:v>
                </c:pt>
                <c:pt idx="590">
                  <c:v>2007.9583333333333</c:v>
                </c:pt>
                <c:pt idx="591">
                  <c:v>2008.0416666666667</c:v>
                </c:pt>
                <c:pt idx="592">
                  <c:v>2008.125</c:v>
                </c:pt>
                <c:pt idx="593">
                  <c:v>2008.2083333333333</c:v>
                </c:pt>
                <c:pt idx="594">
                  <c:v>2008.2916666666667</c:v>
                </c:pt>
                <c:pt idx="595">
                  <c:v>2008.375</c:v>
                </c:pt>
                <c:pt idx="596">
                  <c:v>2008.4583333333333</c:v>
                </c:pt>
                <c:pt idx="597">
                  <c:v>2008.5416666666667</c:v>
                </c:pt>
                <c:pt idx="598">
                  <c:v>2008.625</c:v>
                </c:pt>
                <c:pt idx="599">
                  <c:v>2008.7083333333333</c:v>
                </c:pt>
                <c:pt idx="600">
                  <c:v>2008.7916666666667</c:v>
                </c:pt>
                <c:pt idx="601">
                  <c:v>2008.875</c:v>
                </c:pt>
                <c:pt idx="602">
                  <c:v>2008.9583333333333</c:v>
                </c:pt>
                <c:pt idx="603">
                  <c:v>2009.0416666666667</c:v>
                </c:pt>
                <c:pt idx="604">
                  <c:v>2009.125</c:v>
                </c:pt>
                <c:pt idx="605">
                  <c:v>2009.2083333333333</c:v>
                </c:pt>
                <c:pt idx="606">
                  <c:v>2009.2916666666667</c:v>
                </c:pt>
                <c:pt idx="607">
                  <c:v>2009.375</c:v>
                </c:pt>
                <c:pt idx="608">
                  <c:v>2009.4583333333333</c:v>
                </c:pt>
                <c:pt idx="609">
                  <c:v>2009.5416666666667</c:v>
                </c:pt>
                <c:pt idx="610">
                  <c:v>2009.625</c:v>
                </c:pt>
                <c:pt idx="611">
                  <c:v>2009.7083333333333</c:v>
                </c:pt>
                <c:pt idx="612">
                  <c:v>2009.7916666666667</c:v>
                </c:pt>
                <c:pt idx="613">
                  <c:v>2009.875</c:v>
                </c:pt>
                <c:pt idx="614">
                  <c:v>2009.9583333333333</c:v>
                </c:pt>
                <c:pt idx="615">
                  <c:v>2010.0416666666667</c:v>
                </c:pt>
                <c:pt idx="616">
                  <c:v>2010.125</c:v>
                </c:pt>
                <c:pt idx="617">
                  <c:v>2010.2083333333333</c:v>
                </c:pt>
                <c:pt idx="618">
                  <c:v>2010.2916666666667</c:v>
                </c:pt>
                <c:pt idx="619">
                  <c:v>2010.375</c:v>
                </c:pt>
                <c:pt idx="620">
                  <c:v>2010.4583333333333</c:v>
                </c:pt>
                <c:pt idx="621">
                  <c:v>2010.5416666666667</c:v>
                </c:pt>
                <c:pt idx="622">
                  <c:v>2010.625</c:v>
                </c:pt>
                <c:pt idx="623">
                  <c:v>2010.7083333333333</c:v>
                </c:pt>
                <c:pt idx="624">
                  <c:v>2010.7916666666667</c:v>
                </c:pt>
                <c:pt idx="625">
                  <c:v>2010.875</c:v>
                </c:pt>
                <c:pt idx="626">
                  <c:v>2010.9583333333333</c:v>
                </c:pt>
                <c:pt idx="627">
                  <c:v>2011.0416666666667</c:v>
                </c:pt>
                <c:pt idx="628">
                  <c:v>2011.125</c:v>
                </c:pt>
                <c:pt idx="629">
                  <c:v>2011.2083333333333</c:v>
                </c:pt>
                <c:pt idx="630">
                  <c:v>2011.2916666666667</c:v>
                </c:pt>
                <c:pt idx="631">
                  <c:v>2011.375</c:v>
                </c:pt>
                <c:pt idx="632">
                  <c:v>2011.4583333333333</c:v>
                </c:pt>
                <c:pt idx="633">
                  <c:v>2011.5416666666667</c:v>
                </c:pt>
                <c:pt idx="634">
                  <c:v>2011.625</c:v>
                </c:pt>
                <c:pt idx="635">
                  <c:v>2011.7083333333333</c:v>
                </c:pt>
                <c:pt idx="636">
                  <c:v>2011.7916666666667</c:v>
                </c:pt>
                <c:pt idx="637">
                  <c:v>2011.875</c:v>
                </c:pt>
                <c:pt idx="638">
                  <c:v>2011.9583333333333</c:v>
                </c:pt>
                <c:pt idx="639">
                  <c:v>2012.0416666666667</c:v>
                </c:pt>
                <c:pt idx="640">
                  <c:v>2012.125</c:v>
                </c:pt>
                <c:pt idx="641">
                  <c:v>2012.2083333333333</c:v>
                </c:pt>
                <c:pt idx="642">
                  <c:v>2012.2916666666667</c:v>
                </c:pt>
                <c:pt idx="643">
                  <c:v>2012.375</c:v>
                </c:pt>
                <c:pt idx="644">
                  <c:v>2012.4583333333333</c:v>
                </c:pt>
                <c:pt idx="645">
                  <c:v>2012.5416666666667</c:v>
                </c:pt>
                <c:pt idx="646">
                  <c:v>2012.625</c:v>
                </c:pt>
                <c:pt idx="647">
                  <c:v>2012.7083333333333</c:v>
                </c:pt>
                <c:pt idx="648">
                  <c:v>2012.7916666666667</c:v>
                </c:pt>
                <c:pt idx="649">
                  <c:v>2012.875</c:v>
                </c:pt>
                <c:pt idx="650">
                  <c:v>2012.9583333333333</c:v>
                </c:pt>
                <c:pt idx="651">
                  <c:v>2013.0416666666667</c:v>
                </c:pt>
                <c:pt idx="652">
                  <c:v>2013.125</c:v>
                </c:pt>
                <c:pt idx="653">
                  <c:v>2013.2083333333333</c:v>
                </c:pt>
                <c:pt idx="654">
                  <c:v>2013.2916666666667</c:v>
                </c:pt>
                <c:pt idx="655">
                  <c:v>2013.375</c:v>
                </c:pt>
                <c:pt idx="656">
                  <c:v>2013.4583333333333</c:v>
                </c:pt>
                <c:pt idx="657">
                  <c:v>2013.5416666666667</c:v>
                </c:pt>
                <c:pt idx="658">
                  <c:v>2013.625</c:v>
                </c:pt>
                <c:pt idx="659">
                  <c:v>2013.7083333333333</c:v>
                </c:pt>
                <c:pt idx="660">
                  <c:v>2013.7916666666667</c:v>
                </c:pt>
                <c:pt idx="661">
                  <c:v>2013.875</c:v>
                </c:pt>
                <c:pt idx="662">
                  <c:v>2013.9583333333333</c:v>
                </c:pt>
                <c:pt idx="663">
                  <c:v>2014.0416666666667</c:v>
                </c:pt>
                <c:pt idx="664">
                  <c:v>2014.125</c:v>
                </c:pt>
                <c:pt idx="665">
                  <c:v>2014.2083333333333</c:v>
                </c:pt>
                <c:pt idx="666">
                  <c:v>2014.2916666666667</c:v>
                </c:pt>
                <c:pt idx="667">
                  <c:v>2014.375</c:v>
                </c:pt>
                <c:pt idx="668">
                  <c:v>2014.4583333333333</c:v>
                </c:pt>
                <c:pt idx="669">
                  <c:v>2014.5416666666667</c:v>
                </c:pt>
                <c:pt idx="670">
                  <c:v>2014.625</c:v>
                </c:pt>
                <c:pt idx="671">
                  <c:v>2014.7083333333333</c:v>
                </c:pt>
                <c:pt idx="672">
                  <c:v>2014.7916666666667</c:v>
                </c:pt>
                <c:pt idx="673">
                  <c:v>2014.875</c:v>
                </c:pt>
                <c:pt idx="674">
                  <c:v>2014.9583333333333</c:v>
                </c:pt>
                <c:pt idx="675">
                  <c:v>2015.0416666666667</c:v>
                </c:pt>
                <c:pt idx="676">
                  <c:v>2015.125</c:v>
                </c:pt>
                <c:pt idx="677">
                  <c:v>2015.2083333333333</c:v>
                </c:pt>
                <c:pt idx="678">
                  <c:v>2015.2916666666667</c:v>
                </c:pt>
                <c:pt idx="679">
                  <c:v>2015.375</c:v>
                </c:pt>
                <c:pt idx="680">
                  <c:v>2015.4583333333333</c:v>
                </c:pt>
                <c:pt idx="681">
                  <c:v>2015.5416666666667</c:v>
                </c:pt>
                <c:pt idx="682">
                  <c:v>2015.625</c:v>
                </c:pt>
                <c:pt idx="683">
                  <c:v>2015.7083333333333</c:v>
                </c:pt>
                <c:pt idx="684">
                  <c:v>2015.7916666666667</c:v>
                </c:pt>
                <c:pt idx="685">
                  <c:v>2015.875</c:v>
                </c:pt>
                <c:pt idx="686">
                  <c:v>2015.9583333333333</c:v>
                </c:pt>
                <c:pt idx="687">
                  <c:v>2016.0416666666667</c:v>
                </c:pt>
                <c:pt idx="688">
                  <c:v>2016.125</c:v>
                </c:pt>
                <c:pt idx="689">
                  <c:v>2016.2083333333333</c:v>
                </c:pt>
                <c:pt idx="690">
                  <c:v>2016.2916666666667</c:v>
                </c:pt>
                <c:pt idx="691">
                  <c:v>2016.375</c:v>
                </c:pt>
                <c:pt idx="692">
                  <c:v>2016.4583333333333</c:v>
                </c:pt>
                <c:pt idx="693">
                  <c:v>2016.5416666666667</c:v>
                </c:pt>
                <c:pt idx="694">
                  <c:v>2016.625</c:v>
                </c:pt>
                <c:pt idx="695">
                  <c:v>2016.7083333333333</c:v>
                </c:pt>
                <c:pt idx="696">
                  <c:v>2016.7916666666667</c:v>
                </c:pt>
                <c:pt idx="697">
                  <c:v>2016.875</c:v>
                </c:pt>
                <c:pt idx="698">
                  <c:v>2016.9583333333333</c:v>
                </c:pt>
                <c:pt idx="699">
                  <c:v>2017.0416666666667</c:v>
                </c:pt>
                <c:pt idx="700">
                  <c:v>2017.125</c:v>
                </c:pt>
                <c:pt idx="701">
                  <c:v>2017.2083333333333</c:v>
                </c:pt>
                <c:pt idx="702">
                  <c:v>2017.2916666666667</c:v>
                </c:pt>
                <c:pt idx="703">
                  <c:v>2017.375</c:v>
                </c:pt>
                <c:pt idx="704">
                  <c:v>2017.4583333333333</c:v>
                </c:pt>
                <c:pt idx="705">
                  <c:v>2017.5416666666667</c:v>
                </c:pt>
                <c:pt idx="706">
                  <c:v>2017.625</c:v>
                </c:pt>
                <c:pt idx="707">
                  <c:v>2017.7083333333333</c:v>
                </c:pt>
                <c:pt idx="708">
                  <c:v>2017.7916666666667</c:v>
                </c:pt>
                <c:pt idx="709">
                  <c:v>2017.875</c:v>
                </c:pt>
                <c:pt idx="710">
                  <c:v>2017.9583333333333</c:v>
                </c:pt>
                <c:pt idx="711">
                  <c:v>2018.0416666666667</c:v>
                </c:pt>
                <c:pt idx="712">
                  <c:v>2018.125</c:v>
                </c:pt>
                <c:pt idx="713">
                  <c:v>2018.2083333333333</c:v>
                </c:pt>
                <c:pt idx="714">
                  <c:v>2018.2916666666667</c:v>
                </c:pt>
                <c:pt idx="715">
                  <c:v>2018.375</c:v>
                </c:pt>
                <c:pt idx="716">
                  <c:v>2018.4583333333333</c:v>
                </c:pt>
                <c:pt idx="717">
                  <c:v>2018.5416666666667</c:v>
                </c:pt>
                <c:pt idx="718">
                  <c:v>2018.625</c:v>
                </c:pt>
                <c:pt idx="719">
                  <c:v>2018.7083333333333</c:v>
                </c:pt>
                <c:pt idx="720">
                  <c:v>2018.7916666666667</c:v>
                </c:pt>
                <c:pt idx="721">
                  <c:v>2018.875</c:v>
                </c:pt>
                <c:pt idx="722">
                  <c:v>2018.9583333333333</c:v>
                </c:pt>
                <c:pt idx="723">
                  <c:v>2019.0416666666667</c:v>
                </c:pt>
                <c:pt idx="724">
                  <c:v>2019.125</c:v>
                </c:pt>
                <c:pt idx="725">
                  <c:v>2019.2083333333333</c:v>
                </c:pt>
                <c:pt idx="726">
                  <c:v>2019.2916666666667</c:v>
                </c:pt>
                <c:pt idx="727">
                  <c:v>2019.375</c:v>
                </c:pt>
                <c:pt idx="728">
                  <c:v>2019.4583333333333</c:v>
                </c:pt>
                <c:pt idx="729">
                  <c:v>2019.5416666666667</c:v>
                </c:pt>
                <c:pt idx="730">
                  <c:v>2019.625</c:v>
                </c:pt>
                <c:pt idx="731">
                  <c:v>2019.7083333333333</c:v>
                </c:pt>
                <c:pt idx="732">
                  <c:v>2019.7916666666667</c:v>
                </c:pt>
                <c:pt idx="733">
                  <c:v>2019.875</c:v>
                </c:pt>
                <c:pt idx="734">
                  <c:v>2019.9583333333333</c:v>
                </c:pt>
                <c:pt idx="735">
                  <c:v>2020.0416666666667</c:v>
                </c:pt>
                <c:pt idx="736">
                  <c:v>2020.125</c:v>
                </c:pt>
                <c:pt idx="737">
                  <c:v>2020.2083333333333</c:v>
                </c:pt>
                <c:pt idx="738">
                  <c:v>2020.2916666666667</c:v>
                </c:pt>
                <c:pt idx="739">
                  <c:v>2020.375</c:v>
                </c:pt>
                <c:pt idx="740">
                  <c:v>2020.4583333333333</c:v>
                </c:pt>
                <c:pt idx="741">
                  <c:v>2020.5416666666667</c:v>
                </c:pt>
                <c:pt idx="742">
                  <c:v>2020.625</c:v>
                </c:pt>
                <c:pt idx="743">
                  <c:v>2020.7083333333333</c:v>
                </c:pt>
                <c:pt idx="744">
                  <c:v>2020.7916666666667</c:v>
                </c:pt>
                <c:pt idx="745">
                  <c:v>2020.875</c:v>
                </c:pt>
                <c:pt idx="746">
                  <c:v>2020.9583333333333</c:v>
                </c:pt>
                <c:pt idx="747">
                  <c:v>2021.0416666666667</c:v>
                </c:pt>
                <c:pt idx="748">
                  <c:v>2021.125</c:v>
                </c:pt>
                <c:pt idx="749">
                  <c:v>2021.2083333333333</c:v>
                </c:pt>
                <c:pt idx="750">
                  <c:v>2021.2916666666667</c:v>
                </c:pt>
                <c:pt idx="751">
                  <c:v>2021.375</c:v>
                </c:pt>
                <c:pt idx="752">
                  <c:v>2021.4583333333333</c:v>
                </c:pt>
                <c:pt idx="753">
                  <c:v>2021.5416666666667</c:v>
                </c:pt>
                <c:pt idx="754">
                  <c:v>2021.625</c:v>
                </c:pt>
                <c:pt idx="755">
                  <c:v>2021.7083333333333</c:v>
                </c:pt>
                <c:pt idx="756">
                  <c:v>2021.7916666666667</c:v>
                </c:pt>
                <c:pt idx="757">
                  <c:v>2021.875</c:v>
                </c:pt>
                <c:pt idx="758">
                  <c:v>2021.9583333333333</c:v>
                </c:pt>
                <c:pt idx="759">
                  <c:v>2022.0416666666667</c:v>
                </c:pt>
                <c:pt idx="760">
                  <c:v>2022.125</c:v>
                </c:pt>
                <c:pt idx="761">
                  <c:v>2022.2083333333333</c:v>
                </c:pt>
                <c:pt idx="762">
                  <c:v>2022.2916666666667</c:v>
                </c:pt>
                <c:pt idx="763">
                  <c:v>2022.375</c:v>
                </c:pt>
                <c:pt idx="764">
                  <c:v>2022.4583333333333</c:v>
                </c:pt>
                <c:pt idx="765">
                  <c:v>2022.5416666666667</c:v>
                </c:pt>
                <c:pt idx="766">
                  <c:v>2022.625</c:v>
                </c:pt>
                <c:pt idx="767">
                  <c:v>2022.7083333333333</c:v>
                </c:pt>
                <c:pt idx="768">
                  <c:v>2022.7916666666667</c:v>
                </c:pt>
                <c:pt idx="769">
                  <c:v>2022.875</c:v>
                </c:pt>
                <c:pt idx="770">
                  <c:v>2022.9583333333333</c:v>
                </c:pt>
                <c:pt idx="771">
                  <c:v>2023.0416666666667</c:v>
                </c:pt>
                <c:pt idx="772">
                  <c:v>2023.125</c:v>
                </c:pt>
                <c:pt idx="773">
                  <c:v>2023.2083333333333</c:v>
                </c:pt>
                <c:pt idx="774">
                  <c:v>2023.2916666666667</c:v>
                </c:pt>
                <c:pt idx="775">
                  <c:v>2023.375</c:v>
                </c:pt>
                <c:pt idx="776">
                  <c:v>2023.4583333333333</c:v>
                </c:pt>
                <c:pt idx="777">
                  <c:v>2023.5416666666667</c:v>
                </c:pt>
                <c:pt idx="778">
                  <c:v>2023.625</c:v>
                </c:pt>
                <c:pt idx="779">
                  <c:v>2023.7083333333333</c:v>
                </c:pt>
                <c:pt idx="780">
                  <c:v>2023.7916666666667</c:v>
                </c:pt>
                <c:pt idx="781">
                  <c:v>2023.875</c:v>
                </c:pt>
                <c:pt idx="782">
                  <c:v>2023.9583333333333</c:v>
                </c:pt>
                <c:pt idx="783">
                  <c:v>2024.0416666666667</c:v>
                </c:pt>
                <c:pt idx="784">
                  <c:v>2024.125</c:v>
                </c:pt>
                <c:pt idx="785">
                  <c:v>2024.2083333333333</c:v>
                </c:pt>
                <c:pt idx="786">
                  <c:v>2024.2916666666667</c:v>
                </c:pt>
                <c:pt idx="787">
                  <c:v>2024.375</c:v>
                </c:pt>
                <c:pt idx="788">
                  <c:v>2024.4583333333333</c:v>
                </c:pt>
                <c:pt idx="789">
                  <c:v>2024.5416666666667</c:v>
                </c:pt>
                <c:pt idx="790">
                  <c:v>2024.625</c:v>
                </c:pt>
                <c:pt idx="791">
                  <c:v>2024.7083333333333</c:v>
                </c:pt>
                <c:pt idx="792">
                  <c:v>2024.7916666666667</c:v>
                </c:pt>
                <c:pt idx="793">
                  <c:v>2024.875</c:v>
                </c:pt>
                <c:pt idx="794">
                  <c:v>2024.9583333333333</c:v>
                </c:pt>
                <c:pt idx="795">
                  <c:v>2025.0416666666667</c:v>
                </c:pt>
                <c:pt idx="796">
                  <c:v>2025.125</c:v>
                </c:pt>
                <c:pt idx="797">
                  <c:v>2025.2083333333333</c:v>
                </c:pt>
                <c:pt idx="798">
                  <c:v>2025.2916666666667</c:v>
                </c:pt>
                <c:pt idx="799">
                  <c:v>2025.375</c:v>
                </c:pt>
                <c:pt idx="800">
                  <c:v>2025.4583333333333</c:v>
                </c:pt>
                <c:pt idx="801">
                  <c:v>2025.5416666666667</c:v>
                </c:pt>
                <c:pt idx="802">
                  <c:v>2025.625</c:v>
                </c:pt>
                <c:pt idx="803">
                  <c:v>2025.7083333333333</c:v>
                </c:pt>
                <c:pt idx="804">
                  <c:v>2025.7916666666667</c:v>
                </c:pt>
                <c:pt idx="805">
                  <c:v>2025.875</c:v>
                </c:pt>
                <c:pt idx="806">
                  <c:v>2025.9583333333333</c:v>
                </c:pt>
              </c:numCache>
            </c:numRef>
          </c:xVal>
          <c:yVal>
            <c:numRef>
              <c:f>Kernel!$L$9:$L$815</c:f>
              <c:numCache>
                <c:formatCode>0.000</c:formatCode>
                <c:ptCount val="807"/>
                <c:pt idx="0">
                  <c:v>-7.9244876006525411E-2</c:v>
                </c:pt>
                <c:pt idx="1">
                  <c:v>-6.8037933711352944E-2</c:v>
                </c:pt>
                <c:pt idx="2">
                  <c:v>-4.7093170710357679E-2</c:v>
                </c:pt>
                <c:pt idx="3">
                  <c:v>-3.1250541744676966E-2</c:v>
                </c:pt>
                <c:pt idx="4">
                  <c:v>-1.5192513133167045E-2</c:v>
                </c:pt>
                <c:pt idx="5">
                  <c:v>-1.2538596941481135E-2</c:v>
                </c:pt>
                <c:pt idx="6">
                  <c:v>-7.1209811497794859E-4</c:v>
                </c:pt>
                <c:pt idx="7">
                  <c:v>1.930199254379341E-3</c:v>
                </c:pt>
                <c:pt idx="8">
                  <c:v>-8.2163766329393373E-3</c:v>
                </c:pt>
                <c:pt idx="9">
                  <c:v>-3.9683764607890526E-2</c:v>
                </c:pt>
                <c:pt idx="10">
                  <c:v>-7.1934218532622302E-2</c:v>
                </c:pt>
                <c:pt idx="11">
                  <c:v>-8.882411554345894E-2</c:v>
                </c:pt>
                <c:pt idx="12">
                  <c:v>-9.6126633925404187E-2</c:v>
                </c:pt>
                <c:pt idx="13">
                  <c:v>-7.5913746933383847E-2</c:v>
                </c:pt>
                <c:pt idx="14">
                  <c:v>-6.673635743567817E-2</c:v>
                </c:pt>
                <c:pt idx="15">
                  <c:v>-5.9096511545621795E-2</c:v>
                </c:pt>
                <c:pt idx="16">
                  <c:v>-5.446669751566327E-2</c:v>
                </c:pt>
                <c:pt idx="17">
                  <c:v>-4.8215928986637915E-2</c:v>
                </c:pt>
                <c:pt idx="18">
                  <c:v>-2.9002552044584205E-2</c:v>
                </c:pt>
                <c:pt idx="19">
                  <c:v>-1.8381592844548336E-2</c:v>
                </c:pt>
                <c:pt idx="20">
                  <c:v>-2.6084698292240513E-2</c:v>
                </c:pt>
                <c:pt idx="21">
                  <c:v>-4.4879985889846992E-2</c:v>
                </c:pt>
                <c:pt idx="22">
                  <c:v>-7.1332517614714944E-2</c:v>
                </c:pt>
                <c:pt idx="23">
                  <c:v>-9.0542014564425066E-2</c:v>
                </c:pt>
                <c:pt idx="24">
                  <c:v>-9.5289342770693744E-2</c:v>
                </c:pt>
                <c:pt idx="25">
                  <c:v>-8.4439606310975912E-2</c:v>
                </c:pt>
                <c:pt idx="26">
                  <c:v>-7.2799722148079116E-2</c:v>
                </c:pt>
                <c:pt idx="27">
                  <c:v>-6.522175193098087E-2</c:v>
                </c:pt>
                <c:pt idx="28">
                  <c:v>-5.5457858180035645E-2</c:v>
                </c:pt>
                <c:pt idx="29">
                  <c:v>-4.5726557991426206E-2</c:v>
                </c:pt>
                <c:pt idx="30">
                  <c:v>-3.3844828736418267E-2</c:v>
                </c:pt>
                <c:pt idx="31">
                  <c:v>-1.6427564594208903E-2</c:v>
                </c:pt>
                <c:pt idx="32">
                  <c:v>-2.2916465826901065E-2</c:v>
                </c:pt>
                <c:pt idx="33">
                  <c:v>-3.7897134231270217E-2</c:v>
                </c:pt>
                <c:pt idx="34">
                  <c:v>-6.5885344249895034E-2</c:v>
                </c:pt>
                <c:pt idx="35">
                  <c:v>-9.6025090989850515E-2</c:v>
                </c:pt>
                <c:pt idx="36">
                  <c:v>-9.6614706845572662E-2</c:v>
                </c:pt>
                <c:pt idx="37">
                  <c:v>-8.8301968386080454E-2</c:v>
                </c:pt>
                <c:pt idx="38">
                  <c:v>-7.6984643603855415E-2</c:v>
                </c:pt>
                <c:pt idx="39">
                  <c:v>-6.7823880311995516E-2</c:v>
                </c:pt>
                <c:pt idx="40">
                  <c:v>-6.2445869770606031E-2</c:v>
                </c:pt>
                <c:pt idx="41">
                  <c:v>-4.9950597354483456E-2</c:v>
                </c:pt>
                <c:pt idx="42">
                  <c:v>-4.1305833029404146E-2</c:v>
                </c:pt>
                <c:pt idx="43">
                  <c:v>-3.7485357465595018E-2</c:v>
                </c:pt>
                <c:pt idx="44">
                  <c:v>-4.246548477914959E-2</c:v>
                </c:pt>
                <c:pt idx="45">
                  <c:v>-5.2075598084158521E-2</c:v>
                </c:pt>
                <c:pt idx="46">
                  <c:v>-7.9056590419182352E-2</c:v>
                </c:pt>
                <c:pt idx="47">
                  <c:v>-9.4585980965877808E-2</c:v>
                </c:pt>
                <c:pt idx="48">
                  <c:v>-0.10774081211223432</c:v>
                </c:pt>
                <c:pt idx="49">
                  <c:v>-9.461056821122843E-2</c:v>
                </c:pt>
                <c:pt idx="50">
                  <c:v>-8.5829920388542147E-2</c:v>
                </c:pt>
                <c:pt idx="51">
                  <c:v>-7.635441191344261E-2</c:v>
                </c:pt>
                <c:pt idx="52">
                  <c:v>-7.158568578536588E-2</c:v>
                </c:pt>
                <c:pt idx="53">
                  <c:v>-5.7732113666563251E-2</c:v>
                </c:pt>
                <c:pt idx="54">
                  <c:v>-3.7240385531061952E-2</c:v>
                </c:pt>
                <c:pt idx="55">
                  <c:v>-2.8859170111041103E-2</c:v>
                </c:pt>
                <c:pt idx="56">
                  <c:v>-3.9344965997273863E-2</c:v>
                </c:pt>
                <c:pt idx="57">
                  <c:v>-5.9983196827629544E-2</c:v>
                </c:pt>
                <c:pt idx="58">
                  <c:v>-7.9710360456633808E-2</c:v>
                </c:pt>
                <c:pt idx="59">
                  <c:v>-9.7285711773839489E-2</c:v>
                </c:pt>
                <c:pt idx="60">
                  <c:v>-9.8899874738240176E-2</c:v>
                </c:pt>
                <c:pt idx="61">
                  <c:v>-8.3738401977662677E-2</c:v>
                </c:pt>
                <c:pt idx="62">
                  <c:v>-6.7589188016859772E-2</c:v>
                </c:pt>
                <c:pt idx="63">
                  <c:v>-5.5646808427282368E-2</c:v>
                </c:pt>
                <c:pt idx="64">
                  <c:v>-6.0903703729750958E-2</c:v>
                </c:pt>
                <c:pt idx="65">
                  <c:v>-7.0503695207451589E-2</c:v>
                </c:pt>
                <c:pt idx="66">
                  <c:v>-8.0475213247646199E-2</c:v>
                </c:pt>
                <c:pt idx="67">
                  <c:v>-9.9375891162595181E-2</c:v>
                </c:pt>
                <c:pt idx="68">
                  <c:v>-0.12402734972220905</c:v>
                </c:pt>
                <c:pt idx="69">
                  <c:v>-0.15782033440241439</c:v>
                </c:pt>
                <c:pt idx="70">
                  <c:v>-0.19234015796507381</c:v>
                </c:pt>
                <c:pt idx="71">
                  <c:v>-0.227057874358638</c:v>
                </c:pt>
                <c:pt idx="72">
                  <c:v>-0.23450932195370444</c:v>
                </c:pt>
                <c:pt idx="73">
                  <c:v>-0.23123432977971672</c:v>
                </c:pt>
                <c:pt idx="74">
                  <c:v>-0.22248138318957314</c:v>
                </c:pt>
                <c:pt idx="75">
                  <c:v>-0.21066944189124376</c:v>
                </c:pt>
                <c:pt idx="76">
                  <c:v>-0.18944275041542935</c:v>
                </c:pt>
                <c:pt idx="77">
                  <c:v>-0.17087310223074817</c:v>
                </c:pt>
                <c:pt idx="78">
                  <c:v>-0.13946677530252521</c:v>
                </c:pt>
                <c:pt idx="79">
                  <c:v>-0.11788378558531654</c:v>
                </c:pt>
                <c:pt idx="80">
                  <c:v>-9.5933865468655649E-2</c:v>
                </c:pt>
                <c:pt idx="81">
                  <c:v>-7.4930346658405159E-2</c:v>
                </c:pt>
                <c:pt idx="82">
                  <c:v>-7.4629577937547736E-2</c:v>
                </c:pt>
                <c:pt idx="83">
                  <c:v>-5.6482933599347723E-2</c:v>
                </c:pt>
                <c:pt idx="84">
                  <c:v>-3.2994010815957014E-2</c:v>
                </c:pt>
                <c:pt idx="85">
                  <c:v>1.4575905683034171E-2</c:v>
                </c:pt>
                <c:pt idx="86">
                  <c:v>4.0955825799150053E-2</c:v>
                </c:pt>
                <c:pt idx="87">
                  <c:v>6.4857387519965809E-2</c:v>
                </c:pt>
                <c:pt idx="88">
                  <c:v>7.8754065769068515E-2</c:v>
                </c:pt>
                <c:pt idx="89">
                  <c:v>8.6274937701314891E-2</c:v>
                </c:pt>
                <c:pt idx="90">
                  <c:v>9.3543471528367839E-2</c:v>
                </c:pt>
                <c:pt idx="91">
                  <c:v>8.6919521587135687E-2</c:v>
                </c:pt>
                <c:pt idx="92">
                  <c:v>7.2368851552495062E-2</c:v>
                </c:pt>
                <c:pt idx="93">
                  <c:v>4.8493949029758426E-2</c:v>
                </c:pt>
                <c:pt idx="94">
                  <c:v>1.5551564547978909E-2</c:v>
                </c:pt>
                <c:pt idx="95">
                  <c:v>-1.7380155176604961E-2</c:v>
                </c:pt>
                <c:pt idx="96">
                  <c:v>-3.4592847322650909E-2</c:v>
                </c:pt>
                <c:pt idx="97">
                  <c:v>-2.5188401898730589E-2</c:v>
                </c:pt>
                <c:pt idx="98">
                  <c:v>-2.1911804230682733E-2</c:v>
                </c:pt>
                <c:pt idx="99">
                  <c:v>-1.8208922530743556E-2</c:v>
                </c:pt>
                <c:pt idx="100">
                  <c:v>-2.6692621269115278E-2</c:v>
                </c:pt>
                <c:pt idx="101">
                  <c:v>-2.9457621780809771E-2</c:v>
                </c:pt>
                <c:pt idx="102">
                  <c:v>-1.7622938714612183E-2</c:v>
                </c:pt>
                <c:pt idx="103">
                  <c:v>-9.6918175513431709E-3</c:v>
                </c:pt>
                <c:pt idx="104">
                  <c:v>-1.5465851075973203E-2</c:v>
                </c:pt>
                <c:pt idx="105">
                  <c:v>-3.1206603995432007E-2</c:v>
                </c:pt>
                <c:pt idx="106">
                  <c:v>-5.3452992126150803E-2</c:v>
                </c:pt>
                <c:pt idx="107">
                  <c:v>-7.8955008200973037E-2</c:v>
                </c:pt>
                <c:pt idx="108">
                  <c:v>-8.1522012894551146E-2</c:v>
                </c:pt>
                <c:pt idx="109">
                  <c:v>-6.7830354686845798E-2</c:v>
                </c:pt>
                <c:pt idx="110">
                  <c:v>-5.6315719562849482E-2</c:v>
                </c:pt>
                <c:pt idx="111">
                  <c:v>-5.6051873645438427E-2</c:v>
                </c:pt>
                <c:pt idx="112">
                  <c:v>-5.7339779766742691E-2</c:v>
                </c:pt>
                <c:pt idx="113">
                  <c:v>-5.3178349067528205E-2</c:v>
                </c:pt>
                <c:pt idx="114">
                  <c:v>-4.0310691343956567E-2</c:v>
                </c:pt>
                <c:pt idx="115">
                  <c:v>-2.6039298542584601E-2</c:v>
                </c:pt>
                <c:pt idx="116">
                  <c:v>-1.6499284757979172E-2</c:v>
                </c:pt>
                <c:pt idx="117">
                  <c:v>-1.6472913364496213E-2</c:v>
                </c:pt>
                <c:pt idx="118">
                  <c:v>-3.0843054087888268E-2</c:v>
                </c:pt>
                <c:pt idx="119">
                  <c:v>-4.5471769863387232E-2</c:v>
                </c:pt>
                <c:pt idx="120">
                  <c:v>-3.7593042226715653E-2</c:v>
                </c:pt>
                <c:pt idx="121">
                  <c:v>-1.3955617283727666E-2</c:v>
                </c:pt>
                <c:pt idx="122">
                  <c:v>1.9703718952101226E-2</c:v>
                </c:pt>
                <c:pt idx="123">
                  <c:v>4.6466680000832518E-2</c:v>
                </c:pt>
                <c:pt idx="124">
                  <c:v>6.2714263247258178E-2</c:v>
                </c:pt>
                <c:pt idx="125">
                  <c:v>8.2428092152705204E-2</c:v>
                </c:pt>
                <c:pt idx="126">
                  <c:v>9.7380568881144075E-2</c:v>
                </c:pt>
                <c:pt idx="127">
                  <c:v>0.10679527632843797</c:v>
                </c:pt>
                <c:pt idx="128">
                  <c:v>9.6609077074139821E-2</c:v>
                </c:pt>
                <c:pt idx="129">
                  <c:v>8.260585747394332E-2</c:v>
                </c:pt>
                <c:pt idx="130">
                  <c:v>5.3514224657750444E-2</c:v>
                </c:pt>
                <c:pt idx="131">
                  <c:v>4.0520084461658161E-2</c:v>
                </c:pt>
                <c:pt idx="132">
                  <c:v>3.7693526162599876E-2</c:v>
                </c:pt>
                <c:pt idx="133">
                  <c:v>5.6803984265297383E-2</c:v>
                </c:pt>
                <c:pt idx="134">
                  <c:v>7.5292162942884405E-2</c:v>
                </c:pt>
                <c:pt idx="135">
                  <c:v>8.4322564584139448E-2</c:v>
                </c:pt>
                <c:pt idx="136">
                  <c:v>8.8710791934832278E-2</c:v>
                </c:pt>
                <c:pt idx="137">
                  <c:v>9.445034234821309E-2</c:v>
                </c:pt>
                <c:pt idx="138">
                  <c:v>0.10536888460117599</c:v>
                </c:pt>
                <c:pt idx="139">
                  <c:v>9.8413313648778006E-2</c:v>
                </c:pt>
                <c:pt idx="140">
                  <c:v>8.0298462407867199E-2</c:v>
                </c:pt>
                <c:pt idx="141">
                  <c:v>4.7091922564565195E-2</c:v>
                </c:pt>
                <c:pt idx="142">
                  <c:v>8.966967972316095E-3</c:v>
                </c:pt>
                <c:pt idx="143">
                  <c:v>-2.4716787360785759E-2</c:v>
                </c:pt>
                <c:pt idx="144">
                  <c:v>-3.8136944418128711E-2</c:v>
                </c:pt>
                <c:pt idx="145">
                  <c:v>-3.8781270311209023E-2</c:v>
                </c:pt>
                <c:pt idx="146">
                  <c:v>-4.234231701342505E-2</c:v>
                </c:pt>
                <c:pt idx="147">
                  <c:v>-4.8265495853620818E-2</c:v>
                </c:pt>
                <c:pt idx="148">
                  <c:v>-5.8984121396963164E-2</c:v>
                </c:pt>
                <c:pt idx="149">
                  <c:v>-6.1280321727556847E-2</c:v>
                </c:pt>
                <c:pt idx="150">
                  <c:v>-5.5086034776114942E-2</c:v>
                </c:pt>
                <c:pt idx="151">
                  <c:v>-4.0201681875691939E-2</c:v>
                </c:pt>
                <c:pt idx="152">
                  <c:v>-4.2724656494237984E-2</c:v>
                </c:pt>
                <c:pt idx="153">
                  <c:v>-5.5367625774543065E-2</c:v>
                </c:pt>
                <c:pt idx="154">
                  <c:v>-7.518363509767792E-2</c:v>
                </c:pt>
                <c:pt idx="155">
                  <c:v>-9.9014606094582874E-2</c:v>
                </c:pt>
                <c:pt idx="156">
                  <c:v>-9.7834233514546329E-2</c:v>
                </c:pt>
                <c:pt idx="157">
                  <c:v>-8.5616639213909218E-2</c:v>
                </c:pt>
                <c:pt idx="158">
                  <c:v>-7.1588097797590608E-2</c:v>
                </c:pt>
                <c:pt idx="159">
                  <c:v>-5.8286237715583805E-2</c:v>
                </c:pt>
                <c:pt idx="160">
                  <c:v>-3.7884712302292525E-2</c:v>
                </c:pt>
                <c:pt idx="161">
                  <c:v>-2.1085974305519582E-2</c:v>
                </c:pt>
                <c:pt idx="162">
                  <c:v>1.9884196915487148E-2</c:v>
                </c:pt>
                <c:pt idx="163">
                  <c:v>4.3924051978416541E-2</c:v>
                </c:pt>
                <c:pt idx="164">
                  <c:v>5.3949146729823247E-2</c:v>
                </c:pt>
                <c:pt idx="165">
                  <c:v>6.6294074746096318E-2</c:v>
                </c:pt>
                <c:pt idx="166">
                  <c:v>7.2416471884177686E-2</c:v>
                </c:pt>
                <c:pt idx="167">
                  <c:v>8.2211075859935479E-2</c:v>
                </c:pt>
                <c:pt idx="168">
                  <c:v>0.11416520049959766</c:v>
                </c:pt>
                <c:pt idx="169">
                  <c:v>0.15640549249157931</c:v>
                </c:pt>
                <c:pt idx="170">
                  <c:v>0.19004234682953064</c:v>
                </c:pt>
                <c:pt idx="171">
                  <c:v>0.21508084028049634</c:v>
                </c:pt>
                <c:pt idx="172">
                  <c:v>0.22925674615782363</c:v>
                </c:pt>
                <c:pt idx="173">
                  <c:v>0.22733950447593299</c:v>
                </c:pt>
                <c:pt idx="174">
                  <c:v>0.21978521175340351</c:v>
                </c:pt>
                <c:pt idx="175">
                  <c:v>0.20253661970425926</c:v>
                </c:pt>
                <c:pt idx="176">
                  <c:v>0.16708567625413792</c:v>
                </c:pt>
                <c:pt idx="177">
                  <c:v>0.12285260949498511</c:v>
                </c:pt>
                <c:pt idx="178">
                  <c:v>7.6132565682170694E-2</c:v>
                </c:pt>
                <c:pt idx="179">
                  <c:v>2.7654736170807534E-2</c:v>
                </c:pt>
                <c:pt idx="180">
                  <c:v>-6.2573105317060215E-3</c:v>
                </c:pt>
                <c:pt idx="181">
                  <c:v>-2.6648618746343979E-2</c:v>
                </c:pt>
                <c:pt idx="182">
                  <c:v>-5.1287619095907691E-2</c:v>
                </c:pt>
                <c:pt idx="183">
                  <c:v>-6.4823926961736111E-2</c:v>
                </c:pt>
                <c:pt idx="184">
                  <c:v>-6.1328057259307851E-2</c:v>
                </c:pt>
                <c:pt idx="185">
                  <c:v>-5.5065391843764175E-2</c:v>
                </c:pt>
                <c:pt idx="186">
                  <c:v>-3.8486172835229898E-2</c:v>
                </c:pt>
                <c:pt idx="187">
                  <c:v>-2.3586446206576364E-2</c:v>
                </c:pt>
                <c:pt idx="188">
                  <c:v>-2.6424241277539277E-2</c:v>
                </c:pt>
                <c:pt idx="189">
                  <c:v>-2.8403377113925869E-2</c:v>
                </c:pt>
                <c:pt idx="190">
                  <c:v>-4.0234831050696501E-2</c:v>
                </c:pt>
                <c:pt idx="191">
                  <c:v>-5.4199210005803106E-2</c:v>
                </c:pt>
                <c:pt idx="192">
                  <c:v>-5.3124113428694324E-2</c:v>
                </c:pt>
                <c:pt idx="193">
                  <c:v>-4.3705568569823737E-2</c:v>
                </c:pt>
                <c:pt idx="194">
                  <c:v>-2.7363432095156244E-2</c:v>
                </c:pt>
                <c:pt idx="195">
                  <c:v>-9.4165529195302904E-3</c:v>
                </c:pt>
                <c:pt idx="196">
                  <c:v>3.1295214617495723E-3</c:v>
                </c:pt>
                <c:pt idx="197">
                  <c:v>1.0843504731365378E-2</c:v>
                </c:pt>
                <c:pt idx="198">
                  <c:v>2.5245678552348164E-2</c:v>
                </c:pt>
                <c:pt idx="199">
                  <c:v>3.2612605247929069E-2</c:v>
                </c:pt>
                <c:pt idx="200">
                  <c:v>2.1732817650897015E-2</c:v>
                </c:pt>
                <c:pt idx="201">
                  <c:v>-2.8013086527101452E-3</c:v>
                </c:pt>
                <c:pt idx="202">
                  <c:v>-3.398619071467901E-2</c:v>
                </c:pt>
                <c:pt idx="203">
                  <c:v>-6.1238574671676066E-2</c:v>
                </c:pt>
                <c:pt idx="204">
                  <c:v>-7.1866229918952529E-2</c:v>
                </c:pt>
                <c:pt idx="205">
                  <c:v>-7.0664396820680653E-2</c:v>
                </c:pt>
                <c:pt idx="206">
                  <c:v>-6.5789877880657849E-2</c:v>
                </c:pt>
                <c:pt idx="207">
                  <c:v>-6.4260564852522892E-2</c:v>
                </c:pt>
                <c:pt idx="208">
                  <c:v>-4.8875244948228536E-2</c:v>
                </c:pt>
                <c:pt idx="209">
                  <c:v>-3.0350244124072241E-2</c:v>
                </c:pt>
                <c:pt idx="210">
                  <c:v>-3.4928082773489494E-4</c:v>
                </c:pt>
                <c:pt idx="211">
                  <c:v>1.5959469372554685E-2</c:v>
                </c:pt>
                <c:pt idx="212">
                  <c:v>2.6210438757882433E-2</c:v>
                </c:pt>
                <c:pt idx="213">
                  <c:v>3.6875738322139938E-2</c:v>
                </c:pt>
                <c:pt idx="214">
                  <c:v>3.0189509874949571E-2</c:v>
                </c:pt>
                <c:pt idx="215">
                  <c:v>3.2407424697887391E-2</c:v>
                </c:pt>
                <c:pt idx="216">
                  <c:v>5.2776658971890461E-2</c:v>
                </c:pt>
                <c:pt idx="217">
                  <c:v>8.9956772793165801E-2</c:v>
                </c:pt>
                <c:pt idx="218">
                  <c:v>0.12491067462368151</c:v>
                </c:pt>
                <c:pt idx="219">
                  <c:v>0.14961173801803723</c:v>
                </c:pt>
                <c:pt idx="220">
                  <c:v>0.16469904675328198</c:v>
                </c:pt>
                <c:pt idx="221">
                  <c:v>0.18640422587778815</c:v>
                </c:pt>
                <c:pt idx="222">
                  <c:v>0.19930141717599931</c:v>
                </c:pt>
                <c:pt idx="223">
                  <c:v>0.20777082133655406</c:v>
                </c:pt>
                <c:pt idx="224">
                  <c:v>0.20270852121975502</c:v>
                </c:pt>
                <c:pt idx="225">
                  <c:v>0.18947447679089172</c:v>
                </c:pt>
                <c:pt idx="226">
                  <c:v>0.16274846469463766</c:v>
                </c:pt>
                <c:pt idx="227">
                  <c:v>0.15041019593973098</c:v>
                </c:pt>
                <c:pt idx="228">
                  <c:v>0.15745379959121619</c:v>
                </c:pt>
                <c:pt idx="229">
                  <c:v>0.18087998674361941</c:v>
                </c:pt>
                <c:pt idx="230">
                  <c:v>0.20192530958771299</c:v>
                </c:pt>
                <c:pt idx="231">
                  <c:v>0.22172708491537321</c:v>
                </c:pt>
                <c:pt idx="232">
                  <c:v>0.22490518494145156</c:v>
                </c:pt>
                <c:pt idx="233">
                  <c:v>0.23314519012050444</c:v>
                </c:pt>
                <c:pt idx="234">
                  <c:v>0.23329556998473691</c:v>
                </c:pt>
                <c:pt idx="235">
                  <c:v>0.22237714473234049</c:v>
                </c:pt>
                <c:pt idx="236">
                  <c:v>0.21064882229228848</c:v>
                </c:pt>
                <c:pt idx="237">
                  <c:v>0.18051855913368436</c:v>
                </c:pt>
                <c:pt idx="238">
                  <c:v>0.14558333214059646</c:v>
                </c:pt>
                <c:pt idx="239">
                  <c:v>0.11084692364755504</c:v>
                </c:pt>
                <c:pt idx="240">
                  <c:v>0.10656546908651246</c:v>
                </c:pt>
                <c:pt idx="241">
                  <c:v>0.12174499476813552</c:v>
                </c:pt>
                <c:pt idx="242">
                  <c:v>0.13895539398014872</c:v>
                </c:pt>
                <c:pt idx="243">
                  <c:v>0.15793305296112223</c:v>
                </c:pt>
                <c:pt idx="244">
                  <c:v>0.16869011757137839</c:v>
                </c:pt>
                <c:pt idx="245">
                  <c:v>0.19238428015319997</c:v>
                </c:pt>
                <c:pt idx="246">
                  <c:v>0.2039698819309326</c:v>
                </c:pt>
                <c:pt idx="247">
                  <c:v>0.21260461469974756</c:v>
                </c:pt>
                <c:pt idx="248">
                  <c:v>0.21278537194744168</c:v>
                </c:pt>
                <c:pt idx="249">
                  <c:v>0.19181367718100287</c:v>
                </c:pt>
                <c:pt idx="250">
                  <c:v>0.17251528686390696</c:v>
                </c:pt>
                <c:pt idx="251">
                  <c:v>0.1561647265039913</c:v>
                </c:pt>
                <c:pt idx="252">
                  <c:v>0.16544459859764754</c:v>
                </c:pt>
                <c:pt idx="253">
                  <c:v>0.1837991365998897</c:v>
                </c:pt>
                <c:pt idx="254">
                  <c:v>0.20895967402581839</c:v>
                </c:pt>
                <c:pt idx="255">
                  <c:v>0.22762065576674873</c:v>
                </c:pt>
                <c:pt idx="256">
                  <c:v>0.23456076883835403</c:v>
                </c:pt>
                <c:pt idx="257">
                  <c:v>0.25343723693485243</c:v>
                </c:pt>
                <c:pt idx="258">
                  <c:v>0.26221069143660036</c:v>
                </c:pt>
                <c:pt idx="259">
                  <c:v>0.26963526291541362</c:v>
                </c:pt>
                <c:pt idx="260">
                  <c:v>0.26854205509599349</c:v>
                </c:pt>
                <c:pt idx="261">
                  <c:v>0.24156404896420411</c:v>
                </c:pt>
                <c:pt idx="262">
                  <c:v>0.21134325575230817</c:v>
                </c:pt>
                <c:pt idx="263">
                  <c:v>0.18420080897642069</c:v>
                </c:pt>
                <c:pt idx="264">
                  <c:v>0.17592763142333412</c:v>
                </c:pt>
                <c:pt idx="265">
                  <c:v>0.18668305291524775</c:v>
                </c:pt>
                <c:pt idx="266">
                  <c:v>0.19296387457115458</c:v>
                </c:pt>
                <c:pt idx="267">
                  <c:v>0.1951942431608546</c:v>
                </c:pt>
                <c:pt idx="268">
                  <c:v>0.19848192842966728</c:v>
                </c:pt>
                <c:pt idx="269">
                  <c:v>0.20158317701198855</c:v>
                </c:pt>
                <c:pt idx="270">
                  <c:v>0.20786154610664984</c:v>
                </c:pt>
                <c:pt idx="271">
                  <c:v>0.20860398410220438</c:v>
                </c:pt>
                <c:pt idx="272">
                  <c:v>0.19939813815291874</c:v>
                </c:pt>
                <c:pt idx="273">
                  <c:v>0.17642380924929538</c:v>
                </c:pt>
                <c:pt idx="274">
                  <c:v>0.14768701279331403</c:v>
                </c:pt>
                <c:pt idx="275">
                  <c:v>0.13172130440353941</c:v>
                </c:pt>
                <c:pt idx="276">
                  <c:v>0.13261208781879141</c:v>
                </c:pt>
                <c:pt idx="277">
                  <c:v>0.14942628852750364</c:v>
                </c:pt>
                <c:pt idx="278">
                  <c:v>0.16533171094647109</c:v>
                </c:pt>
                <c:pt idx="279">
                  <c:v>0.17972522457871973</c:v>
                </c:pt>
                <c:pt idx="280">
                  <c:v>0.19307091006221092</c:v>
                </c:pt>
                <c:pt idx="281">
                  <c:v>0.20897498592149466</c:v>
                </c:pt>
                <c:pt idx="282">
                  <c:v>0.22833778896033441</c:v>
                </c:pt>
                <c:pt idx="283">
                  <c:v>0.24833132722114765</c:v>
                </c:pt>
                <c:pt idx="284">
                  <c:v>0.24805158880368336</c:v>
                </c:pt>
                <c:pt idx="285">
                  <c:v>0.24024979085361606</c:v>
                </c:pt>
                <c:pt idx="286">
                  <c:v>0.22663280187590643</c:v>
                </c:pt>
                <c:pt idx="287">
                  <c:v>0.22398985867093368</c:v>
                </c:pt>
                <c:pt idx="288">
                  <c:v>0.24752839895259504</c:v>
                </c:pt>
                <c:pt idx="289">
                  <c:v>0.28160797513203084</c:v>
                </c:pt>
                <c:pt idx="290">
                  <c:v>0.3129540289964447</c:v>
                </c:pt>
                <c:pt idx="291">
                  <c:v>0.33423308646587652</c:v>
                </c:pt>
                <c:pt idx="292">
                  <c:v>0.35285002664143716</c:v>
                </c:pt>
                <c:pt idx="293">
                  <c:v>0.35454204471771372</c:v>
                </c:pt>
                <c:pt idx="294">
                  <c:v>0.36626881431306646</c:v>
                </c:pt>
                <c:pt idx="295">
                  <c:v>0.3591837293006952</c:v>
                </c:pt>
                <c:pt idx="296">
                  <c:v>0.33486234482011412</c:v>
                </c:pt>
                <c:pt idx="297">
                  <c:v>0.2944610842829799</c:v>
                </c:pt>
                <c:pt idx="298">
                  <c:v>0.24817550315040299</c:v>
                </c:pt>
                <c:pt idx="299">
                  <c:v>0.19567406749602267</c:v>
                </c:pt>
                <c:pt idx="300">
                  <c:v>0.16573059620762554</c:v>
                </c:pt>
                <c:pt idx="301">
                  <c:v>0.14987155425399146</c:v>
                </c:pt>
                <c:pt idx="302">
                  <c:v>0.14116595594531162</c:v>
                </c:pt>
                <c:pt idx="303">
                  <c:v>0.13759622376984237</c:v>
                </c:pt>
                <c:pt idx="304">
                  <c:v>0.13604001594324788</c:v>
                </c:pt>
                <c:pt idx="305">
                  <c:v>0.13994701377600888</c:v>
                </c:pt>
                <c:pt idx="306">
                  <c:v>0.15351873372743818</c:v>
                </c:pt>
                <c:pt idx="307">
                  <c:v>0.1521373334501771</c:v>
                </c:pt>
                <c:pt idx="308">
                  <c:v>0.14124999657523746</c:v>
                </c:pt>
                <c:pt idx="309">
                  <c:v>0.12585770224215856</c:v>
                </c:pt>
                <c:pt idx="310">
                  <c:v>0.1069727855866759</c:v>
                </c:pt>
                <c:pt idx="311">
                  <c:v>8.4385939576163568E-2</c:v>
                </c:pt>
                <c:pt idx="312">
                  <c:v>8.3230058462054612E-2</c:v>
                </c:pt>
                <c:pt idx="313">
                  <c:v>8.9499687758440694E-2</c:v>
                </c:pt>
                <c:pt idx="314">
                  <c:v>9.8255975262668882E-2</c:v>
                </c:pt>
                <c:pt idx="315">
                  <c:v>9.6437480067669126E-2</c:v>
                </c:pt>
                <c:pt idx="316">
                  <c:v>0.10460021612918347</c:v>
                </c:pt>
                <c:pt idx="317">
                  <c:v>0.12028166169805035</c:v>
                </c:pt>
                <c:pt idx="318">
                  <c:v>0.12931130377986166</c:v>
                </c:pt>
                <c:pt idx="319">
                  <c:v>0.13755924981733447</c:v>
                </c:pt>
                <c:pt idx="320">
                  <c:v>0.13612727360758628</c:v>
                </c:pt>
                <c:pt idx="321">
                  <c:v>0.12511537761509409</c:v>
                </c:pt>
                <c:pt idx="322">
                  <c:v>0.11660917836591626</c:v>
                </c:pt>
                <c:pt idx="323">
                  <c:v>0.10558568080220593</c:v>
                </c:pt>
                <c:pt idx="324">
                  <c:v>0.11256238980422104</c:v>
                </c:pt>
                <c:pt idx="325">
                  <c:v>0.13603067594385482</c:v>
                </c:pt>
                <c:pt idx="326">
                  <c:v>0.1563198968085901</c:v>
                </c:pt>
                <c:pt idx="327">
                  <c:v>0.16627214653547889</c:v>
                </c:pt>
                <c:pt idx="328">
                  <c:v>0.17657982173426051</c:v>
                </c:pt>
                <c:pt idx="329">
                  <c:v>0.1902995932822</c:v>
                </c:pt>
                <c:pt idx="330">
                  <c:v>0.21449782422420069</c:v>
                </c:pt>
                <c:pt idx="331">
                  <c:v>0.228922469071557</c:v>
                </c:pt>
                <c:pt idx="332">
                  <c:v>0.23160717297057679</c:v>
                </c:pt>
                <c:pt idx="333">
                  <c:v>0.22453797408171433</c:v>
                </c:pt>
                <c:pt idx="334">
                  <c:v>0.21643892593412503</c:v>
                </c:pt>
                <c:pt idx="335">
                  <c:v>0.22571619745602547</c:v>
                </c:pt>
                <c:pt idx="336">
                  <c:v>0.23757943550760791</c:v>
                </c:pt>
                <c:pt idx="337">
                  <c:v>0.27422876226278464</c:v>
                </c:pt>
                <c:pt idx="338">
                  <c:v>0.3094253845197048</c:v>
                </c:pt>
                <c:pt idx="339">
                  <c:v>0.34075261251530958</c:v>
                </c:pt>
                <c:pt idx="340">
                  <c:v>0.35672142790374245</c:v>
                </c:pt>
                <c:pt idx="341">
                  <c:v>0.37620327541467102</c:v>
                </c:pt>
                <c:pt idx="342">
                  <c:v>0.40040250975231184</c:v>
                </c:pt>
                <c:pt idx="343">
                  <c:v>0.41450203976034705</c:v>
                </c:pt>
                <c:pt idx="344">
                  <c:v>0.41664820205330227</c:v>
                </c:pt>
                <c:pt idx="345">
                  <c:v>0.41289283759209228</c:v>
                </c:pt>
                <c:pt idx="346">
                  <c:v>0.40375560401076799</c:v>
                </c:pt>
                <c:pt idx="347">
                  <c:v>0.39853622697190627</c:v>
                </c:pt>
                <c:pt idx="348">
                  <c:v>0.40779856450207064</c:v>
                </c:pt>
                <c:pt idx="349">
                  <c:v>0.42594693683267082</c:v>
                </c:pt>
                <c:pt idx="350">
                  <c:v>0.43762090387223596</c:v>
                </c:pt>
                <c:pt idx="351">
                  <c:v>0.44199565536500046</c:v>
                </c:pt>
                <c:pt idx="352">
                  <c:v>0.44180516530850972</c:v>
                </c:pt>
                <c:pt idx="353">
                  <c:v>0.43081655130865726</c:v>
                </c:pt>
                <c:pt idx="354">
                  <c:v>0.41797626226754875</c:v>
                </c:pt>
                <c:pt idx="355">
                  <c:v>0.39211892206601345</c:v>
                </c:pt>
                <c:pt idx="356">
                  <c:v>0.35208394136840254</c:v>
                </c:pt>
                <c:pt idx="357">
                  <c:v>0.3107314170799243</c:v>
                </c:pt>
                <c:pt idx="358">
                  <c:v>0.26365654666897331</c:v>
                </c:pt>
                <c:pt idx="359">
                  <c:v>0.22575551839600275</c:v>
                </c:pt>
                <c:pt idx="360">
                  <c:v>0.20677337721243969</c:v>
                </c:pt>
                <c:pt idx="361">
                  <c:v>0.19289124082429526</c:v>
                </c:pt>
                <c:pt idx="362">
                  <c:v>0.18385031895744494</c:v>
                </c:pt>
                <c:pt idx="363">
                  <c:v>0.18564652419509986</c:v>
                </c:pt>
                <c:pt idx="364">
                  <c:v>0.18328335597988599</c:v>
                </c:pt>
                <c:pt idx="365">
                  <c:v>0.19152778971777695</c:v>
                </c:pt>
                <c:pt idx="366">
                  <c:v>0.21574750996089009</c:v>
                </c:pt>
                <c:pt idx="367">
                  <c:v>0.22878572043606737</c:v>
                </c:pt>
                <c:pt idx="368">
                  <c:v>0.23671131943111715</c:v>
                </c:pt>
                <c:pt idx="369">
                  <c:v>0.23359425050417701</c:v>
                </c:pt>
                <c:pt idx="370">
                  <c:v>0.21971400798738816</c:v>
                </c:pt>
                <c:pt idx="371">
                  <c:v>0.20985719791478416</c:v>
                </c:pt>
                <c:pt idx="372">
                  <c:v>0.22245054797022884</c:v>
                </c:pt>
                <c:pt idx="373">
                  <c:v>0.2473134397877027</c:v>
                </c:pt>
                <c:pt idx="374">
                  <c:v>0.27374206401567031</c:v>
                </c:pt>
                <c:pt idx="375">
                  <c:v>0.29869311363390105</c:v>
                </c:pt>
                <c:pt idx="376">
                  <c:v>0.32482211661830401</c:v>
                </c:pt>
                <c:pt idx="377">
                  <c:v>0.34479940717797702</c:v>
                </c:pt>
                <c:pt idx="378">
                  <c:v>0.36189105053388754</c:v>
                </c:pt>
                <c:pt idx="379">
                  <c:v>0.3809712410655387</c:v>
                </c:pt>
                <c:pt idx="380">
                  <c:v>0.3770390159176138</c:v>
                </c:pt>
                <c:pt idx="381">
                  <c:v>0.36662916537117862</c:v>
                </c:pt>
                <c:pt idx="382">
                  <c:v>0.35280624347511697</c:v>
                </c:pt>
                <c:pt idx="383">
                  <c:v>0.33934739008381098</c:v>
                </c:pt>
                <c:pt idx="384">
                  <c:v>0.346374039997419</c:v>
                </c:pt>
                <c:pt idx="385">
                  <c:v>0.36635871449283991</c:v>
                </c:pt>
                <c:pt idx="386">
                  <c:v>0.38442356010214834</c:v>
                </c:pt>
                <c:pt idx="387">
                  <c:v>0.39383868505596892</c:v>
                </c:pt>
                <c:pt idx="388">
                  <c:v>0.404808813105478</c:v>
                </c:pt>
                <c:pt idx="389">
                  <c:v>0.42174093294221782</c:v>
                </c:pt>
                <c:pt idx="390">
                  <c:v>0.43910964949979975</c:v>
                </c:pt>
                <c:pt idx="391">
                  <c:v>0.44988210438534637</c:v>
                </c:pt>
                <c:pt idx="392">
                  <c:v>0.44681593801688108</c:v>
                </c:pt>
                <c:pt idx="393">
                  <c:v>0.430125150126413</c:v>
                </c:pt>
                <c:pt idx="394">
                  <c:v>0.39906108096925258</c:v>
                </c:pt>
                <c:pt idx="395">
                  <c:v>0.37000382760168049</c:v>
                </c:pt>
                <c:pt idx="396">
                  <c:v>0.35595982658608061</c:v>
                </c:pt>
                <c:pt idx="397">
                  <c:v>0.36288357337898913</c:v>
                </c:pt>
                <c:pt idx="398">
                  <c:v>0.37337787503661635</c:v>
                </c:pt>
                <c:pt idx="399">
                  <c:v>0.38284336241282912</c:v>
                </c:pt>
                <c:pt idx="400">
                  <c:v>0.3873556487609453</c:v>
                </c:pt>
                <c:pt idx="401">
                  <c:v>0.38795017010417454</c:v>
                </c:pt>
                <c:pt idx="402">
                  <c:v>0.39216679367549739</c:v>
                </c:pt>
                <c:pt idx="403">
                  <c:v>0.38275646400036117</c:v>
                </c:pt>
                <c:pt idx="404">
                  <c:v>0.35757576551045378</c:v>
                </c:pt>
                <c:pt idx="405">
                  <c:v>0.30651661539363262</c:v>
                </c:pt>
                <c:pt idx="406">
                  <c:v>0.25518011587033973</c:v>
                </c:pt>
                <c:pt idx="407">
                  <c:v>0.2052767864140041</c:v>
                </c:pt>
                <c:pt idx="408">
                  <c:v>0.1862474997724779</c:v>
                </c:pt>
                <c:pt idx="409">
                  <c:v>0.17893710186580347</c:v>
                </c:pt>
                <c:pt idx="410">
                  <c:v>0.18211054565622969</c:v>
                </c:pt>
                <c:pt idx="411">
                  <c:v>0.19481241026828217</c:v>
                </c:pt>
                <c:pt idx="412">
                  <c:v>0.20031530792935437</c:v>
                </c:pt>
                <c:pt idx="413">
                  <c:v>0.22021801896415699</c:v>
                </c:pt>
                <c:pt idx="414">
                  <c:v>0.2402469088030437</c:v>
                </c:pt>
                <c:pt idx="415">
                  <c:v>0.26187627253995127</c:v>
                </c:pt>
                <c:pt idx="416">
                  <c:v>0.26186124201338423</c:v>
                </c:pt>
                <c:pt idx="417">
                  <c:v>0.23945685377927528</c:v>
                </c:pt>
                <c:pt idx="418">
                  <c:v>0.22245231472610094</c:v>
                </c:pt>
                <c:pt idx="419">
                  <c:v>0.20702912238436152</c:v>
                </c:pt>
                <c:pt idx="420">
                  <c:v>0.21140260039966469</c:v>
                </c:pt>
                <c:pt idx="421">
                  <c:v>0.22998659259014317</c:v>
                </c:pt>
                <c:pt idx="422">
                  <c:v>0.25125892761206037</c:v>
                </c:pt>
                <c:pt idx="423">
                  <c:v>0.26864340518205443</c:v>
                </c:pt>
                <c:pt idx="424">
                  <c:v>0.27884994321936796</c:v>
                </c:pt>
                <c:pt idx="425">
                  <c:v>0.29528444796410713</c:v>
                </c:pt>
                <c:pt idx="426">
                  <c:v>0.31711528603954536</c:v>
                </c:pt>
                <c:pt idx="427">
                  <c:v>0.33155480769754381</c:v>
                </c:pt>
                <c:pt idx="428">
                  <c:v>0.33139013199729339</c:v>
                </c:pt>
                <c:pt idx="429">
                  <c:v>0.32580593597786917</c:v>
                </c:pt>
                <c:pt idx="430">
                  <c:v>0.31405856407351401</c:v>
                </c:pt>
                <c:pt idx="431">
                  <c:v>0.30724622074264962</c:v>
                </c:pt>
                <c:pt idx="432">
                  <c:v>0.32605715479764552</c:v>
                </c:pt>
                <c:pt idx="433">
                  <c:v>0.36102151022580031</c:v>
                </c:pt>
                <c:pt idx="434">
                  <c:v>0.39459596111340234</c:v>
                </c:pt>
                <c:pt idx="435">
                  <c:v>0.4184710878145772</c:v>
                </c:pt>
                <c:pt idx="436">
                  <c:v>0.43611788790230399</c:v>
                </c:pt>
                <c:pt idx="437">
                  <c:v>0.44925600249626413</c:v>
                </c:pt>
                <c:pt idx="438">
                  <c:v>0.46178302837872615</c:v>
                </c:pt>
                <c:pt idx="439">
                  <c:v>0.46031750111282049</c:v>
                </c:pt>
                <c:pt idx="440">
                  <c:v>0.44757130266388001</c:v>
                </c:pt>
                <c:pt idx="441">
                  <c:v>0.42086137861640294</c:v>
                </c:pt>
                <c:pt idx="442">
                  <c:v>0.38084027951354632</c:v>
                </c:pt>
                <c:pt idx="443">
                  <c:v>0.35315295793752788</c:v>
                </c:pt>
                <c:pt idx="444">
                  <c:v>0.3339193092719358</c:v>
                </c:pt>
                <c:pt idx="445">
                  <c:v>0.33384748744387727</c:v>
                </c:pt>
                <c:pt idx="446">
                  <c:v>0.33455363844097485</c:v>
                </c:pt>
                <c:pt idx="447">
                  <c:v>0.34209168555447633</c:v>
                </c:pt>
                <c:pt idx="448">
                  <c:v>0.35255513201758748</c:v>
                </c:pt>
                <c:pt idx="449">
                  <c:v>0.36490182347238914</c:v>
                </c:pt>
                <c:pt idx="450">
                  <c:v>0.37509611017339078</c:v>
                </c:pt>
                <c:pt idx="451">
                  <c:v>0.38858549299202499</c:v>
                </c:pt>
                <c:pt idx="452">
                  <c:v>0.39320313040022992</c:v>
                </c:pt>
                <c:pt idx="453">
                  <c:v>0.38489906046395483</c:v>
                </c:pt>
                <c:pt idx="454">
                  <c:v>0.36632057295328574</c:v>
                </c:pt>
                <c:pt idx="455">
                  <c:v>0.3494591280514795</c:v>
                </c:pt>
                <c:pt idx="456">
                  <c:v>0.35204638518742487</c:v>
                </c:pt>
                <c:pt idx="457">
                  <c:v>0.36708376186915748</c:v>
                </c:pt>
                <c:pt idx="458">
                  <c:v>0.38199580563063923</c:v>
                </c:pt>
                <c:pt idx="459">
                  <c:v>0.39157159091317628</c:v>
                </c:pt>
                <c:pt idx="460">
                  <c:v>0.4057270617490415</c:v>
                </c:pt>
                <c:pt idx="461">
                  <c:v>0.41871765062143657</c:v>
                </c:pt>
                <c:pt idx="462">
                  <c:v>0.45261016981213836</c:v>
                </c:pt>
                <c:pt idx="463">
                  <c:v>0.4766234362252873</c:v>
                </c:pt>
                <c:pt idx="464">
                  <c:v>0.49254279546845686</c:v>
                </c:pt>
                <c:pt idx="465">
                  <c:v>0.50948828970864868</c:v>
                </c:pt>
                <c:pt idx="466">
                  <c:v>0.5199794933684011</c:v>
                </c:pt>
                <c:pt idx="467">
                  <c:v>0.53188647127432731</c:v>
                </c:pt>
                <c:pt idx="468">
                  <c:v>0.57000452176901983</c:v>
                </c:pt>
                <c:pt idx="469">
                  <c:v>0.61774211856110028</c:v>
                </c:pt>
                <c:pt idx="470">
                  <c:v>0.66347104168525928</c:v>
                </c:pt>
                <c:pt idx="471">
                  <c:v>0.69149852321355398</c:v>
                </c:pt>
                <c:pt idx="472">
                  <c:v>0.70817901903485347</c:v>
                </c:pt>
                <c:pt idx="473">
                  <c:v>0.71830015582438278</c:v>
                </c:pt>
                <c:pt idx="474">
                  <c:v>0.72270413907670084</c:v>
                </c:pt>
                <c:pt idx="475">
                  <c:v>0.70810532823682626</c:v>
                </c:pt>
                <c:pt idx="476">
                  <c:v>0.67396764548322174</c:v>
                </c:pt>
                <c:pt idx="477">
                  <c:v>0.62485009373681399</c:v>
                </c:pt>
                <c:pt idx="478">
                  <c:v>0.56923363727827025</c:v>
                </c:pt>
                <c:pt idx="479">
                  <c:v>0.51416169725188909</c:v>
                </c:pt>
                <c:pt idx="480">
                  <c:v>0.4869888747934269</c:v>
                </c:pt>
                <c:pt idx="481">
                  <c:v>0.46856865731850966</c:v>
                </c:pt>
                <c:pt idx="482">
                  <c:v>0.45670304480827895</c:v>
                </c:pt>
                <c:pt idx="483">
                  <c:v>0.44229254636100201</c:v>
                </c:pt>
                <c:pt idx="484">
                  <c:v>0.43620913416931612</c:v>
                </c:pt>
                <c:pt idx="485">
                  <c:v>0.4356400947027626</c:v>
                </c:pt>
                <c:pt idx="486">
                  <c:v>0.44679459238417796</c:v>
                </c:pt>
                <c:pt idx="487">
                  <c:v>0.44444108011184208</c:v>
                </c:pt>
                <c:pt idx="488">
                  <c:v>0.43464986071461631</c:v>
                </c:pt>
                <c:pt idx="489">
                  <c:v>0.42198899443333698</c:v>
                </c:pt>
                <c:pt idx="490">
                  <c:v>0.3909592021219172</c:v>
                </c:pt>
                <c:pt idx="491">
                  <c:v>0.36374973949845479</c:v>
                </c:pt>
                <c:pt idx="492">
                  <c:v>0.36301846508415092</c:v>
                </c:pt>
                <c:pt idx="493">
                  <c:v>0.36697389597726549</c:v>
                </c:pt>
                <c:pt idx="494">
                  <c:v>0.36885955400157511</c:v>
                </c:pt>
                <c:pt idx="495">
                  <c:v>0.37196910842165848</c:v>
                </c:pt>
                <c:pt idx="496">
                  <c:v>0.37128126775035597</c:v>
                </c:pt>
                <c:pt idx="497">
                  <c:v>0.38543725420120922</c:v>
                </c:pt>
                <c:pt idx="498">
                  <c:v>0.40472859982241166</c:v>
                </c:pt>
                <c:pt idx="499">
                  <c:v>0.41075349560092361</c:v>
                </c:pt>
                <c:pt idx="500">
                  <c:v>0.42024831895087822</c:v>
                </c:pt>
                <c:pt idx="501">
                  <c:v>0.41080548405067796</c:v>
                </c:pt>
                <c:pt idx="502">
                  <c:v>0.40249715442287326</c:v>
                </c:pt>
                <c:pt idx="503">
                  <c:v>0.3987885028596958</c:v>
                </c:pt>
                <c:pt idx="504">
                  <c:v>0.40340183439723287</c:v>
                </c:pt>
                <c:pt idx="505">
                  <c:v>0.41655847617397329</c:v>
                </c:pt>
                <c:pt idx="506">
                  <c:v>0.42888887600958836</c:v>
                </c:pt>
                <c:pt idx="507">
                  <c:v>0.43794677026473</c:v>
                </c:pt>
                <c:pt idx="508">
                  <c:v>0.45189276176493032</c:v>
                </c:pt>
                <c:pt idx="509">
                  <c:v>0.46766149390576189</c:v>
                </c:pt>
                <c:pt idx="510">
                  <c:v>0.48535900008565525</c:v>
                </c:pt>
                <c:pt idx="511">
                  <c:v>0.4993717839502439</c:v>
                </c:pt>
                <c:pt idx="512">
                  <c:v>0.50274047581087333</c:v>
                </c:pt>
                <c:pt idx="513">
                  <c:v>0.49369004367868696</c:v>
                </c:pt>
                <c:pt idx="514">
                  <c:v>0.47948551360448316</c:v>
                </c:pt>
                <c:pt idx="515">
                  <c:v>0.46878136951121596</c:v>
                </c:pt>
                <c:pt idx="516">
                  <c:v>0.47305855918872824</c:v>
                </c:pt>
                <c:pt idx="517">
                  <c:v>0.48685727015675889</c:v>
                </c:pt>
                <c:pt idx="518">
                  <c:v>0.50247882566679281</c:v>
                </c:pt>
                <c:pt idx="519">
                  <c:v>0.5196532880637692</c:v>
                </c:pt>
                <c:pt idx="520">
                  <c:v>0.534645135193348</c:v>
                </c:pt>
                <c:pt idx="521">
                  <c:v>0.55199065022649574</c:v>
                </c:pt>
                <c:pt idx="522">
                  <c:v>0.56864518959010157</c:v>
                </c:pt>
                <c:pt idx="523">
                  <c:v>0.58583548316748846</c:v>
                </c:pt>
                <c:pt idx="524">
                  <c:v>0.59462162527329576</c:v>
                </c:pt>
                <c:pt idx="525">
                  <c:v>0.59084459475246365</c:v>
                </c:pt>
                <c:pt idx="526">
                  <c:v>0.58016107945122453</c:v>
                </c:pt>
                <c:pt idx="527">
                  <c:v>0.58159225716033491</c:v>
                </c:pt>
                <c:pt idx="528">
                  <c:v>0.59517936617125211</c:v>
                </c:pt>
                <c:pt idx="529">
                  <c:v>0.63048568132034766</c:v>
                </c:pt>
                <c:pt idx="530">
                  <c:v>0.65904168552308906</c:v>
                </c:pt>
                <c:pt idx="531">
                  <c:v>0.67686011827658055</c:v>
                </c:pt>
                <c:pt idx="532">
                  <c:v>0.68336492046398578</c:v>
                </c:pt>
                <c:pt idx="533">
                  <c:v>0.68618443549086172</c:v>
                </c:pt>
                <c:pt idx="534">
                  <c:v>0.68623263872997697</c:v>
                </c:pt>
                <c:pt idx="535">
                  <c:v>0.68028258317845014</c:v>
                </c:pt>
                <c:pt idx="536">
                  <c:v>0.66548109758777507</c:v>
                </c:pt>
                <c:pt idx="537">
                  <c:v>0.64415437326864</c:v>
                </c:pt>
                <c:pt idx="538">
                  <c:v>0.61695001687959106</c:v>
                </c:pt>
                <c:pt idx="539">
                  <c:v>0.60331010149512732</c:v>
                </c:pt>
                <c:pt idx="540">
                  <c:v>0.60229244682990524</c:v>
                </c:pt>
                <c:pt idx="541">
                  <c:v>0.61898457392966566</c:v>
                </c:pt>
                <c:pt idx="542">
                  <c:v>0.63347986850638527</c:v>
                </c:pt>
                <c:pt idx="543">
                  <c:v>0.64552114486733314</c:v>
                </c:pt>
                <c:pt idx="544">
                  <c:v>0.65457600383604808</c:v>
                </c:pt>
                <c:pt idx="545">
                  <c:v>0.66326232750005065</c:v>
                </c:pt>
                <c:pt idx="546">
                  <c:v>0.67506883623429492</c:v>
                </c:pt>
                <c:pt idx="547">
                  <c:v>0.67532548188669628</c:v>
                </c:pt>
                <c:pt idx="548">
                  <c:v>0.66593820909048085</c:v>
                </c:pt>
                <c:pt idx="549">
                  <c:v>0.64688110748158023</c:v>
                </c:pt>
                <c:pt idx="550">
                  <c:v>0.63801874478761311</c:v>
                </c:pt>
                <c:pt idx="551">
                  <c:v>0.62622442657824895</c:v>
                </c:pt>
                <c:pt idx="552">
                  <c:v>0.6343183535826491</c:v>
                </c:pt>
                <c:pt idx="553">
                  <c:v>0.65769838438512063</c:v>
                </c:pt>
                <c:pt idx="554">
                  <c:v>0.6779845744521954</c:v>
                </c:pt>
                <c:pt idx="555">
                  <c:v>0.69113689621442653</c:v>
                </c:pt>
                <c:pt idx="556">
                  <c:v>0.70557286636814587</c:v>
                </c:pt>
                <c:pt idx="557">
                  <c:v>0.71387600416341057</c:v>
                </c:pt>
                <c:pt idx="558">
                  <c:v>0.72680826223596595</c:v>
                </c:pt>
                <c:pt idx="559">
                  <c:v>0.7239487342791362</c:v>
                </c:pt>
                <c:pt idx="560">
                  <c:v>0.71377083207103331</c:v>
                </c:pt>
                <c:pt idx="561">
                  <c:v>0.68929751600020339</c:v>
                </c:pt>
                <c:pt idx="562">
                  <c:v>0.65844931976715082</c:v>
                </c:pt>
                <c:pt idx="563">
                  <c:v>0.62926194902007471</c:v>
                </c:pt>
                <c:pt idx="564">
                  <c:v>0.62199861890939523</c:v>
                </c:pt>
                <c:pt idx="565">
                  <c:v>0.62068396523959224</c:v>
                </c:pt>
                <c:pt idx="566">
                  <c:v>0.62063832316751522</c:v>
                </c:pt>
                <c:pt idx="567">
                  <c:v>0.6172789946582985</c:v>
                </c:pt>
                <c:pt idx="568">
                  <c:v>0.61311386332718976</c:v>
                </c:pt>
                <c:pt idx="569">
                  <c:v>0.61091042887301616</c:v>
                </c:pt>
                <c:pt idx="570">
                  <c:v>0.62867616704577667</c:v>
                </c:pt>
                <c:pt idx="571">
                  <c:v>0.63691352250397359</c:v>
                </c:pt>
                <c:pt idx="572">
                  <c:v>0.63324100006621475</c:v>
                </c:pt>
                <c:pt idx="573">
                  <c:v>0.62589694321442679</c:v>
                </c:pt>
                <c:pt idx="574">
                  <c:v>0.61679923289083094</c:v>
                </c:pt>
                <c:pt idx="575">
                  <c:v>0.6152745692679128</c:v>
                </c:pt>
                <c:pt idx="576">
                  <c:v>0.63419922059313294</c:v>
                </c:pt>
                <c:pt idx="577">
                  <c:v>0.6615836724341122</c:v>
                </c:pt>
                <c:pt idx="578">
                  <c:v>0.6928290219008616</c:v>
                </c:pt>
                <c:pt idx="579">
                  <c:v>0.71009189407751749</c:v>
                </c:pt>
                <c:pt idx="580">
                  <c:v>0.71640338033936179</c:v>
                </c:pt>
                <c:pt idx="581">
                  <c:v>0.7134150636887413</c:v>
                </c:pt>
                <c:pt idx="582">
                  <c:v>0.72011490070945183</c:v>
                </c:pt>
                <c:pt idx="583">
                  <c:v>0.70950240069420534</c:v>
                </c:pt>
                <c:pt idx="584">
                  <c:v>0.69408856921782758</c:v>
                </c:pt>
                <c:pt idx="585">
                  <c:v>0.66697498129469945</c:v>
                </c:pt>
                <c:pt idx="586">
                  <c:v>0.62631670876347045</c:v>
                </c:pt>
                <c:pt idx="587">
                  <c:v>0.59666996158031871</c:v>
                </c:pt>
                <c:pt idx="588">
                  <c:v>0.57519709985727574</c:v>
                </c:pt>
                <c:pt idx="589">
                  <c:v>0.56502714937300069</c:v>
                </c:pt>
                <c:pt idx="590">
                  <c:v>0.55692977067716298</c:v>
                </c:pt>
                <c:pt idx="591">
                  <c:v>0.55259094003685327</c:v>
                </c:pt>
                <c:pt idx="592">
                  <c:v>0.54137799993951019</c:v>
                </c:pt>
                <c:pt idx="593">
                  <c:v>0.53694081013905903</c:v>
                </c:pt>
                <c:pt idx="594">
                  <c:v>0.54882196228924551</c:v>
                </c:pt>
                <c:pt idx="595">
                  <c:v>0.56888053791843596</c:v>
                </c:pt>
                <c:pt idx="596">
                  <c:v>0.5719060167506046</c:v>
                </c:pt>
                <c:pt idx="597">
                  <c:v>0.57236039296095587</c:v>
                </c:pt>
                <c:pt idx="598">
                  <c:v>0.56386558810009757</c:v>
                </c:pt>
                <c:pt idx="599">
                  <c:v>0.5657467901224954</c:v>
                </c:pt>
                <c:pt idx="600">
                  <c:v>0.57082051874944228</c:v>
                </c:pt>
                <c:pt idx="601">
                  <c:v>0.58428231537417075</c:v>
                </c:pt>
                <c:pt idx="602">
                  <c:v>0.59474126981986808</c:v>
                </c:pt>
                <c:pt idx="603">
                  <c:v>0.60359779267794966</c:v>
                </c:pt>
                <c:pt idx="604">
                  <c:v>0.60579485455247206</c:v>
                </c:pt>
                <c:pt idx="605">
                  <c:v>0.62099960320424741</c:v>
                </c:pt>
                <c:pt idx="606">
                  <c:v>0.63562061255429936</c:v>
                </c:pt>
                <c:pt idx="607">
                  <c:v>0.65623046529290985</c:v>
                </c:pt>
                <c:pt idx="608">
                  <c:v>0.66877550148533649</c:v>
                </c:pt>
                <c:pt idx="609">
                  <c:v>0.67327920361236493</c:v>
                </c:pt>
                <c:pt idx="610">
                  <c:v>0.67084598072141866</c:v>
                </c:pt>
                <c:pt idx="611">
                  <c:v>0.67396980409069984</c:v>
                </c:pt>
                <c:pt idx="612">
                  <c:v>0.69075686314945639</c:v>
                </c:pt>
                <c:pt idx="613">
                  <c:v>0.73226263831975347</c:v>
                </c:pt>
                <c:pt idx="614">
                  <c:v>0.77222872188387903</c:v>
                </c:pt>
                <c:pt idx="615">
                  <c:v>0.80652900835702201</c:v>
                </c:pt>
                <c:pt idx="616">
                  <c:v>0.83424621092293894</c:v>
                </c:pt>
                <c:pt idx="617">
                  <c:v>0.8474223537600063</c:v>
                </c:pt>
                <c:pt idx="618">
                  <c:v>0.85256845928024183</c:v>
                </c:pt>
                <c:pt idx="619">
                  <c:v>0.83972529454293365</c:v>
                </c:pt>
                <c:pt idx="620">
                  <c:v>0.8052810965301781</c:v>
                </c:pt>
                <c:pt idx="621">
                  <c:v>0.75653160956237131</c:v>
                </c:pt>
                <c:pt idx="622">
                  <c:v>0.70756123830049544</c:v>
                </c:pt>
                <c:pt idx="623">
                  <c:v>0.66271891753316736</c:v>
                </c:pt>
                <c:pt idx="624">
                  <c:v>0.63934938944130981</c:v>
                </c:pt>
                <c:pt idx="625">
                  <c:v>0.62994874474218676</c:v>
                </c:pt>
                <c:pt idx="626">
                  <c:v>0.62268297266061612</c:v>
                </c:pt>
                <c:pt idx="627">
                  <c:v>0.62615775079395897</c:v>
                </c:pt>
                <c:pt idx="628">
                  <c:v>0.62679572834937913</c:v>
                </c:pt>
                <c:pt idx="629">
                  <c:v>0.63474564030930847</c:v>
                </c:pt>
                <c:pt idx="630">
                  <c:v>0.64525018229618569</c:v>
                </c:pt>
                <c:pt idx="631">
                  <c:v>0.66234468014113013</c:v>
                </c:pt>
                <c:pt idx="632">
                  <c:v>0.66732720792211575</c:v>
                </c:pt>
                <c:pt idx="633">
                  <c:v>0.66212016700665244</c:v>
                </c:pt>
                <c:pt idx="634">
                  <c:v>0.64103398952241264</c:v>
                </c:pt>
                <c:pt idx="635">
                  <c:v>0.62705680407386621</c:v>
                </c:pt>
                <c:pt idx="636">
                  <c:v>0.61930573918738918</c:v>
                </c:pt>
                <c:pt idx="637">
                  <c:v>0.62476988042703407</c:v>
                </c:pt>
                <c:pt idx="638">
                  <c:v>0.63677519612664768</c:v>
                </c:pt>
                <c:pt idx="639">
                  <c:v>0.65074571263711145</c:v>
                </c:pt>
                <c:pt idx="640">
                  <c:v>0.66264308375966474</c:v>
                </c:pt>
                <c:pt idx="641">
                  <c:v>0.67475938358286214</c:v>
                </c:pt>
                <c:pt idx="642">
                  <c:v>0.70002160906796584</c:v>
                </c:pt>
                <c:pt idx="643">
                  <c:v>0.71567248838965303</c:v>
                </c:pt>
                <c:pt idx="644">
                  <c:v>0.71894784111350007</c:v>
                </c:pt>
                <c:pt idx="645">
                  <c:v>0.72235453389682713</c:v>
                </c:pt>
                <c:pt idx="646">
                  <c:v>0.71942209057716711</c:v>
                </c:pt>
                <c:pt idx="647">
                  <c:v>0.72044330875707285</c:v>
                </c:pt>
                <c:pt idx="648">
                  <c:v>0.72962606829401166</c:v>
                </c:pt>
                <c:pt idx="649">
                  <c:v>0.75379176259538183</c:v>
                </c:pt>
                <c:pt idx="650">
                  <c:v>0.76819873007571571</c:v>
                </c:pt>
                <c:pt idx="651">
                  <c:v>0.77645889639607268</c:v>
                </c:pt>
                <c:pt idx="652">
                  <c:v>0.78483416848192433</c:v>
                </c:pt>
                <c:pt idx="653">
                  <c:v>0.78885629764630061</c:v>
                </c:pt>
                <c:pt idx="654">
                  <c:v>0.79734714717953936</c:v>
                </c:pt>
                <c:pt idx="655">
                  <c:v>0.80779931756573575</c:v>
                </c:pt>
                <c:pt idx="656">
                  <c:v>0.79179330361769951</c:v>
                </c:pt>
                <c:pt idx="657">
                  <c:v>0.77403199121255362</c:v>
                </c:pt>
                <c:pt idx="658">
                  <c:v>0.75130540014811553</c:v>
                </c:pt>
                <c:pt idx="659">
                  <c:v>0.73365554836130331</c:v>
                </c:pt>
                <c:pt idx="660">
                  <c:v>0.73840953680769927</c:v>
                </c:pt>
                <c:pt idx="661">
                  <c:v>0.75581794871259766</c:v>
                </c:pt>
                <c:pt idx="662">
                  <c:v>0.77509280311424888</c:v>
                </c:pt>
                <c:pt idx="663">
                  <c:v>0.78465362379613257</c:v>
                </c:pt>
                <c:pt idx="664">
                  <c:v>0.78716240385090175</c:v>
                </c:pt>
                <c:pt idx="665">
                  <c:v>0.80688313848845805</c:v>
                </c:pt>
                <c:pt idx="666">
                  <c:v>0.83128215295239472</c:v>
                </c:pt>
                <c:pt idx="667">
                  <c:v>0.84526497175226367</c:v>
                </c:pt>
                <c:pt idx="668">
                  <c:v>0.84542738632977954</c:v>
                </c:pt>
                <c:pt idx="669">
                  <c:v>0.82570156934524386</c:v>
                </c:pt>
                <c:pt idx="670">
                  <c:v>0.80629608477630266</c:v>
                </c:pt>
                <c:pt idx="671">
                  <c:v>0.79473509477599336</c:v>
                </c:pt>
                <c:pt idx="672">
                  <c:v>0.81063886064978175</c:v>
                </c:pt>
                <c:pt idx="673">
                  <c:v>0.83522944285049439</c:v>
                </c:pt>
                <c:pt idx="674">
                  <c:v>0.86434207733012147</c:v>
                </c:pt>
                <c:pt idx="675">
                  <c:v>0.88436793022814419</c:v>
                </c:pt>
                <c:pt idx="676">
                  <c:v>0.89416639616413607</c:v>
                </c:pt>
                <c:pt idx="677">
                  <c:v>0.91256795641121813</c:v>
                </c:pt>
                <c:pt idx="678">
                  <c:v>0.93697436123143851</c:v>
                </c:pt>
                <c:pt idx="679">
                  <c:v>0.95534630106619423</c:v>
                </c:pt>
                <c:pt idx="680">
                  <c:v>0.95591702606560713</c:v>
                </c:pt>
                <c:pt idx="681">
                  <c:v>0.95668475871523939</c:v>
                </c:pt>
                <c:pt idx="682">
                  <c:v>0.95311259918147773</c:v>
                </c:pt>
                <c:pt idx="683">
                  <c:v>0.96305306218211806</c:v>
                </c:pt>
                <c:pt idx="684">
                  <c:v>0.99426645074692499</c:v>
                </c:pt>
                <c:pt idx="685">
                  <c:v>1.0360203712877596</c:v>
                </c:pt>
                <c:pt idx="686">
                  <c:v>1.0770350092309149</c:v>
                </c:pt>
                <c:pt idx="687">
                  <c:v>1.1016985721812469</c:v>
                </c:pt>
                <c:pt idx="688">
                  <c:v>1.1256896016911198</c:v>
                </c:pt>
                <c:pt idx="689">
                  <c:v>1.1303023181088323</c:v>
                </c:pt>
                <c:pt idx="690">
                  <c:v>1.1396096800494495</c:v>
                </c:pt>
                <c:pt idx="691">
                  <c:v>1.1181096605215466</c:v>
                </c:pt>
                <c:pt idx="692">
                  <c:v>1.0785554607805226</c:v>
                </c:pt>
                <c:pt idx="693">
                  <c:v>1.0234173401100177</c:v>
                </c:pt>
                <c:pt idx="694">
                  <c:v>0.97241449657253787</c:v>
                </c:pt>
                <c:pt idx="695">
                  <c:v>0.93322934751267805</c:v>
                </c:pt>
                <c:pt idx="696">
                  <c:v>0.91358151673445587</c:v>
                </c:pt>
                <c:pt idx="697">
                  <c:v>0.91152580016973495</c:v>
                </c:pt>
                <c:pt idx="698">
                  <c:v>0.90550978938965199</c:v>
                </c:pt>
                <c:pt idx="699">
                  <c:v>0.91583639675375339</c:v>
                </c:pt>
                <c:pt idx="700">
                  <c:v>0.91699677911706301</c:v>
                </c:pt>
                <c:pt idx="701">
                  <c:v>0.92816278199431057</c:v>
                </c:pt>
                <c:pt idx="702">
                  <c:v>0.94767195834797302</c:v>
                </c:pt>
                <c:pt idx="703">
                  <c:v>0.95769851788097859</c:v>
                </c:pt>
                <c:pt idx="704">
                  <c:v>0.95248982198645082</c:v>
                </c:pt>
                <c:pt idx="705">
                  <c:v>0.93402974016284079</c:v>
                </c:pt>
                <c:pt idx="706">
                  <c:v>0.90871939163933813</c:v>
                </c:pt>
                <c:pt idx="707">
                  <c:v>0.88264887813041182</c:v>
                </c:pt>
                <c:pt idx="708">
                  <c:v>0.87278005365341482</c:v>
                </c:pt>
                <c:pt idx="709">
                  <c:v>0.87313357657448287</c:v>
                </c:pt>
                <c:pt idx="710">
                  <c:v>0.87433377359185871</c:v>
                </c:pt>
                <c:pt idx="711">
                  <c:v>0.873789653527</c:v>
                </c:pt>
                <c:pt idx="712">
                  <c:v>0.8684664131806219</c:v>
                </c:pt>
                <c:pt idx="713">
                  <c:v>0.8738648397094072</c:v>
                </c:pt>
                <c:pt idx="714">
                  <c:v>0.88237158785703218</c:v>
                </c:pt>
                <c:pt idx="715">
                  <c:v>0.89809374295068956</c:v>
                </c:pt>
                <c:pt idx="716">
                  <c:v>0.90357666173328988</c:v>
                </c:pt>
                <c:pt idx="717">
                  <c:v>0.89350073919514517</c:v>
                </c:pt>
                <c:pt idx="718">
                  <c:v>0.88699574135630044</c:v>
                </c:pt>
                <c:pt idx="719">
                  <c:v>0.88596076875531526</c:v>
                </c:pt>
                <c:pt idx="720">
                  <c:v>0.90779665691367728</c:v>
                </c:pt>
                <c:pt idx="721">
                  <c:v>0.94641759084170385</c:v>
                </c:pt>
                <c:pt idx="722">
                  <c:v>0.97308903172598815</c:v>
                </c:pt>
                <c:pt idx="723">
                  <c:v>1.0026233061647236</c:v>
                </c:pt>
                <c:pt idx="724">
                  <c:v>1.0213033425483924</c:v>
                </c:pt>
                <c:pt idx="725">
                  <c:v>1.0303045775324999</c:v>
                </c:pt>
                <c:pt idx="726">
                  <c:v>1.0480289582259017</c:v>
                </c:pt>
                <c:pt idx="727">
                  <c:v>1.062276838782948</c:v>
                </c:pt>
                <c:pt idx="728">
                  <c:v>1.0545547171849095</c:v>
                </c:pt>
                <c:pt idx="729">
                  <c:v>1.0273691211929585</c:v>
                </c:pt>
                <c:pt idx="730">
                  <c:v>0.99854092869583666</c:v>
                </c:pt>
                <c:pt idx="731">
                  <c:v>0.97707287329306791</c:v>
                </c:pt>
                <c:pt idx="732">
                  <c:v>0.9741440768213262</c:v>
                </c:pt>
                <c:pt idx="733">
                  <c:v>0.99317402417354139</c:v>
                </c:pt>
                <c:pt idx="734">
                  <c:v>1.0108068851288374</c:v>
                </c:pt>
                <c:pt idx="735">
                  <c:v>1.0271905600070352</c:v>
                </c:pt>
                <c:pt idx="736">
                  <c:v>1.0316651568264417</c:v>
                </c:pt>
                <c:pt idx="737">
                  <c:v>1.033165537228482</c:v>
                </c:pt>
                <c:pt idx="738">
                  <c:v>1.0427212632753782</c:v>
                </c:pt>
                <c:pt idx="739">
                  <c:v>1.0395378201236618</c:v>
                </c:pt>
                <c:pt idx="740">
                  <c:v>1.019191413409291</c:v>
                </c:pt>
                <c:pt idx="741">
                  <c:v>0.98665132963944013</c:v>
                </c:pt>
                <c:pt idx="742">
                  <c:v>0.95490209790368585</c:v>
                </c:pt>
                <c:pt idx="743">
                  <c:v>0.9234461428213947</c:v>
                </c:pt>
                <c:pt idx="744">
                  <c:v>0.90181039135844776</c:v>
                </c:pt>
                <c:pt idx="745">
                  <c:v>0.89644432567762478</c:v>
                </c:pt>
                <c:pt idx="746">
                  <c:v>0.89095306446951683</c:v>
                </c:pt>
                <c:pt idx="747">
                  <c:v>0.890892034330516</c:v>
                </c:pt>
                <c:pt idx="748">
                  <c:v>0.89558571665957487</c:v>
                </c:pt>
                <c:pt idx="749">
                  <c:v>0.90067921700163345</c:v>
                </c:pt>
                <c:pt idx="750">
                  <c:v>0.91480401689486068</c:v>
                </c:pt>
                <c:pt idx="751">
                  <c:v>0.91953249146162264</c:v>
                </c:pt>
                <c:pt idx="752">
                  <c:v>0.92331354311593805</c:v>
                </c:pt>
                <c:pt idx="753">
                  <c:v>0.90786314201491813</c:v>
                </c:pt>
                <c:pt idx="754">
                  <c:v>0.88537724560754771</c:v>
                </c:pt>
                <c:pt idx="755">
                  <c:v>0.87125422495257265</c:v>
                </c:pt>
                <c:pt idx="756">
                  <c:v>0.87180910822036994</c:v>
                </c:pt>
                <c:pt idx="757">
                  <c:v>0.87425382667462403</c:v>
                </c:pt>
                <c:pt idx="758">
                  <c:v>0.88558643731875408</c:v>
                </c:pt>
                <c:pt idx="759">
                  <c:v>0.89532506940208767</c:v>
                </c:pt>
                <c:pt idx="760">
                  <c:v>0.90231645449452658</c:v>
                </c:pt>
                <c:pt idx="761">
                  <c:v>0.89225438159301329</c:v>
                </c:pt>
                <c:pt idx="762">
                  <c:v>0.89762730833124327</c:v>
                </c:pt>
                <c:pt idx="763">
                  <c:v>0.89796059652262672</c:v>
                </c:pt>
                <c:pt idx="764">
                  <c:v>0.89383625048601867</c:v>
                </c:pt>
                <c:pt idx="765">
                  <c:v>0.87168990748201691</c:v>
                </c:pt>
                <c:pt idx="766">
                  <c:v>0.85217504487456985</c:v>
                </c:pt>
                <c:pt idx="767">
                  <c:v>0.83577392470813061</c:v>
                </c:pt>
                <c:pt idx="768">
                  <c:v>0.82993561036065899</c:v>
                </c:pt>
                <c:pt idx="769">
                  <c:v>0.8442998953815144</c:v>
                </c:pt>
                <c:pt idx="770">
                  <c:v>0.85980831402097402</c:v>
                </c:pt>
                <c:pt idx="771">
                  <c:v>0.86895206004657788</c:v>
                </c:pt>
                <c:pt idx="772">
                  <c:v>0.885411296473125</c:v>
                </c:pt>
                <c:pt idx="773">
                  <c:v>0.90395286799402186</c:v>
                </c:pt>
                <c:pt idx="774">
                  <c:v>0.94270306306670459</c:v>
                </c:pt>
                <c:pt idx="775">
                  <c:v>0.96916447800489725</c:v>
                </c:pt>
                <c:pt idx="776">
                  <c:v>0.98980445668698147</c:v>
                </c:pt>
                <c:pt idx="777">
                  <c:v>0.99898570486278837</c:v>
                </c:pt>
                <c:pt idx="778">
                  <c:v>1.0070936801250772</c:v>
                </c:pt>
                <c:pt idx="779">
                  <c:v>1.0253836143780357</c:v>
                </c:pt>
                <c:pt idx="780">
                  <c:v>1.0583649920304046</c:v>
                </c:pt>
                <c:pt idx="781">
                  <c:v>1.102777593678625</c:v>
                </c:pt>
                <c:pt idx="782">
                  <c:v>1.1426298833265738</c:v>
                </c:pt>
                <c:pt idx="783">
                  <c:v>1.1710756257497681</c:v>
                </c:pt>
                <c:pt idx="784">
                  <c:v>1.1975982417135322</c:v>
                </c:pt>
                <c:pt idx="785">
                  <c:v>1.2067442340227472</c:v>
                </c:pt>
                <c:pt idx="786">
                  <c:v>1.2096959079994687</c:v>
                </c:pt>
                <c:pt idx="787">
                  <c:v>1.1982404595312421</c:v>
                </c:pt>
                <c:pt idx="788">
                  <c:v>1.1792956264003696</c:v>
                </c:pt>
                <c:pt idx="789">
                  <c:v>1.1485142957048553</c:v>
                </c:pt>
                <c:pt idx="790">
                  <c:v>1.107320659452544</c:v>
                </c:pt>
                <c:pt idx="791">
                  <c:v>1.0820250383517624</c:v>
                </c:pt>
                <c:pt idx="792">
                  <c:v>1.0697891322993069</c:v>
                </c:pt>
                <c:pt idx="793">
                  <c:v>1.0679990269592672</c:v>
                </c:pt>
                <c:pt idx="794">
                  <c:v>1.0662201507828259</c:v>
                </c:pt>
                <c:pt idx="795">
                  <c:v>1.0636340049815243</c:v>
                </c:pt>
                <c:pt idx="796">
                  <c:v>1.0611247172655247</c:v>
                </c:pt>
                <c:pt idx="797">
                  <c:v>1.0684700121348858</c:v>
                </c:pt>
                <c:pt idx="798">
                  <c:v>1.0822953443767198</c:v>
                </c:pt>
                <c:pt idx="799">
                  <c:v>1.0893505633918041</c:v>
                </c:pt>
                <c:pt idx="800">
                  <c:v>1.0805956398639065</c:v>
                </c:pt>
                <c:pt idx="801">
                  <c:v>1.0625185975583964</c:v>
                </c:pt>
                <c:pt idx="802">
                  <c:v>1.035800779492444</c:v>
                </c:pt>
                <c:pt idx="803">
                  <c:v>1.018091342614138</c:v>
                </c:pt>
                <c:pt idx="804">
                  <c:v>1.0134467531219888</c:v>
                </c:pt>
                <c:pt idx="805">
                  <c:v>1.0194050061100801</c:v>
                </c:pt>
                <c:pt idx="806">
                  <c:v>1.0219506020741094</c:v>
                </c:pt>
              </c:numCache>
            </c:numRef>
          </c:yVal>
          <c:smooth val="1"/>
          <c:extLst>
            <c:ext xmlns:c16="http://schemas.microsoft.com/office/drawing/2014/chart" uri="{C3380CC4-5D6E-409C-BE32-E72D297353CC}">
              <c16:uniqueId val="{00000001-0939-402F-A7EE-24123B301551}"/>
            </c:ext>
          </c:extLst>
        </c:ser>
        <c:dLbls>
          <c:showLegendKey val="0"/>
          <c:showVal val="0"/>
          <c:showCatName val="0"/>
          <c:showSerName val="0"/>
          <c:showPercent val="0"/>
          <c:showBubbleSize val="0"/>
        </c:dLbls>
        <c:axId val="43240772"/>
        <c:axId val="82558454"/>
      </c:scatterChart>
      <c:valAx>
        <c:axId val="43240772"/>
        <c:scaling>
          <c:orientation val="minMax"/>
          <c:max val="2027"/>
          <c:min val="1958"/>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Year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82558454"/>
        <c:crosses val="min"/>
        <c:crossBetween val="midCat"/>
      </c:valAx>
      <c:valAx>
        <c:axId val="82558454"/>
        <c:scaling>
          <c:orientation val="minMax"/>
          <c:max val="1.6"/>
          <c:min val="-0.5"/>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Anomaly (°C)</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43240772"/>
        <c:crosses val="min"/>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1" strike="noStrike" spc="-1">
                <a:solidFill>
                  <a:srgbClr val="000000"/>
                </a:solidFill>
                <a:latin typeface="Calibri"/>
                <a:ea typeface="Calibri"/>
              </a:defRPr>
            </a:pPr>
            <a:r>
              <a:rPr sz="1300" b="1" strike="noStrike" spc="-1">
                <a:solidFill>
                  <a:srgbClr val="000000"/>
                </a:solidFill>
                <a:latin typeface="Calibri"/>
                <a:ea typeface="Calibri"/>
              </a:rPr>
              <a:t>What the kernel model leaves unexplained
Residual after CO2, ENSO and volcanic responses; note 2023-25</a:t>
            </a:r>
          </a:p>
        </c:rich>
      </c:tx>
      <c:overlay val="0"/>
      <c:spPr>
        <a:noFill/>
        <a:ln w="0">
          <a:noFill/>
        </a:ln>
      </c:spPr>
    </c:title>
    <c:autoTitleDeleted val="0"/>
    <c:plotArea>
      <c:layout/>
      <c:scatterChart>
        <c:scatterStyle val="lineMarker"/>
        <c:varyColors val="0"/>
        <c:ser>
          <c:idx val="0"/>
          <c:order val="0"/>
          <c:tx>
            <c:v>Residual</c:v>
          </c:tx>
          <c:spPr>
            <a:ln w="15120">
              <a:solidFill>
                <a:srgbClr val="52514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Kernel!$B$9:$B$815</c:f>
              <c:numCache>
                <c:formatCode>0.00</c:formatCode>
                <c:ptCount val="807"/>
                <c:pt idx="0">
                  <c:v>1958.7916666666667</c:v>
                </c:pt>
                <c:pt idx="1">
                  <c:v>1958.875</c:v>
                </c:pt>
                <c:pt idx="2">
                  <c:v>1958.9583333333333</c:v>
                </c:pt>
                <c:pt idx="3">
                  <c:v>1959.0416666666667</c:v>
                </c:pt>
                <c:pt idx="4">
                  <c:v>1959.125</c:v>
                </c:pt>
                <c:pt idx="5">
                  <c:v>1959.2083333333333</c:v>
                </c:pt>
                <c:pt idx="6">
                  <c:v>1959.2916666666667</c:v>
                </c:pt>
                <c:pt idx="7">
                  <c:v>1959.375</c:v>
                </c:pt>
                <c:pt idx="8">
                  <c:v>1959.4583333333333</c:v>
                </c:pt>
                <c:pt idx="9">
                  <c:v>1959.5416666666667</c:v>
                </c:pt>
                <c:pt idx="10">
                  <c:v>1959.625</c:v>
                </c:pt>
                <c:pt idx="11">
                  <c:v>1959.7083333333333</c:v>
                </c:pt>
                <c:pt idx="12">
                  <c:v>1959.7916666666667</c:v>
                </c:pt>
                <c:pt idx="13">
                  <c:v>1959.875</c:v>
                </c:pt>
                <c:pt idx="14">
                  <c:v>1959.9583333333333</c:v>
                </c:pt>
                <c:pt idx="15">
                  <c:v>1960.0416666666667</c:v>
                </c:pt>
                <c:pt idx="16">
                  <c:v>1960.125</c:v>
                </c:pt>
                <c:pt idx="17">
                  <c:v>1960.2083333333333</c:v>
                </c:pt>
                <c:pt idx="18">
                  <c:v>1960.2916666666667</c:v>
                </c:pt>
                <c:pt idx="19">
                  <c:v>1960.375</c:v>
                </c:pt>
                <c:pt idx="20">
                  <c:v>1960.4583333333333</c:v>
                </c:pt>
                <c:pt idx="21">
                  <c:v>1960.5416666666667</c:v>
                </c:pt>
                <c:pt idx="22">
                  <c:v>1960.625</c:v>
                </c:pt>
                <c:pt idx="23">
                  <c:v>1960.7083333333333</c:v>
                </c:pt>
                <c:pt idx="24">
                  <c:v>1960.7916666666667</c:v>
                </c:pt>
                <c:pt idx="25">
                  <c:v>1960.875</c:v>
                </c:pt>
                <c:pt idx="26">
                  <c:v>1960.9583333333333</c:v>
                </c:pt>
                <c:pt idx="27">
                  <c:v>1961.0416666666667</c:v>
                </c:pt>
                <c:pt idx="28">
                  <c:v>1961.125</c:v>
                </c:pt>
                <c:pt idx="29">
                  <c:v>1961.2083333333333</c:v>
                </c:pt>
                <c:pt idx="30">
                  <c:v>1961.2916666666667</c:v>
                </c:pt>
                <c:pt idx="31">
                  <c:v>1961.375</c:v>
                </c:pt>
                <c:pt idx="32">
                  <c:v>1961.4583333333333</c:v>
                </c:pt>
                <c:pt idx="33">
                  <c:v>1961.5416666666667</c:v>
                </c:pt>
                <c:pt idx="34">
                  <c:v>1961.625</c:v>
                </c:pt>
                <c:pt idx="35">
                  <c:v>1961.7083333333333</c:v>
                </c:pt>
                <c:pt idx="36">
                  <c:v>1961.7916666666667</c:v>
                </c:pt>
                <c:pt idx="37">
                  <c:v>1961.875</c:v>
                </c:pt>
                <c:pt idx="38">
                  <c:v>1961.9583333333333</c:v>
                </c:pt>
                <c:pt idx="39">
                  <c:v>1962.0416666666667</c:v>
                </c:pt>
                <c:pt idx="40">
                  <c:v>1962.125</c:v>
                </c:pt>
                <c:pt idx="41">
                  <c:v>1962.2083333333333</c:v>
                </c:pt>
                <c:pt idx="42">
                  <c:v>1962.2916666666667</c:v>
                </c:pt>
                <c:pt idx="43">
                  <c:v>1962.375</c:v>
                </c:pt>
                <c:pt idx="44">
                  <c:v>1962.4583333333333</c:v>
                </c:pt>
                <c:pt idx="45">
                  <c:v>1962.5416666666667</c:v>
                </c:pt>
                <c:pt idx="46">
                  <c:v>1962.625</c:v>
                </c:pt>
                <c:pt idx="47">
                  <c:v>1962.7083333333333</c:v>
                </c:pt>
                <c:pt idx="48">
                  <c:v>1962.7916666666667</c:v>
                </c:pt>
                <c:pt idx="49">
                  <c:v>1962.875</c:v>
                </c:pt>
                <c:pt idx="50">
                  <c:v>1962.9583333333333</c:v>
                </c:pt>
                <c:pt idx="51">
                  <c:v>1963.0416666666667</c:v>
                </c:pt>
                <c:pt idx="52">
                  <c:v>1963.125</c:v>
                </c:pt>
                <c:pt idx="53">
                  <c:v>1963.2083333333333</c:v>
                </c:pt>
                <c:pt idx="54">
                  <c:v>1963.2916666666667</c:v>
                </c:pt>
                <c:pt idx="55">
                  <c:v>1963.375</c:v>
                </c:pt>
                <c:pt idx="56">
                  <c:v>1963.4583333333333</c:v>
                </c:pt>
                <c:pt idx="57">
                  <c:v>1963.5416666666667</c:v>
                </c:pt>
                <c:pt idx="58">
                  <c:v>1963.625</c:v>
                </c:pt>
                <c:pt idx="59">
                  <c:v>1963.7083333333333</c:v>
                </c:pt>
                <c:pt idx="60">
                  <c:v>1963.7916666666667</c:v>
                </c:pt>
                <c:pt idx="61">
                  <c:v>1963.875</c:v>
                </c:pt>
                <c:pt idx="62">
                  <c:v>1963.9583333333333</c:v>
                </c:pt>
                <c:pt idx="63">
                  <c:v>1964.0416666666667</c:v>
                </c:pt>
                <c:pt idx="64">
                  <c:v>1964.125</c:v>
                </c:pt>
                <c:pt idx="65">
                  <c:v>1964.2083333333333</c:v>
                </c:pt>
                <c:pt idx="66">
                  <c:v>1964.2916666666667</c:v>
                </c:pt>
                <c:pt idx="67">
                  <c:v>1964.375</c:v>
                </c:pt>
                <c:pt idx="68">
                  <c:v>1964.4583333333333</c:v>
                </c:pt>
                <c:pt idx="69">
                  <c:v>1964.5416666666667</c:v>
                </c:pt>
                <c:pt idx="70">
                  <c:v>1964.625</c:v>
                </c:pt>
                <c:pt idx="71">
                  <c:v>1964.7083333333333</c:v>
                </c:pt>
                <c:pt idx="72">
                  <c:v>1964.7916666666667</c:v>
                </c:pt>
                <c:pt idx="73">
                  <c:v>1964.875</c:v>
                </c:pt>
                <c:pt idx="74">
                  <c:v>1964.9583333333333</c:v>
                </c:pt>
                <c:pt idx="75">
                  <c:v>1965.0416666666667</c:v>
                </c:pt>
                <c:pt idx="76">
                  <c:v>1965.125</c:v>
                </c:pt>
                <c:pt idx="77">
                  <c:v>1965.2083333333333</c:v>
                </c:pt>
                <c:pt idx="78">
                  <c:v>1965.2916666666667</c:v>
                </c:pt>
                <c:pt idx="79">
                  <c:v>1965.375</c:v>
                </c:pt>
                <c:pt idx="80">
                  <c:v>1965.4583333333333</c:v>
                </c:pt>
                <c:pt idx="81">
                  <c:v>1965.5416666666667</c:v>
                </c:pt>
                <c:pt idx="82">
                  <c:v>1965.625</c:v>
                </c:pt>
                <c:pt idx="83">
                  <c:v>1965.7083333333333</c:v>
                </c:pt>
                <c:pt idx="84">
                  <c:v>1965.7916666666667</c:v>
                </c:pt>
                <c:pt idx="85">
                  <c:v>1965.875</c:v>
                </c:pt>
                <c:pt idx="86">
                  <c:v>1965.9583333333333</c:v>
                </c:pt>
                <c:pt idx="87">
                  <c:v>1966.0416666666667</c:v>
                </c:pt>
                <c:pt idx="88">
                  <c:v>1966.125</c:v>
                </c:pt>
                <c:pt idx="89">
                  <c:v>1966.2083333333333</c:v>
                </c:pt>
                <c:pt idx="90">
                  <c:v>1966.2916666666667</c:v>
                </c:pt>
                <c:pt idx="91">
                  <c:v>1966.375</c:v>
                </c:pt>
                <c:pt idx="92">
                  <c:v>1966.4583333333333</c:v>
                </c:pt>
                <c:pt idx="93">
                  <c:v>1966.5416666666667</c:v>
                </c:pt>
                <c:pt idx="94">
                  <c:v>1966.625</c:v>
                </c:pt>
                <c:pt idx="95">
                  <c:v>1966.7083333333333</c:v>
                </c:pt>
                <c:pt idx="96">
                  <c:v>1966.7916666666667</c:v>
                </c:pt>
                <c:pt idx="97">
                  <c:v>1966.875</c:v>
                </c:pt>
                <c:pt idx="98">
                  <c:v>1966.9583333333333</c:v>
                </c:pt>
                <c:pt idx="99">
                  <c:v>1967.0416666666667</c:v>
                </c:pt>
                <c:pt idx="100">
                  <c:v>1967.125</c:v>
                </c:pt>
                <c:pt idx="101">
                  <c:v>1967.2083333333333</c:v>
                </c:pt>
                <c:pt idx="102">
                  <c:v>1967.2916666666667</c:v>
                </c:pt>
                <c:pt idx="103">
                  <c:v>1967.375</c:v>
                </c:pt>
                <c:pt idx="104">
                  <c:v>1967.4583333333333</c:v>
                </c:pt>
                <c:pt idx="105">
                  <c:v>1967.5416666666667</c:v>
                </c:pt>
                <c:pt idx="106">
                  <c:v>1967.625</c:v>
                </c:pt>
                <c:pt idx="107">
                  <c:v>1967.7083333333333</c:v>
                </c:pt>
                <c:pt idx="108">
                  <c:v>1967.7916666666667</c:v>
                </c:pt>
                <c:pt idx="109">
                  <c:v>1967.875</c:v>
                </c:pt>
                <c:pt idx="110">
                  <c:v>1967.9583333333333</c:v>
                </c:pt>
                <c:pt idx="111">
                  <c:v>1968.0416666666667</c:v>
                </c:pt>
                <c:pt idx="112">
                  <c:v>1968.125</c:v>
                </c:pt>
                <c:pt idx="113">
                  <c:v>1968.2083333333333</c:v>
                </c:pt>
                <c:pt idx="114">
                  <c:v>1968.2916666666667</c:v>
                </c:pt>
                <c:pt idx="115">
                  <c:v>1968.375</c:v>
                </c:pt>
                <c:pt idx="116">
                  <c:v>1968.4583333333333</c:v>
                </c:pt>
                <c:pt idx="117">
                  <c:v>1968.5416666666667</c:v>
                </c:pt>
                <c:pt idx="118">
                  <c:v>1968.625</c:v>
                </c:pt>
                <c:pt idx="119">
                  <c:v>1968.7083333333333</c:v>
                </c:pt>
                <c:pt idx="120">
                  <c:v>1968.7916666666667</c:v>
                </c:pt>
                <c:pt idx="121">
                  <c:v>1968.875</c:v>
                </c:pt>
                <c:pt idx="122">
                  <c:v>1968.9583333333333</c:v>
                </c:pt>
                <c:pt idx="123">
                  <c:v>1969.0416666666667</c:v>
                </c:pt>
                <c:pt idx="124">
                  <c:v>1969.125</c:v>
                </c:pt>
                <c:pt idx="125">
                  <c:v>1969.2083333333333</c:v>
                </c:pt>
                <c:pt idx="126">
                  <c:v>1969.2916666666667</c:v>
                </c:pt>
                <c:pt idx="127">
                  <c:v>1969.375</c:v>
                </c:pt>
                <c:pt idx="128">
                  <c:v>1969.4583333333333</c:v>
                </c:pt>
                <c:pt idx="129">
                  <c:v>1969.5416666666667</c:v>
                </c:pt>
                <c:pt idx="130">
                  <c:v>1969.625</c:v>
                </c:pt>
                <c:pt idx="131">
                  <c:v>1969.7083333333333</c:v>
                </c:pt>
                <c:pt idx="132">
                  <c:v>1969.7916666666667</c:v>
                </c:pt>
                <c:pt idx="133">
                  <c:v>1969.875</c:v>
                </c:pt>
                <c:pt idx="134">
                  <c:v>1969.9583333333333</c:v>
                </c:pt>
                <c:pt idx="135">
                  <c:v>1970.0416666666667</c:v>
                </c:pt>
                <c:pt idx="136">
                  <c:v>1970.125</c:v>
                </c:pt>
                <c:pt idx="137">
                  <c:v>1970.2083333333333</c:v>
                </c:pt>
                <c:pt idx="138">
                  <c:v>1970.2916666666667</c:v>
                </c:pt>
                <c:pt idx="139">
                  <c:v>1970.375</c:v>
                </c:pt>
                <c:pt idx="140">
                  <c:v>1970.4583333333333</c:v>
                </c:pt>
                <c:pt idx="141">
                  <c:v>1970.5416666666667</c:v>
                </c:pt>
                <c:pt idx="142">
                  <c:v>1970.625</c:v>
                </c:pt>
                <c:pt idx="143">
                  <c:v>1970.7083333333333</c:v>
                </c:pt>
                <c:pt idx="144">
                  <c:v>1970.7916666666667</c:v>
                </c:pt>
                <c:pt idx="145">
                  <c:v>1970.875</c:v>
                </c:pt>
                <c:pt idx="146">
                  <c:v>1970.9583333333333</c:v>
                </c:pt>
                <c:pt idx="147">
                  <c:v>1971.0416666666667</c:v>
                </c:pt>
                <c:pt idx="148">
                  <c:v>1971.125</c:v>
                </c:pt>
                <c:pt idx="149">
                  <c:v>1971.2083333333333</c:v>
                </c:pt>
                <c:pt idx="150">
                  <c:v>1971.2916666666667</c:v>
                </c:pt>
                <c:pt idx="151">
                  <c:v>1971.375</c:v>
                </c:pt>
                <c:pt idx="152">
                  <c:v>1971.4583333333333</c:v>
                </c:pt>
                <c:pt idx="153">
                  <c:v>1971.5416666666667</c:v>
                </c:pt>
                <c:pt idx="154">
                  <c:v>1971.625</c:v>
                </c:pt>
                <c:pt idx="155">
                  <c:v>1971.7083333333333</c:v>
                </c:pt>
                <c:pt idx="156">
                  <c:v>1971.7916666666667</c:v>
                </c:pt>
                <c:pt idx="157">
                  <c:v>1971.875</c:v>
                </c:pt>
                <c:pt idx="158">
                  <c:v>1971.9583333333333</c:v>
                </c:pt>
                <c:pt idx="159">
                  <c:v>1972.0416666666667</c:v>
                </c:pt>
                <c:pt idx="160">
                  <c:v>1972.125</c:v>
                </c:pt>
                <c:pt idx="161">
                  <c:v>1972.2083333333333</c:v>
                </c:pt>
                <c:pt idx="162">
                  <c:v>1972.2916666666667</c:v>
                </c:pt>
                <c:pt idx="163">
                  <c:v>1972.375</c:v>
                </c:pt>
                <c:pt idx="164">
                  <c:v>1972.4583333333333</c:v>
                </c:pt>
                <c:pt idx="165">
                  <c:v>1972.5416666666667</c:v>
                </c:pt>
                <c:pt idx="166">
                  <c:v>1972.625</c:v>
                </c:pt>
                <c:pt idx="167">
                  <c:v>1972.7083333333333</c:v>
                </c:pt>
                <c:pt idx="168">
                  <c:v>1972.7916666666667</c:v>
                </c:pt>
                <c:pt idx="169">
                  <c:v>1972.875</c:v>
                </c:pt>
                <c:pt idx="170">
                  <c:v>1972.9583333333333</c:v>
                </c:pt>
                <c:pt idx="171">
                  <c:v>1973.0416666666667</c:v>
                </c:pt>
                <c:pt idx="172">
                  <c:v>1973.125</c:v>
                </c:pt>
                <c:pt idx="173">
                  <c:v>1973.2083333333333</c:v>
                </c:pt>
                <c:pt idx="174">
                  <c:v>1973.2916666666667</c:v>
                </c:pt>
                <c:pt idx="175">
                  <c:v>1973.375</c:v>
                </c:pt>
                <c:pt idx="176">
                  <c:v>1973.4583333333333</c:v>
                </c:pt>
                <c:pt idx="177">
                  <c:v>1973.5416666666667</c:v>
                </c:pt>
                <c:pt idx="178">
                  <c:v>1973.625</c:v>
                </c:pt>
                <c:pt idx="179">
                  <c:v>1973.7083333333333</c:v>
                </c:pt>
                <c:pt idx="180">
                  <c:v>1973.7916666666667</c:v>
                </c:pt>
                <c:pt idx="181">
                  <c:v>1973.875</c:v>
                </c:pt>
                <c:pt idx="182">
                  <c:v>1973.9583333333333</c:v>
                </c:pt>
                <c:pt idx="183">
                  <c:v>1974.0416666666667</c:v>
                </c:pt>
                <c:pt idx="184">
                  <c:v>1974.125</c:v>
                </c:pt>
                <c:pt idx="185">
                  <c:v>1974.2083333333333</c:v>
                </c:pt>
                <c:pt idx="186">
                  <c:v>1974.2916666666667</c:v>
                </c:pt>
                <c:pt idx="187">
                  <c:v>1974.375</c:v>
                </c:pt>
                <c:pt idx="188">
                  <c:v>1974.4583333333333</c:v>
                </c:pt>
                <c:pt idx="189">
                  <c:v>1974.5416666666667</c:v>
                </c:pt>
                <c:pt idx="190">
                  <c:v>1974.625</c:v>
                </c:pt>
                <c:pt idx="191">
                  <c:v>1974.7083333333333</c:v>
                </c:pt>
                <c:pt idx="192">
                  <c:v>1974.7916666666667</c:v>
                </c:pt>
                <c:pt idx="193">
                  <c:v>1974.875</c:v>
                </c:pt>
                <c:pt idx="194">
                  <c:v>1974.9583333333333</c:v>
                </c:pt>
                <c:pt idx="195">
                  <c:v>1975.0416666666667</c:v>
                </c:pt>
                <c:pt idx="196">
                  <c:v>1975.125</c:v>
                </c:pt>
                <c:pt idx="197">
                  <c:v>1975.2083333333333</c:v>
                </c:pt>
                <c:pt idx="198">
                  <c:v>1975.2916666666667</c:v>
                </c:pt>
                <c:pt idx="199">
                  <c:v>1975.375</c:v>
                </c:pt>
                <c:pt idx="200">
                  <c:v>1975.4583333333333</c:v>
                </c:pt>
                <c:pt idx="201">
                  <c:v>1975.5416666666667</c:v>
                </c:pt>
                <c:pt idx="202">
                  <c:v>1975.625</c:v>
                </c:pt>
                <c:pt idx="203">
                  <c:v>1975.7083333333333</c:v>
                </c:pt>
                <c:pt idx="204">
                  <c:v>1975.7916666666667</c:v>
                </c:pt>
                <c:pt idx="205">
                  <c:v>1975.875</c:v>
                </c:pt>
                <c:pt idx="206">
                  <c:v>1975.9583333333333</c:v>
                </c:pt>
                <c:pt idx="207">
                  <c:v>1976.0416666666667</c:v>
                </c:pt>
                <c:pt idx="208">
                  <c:v>1976.125</c:v>
                </c:pt>
                <c:pt idx="209">
                  <c:v>1976.2083333333333</c:v>
                </c:pt>
                <c:pt idx="210">
                  <c:v>1976.2916666666667</c:v>
                </c:pt>
                <c:pt idx="211">
                  <c:v>1976.375</c:v>
                </c:pt>
                <c:pt idx="212">
                  <c:v>1976.4583333333333</c:v>
                </c:pt>
                <c:pt idx="213">
                  <c:v>1976.5416666666667</c:v>
                </c:pt>
                <c:pt idx="214">
                  <c:v>1976.625</c:v>
                </c:pt>
                <c:pt idx="215">
                  <c:v>1976.7083333333333</c:v>
                </c:pt>
                <c:pt idx="216">
                  <c:v>1976.7916666666667</c:v>
                </c:pt>
                <c:pt idx="217">
                  <c:v>1976.875</c:v>
                </c:pt>
                <c:pt idx="218">
                  <c:v>1976.9583333333333</c:v>
                </c:pt>
                <c:pt idx="219">
                  <c:v>1977.0416666666667</c:v>
                </c:pt>
                <c:pt idx="220">
                  <c:v>1977.125</c:v>
                </c:pt>
                <c:pt idx="221">
                  <c:v>1977.2083333333333</c:v>
                </c:pt>
                <c:pt idx="222">
                  <c:v>1977.2916666666667</c:v>
                </c:pt>
                <c:pt idx="223">
                  <c:v>1977.375</c:v>
                </c:pt>
                <c:pt idx="224">
                  <c:v>1977.4583333333333</c:v>
                </c:pt>
                <c:pt idx="225">
                  <c:v>1977.5416666666667</c:v>
                </c:pt>
                <c:pt idx="226">
                  <c:v>1977.625</c:v>
                </c:pt>
                <c:pt idx="227">
                  <c:v>1977.7083333333333</c:v>
                </c:pt>
                <c:pt idx="228">
                  <c:v>1977.7916666666667</c:v>
                </c:pt>
                <c:pt idx="229">
                  <c:v>1977.875</c:v>
                </c:pt>
                <c:pt idx="230">
                  <c:v>1977.9583333333333</c:v>
                </c:pt>
                <c:pt idx="231">
                  <c:v>1978.0416666666667</c:v>
                </c:pt>
                <c:pt idx="232">
                  <c:v>1978.125</c:v>
                </c:pt>
                <c:pt idx="233">
                  <c:v>1978.2083333333333</c:v>
                </c:pt>
                <c:pt idx="234">
                  <c:v>1978.2916666666667</c:v>
                </c:pt>
                <c:pt idx="235">
                  <c:v>1978.375</c:v>
                </c:pt>
                <c:pt idx="236">
                  <c:v>1978.4583333333333</c:v>
                </c:pt>
                <c:pt idx="237">
                  <c:v>1978.5416666666667</c:v>
                </c:pt>
                <c:pt idx="238">
                  <c:v>1978.625</c:v>
                </c:pt>
                <c:pt idx="239">
                  <c:v>1978.7083333333333</c:v>
                </c:pt>
                <c:pt idx="240">
                  <c:v>1978.7916666666667</c:v>
                </c:pt>
                <c:pt idx="241">
                  <c:v>1978.875</c:v>
                </c:pt>
                <c:pt idx="242">
                  <c:v>1978.9583333333333</c:v>
                </c:pt>
                <c:pt idx="243">
                  <c:v>1979.0416666666667</c:v>
                </c:pt>
                <c:pt idx="244">
                  <c:v>1979.125</c:v>
                </c:pt>
                <c:pt idx="245">
                  <c:v>1979.2083333333333</c:v>
                </c:pt>
                <c:pt idx="246">
                  <c:v>1979.2916666666667</c:v>
                </c:pt>
                <c:pt idx="247">
                  <c:v>1979.375</c:v>
                </c:pt>
                <c:pt idx="248">
                  <c:v>1979.4583333333333</c:v>
                </c:pt>
                <c:pt idx="249">
                  <c:v>1979.5416666666667</c:v>
                </c:pt>
                <c:pt idx="250">
                  <c:v>1979.625</c:v>
                </c:pt>
                <c:pt idx="251">
                  <c:v>1979.7083333333333</c:v>
                </c:pt>
                <c:pt idx="252">
                  <c:v>1979.7916666666667</c:v>
                </c:pt>
                <c:pt idx="253">
                  <c:v>1979.875</c:v>
                </c:pt>
                <c:pt idx="254">
                  <c:v>1979.9583333333333</c:v>
                </c:pt>
                <c:pt idx="255">
                  <c:v>1980.0416666666667</c:v>
                </c:pt>
                <c:pt idx="256">
                  <c:v>1980.125</c:v>
                </c:pt>
                <c:pt idx="257">
                  <c:v>1980.2083333333333</c:v>
                </c:pt>
                <c:pt idx="258">
                  <c:v>1980.2916666666667</c:v>
                </c:pt>
                <c:pt idx="259">
                  <c:v>1980.375</c:v>
                </c:pt>
                <c:pt idx="260">
                  <c:v>1980.4583333333333</c:v>
                </c:pt>
                <c:pt idx="261">
                  <c:v>1980.5416666666667</c:v>
                </c:pt>
                <c:pt idx="262">
                  <c:v>1980.625</c:v>
                </c:pt>
                <c:pt idx="263">
                  <c:v>1980.7083333333333</c:v>
                </c:pt>
                <c:pt idx="264">
                  <c:v>1980.7916666666667</c:v>
                </c:pt>
                <c:pt idx="265">
                  <c:v>1980.875</c:v>
                </c:pt>
                <c:pt idx="266">
                  <c:v>1980.9583333333333</c:v>
                </c:pt>
                <c:pt idx="267">
                  <c:v>1981.0416666666667</c:v>
                </c:pt>
                <c:pt idx="268">
                  <c:v>1981.125</c:v>
                </c:pt>
                <c:pt idx="269">
                  <c:v>1981.2083333333333</c:v>
                </c:pt>
                <c:pt idx="270">
                  <c:v>1981.2916666666667</c:v>
                </c:pt>
                <c:pt idx="271">
                  <c:v>1981.375</c:v>
                </c:pt>
                <c:pt idx="272">
                  <c:v>1981.4583333333333</c:v>
                </c:pt>
                <c:pt idx="273">
                  <c:v>1981.5416666666667</c:v>
                </c:pt>
                <c:pt idx="274">
                  <c:v>1981.625</c:v>
                </c:pt>
                <c:pt idx="275">
                  <c:v>1981.7083333333333</c:v>
                </c:pt>
                <c:pt idx="276">
                  <c:v>1981.7916666666667</c:v>
                </c:pt>
                <c:pt idx="277">
                  <c:v>1981.875</c:v>
                </c:pt>
                <c:pt idx="278">
                  <c:v>1981.9583333333333</c:v>
                </c:pt>
                <c:pt idx="279">
                  <c:v>1982.0416666666667</c:v>
                </c:pt>
                <c:pt idx="280">
                  <c:v>1982.125</c:v>
                </c:pt>
                <c:pt idx="281">
                  <c:v>1982.2083333333333</c:v>
                </c:pt>
                <c:pt idx="282">
                  <c:v>1982.2916666666667</c:v>
                </c:pt>
                <c:pt idx="283">
                  <c:v>1982.375</c:v>
                </c:pt>
                <c:pt idx="284">
                  <c:v>1982.4583333333333</c:v>
                </c:pt>
                <c:pt idx="285">
                  <c:v>1982.5416666666667</c:v>
                </c:pt>
                <c:pt idx="286">
                  <c:v>1982.625</c:v>
                </c:pt>
                <c:pt idx="287">
                  <c:v>1982.7083333333333</c:v>
                </c:pt>
                <c:pt idx="288">
                  <c:v>1982.7916666666667</c:v>
                </c:pt>
                <c:pt idx="289">
                  <c:v>1982.875</c:v>
                </c:pt>
                <c:pt idx="290">
                  <c:v>1982.9583333333333</c:v>
                </c:pt>
                <c:pt idx="291">
                  <c:v>1983.0416666666667</c:v>
                </c:pt>
                <c:pt idx="292">
                  <c:v>1983.125</c:v>
                </c:pt>
                <c:pt idx="293">
                  <c:v>1983.2083333333333</c:v>
                </c:pt>
                <c:pt idx="294">
                  <c:v>1983.2916666666667</c:v>
                </c:pt>
                <c:pt idx="295">
                  <c:v>1983.375</c:v>
                </c:pt>
                <c:pt idx="296">
                  <c:v>1983.4583333333333</c:v>
                </c:pt>
                <c:pt idx="297">
                  <c:v>1983.5416666666667</c:v>
                </c:pt>
                <c:pt idx="298">
                  <c:v>1983.625</c:v>
                </c:pt>
                <c:pt idx="299">
                  <c:v>1983.7083333333333</c:v>
                </c:pt>
                <c:pt idx="300">
                  <c:v>1983.7916666666667</c:v>
                </c:pt>
                <c:pt idx="301">
                  <c:v>1983.875</c:v>
                </c:pt>
                <c:pt idx="302">
                  <c:v>1983.9583333333333</c:v>
                </c:pt>
                <c:pt idx="303">
                  <c:v>1984.0416666666667</c:v>
                </c:pt>
                <c:pt idx="304">
                  <c:v>1984.125</c:v>
                </c:pt>
                <c:pt idx="305">
                  <c:v>1984.2083333333333</c:v>
                </c:pt>
                <c:pt idx="306">
                  <c:v>1984.2916666666667</c:v>
                </c:pt>
                <c:pt idx="307">
                  <c:v>1984.375</c:v>
                </c:pt>
                <c:pt idx="308">
                  <c:v>1984.4583333333333</c:v>
                </c:pt>
                <c:pt idx="309">
                  <c:v>1984.5416666666667</c:v>
                </c:pt>
                <c:pt idx="310">
                  <c:v>1984.625</c:v>
                </c:pt>
                <c:pt idx="311">
                  <c:v>1984.7083333333333</c:v>
                </c:pt>
                <c:pt idx="312">
                  <c:v>1984.7916666666667</c:v>
                </c:pt>
                <c:pt idx="313">
                  <c:v>1984.875</c:v>
                </c:pt>
                <c:pt idx="314">
                  <c:v>1984.9583333333333</c:v>
                </c:pt>
                <c:pt idx="315">
                  <c:v>1985.0416666666667</c:v>
                </c:pt>
                <c:pt idx="316">
                  <c:v>1985.125</c:v>
                </c:pt>
                <c:pt idx="317">
                  <c:v>1985.2083333333333</c:v>
                </c:pt>
                <c:pt idx="318">
                  <c:v>1985.2916666666667</c:v>
                </c:pt>
                <c:pt idx="319">
                  <c:v>1985.375</c:v>
                </c:pt>
                <c:pt idx="320">
                  <c:v>1985.4583333333333</c:v>
                </c:pt>
                <c:pt idx="321">
                  <c:v>1985.5416666666667</c:v>
                </c:pt>
                <c:pt idx="322">
                  <c:v>1985.625</c:v>
                </c:pt>
                <c:pt idx="323">
                  <c:v>1985.7083333333333</c:v>
                </c:pt>
                <c:pt idx="324">
                  <c:v>1985.7916666666667</c:v>
                </c:pt>
                <c:pt idx="325">
                  <c:v>1985.875</c:v>
                </c:pt>
                <c:pt idx="326">
                  <c:v>1985.9583333333333</c:v>
                </c:pt>
                <c:pt idx="327">
                  <c:v>1986.0416666666667</c:v>
                </c:pt>
                <c:pt idx="328">
                  <c:v>1986.125</c:v>
                </c:pt>
                <c:pt idx="329">
                  <c:v>1986.2083333333333</c:v>
                </c:pt>
                <c:pt idx="330">
                  <c:v>1986.2916666666667</c:v>
                </c:pt>
                <c:pt idx="331">
                  <c:v>1986.375</c:v>
                </c:pt>
                <c:pt idx="332">
                  <c:v>1986.4583333333333</c:v>
                </c:pt>
                <c:pt idx="333">
                  <c:v>1986.5416666666667</c:v>
                </c:pt>
                <c:pt idx="334">
                  <c:v>1986.625</c:v>
                </c:pt>
                <c:pt idx="335">
                  <c:v>1986.7083333333333</c:v>
                </c:pt>
                <c:pt idx="336">
                  <c:v>1986.7916666666667</c:v>
                </c:pt>
                <c:pt idx="337">
                  <c:v>1986.875</c:v>
                </c:pt>
                <c:pt idx="338">
                  <c:v>1986.9583333333333</c:v>
                </c:pt>
                <c:pt idx="339">
                  <c:v>1987.0416666666667</c:v>
                </c:pt>
                <c:pt idx="340">
                  <c:v>1987.125</c:v>
                </c:pt>
                <c:pt idx="341">
                  <c:v>1987.2083333333333</c:v>
                </c:pt>
                <c:pt idx="342">
                  <c:v>1987.2916666666667</c:v>
                </c:pt>
                <c:pt idx="343">
                  <c:v>1987.375</c:v>
                </c:pt>
                <c:pt idx="344">
                  <c:v>1987.4583333333333</c:v>
                </c:pt>
                <c:pt idx="345">
                  <c:v>1987.5416666666667</c:v>
                </c:pt>
                <c:pt idx="346">
                  <c:v>1987.625</c:v>
                </c:pt>
                <c:pt idx="347">
                  <c:v>1987.7083333333333</c:v>
                </c:pt>
                <c:pt idx="348">
                  <c:v>1987.7916666666667</c:v>
                </c:pt>
                <c:pt idx="349">
                  <c:v>1987.875</c:v>
                </c:pt>
                <c:pt idx="350">
                  <c:v>1987.9583333333333</c:v>
                </c:pt>
                <c:pt idx="351">
                  <c:v>1988.0416666666667</c:v>
                </c:pt>
                <c:pt idx="352">
                  <c:v>1988.125</c:v>
                </c:pt>
                <c:pt idx="353">
                  <c:v>1988.2083333333333</c:v>
                </c:pt>
                <c:pt idx="354">
                  <c:v>1988.2916666666667</c:v>
                </c:pt>
                <c:pt idx="355">
                  <c:v>1988.375</c:v>
                </c:pt>
                <c:pt idx="356">
                  <c:v>1988.4583333333333</c:v>
                </c:pt>
                <c:pt idx="357">
                  <c:v>1988.5416666666667</c:v>
                </c:pt>
                <c:pt idx="358">
                  <c:v>1988.625</c:v>
                </c:pt>
                <c:pt idx="359">
                  <c:v>1988.7083333333333</c:v>
                </c:pt>
                <c:pt idx="360">
                  <c:v>1988.7916666666667</c:v>
                </c:pt>
                <c:pt idx="361">
                  <c:v>1988.875</c:v>
                </c:pt>
                <c:pt idx="362">
                  <c:v>1988.9583333333333</c:v>
                </c:pt>
                <c:pt idx="363">
                  <c:v>1989.0416666666667</c:v>
                </c:pt>
                <c:pt idx="364">
                  <c:v>1989.125</c:v>
                </c:pt>
                <c:pt idx="365">
                  <c:v>1989.2083333333333</c:v>
                </c:pt>
                <c:pt idx="366">
                  <c:v>1989.2916666666667</c:v>
                </c:pt>
                <c:pt idx="367">
                  <c:v>1989.375</c:v>
                </c:pt>
                <c:pt idx="368">
                  <c:v>1989.4583333333333</c:v>
                </c:pt>
                <c:pt idx="369">
                  <c:v>1989.5416666666667</c:v>
                </c:pt>
                <c:pt idx="370">
                  <c:v>1989.625</c:v>
                </c:pt>
                <c:pt idx="371">
                  <c:v>1989.7083333333333</c:v>
                </c:pt>
                <c:pt idx="372">
                  <c:v>1989.7916666666667</c:v>
                </c:pt>
                <c:pt idx="373">
                  <c:v>1989.875</c:v>
                </c:pt>
                <c:pt idx="374">
                  <c:v>1989.9583333333333</c:v>
                </c:pt>
                <c:pt idx="375">
                  <c:v>1990.0416666666667</c:v>
                </c:pt>
                <c:pt idx="376">
                  <c:v>1990.125</c:v>
                </c:pt>
                <c:pt idx="377">
                  <c:v>1990.2083333333333</c:v>
                </c:pt>
                <c:pt idx="378">
                  <c:v>1990.2916666666667</c:v>
                </c:pt>
                <c:pt idx="379">
                  <c:v>1990.375</c:v>
                </c:pt>
                <c:pt idx="380">
                  <c:v>1990.4583333333333</c:v>
                </c:pt>
                <c:pt idx="381">
                  <c:v>1990.5416666666667</c:v>
                </c:pt>
                <c:pt idx="382">
                  <c:v>1990.625</c:v>
                </c:pt>
                <c:pt idx="383">
                  <c:v>1990.7083333333333</c:v>
                </c:pt>
                <c:pt idx="384">
                  <c:v>1990.7916666666667</c:v>
                </c:pt>
                <c:pt idx="385">
                  <c:v>1990.875</c:v>
                </c:pt>
                <c:pt idx="386">
                  <c:v>1990.9583333333333</c:v>
                </c:pt>
                <c:pt idx="387">
                  <c:v>1991.0416666666667</c:v>
                </c:pt>
                <c:pt idx="388">
                  <c:v>1991.125</c:v>
                </c:pt>
                <c:pt idx="389">
                  <c:v>1991.2083333333333</c:v>
                </c:pt>
                <c:pt idx="390">
                  <c:v>1991.2916666666667</c:v>
                </c:pt>
                <c:pt idx="391">
                  <c:v>1991.375</c:v>
                </c:pt>
                <c:pt idx="392">
                  <c:v>1991.4583333333333</c:v>
                </c:pt>
                <c:pt idx="393">
                  <c:v>1991.5416666666667</c:v>
                </c:pt>
                <c:pt idx="394">
                  <c:v>1991.625</c:v>
                </c:pt>
                <c:pt idx="395">
                  <c:v>1991.7083333333333</c:v>
                </c:pt>
                <c:pt idx="396">
                  <c:v>1991.7916666666667</c:v>
                </c:pt>
                <c:pt idx="397">
                  <c:v>1991.875</c:v>
                </c:pt>
                <c:pt idx="398">
                  <c:v>1991.9583333333333</c:v>
                </c:pt>
                <c:pt idx="399">
                  <c:v>1992.0416666666667</c:v>
                </c:pt>
                <c:pt idx="400">
                  <c:v>1992.125</c:v>
                </c:pt>
                <c:pt idx="401">
                  <c:v>1992.2083333333333</c:v>
                </c:pt>
                <c:pt idx="402">
                  <c:v>1992.2916666666667</c:v>
                </c:pt>
                <c:pt idx="403">
                  <c:v>1992.375</c:v>
                </c:pt>
                <c:pt idx="404">
                  <c:v>1992.4583333333333</c:v>
                </c:pt>
                <c:pt idx="405">
                  <c:v>1992.5416666666667</c:v>
                </c:pt>
                <c:pt idx="406">
                  <c:v>1992.625</c:v>
                </c:pt>
                <c:pt idx="407">
                  <c:v>1992.7083333333333</c:v>
                </c:pt>
                <c:pt idx="408">
                  <c:v>1992.7916666666667</c:v>
                </c:pt>
                <c:pt idx="409">
                  <c:v>1992.875</c:v>
                </c:pt>
                <c:pt idx="410">
                  <c:v>1992.9583333333333</c:v>
                </c:pt>
                <c:pt idx="411">
                  <c:v>1993.0416666666667</c:v>
                </c:pt>
                <c:pt idx="412">
                  <c:v>1993.125</c:v>
                </c:pt>
                <c:pt idx="413">
                  <c:v>1993.2083333333333</c:v>
                </c:pt>
                <c:pt idx="414">
                  <c:v>1993.2916666666667</c:v>
                </c:pt>
                <c:pt idx="415">
                  <c:v>1993.375</c:v>
                </c:pt>
                <c:pt idx="416">
                  <c:v>1993.4583333333333</c:v>
                </c:pt>
                <c:pt idx="417">
                  <c:v>1993.5416666666667</c:v>
                </c:pt>
                <c:pt idx="418">
                  <c:v>1993.625</c:v>
                </c:pt>
                <c:pt idx="419">
                  <c:v>1993.7083333333333</c:v>
                </c:pt>
                <c:pt idx="420">
                  <c:v>1993.7916666666667</c:v>
                </c:pt>
                <c:pt idx="421">
                  <c:v>1993.875</c:v>
                </c:pt>
                <c:pt idx="422">
                  <c:v>1993.9583333333333</c:v>
                </c:pt>
                <c:pt idx="423">
                  <c:v>1994.0416666666667</c:v>
                </c:pt>
                <c:pt idx="424">
                  <c:v>1994.125</c:v>
                </c:pt>
                <c:pt idx="425">
                  <c:v>1994.2083333333333</c:v>
                </c:pt>
                <c:pt idx="426">
                  <c:v>1994.2916666666667</c:v>
                </c:pt>
                <c:pt idx="427">
                  <c:v>1994.375</c:v>
                </c:pt>
                <c:pt idx="428">
                  <c:v>1994.4583333333333</c:v>
                </c:pt>
                <c:pt idx="429">
                  <c:v>1994.5416666666667</c:v>
                </c:pt>
                <c:pt idx="430">
                  <c:v>1994.625</c:v>
                </c:pt>
                <c:pt idx="431">
                  <c:v>1994.7083333333333</c:v>
                </c:pt>
                <c:pt idx="432">
                  <c:v>1994.7916666666667</c:v>
                </c:pt>
                <c:pt idx="433">
                  <c:v>1994.875</c:v>
                </c:pt>
                <c:pt idx="434">
                  <c:v>1994.9583333333333</c:v>
                </c:pt>
                <c:pt idx="435">
                  <c:v>1995.0416666666667</c:v>
                </c:pt>
                <c:pt idx="436">
                  <c:v>1995.125</c:v>
                </c:pt>
                <c:pt idx="437">
                  <c:v>1995.2083333333333</c:v>
                </c:pt>
                <c:pt idx="438">
                  <c:v>1995.2916666666667</c:v>
                </c:pt>
                <c:pt idx="439">
                  <c:v>1995.375</c:v>
                </c:pt>
                <c:pt idx="440">
                  <c:v>1995.4583333333333</c:v>
                </c:pt>
                <c:pt idx="441">
                  <c:v>1995.5416666666667</c:v>
                </c:pt>
                <c:pt idx="442">
                  <c:v>1995.625</c:v>
                </c:pt>
                <c:pt idx="443">
                  <c:v>1995.7083333333333</c:v>
                </c:pt>
                <c:pt idx="444">
                  <c:v>1995.7916666666667</c:v>
                </c:pt>
                <c:pt idx="445">
                  <c:v>1995.875</c:v>
                </c:pt>
                <c:pt idx="446">
                  <c:v>1995.9583333333333</c:v>
                </c:pt>
                <c:pt idx="447">
                  <c:v>1996.0416666666667</c:v>
                </c:pt>
                <c:pt idx="448">
                  <c:v>1996.125</c:v>
                </c:pt>
                <c:pt idx="449">
                  <c:v>1996.2083333333333</c:v>
                </c:pt>
                <c:pt idx="450">
                  <c:v>1996.2916666666667</c:v>
                </c:pt>
                <c:pt idx="451">
                  <c:v>1996.375</c:v>
                </c:pt>
                <c:pt idx="452">
                  <c:v>1996.4583333333333</c:v>
                </c:pt>
                <c:pt idx="453">
                  <c:v>1996.5416666666667</c:v>
                </c:pt>
                <c:pt idx="454">
                  <c:v>1996.625</c:v>
                </c:pt>
                <c:pt idx="455">
                  <c:v>1996.7083333333333</c:v>
                </c:pt>
                <c:pt idx="456">
                  <c:v>1996.7916666666667</c:v>
                </c:pt>
                <c:pt idx="457">
                  <c:v>1996.875</c:v>
                </c:pt>
                <c:pt idx="458">
                  <c:v>1996.9583333333333</c:v>
                </c:pt>
                <c:pt idx="459">
                  <c:v>1997.0416666666667</c:v>
                </c:pt>
                <c:pt idx="460">
                  <c:v>1997.125</c:v>
                </c:pt>
                <c:pt idx="461">
                  <c:v>1997.2083333333333</c:v>
                </c:pt>
                <c:pt idx="462">
                  <c:v>1997.2916666666667</c:v>
                </c:pt>
                <c:pt idx="463">
                  <c:v>1997.375</c:v>
                </c:pt>
                <c:pt idx="464">
                  <c:v>1997.4583333333333</c:v>
                </c:pt>
                <c:pt idx="465">
                  <c:v>1997.5416666666667</c:v>
                </c:pt>
                <c:pt idx="466">
                  <c:v>1997.625</c:v>
                </c:pt>
                <c:pt idx="467">
                  <c:v>1997.7083333333333</c:v>
                </c:pt>
                <c:pt idx="468">
                  <c:v>1997.7916666666667</c:v>
                </c:pt>
                <c:pt idx="469">
                  <c:v>1997.875</c:v>
                </c:pt>
                <c:pt idx="470">
                  <c:v>1997.9583333333333</c:v>
                </c:pt>
                <c:pt idx="471">
                  <c:v>1998.0416666666667</c:v>
                </c:pt>
                <c:pt idx="472">
                  <c:v>1998.125</c:v>
                </c:pt>
                <c:pt idx="473">
                  <c:v>1998.2083333333333</c:v>
                </c:pt>
                <c:pt idx="474">
                  <c:v>1998.2916666666667</c:v>
                </c:pt>
                <c:pt idx="475">
                  <c:v>1998.375</c:v>
                </c:pt>
                <c:pt idx="476">
                  <c:v>1998.4583333333333</c:v>
                </c:pt>
                <c:pt idx="477">
                  <c:v>1998.5416666666667</c:v>
                </c:pt>
                <c:pt idx="478">
                  <c:v>1998.625</c:v>
                </c:pt>
                <c:pt idx="479">
                  <c:v>1998.7083333333333</c:v>
                </c:pt>
                <c:pt idx="480">
                  <c:v>1998.7916666666667</c:v>
                </c:pt>
                <c:pt idx="481">
                  <c:v>1998.875</c:v>
                </c:pt>
                <c:pt idx="482">
                  <c:v>1998.9583333333333</c:v>
                </c:pt>
                <c:pt idx="483">
                  <c:v>1999.0416666666667</c:v>
                </c:pt>
                <c:pt idx="484">
                  <c:v>1999.125</c:v>
                </c:pt>
                <c:pt idx="485">
                  <c:v>1999.2083333333333</c:v>
                </c:pt>
                <c:pt idx="486">
                  <c:v>1999.2916666666667</c:v>
                </c:pt>
                <c:pt idx="487">
                  <c:v>1999.375</c:v>
                </c:pt>
                <c:pt idx="488">
                  <c:v>1999.4583333333333</c:v>
                </c:pt>
                <c:pt idx="489">
                  <c:v>1999.5416666666667</c:v>
                </c:pt>
                <c:pt idx="490">
                  <c:v>1999.625</c:v>
                </c:pt>
                <c:pt idx="491">
                  <c:v>1999.7083333333333</c:v>
                </c:pt>
                <c:pt idx="492">
                  <c:v>1999.7916666666667</c:v>
                </c:pt>
                <c:pt idx="493">
                  <c:v>1999.875</c:v>
                </c:pt>
                <c:pt idx="494">
                  <c:v>1999.9583333333333</c:v>
                </c:pt>
                <c:pt idx="495">
                  <c:v>2000.0416666666667</c:v>
                </c:pt>
                <c:pt idx="496">
                  <c:v>2000.125</c:v>
                </c:pt>
                <c:pt idx="497">
                  <c:v>2000.2083333333333</c:v>
                </c:pt>
                <c:pt idx="498">
                  <c:v>2000.2916666666667</c:v>
                </c:pt>
                <c:pt idx="499">
                  <c:v>2000.375</c:v>
                </c:pt>
                <c:pt idx="500">
                  <c:v>2000.4583333333333</c:v>
                </c:pt>
                <c:pt idx="501">
                  <c:v>2000.5416666666667</c:v>
                </c:pt>
                <c:pt idx="502">
                  <c:v>2000.625</c:v>
                </c:pt>
                <c:pt idx="503">
                  <c:v>2000.7083333333333</c:v>
                </c:pt>
                <c:pt idx="504">
                  <c:v>2000.7916666666667</c:v>
                </c:pt>
                <c:pt idx="505">
                  <c:v>2000.875</c:v>
                </c:pt>
                <c:pt idx="506">
                  <c:v>2000.9583333333333</c:v>
                </c:pt>
                <c:pt idx="507">
                  <c:v>2001.0416666666667</c:v>
                </c:pt>
                <c:pt idx="508">
                  <c:v>2001.125</c:v>
                </c:pt>
                <c:pt idx="509">
                  <c:v>2001.2083333333333</c:v>
                </c:pt>
                <c:pt idx="510">
                  <c:v>2001.2916666666667</c:v>
                </c:pt>
                <c:pt idx="511">
                  <c:v>2001.375</c:v>
                </c:pt>
                <c:pt idx="512">
                  <c:v>2001.4583333333333</c:v>
                </c:pt>
                <c:pt idx="513">
                  <c:v>2001.5416666666667</c:v>
                </c:pt>
                <c:pt idx="514">
                  <c:v>2001.625</c:v>
                </c:pt>
                <c:pt idx="515">
                  <c:v>2001.7083333333333</c:v>
                </c:pt>
                <c:pt idx="516">
                  <c:v>2001.7916666666667</c:v>
                </c:pt>
                <c:pt idx="517">
                  <c:v>2001.875</c:v>
                </c:pt>
                <c:pt idx="518">
                  <c:v>2001.9583333333333</c:v>
                </c:pt>
                <c:pt idx="519">
                  <c:v>2002.0416666666667</c:v>
                </c:pt>
                <c:pt idx="520">
                  <c:v>2002.125</c:v>
                </c:pt>
                <c:pt idx="521">
                  <c:v>2002.2083333333333</c:v>
                </c:pt>
                <c:pt idx="522">
                  <c:v>2002.2916666666667</c:v>
                </c:pt>
                <c:pt idx="523">
                  <c:v>2002.375</c:v>
                </c:pt>
                <c:pt idx="524">
                  <c:v>2002.4583333333333</c:v>
                </c:pt>
                <c:pt idx="525">
                  <c:v>2002.5416666666667</c:v>
                </c:pt>
                <c:pt idx="526">
                  <c:v>2002.625</c:v>
                </c:pt>
                <c:pt idx="527">
                  <c:v>2002.7083333333333</c:v>
                </c:pt>
                <c:pt idx="528">
                  <c:v>2002.7916666666667</c:v>
                </c:pt>
                <c:pt idx="529">
                  <c:v>2002.875</c:v>
                </c:pt>
                <c:pt idx="530">
                  <c:v>2002.9583333333333</c:v>
                </c:pt>
                <c:pt idx="531">
                  <c:v>2003.0416666666667</c:v>
                </c:pt>
                <c:pt idx="532">
                  <c:v>2003.125</c:v>
                </c:pt>
                <c:pt idx="533">
                  <c:v>2003.2083333333333</c:v>
                </c:pt>
                <c:pt idx="534">
                  <c:v>2003.2916666666667</c:v>
                </c:pt>
                <c:pt idx="535">
                  <c:v>2003.375</c:v>
                </c:pt>
                <c:pt idx="536">
                  <c:v>2003.4583333333333</c:v>
                </c:pt>
                <c:pt idx="537">
                  <c:v>2003.5416666666667</c:v>
                </c:pt>
                <c:pt idx="538">
                  <c:v>2003.625</c:v>
                </c:pt>
                <c:pt idx="539">
                  <c:v>2003.7083333333333</c:v>
                </c:pt>
                <c:pt idx="540">
                  <c:v>2003.7916666666667</c:v>
                </c:pt>
                <c:pt idx="541">
                  <c:v>2003.875</c:v>
                </c:pt>
                <c:pt idx="542">
                  <c:v>2003.9583333333333</c:v>
                </c:pt>
                <c:pt idx="543">
                  <c:v>2004.0416666666667</c:v>
                </c:pt>
                <c:pt idx="544">
                  <c:v>2004.125</c:v>
                </c:pt>
                <c:pt idx="545">
                  <c:v>2004.2083333333333</c:v>
                </c:pt>
                <c:pt idx="546">
                  <c:v>2004.2916666666667</c:v>
                </c:pt>
                <c:pt idx="547">
                  <c:v>2004.375</c:v>
                </c:pt>
                <c:pt idx="548">
                  <c:v>2004.4583333333333</c:v>
                </c:pt>
                <c:pt idx="549">
                  <c:v>2004.5416666666667</c:v>
                </c:pt>
                <c:pt idx="550">
                  <c:v>2004.625</c:v>
                </c:pt>
                <c:pt idx="551">
                  <c:v>2004.7083333333333</c:v>
                </c:pt>
                <c:pt idx="552">
                  <c:v>2004.7916666666667</c:v>
                </c:pt>
                <c:pt idx="553">
                  <c:v>2004.875</c:v>
                </c:pt>
                <c:pt idx="554">
                  <c:v>2004.9583333333333</c:v>
                </c:pt>
                <c:pt idx="555">
                  <c:v>2005.0416666666667</c:v>
                </c:pt>
                <c:pt idx="556">
                  <c:v>2005.125</c:v>
                </c:pt>
                <c:pt idx="557">
                  <c:v>2005.2083333333333</c:v>
                </c:pt>
                <c:pt idx="558">
                  <c:v>2005.2916666666667</c:v>
                </c:pt>
                <c:pt idx="559">
                  <c:v>2005.375</c:v>
                </c:pt>
                <c:pt idx="560">
                  <c:v>2005.4583333333333</c:v>
                </c:pt>
                <c:pt idx="561">
                  <c:v>2005.5416666666667</c:v>
                </c:pt>
                <c:pt idx="562">
                  <c:v>2005.625</c:v>
                </c:pt>
                <c:pt idx="563">
                  <c:v>2005.7083333333333</c:v>
                </c:pt>
                <c:pt idx="564">
                  <c:v>2005.7916666666667</c:v>
                </c:pt>
                <c:pt idx="565">
                  <c:v>2005.875</c:v>
                </c:pt>
                <c:pt idx="566">
                  <c:v>2005.9583333333333</c:v>
                </c:pt>
                <c:pt idx="567">
                  <c:v>2006.0416666666667</c:v>
                </c:pt>
                <c:pt idx="568">
                  <c:v>2006.125</c:v>
                </c:pt>
                <c:pt idx="569">
                  <c:v>2006.2083333333333</c:v>
                </c:pt>
                <c:pt idx="570">
                  <c:v>2006.2916666666667</c:v>
                </c:pt>
                <c:pt idx="571">
                  <c:v>2006.375</c:v>
                </c:pt>
                <c:pt idx="572">
                  <c:v>2006.4583333333333</c:v>
                </c:pt>
                <c:pt idx="573">
                  <c:v>2006.5416666666667</c:v>
                </c:pt>
                <c:pt idx="574">
                  <c:v>2006.625</c:v>
                </c:pt>
                <c:pt idx="575">
                  <c:v>2006.7083333333333</c:v>
                </c:pt>
                <c:pt idx="576">
                  <c:v>2006.7916666666667</c:v>
                </c:pt>
                <c:pt idx="577">
                  <c:v>2006.875</c:v>
                </c:pt>
                <c:pt idx="578">
                  <c:v>2006.9583333333333</c:v>
                </c:pt>
                <c:pt idx="579">
                  <c:v>2007.0416666666667</c:v>
                </c:pt>
                <c:pt idx="580">
                  <c:v>2007.125</c:v>
                </c:pt>
                <c:pt idx="581">
                  <c:v>2007.2083333333333</c:v>
                </c:pt>
                <c:pt idx="582">
                  <c:v>2007.2916666666667</c:v>
                </c:pt>
                <c:pt idx="583">
                  <c:v>2007.375</c:v>
                </c:pt>
                <c:pt idx="584">
                  <c:v>2007.4583333333333</c:v>
                </c:pt>
                <c:pt idx="585">
                  <c:v>2007.5416666666667</c:v>
                </c:pt>
                <c:pt idx="586">
                  <c:v>2007.625</c:v>
                </c:pt>
                <c:pt idx="587">
                  <c:v>2007.7083333333333</c:v>
                </c:pt>
                <c:pt idx="588">
                  <c:v>2007.7916666666667</c:v>
                </c:pt>
                <c:pt idx="589">
                  <c:v>2007.875</c:v>
                </c:pt>
                <c:pt idx="590">
                  <c:v>2007.9583333333333</c:v>
                </c:pt>
                <c:pt idx="591">
                  <c:v>2008.0416666666667</c:v>
                </c:pt>
                <c:pt idx="592">
                  <c:v>2008.125</c:v>
                </c:pt>
                <c:pt idx="593">
                  <c:v>2008.2083333333333</c:v>
                </c:pt>
                <c:pt idx="594">
                  <c:v>2008.2916666666667</c:v>
                </c:pt>
                <c:pt idx="595">
                  <c:v>2008.375</c:v>
                </c:pt>
                <c:pt idx="596">
                  <c:v>2008.4583333333333</c:v>
                </c:pt>
                <c:pt idx="597">
                  <c:v>2008.5416666666667</c:v>
                </c:pt>
                <c:pt idx="598">
                  <c:v>2008.625</c:v>
                </c:pt>
                <c:pt idx="599">
                  <c:v>2008.7083333333333</c:v>
                </c:pt>
                <c:pt idx="600">
                  <c:v>2008.7916666666667</c:v>
                </c:pt>
                <c:pt idx="601">
                  <c:v>2008.875</c:v>
                </c:pt>
                <c:pt idx="602">
                  <c:v>2008.9583333333333</c:v>
                </c:pt>
                <c:pt idx="603">
                  <c:v>2009.0416666666667</c:v>
                </c:pt>
                <c:pt idx="604">
                  <c:v>2009.125</c:v>
                </c:pt>
                <c:pt idx="605">
                  <c:v>2009.2083333333333</c:v>
                </c:pt>
                <c:pt idx="606">
                  <c:v>2009.2916666666667</c:v>
                </c:pt>
                <c:pt idx="607">
                  <c:v>2009.375</c:v>
                </c:pt>
                <c:pt idx="608">
                  <c:v>2009.4583333333333</c:v>
                </c:pt>
                <c:pt idx="609">
                  <c:v>2009.5416666666667</c:v>
                </c:pt>
                <c:pt idx="610">
                  <c:v>2009.625</c:v>
                </c:pt>
                <c:pt idx="611">
                  <c:v>2009.7083333333333</c:v>
                </c:pt>
                <c:pt idx="612">
                  <c:v>2009.7916666666667</c:v>
                </c:pt>
                <c:pt idx="613">
                  <c:v>2009.875</c:v>
                </c:pt>
                <c:pt idx="614">
                  <c:v>2009.9583333333333</c:v>
                </c:pt>
                <c:pt idx="615">
                  <c:v>2010.0416666666667</c:v>
                </c:pt>
                <c:pt idx="616">
                  <c:v>2010.125</c:v>
                </c:pt>
                <c:pt idx="617">
                  <c:v>2010.2083333333333</c:v>
                </c:pt>
                <c:pt idx="618">
                  <c:v>2010.2916666666667</c:v>
                </c:pt>
                <c:pt idx="619">
                  <c:v>2010.375</c:v>
                </c:pt>
                <c:pt idx="620">
                  <c:v>2010.4583333333333</c:v>
                </c:pt>
                <c:pt idx="621">
                  <c:v>2010.5416666666667</c:v>
                </c:pt>
                <c:pt idx="622">
                  <c:v>2010.625</c:v>
                </c:pt>
                <c:pt idx="623">
                  <c:v>2010.7083333333333</c:v>
                </c:pt>
                <c:pt idx="624">
                  <c:v>2010.7916666666667</c:v>
                </c:pt>
                <c:pt idx="625">
                  <c:v>2010.875</c:v>
                </c:pt>
                <c:pt idx="626">
                  <c:v>2010.9583333333333</c:v>
                </c:pt>
                <c:pt idx="627">
                  <c:v>2011.0416666666667</c:v>
                </c:pt>
                <c:pt idx="628">
                  <c:v>2011.125</c:v>
                </c:pt>
                <c:pt idx="629">
                  <c:v>2011.2083333333333</c:v>
                </c:pt>
                <c:pt idx="630">
                  <c:v>2011.2916666666667</c:v>
                </c:pt>
                <c:pt idx="631">
                  <c:v>2011.375</c:v>
                </c:pt>
                <c:pt idx="632">
                  <c:v>2011.4583333333333</c:v>
                </c:pt>
                <c:pt idx="633">
                  <c:v>2011.5416666666667</c:v>
                </c:pt>
                <c:pt idx="634">
                  <c:v>2011.625</c:v>
                </c:pt>
                <c:pt idx="635">
                  <c:v>2011.7083333333333</c:v>
                </c:pt>
                <c:pt idx="636">
                  <c:v>2011.7916666666667</c:v>
                </c:pt>
                <c:pt idx="637">
                  <c:v>2011.875</c:v>
                </c:pt>
                <c:pt idx="638">
                  <c:v>2011.9583333333333</c:v>
                </c:pt>
                <c:pt idx="639">
                  <c:v>2012.0416666666667</c:v>
                </c:pt>
                <c:pt idx="640">
                  <c:v>2012.125</c:v>
                </c:pt>
                <c:pt idx="641">
                  <c:v>2012.2083333333333</c:v>
                </c:pt>
                <c:pt idx="642">
                  <c:v>2012.2916666666667</c:v>
                </c:pt>
                <c:pt idx="643">
                  <c:v>2012.375</c:v>
                </c:pt>
                <c:pt idx="644">
                  <c:v>2012.4583333333333</c:v>
                </c:pt>
                <c:pt idx="645">
                  <c:v>2012.5416666666667</c:v>
                </c:pt>
                <c:pt idx="646">
                  <c:v>2012.625</c:v>
                </c:pt>
                <c:pt idx="647">
                  <c:v>2012.7083333333333</c:v>
                </c:pt>
                <c:pt idx="648">
                  <c:v>2012.7916666666667</c:v>
                </c:pt>
                <c:pt idx="649">
                  <c:v>2012.875</c:v>
                </c:pt>
                <c:pt idx="650">
                  <c:v>2012.9583333333333</c:v>
                </c:pt>
                <c:pt idx="651">
                  <c:v>2013.0416666666667</c:v>
                </c:pt>
                <c:pt idx="652">
                  <c:v>2013.125</c:v>
                </c:pt>
                <c:pt idx="653">
                  <c:v>2013.2083333333333</c:v>
                </c:pt>
                <c:pt idx="654">
                  <c:v>2013.2916666666667</c:v>
                </c:pt>
                <c:pt idx="655">
                  <c:v>2013.375</c:v>
                </c:pt>
                <c:pt idx="656">
                  <c:v>2013.4583333333333</c:v>
                </c:pt>
                <c:pt idx="657">
                  <c:v>2013.5416666666667</c:v>
                </c:pt>
                <c:pt idx="658">
                  <c:v>2013.625</c:v>
                </c:pt>
                <c:pt idx="659">
                  <c:v>2013.7083333333333</c:v>
                </c:pt>
                <c:pt idx="660">
                  <c:v>2013.7916666666667</c:v>
                </c:pt>
                <c:pt idx="661">
                  <c:v>2013.875</c:v>
                </c:pt>
                <c:pt idx="662">
                  <c:v>2013.9583333333333</c:v>
                </c:pt>
                <c:pt idx="663">
                  <c:v>2014.0416666666667</c:v>
                </c:pt>
                <c:pt idx="664">
                  <c:v>2014.125</c:v>
                </c:pt>
                <c:pt idx="665">
                  <c:v>2014.2083333333333</c:v>
                </c:pt>
                <c:pt idx="666">
                  <c:v>2014.2916666666667</c:v>
                </c:pt>
                <c:pt idx="667">
                  <c:v>2014.375</c:v>
                </c:pt>
                <c:pt idx="668">
                  <c:v>2014.4583333333333</c:v>
                </c:pt>
                <c:pt idx="669">
                  <c:v>2014.5416666666667</c:v>
                </c:pt>
                <c:pt idx="670">
                  <c:v>2014.625</c:v>
                </c:pt>
                <c:pt idx="671">
                  <c:v>2014.7083333333333</c:v>
                </c:pt>
                <c:pt idx="672">
                  <c:v>2014.7916666666667</c:v>
                </c:pt>
                <c:pt idx="673">
                  <c:v>2014.875</c:v>
                </c:pt>
                <c:pt idx="674">
                  <c:v>2014.9583333333333</c:v>
                </c:pt>
                <c:pt idx="675">
                  <c:v>2015.0416666666667</c:v>
                </c:pt>
                <c:pt idx="676">
                  <c:v>2015.125</c:v>
                </c:pt>
                <c:pt idx="677">
                  <c:v>2015.2083333333333</c:v>
                </c:pt>
                <c:pt idx="678">
                  <c:v>2015.2916666666667</c:v>
                </c:pt>
                <c:pt idx="679">
                  <c:v>2015.375</c:v>
                </c:pt>
                <c:pt idx="680">
                  <c:v>2015.4583333333333</c:v>
                </c:pt>
                <c:pt idx="681">
                  <c:v>2015.5416666666667</c:v>
                </c:pt>
                <c:pt idx="682">
                  <c:v>2015.625</c:v>
                </c:pt>
                <c:pt idx="683">
                  <c:v>2015.7083333333333</c:v>
                </c:pt>
                <c:pt idx="684">
                  <c:v>2015.7916666666667</c:v>
                </c:pt>
                <c:pt idx="685">
                  <c:v>2015.875</c:v>
                </c:pt>
                <c:pt idx="686">
                  <c:v>2015.9583333333333</c:v>
                </c:pt>
                <c:pt idx="687">
                  <c:v>2016.0416666666667</c:v>
                </c:pt>
                <c:pt idx="688">
                  <c:v>2016.125</c:v>
                </c:pt>
                <c:pt idx="689">
                  <c:v>2016.2083333333333</c:v>
                </c:pt>
                <c:pt idx="690">
                  <c:v>2016.2916666666667</c:v>
                </c:pt>
                <c:pt idx="691">
                  <c:v>2016.375</c:v>
                </c:pt>
                <c:pt idx="692">
                  <c:v>2016.4583333333333</c:v>
                </c:pt>
                <c:pt idx="693">
                  <c:v>2016.5416666666667</c:v>
                </c:pt>
                <c:pt idx="694">
                  <c:v>2016.625</c:v>
                </c:pt>
                <c:pt idx="695">
                  <c:v>2016.7083333333333</c:v>
                </c:pt>
                <c:pt idx="696">
                  <c:v>2016.7916666666667</c:v>
                </c:pt>
                <c:pt idx="697">
                  <c:v>2016.875</c:v>
                </c:pt>
                <c:pt idx="698">
                  <c:v>2016.9583333333333</c:v>
                </c:pt>
                <c:pt idx="699">
                  <c:v>2017.0416666666667</c:v>
                </c:pt>
                <c:pt idx="700">
                  <c:v>2017.125</c:v>
                </c:pt>
                <c:pt idx="701">
                  <c:v>2017.2083333333333</c:v>
                </c:pt>
                <c:pt idx="702">
                  <c:v>2017.2916666666667</c:v>
                </c:pt>
                <c:pt idx="703">
                  <c:v>2017.375</c:v>
                </c:pt>
                <c:pt idx="704">
                  <c:v>2017.4583333333333</c:v>
                </c:pt>
                <c:pt idx="705">
                  <c:v>2017.5416666666667</c:v>
                </c:pt>
                <c:pt idx="706">
                  <c:v>2017.625</c:v>
                </c:pt>
                <c:pt idx="707">
                  <c:v>2017.7083333333333</c:v>
                </c:pt>
                <c:pt idx="708">
                  <c:v>2017.7916666666667</c:v>
                </c:pt>
                <c:pt idx="709">
                  <c:v>2017.875</c:v>
                </c:pt>
                <c:pt idx="710">
                  <c:v>2017.9583333333333</c:v>
                </c:pt>
                <c:pt idx="711">
                  <c:v>2018.0416666666667</c:v>
                </c:pt>
                <c:pt idx="712">
                  <c:v>2018.125</c:v>
                </c:pt>
                <c:pt idx="713">
                  <c:v>2018.2083333333333</c:v>
                </c:pt>
                <c:pt idx="714">
                  <c:v>2018.2916666666667</c:v>
                </c:pt>
                <c:pt idx="715">
                  <c:v>2018.375</c:v>
                </c:pt>
                <c:pt idx="716">
                  <c:v>2018.4583333333333</c:v>
                </c:pt>
                <c:pt idx="717">
                  <c:v>2018.5416666666667</c:v>
                </c:pt>
                <c:pt idx="718">
                  <c:v>2018.625</c:v>
                </c:pt>
                <c:pt idx="719">
                  <c:v>2018.7083333333333</c:v>
                </c:pt>
                <c:pt idx="720">
                  <c:v>2018.7916666666667</c:v>
                </c:pt>
                <c:pt idx="721">
                  <c:v>2018.875</c:v>
                </c:pt>
                <c:pt idx="722">
                  <c:v>2018.9583333333333</c:v>
                </c:pt>
                <c:pt idx="723">
                  <c:v>2019.0416666666667</c:v>
                </c:pt>
                <c:pt idx="724">
                  <c:v>2019.125</c:v>
                </c:pt>
                <c:pt idx="725">
                  <c:v>2019.2083333333333</c:v>
                </c:pt>
                <c:pt idx="726">
                  <c:v>2019.2916666666667</c:v>
                </c:pt>
                <c:pt idx="727">
                  <c:v>2019.375</c:v>
                </c:pt>
                <c:pt idx="728">
                  <c:v>2019.4583333333333</c:v>
                </c:pt>
                <c:pt idx="729">
                  <c:v>2019.5416666666667</c:v>
                </c:pt>
                <c:pt idx="730">
                  <c:v>2019.625</c:v>
                </c:pt>
                <c:pt idx="731">
                  <c:v>2019.7083333333333</c:v>
                </c:pt>
                <c:pt idx="732">
                  <c:v>2019.7916666666667</c:v>
                </c:pt>
                <c:pt idx="733">
                  <c:v>2019.875</c:v>
                </c:pt>
                <c:pt idx="734">
                  <c:v>2019.9583333333333</c:v>
                </c:pt>
                <c:pt idx="735">
                  <c:v>2020.0416666666667</c:v>
                </c:pt>
                <c:pt idx="736">
                  <c:v>2020.125</c:v>
                </c:pt>
                <c:pt idx="737">
                  <c:v>2020.2083333333333</c:v>
                </c:pt>
                <c:pt idx="738">
                  <c:v>2020.2916666666667</c:v>
                </c:pt>
                <c:pt idx="739">
                  <c:v>2020.375</c:v>
                </c:pt>
                <c:pt idx="740">
                  <c:v>2020.4583333333333</c:v>
                </c:pt>
                <c:pt idx="741">
                  <c:v>2020.5416666666667</c:v>
                </c:pt>
                <c:pt idx="742">
                  <c:v>2020.625</c:v>
                </c:pt>
                <c:pt idx="743">
                  <c:v>2020.7083333333333</c:v>
                </c:pt>
                <c:pt idx="744">
                  <c:v>2020.7916666666667</c:v>
                </c:pt>
                <c:pt idx="745">
                  <c:v>2020.875</c:v>
                </c:pt>
                <c:pt idx="746">
                  <c:v>2020.9583333333333</c:v>
                </c:pt>
                <c:pt idx="747">
                  <c:v>2021.0416666666667</c:v>
                </c:pt>
                <c:pt idx="748">
                  <c:v>2021.125</c:v>
                </c:pt>
                <c:pt idx="749">
                  <c:v>2021.2083333333333</c:v>
                </c:pt>
                <c:pt idx="750">
                  <c:v>2021.2916666666667</c:v>
                </c:pt>
                <c:pt idx="751">
                  <c:v>2021.375</c:v>
                </c:pt>
                <c:pt idx="752">
                  <c:v>2021.4583333333333</c:v>
                </c:pt>
                <c:pt idx="753">
                  <c:v>2021.5416666666667</c:v>
                </c:pt>
                <c:pt idx="754">
                  <c:v>2021.625</c:v>
                </c:pt>
                <c:pt idx="755">
                  <c:v>2021.7083333333333</c:v>
                </c:pt>
                <c:pt idx="756">
                  <c:v>2021.7916666666667</c:v>
                </c:pt>
                <c:pt idx="757">
                  <c:v>2021.875</c:v>
                </c:pt>
                <c:pt idx="758">
                  <c:v>2021.9583333333333</c:v>
                </c:pt>
                <c:pt idx="759">
                  <c:v>2022.0416666666667</c:v>
                </c:pt>
                <c:pt idx="760">
                  <c:v>2022.125</c:v>
                </c:pt>
                <c:pt idx="761">
                  <c:v>2022.2083333333333</c:v>
                </c:pt>
                <c:pt idx="762">
                  <c:v>2022.2916666666667</c:v>
                </c:pt>
                <c:pt idx="763">
                  <c:v>2022.375</c:v>
                </c:pt>
                <c:pt idx="764">
                  <c:v>2022.4583333333333</c:v>
                </c:pt>
                <c:pt idx="765">
                  <c:v>2022.5416666666667</c:v>
                </c:pt>
                <c:pt idx="766">
                  <c:v>2022.625</c:v>
                </c:pt>
                <c:pt idx="767">
                  <c:v>2022.7083333333333</c:v>
                </c:pt>
                <c:pt idx="768">
                  <c:v>2022.7916666666667</c:v>
                </c:pt>
                <c:pt idx="769">
                  <c:v>2022.875</c:v>
                </c:pt>
                <c:pt idx="770">
                  <c:v>2022.9583333333333</c:v>
                </c:pt>
                <c:pt idx="771">
                  <c:v>2023.0416666666667</c:v>
                </c:pt>
                <c:pt idx="772">
                  <c:v>2023.125</c:v>
                </c:pt>
                <c:pt idx="773">
                  <c:v>2023.2083333333333</c:v>
                </c:pt>
                <c:pt idx="774">
                  <c:v>2023.2916666666667</c:v>
                </c:pt>
                <c:pt idx="775">
                  <c:v>2023.375</c:v>
                </c:pt>
                <c:pt idx="776">
                  <c:v>2023.4583333333333</c:v>
                </c:pt>
                <c:pt idx="777">
                  <c:v>2023.5416666666667</c:v>
                </c:pt>
                <c:pt idx="778">
                  <c:v>2023.625</c:v>
                </c:pt>
                <c:pt idx="779">
                  <c:v>2023.7083333333333</c:v>
                </c:pt>
                <c:pt idx="780">
                  <c:v>2023.7916666666667</c:v>
                </c:pt>
                <c:pt idx="781">
                  <c:v>2023.875</c:v>
                </c:pt>
                <c:pt idx="782">
                  <c:v>2023.9583333333333</c:v>
                </c:pt>
                <c:pt idx="783">
                  <c:v>2024.0416666666667</c:v>
                </c:pt>
                <c:pt idx="784">
                  <c:v>2024.125</c:v>
                </c:pt>
                <c:pt idx="785">
                  <c:v>2024.2083333333333</c:v>
                </c:pt>
                <c:pt idx="786">
                  <c:v>2024.2916666666667</c:v>
                </c:pt>
                <c:pt idx="787">
                  <c:v>2024.375</c:v>
                </c:pt>
                <c:pt idx="788">
                  <c:v>2024.4583333333333</c:v>
                </c:pt>
                <c:pt idx="789">
                  <c:v>2024.5416666666667</c:v>
                </c:pt>
                <c:pt idx="790">
                  <c:v>2024.625</c:v>
                </c:pt>
                <c:pt idx="791">
                  <c:v>2024.7083333333333</c:v>
                </c:pt>
                <c:pt idx="792">
                  <c:v>2024.7916666666667</c:v>
                </c:pt>
                <c:pt idx="793">
                  <c:v>2024.875</c:v>
                </c:pt>
                <c:pt idx="794">
                  <c:v>2024.9583333333333</c:v>
                </c:pt>
                <c:pt idx="795">
                  <c:v>2025.0416666666667</c:v>
                </c:pt>
                <c:pt idx="796">
                  <c:v>2025.125</c:v>
                </c:pt>
                <c:pt idx="797">
                  <c:v>2025.2083333333333</c:v>
                </c:pt>
                <c:pt idx="798">
                  <c:v>2025.2916666666667</c:v>
                </c:pt>
                <c:pt idx="799">
                  <c:v>2025.375</c:v>
                </c:pt>
                <c:pt idx="800">
                  <c:v>2025.4583333333333</c:v>
                </c:pt>
                <c:pt idx="801">
                  <c:v>2025.5416666666667</c:v>
                </c:pt>
                <c:pt idx="802">
                  <c:v>2025.625</c:v>
                </c:pt>
                <c:pt idx="803">
                  <c:v>2025.7083333333333</c:v>
                </c:pt>
                <c:pt idx="804">
                  <c:v>2025.7916666666667</c:v>
                </c:pt>
                <c:pt idx="805">
                  <c:v>2025.875</c:v>
                </c:pt>
                <c:pt idx="806">
                  <c:v>2025.9583333333333</c:v>
                </c:pt>
              </c:numCache>
            </c:numRef>
          </c:xVal>
          <c:yVal>
            <c:numRef>
              <c:f>Kernel!$M$9:$M$815</c:f>
              <c:numCache>
                <c:formatCode>0.000</c:formatCode>
                <c:ptCount val="807"/>
                <c:pt idx="0">
                  <c:v>0.11924487600652456</c:v>
                </c:pt>
                <c:pt idx="1">
                  <c:v>8.803793371135607E-2</c:v>
                </c:pt>
                <c:pt idx="2">
                  <c:v>5.7093170710359242E-2</c:v>
                </c:pt>
                <c:pt idx="3">
                  <c:v>0.11125054174467704</c:v>
                </c:pt>
                <c:pt idx="4">
                  <c:v>8.5192513133167336E-2</c:v>
                </c:pt>
                <c:pt idx="5">
                  <c:v>0.19253859694148084</c:v>
                </c:pt>
                <c:pt idx="6">
                  <c:v>0.16071209811497808</c:v>
                </c:pt>
                <c:pt idx="7">
                  <c:v>3.8069800745619803E-2</c:v>
                </c:pt>
                <c:pt idx="8">
                  <c:v>3.8216376632936921E-2</c:v>
                </c:pt>
                <c:pt idx="9">
                  <c:v>6.968376460788811E-2</c:v>
                </c:pt>
                <c:pt idx="10">
                  <c:v>6.1934218532624291E-2</c:v>
                </c:pt>
                <c:pt idx="11">
                  <c:v>2.8824115543458442E-2</c:v>
                </c:pt>
                <c:pt idx="12">
                  <c:v>2.6126633925403903E-2</c:v>
                </c:pt>
                <c:pt idx="13">
                  <c:v>-4.0862530666180008E-3</c:v>
                </c:pt>
                <c:pt idx="14">
                  <c:v>6.673635743567817E-2</c:v>
                </c:pt>
                <c:pt idx="15">
                  <c:v>5.9096511545621795E-2</c:v>
                </c:pt>
                <c:pt idx="16">
                  <c:v>0.18446669751566228</c:v>
                </c:pt>
                <c:pt idx="17">
                  <c:v>-0.30178407101336352</c:v>
                </c:pt>
                <c:pt idx="18">
                  <c:v>-0.12099744795541437</c:v>
                </c:pt>
                <c:pt idx="19">
                  <c:v>-6.1618407155453511E-2</c:v>
                </c:pt>
                <c:pt idx="20">
                  <c:v>-1.3915301707758634E-2</c:v>
                </c:pt>
                <c:pt idx="21">
                  <c:v>4.8799858898478446E-3</c:v>
                </c:pt>
                <c:pt idx="22">
                  <c:v>9.133251761471807E-2</c:v>
                </c:pt>
                <c:pt idx="23">
                  <c:v>0.16054201456442535</c:v>
                </c:pt>
                <c:pt idx="24">
                  <c:v>0.15528934277069245</c:v>
                </c:pt>
                <c:pt idx="25">
                  <c:v>-2.5560393689021743E-2</c:v>
                </c:pt>
                <c:pt idx="26">
                  <c:v>0.26279972214808039</c:v>
                </c:pt>
                <c:pt idx="27">
                  <c:v>0.13522175193098115</c:v>
                </c:pt>
                <c:pt idx="28">
                  <c:v>0.24545785818003693</c:v>
                </c:pt>
                <c:pt idx="29">
                  <c:v>0.13572655799142608</c:v>
                </c:pt>
                <c:pt idx="30">
                  <c:v>0.16384482873641726</c:v>
                </c:pt>
                <c:pt idx="31">
                  <c:v>0.13642756459420635</c:v>
                </c:pt>
                <c:pt idx="32">
                  <c:v>0.13291646582689873</c:v>
                </c:pt>
                <c:pt idx="33">
                  <c:v>4.789713423127178E-2</c:v>
                </c:pt>
                <c:pt idx="34">
                  <c:v>7.5885344249896597E-2</c:v>
                </c:pt>
                <c:pt idx="35">
                  <c:v>0.17602509098985059</c:v>
                </c:pt>
                <c:pt idx="36">
                  <c:v>9.6614706845572662E-2</c:v>
                </c:pt>
                <c:pt idx="37">
                  <c:v>0.11830196838607804</c:v>
                </c:pt>
                <c:pt idx="38">
                  <c:v>-8.3015356396144727E-2</c:v>
                </c:pt>
                <c:pt idx="39">
                  <c:v>0.11782388031199978</c:v>
                </c:pt>
                <c:pt idx="40">
                  <c:v>0.21244586977060462</c:v>
                </c:pt>
                <c:pt idx="41">
                  <c:v>0.14995059735448132</c:v>
                </c:pt>
                <c:pt idx="42">
                  <c:v>9.1305833029408409E-2</c:v>
                </c:pt>
                <c:pt idx="43">
                  <c:v>-2.251464253440548E-2</c:v>
                </c:pt>
                <c:pt idx="44">
                  <c:v>7.2465484779147174E-2</c:v>
                </c:pt>
                <c:pt idx="45">
                  <c:v>7.2075598084161641E-2</c:v>
                </c:pt>
                <c:pt idx="46">
                  <c:v>6.9056590419184341E-2</c:v>
                </c:pt>
                <c:pt idx="47">
                  <c:v>9.4585980965877808E-2</c:v>
                </c:pt>
                <c:pt idx="48">
                  <c:v>0.11774081211223589</c:v>
                </c:pt>
                <c:pt idx="49">
                  <c:v>0.15461056821122715</c:v>
                </c:pt>
                <c:pt idx="50">
                  <c:v>5.5829920388542786E-2</c:v>
                </c:pt>
                <c:pt idx="51">
                  <c:v>4.635441191344325E-2</c:v>
                </c:pt>
                <c:pt idx="52">
                  <c:v>0.25158568578536561</c:v>
                </c:pt>
                <c:pt idx="53">
                  <c:v>-8.2267886333435541E-2</c:v>
                </c:pt>
                <c:pt idx="54">
                  <c:v>-3.2759614468938332E-2</c:v>
                </c:pt>
                <c:pt idx="55">
                  <c:v>-3.1140829888959394E-2</c:v>
                </c:pt>
                <c:pt idx="56">
                  <c:v>8.934496599727812E-2</c:v>
                </c:pt>
                <c:pt idx="57">
                  <c:v>0.11998319682762826</c:v>
                </c:pt>
                <c:pt idx="58">
                  <c:v>0.29971036045663624</c:v>
                </c:pt>
                <c:pt idx="59">
                  <c:v>0.26728571177383942</c:v>
                </c:pt>
                <c:pt idx="60">
                  <c:v>0.24889987473823877</c:v>
                </c:pt>
                <c:pt idx="61">
                  <c:v>0.23373840197766127</c:v>
                </c:pt>
                <c:pt idx="62">
                  <c:v>3.7589188016860411E-2</c:v>
                </c:pt>
                <c:pt idx="63">
                  <c:v>-3.4353191572719266E-2</c:v>
                </c:pt>
                <c:pt idx="64">
                  <c:v>-3.9096296270250464E-2</c:v>
                </c:pt>
                <c:pt idx="65">
                  <c:v>-0.13949630479254749</c:v>
                </c:pt>
                <c:pt idx="66">
                  <c:v>-0.23952478675235586</c:v>
                </c:pt>
                <c:pt idx="67">
                  <c:v>-0.15062410883740482</c:v>
                </c:pt>
                <c:pt idx="68">
                  <c:v>8.4027349722209904E-2</c:v>
                </c:pt>
                <c:pt idx="69">
                  <c:v>0.11782033440241524</c:v>
                </c:pt>
                <c:pt idx="70">
                  <c:v>-2.7659842034925053E-2</c:v>
                </c:pt>
                <c:pt idx="71">
                  <c:v>-7.2942125641364486E-2</c:v>
                </c:pt>
                <c:pt idx="72">
                  <c:v>-7.5490678046297832E-2</c:v>
                </c:pt>
                <c:pt idx="73">
                  <c:v>2.1234329779717648E-2</c:v>
                </c:pt>
                <c:pt idx="74">
                  <c:v>-7.7518616810429347E-2</c:v>
                </c:pt>
                <c:pt idx="75">
                  <c:v>0.13066944189124191</c:v>
                </c:pt>
                <c:pt idx="76">
                  <c:v>1.9442750415432974E-2</c:v>
                </c:pt>
                <c:pt idx="77">
                  <c:v>4.0873102230745612E-2</c:v>
                </c:pt>
                <c:pt idx="78">
                  <c:v>-5.0533224697472512E-2</c:v>
                </c:pt>
                <c:pt idx="79">
                  <c:v>-2.1162144146809059E-3</c:v>
                </c:pt>
                <c:pt idx="80">
                  <c:v>1.5933865468653802E-2</c:v>
                </c:pt>
                <c:pt idx="81">
                  <c:v>-5.5069653341597399E-2</c:v>
                </c:pt>
                <c:pt idx="82">
                  <c:v>3.4629577937548589E-2</c:v>
                </c:pt>
                <c:pt idx="83">
                  <c:v>-9.3517066400650856E-2</c:v>
                </c:pt>
                <c:pt idx="84">
                  <c:v>-1.7005989184043696E-2</c:v>
                </c:pt>
                <c:pt idx="85">
                  <c:v>-7.4575905683034668E-2</c:v>
                </c:pt>
                <c:pt idx="86">
                  <c:v>-0.1209558257991519</c:v>
                </c:pt>
                <c:pt idx="87">
                  <c:v>-0.25485738751996356</c:v>
                </c:pt>
                <c:pt idx="88">
                  <c:v>-0.11875406576906766</c:v>
                </c:pt>
                <c:pt idx="89">
                  <c:v>-5.6274937701317307E-2</c:v>
                </c:pt>
                <c:pt idx="90">
                  <c:v>-0.2235434715283704</c:v>
                </c:pt>
                <c:pt idx="91">
                  <c:v>-0.20691952158713312</c:v>
                </c:pt>
                <c:pt idx="92">
                  <c:v>-6.2368851552493498E-2</c:v>
                </c:pt>
                <c:pt idx="93">
                  <c:v>3.1506050970241645E-2</c:v>
                </c:pt>
                <c:pt idx="94">
                  <c:v>-0.10555156454798054</c:v>
                </c:pt>
                <c:pt idx="95">
                  <c:v>-1.2619844823394399E-2</c:v>
                </c:pt>
                <c:pt idx="96">
                  <c:v>-0.13540715267734546</c:v>
                </c:pt>
                <c:pt idx="97">
                  <c:v>1.5188401898732579E-2</c:v>
                </c:pt>
                <c:pt idx="98">
                  <c:v>-8.0881957693166272E-3</c:v>
                </c:pt>
                <c:pt idx="99">
                  <c:v>-6.1791077469258292E-2</c:v>
                </c:pt>
                <c:pt idx="100">
                  <c:v>-0.18330737873088379</c:v>
                </c:pt>
                <c:pt idx="101">
                  <c:v>7.9457621780814031E-2</c:v>
                </c:pt>
                <c:pt idx="102">
                  <c:v>-3.2377061285388531E-2</c:v>
                </c:pt>
                <c:pt idx="103">
                  <c:v>0.12969181755134063</c:v>
                </c:pt>
                <c:pt idx="104">
                  <c:v>-6.4534148924028645E-2</c:v>
                </c:pt>
                <c:pt idx="105">
                  <c:v>5.1206603995435133E-2</c:v>
                </c:pt>
                <c:pt idx="106">
                  <c:v>6.3452992126152366E-2</c:v>
                </c:pt>
                <c:pt idx="107">
                  <c:v>1.895500820097254E-2</c:v>
                </c:pt>
                <c:pt idx="108">
                  <c:v>0.17152201289455099</c:v>
                </c:pt>
                <c:pt idx="109">
                  <c:v>1.7830354686845087E-2</c:v>
                </c:pt>
                <c:pt idx="110">
                  <c:v>6.315719562848772E-3</c:v>
                </c:pt>
                <c:pt idx="111">
                  <c:v>-0.20394812635456136</c:v>
                </c:pt>
                <c:pt idx="112">
                  <c:v>-8.2660220233256101E-2</c:v>
                </c:pt>
                <c:pt idx="113">
                  <c:v>0.25317834906752928</c:v>
                </c:pt>
                <c:pt idx="114">
                  <c:v>-1.968930865604393E-2</c:v>
                </c:pt>
                <c:pt idx="115">
                  <c:v>-0.11396070145741419</c:v>
                </c:pt>
                <c:pt idx="116">
                  <c:v>-7.3500715242022466E-2</c:v>
                </c:pt>
                <c:pt idx="117">
                  <c:v>-0.11352708663550634</c:v>
                </c:pt>
                <c:pt idx="118">
                  <c:v>-4.915694591211358E-2</c:v>
                </c:pt>
                <c:pt idx="119">
                  <c:v>-0.14452823013661048</c:v>
                </c:pt>
                <c:pt idx="120">
                  <c:v>0.12759304222671553</c:v>
                </c:pt>
                <c:pt idx="121">
                  <c:v>-3.6044382716273041E-2</c:v>
                </c:pt>
                <c:pt idx="122">
                  <c:v>-0.1597037189521</c:v>
                </c:pt>
                <c:pt idx="123">
                  <c:v>-0.15646668000083017</c:v>
                </c:pt>
                <c:pt idx="124">
                  <c:v>-0.24271426324725612</c:v>
                </c:pt>
                <c:pt idx="125">
                  <c:v>-7.2428092152703641E-2</c:v>
                </c:pt>
                <c:pt idx="126">
                  <c:v>7.2619431118855854E-2</c:v>
                </c:pt>
                <c:pt idx="127">
                  <c:v>7.320472367156175E-2</c:v>
                </c:pt>
                <c:pt idx="128">
                  <c:v>-6.6609077074142237E-2</c:v>
                </c:pt>
                <c:pt idx="129">
                  <c:v>-0.12260585747394247</c:v>
                </c:pt>
                <c:pt idx="130">
                  <c:v>-1.3514224657751296E-2</c:v>
                </c:pt>
                <c:pt idx="131">
                  <c:v>3.947991553834191E-2</c:v>
                </c:pt>
                <c:pt idx="132">
                  <c:v>5.2306473837399982E-2</c:v>
                </c:pt>
                <c:pt idx="133">
                  <c:v>6.3196015734700059E-2</c:v>
                </c:pt>
                <c:pt idx="134">
                  <c:v>0.16470783705711758</c:v>
                </c:pt>
                <c:pt idx="135">
                  <c:v>-4.3225645841393767E-3</c:v>
                </c:pt>
                <c:pt idx="136">
                  <c:v>0.13128920806517014</c:v>
                </c:pt>
                <c:pt idx="137">
                  <c:v>-3.4450342348214369E-2</c:v>
                </c:pt>
                <c:pt idx="138">
                  <c:v>-5.5368884601171731E-2</c:v>
                </c:pt>
                <c:pt idx="139">
                  <c:v>-0.12841331364877737</c:v>
                </c:pt>
                <c:pt idx="140">
                  <c:v>-0.10029846240786677</c:v>
                </c:pt>
                <c:pt idx="141">
                  <c:v>-2.7091922564562068E-2</c:v>
                </c:pt>
                <c:pt idx="142">
                  <c:v>-0.10896696797231752</c:v>
                </c:pt>
                <c:pt idx="143">
                  <c:v>0.14471678736078319</c:v>
                </c:pt>
                <c:pt idx="144">
                  <c:v>6.8136944418126288E-2</c:v>
                </c:pt>
                <c:pt idx="145">
                  <c:v>5.878127031121215E-2</c:v>
                </c:pt>
                <c:pt idx="146">
                  <c:v>-7.7657682986572385E-2</c:v>
                </c:pt>
                <c:pt idx="147">
                  <c:v>2.8265495853621245E-2</c:v>
                </c:pt>
                <c:pt idx="148">
                  <c:v>-9.1015878603035422E-2</c:v>
                </c:pt>
                <c:pt idx="149">
                  <c:v>-0.11871967827244109</c:v>
                </c:pt>
                <c:pt idx="150">
                  <c:v>-1.4913965223885342E-2</c:v>
                </c:pt>
                <c:pt idx="151">
                  <c:v>-9.7983181243087719E-3</c:v>
                </c:pt>
                <c:pt idx="152">
                  <c:v>-0.11727534350576216</c:v>
                </c:pt>
                <c:pt idx="153">
                  <c:v>-1.4632374225457219E-2</c:v>
                </c:pt>
                <c:pt idx="154">
                  <c:v>6.5183635097679909E-2</c:v>
                </c:pt>
                <c:pt idx="155">
                  <c:v>4.9014606094582164E-2</c:v>
                </c:pt>
                <c:pt idx="156">
                  <c:v>5.7834233514547181E-2</c:v>
                </c:pt>
                <c:pt idx="157">
                  <c:v>1.5616639213908934E-2</c:v>
                </c:pt>
                <c:pt idx="158">
                  <c:v>-8.4119022024112394E-3</c:v>
                </c:pt>
                <c:pt idx="159">
                  <c:v>-0.16171376228441506</c:v>
                </c:pt>
                <c:pt idx="160">
                  <c:v>-0.14211528769770543</c:v>
                </c:pt>
                <c:pt idx="161">
                  <c:v>5.1085974305517166E-2</c:v>
                </c:pt>
                <c:pt idx="162">
                  <c:v>-1.9884196915487148E-2</c:v>
                </c:pt>
                <c:pt idx="163">
                  <c:v>-7.3924051978415894E-2</c:v>
                </c:pt>
                <c:pt idx="164">
                  <c:v>-1.39491467298241E-2</c:v>
                </c:pt>
                <c:pt idx="165">
                  <c:v>-5.6294074746094755E-2</c:v>
                </c:pt>
                <c:pt idx="166">
                  <c:v>8.7583528115822457E-2</c:v>
                </c:pt>
                <c:pt idx="167">
                  <c:v>-6.2211075859932352E-2</c:v>
                </c:pt>
                <c:pt idx="168">
                  <c:v>-3.4165200499597592E-2</c:v>
                </c:pt>
                <c:pt idx="169">
                  <c:v>-0.13640549249157619</c:v>
                </c:pt>
                <c:pt idx="170">
                  <c:v>-1.0042346829530924E-2</c:v>
                </c:pt>
                <c:pt idx="171">
                  <c:v>7.4919159719499251E-2</c:v>
                </c:pt>
                <c:pt idx="172">
                  <c:v>9.0743253842176658E-2</c:v>
                </c:pt>
                <c:pt idx="173">
                  <c:v>6.2660495524062609E-2</c:v>
                </c:pt>
                <c:pt idx="174">
                  <c:v>5.0214788246597836E-2</c:v>
                </c:pt>
                <c:pt idx="175">
                  <c:v>2.746338029574294E-2</c:v>
                </c:pt>
                <c:pt idx="176">
                  <c:v>2.2914323745863358E-2</c:v>
                </c:pt>
                <c:pt idx="177">
                  <c:v>7.1473905050138953E-3</c:v>
                </c:pt>
                <c:pt idx="178">
                  <c:v>-2.6132565682166431E-2</c:v>
                </c:pt>
                <c:pt idx="179">
                  <c:v>6.2345263829192324E-2</c:v>
                </c:pt>
                <c:pt idx="180">
                  <c:v>0.1062573105317039</c:v>
                </c:pt>
                <c:pt idx="181">
                  <c:v>6.6648618746343119E-2</c:v>
                </c:pt>
                <c:pt idx="182">
                  <c:v>-1.8712380904092593E-2</c:v>
                </c:pt>
                <c:pt idx="183">
                  <c:v>-3.517607303826531E-2</c:v>
                </c:pt>
                <c:pt idx="184">
                  <c:v>-0.20867194274069351</c:v>
                </c:pt>
                <c:pt idx="185">
                  <c:v>5.0653918437634643E-3</c:v>
                </c:pt>
                <c:pt idx="186">
                  <c:v>-8.1513827164767544E-2</c:v>
                </c:pt>
                <c:pt idx="187">
                  <c:v>-1.6413553793422783E-2</c:v>
                </c:pt>
                <c:pt idx="188">
                  <c:v>-2.3575758722461433E-2</c:v>
                </c:pt>
                <c:pt idx="189">
                  <c:v>-1.5966228860734913E-3</c:v>
                </c:pt>
                <c:pt idx="190">
                  <c:v>0.14023483105069437</c:v>
                </c:pt>
                <c:pt idx="191">
                  <c:v>-2.5800789994198742E-2</c:v>
                </c:pt>
                <c:pt idx="192">
                  <c:v>-6.8758865713061737E-3</c:v>
                </c:pt>
                <c:pt idx="193">
                  <c:v>-3.629443143017811E-2</c:v>
                </c:pt>
                <c:pt idx="194">
                  <c:v>-5.2636567904845603E-2</c:v>
                </c:pt>
                <c:pt idx="195">
                  <c:v>0.10941655291952816</c:v>
                </c:pt>
                <c:pt idx="196">
                  <c:v>7.6870478538250492E-2</c:v>
                </c:pt>
                <c:pt idx="197">
                  <c:v>0.10915649526863207</c:v>
                </c:pt>
                <c:pt idx="198">
                  <c:v>1.4754321447650983E-2</c:v>
                </c:pt>
                <c:pt idx="199">
                  <c:v>0.12738739475207106</c:v>
                </c:pt>
                <c:pt idx="200">
                  <c:v>-3.1732817650895029E-2</c:v>
                </c:pt>
                <c:pt idx="201">
                  <c:v>-7.1986913472878652E-3</c:v>
                </c:pt>
                <c:pt idx="202">
                  <c:v>-0.13601380928531737</c:v>
                </c:pt>
                <c:pt idx="203">
                  <c:v>4.1238574671676492E-2</c:v>
                </c:pt>
                <c:pt idx="204">
                  <c:v>-3.8133770081045126E-2</c:v>
                </c:pt>
                <c:pt idx="205">
                  <c:v>-9.9335603179315723E-2</c:v>
                </c:pt>
                <c:pt idx="206">
                  <c:v>-0.10421012211933853</c:v>
                </c:pt>
                <c:pt idx="207">
                  <c:v>3.4260564852523531E-2</c:v>
                </c:pt>
                <c:pt idx="208">
                  <c:v>-1.1124755051771962E-2</c:v>
                </c:pt>
                <c:pt idx="209">
                  <c:v>-0.18964975587592661</c:v>
                </c:pt>
                <c:pt idx="210">
                  <c:v>-6.9650719172265396E-2</c:v>
                </c:pt>
                <c:pt idx="211">
                  <c:v>-0.2159594693725522</c:v>
                </c:pt>
                <c:pt idx="212">
                  <c:v>-0.14621043875787987</c:v>
                </c:pt>
                <c:pt idx="213">
                  <c:v>-0.13687573832214137</c:v>
                </c:pt>
                <c:pt idx="214">
                  <c:v>-0.150189509874947</c:v>
                </c:pt>
                <c:pt idx="215">
                  <c:v>-9.2407424697887888E-2</c:v>
                </c:pt>
                <c:pt idx="216">
                  <c:v>-0.29277665897189065</c:v>
                </c:pt>
                <c:pt idx="217">
                  <c:v>-0.1499567727931663</c:v>
                </c:pt>
                <c:pt idx="218">
                  <c:v>-1.4910674623683853E-2</c:v>
                </c:pt>
                <c:pt idx="219">
                  <c:v>4.0388261981964046E-2</c:v>
                </c:pt>
                <c:pt idx="220">
                  <c:v>6.5300953246720223E-2</c:v>
                </c:pt>
                <c:pt idx="221">
                  <c:v>5.3595774122213835E-2</c:v>
                </c:pt>
                <c:pt idx="222">
                  <c:v>6.069858282400048E-2</c:v>
                </c:pt>
                <c:pt idx="223">
                  <c:v>0.12222917866344246</c:v>
                </c:pt>
                <c:pt idx="224">
                  <c:v>6.7291478780246328E-2</c:v>
                </c:pt>
                <c:pt idx="225">
                  <c:v>1.052552320910935E-2</c:v>
                </c:pt>
                <c:pt idx="226">
                  <c:v>1.7251535305362053E-2</c:v>
                </c:pt>
                <c:pt idx="227">
                  <c:v>-0.13041019593972786</c:v>
                </c:pt>
                <c:pt idx="228">
                  <c:v>-0.12745379959121861</c:v>
                </c:pt>
                <c:pt idx="229">
                  <c:v>-2.0879986743619267E-2</c:v>
                </c:pt>
                <c:pt idx="230">
                  <c:v>-0.1719253095877154</c:v>
                </c:pt>
                <c:pt idx="231">
                  <c:v>-0.16172708491537449</c:v>
                </c:pt>
                <c:pt idx="232">
                  <c:v>-0.1249051849414537</c:v>
                </c:pt>
                <c:pt idx="233">
                  <c:v>-4.3145190120503163E-2</c:v>
                </c:pt>
                <c:pt idx="234">
                  <c:v>-6.3295569984736982E-2</c:v>
                </c:pt>
                <c:pt idx="235">
                  <c:v>-0.13237714473234063</c:v>
                </c:pt>
                <c:pt idx="236">
                  <c:v>-0.2206488222922865</c:v>
                </c:pt>
                <c:pt idx="237">
                  <c:v>-0.14051855913368522</c:v>
                </c:pt>
                <c:pt idx="238">
                  <c:v>-0.28558333214059528</c:v>
                </c:pt>
                <c:pt idx="239">
                  <c:v>-5.0846923647556316E-2</c:v>
                </c:pt>
                <c:pt idx="240">
                  <c:v>-7.6565469086514876E-2</c:v>
                </c:pt>
                <c:pt idx="241">
                  <c:v>8.2550052318634826E-3</c:v>
                </c:pt>
                <c:pt idx="242">
                  <c:v>-5.8955393980148652E-2</c:v>
                </c:pt>
                <c:pt idx="243">
                  <c:v>-6.793305296112237E-2</c:v>
                </c:pt>
                <c:pt idx="244">
                  <c:v>-0.26869011757137984</c:v>
                </c:pt>
                <c:pt idx="245">
                  <c:v>-2.3842801531986924E-3</c:v>
                </c:pt>
                <c:pt idx="246">
                  <c:v>-5.3969881930934022E-2</c:v>
                </c:pt>
                <c:pt idx="247">
                  <c:v>-0.18260461469974998</c:v>
                </c:pt>
                <c:pt idx="248">
                  <c:v>-7.278537194744289E-2</c:v>
                </c:pt>
                <c:pt idx="249">
                  <c:v>-0.15181367718100372</c:v>
                </c:pt>
                <c:pt idx="250">
                  <c:v>-2.5152868639070347E-3</c:v>
                </c:pt>
                <c:pt idx="251">
                  <c:v>9.3835273496012256E-2</c:v>
                </c:pt>
                <c:pt idx="252">
                  <c:v>9.4555401402352246E-2</c:v>
                </c:pt>
                <c:pt idx="253">
                  <c:v>9.6200863400111442E-2</c:v>
                </c:pt>
                <c:pt idx="254">
                  <c:v>0.26104032597418403</c:v>
                </c:pt>
                <c:pt idx="255">
                  <c:v>7.2379344233253762E-2</c:v>
                </c:pt>
                <c:pt idx="256">
                  <c:v>0.15543923116164476</c:v>
                </c:pt>
                <c:pt idx="257">
                  <c:v>3.6562763065143167E-2</c:v>
                </c:pt>
                <c:pt idx="258">
                  <c:v>3.7789308563402124E-2</c:v>
                </c:pt>
                <c:pt idx="259">
                  <c:v>8.0364737084584248E-2</c:v>
                </c:pt>
                <c:pt idx="260">
                  <c:v>-6.8542055095992427E-2</c:v>
                </c:pt>
                <c:pt idx="261">
                  <c:v>-2.1564048964201693E-2</c:v>
                </c:pt>
                <c:pt idx="262">
                  <c:v>-3.1343255752308452E-2</c:v>
                </c:pt>
                <c:pt idx="263">
                  <c:v>1.5799191023580378E-2</c:v>
                </c:pt>
                <c:pt idx="264">
                  <c:v>-4.5927631423335114E-2</c:v>
                </c:pt>
                <c:pt idx="265">
                  <c:v>0.11331694708475473</c:v>
                </c:pt>
                <c:pt idx="266">
                  <c:v>1.7036125428846277E-2</c:v>
                </c:pt>
                <c:pt idx="267">
                  <c:v>0.33480575683914299</c:v>
                </c:pt>
                <c:pt idx="268">
                  <c:v>0.22151807157033621</c:v>
                </c:pt>
                <c:pt idx="269">
                  <c:v>0.27841682298801007</c:v>
                </c:pt>
                <c:pt idx="270">
                  <c:v>0.11213845389335045</c:v>
                </c:pt>
                <c:pt idx="271">
                  <c:v>4.1396015897799177E-2</c:v>
                </c:pt>
                <c:pt idx="272">
                  <c:v>9.0601861847076859E-2</c:v>
                </c:pt>
                <c:pt idx="273">
                  <c:v>0.15357619075070114</c:v>
                </c:pt>
                <c:pt idx="274">
                  <c:v>0.20231298720668384</c:v>
                </c:pt>
                <c:pt idx="275">
                  <c:v>1.8278695596459171E-2</c:v>
                </c:pt>
                <c:pt idx="276">
                  <c:v>-1.2612087818793971E-2</c:v>
                </c:pt>
                <c:pt idx="277">
                  <c:v>8.057371147249856E-2</c:v>
                </c:pt>
                <c:pt idx="278">
                  <c:v>0.24466828905352905</c:v>
                </c:pt>
                <c:pt idx="279">
                  <c:v>-0.12972522457871546</c:v>
                </c:pt>
                <c:pt idx="280">
                  <c:v>-4.3070910062212336E-2</c:v>
                </c:pt>
                <c:pt idx="281">
                  <c:v>-0.17897498592149708</c:v>
                </c:pt>
                <c:pt idx="282">
                  <c:v>-7.833778896033583E-2</c:v>
                </c:pt>
                <c:pt idx="283">
                  <c:v>-6.8331327221147931E-2</c:v>
                </c:pt>
                <c:pt idx="284">
                  <c:v>-0.18805158880368464</c:v>
                </c:pt>
                <c:pt idx="285">
                  <c:v>-0.10024979085361727</c:v>
                </c:pt>
                <c:pt idx="286">
                  <c:v>-0.19663280187590884</c:v>
                </c:pt>
                <c:pt idx="287">
                  <c:v>-8.3989858670934892E-2</c:v>
                </c:pt>
                <c:pt idx="288">
                  <c:v>-0.11752839895259604</c:v>
                </c:pt>
                <c:pt idx="289">
                  <c:v>-0.10160797513203113</c:v>
                </c:pt>
                <c:pt idx="290">
                  <c:v>0.11704597100355502</c:v>
                </c:pt>
                <c:pt idx="291">
                  <c:v>0.19576691353412107</c:v>
                </c:pt>
                <c:pt idx="292">
                  <c:v>7.7149973358562551E-2</c:v>
                </c:pt>
                <c:pt idx="293">
                  <c:v>6.5457955282289759E-2</c:v>
                </c:pt>
                <c:pt idx="294">
                  <c:v>-8.6268814313065323E-2</c:v>
                </c:pt>
                <c:pt idx="295">
                  <c:v>-1.918372930069534E-2</c:v>
                </c:pt>
                <c:pt idx="296">
                  <c:v>-0.10486234482011192</c:v>
                </c:pt>
                <c:pt idx="297">
                  <c:v>-0.11446108428298019</c:v>
                </c:pt>
                <c:pt idx="298">
                  <c:v>0.11182449684959822</c:v>
                </c:pt>
                <c:pt idx="299">
                  <c:v>0.17432593250397477</c:v>
                </c:pt>
                <c:pt idx="300">
                  <c:v>4.2694037923743933E-3</c:v>
                </c:pt>
                <c:pt idx="301">
                  <c:v>0.15012844574601103</c:v>
                </c:pt>
                <c:pt idx="302">
                  <c:v>2.8834044054688313E-2</c:v>
                </c:pt>
                <c:pt idx="303">
                  <c:v>0.1724037762301599</c:v>
                </c:pt>
                <c:pt idx="304">
                  <c:v>3.9599840567509093E-3</c:v>
                </c:pt>
                <c:pt idx="305">
                  <c:v>0.12005298622399091</c:v>
                </c:pt>
                <c:pt idx="306">
                  <c:v>-9.3518733727439463E-2</c:v>
                </c:pt>
                <c:pt idx="307">
                  <c:v>0.17786266654981941</c:v>
                </c:pt>
                <c:pt idx="308">
                  <c:v>-0.12124999657523433</c:v>
                </c:pt>
                <c:pt idx="309">
                  <c:v>6.414229775784272E-2</c:v>
                </c:pt>
                <c:pt idx="310">
                  <c:v>8.3027214413325376E-2</c:v>
                </c:pt>
                <c:pt idx="311">
                  <c:v>0.12561406042383727</c:v>
                </c:pt>
                <c:pt idx="312">
                  <c:v>4.6769941537944393E-2</c:v>
                </c:pt>
                <c:pt idx="313">
                  <c:v>-2.9499687758441973E-2</c:v>
                </c:pt>
                <c:pt idx="314">
                  <c:v>-0.13825597526266803</c:v>
                </c:pt>
                <c:pt idx="315">
                  <c:v>0.12356251993233329</c:v>
                </c:pt>
                <c:pt idx="316">
                  <c:v>-0.14460021612918261</c:v>
                </c:pt>
                <c:pt idx="317">
                  <c:v>4.9718338301949577E-2</c:v>
                </c:pt>
                <c:pt idx="318">
                  <c:v>-9.3113037798642218E-3</c:v>
                </c:pt>
                <c:pt idx="319">
                  <c:v>1.2440750182664106E-2</c:v>
                </c:pt>
                <c:pt idx="320">
                  <c:v>1.3872726392412299E-2</c:v>
                </c:pt>
                <c:pt idx="321">
                  <c:v>-8.5115377615094939E-2</c:v>
                </c:pt>
                <c:pt idx="322">
                  <c:v>5.3390821634083666E-2</c:v>
                </c:pt>
                <c:pt idx="323">
                  <c:v>2.4414319197793077E-2</c:v>
                </c:pt>
                <c:pt idx="324">
                  <c:v>7.4376101957764063E-3</c:v>
                </c:pt>
                <c:pt idx="325">
                  <c:v>-8.6030675943850554E-2</c:v>
                </c:pt>
                <c:pt idx="326">
                  <c:v>-1.6319896808591305E-2</c:v>
                </c:pt>
                <c:pt idx="327">
                  <c:v>9.3727853464520894E-2</c:v>
                </c:pt>
                <c:pt idx="328">
                  <c:v>0.19342017826573693</c:v>
                </c:pt>
                <c:pt idx="329">
                  <c:v>0.10970040671780248</c:v>
                </c:pt>
                <c:pt idx="330">
                  <c:v>5.5021757758017265E-3</c:v>
                </c:pt>
                <c:pt idx="331">
                  <c:v>-1.8922469071556147E-2</c:v>
                </c:pt>
                <c:pt idx="332">
                  <c:v>-0.11160717297057934</c:v>
                </c:pt>
                <c:pt idx="333">
                  <c:v>-0.11453797408171668</c:v>
                </c:pt>
                <c:pt idx="334">
                  <c:v>-5.6438925934124889E-2</c:v>
                </c:pt>
                <c:pt idx="335">
                  <c:v>-0.19571619745602789</c:v>
                </c:pt>
                <c:pt idx="336">
                  <c:v>-8.7579435507609327E-2</c:v>
                </c:pt>
                <c:pt idx="337">
                  <c:v>-0.17422876226278677</c:v>
                </c:pt>
                <c:pt idx="338">
                  <c:v>-0.1794253845197058</c:v>
                </c:pt>
                <c:pt idx="339">
                  <c:v>-2.0752612515309299E-2</c:v>
                </c:pt>
                <c:pt idx="340">
                  <c:v>7.3278572096257266E-2</c:v>
                </c:pt>
                <c:pt idx="341">
                  <c:v>-0.19620327541467131</c:v>
                </c:pt>
                <c:pt idx="342">
                  <c:v>-0.16040250975230985</c:v>
                </c:pt>
                <c:pt idx="343">
                  <c:v>-0.15450203976034727</c:v>
                </c:pt>
                <c:pt idx="344">
                  <c:v>-6.6648202053304406E-2</c:v>
                </c:pt>
                <c:pt idx="345">
                  <c:v>-1.2892837592090145E-2</c:v>
                </c:pt>
                <c:pt idx="346">
                  <c:v>-0.15375560401076444</c:v>
                </c:pt>
                <c:pt idx="347">
                  <c:v>-4.8536226971908403E-2</c:v>
                </c:pt>
                <c:pt idx="348">
                  <c:v>-7.7798564502074119E-2</c:v>
                </c:pt>
                <c:pt idx="349">
                  <c:v>-0.13594693683267522</c:v>
                </c:pt>
                <c:pt idx="350">
                  <c:v>2.237909612776845E-2</c:v>
                </c:pt>
                <c:pt idx="351">
                  <c:v>0.12800434463499982</c:v>
                </c:pt>
                <c:pt idx="352">
                  <c:v>-1.8051653085048858E-3</c:v>
                </c:pt>
                <c:pt idx="353">
                  <c:v>8.9183448691340539E-2</c:v>
                </c:pt>
                <c:pt idx="354">
                  <c:v>1.2023737732450968E-2</c:v>
                </c:pt>
                <c:pt idx="355">
                  <c:v>4.7881077933991378E-2</c:v>
                </c:pt>
                <c:pt idx="356">
                  <c:v>4.791605863159959E-2</c:v>
                </c:pt>
                <c:pt idx="357">
                  <c:v>1.9268582920072219E-2</c:v>
                </c:pt>
                <c:pt idx="358">
                  <c:v>0.12634345333102548</c:v>
                </c:pt>
                <c:pt idx="359">
                  <c:v>0.1442444816039947</c:v>
                </c:pt>
                <c:pt idx="360">
                  <c:v>0.17322662278756287</c:v>
                </c:pt>
                <c:pt idx="361">
                  <c:v>-7.289124082429782E-2</c:v>
                </c:pt>
                <c:pt idx="362">
                  <c:v>0.10614968104255065</c:v>
                </c:pt>
                <c:pt idx="363">
                  <c:v>-6.5646524195102418E-2</c:v>
                </c:pt>
                <c:pt idx="364">
                  <c:v>0.1167166440201165</c:v>
                </c:pt>
                <c:pt idx="365">
                  <c:v>0.16847221028222426</c:v>
                </c:pt>
                <c:pt idx="366">
                  <c:v>7.4252490039105501E-2</c:v>
                </c:pt>
                <c:pt idx="367">
                  <c:v>-4.8785720436067659E-2</c:v>
                </c:pt>
                <c:pt idx="368">
                  <c:v>-8.6711319431118566E-2</c:v>
                </c:pt>
                <c:pt idx="369">
                  <c:v>0.11640574949582086</c:v>
                </c:pt>
                <c:pt idx="370">
                  <c:v>0.11028599201260836</c:v>
                </c:pt>
                <c:pt idx="371">
                  <c:v>0.14014280208521371</c:v>
                </c:pt>
                <c:pt idx="372">
                  <c:v>6.7549452029766754E-2</c:v>
                </c:pt>
                <c:pt idx="373">
                  <c:v>-4.7313439787701639E-2</c:v>
                </c:pt>
                <c:pt idx="374">
                  <c:v>9.6257935984327136E-2</c:v>
                </c:pt>
                <c:pt idx="375">
                  <c:v>0.12130688636610243</c:v>
                </c:pt>
                <c:pt idx="376">
                  <c:v>0.11517788338170082</c:v>
                </c:pt>
                <c:pt idx="377">
                  <c:v>0.45520059282202191</c:v>
                </c:pt>
                <c:pt idx="378">
                  <c:v>0.19810894946611118</c:v>
                </c:pt>
                <c:pt idx="379">
                  <c:v>7.9028758934465704E-2</c:v>
                </c:pt>
                <c:pt idx="380">
                  <c:v>-7.0390159176163536E-3</c:v>
                </c:pt>
                <c:pt idx="381">
                  <c:v>9.3370834628825783E-2</c:v>
                </c:pt>
                <c:pt idx="382">
                  <c:v>-1.2806243475117107E-2</c:v>
                </c:pt>
                <c:pt idx="383">
                  <c:v>-0.10934739008380878</c:v>
                </c:pt>
                <c:pt idx="384">
                  <c:v>0.10362596000257851</c:v>
                </c:pt>
                <c:pt idx="385">
                  <c:v>9.3641285507164496E-2</c:v>
                </c:pt>
                <c:pt idx="386">
                  <c:v>1.5576439897853789E-2</c:v>
                </c:pt>
                <c:pt idx="387">
                  <c:v>3.6161314944030798E-2</c:v>
                </c:pt>
                <c:pt idx="388">
                  <c:v>9.5191186894521995E-2</c:v>
                </c:pt>
                <c:pt idx="389">
                  <c:v>-6.1740932942216609E-2</c:v>
                </c:pt>
                <c:pt idx="390">
                  <c:v>7.0890350500198263E-2</c:v>
                </c:pt>
                <c:pt idx="391">
                  <c:v>-0.10988210438534651</c:v>
                </c:pt>
                <c:pt idx="392">
                  <c:v>8.3184061983116508E-2</c:v>
                </c:pt>
                <c:pt idx="393">
                  <c:v>4.9874849873585647E-2</c:v>
                </c:pt>
                <c:pt idx="394">
                  <c:v>-9.0610809692537875E-3</c:v>
                </c:pt>
                <c:pt idx="395">
                  <c:v>6.9996172398324341E-2</c:v>
                </c:pt>
                <c:pt idx="396">
                  <c:v>-6.5959826586085013E-2</c:v>
                </c:pt>
                <c:pt idx="397">
                  <c:v>-6.2883573378986646E-2</c:v>
                </c:pt>
                <c:pt idx="398">
                  <c:v>-5.3377875036616063E-2</c:v>
                </c:pt>
                <c:pt idx="399">
                  <c:v>9.7156637587169525E-2</c:v>
                </c:pt>
                <c:pt idx="400">
                  <c:v>1.2644351239056828E-2</c:v>
                </c:pt>
                <c:pt idx="401">
                  <c:v>9.2049829895824109E-2</c:v>
                </c:pt>
                <c:pt idx="402">
                  <c:v>-0.11216679367549626</c:v>
                </c:pt>
                <c:pt idx="403">
                  <c:v>-7.27564640003589E-2</c:v>
                </c:pt>
                <c:pt idx="404">
                  <c:v>-9.7575765510453993E-2</c:v>
                </c:pt>
                <c:pt idx="405">
                  <c:v>-0.21651661539363276</c:v>
                </c:pt>
                <c:pt idx="406">
                  <c:v>-0.17518011587033966</c:v>
                </c:pt>
                <c:pt idx="407">
                  <c:v>-0.21527678641400211</c:v>
                </c:pt>
                <c:pt idx="408">
                  <c:v>-0.11624749977247761</c:v>
                </c:pt>
                <c:pt idx="409">
                  <c:v>-0.14893710186580589</c:v>
                </c:pt>
                <c:pt idx="410">
                  <c:v>3.7889454343772722E-2</c:v>
                </c:pt>
                <c:pt idx="411">
                  <c:v>0.1551875897317157</c:v>
                </c:pt>
                <c:pt idx="412">
                  <c:v>0.16968469207064307</c:v>
                </c:pt>
                <c:pt idx="413">
                  <c:v>0.13978198103584422</c:v>
                </c:pt>
                <c:pt idx="414">
                  <c:v>3.9753091196957441E-2</c:v>
                </c:pt>
                <c:pt idx="415">
                  <c:v>1.8123727460049865E-2</c:v>
                </c:pt>
                <c:pt idx="416">
                  <c:v>-3.186124201338203E-2</c:v>
                </c:pt>
                <c:pt idx="417">
                  <c:v>1.0543146220728272E-2</c:v>
                </c:pt>
                <c:pt idx="418">
                  <c:v>-0.11245231472610329</c:v>
                </c:pt>
                <c:pt idx="419">
                  <c:v>-9.7029122384363869E-2</c:v>
                </c:pt>
                <c:pt idx="420">
                  <c:v>2.8597399600337303E-2</c:v>
                </c:pt>
                <c:pt idx="421">
                  <c:v>-0.18998659259014403</c:v>
                </c:pt>
                <c:pt idx="422">
                  <c:v>-7.1258927612060652E-2</c:v>
                </c:pt>
                <c:pt idx="423">
                  <c:v>-8.643405182054642E-3</c:v>
                </c:pt>
                <c:pt idx="424">
                  <c:v>-0.25884994321936483</c:v>
                </c:pt>
                <c:pt idx="425">
                  <c:v>-5.2844479641115383E-3</c:v>
                </c:pt>
                <c:pt idx="426">
                  <c:v>9.2884713960454779E-2</c:v>
                </c:pt>
                <c:pt idx="427">
                  <c:v>-5.1554807697542671E-2</c:v>
                </c:pt>
                <c:pt idx="428">
                  <c:v>9.8609868002706325E-2</c:v>
                </c:pt>
                <c:pt idx="429">
                  <c:v>-2.5805935977866679E-2</c:v>
                </c:pt>
                <c:pt idx="430">
                  <c:v>-9.4058564073511597E-2</c:v>
                </c:pt>
                <c:pt idx="431">
                  <c:v>2.7537792573526509E-3</c:v>
                </c:pt>
                <c:pt idx="432">
                  <c:v>0.10394284520235419</c:v>
                </c:pt>
                <c:pt idx="433">
                  <c:v>8.89784897741972E-2</c:v>
                </c:pt>
                <c:pt idx="434">
                  <c:v>-4.5959611134035461E-3</c:v>
                </c:pt>
                <c:pt idx="435">
                  <c:v>0.11152891218542038</c:v>
                </c:pt>
                <c:pt idx="436">
                  <c:v>0.35388211209769693</c:v>
                </c:pt>
                <c:pt idx="437">
                  <c:v>2.0743997503738287E-2</c:v>
                </c:pt>
                <c:pt idx="438">
                  <c:v>8.21697162127627E-3</c:v>
                </c:pt>
                <c:pt idx="439">
                  <c:v>-0.19031750111281914</c:v>
                </c:pt>
                <c:pt idx="440">
                  <c:v>-1.7571302663880295E-2</c:v>
                </c:pt>
                <c:pt idx="441">
                  <c:v>3.9138621383601468E-2</c:v>
                </c:pt>
                <c:pt idx="442">
                  <c:v>6.9159720486451193E-2</c:v>
                </c:pt>
                <c:pt idx="443">
                  <c:v>-2.315295793753136E-2</c:v>
                </c:pt>
                <c:pt idx="444">
                  <c:v>0.1260806907280686</c:v>
                </c:pt>
                <c:pt idx="445">
                  <c:v>0.11615251255612025</c:v>
                </c:pt>
                <c:pt idx="446">
                  <c:v>-7.4553638440975067E-2</c:v>
                </c:pt>
                <c:pt idx="447">
                  <c:v>-0.10209168555447434</c:v>
                </c:pt>
                <c:pt idx="448">
                  <c:v>0.10744486798241693</c:v>
                </c:pt>
                <c:pt idx="449">
                  <c:v>-3.4901823472392624E-2</c:v>
                </c:pt>
                <c:pt idx="450">
                  <c:v>-4.5096110173394266E-2</c:v>
                </c:pt>
                <c:pt idx="451">
                  <c:v>-0.11858549299202364</c:v>
                </c:pt>
                <c:pt idx="452">
                  <c:v>-0.13320313040023013</c:v>
                </c:pt>
                <c:pt idx="453">
                  <c:v>-1.4899060463957392E-2</c:v>
                </c:pt>
                <c:pt idx="454">
                  <c:v>0.11367942704671291</c:v>
                </c:pt>
                <c:pt idx="455">
                  <c:v>-8.9459128051479708E-2</c:v>
                </c:pt>
                <c:pt idx="456">
                  <c:v>-0.13204638518742245</c:v>
                </c:pt>
                <c:pt idx="457">
                  <c:v>5.2916238130846005E-2</c:v>
                </c:pt>
                <c:pt idx="458">
                  <c:v>-1.1995805630641787E-2</c:v>
                </c:pt>
                <c:pt idx="459">
                  <c:v>-7.1571590913175998E-2</c:v>
                </c:pt>
                <c:pt idx="460">
                  <c:v>4.2729382509586467E-3</c:v>
                </c:pt>
                <c:pt idx="461">
                  <c:v>0.10128234937856123</c:v>
                </c:pt>
                <c:pt idx="462">
                  <c:v>-0.11261016981213851</c:v>
                </c:pt>
                <c:pt idx="463">
                  <c:v>-0.12662343622528943</c:v>
                </c:pt>
                <c:pt idx="464">
                  <c:v>5.7457204531542072E-2</c:v>
                </c:pt>
                <c:pt idx="465">
                  <c:v>-0.16948828970864882</c:v>
                </c:pt>
                <c:pt idx="466">
                  <c:v>-0.10997949336840096</c:v>
                </c:pt>
                <c:pt idx="467">
                  <c:v>-1.1886471274329513E-2</c:v>
                </c:pt>
                <c:pt idx="468">
                  <c:v>3.9995478230981374E-2</c:v>
                </c:pt>
                <c:pt idx="469">
                  <c:v>3.2257881438901848E-2</c:v>
                </c:pt>
                <c:pt idx="470">
                  <c:v>-7.3471041685259419E-2</c:v>
                </c:pt>
                <c:pt idx="471">
                  <c:v>-0.11149852321355391</c:v>
                </c:pt>
                <c:pt idx="472">
                  <c:v>0.17182098096514908</c:v>
                </c:pt>
                <c:pt idx="473">
                  <c:v>-8.8300155824380222E-2</c:v>
                </c:pt>
                <c:pt idx="474">
                  <c:v>-8.2704139076698491E-2</c:v>
                </c:pt>
                <c:pt idx="475">
                  <c:v>-2.8105328236826543E-2</c:v>
                </c:pt>
                <c:pt idx="476">
                  <c:v>9.6032354516779606E-2</c:v>
                </c:pt>
                <c:pt idx="477">
                  <c:v>3.5149906263189701E-2</c:v>
                </c:pt>
                <c:pt idx="478">
                  <c:v>8.0766362721731877E-2</c:v>
                </c:pt>
                <c:pt idx="479">
                  <c:v>-9.4161697251885612E-2</c:v>
                </c:pt>
                <c:pt idx="480">
                  <c:v>-6.6988874793423414E-2</c:v>
                </c:pt>
                <c:pt idx="481">
                  <c:v>-3.8568657318509947E-2</c:v>
                </c:pt>
                <c:pt idx="482">
                  <c:v>9.3296955191719988E-2</c:v>
                </c:pt>
                <c:pt idx="483">
                  <c:v>3.7707453638996635E-2</c:v>
                </c:pt>
                <c:pt idx="484">
                  <c:v>0.20379086583068623</c:v>
                </c:pt>
                <c:pt idx="485">
                  <c:v>-0.10564009470276609</c:v>
                </c:pt>
                <c:pt idx="486">
                  <c:v>-0.12679459238417767</c:v>
                </c:pt>
                <c:pt idx="487">
                  <c:v>-0.18444108011184229</c:v>
                </c:pt>
                <c:pt idx="488">
                  <c:v>-7.4649860714615102E-2</c:v>
                </c:pt>
                <c:pt idx="489">
                  <c:v>-3.1988994433338191E-2</c:v>
                </c:pt>
                <c:pt idx="490">
                  <c:v>-8.095920212191493E-2</c:v>
                </c:pt>
                <c:pt idx="491">
                  <c:v>2.6250260501543998E-2</c:v>
                </c:pt>
                <c:pt idx="492">
                  <c:v>-2.3018465084151063E-2</c:v>
                </c:pt>
                <c:pt idx="493">
                  <c:v>3.0261040227319569E-3</c:v>
                </c:pt>
                <c:pt idx="494">
                  <c:v>3.1140445998427024E-2</c:v>
                </c:pt>
                <c:pt idx="495">
                  <c:v>-0.12196910842165493</c:v>
                </c:pt>
                <c:pt idx="496">
                  <c:v>0.18871873224964275</c:v>
                </c:pt>
                <c:pt idx="497">
                  <c:v>0.16456274579878971</c:v>
                </c:pt>
                <c:pt idx="498">
                  <c:v>0.15527140017758706</c:v>
                </c:pt>
                <c:pt idx="499">
                  <c:v>-6.0753495600925744E-2</c:v>
                </c:pt>
                <c:pt idx="500">
                  <c:v>-2.0248318950876087E-2</c:v>
                </c:pt>
                <c:pt idx="501">
                  <c:v>-2.0805484050679168E-2</c:v>
                </c:pt>
                <c:pt idx="502">
                  <c:v>1.7502845577130222E-2</c:v>
                </c:pt>
                <c:pt idx="503">
                  <c:v>-8.7885028596970116E-3</c:v>
                </c:pt>
                <c:pt idx="504">
                  <c:v>-0.13340183439723152</c:v>
                </c:pt>
                <c:pt idx="505">
                  <c:v>-0.1165584761739708</c:v>
                </c:pt>
                <c:pt idx="506">
                  <c:v>-0.14888887600958722</c:v>
                </c:pt>
                <c:pt idx="507">
                  <c:v>1.2053229735267512E-2</c:v>
                </c:pt>
                <c:pt idx="508">
                  <c:v>-1.1892761764925486E-2</c:v>
                </c:pt>
                <c:pt idx="509">
                  <c:v>8.2338506094237041E-2</c:v>
                </c:pt>
                <c:pt idx="510">
                  <c:v>1.4640999914344754E-2</c:v>
                </c:pt>
                <c:pt idx="511">
                  <c:v>7.0628216049756387E-2</c:v>
                </c:pt>
                <c:pt idx="512">
                  <c:v>2.7259524189124251E-2</c:v>
                </c:pt>
                <c:pt idx="513">
                  <c:v>9.6309956321312895E-2</c:v>
                </c:pt>
                <c:pt idx="514">
                  <c:v>5.1448639551548991E-4</c:v>
                </c:pt>
                <c:pt idx="515">
                  <c:v>5.1218630488781836E-2</c:v>
                </c:pt>
                <c:pt idx="516">
                  <c:v>2.6941440811271755E-2</c:v>
                </c:pt>
                <c:pt idx="517">
                  <c:v>0.23314272984324352</c:v>
                </c:pt>
                <c:pt idx="518">
                  <c:v>4.7521174333206129E-2</c:v>
                </c:pt>
                <c:pt idx="519">
                  <c:v>0.25034671193623215</c:v>
                </c:pt>
                <c:pt idx="520">
                  <c:v>0.24535486480664959</c:v>
                </c:pt>
                <c:pt idx="521">
                  <c:v>0.32800934977350682</c:v>
                </c:pt>
                <c:pt idx="522">
                  <c:v>1.1354810409898497E-2</c:v>
                </c:pt>
                <c:pt idx="523">
                  <c:v>5.4164516832513887E-2</c:v>
                </c:pt>
                <c:pt idx="524">
                  <c:v>-6.4621625273298178E-2</c:v>
                </c:pt>
                <c:pt idx="525">
                  <c:v>1.915540524753756E-2</c:v>
                </c:pt>
                <c:pt idx="526">
                  <c:v>-5.0161079451226942E-2</c:v>
                </c:pt>
                <c:pt idx="527">
                  <c:v>5.8407742839667431E-2</c:v>
                </c:pt>
                <c:pt idx="528">
                  <c:v>-5.5179366171252964E-2</c:v>
                </c:pt>
                <c:pt idx="529">
                  <c:v>-4.0485681320347799E-2</c:v>
                </c:pt>
                <c:pt idx="530">
                  <c:v>-0.21904168552308423</c:v>
                </c:pt>
                <c:pt idx="531">
                  <c:v>7.3139881723419453E-2</c:v>
                </c:pt>
                <c:pt idx="532">
                  <c:v>-0.10336492046398571</c:v>
                </c:pt>
                <c:pt idx="533">
                  <c:v>-8.6184435490860301E-2</c:v>
                </c:pt>
                <c:pt idx="534">
                  <c:v>-0.13623263872997804</c:v>
                </c:pt>
                <c:pt idx="535">
                  <c:v>-8.0282583178448719E-2</c:v>
                </c:pt>
                <c:pt idx="536">
                  <c:v>-0.18548109758777642</c:v>
                </c:pt>
                <c:pt idx="537">
                  <c:v>-6.415437326863993E-2</c:v>
                </c:pt>
                <c:pt idx="538">
                  <c:v>2.3049983120411288E-2</c:v>
                </c:pt>
                <c:pt idx="539">
                  <c:v>1.6689898504873679E-2</c:v>
                </c:pt>
                <c:pt idx="540">
                  <c:v>0.11770755317009718</c:v>
                </c:pt>
                <c:pt idx="541">
                  <c:v>-8.8984573929668076E-2</c:v>
                </c:pt>
                <c:pt idx="542">
                  <c:v>0.11652013149361473</c:v>
                </c:pt>
                <c:pt idx="543">
                  <c:v>-6.552114486733307E-2</c:v>
                </c:pt>
                <c:pt idx="544">
                  <c:v>6.5423996163954334E-2</c:v>
                </c:pt>
                <c:pt idx="545">
                  <c:v>-3.3262327500048094E-2</c:v>
                </c:pt>
                <c:pt idx="546">
                  <c:v>-6.5068836234293714E-2</c:v>
                </c:pt>
                <c:pt idx="547">
                  <c:v>-0.30532548188669884</c:v>
                </c:pt>
                <c:pt idx="548">
                  <c:v>-0.22593820909047602</c:v>
                </c:pt>
                <c:pt idx="549">
                  <c:v>-0.38688110748158044</c:v>
                </c:pt>
                <c:pt idx="550">
                  <c:v>-0.1880187447876156</c:v>
                </c:pt>
                <c:pt idx="551">
                  <c:v>-0.12622442657824895</c:v>
                </c:pt>
                <c:pt idx="552">
                  <c:v>-2.4318353582647889E-2</c:v>
                </c:pt>
                <c:pt idx="553">
                  <c:v>7.2301615614881576E-2</c:v>
                </c:pt>
                <c:pt idx="554">
                  <c:v>-0.16798457445219739</c:v>
                </c:pt>
                <c:pt idx="555">
                  <c:v>5.8863103785573467E-2</c:v>
                </c:pt>
                <c:pt idx="556">
                  <c:v>-0.10557286636814445</c:v>
                </c:pt>
                <c:pt idx="557">
                  <c:v>2.6123995836586089E-2</c:v>
                </c:pt>
                <c:pt idx="558">
                  <c:v>-5.6808262235966023E-2</c:v>
                </c:pt>
                <c:pt idx="559">
                  <c:v>-9.3948734279133639E-2</c:v>
                </c:pt>
                <c:pt idx="560">
                  <c:v>-6.377083207103118E-2</c:v>
                </c:pt>
                <c:pt idx="561">
                  <c:v>-7.9297516000202184E-2</c:v>
                </c:pt>
                <c:pt idx="562">
                  <c:v>-5.8449319767149399E-2</c:v>
                </c:pt>
                <c:pt idx="563">
                  <c:v>9.0738050979927709E-2</c:v>
                </c:pt>
                <c:pt idx="564">
                  <c:v>0.13800138109060278</c:v>
                </c:pt>
                <c:pt idx="565">
                  <c:v>0.11931603476040442</c:v>
                </c:pt>
                <c:pt idx="566">
                  <c:v>5.93616768324845E-2</c:v>
                </c:pt>
                <c:pt idx="567">
                  <c:v>-5.7278994658299776E-2</c:v>
                </c:pt>
                <c:pt idx="568">
                  <c:v>0.1268861366728069</c:v>
                </c:pt>
                <c:pt idx="569">
                  <c:v>1.9089571126986393E-2</c:v>
                </c:pt>
                <c:pt idx="570">
                  <c:v>-0.15867616704577425</c:v>
                </c:pt>
                <c:pt idx="571">
                  <c:v>-0.15691352250397494</c:v>
                </c:pt>
                <c:pt idx="572">
                  <c:v>3.6758999933785175E-2</c:v>
                </c:pt>
                <c:pt idx="573">
                  <c:v>-8.5896943214427646E-2</c:v>
                </c:pt>
                <c:pt idx="574">
                  <c:v>9.3200767109169913E-2</c:v>
                </c:pt>
                <c:pt idx="575">
                  <c:v>4.4725430732090898E-2</c:v>
                </c:pt>
                <c:pt idx="576">
                  <c:v>7.5800779406867913E-2</c:v>
                </c:pt>
                <c:pt idx="577">
                  <c:v>6.8416327565890001E-2</c:v>
                </c:pt>
                <c:pt idx="578">
                  <c:v>9.7170978099139327E-2</c:v>
                </c:pt>
                <c:pt idx="579">
                  <c:v>0.29990810592248229</c:v>
                </c:pt>
                <c:pt idx="580">
                  <c:v>-1.6403380339360729E-2</c:v>
                </c:pt>
                <c:pt idx="581">
                  <c:v>-3.4150636887404495E-3</c:v>
                </c:pt>
                <c:pt idx="582">
                  <c:v>4.9885099290549517E-2</c:v>
                </c:pt>
                <c:pt idx="583">
                  <c:v>-1.9502400694204058E-2</c:v>
                </c:pt>
                <c:pt idx="584">
                  <c:v>-8.408856921782637E-2</c:v>
                </c:pt>
                <c:pt idx="585">
                  <c:v>-6.6974981294698033E-2</c:v>
                </c:pt>
                <c:pt idx="586">
                  <c:v>-2.6316708763469032E-2</c:v>
                </c:pt>
                <c:pt idx="587">
                  <c:v>3.3300384196827126E-3</c:v>
                </c:pt>
                <c:pt idx="588">
                  <c:v>1.4802900142724118E-2</c:v>
                </c:pt>
                <c:pt idx="589">
                  <c:v>2.4972850626999166E-2</c:v>
                </c:pt>
                <c:pt idx="590">
                  <c:v>-5.6929770677162983E-2</c:v>
                </c:pt>
                <c:pt idx="591">
                  <c:v>-0.25259094003685079</c:v>
                </c:pt>
                <c:pt idx="592">
                  <c:v>-0.16137799993950763</c:v>
                </c:pt>
                <c:pt idx="593">
                  <c:v>0.21305918986094097</c:v>
                </c:pt>
                <c:pt idx="594">
                  <c:v>-8.8219622892463656E-3</c:v>
                </c:pt>
                <c:pt idx="595">
                  <c:v>-6.8880537918435958E-2</c:v>
                </c:pt>
                <c:pt idx="596">
                  <c:v>-7.1906016750604596E-2</c:v>
                </c:pt>
                <c:pt idx="597">
                  <c:v>2.7639607039045555E-2</c:v>
                </c:pt>
                <c:pt idx="598">
                  <c:v>-0.11386558810010006</c:v>
                </c:pt>
                <c:pt idx="599">
                  <c:v>3.4253209877506019E-2</c:v>
                </c:pt>
                <c:pt idx="600">
                  <c:v>9.9179481250557644E-2</c:v>
                </c:pt>
                <c:pt idx="601">
                  <c:v>0.10571768462583053</c:v>
                </c:pt>
                <c:pt idx="602">
                  <c:v>-5.4741269819868932E-2</c:v>
                </c:pt>
                <c:pt idx="603">
                  <c:v>4.6402207322052469E-2</c:v>
                </c:pt>
                <c:pt idx="604">
                  <c:v>-7.5794854552474478E-2</c:v>
                </c:pt>
                <c:pt idx="605">
                  <c:v>-9.0999603204249824E-2</c:v>
                </c:pt>
                <c:pt idx="606">
                  <c:v>-2.562061255429815E-2</c:v>
                </c:pt>
                <c:pt idx="607">
                  <c:v>-6.2304652929077164E-3</c:v>
                </c:pt>
                <c:pt idx="608">
                  <c:v>-3.877550148533393E-2</c:v>
                </c:pt>
                <c:pt idx="609">
                  <c:v>6.6720796387631731E-2</c:v>
                </c:pt>
                <c:pt idx="610">
                  <c:v>1.9154019278582624E-2</c:v>
                </c:pt>
                <c:pt idx="611">
                  <c:v>4.6030195909302574E-2</c:v>
                </c:pt>
                <c:pt idx="612">
                  <c:v>-4.0756863149454259E-2</c:v>
                </c:pt>
                <c:pt idx="613">
                  <c:v>6.7737361680245467E-2</c:v>
                </c:pt>
                <c:pt idx="614">
                  <c:v>-0.1022287218838791</c:v>
                </c:pt>
                <c:pt idx="615">
                  <c:v>-5.6529008357022015E-2</c:v>
                </c:pt>
                <c:pt idx="616">
                  <c:v>5.7537890770609224E-3</c:v>
                </c:pt>
                <c:pt idx="617">
                  <c:v>7.2577646239993632E-2</c:v>
                </c:pt>
                <c:pt idx="618">
                  <c:v>-2.568459280238633E-3</c:v>
                </c:pt>
                <c:pt idx="619">
                  <c:v>-8.9725294542933653E-2</c:v>
                </c:pt>
                <c:pt idx="620">
                  <c:v>-0.12528109653017838</c:v>
                </c:pt>
                <c:pt idx="621">
                  <c:v>-0.12653160956236875</c:v>
                </c:pt>
                <c:pt idx="622">
                  <c:v>-3.7561238300495514E-2</c:v>
                </c:pt>
                <c:pt idx="623">
                  <c:v>-3.2718917533164804E-2</c:v>
                </c:pt>
                <c:pt idx="624">
                  <c:v>7.065061055869104E-2</c:v>
                </c:pt>
                <c:pt idx="625">
                  <c:v>0.18005125525781551</c:v>
                </c:pt>
                <c:pt idx="626">
                  <c:v>-0.17268297266061861</c:v>
                </c:pt>
                <c:pt idx="627">
                  <c:v>-0.10615775079396117</c:v>
                </c:pt>
                <c:pt idx="628">
                  <c:v>-0.15679572834937672</c:v>
                </c:pt>
                <c:pt idx="629">
                  <c:v>1.5254359690693664E-2</c:v>
                </c:pt>
                <c:pt idx="630">
                  <c:v>-5.2501822961833478E-3</c:v>
                </c:pt>
                <c:pt idx="631">
                  <c:v>-0.13234468014113254</c:v>
                </c:pt>
                <c:pt idx="632">
                  <c:v>-4.7327207922114756E-2</c:v>
                </c:pt>
                <c:pt idx="633">
                  <c:v>4.7879832993348415E-2</c:v>
                </c:pt>
                <c:pt idx="634">
                  <c:v>9.8966010477584021E-2</c:v>
                </c:pt>
                <c:pt idx="635">
                  <c:v>-6.7056804073867493E-2</c:v>
                </c:pt>
                <c:pt idx="636">
                  <c:v>3.069426081261295E-2</c:v>
                </c:pt>
                <c:pt idx="637">
                  <c:v>-2.4769880427032653E-2</c:v>
                </c:pt>
                <c:pt idx="638">
                  <c:v>-3.6775196126646259E-2</c:v>
                </c:pt>
                <c:pt idx="639">
                  <c:v>-0.18074571263710904</c:v>
                </c:pt>
                <c:pt idx="640">
                  <c:v>-0.18264308375966609</c:v>
                </c:pt>
                <c:pt idx="641">
                  <c:v>-0.10475938358286185</c:v>
                </c:pt>
                <c:pt idx="642">
                  <c:v>2.9978390932036358E-2</c:v>
                </c:pt>
                <c:pt idx="643">
                  <c:v>6.4327511610344557E-2</c:v>
                </c:pt>
                <c:pt idx="644">
                  <c:v>-6.8947841113497943E-2</c:v>
                </c:pt>
                <c:pt idx="645">
                  <c:v>-0.13235453389682728</c:v>
                </c:pt>
                <c:pt idx="646">
                  <c:v>-5.9422090577163411E-2</c:v>
                </c:pt>
                <c:pt idx="647">
                  <c:v>-4.4330875707043749E-4</c:v>
                </c:pt>
                <c:pt idx="648">
                  <c:v>7.0373931705987269E-2</c:v>
                </c:pt>
                <c:pt idx="649">
                  <c:v>2.6208237404615753E-2</c:v>
                </c:pt>
                <c:pt idx="650">
                  <c:v>-0.23819873007571812</c:v>
                </c:pt>
                <c:pt idx="651">
                  <c:v>-6.6458896396071832E-2</c:v>
                </c:pt>
                <c:pt idx="652">
                  <c:v>-0.16483416848192334</c:v>
                </c:pt>
                <c:pt idx="653">
                  <c:v>-0.11885629764630068</c:v>
                </c:pt>
                <c:pt idx="654">
                  <c:v>-0.26734714717954178</c:v>
                </c:pt>
                <c:pt idx="655">
                  <c:v>-0.20779931756573433</c:v>
                </c:pt>
                <c:pt idx="656">
                  <c:v>-9.1793303617698441E-2</c:v>
                </c:pt>
                <c:pt idx="657">
                  <c:v>-0.1740319912125522</c:v>
                </c:pt>
                <c:pt idx="658">
                  <c:v>-5.1305400148114466E-2</c:v>
                </c:pt>
                <c:pt idx="659">
                  <c:v>3.6344451638698039E-2</c:v>
                </c:pt>
                <c:pt idx="660">
                  <c:v>-4.8409536807697995E-2</c:v>
                </c:pt>
                <c:pt idx="661">
                  <c:v>7.4182051287405959E-2</c:v>
                </c:pt>
                <c:pt idx="662">
                  <c:v>-7.5092803114247819E-2</c:v>
                </c:pt>
                <c:pt idx="663">
                  <c:v>-2.4653623796134561E-2</c:v>
                </c:pt>
                <c:pt idx="664">
                  <c:v>-0.23716240385090281</c:v>
                </c:pt>
                <c:pt idx="665">
                  <c:v>-2.6883138488460467E-2</c:v>
                </c:pt>
                <c:pt idx="666">
                  <c:v>-2.1282152952392441E-2</c:v>
                </c:pt>
                <c:pt idx="667">
                  <c:v>2.473502824773377E-2</c:v>
                </c:pt>
                <c:pt idx="668">
                  <c:v>-0.17542738632977961</c:v>
                </c:pt>
                <c:pt idx="669">
                  <c:v>-0.24570156934524379</c:v>
                </c:pt>
                <c:pt idx="670">
                  <c:v>2.3703915223700966E-2</c:v>
                </c:pt>
                <c:pt idx="671">
                  <c:v>8.5264905224009202E-2</c:v>
                </c:pt>
                <c:pt idx="672">
                  <c:v>-1.0638860649782811E-2</c:v>
                </c:pt>
                <c:pt idx="673">
                  <c:v>-0.16522944285049446</c:v>
                </c:pt>
                <c:pt idx="674">
                  <c:v>-7.4342077330120548E-2</c:v>
                </c:pt>
                <c:pt idx="675">
                  <c:v>-2.4367930228142987E-2</c:v>
                </c:pt>
                <c:pt idx="676">
                  <c:v>1.5833603835864074E-2</c:v>
                </c:pt>
                <c:pt idx="677">
                  <c:v>4.7432043588780948E-2</c:v>
                </c:pt>
                <c:pt idx="678">
                  <c:v>-0.18697436123143851</c:v>
                </c:pt>
                <c:pt idx="679">
                  <c:v>-0.15534630106619529</c:v>
                </c:pt>
                <c:pt idx="680">
                  <c:v>-0.13591702606560685</c:v>
                </c:pt>
                <c:pt idx="681">
                  <c:v>-0.22668475871523719</c:v>
                </c:pt>
                <c:pt idx="682">
                  <c:v>-0.15311259918147879</c:v>
                </c:pt>
                <c:pt idx="683">
                  <c:v>-0.1230530621821182</c:v>
                </c:pt>
                <c:pt idx="684">
                  <c:v>8.5733549253078634E-2</c:v>
                </c:pt>
                <c:pt idx="685">
                  <c:v>2.3979628712242684E-2</c:v>
                </c:pt>
                <c:pt idx="686">
                  <c:v>9.296499076908149E-2</c:v>
                </c:pt>
                <c:pt idx="687">
                  <c:v>7.8301427818752822E-2</c:v>
                </c:pt>
                <c:pt idx="688">
                  <c:v>0.24431039830888124</c:v>
                </c:pt>
                <c:pt idx="689">
                  <c:v>0.21969768189116556</c:v>
                </c:pt>
                <c:pt idx="690">
                  <c:v>-4.9609680049449656E-2</c:v>
                </c:pt>
                <c:pt idx="691">
                  <c:v>-0.15810966052154751</c:v>
                </c:pt>
                <c:pt idx="692">
                  <c:v>-0.26855546078052028</c:v>
                </c:pt>
                <c:pt idx="693">
                  <c:v>-0.18341734011001787</c:v>
                </c:pt>
                <c:pt idx="694">
                  <c:v>3.7585503427461919E-2</c:v>
                </c:pt>
                <c:pt idx="695">
                  <c:v>-3.3229347512679475E-2</c:v>
                </c:pt>
                <c:pt idx="696">
                  <c:v>-4.3581516734458425E-2</c:v>
                </c:pt>
                <c:pt idx="697">
                  <c:v>-1.5258001697348034E-3</c:v>
                </c:pt>
                <c:pt idx="698">
                  <c:v>-4.5509789389650779E-2</c:v>
                </c:pt>
                <c:pt idx="699">
                  <c:v>0.10416360324624796</c:v>
                </c:pt>
                <c:pt idx="700">
                  <c:v>0.21300322088293244</c:v>
                </c:pt>
                <c:pt idx="701">
                  <c:v>0.23183721800568957</c:v>
                </c:pt>
                <c:pt idx="702">
                  <c:v>-7.671958347975294E-3</c:v>
                </c:pt>
                <c:pt idx="703">
                  <c:v>-4.7698517880978453E-2</c:v>
                </c:pt>
                <c:pt idx="704">
                  <c:v>-0.24248982198644997</c:v>
                </c:pt>
                <c:pt idx="705">
                  <c:v>-0.11402974016284051</c:v>
                </c:pt>
                <c:pt idx="706">
                  <c:v>-3.8719391639340683E-2</c:v>
                </c:pt>
                <c:pt idx="707">
                  <c:v>-0.14264887813041516</c:v>
                </c:pt>
                <c:pt idx="708">
                  <c:v>7.2199463465877356E-3</c:v>
                </c:pt>
                <c:pt idx="709">
                  <c:v>-3.1335765744854305E-3</c:v>
                </c:pt>
                <c:pt idx="710">
                  <c:v>5.566622640813923E-2</c:v>
                </c:pt>
                <c:pt idx="711">
                  <c:v>-5.3789653526999714E-2</c:v>
                </c:pt>
                <c:pt idx="712">
                  <c:v>-1.8466413180618702E-2</c:v>
                </c:pt>
                <c:pt idx="713">
                  <c:v>6.1351602905953539E-3</c:v>
                </c:pt>
                <c:pt idx="714">
                  <c:v>-2.3715878570296223E-3</c:v>
                </c:pt>
                <c:pt idx="715">
                  <c:v>-8.8093742950687282E-2</c:v>
                </c:pt>
                <c:pt idx="716">
                  <c:v>-0.13357666173328853</c:v>
                </c:pt>
                <c:pt idx="717">
                  <c:v>-5.3500739195145308E-2</c:v>
                </c:pt>
                <c:pt idx="718">
                  <c:v>-0.10699574135630285</c:v>
                </c:pt>
                <c:pt idx="719">
                  <c:v>-8.596076875531633E-2</c:v>
                </c:pt>
                <c:pt idx="720">
                  <c:v>0.11220334308632407</c:v>
                </c:pt>
                <c:pt idx="721">
                  <c:v>-0.11641759084170022</c:v>
                </c:pt>
                <c:pt idx="722">
                  <c:v>-4.3089031725990212E-2</c:v>
                </c:pt>
                <c:pt idx="723">
                  <c:v>-7.2623306164725676E-2</c:v>
                </c:pt>
                <c:pt idx="724">
                  <c:v>-6.1303342548393314E-2</c:v>
                </c:pt>
                <c:pt idx="725">
                  <c:v>0.13969542246749644</c:v>
                </c:pt>
                <c:pt idx="726">
                  <c:v>-3.802895822590191E-2</c:v>
                </c:pt>
                <c:pt idx="727">
                  <c:v>-0.20227683878294678</c:v>
                </c:pt>
                <c:pt idx="728">
                  <c:v>-0.15455471718491087</c:v>
                </c:pt>
                <c:pt idx="729">
                  <c:v>-8.7369121192960808E-2</c:v>
                </c:pt>
                <c:pt idx="730">
                  <c:v>-4.8540928695839147E-2</c:v>
                </c:pt>
                <c:pt idx="731">
                  <c:v>-4.7072873293069972E-2</c:v>
                </c:pt>
                <c:pt idx="732">
                  <c:v>2.5855923178673801E-2</c:v>
                </c:pt>
                <c:pt idx="733">
                  <c:v>-3.1740241735411789E-3</c:v>
                </c:pt>
                <c:pt idx="734">
                  <c:v>0.10919311487116357</c:v>
                </c:pt>
                <c:pt idx="735">
                  <c:v>0.15280943999296448</c:v>
                </c:pt>
                <c:pt idx="736">
                  <c:v>0.20833484317356032</c:v>
                </c:pt>
                <c:pt idx="737">
                  <c:v>0.14683446277151768</c:v>
                </c:pt>
                <c:pt idx="738">
                  <c:v>7.7278736724622821E-2</c:v>
                </c:pt>
                <c:pt idx="739">
                  <c:v>-4.9537820123661591E-2</c:v>
                </c:pt>
                <c:pt idx="740">
                  <c:v>-0.10919141340929084</c:v>
                </c:pt>
                <c:pt idx="741">
                  <c:v>-9.6651329639434236E-2</c:v>
                </c:pt>
                <c:pt idx="742">
                  <c:v>-9.4902097903684646E-2</c:v>
                </c:pt>
                <c:pt idx="743">
                  <c:v>3.6553857178604376E-2</c:v>
                </c:pt>
                <c:pt idx="744">
                  <c:v>-3.1810391358450318E-2</c:v>
                </c:pt>
                <c:pt idx="745">
                  <c:v>0.19355567432237508</c:v>
                </c:pt>
                <c:pt idx="746">
                  <c:v>-9.0953064469517897E-2</c:v>
                </c:pt>
                <c:pt idx="747">
                  <c:v>-7.0892034330515719E-2</c:v>
                </c:pt>
                <c:pt idx="748">
                  <c:v>-0.25558571665957253</c:v>
                </c:pt>
                <c:pt idx="749">
                  <c:v>-1.067921700162755E-2</c:v>
                </c:pt>
                <c:pt idx="750">
                  <c:v>-0.15480401689486267</c:v>
                </c:pt>
                <c:pt idx="751">
                  <c:v>-0.12953249146162171</c:v>
                </c:pt>
                <c:pt idx="752">
                  <c:v>-7.3313543115934854E-2</c:v>
                </c:pt>
                <c:pt idx="753">
                  <c:v>1.2136857985081795E-2</c:v>
                </c:pt>
                <c:pt idx="754">
                  <c:v>-7.537724560754544E-2</c:v>
                </c:pt>
                <c:pt idx="755">
                  <c:v>4.8745775047427276E-2</c:v>
                </c:pt>
                <c:pt idx="756">
                  <c:v>0.10819089177962871</c:v>
                </c:pt>
                <c:pt idx="757">
                  <c:v>5.5746173325373904E-2</c:v>
                </c:pt>
                <c:pt idx="758">
                  <c:v>-5.5864373187515248E-3</c:v>
                </c:pt>
                <c:pt idx="759">
                  <c:v>1.4674930597912472E-2</c:v>
                </c:pt>
                <c:pt idx="760">
                  <c:v>-1.2316454494520679E-2</c:v>
                </c:pt>
                <c:pt idx="761">
                  <c:v>0.1577456184069892</c:v>
                </c:pt>
                <c:pt idx="762">
                  <c:v>-6.7627308331239644E-2</c:v>
                </c:pt>
                <c:pt idx="763">
                  <c:v>-5.7960596522626862E-2</c:v>
                </c:pt>
                <c:pt idx="764">
                  <c:v>3.6163749513979271E-2</c:v>
                </c:pt>
                <c:pt idx="765">
                  <c:v>6.8310092517980814E-2</c:v>
                </c:pt>
                <c:pt idx="766">
                  <c:v>8.7824955125427873E-2</c:v>
                </c:pt>
                <c:pt idx="767">
                  <c:v>4.4226075291871947E-2</c:v>
                </c:pt>
                <c:pt idx="768">
                  <c:v>0.14006438963933987</c:v>
                </c:pt>
                <c:pt idx="769">
                  <c:v>-0.1142998953815122</c:v>
                </c:pt>
                <c:pt idx="770">
                  <c:v>-5.9808314020975084E-2</c:v>
                </c:pt>
                <c:pt idx="771">
                  <c:v>1.1047939953424679E-2</c:v>
                </c:pt>
                <c:pt idx="772">
                  <c:v>8.4588703526873865E-2</c:v>
                </c:pt>
                <c:pt idx="773">
                  <c:v>0.32604713200597679</c:v>
                </c:pt>
                <c:pt idx="774">
                  <c:v>4.7296936933295619E-2</c:v>
                </c:pt>
                <c:pt idx="775">
                  <c:v>-2.9164478004899519E-2</c:v>
                </c:pt>
                <c:pt idx="776">
                  <c:v>0.10019554331301839</c:v>
                </c:pt>
                <c:pt idx="777">
                  <c:v>0.19101429513720936</c:v>
                </c:pt>
                <c:pt idx="778">
                  <c:v>0.18290631987492056</c:v>
                </c:pt>
                <c:pt idx="779">
                  <c:v>0.45461638562196649</c:v>
                </c:pt>
                <c:pt idx="780">
                  <c:v>0.2916350079695933</c:v>
                </c:pt>
                <c:pt idx="781">
                  <c:v>0.29722240632137353</c:v>
                </c:pt>
                <c:pt idx="782">
                  <c:v>0.21737011667342387</c:v>
                </c:pt>
                <c:pt idx="783">
                  <c:v>7.892437425023191E-2</c:v>
                </c:pt>
                <c:pt idx="784">
                  <c:v>0.24240175828646904</c:v>
                </c:pt>
                <c:pt idx="785">
                  <c:v>0.19325576597725136</c:v>
                </c:pt>
                <c:pt idx="786">
                  <c:v>0.1103040920005316</c:v>
                </c:pt>
                <c:pt idx="787">
                  <c:v>-3.8240459531241999E-2</c:v>
                </c:pt>
                <c:pt idx="788">
                  <c:v>5.0704373599629093E-2</c:v>
                </c:pt>
                <c:pt idx="789">
                  <c:v>5.1485704295145762E-2</c:v>
                </c:pt>
                <c:pt idx="790">
                  <c:v>0.19267934054746028</c:v>
                </c:pt>
                <c:pt idx="791">
                  <c:v>0.12797496164823663</c:v>
                </c:pt>
                <c:pt idx="792">
                  <c:v>0.28021086770069092</c:v>
                </c:pt>
                <c:pt idx="793">
                  <c:v>0.23200097304073708</c:v>
                </c:pt>
                <c:pt idx="794">
                  <c:v>0.2037798492171754</c:v>
                </c:pt>
                <c:pt idx="795">
                  <c:v>0.31636599501847473</c:v>
                </c:pt>
                <c:pt idx="796">
                  <c:v>0.19887528273447863</c:v>
                </c:pt>
                <c:pt idx="797">
                  <c:v>0.3015299878651152</c:v>
                </c:pt>
                <c:pt idx="798">
                  <c:v>0.16770465562328019</c:v>
                </c:pt>
                <c:pt idx="799">
                  <c:v>-9.3505633918005149E-3</c:v>
                </c:pt>
                <c:pt idx="800">
                  <c:v>-1.0595639863904438E-2</c:v>
                </c:pt>
                <c:pt idx="801">
                  <c:v>-4.2518597558395044E-2</c:v>
                </c:pt>
                <c:pt idx="802">
                  <c:v>0.14419922050755574</c:v>
                </c:pt>
                <c:pt idx="803">
                  <c:v>0.23190865738586197</c:v>
                </c:pt>
                <c:pt idx="804">
                  <c:v>0.17655324687800888</c:v>
                </c:pt>
                <c:pt idx="805">
                  <c:v>0.19059499388991896</c:v>
                </c:pt>
                <c:pt idx="806">
                  <c:v>3.8049397925892903E-2</c:v>
                </c:pt>
              </c:numCache>
            </c:numRef>
          </c:yVal>
          <c:smooth val="1"/>
          <c:extLst>
            <c:ext xmlns:c16="http://schemas.microsoft.com/office/drawing/2014/chart" uri="{C3380CC4-5D6E-409C-BE32-E72D297353CC}">
              <c16:uniqueId val="{00000000-3620-4F1B-AD30-B4E91319B080}"/>
            </c:ext>
          </c:extLst>
        </c:ser>
        <c:dLbls>
          <c:showLegendKey val="0"/>
          <c:showVal val="0"/>
          <c:showCatName val="0"/>
          <c:showSerName val="0"/>
          <c:showPercent val="0"/>
          <c:showBubbleSize val="0"/>
        </c:dLbls>
        <c:axId val="94221475"/>
        <c:axId val="94322149"/>
      </c:scatterChart>
      <c:valAx>
        <c:axId val="94221475"/>
        <c:scaling>
          <c:orientation val="minMax"/>
          <c:max val="2027"/>
          <c:min val="1958"/>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Year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94322149"/>
        <c:crosses val="min"/>
        <c:crossBetween val="midCat"/>
      </c:valAx>
      <c:valAx>
        <c:axId val="94322149"/>
        <c:scaling>
          <c:orientation val="minMax"/>
          <c:max val="0.5"/>
          <c:min val="-0.5"/>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Residual (°C)</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94221475"/>
        <c:crosses val="min"/>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ea typeface="Calibri"/>
              </a:defRPr>
            </a:pPr>
            <a:r>
              <a:rPr lang="en-US" sz="1400" b="0" strike="noStrike" spc="-1">
                <a:solidFill>
                  <a:srgbClr val="595959"/>
                </a:solidFill>
                <a:latin typeface="Calibri"/>
                <a:ea typeface="Calibri"/>
              </a:rPr>
              <a:t>Global Average Surface Temperature vs CO2
March 1958 - August 2026</a:t>
            </a:r>
          </a:p>
        </c:rich>
      </c:tx>
      <c:overlay val="0"/>
      <c:spPr>
        <a:noFill/>
        <a:ln w="0">
          <a:noFill/>
        </a:ln>
      </c:spPr>
    </c:title>
    <c:autoTitleDeleted val="0"/>
    <c:plotArea>
      <c:layout/>
      <c:lineChart>
        <c:grouping val="standard"/>
        <c:varyColors val="0"/>
        <c:ser>
          <c:idx val="0"/>
          <c:order val="0"/>
          <c:tx>
            <c:v>Temperature</c:v>
          </c:tx>
          <c:spPr>
            <a:ln w="2844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linear"/>
            <c:dispRSqr val="0"/>
            <c:dispEq val="0"/>
          </c:trendline>
          <c:cat>
            <c:strRef>
              <c:f>'F Plus CO2'!$A$940:$A$1761</c:f>
              <c:strCache>
                <c:ptCount val="822"/>
                <c:pt idx="0">
                  <c:v>3/1958</c:v>
                </c:pt>
                <c:pt idx="1">
                  <c:v>4/1958</c:v>
                </c:pt>
                <c:pt idx="2">
                  <c:v>5/1958</c:v>
                </c:pt>
                <c:pt idx="3">
                  <c:v>6/1958</c:v>
                </c:pt>
                <c:pt idx="4">
                  <c:v>7/1958</c:v>
                </c:pt>
                <c:pt idx="5">
                  <c:v>8/1958</c:v>
                </c:pt>
                <c:pt idx="6">
                  <c:v>9/1958</c:v>
                </c:pt>
                <c:pt idx="7">
                  <c:v>10/1958</c:v>
                </c:pt>
                <c:pt idx="8">
                  <c:v>11/1958</c:v>
                </c:pt>
                <c:pt idx="9">
                  <c:v>12/1958</c:v>
                </c:pt>
                <c:pt idx="10">
                  <c:v>1/1959</c:v>
                </c:pt>
                <c:pt idx="11">
                  <c:v>2/1959</c:v>
                </c:pt>
                <c:pt idx="12">
                  <c:v>3/1959</c:v>
                </c:pt>
                <c:pt idx="13">
                  <c:v>4/1959</c:v>
                </c:pt>
                <c:pt idx="14">
                  <c:v>5/1959</c:v>
                </c:pt>
                <c:pt idx="15">
                  <c:v>6/1959</c:v>
                </c:pt>
                <c:pt idx="16">
                  <c:v>7/1959</c:v>
                </c:pt>
                <c:pt idx="17">
                  <c:v>8/1959</c:v>
                </c:pt>
                <c:pt idx="18">
                  <c:v>9/1959</c:v>
                </c:pt>
                <c:pt idx="19">
                  <c:v>10/1959</c:v>
                </c:pt>
                <c:pt idx="20">
                  <c:v>11/1959</c:v>
                </c:pt>
                <c:pt idx="21">
                  <c:v>12/1959</c:v>
                </c:pt>
                <c:pt idx="22">
                  <c:v>1/1960</c:v>
                </c:pt>
                <c:pt idx="23">
                  <c:v>2/1960</c:v>
                </c:pt>
                <c:pt idx="24">
                  <c:v>3/1960</c:v>
                </c:pt>
                <c:pt idx="25">
                  <c:v>4/1960</c:v>
                </c:pt>
                <c:pt idx="26">
                  <c:v>5/1960</c:v>
                </c:pt>
                <c:pt idx="27">
                  <c:v>6/1960</c:v>
                </c:pt>
                <c:pt idx="28">
                  <c:v>7/1960</c:v>
                </c:pt>
                <c:pt idx="29">
                  <c:v>8/1960</c:v>
                </c:pt>
                <c:pt idx="30">
                  <c:v>9/1960</c:v>
                </c:pt>
                <c:pt idx="31">
                  <c:v>10/1960</c:v>
                </c:pt>
                <c:pt idx="32">
                  <c:v>11/1960</c:v>
                </c:pt>
                <c:pt idx="33">
                  <c:v>12/1960</c:v>
                </c:pt>
                <c:pt idx="34">
                  <c:v>1/1961</c:v>
                </c:pt>
                <c:pt idx="35">
                  <c:v>2/1961</c:v>
                </c:pt>
                <c:pt idx="36">
                  <c:v>3/1961</c:v>
                </c:pt>
                <c:pt idx="37">
                  <c:v>4/1961</c:v>
                </c:pt>
                <c:pt idx="38">
                  <c:v>5/1961</c:v>
                </c:pt>
                <c:pt idx="39">
                  <c:v>6/1961</c:v>
                </c:pt>
                <c:pt idx="40">
                  <c:v>7/1961</c:v>
                </c:pt>
                <c:pt idx="41">
                  <c:v>8/1961</c:v>
                </c:pt>
                <c:pt idx="42">
                  <c:v>9/1961</c:v>
                </c:pt>
                <c:pt idx="43">
                  <c:v>10/1961</c:v>
                </c:pt>
                <c:pt idx="44">
                  <c:v>11/1961</c:v>
                </c:pt>
                <c:pt idx="45">
                  <c:v>12/1961</c:v>
                </c:pt>
                <c:pt idx="46">
                  <c:v>1/1962</c:v>
                </c:pt>
                <c:pt idx="47">
                  <c:v>2/1962</c:v>
                </c:pt>
                <c:pt idx="48">
                  <c:v>3/1962</c:v>
                </c:pt>
                <c:pt idx="49">
                  <c:v>4/1962</c:v>
                </c:pt>
                <c:pt idx="50">
                  <c:v>5/1962</c:v>
                </c:pt>
                <c:pt idx="51">
                  <c:v>6/1962</c:v>
                </c:pt>
                <c:pt idx="52">
                  <c:v>7/1962</c:v>
                </c:pt>
                <c:pt idx="53">
                  <c:v>8/1962</c:v>
                </c:pt>
                <c:pt idx="54">
                  <c:v>9/1962</c:v>
                </c:pt>
                <c:pt idx="55">
                  <c:v>10/1962</c:v>
                </c:pt>
                <c:pt idx="56">
                  <c:v>11/1962</c:v>
                </c:pt>
                <c:pt idx="57">
                  <c:v>12/1962</c:v>
                </c:pt>
                <c:pt idx="58">
                  <c:v>1/1963</c:v>
                </c:pt>
                <c:pt idx="59">
                  <c:v>2/1963</c:v>
                </c:pt>
                <c:pt idx="60">
                  <c:v>3/1963</c:v>
                </c:pt>
                <c:pt idx="61">
                  <c:v>4/1963</c:v>
                </c:pt>
                <c:pt idx="62">
                  <c:v>5/1963</c:v>
                </c:pt>
                <c:pt idx="63">
                  <c:v>6/1963</c:v>
                </c:pt>
                <c:pt idx="64">
                  <c:v>7/1963</c:v>
                </c:pt>
                <c:pt idx="65">
                  <c:v>8/1963</c:v>
                </c:pt>
                <c:pt idx="66">
                  <c:v>9/1963</c:v>
                </c:pt>
                <c:pt idx="67">
                  <c:v>10/1963</c:v>
                </c:pt>
                <c:pt idx="68">
                  <c:v>11/1963</c:v>
                </c:pt>
                <c:pt idx="69">
                  <c:v>12/1963</c:v>
                </c:pt>
                <c:pt idx="70">
                  <c:v>1/1964</c:v>
                </c:pt>
                <c:pt idx="71">
                  <c:v>2/1964</c:v>
                </c:pt>
                <c:pt idx="72">
                  <c:v>3/1964</c:v>
                </c:pt>
                <c:pt idx="73">
                  <c:v>4/1964</c:v>
                </c:pt>
                <c:pt idx="74">
                  <c:v>5/1964</c:v>
                </c:pt>
                <c:pt idx="75">
                  <c:v>6/1964</c:v>
                </c:pt>
                <c:pt idx="76">
                  <c:v>7/1964</c:v>
                </c:pt>
                <c:pt idx="77">
                  <c:v>8/1964</c:v>
                </c:pt>
                <c:pt idx="78">
                  <c:v>9/1964</c:v>
                </c:pt>
                <c:pt idx="79">
                  <c:v>10/1964</c:v>
                </c:pt>
                <c:pt idx="80">
                  <c:v>11/1964</c:v>
                </c:pt>
                <c:pt idx="81">
                  <c:v>12/1964</c:v>
                </c:pt>
                <c:pt idx="82">
                  <c:v>1/1965</c:v>
                </c:pt>
                <c:pt idx="83">
                  <c:v>2/1965</c:v>
                </c:pt>
                <c:pt idx="84">
                  <c:v>3/1965</c:v>
                </c:pt>
                <c:pt idx="85">
                  <c:v>4/1965</c:v>
                </c:pt>
                <c:pt idx="86">
                  <c:v>5/1965</c:v>
                </c:pt>
                <c:pt idx="87">
                  <c:v>6/1965</c:v>
                </c:pt>
                <c:pt idx="88">
                  <c:v>7/1965</c:v>
                </c:pt>
                <c:pt idx="89">
                  <c:v>8/1965</c:v>
                </c:pt>
                <c:pt idx="90">
                  <c:v>9/1965</c:v>
                </c:pt>
                <c:pt idx="91">
                  <c:v>10/1965</c:v>
                </c:pt>
                <c:pt idx="92">
                  <c:v>11/1965</c:v>
                </c:pt>
                <c:pt idx="93">
                  <c:v>12/1965</c:v>
                </c:pt>
                <c:pt idx="94">
                  <c:v>1/1966</c:v>
                </c:pt>
                <c:pt idx="95">
                  <c:v>2/1966</c:v>
                </c:pt>
                <c:pt idx="96">
                  <c:v>3/1966</c:v>
                </c:pt>
                <c:pt idx="97">
                  <c:v>4/1966</c:v>
                </c:pt>
                <c:pt idx="98">
                  <c:v>5/1966</c:v>
                </c:pt>
                <c:pt idx="99">
                  <c:v>6/1966</c:v>
                </c:pt>
                <c:pt idx="100">
                  <c:v>7/1966</c:v>
                </c:pt>
                <c:pt idx="101">
                  <c:v>8/1966</c:v>
                </c:pt>
                <c:pt idx="102">
                  <c:v>9/1966</c:v>
                </c:pt>
                <c:pt idx="103">
                  <c:v>10/1966</c:v>
                </c:pt>
                <c:pt idx="104">
                  <c:v>11/1966</c:v>
                </c:pt>
                <c:pt idx="105">
                  <c:v>12/1966</c:v>
                </c:pt>
                <c:pt idx="106">
                  <c:v>1/1967</c:v>
                </c:pt>
                <c:pt idx="107">
                  <c:v>2/1967</c:v>
                </c:pt>
                <c:pt idx="108">
                  <c:v>3/1967</c:v>
                </c:pt>
                <c:pt idx="109">
                  <c:v>4/1967</c:v>
                </c:pt>
                <c:pt idx="110">
                  <c:v>5/1967</c:v>
                </c:pt>
                <c:pt idx="111">
                  <c:v>6/1967</c:v>
                </c:pt>
                <c:pt idx="112">
                  <c:v>7/1967</c:v>
                </c:pt>
                <c:pt idx="113">
                  <c:v>8/1967</c:v>
                </c:pt>
                <c:pt idx="114">
                  <c:v>9/1967</c:v>
                </c:pt>
                <c:pt idx="115">
                  <c:v>10/1967</c:v>
                </c:pt>
                <c:pt idx="116">
                  <c:v>11/1967</c:v>
                </c:pt>
                <c:pt idx="117">
                  <c:v>12/1967</c:v>
                </c:pt>
                <c:pt idx="118">
                  <c:v>1/1968</c:v>
                </c:pt>
                <c:pt idx="119">
                  <c:v>2/1968</c:v>
                </c:pt>
                <c:pt idx="120">
                  <c:v>3/1968</c:v>
                </c:pt>
                <c:pt idx="121">
                  <c:v>4/1968</c:v>
                </c:pt>
                <c:pt idx="122">
                  <c:v>5/1968</c:v>
                </c:pt>
                <c:pt idx="123">
                  <c:v>6/1968</c:v>
                </c:pt>
                <c:pt idx="124">
                  <c:v>7/1968</c:v>
                </c:pt>
                <c:pt idx="125">
                  <c:v>8/1968</c:v>
                </c:pt>
                <c:pt idx="126">
                  <c:v>9/1968</c:v>
                </c:pt>
                <c:pt idx="127">
                  <c:v>10/1968</c:v>
                </c:pt>
                <c:pt idx="128">
                  <c:v>11/1968</c:v>
                </c:pt>
                <c:pt idx="129">
                  <c:v>12/1968</c:v>
                </c:pt>
                <c:pt idx="130">
                  <c:v>1/1969</c:v>
                </c:pt>
                <c:pt idx="131">
                  <c:v>2/1969</c:v>
                </c:pt>
                <c:pt idx="132">
                  <c:v>3/1969</c:v>
                </c:pt>
                <c:pt idx="133">
                  <c:v>4/1969</c:v>
                </c:pt>
                <c:pt idx="134">
                  <c:v>5/1969</c:v>
                </c:pt>
                <c:pt idx="135">
                  <c:v>6/1969</c:v>
                </c:pt>
                <c:pt idx="136">
                  <c:v>7/1969</c:v>
                </c:pt>
                <c:pt idx="137">
                  <c:v>8/1969</c:v>
                </c:pt>
                <c:pt idx="138">
                  <c:v>9/1969</c:v>
                </c:pt>
                <c:pt idx="139">
                  <c:v>10/1969</c:v>
                </c:pt>
                <c:pt idx="140">
                  <c:v>11/1969</c:v>
                </c:pt>
                <c:pt idx="141">
                  <c:v>12/1969</c:v>
                </c:pt>
                <c:pt idx="142">
                  <c:v>1/1970</c:v>
                </c:pt>
                <c:pt idx="143">
                  <c:v>2/1970</c:v>
                </c:pt>
                <c:pt idx="144">
                  <c:v>3/1970</c:v>
                </c:pt>
                <c:pt idx="145">
                  <c:v>4/1970</c:v>
                </c:pt>
                <c:pt idx="146">
                  <c:v>5/1970</c:v>
                </c:pt>
                <c:pt idx="147">
                  <c:v>6/1970</c:v>
                </c:pt>
                <c:pt idx="148">
                  <c:v>7/1970</c:v>
                </c:pt>
                <c:pt idx="149">
                  <c:v>8/1970</c:v>
                </c:pt>
                <c:pt idx="150">
                  <c:v>9/1970</c:v>
                </c:pt>
                <c:pt idx="151">
                  <c:v>10/1970</c:v>
                </c:pt>
                <c:pt idx="152">
                  <c:v>11/1970</c:v>
                </c:pt>
                <c:pt idx="153">
                  <c:v>12/1970</c:v>
                </c:pt>
                <c:pt idx="154">
                  <c:v>1/1971</c:v>
                </c:pt>
                <c:pt idx="155">
                  <c:v>2/1971</c:v>
                </c:pt>
                <c:pt idx="156">
                  <c:v>3/1971</c:v>
                </c:pt>
                <c:pt idx="157">
                  <c:v>4/1971</c:v>
                </c:pt>
                <c:pt idx="158">
                  <c:v>5/1971</c:v>
                </c:pt>
                <c:pt idx="159">
                  <c:v>6/1971</c:v>
                </c:pt>
                <c:pt idx="160">
                  <c:v>7/1971</c:v>
                </c:pt>
                <c:pt idx="161">
                  <c:v>8/1971</c:v>
                </c:pt>
                <c:pt idx="162">
                  <c:v>9/1971</c:v>
                </c:pt>
                <c:pt idx="163">
                  <c:v>10/1971</c:v>
                </c:pt>
                <c:pt idx="164">
                  <c:v>11/1971</c:v>
                </c:pt>
                <c:pt idx="165">
                  <c:v>12/1971</c:v>
                </c:pt>
                <c:pt idx="166">
                  <c:v>1/1972</c:v>
                </c:pt>
                <c:pt idx="167">
                  <c:v>2/1972</c:v>
                </c:pt>
                <c:pt idx="168">
                  <c:v>3/1972</c:v>
                </c:pt>
                <c:pt idx="169">
                  <c:v>4/1972</c:v>
                </c:pt>
                <c:pt idx="170">
                  <c:v>5/1972</c:v>
                </c:pt>
                <c:pt idx="171">
                  <c:v>6/1972</c:v>
                </c:pt>
                <c:pt idx="172">
                  <c:v>7/1972</c:v>
                </c:pt>
                <c:pt idx="173">
                  <c:v>8/1972</c:v>
                </c:pt>
                <c:pt idx="174">
                  <c:v>9/1972</c:v>
                </c:pt>
                <c:pt idx="175">
                  <c:v>10/1972</c:v>
                </c:pt>
                <c:pt idx="176">
                  <c:v>11/1972</c:v>
                </c:pt>
                <c:pt idx="177">
                  <c:v>12/1972</c:v>
                </c:pt>
                <c:pt idx="178">
                  <c:v>1/1973</c:v>
                </c:pt>
                <c:pt idx="179">
                  <c:v>2/1973</c:v>
                </c:pt>
                <c:pt idx="180">
                  <c:v>3/1973</c:v>
                </c:pt>
                <c:pt idx="181">
                  <c:v>4/1973</c:v>
                </c:pt>
                <c:pt idx="182">
                  <c:v>5/1973</c:v>
                </c:pt>
                <c:pt idx="183">
                  <c:v>6/1973</c:v>
                </c:pt>
                <c:pt idx="184">
                  <c:v>7/1973</c:v>
                </c:pt>
                <c:pt idx="185">
                  <c:v>8/1973</c:v>
                </c:pt>
                <c:pt idx="186">
                  <c:v>9/1973</c:v>
                </c:pt>
                <c:pt idx="187">
                  <c:v>10/1973</c:v>
                </c:pt>
                <c:pt idx="188">
                  <c:v>11/1973</c:v>
                </c:pt>
                <c:pt idx="189">
                  <c:v>12/1973</c:v>
                </c:pt>
                <c:pt idx="190">
                  <c:v>1/1974</c:v>
                </c:pt>
                <c:pt idx="191">
                  <c:v>2/1974</c:v>
                </c:pt>
                <c:pt idx="192">
                  <c:v>3/1974</c:v>
                </c:pt>
                <c:pt idx="193">
                  <c:v>4/1974</c:v>
                </c:pt>
                <c:pt idx="194">
                  <c:v>5/1974</c:v>
                </c:pt>
                <c:pt idx="195">
                  <c:v>6/1974</c:v>
                </c:pt>
                <c:pt idx="196">
                  <c:v>7/1974</c:v>
                </c:pt>
                <c:pt idx="197">
                  <c:v>8/1974</c:v>
                </c:pt>
                <c:pt idx="198">
                  <c:v>9/1974</c:v>
                </c:pt>
                <c:pt idx="199">
                  <c:v>10/1974</c:v>
                </c:pt>
                <c:pt idx="200">
                  <c:v>11/1974</c:v>
                </c:pt>
                <c:pt idx="201">
                  <c:v>12/1974</c:v>
                </c:pt>
                <c:pt idx="202">
                  <c:v>1/1975</c:v>
                </c:pt>
                <c:pt idx="203">
                  <c:v>2/1975</c:v>
                </c:pt>
                <c:pt idx="204">
                  <c:v>3/1975</c:v>
                </c:pt>
                <c:pt idx="205">
                  <c:v>4/1975</c:v>
                </c:pt>
                <c:pt idx="206">
                  <c:v>5/1975</c:v>
                </c:pt>
                <c:pt idx="207">
                  <c:v>6/1975</c:v>
                </c:pt>
                <c:pt idx="208">
                  <c:v>7/1975</c:v>
                </c:pt>
                <c:pt idx="209">
                  <c:v>8/1975</c:v>
                </c:pt>
                <c:pt idx="210">
                  <c:v>9/1975</c:v>
                </c:pt>
                <c:pt idx="211">
                  <c:v>10/1975</c:v>
                </c:pt>
                <c:pt idx="212">
                  <c:v>11/1975</c:v>
                </c:pt>
                <c:pt idx="213">
                  <c:v>12/1975</c:v>
                </c:pt>
                <c:pt idx="214">
                  <c:v>1/1976</c:v>
                </c:pt>
                <c:pt idx="215">
                  <c:v>2/1976</c:v>
                </c:pt>
                <c:pt idx="216">
                  <c:v>3/1976</c:v>
                </c:pt>
                <c:pt idx="217">
                  <c:v>4/1976</c:v>
                </c:pt>
                <c:pt idx="218">
                  <c:v>5/1976</c:v>
                </c:pt>
                <c:pt idx="219">
                  <c:v>6/1976</c:v>
                </c:pt>
                <c:pt idx="220">
                  <c:v>7/1976</c:v>
                </c:pt>
                <c:pt idx="221">
                  <c:v>8/1976</c:v>
                </c:pt>
                <c:pt idx="222">
                  <c:v>9/1976</c:v>
                </c:pt>
                <c:pt idx="223">
                  <c:v>10/1976</c:v>
                </c:pt>
                <c:pt idx="224">
                  <c:v>11/1976</c:v>
                </c:pt>
                <c:pt idx="225">
                  <c:v>12/1976</c:v>
                </c:pt>
                <c:pt idx="226">
                  <c:v>1/1977</c:v>
                </c:pt>
                <c:pt idx="227">
                  <c:v>2/1977</c:v>
                </c:pt>
                <c:pt idx="228">
                  <c:v>3/1977</c:v>
                </c:pt>
                <c:pt idx="229">
                  <c:v>4/1977</c:v>
                </c:pt>
                <c:pt idx="230">
                  <c:v>5/1977</c:v>
                </c:pt>
                <c:pt idx="231">
                  <c:v>6/1977</c:v>
                </c:pt>
                <c:pt idx="232">
                  <c:v>7/1977</c:v>
                </c:pt>
                <c:pt idx="233">
                  <c:v>8/1977</c:v>
                </c:pt>
                <c:pt idx="234">
                  <c:v>9/1977</c:v>
                </c:pt>
                <c:pt idx="235">
                  <c:v>10/1977</c:v>
                </c:pt>
                <c:pt idx="236">
                  <c:v>11/1977</c:v>
                </c:pt>
                <c:pt idx="237">
                  <c:v>12/1977</c:v>
                </c:pt>
                <c:pt idx="238">
                  <c:v>1/1978</c:v>
                </c:pt>
                <c:pt idx="239">
                  <c:v>2/1978</c:v>
                </c:pt>
                <c:pt idx="240">
                  <c:v>3/1978</c:v>
                </c:pt>
                <c:pt idx="241">
                  <c:v>4/1978</c:v>
                </c:pt>
                <c:pt idx="242">
                  <c:v>5/1978</c:v>
                </c:pt>
                <c:pt idx="243">
                  <c:v>6/1978</c:v>
                </c:pt>
                <c:pt idx="244">
                  <c:v>7/1978</c:v>
                </c:pt>
                <c:pt idx="245">
                  <c:v>8/1978</c:v>
                </c:pt>
                <c:pt idx="246">
                  <c:v>9/1978</c:v>
                </c:pt>
                <c:pt idx="247">
                  <c:v>10/1978</c:v>
                </c:pt>
                <c:pt idx="248">
                  <c:v>11/1978</c:v>
                </c:pt>
                <c:pt idx="249">
                  <c:v>12/1978</c:v>
                </c:pt>
                <c:pt idx="250">
                  <c:v>1/1979</c:v>
                </c:pt>
                <c:pt idx="251">
                  <c:v>2/1979</c:v>
                </c:pt>
                <c:pt idx="252">
                  <c:v>3/1979</c:v>
                </c:pt>
                <c:pt idx="253">
                  <c:v>4/1979</c:v>
                </c:pt>
                <c:pt idx="254">
                  <c:v>5/1979</c:v>
                </c:pt>
                <c:pt idx="255">
                  <c:v>6/1979</c:v>
                </c:pt>
                <c:pt idx="256">
                  <c:v>7/1979</c:v>
                </c:pt>
                <c:pt idx="257">
                  <c:v>8/1979</c:v>
                </c:pt>
                <c:pt idx="258">
                  <c:v>9/1979</c:v>
                </c:pt>
                <c:pt idx="259">
                  <c:v>10/1979</c:v>
                </c:pt>
                <c:pt idx="260">
                  <c:v>11/1979</c:v>
                </c:pt>
                <c:pt idx="261">
                  <c:v>12/1979</c:v>
                </c:pt>
                <c:pt idx="262">
                  <c:v>1/1980</c:v>
                </c:pt>
                <c:pt idx="263">
                  <c:v>2/1980</c:v>
                </c:pt>
                <c:pt idx="264">
                  <c:v>3/1980</c:v>
                </c:pt>
                <c:pt idx="265">
                  <c:v>4/1980</c:v>
                </c:pt>
                <c:pt idx="266">
                  <c:v>5/1980</c:v>
                </c:pt>
                <c:pt idx="267">
                  <c:v>6/1980</c:v>
                </c:pt>
                <c:pt idx="268">
                  <c:v>7/1980</c:v>
                </c:pt>
                <c:pt idx="269">
                  <c:v>8/1980</c:v>
                </c:pt>
                <c:pt idx="270">
                  <c:v>9/1980</c:v>
                </c:pt>
                <c:pt idx="271">
                  <c:v>10/1980</c:v>
                </c:pt>
                <c:pt idx="272">
                  <c:v>11/1980</c:v>
                </c:pt>
                <c:pt idx="273">
                  <c:v>12/1980</c:v>
                </c:pt>
                <c:pt idx="274">
                  <c:v>1/1981</c:v>
                </c:pt>
                <c:pt idx="275">
                  <c:v>2/1981</c:v>
                </c:pt>
                <c:pt idx="276">
                  <c:v>3/1981</c:v>
                </c:pt>
                <c:pt idx="277">
                  <c:v>4/1981</c:v>
                </c:pt>
                <c:pt idx="278">
                  <c:v>5/1981</c:v>
                </c:pt>
                <c:pt idx="279">
                  <c:v>6/1981</c:v>
                </c:pt>
                <c:pt idx="280">
                  <c:v>7/1981</c:v>
                </c:pt>
                <c:pt idx="281">
                  <c:v>8/1981</c:v>
                </c:pt>
                <c:pt idx="282">
                  <c:v>9/1981</c:v>
                </c:pt>
                <c:pt idx="283">
                  <c:v>10/1981</c:v>
                </c:pt>
                <c:pt idx="284">
                  <c:v>11/1981</c:v>
                </c:pt>
                <c:pt idx="285">
                  <c:v>12/1981</c:v>
                </c:pt>
                <c:pt idx="286">
                  <c:v>1/1982</c:v>
                </c:pt>
                <c:pt idx="287">
                  <c:v>2/1982</c:v>
                </c:pt>
                <c:pt idx="288">
                  <c:v>3/1982</c:v>
                </c:pt>
                <c:pt idx="289">
                  <c:v>4/1982</c:v>
                </c:pt>
                <c:pt idx="290">
                  <c:v>5/1982</c:v>
                </c:pt>
                <c:pt idx="291">
                  <c:v>6/1982</c:v>
                </c:pt>
                <c:pt idx="292">
                  <c:v>7/1982</c:v>
                </c:pt>
                <c:pt idx="293">
                  <c:v>8/1982</c:v>
                </c:pt>
                <c:pt idx="294">
                  <c:v>9/1982</c:v>
                </c:pt>
                <c:pt idx="295">
                  <c:v>10/1982</c:v>
                </c:pt>
                <c:pt idx="296">
                  <c:v>11/1982</c:v>
                </c:pt>
                <c:pt idx="297">
                  <c:v>12/1982</c:v>
                </c:pt>
                <c:pt idx="298">
                  <c:v>1/1983</c:v>
                </c:pt>
                <c:pt idx="299">
                  <c:v>2/1983</c:v>
                </c:pt>
                <c:pt idx="300">
                  <c:v>3/1983</c:v>
                </c:pt>
                <c:pt idx="301">
                  <c:v>4/1983</c:v>
                </c:pt>
                <c:pt idx="302">
                  <c:v>5/1983</c:v>
                </c:pt>
                <c:pt idx="303">
                  <c:v>6/1983</c:v>
                </c:pt>
                <c:pt idx="304">
                  <c:v>7/1983</c:v>
                </c:pt>
                <c:pt idx="305">
                  <c:v>8/1983</c:v>
                </c:pt>
                <c:pt idx="306">
                  <c:v>9/1983</c:v>
                </c:pt>
                <c:pt idx="307">
                  <c:v>10/1983</c:v>
                </c:pt>
                <c:pt idx="308">
                  <c:v>11/1983</c:v>
                </c:pt>
                <c:pt idx="309">
                  <c:v>12/1983</c:v>
                </c:pt>
                <c:pt idx="310">
                  <c:v>1/1984</c:v>
                </c:pt>
                <c:pt idx="311">
                  <c:v>2/1984</c:v>
                </c:pt>
                <c:pt idx="312">
                  <c:v>3/1984</c:v>
                </c:pt>
                <c:pt idx="313">
                  <c:v>4/1984</c:v>
                </c:pt>
                <c:pt idx="314">
                  <c:v>5/1984</c:v>
                </c:pt>
                <c:pt idx="315">
                  <c:v>6/1984</c:v>
                </c:pt>
                <c:pt idx="316">
                  <c:v>7/1984</c:v>
                </c:pt>
                <c:pt idx="317">
                  <c:v>8/1984</c:v>
                </c:pt>
                <c:pt idx="318">
                  <c:v>9/1984</c:v>
                </c:pt>
                <c:pt idx="319">
                  <c:v>10/1984</c:v>
                </c:pt>
                <c:pt idx="320">
                  <c:v>11/1984</c:v>
                </c:pt>
                <c:pt idx="321">
                  <c:v>12/1984</c:v>
                </c:pt>
                <c:pt idx="322">
                  <c:v>1/1985</c:v>
                </c:pt>
                <c:pt idx="323">
                  <c:v>2/1985</c:v>
                </c:pt>
                <c:pt idx="324">
                  <c:v>3/1985</c:v>
                </c:pt>
                <c:pt idx="325">
                  <c:v>4/1985</c:v>
                </c:pt>
                <c:pt idx="326">
                  <c:v>5/1985</c:v>
                </c:pt>
                <c:pt idx="327">
                  <c:v>6/1985</c:v>
                </c:pt>
                <c:pt idx="328">
                  <c:v>7/1985</c:v>
                </c:pt>
                <c:pt idx="329">
                  <c:v>8/1985</c:v>
                </c:pt>
                <c:pt idx="330">
                  <c:v>9/1985</c:v>
                </c:pt>
                <c:pt idx="331">
                  <c:v>10/1985</c:v>
                </c:pt>
                <c:pt idx="332">
                  <c:v>11/1985</c:v>
                </c:pt>
                <c:pt idx="333">
                  <c:v>12/1985</c:v>
                </c:pt>
                <c:pt idx="334">
                  <c:v>1/1986</c:v>
                </c:pt>
                <c:pt idx="335">
                  <c:v>2/1986</c:v>
                </c:pt>
                <c:pt idx="336">
                  <c:v>3/1986</c:v>
                </c:pt>
                <c:pt idx="337">
                  <c:v>4/1986</c:v>
                </c:pt>
                <c:pt idx="338">
                  <c:v>5/1986</c:v>
                </c:pt>
                <c:pt idx="339">
                  <c:v>6/1986</c:v>
                </c:pt>
                <c:pt idx="340">
                  <c:v>7/1986</c:v>
                </c:pt>
                <c:pt idx="341">
                  <c:v>8/1986</c:v>
                </c:pt>
                <c:pt idx="342">
                  <c:v>9/1986</c:v>
                </c:pt>
                <c:pt idx="343">
                  <c:v>10/1986</c:v>
                </c:pt>
                <c:pt idx="344">
                  <c:v>11/1986</c:v>
                </c:pt>
                <c:pt idx="345">
                  <c:v>12/1986</c:v>
                </c:pt>
                <c:pt idx="346">
                  <c:v>1/1987</c:v>
                </c:pt>
                <c:pt idx="347">
                  <c:v>2/1987</c:v>
                </c:pt>
                <c:pt idx="348">
                  <c:v>3/1987</c:v>
                </c:pt>
                <c:pt idx="349">
                  <c:v>4/1987</c:v>
                </c:pt>
                <c:pt idx="350">
                  <c:v>5/1987</c:v>
                </c:pt>
                <c:pt idx="351">
                  <c:v>6/1987</c:v>
                </c:pt>
                <c:pt idx="352">
                  <c:v>7/1987</c:v>
                </c:pt>
                <c:pt idx="353">
                  <c:v>8/1987</c:v>
                </c:pt>
                <c:pt idx="354">
                  <c:v>9/1987</c:v>
                </c:pt>
                <c:pt idx="355">
                  <c:v>10/1987</c:v>
                </c:pt>
                <c:pt idx="356">
                  <c:v>11/1987</c:v>
                </c:pt>
                <c:pt idx="357">
                  <c:v>12/1987</c:v>
                </c:pt>
                <c:pt idx="358">
                  <c:v>1/1988</c:v>
                </c:pt>
                <c:pt idx="359">
                  <c:v>2/1988</c:v>
                </c:pt>
                <c:pt idx="360">
                  <c:v>3/1988</c:v>
                </c:pt>
                <c:pt idx="361">
                  <c:v>4/1988</c:v>
                </c:pt>
                <c:pt idx="362">
                  <c:v>5/1988</c:v>
                </c:pt>
                <c:pt idx="363">
                  <c:v>6/1988</c:v>
                </c:pt>
                <c:pt idx="364">
                  <c:v>7/1988</c:v>
                </c:pt>
                <c:pt idx="365">
                  <c:v>8/1988</c:v>
                </c:pt>
                <c:pt idx="366">
                  <c:v>9/1988</c:v>
                </c:pt>
                <c:pt idx="367">
                  <c:v>10/1988</c:v>
                </c:pt>
                <c:pt idx="368">
                  <c:v>11/1988</c:v>
                </c:pt>
                <c:pt idx="369">
                  <c:v>12/1988</c:v>
                </c:pt>
                <c:pt idx="370">
                  <c:v>1/1989</c:v>
                </c:pt>
                <c:pt idx="371">
                  <c:v>2/1989</c:v>
                </c:pt>
                <c:pt idx="372">
                  <c:v>3/1989</c:v>
                </c:pt>
                <c:pt idx="373">
                  <c:v>4/1989</c:v>
                </c:pt>
                <c:pt idx="374">
                  <c:v>5/1989</c:v>
                </c:pt>
                <c:pt idx="375">
                  <c:v>6/1989</c:v>
                </c:pt>
                <c:pt idx="376">
                  <c:v>7/1989</c:v>
                </c:pt>
                <c:pt idx="377">
                  <c:v>8/1989</c:v>
                </c:pt>
                <c:pt idx="378">
                  <c:v>9/1989</c:v>
                </c:pt>
                <c:pt idx="379">
                  <c:v>10/1989</c:v>
                </c:pt>
                <c:pt idx="380">
                  <c:v>11/1989</c:v>
                </c:pt>
                <c:pt idx="381">
                  <c:v>12/1989</c:v>
                </c:pt>
                <c:pt idx="382">
                  <c:v>1/1990</c:v>
                </c:pt>
                <c:pt idx="383">
                  <c:v>2/1990</c:v>
                </c:pt>
                <c:pt idx="384">
                  <c:v>3/1990</c:v>
                </c:pt>
                <c:pt idx="385">
                  <c:v>4/1990</c:v>
                </c:pt>
                <c:pt idx="386">
                  <c:v>5/1990</c:v>
                </c:pt>
                <c:pt idx="387">
                  <c:v>6/1990</c:v>
                </c:pt>
                <c:pt idx="388">
                  <c:v>7/1990</c:v>
                </c:pt>
                <c:pt idx="389">
                  <c:v>8/1990</c:v>
                </c:pt>
                <c:pt idx="390">
                  <c:v>9/1990</c:v>
                </c:pt>
                <c:pt idx="391">
                  <c:v>10/1990</c:v>
                </c:pt>
                <c:pt idx="392">
                  <c:v>11/1990</c:v>
                </c:pt>
                <c:pt idx="393">
                  <c:v>12/1990</c:v>
                </c:pt>
                <c:pt idx="394">
                  <c:v>1/1991</c:v>
                </c:pt>
                <c:pt idx="395">
                  <c:v>2/1991</c:v>
                </c:pt>
                <c:pt idx="396">
                  <c:v>3/1991</c:v>
                </c:pt>
                <c:pt idx="397">
                  <c:v>4/1991</c:v>
                </c:pt>
                <c:pt idx="398">
                  <c:v>5/1991</c:v>
                </c:pt>
                <c:pt idx="399">
                  <c:v>6/1991</c:v>
                </c:pt>
                <c:pt idx="400">
                  <c:v>7/1991</c:v>
                </c:pt>
                <c:pt idx="401">
                  <c:v>8/1991</c:v>
                </c:pt>
                <c:pt idx="402">
                  <c:v>9/1991</c:v>
                </c:pt>
                <c:pt idx="403">
                  <c:v>10/1991</c:v>
                </c:pt>
                <c:pt idx="404">
                  <c:v>11/1991</c:v>
                </c:pt>
                <c:pt idx="405">
                  <c:v>12/1991</c:v>
                </c:pt>
                <c:pt idx="406">
                  <c:v>1/1992</c:v>
                </c:pt>
                <c:pt idx="407">
                  <c:v>2/1992</c:v>
                </c:pt>
                <c:pt idx="408">
                  <c:v>3/1992</c:v>
                </c:pt>
                <c:pt idx="409">
                  <c:v>4/1992</c:v>
                </c:pt>
                <c:pt idx="410">
                  <c:v>5/1992</c:v>
                </c:pt>
                <c:pt idx="411">
                  <c:v>6/1992</c:v>
                </c:pt>
                <c:pt idx="412">
                  <c:v>7/1992</c:v>
                </c:pt>
                <c:pt idx="413">
                  <c:v>8/1992</c:v>
                </c:pt>
                <c:pt idx="414">
                  <c:v>9/1992</c:v>
                </c:pt>
                <c:pt idx="415">
                  <c:v>10/1992</c:v>
                </c:pt>
                <c:pt idx="416">
                  <c:v>11/1992</c:v>
                </c:pt>
                <c:pt idx="417">
                  <c:v>12/1992</c:v>
                </c:pt>
                <c:pt idx="418">
                  <c:v>1/1993</c:v>
                </c:pt>
                <c:pt idx="419">
                  <c:v>2/1993</c:v>
                </c:pt>
                <c:pt idx="420">
                  <c:v>3/1993</c:v>
                </c:pt>
                <c:pt idx="421">
                  <c:v>4/1993</c:v>
                </c:pt>
                <c:pt idx="422">
                  <c:v>5/1993</c:v>
                </c:pt>
                <c:pt idx="423">
                  <c:v>6/1993</c:v>
                </c:pt>
                <c:pt idx="424">
                  <c:v>7/1993</c:v>
                </c:pt>
                <c:pt idx="425">
                  <c:v>8/1993</c:v>
                </c:pt>
                <c:pt idx="426">
                  <c:v>9/1993</c:v>
                </c:pt>
                <c:pt idx="427">
                  <c:v>10/1993</c:v>
                </c:pt>
                <c:pt idx="428">
                  <c:v>11/1993</c:v>
                </c:pt>
                <c:pt idx="429">
                  <c:v>12/1993</c:v>
                </c:pt>
                <c:pt idx="430">
                  <c:v>1/1994</c:v>
                </c:pt>
                <c:pt idx="431">
                  <c:v>2/1994</c:v>
                </c:pt>
                <c:pt idx="432">
                  <c:v>3/1994</c:v>
                </c:pt>
                <c:pt idx="433">
                  <c:v>4/1994</c:v>
                </c:pt>
                <c:pt idx="434">
                  <c:v>5/1994</c:v>
                </c:pt>
                <c:pt idx="435">
                  <c:v>6/1994</c:v>
                </c:pt>
                <c:pt idx="436">
                  <c:v>7/1994</c:v>
                </c:pt>
                <c:pt idx="437">
                  <c:v>8/1994</c:v>
                </c:pt>
                <c:pt idx="438">
                  <c:v>9/1994</c:v>
                </c:pt>
                <c:pt idx="439">
                  <c:v>10/1994</c:v>
                </c:pt>
                <c:pt idx="440">
                  <c:v>11/1994</c:v>
                </c:pt>
                <c:pt idx="441">
                  <c:v>12/1994</c:v>
                </c:pt>
                <c:pt idx="442">
                  <c:v>1/1995</c:v>
                </c:pt>
                <c:pt idx="443">
                  <c:v>2/1995</c:v>
                </c:pt>
                <c:pt idx="444">
                  <c:v>3/1995</c:v>
                </c:pt>
                <c:pt idx="445">
                  <c:v>4/1995</c:v>
                </c:pt>
                <c:pt idx="446">
                  <c:v>5/1995</c:v>
                </c:pt>
                <c:pt idx="447">
                  <c:v>6/1995</c:v>
                </c:pt>
                <c:pt idx="448">
                  <c:v>7/1995</c:v>
                </c:pt>
                <c:pt idx="449">
                  <c:v>8/1995</c:v>
                </c:pt>
                <c:pt idx="450">
                  <c:v>9/1995</c:v>
                </c:pt>
                <c:pt idx="451">
                  <c:v>10/1995</c:v>
                </c:pt>
                <c:pt idx="452">
                  <c:v>11/1995</c:v>
                </c:pt>
                <c:pt idx="453">
                  <c:v>12/1995</c:v>
                </c:pt>
                <c:pt idx="454">
                  <c:v>1/1996</c:v>
                </c:pt>
                <c:pt idx="455">
                  <c:v>2/1996</c:v>
                </c:pt>
                <c:pt idx="456">
                  <c:v>3/1996</c:v>
                </c:pt>
                <c:pt idx="457">
                  <c:v>4/1996</c:v>
                </c:pt>
                <c:pt idx="458">
                  <c:v>5/1996</c:v>
                </c:pt>
                <c:pt idx="459">
                  <c:v>6/1996</c:v>
                </c:pt>
                <c:pt idx="460">
                  <c:v>7/1996</c:v>
                </c:pt>
                <c:pt idx="461">
                  <c:v>8/1996</c:v>
                </c:pt>
                <c:pt idx="462">
                  <c:v>9/1996</c:v>
                </c:pt>
                <c:pt idx="463">
                  <c:v>10/1996</c:v>
                </c:pt>
                <c:pt idx="464">
                  <c:v>11/1996</c:v>
                </c:pt>
                <c:pt idx="465">
                  <c:v>12/1996</c:v>
                </c:pt>
                <c:pt idx="466">
                  <c:v>1/1997</c:v>
                </c:pt>
                <c:pt idx="467">
                  <c:v>2/1997</c:v>
                </c:pt>
                <c:pt idx="468">
                  <c:v>3/1997</c:v>
                </c:pt>
                <c:pt idx="469">
                  <c:v>4/1997</c:v>
                </c:pt>
                <c:pt idx="470">
                  <c:v>5/1997</c:v>
                </c:pt>
                <c:pt idx="471">
                  <c:v>6/1997</c:v>
                </c:pt>
                <c:pt idx="472">
                  <c:v>7/1997</c:v>
                </c:pt>
                <c:pt idx="473">
                  <c:v>8/1997</c:v>
                </c:pt>
                <c:pt idx="474">
                  <c:v>9/1997</c:v>
                </c:pt>
                <c:pt idx="475">
                  <c:v>10/1997</c:v>
                </c:pt>
                <c:pt idx="476">
                  <c:v>11/1997</c:v>
                </c:pt>
                <c:pt idx="477">
                  <c:v>12/1997</c:v>
                </c:pt>
                <c:pt idx="478">
                  <c:v>1/1998</c:v>
                </c:pt>
                <c:pt idx="479">
                  <c:v>2/1998</c:v>
                </c:pt>
                <c:pt idx="480">
                  <c:v>3/1998</c:v>
                </c:pt>
                <c:pt idx="481">
                  <c:v>4/1998</c:v>
                </c:pt>
                <c:pt idx="482">
                  <c:v>5/1998</c:v>
                </c:pt>
                <c:pt idx="483">
                  <c:v>6/1998</c:v>
                </c:pt>
                <c:pt idx="484">
                  <c:v>7/1998</c:v>
                </c:pt>
                <c:pt idx="485">
                  <c:v>8/1998</c:v>
                </c:pt>
                <c:pt idx="486">
                  <c:v>9/1998</c:v>
                </c:pt>
                <c:pt idx="487">
                  <c:v>10/1998</c:v>
                </c:pt>
                <c:pt idx="488">
                  <c:v>11/1998</c:v>
                </c:pt>
                <c:pt idx="489">
                  <c:v>12/1998</c:v>
                </c:pt>
                <c:pt idx="490">
                  <c:v>1/1999</c:v>
                </c:pt>
                <c:pt idx="491">
                  <c:v>2/1999</c:v>
                </c:pt>
                <c:pt idx="492">
                  <c:v>3/1999</c:v>
                </c:pt>
                <c:pt idx="493">
                  <c:v>4/1999</c:v>
                </c:pt>
                <c:pt idx="494">
                  <c:v>5/1999</c:v>
                </c:pt>
                <c:pt idx="495">
                  <c:v>6/1999</c:v>
                </c:pt>
                <c:pt idx="496">
                  <c:v>7/1999</c:v>
                </c:pt>
                <c:pt idx="497">
                  <c:v>8/1999</c:v>
                </c:pt>
                <c:pt idx="498">
                  <c:v>9/1999</c:v>
                </c:pt>
                <c:pt idx="499">
                  <c:v>10/1999</c:v>
                </c:pt>
                <c:pt idx="500">
                  <c:v>11/1999</c:v>
                </c:pt>
                <c:pt idx="501">
                  <c:v>12/1999</c:v>
                </c:pt>
                <c:pt idx="502">
                  <c:v>1/2000</c:v>
                </c:pt>
                <c:pt idx="503">
                  <c:v>2/2000</c:v>
                </c:pt>
                <c:pt idx="504">
                  <c:v>3/2000</c:v>
                </c:pt>
                <c:pt idx="505">
                  <c:v>4/2000</c:v>
                </c:pt>
                <c:pt idx="506">
                  <c:v>5/2000</c:v>
                </c:pt>
                <c:pt idx="507">
                  <c:v>6/2000</c:v>
                </c:pt>
                <c:pt idx="508">
                  <c:v>7/2000</c:v>
                </c:pt>
                <c:pt idx="509">
                  <c:v>8/2000</c:v>
                </c:pt>
                <c:pt idx="510">
                  <c:v>9/2000</c:v>
                </c:pt>
                <c:pt idx="511">
                  <c:v>10/2000</c:v>
                </c:pt>
                <c:pt idx="512">
                  <c:v>11/2000</c:v>
                </c:pt>
                <c:pt idx="513">
                  <c:v>12/2000</c:v>
                </c:pt>
                <c:pt idx="514">
                  <c:v>1/2001</c:v>
                </c:pt>
                <c:pt idx="515">
                  <c:v>2/2001</c:v>
                </c:pt>
                <c:pt idx="516">
                  <c:v>3/2001</c:v>
                </c:pt>
                <c:pt idx="517">
                  <c:v>4/2001</c:v>
                </c:pt>
                <c:pt idx="518">
                  <c:v>5/2001</c:v>
                </c:pt>
                <c:pt idx="519">
                  <c:v>6/2001</c:v>
                </c:pt>
                <c:pt idx="520">
                  <c:v>7/2001</c:v>
                </c:pt>
                <c:pt idx="521">
                  <c:v>8/2001</c:v>
                </c:pt>
                <c:pt idx="522">
                  <c:v>9/2001</c:v>
                </c:pt>
                <c:pt idx="523">
                  <c:v>10/2001</c:v>
                </c:pt>
                <c:pt idx="524">
                  <c:v>11/2001</c:v>
                </c:pt>
                <c:pt idx="525">
                  <c:v>12/2001</c:v>
                </c:pt>
                <c:pt idx="526">
                  <c:v>1/2002</c:v>
                </c:pt>
                <c:pt idx="527">
                  <c:v>2/2002</c:v>
                </c:pt>
                <c:pt idx="528">
                  <c:v>3/2002</c:v>
                </c:pt>
                <c:pt idx="529">
                  <c:v>4/2002</c:v>
                </c:pt>
                <c:pt idx="530">
                  <c:v>5/2002</c:v>
                </c:pt>
                <c:pt idx="531">
                  <c:v>6/2002</c:v>
                </c:pt>
                <c:pt idx="532">
                  <c:v>7/2002</c:v>
                </c:pt>
                <c:pt idx="533">
                  <c:v>8/2002</c:v>
                </c:pt>
                <c:pt idx="534">
                  <c:v>9/2002</c:v>
                </c:pt>
                <c:pt idx="535">
                  <c:v>10/2002</c:v>
                </c:pt>
                <c:pt idx="536">
                  <c:v>11/2002</c:v>
                </c:pt>
                <c:pt idx="537">
                  <c:v>12/2002</c:v>
                </c:pt>
                <c:pt idx="538">
                  <c:v>1/2003</c:v>
                </c:pt>
                <c:pt idx="539">
                  <c:v>2/2003</c:v>
                </c:pt>
                <c:pt idx="540">
                  <c:v>3/2003</c:v>
                </c:pt>
                <c:pt idx="541">
                  <c:v>4/2003</c:v>
                </c:pt>
                <c:pt idx="542">
                  <c:v>5/2003</c:v>
                </c:pt>
                <c:pt idx="543">
                  <c:v>6/2003</c:v>
                </c:pt>
                <c:pt idx="544">
                  <c:v>7/2003</c:v>
                </c:pt>
                <c:pt idx="545">
                  <c:v>8/2003</c:v>
                </c:pt>
                <c:pt idx="546">
                  <c:v>9/2003</c:v>
                </c:pt>
                <c:pt idx="547">
                  <c:v>10/2003</c:v>
                </c:pt>
                <c:pt idx="548">
                  <c:v>11/2003</c:v>
                </c:pt>
                <c:pt idx="549">
                  <c:v>12/2003</c:v>
                </c:pt>
                <c:pt idx="550">
                  <c:v>1/2004</c:v>
                </c:pt>
                <c:pt idx="551">
                  <c:v>2/2004</c:v>
                </c:pt>
                <c:pt idx="552">
                  <c:v>3/2004</c:v>
                </c:pt>
                <c:pt idx="553">
                  <c:v>4/2004</c:v>
                </c:pt>
                <c:pt idx="554">
                  <c:v>5/2004</c:v>
                </c:pt>
                <c:pt idx="555">
                  <c:v>6/2004</c:v>
                </c:pt>
                <c:pt idx="556">
                  <c:v>7/2004</c:v>
                </c:pt>
                <c:pt idx="557">
                  <c:v>8/2004</c:v>
                </c:pt>
                <c:pt idx="558">
                  <c:v>9/2004</c:v>
                </c:pt>
                <c:pt idx="559">
                  <c:v>10/2004</c:v>
                </c:pt>
                <c:pt idx="560">
                  <c:v>11/2004</c:v>
                </c:pt>
                <c:pt idx="561">
                  <c:v>12/2004</c:v>
                </c:pt>
                <c:pt idx="562">
                  <c:v>1/2005</c:v>
                </c:pt>
                <c:pt idx="563">
                  <c:v>2/2005</c:v>
                </c:pt>
                <c:pt idx="564">
                  <c:v>3/2005</c:v>
                </c:pt>
                <c:pt idx="565">
                  <c:v>4/2005</c:v>
                </c:pt>
                <c:pt idx="566">
                  <c:v>5/2005</c:v>
                </c:pt>
                <c:pt idx="567">
                  <c:v>6/2005</c:v>
                </c:pt>
                <c:pt idx="568">
                  <c:v>7/2005</c:v>
                </c:pt>
                <c:pt idx="569">
                  <c:v>8/2005</c:v>
                </c:pt>
                <c:pt idx="570">
                  <c:v>9/2005</c:v>
                </c:pt>
                <c:pt idx="571">
                  <c:v>10/2005</c:v>
                </c:pt>
                <c:pt idx="572">
                  <c:v>11/2005</c:v>
                </c:pt>
                <c:pt idx="573">
                  <c:v>12/2005</c:v>
                </c:pt>
                <c:pt idx="574">
                  <c:v>1/2006</c:v>
                </c:pt>
                <c:pt idx="575">
                  <c:v>2/2006</c:v>
                </c:pt>
                <c:pt idx="576">
                  <c:v>3/2006</c:v>
                </c:pt>
                <c:pt idx="577">
                  <c:v>4/2006</c:v>
                </c:pt>
                <c:pt idx="578">
                  <c:v>5/2006</c:v>
                </c:pt>
                <c:pt idx="579">
                  <c:v>6/2006</c:v>
                </c:pt>
                <c:pt idx="580">
                  <c:v>7/2006</c:v>
                </c:pt>
                <c:pt idx="581">
                  <c:v>8/2006</c:v>
                </c:pt>
                <c:pt idx="582">
                  <c:v>9/2006</c:v>
                </c:pt>
                <c:pt idx="583">
                  <c:v>10/2006</c:v>
                </c:pt>
                <c:pt idx="584">
                  <c:v>11/2006</c:v>
                </c:pt>
                <c:pt idx="585">
                  <c:v>12/2006</c:v>
                </c:pt>
                <c:pt idx="586">
                  <c:v>1/2007</c:v>
                </c:pt>
                <c:pt idx="587">
                  <c:v>2/2007</c:v>
                </c:pt>
                <c:pt idx="588">
                  <c:v>3/2007</c:v>
                </c:pt>
                <c:pt idx="589">
                  <c:v>4/2007</c:v>
                </c:pt>
                <c:pt idx="590">
                  <c:v>5/2007</c:v>
                </c:pt>
                <c:pt idx="591">
                  <c:v>6/2007</c:v>
                </c:pt>
                <c:pt idx="592">
                  <c:v>7/2007</c:v>
                </c:pt>
                <c:pt idx="593">
                  <c:v>8/2007</c:v>
                </c:pt>
                <c:pt idx="594">
                  <c:v>9/2007</c:v>
                </c:pt>
                <c:pt idx="595">
                  <c:v>10/2007</c:v>
                </c:pt>
                <c:pt idx="596">
                  <c:v>11/2007</c:v>
                </c:pt>
                <c:pt idx="597">
                  <c:v>12/2007</c:v>
                </c:pt>
                <c:pt idx="598">
                  <c:v>1/2008</c:v>
                </c:pt>
                <c:pt idx="599">
                  <c:v>2/2008</c:v>
                </c:pt>
                <c:pt idx="600">
                  <c:v>3/2008</c:v>
                </c:pt>
                <c:pt idx="601">
                  <c:v>4/2008</c:v>
                </c:pt>
                <c:pt idx="602">
                  <c:v>5/2008</c:v>
                </c:pt>
                <c:pt idx="603">
                  <c:v>6/2008</c:v>
                </c:pt>
                <c:pt idx="604">
                  <c:v>7/2008</c:v>
                </c:pt>
                <c:pt idx="605">
                  <c:v>8/2008</c:v>
                </c:pt>
                <c:pt idx="606">
                  <c:v>9/2008</c:v>
                </c:pt>
                <c:pt idx="607">
                  <c:v>10/2008</c:v>
                </c:pt>
                <c:pt idx="608">
                  <c:v>11/2008</c:v>
                </c:pt>
                <c:pt idx="609">
                  <c:v>12/2008</c:v>
                </c:pt>
                <c:pt idx="610">
                  <c:v>1/2009</c:v>
                </c:pt>
                <c:pt idx="611">
                  <c:v>2/2009</c:v>
                </c:pt>
                <c:pt idx="612">
                  <c:v>3/2009</c:v>
                </c:pt>
                <c:pt idx="613">
                  <c:v>4/2009</c:v>
                </c:pt>
                <c:pt idx="614">
                  <c:v>5/2009</c:v>
                </c:pt>
                <c:pt idx="615">
                  <c:v>6/2009</c:v>
                </c:pt>
                <c:pt idx="616">
                  <c:v>7/2009</c:v>
                </c:pt>
                <c:pt idx="617">
                  <c:v>8/2009</c:v>
                </c:pt>
                <c:pt idx="618">
                  <c:v>9/2009</c:v>
                </c:pt>
                <c:pt idx="619">
                  <c:v>10/2009</c:v>
                </c:pt>
                <c:pt idx="620">
                  <c:v>11/2009</c:v>
                </c:pt>
                <c:pt idx="621">
                  <c:v>12/2009</c:v>
                </c:pt>
                <c:pt idx="622">
                  <c:v>1/2010</c:v>
                </c:pt>
                <c:pt idx="623">
                  <c:v>2/2010</c:v>
                </c:pt>
                <c:pt idx="624">
                  <c:v>3/2010</c:v>
                </c:pt>
                <c:pt idx="625">
                  <c:v>4/2010</c:v>
                </c:pt>
                <c:pt idx="626">
                  <c:v>5/2010</c:v>
                </c:pt>
                <c:pt idx="627">
                  <c:v>6/2010</c:v>
                </c:pt>
                <c:pt idx="628">
                  <c:v>7/2010</c:v>
                </c:pt>
                <c:pt idx="629">
                  <c:v>8/2010</c:v>
                </c:pt>
                <c:pt idx="630">
                  <c:v>9/2010</c:v>
                </c:pt>
                <c:pt idx="631">
                  <c:v>10/2010</c:v>
                </c:pt>
                <c:pt idx="632">
                  <c:v>11/2010</c:v>
                </c:pt>
                <c:pt idx="633">
                  <c:v>12/2010</c:v>
                </c:pt>
                <c:pt idx="634">
                  <c:v>1/2011</c:v>
                </c:pt>
                <c:pt idx="635">
                  <c:v>2/2011</c:v>
                </c:pt>
                <c:pt idx="636">
                  <c:v>3/2011</c:v>
                </c:pt>
                <c:pt idx="637">
                  <c:v>4/2011</c:v>
                </c:pt>
                <c:pt idx="638">
                  <c:v>5/2011</c:v>
                </c:pt>
                <c:pt idx="639">
                  <c:v>6/2011</c:v>
                </c:pt>
                <c:pt idx="640">
                  <c:v>7/2011</c:v>
                </c:pt>
                <c:pt idx="641">
                  <c:v>8/2011</c:v>
                </c:pt>
                <c:pt idx="642">
                  <c:v>9/2011</c:v>
                </c:pt>
                <c:pt idx="643">
                  <c:v>10/2011</c:v>
                </c:pt>
                <c:pt idx="644">
                  <c:v>11/2011</c:v>
                </c:pt>
                <c:pt idx="645">
                  <c:v>12/2011</c:v>
                </c:pt>
                <c:pt idx="646">
                  <c:v>1/2012</c:v>
                </c:pt>
                <c:pt idx="647">
                  <c:v>2/2012</c:v>
                </c:pt>
                <c:pt idx="648">
                  <c:v>3/2012</c:v>
                </c:pt>
                <c:pt idx="649">
                  <c:v>4/2012</c:v>
                </c:pt>
                <c:pt idx="650">
                  <c:v>5/2012</c:v>
                </c:pt>
                <c:pt idx="651">
                  <c:v>6/2012</c:v>
                </c:pt>
                <c:pt idx="652">
                  <c:v>7/2012</c:v>
                </c:pt>
                <c:pt idx="653">
                  <c:v>8/2012</c:v>
                </c:pt>
                <c:pt idx="654">
                  <c:v>9/2012</c:v>
                </c:pt>
                <c:pt idx="655">
                  <c:v>10/2012</c:v>
                </c:pt>
                <c:pt idx="656">
                  <c:v>11/2012</c:v>
                </c:pt>
                <c:pt idx="657">
                  <c:v>12/2012</c:v>
                </c:pt>
                <c:pt idx="658">
                  <c:v>1/2013</c:v>
                </c:pt>
                <c:pt idx="659">
                  <c:v>2/2013</c:v>
                </c:pt>
                <c:pt idx="660">
                  <c:v>3/2013</c:v>
                </c:pt>
                <c:pt idx="661">
                  <c:v>4/2013</c:v>
                </c:pt>
                <c:pt idx="662">
                  <c:v>5/2013</c:v>
                </c:pt>
                <c:pt idx="663">
                  <c:v>6/2013</c:v>
                </c:pt>
                <c:pt idx="664">
                  <c:v>7/2013</c:v>
                </c:pt>
                <c:pt idx="665">
                  <c:v>8/2013</c:v>
                </c:pt>
                <c:pt idx="666">
                  <c:v>9/2013</c:v>
                </c:pt>
                <c:pt idx="667">
                  <c:v>10/2013</c:v>
                </c:pt>
                <c:pt idx="668">
                  <c:v>11/2013</c:v>
                </c:pt>
                <c:pt idx="669">
                  <c:v>12/2013</c:v>
                </c:pt>
                <c:pt idx="670">
                  <c:v>1/2014</c:v>
                </c:pt>
                <c:pt idx="671">
                  <c:v>2/2014</c:v>
                </c:pt>
                <c:pt idx="672">
                  <c:v>3/2014</c:v>
                </c:pt>
                <c:pt idx="673">
                  <c:v>4/2014</c:v>
                </c:pt>
                <c:pt idx="674">
                  <c:v>5/2014</c:v>
                </c:pt>
                <c:pt idx="675">
                  <c:v>6/2014</c:v>
                </c:pt>
                <c:pt idx="676">
                  <c:v>7/2014</c:v>
                </c:pt>
                <c:pt idx="677">
                  <c:v>8/2014</c:v>
                </c:pt>
                <c:pt idx="678">
                  <c:v>9/2014</c:v>
                </c:pt>
                <c:pt idx="679">
                  <c:v>10/2014</c:v>
                </c:pt>
                <c:pt idx="680">
                  <c:v>11/2014</c:v>
                </c:pt>
                <c:pt idx="681">
                  <c:v>12/2014</c:v>
                </c:pt>
                <c:pt idx="682">
                  <c:v>1/2015</c:v>
                </c:pt>
                <c:pt idx="683">
                  <c:v>2/2015</c:v>
                </c:pt>
                <c:pt idx="684">
                  <c:v>3/2015</c:v>
                </c:pt>
                <c:pt idx="685">
                  <c:v>4/2015</c:v>
                </c:pt>
                <c:pt idx="686">
                  <c:v>5/2015</c:v>
                </c:pt>
                <c:pt idx="687">
                  <c:v>6/2015</c:v>
                </c:pt>
                <c:pt idx="688">
                  <c:v>7/2015</c:v>
                </c:pt>
                <c:pt idx="689">
                  <c:v>8/2015</c:v>
                </c:pt>
                <c:pt idx="690">
                  <c:v>9/2015</c:v>
                </c:pt>
                <c:pt idx="691">
                  <c:v>10/2015</c:v>
                </c:pt>
                <c:pt idx="692">
                  <c:v>11/2015</c:v>
                </c:pt>
                <c:pt idx="693">
                  <c:v>12/2015</c:v>
                </c:pt>
                <c:pt idx="694">
                  <c:v>1/2016</c:v>
                </c:pt>
                <c:pt idx="695">
                  <c:v>2/2016</c:v>
                </c:pt>
                <c:pt idx="696">
                  <c:v>3/2016</c:v>
                </c:pt>
                <c:pt idx="697">
                  <c:v>4/2016</c:v>
                </c:pt>
                <c:pt idx="698">
                  <c:v>5/2016</c:v>
                </c:pt>
                <c:pt idx="699">
                  <c:v>6/2016</c:v>
                </c:pt>
                <c:pt idx="700">
                  <c:v>7/2016</c:v>
                </c:pt>
                <c:pt idx="701">
                  <c:v>8/2016</c:v>
                </c:pt>
                <c:pt idx="702">
                  <c:v>9/2016</c:v>
                </c:pt>
                <c:pt idx="703">
                  <c:v>10/2016</c:v>
                </c:pt>
                <c:pt idx="704">
                  <c:v>11/2016</c:v>
                </c:pt>
                <c:pt idx="705">
                  <c:v>12/2016</c:v>
                </c:pt>
                <c:pt idx="706">
                  <c:v>1/2017</c:v>
                </c:pt>
                <c:pt idx="707">
                  <c:v>2/2017</c:v>
                </c:pt>
                <c:pt idx="708">
                  <c:v>3/2017</c:v>
                </c:pt>
                <c:pt idx="709">
                  <c:v>4/2017</c:v>
                </c:pt>
                <c:pt idx="710">
                  <c:v>5/2017</c:v>
                </c:pt>
                <c:pt idx="711">
                  <c:v>6/2017</c:v>
                </c:pt>
                <c:pt idx="712">
                  <c:v>7/2017</c:v>
                </c:pt>
                <c:pt idx="713">
                  <c:v>8/2017</c:v>
                </c:pt>
                <c:pt idx="714">
                  <c:v>9/2017</c:v>
                </c:pt>
                <c:pt idx="715">
                  <c:v>10/2017</c:v>
                </c:pt>
                <c:pt idx="716">
                  <c:v>11/2017</c:v>
                </c:pt>
                <c:pt idx="717">
                  <c:v>12/2017</c:v>
                </c:pt>
                <c:pt idx="718">
                  <c:v>1/2018</c:v>
                </c:pt>
                <c:pt idx="719">
                  <c:v>2/2018</c:v>
                </c:pt>
                <c:pt idx="720">
                  <c:v>3/2018</c:v>
                </c:pt>
                <c:pt idx="721">
                  <c:v>4/2018</c:v>
                </c:pt>
                <c:pt idx="722">
                  <c:v>5/2018</c:v>
                </c:pt>
                <c:pt idx="723">
                  <c:v>6/2018</c:v>
                </c:pt>
                <c:pt idx="724">
                  <c:v>7/2018</c:v>
                </c:pt>
                <c:pt idx="725">
                  <c:v>8/2018</c:v>
                </c:pt>
                <c:pt idx="726">
                  <c:v>9/2018</c:v>
                </c:pt>
                <c:pt idx="727">
                  <c:v>10/2018</c:v>
                </c:pt>
                <c:pt idx="728">
                  <c:v>11/2018</c:v>
                </c:pt>
                <c:pt idx="729">
                  <c:v>12/2018</c:v>
                </c:pt>
                <c:pt idx="730">
                  <c:v>1/2019</c:v>
                </c:pt>
                <c:pt idx="731">
                  <c:v>2/2019</c:v>
                </c:pt>
                <c:pt idx="732">
                  <c:v>3/2019</c:v>
                </c:pt>
                <c:pt idx="733">
                  <c:v>4/2019</c:v>
                </c:pt>
                <c:pt idx="734">
                  <c:v>5/2019</c:v>
                </c:pt>
                <c:pt idx="735">
                  <c:v>6/2019</c:v>
                </c:pt>
                <c:pt idx="736">
                  <c:v>7/2019</c:v>
                </c:pt>
                <c:pt idx="737">
                  <c:v>8/2019</c:v>
                </c:pt>
                <c:pt idx="738">
                  <c:v>9/2019</c:v>
                </c:pt>
                <c:pt idx="739">
                  <c:v>10/2019</c:v>
                </c:pt>
                <c:pt idx="740">
                  <c:v>11/2019</c:v>
                </c:pt>
                <c:pt idx="741">
                  <c:v>12/2019</c:v>
                </c:pt>
                <c:pt idx="742">
                  <c:v>1/2020</c:v>
                </c:pt>
                <c:pt idx="743">
                  <c:v>2/2020</c:v>
                </c:pt>
                <c:pt idx="744">
                  <c:v>3/2020</c:v>
                </c:pt>
                <c:pt idx="745">
                  <c:v>4/2020</c:v>
                </c:pt>
                <c:pt idx="746">
                  <c:v>5/2020</c:v>
                </c:pt>
                <c:pt idx="747">
                  <c:v>6/2020</c:v>
                </c:pt>
                <c:pt idx="748">
                  <c:v>7/2020</c:v>
                </c:pt>
                <c:pt idx="749">
                  <c:v>8/2020</c:v>
                </c:pt>
                <c:pt idx="750">
                  <c:v>9/2020</c:v>
                </c:pt>
                <c:pt idx="751">
                  <c:v>10/2020</c:v>
                </c:pt>
                <c:pt idx="752">
                  <c:v>11/2020</c:v>
                </c:pt>
                <c:pt idx="753">
                  <c:v>12/2020</c:v>
                </c:pt>
                <c:pt idx="754">
                  <c:v>1/2021</c:v>
                </c:pt>
                <c:pt idx="755">
                  <c:v>2/2021</c:v>
                </c:pt>
                <c:pt idx="756">
                  <c:v>3/2021</c:v>
                </c:pt>
                <c:pt idx="757">
                  <c:v>4/2021</c:v>
                </c:pt>
                <c:pt idx="758">
                  <c:v>5/2021</c:v>
                </c:pt>
                <c:pt idx="759">
                  <c:v>6/2021</c:v>
                </c:pt>
                <c:pt idx="760">
                  <c:v>7/2021</c:v>
                </c:pt>
                <c:pt idx="761">
                  <c:v>8/2021</c:v>
                </c:pt>
                <c:pt idx="762">
                  <c:v>9/2021</c:v>
                </c:pt>
                <c:pt idx="763">
                  <c:v>10/2021</c:v>
                </c:pt>
                <c:pt idx="764">
                  <c:v>11/2021</c:v>
                </c:pt>
                <c:pt idx="765">
                  <c:v>12/2021</c:v>
                </c:pt>
                <c:pt idx="766">
                  <c:v>1/2022</c:v>
                </c:pt>
                <c:pt idx="767">
                  <c:v>2/2022</c:v>
                </c:pt>
                <c:pt idx="768">
                  <c:v>3/2022</c:v>
                </c:pt>
                <c:pt idx="769">
                  <c:v>4/2022</c:v>
                </c:pt>
                <c:pt idx="770">
                  <c:v>5/2022</c:v>
                </c:pt>
                <c:pt idx="771">
                  <c:v>6/2022</c:v>
                </c:pt>
                <c:pt idx="772">
                  <c:v>7/2022</c:v>
                </c:pt>
                <c:pt idx="773">
                  <c:v>8/2022</c:v>
                </c:pt>
                <c:pt idx="774">
                  <c:v>9/2022</c:v>
                </c:pt>
                <c:pt idx="775">
                  <c:v>10/2022</c:v>
                </c:pt>
                <c:pt idx="776">
                  <c:v>11/2022</c:v>
                </c:pt>
                <c:pt idx="777">
                  <c:v>12/2022</c:v>
                </c:pt>
                <c:pt idx="778">
                  <c:v>1/2023</c:v>
                </c:pt>
                <c:pt idx="779">
                  <c:v>2/2023</c:v>
                </c:pt>
                <c:pt idx="780">
                  <c:v>3/2023</c:v>
                </c:pt>
                <c:pt idx="781">
                  <c:v>4/2023</c:v>
                </c:pt>
                <c:pt idx="782">
                  <c:v>5/2023</c:v>
                </c:pt>
                <c:pt idx="783">
                  <c:v>6/2023</c:v>
                </c:pt>
                <c:pt idx="784">
                  <c:v>7/2023</c:v>
                </c:pt>
                <c:pt idx="785">
                  <c:v>8/2023</c:v>
                </c:pt>
                <c:pt idx="786">
                  <c:v>9/2023</c:v>
                </c:pt>
                <c:pt idx="787">
                  <c:v>10/2023</c:v>
                </c:pt>
                <c:pt idx="788">
                  <c:v>11/2023</c:v>
                </c:pt>
                <c:pt idx="789">
                  <c:v>12/2023</c:v>
                </c:pt>
                <c:pt idx="790">
                  <c:v>1/2024</c:v>
                </c:pt>
                <c:pt idx="791">
                  <c:v>2/2024</c:v>
                </c:pt>
                <c:pt idx="792">
                  <c:v>3/2024</c:v>
                </c:pt>
                <c:pt idx="793">
                  <c:v>4/2024</c:v>
                </c:pt>
                <c:pt idx="794">
                  <c:v>5/2024</c:v>
                </c:pt>
                <c:pt idx="795">
                  <c:v>6/2024</c:v>
                </c:pt>
                <c:pt idx="796">
                  <c:v>7/2024</c:v>
                </c:pt>
                <c:pt idx="797">
                  <c:v>8/2024</c:v>
                </c:pt>
                <c:pt idx="798">
                  <c:v>9/2024</c:v>
                </c:pt>
                <c:pt idx="799">
                  <c:v>10/2024</c:v>
                </c:pt>
                <c:pt idx="800">
                  <c:v>11/2024</c:v>
                </c:pt>
                <c:pt idx="801">
                  <c:v>12/2024</c:v>
                </c:pt>
                <c:pt idx="802">
                  <c:v>1/2025</c:v>
                </c:pt>
                <c:pt idx="803">
                  <c:v>2/2025</c:v>
                </c:pt>
                <c:pt idx="804">
                  <c:v>3/2025</c:v>
                </c:pt>
                <c:pt idx="805">
                  <c:v>4/2025</c:v>
                </c:pt>
                <c:pt idx="806">
                  <c:v>5/2025</c:v>
                </c:pt>
                <c:pt idx="807">
                  <c:v>6/2025</c:v>
                </c:pt>
                <c:pt idx="808">
                  <c:v>7/2025</c:v>
                </c:pt>
                <c:pt idx="809">
                  <c:v>8/2025</c:v>
                </c:pt>
                <c:pt idx="810">
                  <c:v>9/2025</c:v>
                </c:pt>
                <c:pt idx="811">
                  <c:v>10/2025</c:v>
                </c:pt>
                <c:pt idx="812">
                  <c:v>11/2025</c:v>
                </c:pt>
                <c:pt idx="813">
                  <c:v>12/2025</c:v>
                </c:pt>
                <c:pt idx="814">
                  <c:v>1/2026</c:v>
                </c:pt>
                <c:pt idx="815">
                  <c:v>2/2026</c:v>
                </c:pt>
                <c:pt idx="816">
                  <c:v>3/2026</c:v>
                </c:pt>
                <c:pt idx="817">
                  <c:v>4/2026</c:v>
                </c:pt>
                <c:pt idx="818">
                  <c:v>5/2026</c:v>
                </c:pt>
                <c:pt idx="819">
                  <c:v>6/2026</c:v>
                </c:pt>
                <c:pt idx="820">
                  <c:v>7/2026</c:v>
                </c:pt>
                <c:pt idx="821">
                  <c:v>8/2026</c:v>
                </c:pt>
              </c:strCache>
            </c:strRef>
          </c:cat>
          <c:val>
            <c:numRef>
              <c:f>'F Plus CO2'!$B$940:$B$1761</c:f>
              <c:numCache>
                <c:formatCode>0.00</c:formatCode>
                <c:ptCount val="822"/>
                <c:pt idx="0">
                  <c:v>57.344000000000001</c:v>
                </c:pt>
                <c:pt idx="1">
                  <c:v>57.218000000000004</c:v>
                </c:pt>
                <c:pt idx="2">
                  <c:v>57.308</c:v>
                </c:pt>
                <c:pt idx="3">
                  <c:v>57.037999999999997</c:v>
                </c:pt>
                <c:pt idx="4">
                  <c:v>57.290000000000006</c:v>
                </c:pt>
                <c:pt idx="5">
                  <c:v>57.11</c:v>
                </c:pt>
                <c:pt idx="6">
                  <c:v>57.146000000000001</c:v>
                </c:pt>
                <c:pt idx="7">
                  <c:v>57.271999999999998</c:v>
                </c:pt>
                <c:pt idx="8">
                  <c:v>57.236000000000004</c:v>
                </c:pt>
                <c:pt idx="9">
                  <c:v>57.218000000000004</c:v>
                </c:pt>
                <c:pt idx="10">
                  <c:v>57.344000000000001</c:v>
                </c:pt>
                <c:pt idx="11">
                  <c:v>57.326000000000001</c:v>
                </c:pt>
                <c:pt idx="12">
                  <c:v>57.524000000000001</c:v>
                </c:pt>
                <c:pt idx="13">
                  <c:v>57.488</c:v>
                </c:pt>
                <c:pt idx="14">
                  <c:v>57.271999999999998</c:v>
                </c:pt>
                <c:pt idx="15">
                  <c:v>57.253999999999998</c:v>
                </c:pt>
                <c:pt idx="16">
                  <c:v>57.253999999999998</c:v>
                </c:pt>
                <c:pt idx="17">
                  <c:v>57.182000000000002</c:v>
                </c:pt>
                <c:pt idx="18">
                  <c:v>57.091999999999999</c:v>
                </c:pt>
                <c:pt idx="19">
                  <c:v>57.073999999999998</c:v>
                </c:pt>
                <c:pt idx="20">
                  <c:v>57.055999999999997</c:v>
                </c:pt>
                <c:pt idx="21">
                  <c:v>57.2</c:v>
                </c:pt>
                <c:pt idx="22">
                  <c:v>57.2</c:v>
                </c:pt>
                <c:pt idx="23">
                  <c:v>57.433999999999997</c:v>
                </c:pt>
                <c:pt idx="24">
                  <c:v>56.57</c:v>
                </c:pt>
                <c:pt idx="25">
                  <c:v>56.93</c:v>
                </c:pt>
                <c:pt idx="26">
                  <c:v>57.055999999999997</c:v>
                </c:pt>
                <c:pt idx="27">
                  <c:v>57.128</c:v>
                </c:pt>
                <c:pt idx="28">
                  <c:v>57.128</c:v>
                </c:pt>
                <c:pt idx="29">
                  <c:v>57.236000000000004</c:v>
                </c:pt>
                <c:pt idx="30">
                  <c:v>57.326000000000001</c:v>
                </c:pt>
                <c:pt idx="31">
                  <c:v>57.308</c:v>
                </c:pt>
                <c:pt idx="32">
                  <c:v>57.002000000000002</c:v>
                </c:pt>
                <c:pt idx="33">
                  <c:v>57.542000000000002</c:v>
                </c:pt>
                <c:pt idx="34">
                  <c:v>57.326000000000001</c:v>
                </c:pt>
                <c:pt idx="35">
                  <c:v>57.542000000000002</c:v>
                </c:pt>
                <c:pt idx="36">
                  <c:v>57.362000000000002</c:v>
                </c:pt>
                <c:pt idx="37">
                  <c:v>57.433999999999997</c:v>
                </c:pt>
                <c:pt idx="38">
                  <c:v>57.415999999999997</c:v>
                </c:pt>
                <c:pt idx="39">
                  <c:v>57.397999999999996</c:v>
                </c:pt>
                <c:pt idx="40">
                  <c:v>57.218000000000004</c:v>
                </c:pt>
                <c:pt idx="41">
                  <c:v>57.218000000000004</c:v>
                </c:pt>
                <c:pt idx="42">
                  <c:v>57.344000000000001</c:v>
                </c:pt>
                <c:pt idx="43">
                  <c:v>57.2</c:v>
                </c:pt>
                <c:pt idx="44">
                  <c:v>57.253999999999998</c:v>
                </c:pt>
                <c:pt idx="45">
                  <c:v>56.911999999999999</c:v>
                </c:pt>
                <c:pt idx="46">
                  <c:v>57.290000000000006</c:v>
                </c:pt>
                <c:pt idx="47">
                  <c:v>57.47</c:v>
                </c:pt>
                <c:pt idx="48">
                  <c:v>57.379999999999995</c:v>
                </c:pt>
                <c:pt idx="49">
                  <c:v>57.290000000000006</c:v>
                </c:pt>
                <c:pt idx="50">
                  <c:v>57.091999999999999</c:v>
                </c:pt>
                <c:pt idx="51">
                  <c:v>57.253999999999998</c:v>
                </c:pt>
                <c:pt idx="52">
                  <c:v>57.236000000000004</c:v>
                </c:pt>
                <c:pt idx="53">
                  <c:v>57.182000000000002</c:v>
                </c:pt>
                <c:pt idx="54">
                  <c:v>57.2</c:v>
                </c:pt>
                <c:pt idx="55">
                  <c:v>57.218000000000004</c:v>
                </c:pt>
                <c:pt idx="56">
                  <c:v>57.308</c:v>
                </c:pt>
                <c:pt idx="57">
                  <c:v>57.146000000000001</c:v>
                </c:pt>
                <c:pt idx="58">
                  <c:v>57.146000000000001</c:v>
                </c:pt>
                <c:pt idx="59">
                  <c:v>57.524000000000001</c:v>
                </c:pt>
                <c:pt idx="60">
                  <c:v>56.948</c:v>
                </c:pt>
                <c:pt idx="61">
                  <c:v>57.073999999999998</c:v>
                </c:pt>
                <c:pt idx="62">
                  <c:v>57.091999999999999</c:v>
                </c:pt>
                <c:pt idx="63">
                  <c:v>57.290000000000006</c:v>
                </c:pt>
                <c:pt idx="64">
                  <c:v>57.308</c:v>
                </c:pt>
                <c:pt idx="65">
                  <c:v>57.596000000000004</c:v>
                </c:pt>
                <c:pt idx="66">
                  <c:v>57.506</c:v>
                </c:pt>
                <c:pt idx="67">
                  <c:v>57.47</c:v>
                </c:pt>
                <c:pt idx="68">
                  <c:v>57.47</c:v>
                </c:pt>
                <c:pt idx="69">
                  <c:v>57.146000000000001</c:v>
                </c:pt>
                <c:pt idx="70">
                  <c:v>57.037999999999997</c:v>
                </c:pt>
                <c:pt idx="71">
                  <c:v>57.019999999999996</c:v>
                </c:pt>
                <c:pt idx="72">
                  <c:v>56.822000000000003</c:v>
                </c:pt>
                <c:pt idx="73">
                  <c:v>56.623999999999995</c:v>
                </c:pt>
                <c:pt idx="74">
                  <c:v>56.75</c:v>
                </c:pt>
                <c:pt idx="75">
                  <c:v>57.128</c:v>
                </c:pt>
                <c:pt idx="76">
                  <c:v>57.128</c:v>
                </c:pt>
                <c:pt idx="77">
                  <c:v>56.804000000000002</c:v>
                </c:pt>
                <c:pt idx="78">
                  <c:v>56.66</c:v>
                </c:pt>
                <c:pt idx="79">
                  <c:v>56.641999999999996</c:v>
                </c:pt>
                <c:pt idx="80">
                  <c:v>56.822000000000003</c:v>
                </c:pt>
                <c:pt idx="81">
                  <c:v>56.66</c:v>
                </c:pt>
                <c:pt idx="82">
                  <c:v>57.055999999999997</c:v>
                </c:pt>
                <c:pt idx="83">
                  <c:v>56.894000000000005</c:v>
                </c:pt>
                <c:pt idx="84">
                  <c:v>56.965999999999994</c:v>
                </c:pt>
                <c:pt idx="85">
                  <c:v>56.858000000000004</c:v>
                </c:pt>
                <c:pt idx="86">
                  <c:v>56.984000000000002</c:v>
                </c:pt>
                <c:pt idx="87">
                  <c:v>57.055999999999997</c:v>
                </c:pt>
                <c:pt idx="88">
                  <c:v>56.965999999999994</c:v>
                </c:pt>
                <c:pt idx="89">
                  <c:v>57.128</c:v>
                </c:pt>
                <c:pt idx="90">
                  <c:v>56.93</c:v>
                </c:pt>
                <c:pt idx="91">
                  <c:v>57.11</c:v>
                </c:pt>
                <c:pt idx="92">
                  <c:v>57.091999999999999</c:v>
                </c:pt>
                <c:pt idx="93">
                  <c:v>57.055999999999997</c:v>
                </c:pt>
                <c:pt idx="94">
                  <c:v>56.858000000000004</c:v>
                </c:pt>
                <c:pt idx="95">
                  <c:v>57.128</c:v>
                </c:pt>
                <c:pt idx="96">
                  <c:v>57.253999999999998</c:v>
                </c:pt>
                <c:pt idx="97">
                  <c:v>56.965999999999994</c:v>
                </c:pt>
                <c:pt idx="98">
                  <c:v>56.984000000000002</c:v>
                </c:pt>
                <c:pt idx="99">
                  <c:v>57.218000000000004</c:v>
                </c:pt>
                <c:pt idx="100">
                  <c:v>57.344000000000001</c:v>
                </c:pt>
                <c:pt idx="101">
                  <c:v>57.037999999999997</c:v>
                </c:pt>
                <c:pt idx="102">
                  <c:v>57.146000000000001</c:v>
                </c:pt>
                <c:pt idx="103">
                  <c:v>56.894000000000005</c:v>
                </c:pt>
                <c:pt idx="104">
                  <c:v>57.182000000000002</c:v>
                </c:pt>
                <c:pt idx="105">
                  <c:v>57.146000000000001</c:v>
                </c:pt>
                <c:pt idx="106">
                  <c:v>57.055999999999997</c:v>
                </c:pt>
                <c:pt idx="107">
                  <c:v>56.822000000000003</c:v>
                </c:pt>
                <c:pt idx="108">
                  <c:v>57.290000000000006</c:v>
                </c:pt>
                <c:pt idx="109">
                  <c:v>57.11</c:v>
                </c:pt>
                <c:pt idx="110">
                  <c:v>57.415999999999997</c:v>
                </c:pt>
                <c:pt idx="111">
                  <c:v>57.055999999999997</c:v>
                </c:pt>
                <c:pt idx="112">
                  <c:v>57.236000000000004</c:v>
                </c:pt>
                <c:pt idx="113">
                  <c:v>57.218000000000004</c:v>
                </c:pt>
                <c:pt idx="114">
                  <c:v>57.091999999999999</c:v>
                </c:pt>
                <c:pt idx="115">
                  <c:v>57.362000000000002</c:v>
                </c:pt>
                <c:pt idx="116">
                  <c:v>57.11</c:v>
                </c:pt>
                <c:pt idx="117">
                  <c:v>57.11</c:v>
                </c:pt>
                <c:pt idx="118">
                  <c:v>56.731999999999999</c:v>
                </c:pt>
                <c:pt idx="119">
                  <c:v>56.948</c:v>
                </c:pt>
                <c:pt idx="120">
                  <c:v>57.56</c:v>
                </c:pt>
                <c:pt idx="121">
                  <c:v>57.091999999999999</c:v>
                </c:pt>
                <c:pt idx="122">
                  <c:v>56.948</c:v>
                </c:pt>
                <c:pt idx="123">
                  <c:v>57.037999999999997</c:v>
                </c:pt>
                <c:pt idx="124">
                  <c:v>56.965999999999994</c:v>
                </c:pt>
                <c:pt idx="125">
                  <c:v>57.055999999999997</c:v>
                </c:pt>
                <c:pt idx="126">
                  <c:v>56.858000000000004</c:v>
                </c:pt>
                <c:pt idx="127">
                  <c:v>57.362000000000002</c:v>
                </c:pt>
                <c:pt idx="128">
                  <c:v>57.11</c:v>
                </c:pt>
                <c:pt idx="129">
                  <c:v>56.948</c:v>
                </c:pt>
                <c:pt idx="130">
                  <c:v>57.002000000000002</c:v>
                </c:pt>
                <c:pt idx="131">
                  <c:v>56.876000000000005</c:v>
                </c:pt>
                <c:pt idx="132">
                  <c:v>57.218000000000004</c:v>
                </c:pt>
                <c:pt idx="133">
                  <c:v>57.506</c:v>
                </c:pt>
                <c:pt idx="134">
                  <c:v>57.524000000000001</c:v>
                </c:pt>
                <c:pt idx="135">
                  <c:v>57.253999999999998</c:v>
                </c:pt>
                <c:pt idx="136">
                  <c:v>57.128</c:v>
                </c:pt>
                <c:pt idx="137">
                  <c:v>57.271999999999998</c:v>
                </c:pt>
                <c:pt idx="138">
                  <c:v>57.344000000000001</c:v>
                </c:pt>
                <c:pt idx="139">
                  <c:v>57.362000000000002</c:v>
                </c:pt>
                <c:pt idx="140">
                  <c:v>57.415999999999997</c:v>
                </c:pt>
                <c:pt idx="141">
                  <c:v>57.632000000000005</c:v>
                </c:pt>
                <c:pt idx="142">
                  <c:v>57.344000000000001</c:v>
                </c:pt>
                <c:pt idx="143">
                  <c:v>57.596000000000004</c:v>
                </c:pt>
                <c:pt idx="144">
                  <c:v>57.308</c:v>
                </c:pt>
                <c:pt idx="145">
                  <c:v>57.290000000000006</c:v>
                </c:pt>
                <c:pt idx="146">
                  <c:v>57.146000000000001</c:v>
                </c:pt>
                <c:pt idx="147">
                  <c:v>57.164000000000001</c:v>
                </c:pt>
                <c:pt idx="148">
                  <c:v>57.236000000000004</c:v>
                </c:pt>
                <c:pt idx="149">
                  <c:v>57.019999999999996</c:v>
                </c:pt>
                <c:pt idx="150">
                  <c:v>57.415999999999997</c:v>
                </c:pt>
                <c:pt idx="151">
                  <c:v>57.253999999999998</c:v>
                </c:pt>
                <c:pt idx="152">
                  <c:v>57.236000000000004</c:v>
                </c:pt>
                <c:pt idx="153">
                  <c:v>56.984000000000002</c:v>
                </c:pt>
                <c:pt idx="154">
                  <c:v>57.164000000000001</c:v>
                </c:pt>
                <c:pt idx="155">
                  <c:v>56.93</c:v>
                </c:pt>
                <c:pt idx="156">
                  <c:v>56.876000000000005</c:v>
                </c:pt>
                <c:pt idx="157">
                  <c:v>57.073999999999998</c:v>
                </c:pt>
                <c:pt idx="158">
                  <c:v>57.11</c:v>
                </c:pt>
                <c:pt idx="159">
                  <c:v>56.911999999999999</c:v>
                </c:pt>
                <c:pt idx="160">
                  <c:v>57.073999999999998</c:v>
                </c:pt>
                <c:pt idx="161">
                  <c:v>57.182000000000002</c:v>
                </c:pt>
                <c:pt idx="162">
                  <c:v>57.11</c:v>
                </c:pt>
                <c:pt idx="163">
                  <c:v>57.128</c:v>
                </c:pt>
                <c:pt idx="164">
                  <c:v>57.073999999999998</c:v>
                </c:pt>
                <c:pt idx="165">
                  <c:v>57.055999999999997</c:v>
                </c:pt>
                <c:pt idx="166">
                  <c:v>56.804000000000002</c:v>
                </c:pt>
                <c:pt idx="167">
                  <c:v>56.876000000000005</c:v>
                </c:pt>
                <c:pt idx="168">
                  <c:v>57.253999999999998</c:v>
                </c:pt>
                <c:pt idx="169">
                  <c:v>57.2</c:v>
                </c:pt>
                <c:pt idx="170">
                  <c:v>57.146000000000001</c:v>
                </c:pt>
                <c:pt idx="171">
                  <c:v>57.271999999999998</c:v>
                </c:pt>
                <c:pt idx="172">
                  <c:v>57.218000000000004</c:v>
                </c:pt>
                <c:pt idx="173">
                  <c:v>57.488</c:v>
                </c:pt>
                <c:pt idx="174">
                  <c:v>57.236000000000004</c:v>
                </c:pt>
                <c:pt idx="175">
                  <c:v>57.344000000000001</c:v>
                </c:pt>
                <c:pt idx="176">
                  <c:v>57.236000000000004</c:v>
                </c:pt>
                <c:pt idx="177">
                  <c:v>57.524000000000001</c:v>
                </c:pt>
                <c:pt idx="178">
                  <c:v>57.721999999999994</c:v>
                </c:pt>
                <c:pt idx="179">
                  <c:v>57.775999999999996</c:v>
                </c:pt>
                <c:pt idx="180">
                  <c:v>57.721999999999994</c:v>
                </c:pt>
                <c:pt idx="181">
                  <c:v>57.686</c:v>
                </c:pt>
                <c:pt idx="182">
                  <c:v>57.614000000000004</c:v>
                </c:pt>
                <c:pt idx="183">
                  <c:v>57.542000000000002</c:v>
                </c:pt>
                <c:pt idx="184">
                  <c:v>57.433999999999997</c:v>
                </c:pt>
                <c:pt idx="185">
                  <c:v>57.290000000000006</c:v>
                </c:pt>
                <c:pt idx="186">
                  <c:v>57.362000000000002</c:v>
                </c:pt>
                <c:pt idx="187">
                  <c:v>57.379999999999995</c:v>
                </c:pt>
                <c:pt idx="188">
                  <c:v>57.271999999999998</c:v>
                </c:pt>
                <c:pt idx="189">
                  <c:v>57.073999999999998</c:v>
                </c:pt>
                <c:pt idx="190">
                  <c:v>57.019999999999996</c:v>
                </c:pt>
                <c:pt idx="191">
                  <c:v>56.713999999999999</c:v>
                </c:pt>
                <c:pt idx="192">
                  <c:v>57.11</c:v>
                </c:pt>
                <c:pt idx="193">
                  <c:v>56.984000000000002</c:v>
                </c:pt>
                <c:pt idx="194">
                  <c:v>57.128</c:v>
                </c:pt>
                <c:pt idx="195">
                  <c:v>57.11</c:v>
                </c:pt>
                <c:pt idx="196">
                  <c:v>57.146000000000001</c:v>
                </c:pt>
                <c:pt idx="197">
                  <c:v>57.379999999999995</c:v>
                </c:pt>
                <c:pt idx="198">
                  <c:v>57.055999999999997</c:v>
                </c:pt>
                <c:pt idx="199">
                  <c:v>57.091999999999999</c:v>
                </c:pt>
                <c:pt idx="200">
                  <c:v>57.055999999999997</c:v>
                </c:pt>
                <c:pt idx="201">
                  <c:v>57.055999999999997</c:v>
                </c:pt>
                <c:pt idx="202">
                  <c:v>57.379999999999995</c:v>
                </c:pt>
                <c:pt idx="203">
                  <c:v>57.344000000000001</c:v>
                </c:pt>
                <c:pt idx="204">
                  <c:v>57.415999999999997</c:v>
                </c:pt>
                <c:pt idx="205">
                  <c:v>57.271999999999998</c:v>
                </c:pt>
                <c:pt idx="206">
                  <c:v>57.488</c:v>
                </c:pt>
                <c:pt idx="207">
                  <c:v>57.182000000000002</c:v>
                </c:pt>
                <c:pt idx="208">
                  <c:v>57.182000000000002</c:v>
                </c:pt>
                <c:pt idx="209">
                  <c:v>56.894000000000005</c:v>
                </c:pt>
                <c:pt idx="210">
                  <c:v>57.164000000000001</c:v>
                </c:pt>
                <c:pt idx="211">
                  <c:v>57.002000000000002</c:v>
                </c:pt>
                <c:pt idx="212">
                  <c:v>56.894000000000005</c:v>
                </c:pt>
                <c:pt idx="213">
                  <c:v>56.894000000000005</c:v>
                </c:pt>
                <c:pt idx="214">
                  <c:v>57.146000000000001</c:v>
                </c:pt>
                <c:pt idx="215">
                  <c:v>57.091999999999999</c:v>
                </c:pt>
                <c:pt idx="216">
                  <c:v>56.804000000000002</c:v>
                </c:pt>
                <c:pt idx="217">
                  <c:v>57.073999999999998</c:v>
                </c:pt>
                <c:pt idx="218">
                  <c:v>56.84</c:v>
                </c:pt>
                <c:pt idx="219">
                  <c:v>56.984000000000002</c:v>
                </c:pt>
                <c:pt idx="220">
                  <c:v>57.019999999999996</c:v>
                </c:pt>
                <c:pt idx="221">
                  <c:v>56.984000000000002</c:v>
                </c:pt>
                <c:pt idx="222">
                  <c:v>57.091999999999999</c:v>
                </c:pt>
                <c:pt idx="223">
                  <c:v>56.768000000000001</c:v>
                </c:pt>
                <c:pt idx="224">
                  <c:v>57.091999999999999</c:v>
                </c:pt>
                <c:pt idx="225">
                  <c:v>57.397999999999996</c:v>
                </c:pt>
                <c:pt idx="226">
                  <c:v>57.542000000000002</c:v>
                </c:pt>
                <c:pt idx="227">
                  <c:v>57.614000000000004</c:v>
                </c:pt>
                <c:pt idx="228">
                  <c:v>57.632000000000005</c:v>
                </c:pt>
                <c:pt idx="229">
                  <c:v>57.667999999999999</c:v>
                </c:pt>
                <c:pt idx="230">
                  <c:v>57.793999999999997</c:v>
                </c:pt>
                <c:pt idx="231">
                  <c:v>57.686</c:v>
                </c:pt>
                <c:pt idx="232">
                  <c:v>57.56</c:v>
                </c:pt>
                <c:pt idx="233">
                  <c:v>57.524000000000001</c:v>
                </c:pt>
                <c:pt idx="234">
                  <c:v>57.236000000000004</c:v>
                </c:pt>
                <c:pt idx="235">
                  <c:v>57.253999999999998</c:v>
                </c:pt>
                <c:pt idx="236">
                  <c:v>57.488</c:v>
                </c:pt>
                <c:pt idx="237">
                  <c:v>57.253999999999998</c:v>
                </c:pt>
                <c:pt idx="238">
                  <c:v>57.308</c:v>
                </c:pt>
                <c:pt idx="239">
                  <c:v>57.379999999999995</c:v>
                </c:pt>
                <c:pt idx="240">
                  <c:v>57.542000000000002</c:v>
                </c:pt>
                <c:pt idx="241">
                  <c:v>57.506</c:v>
                </c:pt>
                <c:pt idx="242">
                  <c:v>57.362000000000002</c:v>
                </c:pt>
                <c:pt idx="243">
                  <c:v>57.182000000000002</c:v>
                </c:pt>
                <c:pt idx="244">
                  <c:v>57.271999999999998</c:v>
                </c:pt>
                <c:pt idx="245">
                  <c:v>56.948</c:v>
                </c:pt>
                <c:pt idx="246">
                  <c:v>57.308</c:v>
                </c:pt>
                <c:pt idx="247">
                  <c:v>57.253999999999998</c:v>
                </c:pt>
                <c:pt idx="248">
                  <c:v>57.433999999999997</c:v>
                </c:pt>
                <c:pt idx="249">
                  <c:v>57.344000000000001</c:v>
                </c:pt>
                <c:pt idx="250">
                  <c:v>57.362000000000002</c:v>
                </c:pt>
                <c:pt idx="251">
                  <c:v>57.019999999999996</c:v>
                </c:pt>
                <c:pt idx="252">
                  <c:v>57.542000000000002</c:v>
                </c:pt>
                <c:pt idx="253">
                  <c:v>57.47</c:v>
                </c:pt>
                <c:pt idx="254">
                  <c:v>57.253999999999998</c:v>
                </c:pt>
                <c:pt idx="255">
                  <c:v>57.451999999999998</c:v>
                </c:pt>
                <c:pt idx="256">
                  <c:v>57.271999999999998</c:v>
                </c:pt>
                <c:pt idx="257">
                  <c:v>57.506</c:v>
                </c:pt>
                <c:pt idx="258">
                  <c:v>57.650000000000006</c:v>
                </c:pt>
                <c:pt idx="259">
                  <c:v>57.667999999999999</c:v>
                </c:pt>
                <c:pt idx="260">
                  <c:v>57.704000000000001</c:v>
                </c:pt>
                <c:pt idx="261">
                  <c:v>58.046000000000006</c:v>
                </c:pt>
                <c:pt idx="262">
                  <c:v>57.74</c:v>
                </c:pt>
                <c:pt idx="263">
                  <c:v>57.902000000000001</c:v>
                </c:pt>
                <c:pt idx="264">
                  <c:v>57.721999999999994</c:v>
                </c:pt>
                <c:pt idx="265">
                  <c:v>57.74</c:v>
                </c:pt>
                <c:pt idx="266">
                  <c:v>57.83</c:v>
                </c:pt>
                <c:pt idx="267">
                  <c:v>57.56</c:v>
                </c:pt>
                <c:pt idx="268">
                  <c:v>57.596000000000004</c:v>
                </c:pt>
                <c:pt idx="269">
                  <c:v>57.524000000000001</c:v>
                </c:pt>
                <c:pt idx="270">
                  <c:v>57.56</c:v>
                </c:pt>
                <c:pt idx="271">
                  <c:v>57.433999999999997</c:v>
                </c:pt>
                <c:pt idx="272">
                  <c:v>57.74</c:v>
                </c:pt>
                <c:pt idx="273">
                  <c:v>57.578000000000003</c:v>
                </c:pt>
                <c:pt idx="274">
                  <c:v>58.153999999999996</c:v>
                </c:pt>
                <c:pt idx="275">
                  <c:v>57.956000000000003</c:v>
                </c:pt>
                <c:pt idx="276">
                  <c:v>58.064</c:v>
                </c:pt>
                <c:pt idx="277">
                  <c:v>57.775999999999996</c:v>
                </c:pt>
                <c:pt idx="278">
                  <c:v>57.650000000000006</c:v>
                </c:pt>
                <c:pt idx="279">
                  <c:v>57.721999999999994</c:v>
                </c:pt>
                <c:pt idx="280">
                  <c:v>57.793999999999997</c:v>
                </c:pt>
                <c:pt idx="281">
                  <c:v>57.83</c:v>
                </c:pt>
                <c:pt idx="282">
                  <c:v>57.47</c:v>
                </c:pt>
                <c:pt idx="283">
                  <c:v>57.415999999999997</c:v>
                </c:pt>
                <c:pt idx="284">
                  <c:v>57.614000000000004</c:v>
                </c:pt>
                <c:pt idx="285">
                  <c:v>57.938000000000002</c:v>
                </c:pt>
                <c:pt idx="286">
                  <c:v>57.290000000000006</c:v>
                </c:pt>
                <c:pt idx="287">
                  <c:v>57.47</c:v>
                </c:pt>
                <c:pt idx="288">
                  <c:v>57.253999999999998</c:v>
                </c:pt>
                <c:pt idx="289">
                  <c:v>57.47</c:v>
                </c:pt>
                <c:pt idx="290">
                  <c:v>57.524000000000001</c:v>
                </c:pt>
                <c:pt idx="291">
                  <c:v>57.308</c:v>
                </c:pt>
                <c:pt idx="292">
                  <c:v>57.451999999999998</c:v>
                </c:pt>
                <c:pt idx="293">
                  <c:v>57.253999999999998</c:v>
                </c:pt>
                <c:pt idx="294">
                  <c:v>57.451999999999998</c:v>
                </c:pt>
                <c:pt idx="295">
                  <c:v>57.433999999999997</c:v>
                </c:pt>
                <c:pt idx="296">
                  <c:v>57.524000000000001</c:v>
                </c:pt>
                <c:pt idx="297">
                  <c:v>57.974000000000004</c:v>
                </c:pt>
                <c:pt idx="298">
                  <c:v>58.153999999999996</c:v>
                </c:pt>
                <c:pt idx="299">
                  <c:v>57.974000000000004</c:v>
                </c:pt>
                <c:pt idx="300">
                  <c:v>57.956000000000003</c:v>
                </c:pt>
                <c:pt idx="301">
                  <c:v>57.704000000000001</c:v>
                </c:pt>
                <c:pt idx="302">
                  <c:v>57.811999999999998</c:v>
                </c:pt>
                <c:pt idx="303">
                  <c:v>57.614000000000004</c:v>
                </c:pt>
                <c:pt idx="304">
                  <c:v>57.524000000000001</c:v>
                </c:pt>
                <c:pt idx="305">
                  <c:v>57.847999999999999</c:v>
                </c:pt>
                <c:pt idx="306">
                  <c:v>57.866</c:v>
                </c:pt>
                <c:pt idx="307">
                  <c:v>57.506</c:v>
                </c:pt>
                <c:pt idx="308">
                  <c:v>57.74</c:v>
                </c:pt>
                <c:pt idx="309">
                  <c:v>57.506</c:v>
                </c:pt>
                <c:pt idx="310">
                  <c:v>57.758000000000003</c:v>
                </c:pt>
                <c:pt idx="311">
                  <c:v>57.451999999999998</c:v>
                </c:pt>
                <c:pt idx="312">
                  <c:v>57.667999999999999</c:v>
                </c:pt>
                <c:pt idx="313">
                  <c:v>57.308</c:v>
                </c:pt>
                <c:pt idx="314">
                  <c:v>57.793999999999997</c:v>
                </c:pt>
                <c:pt idx="315">
                  <c:v>57.236000000000004</c:v>
                </c:pt>
                <c:pt idx="316">
                  <c:v>57.542000000000002</c:v>
                </c:pt>
                <c:pt idx="317">
                  <c:v>57.542000000000002</c:v>
                </c:pt>
                <c:pt idx="318">
                  <c:v>57.578000000000003</c:v>
                </c:pt>
                <c:pt idx="319">
                  <c:v>57.433999999999997</c:v>
                </c:pt>
                <c:pt idx="320">
                  <c:v>57.308</c:v>
                </c:pt>
                <c:pt idx="321">
                  <c:v>57.128</c:v>
                </c:pt>
                <c:pt idx="322">
                  <c:v>57.596000000000004</c:v>
                </c:pt>
                <c:pt idx="323">
                  <c:v>57.128</c:v>
                </c:pt>
                <c:pt idx="324">
                  <c:v>57.506</c:v>
                </c:pt>
                <c:pt idx="325">
                  <c:v>57.415999999999997</c:v>
                </c:pt>
                <c:pt idx="326">
                  <c:v>57.47</c:v>
                </c:pt>
                <c:pt idx="327">
                  <c:v>57.47</c:v>
                </c:pt>
                <c:pt idx="328">
                  <c:v>57.271999999999998</c:v>
                </c:pt>
                <c:pt idx="329">
                  <c:v>57.506</c:v>
                </c:pt>
                <c:pt idx="330">
                  <c:v>57.433999999999997</c:v>
                </c:pt>
                <c:pt idx="331">
                  <c:v>57.415999999999997</c:v>
                </c:pt>
                <c:pt idx="332">
                  <c:v>57.290000000000006</c:v>
                </c:pt>
                <c:pt idx="333">
                  <c:v>57.451999999999998</c:v>
                </c:pt>
                <c:pt idx="334">
                  <c:v>57.667999999999999</c:v>
                </c:pt>
                <c:pt idx="335">
                  <c:v>57.866</c:v>
                </c:pt>
                <c:pt idx="336">
                  <c:v>57.74</c:v>
                </c:pt>
                <c:pt idx="337">
                  <c:v>57.596000000000004</c:v>
                </c:pt>
                <c:pt idx="338">
                  <c:v>57.578000000000003</c:v>
                </c:pt>
                <c:pt idx="339">
                  <c:v>57.415999999999997</c:v>
                </c:pt>
                <c:pt idx="340">
                  <c:v>57.397999999999996</c:v>
                </c:pt>
                <c:pt idx="341">
                  <c:v>57.488</c:v>
                </c:pt>
                <c:pt idx="342">
                  <c:v>57.253999999999998</c:v>
                </c:pt>
                <c:pt idx="343">
                  <c:v>57.47</c:v>
                </c:pt>
                <c:pt idx="344">
                  <c:v>57.379999999999995</c:v>
                </c:pt>
                <c:pt idx="345">
                  <c:v>57.433999999999997</c:v>
                </c:pt>
                <c:pt idx="346">
                  <c:v>57.775999999999996</c:v>
                </c:pt>
                <c:pt idx="347">
                  <c:v>57.974000000000004</c:v>
                </c:pt>
                <c:pt idx="348">
                  <c:v>57.524000000000001</c:v>
                </c:pt>
                <c:pt idx="349">
                  <c:v>57.632000000000005</c:v>
                </c:pt>
                <c:pt idx="350">
                  <c:v>57.667999999999999</c:v>
                </c:pt>
                <c:pt idx="351">
                  <c:v>57.83</c:v>
                </c:pt>
                <c:pt idx="352">
                  <c:v>57.92</c:v>
                </c:pt>
                <c:pt idx="353">
                  <c:v>57.650000000000006</c:v>
                </c:pt>
                <c:pt idx="354">
                  <c:v>57.83</c:v>
                </c:pt>
                <c:pt idx="355">
                  <c:v>57.793999999999997</c:v>
                </c:pt>
                <c:pt idx="356">
                  <c:v>57.721999999999994</c:v>
                </c:pt>
                <c:pt idx="357">
                  <c:v>58.028000000000006</c:v>
                </c:pt>
                <c:pt idx="358">
                  <c:v>58.225999999999999</c:v>
                </c:pt>
                <c:pt idx="359">
                  <c:v>57.992000000000004</c:v>
                </c:pt>
                <c:pt idx="360">
                  <c:v>58.135999999999996</c:v>
                </c:pt>
                <c:pt idx="361">
                  <c:v>57.974000000000004</c:v>
                </c:pt>
                <c:pt idx="362">
                  <c:v>57.992000000000004</c:v>
                </c:pt>
                <c:pt idx="363">
                  <c:v>57.92</c:v>
                </c:pt>
                <c:pt idx="364">
                  <c:v>57.793999999999997</c:v>
                </c:pt>
                <c:pt idx="365">
                  <c:v>57.902000000000001</c:v>
                </c:pt>
                <c:pt idx="366">
                  <c:v>57.866</c:v>
                </c:pt>
                <c:pt idx="367">
                  <c:v>57.884</c:v>
                </c:pt>
                <c:pt idx="368">
                  <c:v>57.415999999999997</c:v>
                </c:pt>
                <c:pt idx="369">
                  <c:v>57.721999999999994</c:v>
                </c:pt>
                <c:pt idx="370">
                  <c:v>57.415999999999997</c:v>
                </c:pt>
                <c:pt idx="371">
                  <c:v>57.74</c:v>
                </c:pt>
                <c:pt idx="372">
                  <c:v>57.847999999999999</c:v>
                </c:pt>
                <c:pt idx="373">
                  <c:v>57.721999999999994</c:v>
                </c:pt>
                <c:pt idx="374">
                  <c:v>57.524000000000001</c:v>
                </c:pt>
                <c:pt idx="375">
                  <c:v>57.47</c:v>
                </c:pt>
                <c:pt idx="376">
                  <c:v>57.83</c:v>
                </c:pt>
                <c:pt idx="377">
                  <c:v>57.793999999999997</c:v>
                </c:pt>
                <c:pt idx="378">
                  <c:v>57.83</c:v>
                </c:pt>
                <c:pt idx="379">
                  <c:v>57.721999999999994</c:v>
                </c:pt>
                <c:pt idx="380">
                  <c:v>57.56</c:v>
                </c:pt>
                <c:pt idx="381">
                  <c:v>57.866</c:v>
                </c:pt>
                <c:pt idx="382">
                  <c:v>57.956000000000003</c:v>
                </c:pt>
                <c:pt idx="383">
                  <c:v>57.992000000000004</c:v>
                </c:pt>
                <c:pt idx="384">
                  <c:v>58.64</c:v>
                </c:pt>
                <c:pt idx="385">
                  <c:v>58.207999999999998</c:v>
                </c:pt>
                <c:pt idx="386">
                  <c:v>58.028000000000006</c:v>
                </c:pt>
                <c:pt idx="387">
                  <c:v>57.866</c:v>
                </c:pt>
                <c:pt idx="388">
                  <c:v>58.028000000000006</c:v>
                </c:pt>
                <c:pt idx="389">
                  <c:v>57.811999999999998</c:v>
                </c:pt>
                <c:pt idx="390">
                  <c:v>57.614000000000004</c:v>
                </c:pt>
                <c:pt idx="391">
                  <c:v>58.01</c:v>
                </c:pt>
                <c:pt idx="392">
                  <c:v>58.028000000000006</c:v>
                </c:pt>
                <c:pt idx="393">
                  <c:v>57.92</c:v>
                </c:pt>
                <c:pt idx="394">
                  <c:v>57.974000000000004</c:v>
                </c:pt>
                <c:pt idx="395">
                  <c:v>58.1</c:v>
                </c:pt>
                <c:pt idx="396">
                  <c:v>57.847999999999999</c:v>
                </c:pt>
                <c:pt idx="397">
                  <c:v>58.117999999999995</c:v>
                </c:pt>
                <c:pt idx="398">
                  <c:v>57.811999999999998</c:v>
                </c:pt>
                <c:pt idx="399">
                  <c:v>58.153999999999996</c:v>
                </c:pt>
                <c:pt idx="400">
                  <c:v>58.064</c:v>
                </c:pt>
                <c:pt idx="401">
                  <c:v>57.902000000000001</c:v>
                </c:pt>
                <c:pt idx="402">
                  <c:v>57.992000000000004</c:v>
                </c:pt>
                <c:pt idx="403">
                  <c:v>57.721999999999994</c:v>
                </c:pt>
                <c:pt idx="404">
                  <c:v>57.74</c:v>
                </c:pt>
                <c:pt idx="405">
                  <c:v>57.775999999999996</c:v>
                </c:pt>
                <c:pt idx="406">
                  <c:v>58.064</c:v>
                </c:pt>
                <c:pt idx="407">
                  <c:v>57.92</c:v>
                </c:pt>
                <c:pt idx="408">
                  <c:v>58.064</c:v>
                </c:pt>
                <c:pt idx="409">
                  <c:v>57.704000000000001</c:v>
                </c:pt>
                <c:pt idx="410">
                  <c:v>57.758000000000003</c:v>
                </c:pt>
                <c:pt idx="411">
                  <c:v>57.667999999999999</c:v>
                </c:pt>
                <c:pt idx="412">
                  <c:v>57.362000000000002</c:v>
                </c:pt>
                <c:pt idx="413">
                  <c:v>57.344000000000001</c:v>
                </c:pt>
                <c:pt idx="414">
                  <c:v>57.182000000000002</c:v>
                </c:pt>
                <c:pt idx="415">
                  <c:v>57.326000000000001</c:v>
                </c:pt>
                <c:pt idx="416">
                  <c:v>57.253999999999998</c:v>
                </c:pt>
                <c:pt idx="417">
                  <c:v>57.596000000000004</c:v>
                </c:pt>
                <c:pt idx="418">
                  <c:v>57.83</c:v>
                </c:pt>
                <c:pt idx="419">
                  <c:v>57.866</c:v>
                </c:pt>
                <c:pt idx="420">
                  <c:v>57.847999999999999</c:v>
                </c:pt>
                <c:pt idx="421">
                  <c:v>57.704000000000001</c:v>
                </c:pt>
                <c:pt idx="422">
                  <c:v>57.704000000000001</c:v>
                </c:pt>
                <c:pt idx="423">
                  <c:v>57.614000000000004</c:v>
                </c:pt>
                <c:pt idx="424">
                  <c:v>57.650000000000006</c:v>
                </c:pt>
                <c:pt idx="425">
                  <c:v>57.397999999999996</c:v>
                </c:pt>
                <c:pt idx="426">
                  <c:v>57.397999999999996</c:v>
                </c:pt>
                <c:pt idx="427">
                  <c:v>57.632000000000005</c:v>
                </c:pt>
                <c:pt idx="428">
                  <c:v>57.271999999999998</c:v>
                </c:pt>
                <c:pt idx="429">
                  <c:v>57.524000000000001</c:v>
                </c:pt>
                <c:pt idx="430">
                  <c:v>57.667999999999999</c:v>
                </c:pt>
                <c:pt idx="431">
                  <c:v>57.236000000000004</c:v>
                </c:pt>
                <c:pt idx="432">
                  <c:v>57.721999999999994</c:v>
                </c:pt>
                <c:pt idx="433">
                  <c:v>57.938000000000002</c:v>
                </c:pt>
                <c:pt idx="434">
                  <c:v>57.704000000000001</c:v>
                </c:pt>
                <c:pt idx="435">
                  <c:v>57.974000000000004</c:v>
                </c:pt>
                <c:pt idx="436">
                  <c:v>57.74</c:v>
                </c:pt>
                <c:pt idx="437">
                  <c:v>57.596000000000004</c:v>
                </c:pt>
                <c:pt idx="438">
                  <c:v>57.758000000000003</c:v>
                </c:pt>
                <c:pt idx="439">
                  <c:v>57.974000000000004</c:v>
                </c:pt>
                <c:pt idx="440">
                  <c:v>58.01</c:v>
                </c:pt>
                <c:pt idx="441">
                  <c:v>57.902000000000001</c:v>
                </c:pt>
                <c:pt idx="442">
                  <c:v>58.153999999999996</c:v>
                </c:pt>
                <c:pt idx="443">
                  <c:v>58.622</c:v>
                </c:pt>
                <c:pt idx="444">
                  <c:v>58.046000000000006</c:v>
                </c:pt>
                <c:pt idx="445">
                  <c:v>58.046000000000006</c:v>
                </c:pt>
                <c:pt idx="446">
                  <c:v>57.686</c:v>
                </c:pt>
                <c:pt idx="447">
                  <c:v>57.974000000000004</c:v>
                </c:pt>
                <c:pt idx="448">
                  <c:v>58.028000000000006</c:v>
                </c:pt>
                <c:pt idx="449">
                  <c:v>58.01</c:v>
                </c:pt>
                <c:pt idx="450">
                  <c:v>57.793999999999997</c:v>
                </c:pt>
                <c:pt idx="451">
                  <c:v>58.028000000000006</c:v>
                </c:pt>
                <c:pt idx="452">
                  <c:v>58.01</c:v>
                </c:pt>
                <c:pt idx="453">
                  <c:v>57.667999999999999</c:v>
                </c:pt>
                <c:pt idx="454">
                  <c:v>57.632000000000005</c:v>
                </c:pt>
                <c:pt idx="455">
                  <c:v>58.028000000000006</c:v>
                </c:pt>
                <c:pt idx="456">
                  <c:v>57.793999999999997</c:v>
                </c:pt>
                <c:pt idx="457">
                  <c:v>57.793999999999997</c:v>
                </c:pt>
                <c:pt idx="458">
                  <c:v>57.686</c:v>
                </c:pt>
                <c:pt idx="459">
                  <c:v>57.667999999999999</c:v>
                </c:pt>
                <c:pt idx="460">
                  <c:v>57.866</c:v>
                </c:pt>
                <c:pt idx="461">
                  <c:v>58.064</c:v>
                </c:pt>
                <c:pt idx="462">
                  <c:v>57.667999999999999</c:v>
                </c:pt>
                <c:pt idx="463">
                  <c:v>57.596000000000004</c:v>
                </c:pt>
                <c:pt idx="464">
                  <c:v>57.956000000000003</c:v>
                </c:pt>
                <c:pt idx="465">
                  <c:v>57.866</c:v>
                </c:pt>
                <c:pt idx="466">
                  <c:v>57.775999999999996</c:v>
                </c:pt>
                <c:pt idx="467">
                  <c:v>57.938000000000002</c:v>
                </c:pt>
                <c:pt idx="468">
                  <c:v>58.135999999999996</c:v>
                </c:pt>
                <c:pt idx="469">
                  <c:v>57.811999999999998</c:v>
                </c:pt>
                <c:pt idx="470">
                  <c:v>57.83</c:v>
                </c:pt>
                <c:pt idx="471">
                  <c:v>58.19</c:v>
                </c:pt>
                <c:pt idx="472">
                  <c:v>57.811999999999998</c:v>
                </c:pt>
                <c:pt idx="473">
                  <c:v>57.938000000000002</c:v>
                </c:pt>
                <c:pt idx="474">
                  <c:v>58.135999999999996</c:v>
                </c:pt>
                <c:pt idx="475">
                  <c:v>58.298000000000002</c:v>
                </c:pt>
                <c:pt idx="476">
                  <c:v>58.370000000000005</c:v>
                </c:pt>
                <c:pt idx="477">
                  <c:v>58.262</c:v>
                </c:pt>
                <c:pt idx="478">
                  <c:v>58.244</c:v>
                </c:pt>
                <c:pt idx="479">
                  <c:v>58.784000000000006</c:v>
                </c:pt>
                <c:pt idx="480">
                  <c:v>58.334000000000003</c:v>
                </c:pt>
                <c:pt idx="481">
                  <c:v>58.352000000000004</c:v>
                </c:pt>
                <c:pt idx="482">
                  <c:v>58.423999999999999</c:v>
                </c:pt>
                <c:pt idx="483">
                  <c:v>58.585999999999999</c:v>
                </c:pt>
                <c:pt idx="484">
                  <c:v>58.388000000000005</c:v>
                </c:pt>
                <c:pt idx="485">
                  <c:v>58.370000000000005</c:v>
                </c:pt>
                <c:pt idx="486">
                  <c:v>57.956000000000003</c:v>
                </c:pt>
                <c:pt idx="487">
                  <c:v>57.956000000000003</c:v>
                </c:pt>
                <c:pt idx="488">
                  <c:v>57.974000000000004</c:v>
                </c:pt>
                <c:pt idx="489">
                  <c:v>58.19</c:v>
                </c:pt>
                <c:pt idx="490">
                  <c:v>58.064</c:v>
                </c:pt>
                <c:pt idx="491">
                  <c:v>58.352000000000004</c:v>
                </c:pt>
                <c:pt idx="492">
                  <c:v>57.793999999999997</c:v>
                </c:pt>
                <c:pt idx="493">
                  <c:v>57.775999999999996</c:v>
                </c:pt>
                <c:pt idx="494">
                  <c:v>57.667999999999999</c:v>
                </c:pt>
                <c:pt idx="495">
                  <c:v>57.847999999999999</c:v>
                </c:pt>
                <c:pt idx="496">
                  <c:v>57.902000000000001</c:v>
                </c:pt>
                <c:pt idx="497">
                  <c:v>57.758000000000003</c:v>
                </c:pt>
                <c:pt idx="498">
                  <c:v>57.902000000000001</c:v>
                </c:pt>
                <c:pt idx="499">
                  <c:v>57.811999999999998</c:v>
                </c:pt>
                <c:pt idx="500">
                  <c:v>57.866</c:v>
                </c:pt>
                <c:pt idx="501">
                  <c:v>57.92</c:v>
                </c:pt>
                <c:pt idx="502">
                  <c:v>57.650000000000006</c:v>
                </c:pt>
                <c:pt idx="503">
                  <c:v>58.207999999999998</c:v>
                </c:pt>
                <c:pt idx="504">
                  <c:v>58.19</c:v>
                </c:pt>
                <c:pt idx="505">
                  <c:v>58.207999999999998</c:v>
                </c:pt>
                <c:pt idx="506">
                  <c:v>57.83</c:v>
                </c:pt>
                <c:pt idx="507">
                  <c:v>57.92</c:v>
                </c:pt>
                <c:pt idx="508">
                  <c:v>57.902000000000001</c:v>
                </c:pt>
                <c:pt idx="509">
                  <c:v>57.956000000000003</c:v>
                </c:pt>
                <c:pt idx="510">
                  <c:v>57.902000000000001</c:v>
                </c:pt>
                <c:pt idx="511">
                  <c:v>57.686</c:v>
                </c:pt>
                <c:pt idx="512">
                  <c:v>57.74</c:v>
                </c:pt>
                <c:pt idx="513">
                  <c:v>57.704000000000001</c:v>
                </c:pt>
                <c:pt idx="514">
                  <c:v>58.01</c:v>
                </c:pt>
                <c:pt idx="515">
                  <c:v>57.992000000000004</c:v>
                </c:pt>
                <c:pt idx="516">
                  <c:v>58.19</c:v>
                </c:pt>
                <c:pt idx="517">
                  <c:v>58.1</c:v>
                </c:pt>
                <c:pt idx="518">
                  <c:v>58.225999999999999</c:v>
                </c:pt>
                <c:pt idx="519">
                  <c:v>58.153999999999996</c:v>
                </c:pt>
                <c:pt idx="520">
                  <c:v>58.262</c:v>
                </c:pt>
                <c:pt idx="521">
                  <c:v>58.064</c:v>
                </c:pt>
                <c:pt idx="522">
                  <c:v>58.135999999999996</c:v>
                </c:pt>
                <c:pt idx="523">
                  <c:v>58.1</c:v>
                </c:pt>
                <c:pt idx="524">
                  <c:v>58.496000000000002</c:v>
                </c:pt>
                <c:pt idx="525">
                  <c:v>58.19</c:v>
                </c:pt>
                <c:pt idx="526">
                  <c:v>58.585999999999999</c:v>
                </c:pt>
                <c:pt idx="527">
                  <c:v>58.603999999999999</c:v>
                </c:pt>
                <c:pt idx="528">
                  <c:v>58.784000000000006</c:v>
                </c:pt>
                <c:pt idx="529">
                  <c:v>58.244</c:v>
                </c:pt>
                <c:pt idx="530">
                  <c:v>58.352000000000004</c:v>
                </c:pt>
                <c:pt idx="531">
                  <c:v>58.153999999999996</c:v>
                </c:pt>
                <c:pt idx="532">
                  <c:v>58.298000000000002</c:v>
                </c:pt>
                <c:pt idx="533">
                  <c:v>58.153999999999996</c:v>
                </c:pt>
                <c:pt idx="534">
                  <c:v>58.352000000000004</c:v>
                </c:pt>
                <c:pt idx="535">
                  <c:v>58.171999999999997</c:v>
                </c:pt>
                <c:pt idx="536">
                  <c:v>58.262</c:v>
                </c:pt>
                <c:pt idx="537">
                  <c:v>57.992000000000004</c:v>
                </c:pt>
                <c:pt idx="538">
                  <c:v>58.55</c:v>
                </c:pt>
                <c:pt idx="539">
                  <c:v>58.244</c:v>
                </c:pt>
                <c:pt idx="540">
                  <c:v>58.28</c:v>
                </c:pt>
                <c:pt idx="541">
                  <c:v>58.19</c:v>
                </c:pt>
                <c:pt idx="542">
                  <c:v>58.28</c:v>
                </c:pt>
                <c:pt idx="543">
                  <c:v>58.064</c:v>
                </c:pt>
                <c:pt idx="544">
                  <c:v>58.244</c:v>
                </c:pt>
                <c:pt idx="545">
                  <c:v>58.352000000000004</c:v>
                </c:pt>
                <c:pt idx="546">
                  <c:v>58.316000000000003</c:v>
                </c:pt>
                <c:pt idx="547">
                  <c:v>58.496000000000002</c:v>
                </c:pt>
                <c:pt idx="548">
                  <c:v>58.153999999999996</c:v>
                </c:pt>
                <c:pt idx="549">
                  <c:v>58.55</c:v>
                </c:pt>
                <c:pt idx="550">
                  <c:v>58.244</c:v>
                </c:pt>
                <c:pt idx="551">
                  <c:v>58.496000000000002</c:v>
                </c:pt>
                <c:pt idx="552">
                  <c:v>58.334000000000003</c:v>
                </c:pt>
                <c:pt idx="553">
                  <c:v>58.298000000000002</c:v>
                </c:pt>
                <c:pt idx="554">
                  <c:v>57.866</c:v>
                </c:pt>
                <c:pt idx="555">
                  <c:v>57.992000000000004</c:v>
                </c:pt>
                <c:pt idx="556">
                  <c:v>57.667999999999999</c:v>
                </c:pt>
                <c:pt idx="557">
                  <c:v>58.01</c:v>
                </c:pt>
                <c:pt idx="558">
                  <c:v>58.1</c:v>
                </c:pt>
                <c:pt idx="559">
                  <c:v>58.298000000000002</c:v>
                </c:pt>
                <c:pt idx="560">
                  <c:v>58.514000000000003</c:v>
                </c:pt>
                <c:pt idx="561">
                  <c:v>58.117999999999995</c:v>
                </c:pt>
                <c:pt idx="562">
                  <c:v>58.55</c:v>
                </c:pt>
                <c:pt idx="563">
                  <c:v>58.28</c:v>
                </c:pt>
                <c:pt idx="564">
                  <c:v>58.531999999999996</c:v>
                </c:pt>
                <c:pt idx="565">
                  <c:v>58.405999999999999</c:v>
                </c:pt>
                <c:pt idx="566">
                  <c:v>58.334000000000003</c:v>
                </c:pt>
                <c:pt idx="567">
                  <c:v>58.370000000000005</c:v>
                </c:pt>
                <c:pt idx="568">
                  <c:v>58.298000000000002</c:v>
                </c:pt>
                <c:pt idx="569">
                  <c:v>58.28</c:v>
                </c:pt>
                <c:pt idx="570">
                  <c:v>58.496000000000002</c:v>
                </c:pt>
                <c:pt idx="571">
                  <c:v>58.567999999999998</c:v>
                </c:pt>
                <c:pt idx="572">
                  <c:v>58.531999999999996</c:v>
                </c:pt>
                <c:pt idx="573">
                  <c:v>58.423999999999999</c:v>
                </c:pt>
                <c:pt idx="574">
                  <c:v>58.207999999999998</c:v>
                </c:pt>
                <c:pt idx="575">
                  <c:v>58.531999999999996</c:v>
                </c:pt>
                <c:pt idx="576">
                  <c:v>58.334000000000003</c:v>
                </c:pt>
                <c:pt idx="577">
                  <c:v>58.046000000000006</c:v>
                </c:pt>
                <c:pt idx="578">
                  <c:v>58.064</c:v>
                </c:pt>
                <c:pt idx="579">
                  <c:v>58.405999999999999</c:v>
                </c:pt>
                <c:pt idx="580">
                  <c:v>58.171999999999997</c:v>
                </c:pt>
                <c:pt idx="581">
                  <c:v>58.478000000000002</c:v>
                </c:pt>
                <c:pt idx="582">
                  <c:v>58.388000000000005</c:v>
                </c:pt>
                <c:pt idx="583">
                  <c:v>58.478000000000002</c:v>
                </c:pt>
                <c:pt idx="584">
                  <c:v>58.514000000000003</c:v>
                </c:pt>
                <c:pt idx="585">
                  <c:v>58.622</c:v>
                </c:pt>
                <c:pt idx="586">
                  <c:v>59.018000000000001</c:v>
                </c:pt>
                <c:pt idx="587">
                  <c:v>58.46</c:v>
                </c:pt>
                <c:pt idx="588">
                  <c:v>58.478000000000002</c:v>
                </c:pt>
                <c:pt idx="589">
                  <c:v>58.585999999999999</c:v>
                </c:pt>
                <c:pt idx="590">
                  <c:v>58.442</c:v>
                </c:pt>
                <c:pt idx="591">
                  <c:v>58.298000000000002</c:v>
                </c:pt>
                <c:pt idx="592">
                  <c:v>58.28</c:v>
                </c:pt>
                <c:pt idx="593">
                  <c:v>58.28</c:v>
                </c:pt>
                <c:pt idx="594">
                  <c:v>58.28</c:v>
                </c:pt>
                <c:pt idx="595">
                  <c:v>58.262</c:v>
                </c:pt>
                <c:pt idx="596">
                  <c:v>58.262</c:v>
                </c:pt>
                <c:pt idx="597">
                  <c:v>58.1</c:v>
                </c:pt>
                <c:pt idx="598">
                  <c:v>57.74</c:v>
                </c:pt>
                <c:pt idx="599">
                  <c:v>57.884</c:v>
                </c:pt>
                <c:pt idx="600">
                  <c:v>58.55</c:v>
                </c:pt>
                <c:pt idx="601">
                  <c:v>58.171999999999997</c:v>
                </c:pt>
                <c:pt idx="602">
                  <c:v>58.1</c:v>
                </c:pt>
                <c:pt idx="603">
                  <c:v>58.1</c:v>
                </c:pt>
                <c:pt idx="604">
                  <c:v>58.28</c:v>
                </c:pt>
                <c:pt idx="605">
                  <c:v>58.01</c:v>
                </c:pt>
                <c:pt idx="606">
                  <c:v>58.28</c:v>
                </c:pt>
                <c:pt idx="607">
                  <c:v>58.405999999999999</c:v>
                </c:pt>
                <c:pt idx="608">
                  <c:v>58.442</c:v>
                </c:pt>
                <c:pt idx="609">
                  <c:v>58.171999999999997</c:v>
                </c:pt>
                <c:pt idx="610">
                  <c:v>58.370000000000005</c:v>
                </c:pt>
                <c:pt idx="611">
                  <c:v>58.153999999999996</c:v>
                </c:pt>
                <c:pt idx="612">
                  <c:v>58.153999999999996</c:v>
                </c:pt>
                <c:pt idx="613">
                  <c:v>58.298000000000002</c:v>
                </c:pt>
                <c:pt idx="614">
                  <c:v>58.370000000000005</c:v>
                </c:pt>
                <c:pt idx="615">
                  <c:v>58.334000000000003</c:v>
                </c:pt>
                <c:pt idx="616">
                  <c:v>58.531999999999996</c:v>
                </c:pt>
                <c:pt idx="617">
                  <c:v>58.442</c:v>
                </c:pt>
                <c:pt idx="618">
                  <c:v>58.496000000000002</c:v>
                </c:pt>
                <c:pt idx="619">
                  <c:v>58.370000000000005</c:v>
                </c:pt>
                <c:pt idx="620">
                  <c:v>58.64</c:v>
                </c:pt>
                <c:pt idx="621">
                  <c:v>58.405999999999999</c:v>
                </c:pt>
                <c:pt idx="622">
                  <c:v>58.55</c:v>
                </c:pt>
                <c:pt idx="623">
                  <c:v>58.712000000000003</c:v>
                </c:pt>
                <c:pt idx="624">
                  <c:v>58.856000000000002</c:v>
                </c:pt>
                <c:pt idx="625">
                  <c:v>58.730000000000004</c:v>
                </c:pt>
                <c:pt idx="626">
                  <c:v>58.55</c:v>
                </c:pt>
                <c:pt idx="627">
                  <c:v>58.423999999999999</c:v>
                </c:pt>
                <c:pt idx="628">
                  <c:v>58.334000000000003</c:v>
                </c:pt>
                <c:pt idx="629">
                  <c:v>58.405999999999999</c:v>
                </c:pt>
                <c:pt idx="630">
                  <c:v>58.334000000000003</c:v>
                </c:pt>
                <c:pt idx="631">
                  <c:v>58.478000000000002</c:v>
                </c:pt>
                <c:pt idx="632">
                  <c:v>58.658000000000001</c:v>
                </c:pt>
                <c:pt idx="633">
                  <c:v>58.01</c:v>
                </c:pt>
                <c:pt idx="634">
                  <c:v>58.135999999999996</c:v>
                </c:pt>
                <c:pt idx="635">
                  <c:v>58.046000000000006</c:v>
                </c:pt>
                <c:pt idx="636">
                  <c:v>58.370000000000005</c:v>
                </c:pt>
                <c:pt idx="637">
                  <c:v>58.352000000000004</c:v>
                </c:pt>
                <c:pt idx="638">
                  <c:v>58.153999999999996</c:v>
                </c:pt>
                <c:pt idx="639">
                  <c:v>58.316000000000003</c:v>
                </c:pt>
                <c:pt idx="640">
                  <c:v>58.478000000000002</c:v>
                </c:pt>
                <c:pt idx="641">
                  <c:v>58.531999999999996</c:v>
                </c:pt>
                <c:pt idx="642">
                  <c:v>58.207999999999998</c:v>
                </c:pt>
                <c:pt idx="643">
                  <c:v>58.370000000000005</c:v>
                </c:pt>
                <c:pt idx="644">
                  <c:v>58.28</c:v>
                </c:pt>
                <c:pt idx="645">
                  <c:v>58.28</c:v>
                </c:pt>
                <c:pt idx="646">
                  <c:v>58.046000000000006</c:v>
                </c:pt>
                <c:pt idx="647">
                  <c:v>58.064</c:v>
                </c:pt>
                <c:pt idx="648">
                  <c:v>58.225999999999999</c:v>
                </c:pt>
                <c:pt idx="649">
                  <c:v>58.514000000000003</c:v>
                </c:pt>
                <c:pt idx="650">
                  <c:v>58.603999999999999</c:v>
                </c:pt>
                <c:pt idx="651">
                  <c:v>58.370000000000005</c:v>
                </c:pt>
                <c:pt idx="652">
                  <c:v>58.262</c:v>
                </c:pt>
                <c:pt idx="653">
                  <c:v>58.388000000000005</c:v>
                </c:pt>
                <c:pt idx="654">
                  <c:v>58.496000000000002</c:v>
                </c:pt>
                <c:pt idx="655">
                  <c:v>58.64</c:v>
                </c:pt>
                <c:pt idx="656">
                  <c:v>58.603999999999999</c:v>
                </c:pt>
                <c:pt idx="657">
                  <c:v>58.153999999999996</c:v>
                </c:pt>
                <c:pt idx="658">
                  <c:v>58.478000000000002</c:v>
                </c:pt>
                <c:pt idx="659">
                  <c:v>58.316000000000003</c:v>
                </c:pt>
                <c:pt idx="660">
                  <c:v>58.405999999999999</c:v>
                </c:pt>
                <c:pt idx="661">
                  <c:v>58.153999999999996</c:v>
                </c:pt>
                <c:pt idx="662">
                  <c:v>58.28</c:v>
                </c:pt>
                <c:pt idx="663">
                  <c:v>58.46</c:v>
                </c:pt>
                <c:pt idx="664">
                  <c:v>58.28</c:v>
                </c:pt>
                <c:pt idx="665">
                  <c:v>58.46</c:v>
                </c:pt>
                <c:pt idx="666">
                  <c:v>58.585999999999999</c:v>
                </c:pt>
                <c:pt idx="667">
                  <c:v>58.442</c:v>
                </c:pt>
                <c:pt idx="668">
                  <c:v>58.694000000000003</c:v>
                </c:pt>
                <c:pt idx="669">
                  <c:v>58.46</c:v>
                </c:pt>
                <c:pt idx="670">
                  <c:v>58.567999999999998</c:v>
                </c:pt>
                <c:pt idx="671">
                  <c:v>58.19</c:v>
                </c:pt>
                <c:pt idx="672">
                  <c:v>58.603999999999999</c:v>
                </c:pt>
                <c:pt idx="673">
                  <c:v>58.658000000000001</c:v>
                </c:pt>
                <c:pt idx="674">
                  <c:v>58.765999999999998</c:v>
                </c:pt>
                <c:pt idx="675">
                  <c:v>58.405999999999999</c:v>
                </c:pt>
                <c:pt idx="676">
                  <c:v>58.244</c:v>
                </c:pt>
                <c:pt idx="677">
                  <c:v>58.694000000000003</c:v>
                </c:pt>
                <c:pt idx="678">
                  <c:v>58.784000000000006</c:v>
                </c:pt>
                <c:pt idx="679">
                  <c:v>58.64</c:v>
                </c:pt>
                <c:pt idx="680">
                  <c:v>58.405999999999999</c:v>
                </c:pt>
                <c:pt idx="681">
                  <c:v>58.622</c:v>
                </c:pt>
                <c:pt idx="682">
                  <c:v>58.748000000000005</c:v>
                </c:pt>
                <c:pt idx="683">
                  <c:v>58.838000000000001</c:v>
                </c:pt>
                <c:pt idx="684">
                  <c:v>58.927999999999997</c:v>
                </c:pt>
                <c:pt idx="685">
                  <c:v>58.55</c:v>
                </c:pt>
                <c:pt idx="686">
                  <c:v>58.64</c:v>
                </c:pt>
                <c:pt idx="687">
                  <c:v>58.676000000000002</c:v>
                </c:pt>
                <c:pt idx="688">
                  <c:v>58.514000000000003</c:v>
                </c:pt>
                <c:pt idx="689">
                  <c:v>58.64</c:v>
                </c:pt>
                <c:pt idx="690">
                  <c:v>58.712000000000003</c:v>
                </c:pt>
                <c:pt idx="691">
                  <c:v>59.144000000000005</c:v>
                </c:pt>
                <c:pt idx="692">
                  <c:v>59.108000000000004</c:v>
                </c:pt>
                <c:pt idx="693">
                  <c:v>59.305999999999997</c:v>
                </c:pt>
                <c:pt idx="694">
                  <c:v>59.323999999999998</c:v>
                </c:pt>
                <c:pt idx="695">
                  <c:v>59.666000000000004</c:v>
                </c:pt>
                <c:pt idx="696">
                  <c:v>59.629999999999995</c:v>
                </c:pt>
                <c:pt idx="697">
                  <c:v>59.161999999999999</c:v>
                </c:pt>
                <c:pt idx="698">
                  <c:v>58.927999999999997</c:v>
                </c:pt>
                <c:pt idx="699">
                  <c:v>58.658000000000001</c:v>
                </c:pt>
                <c:pt idx="700">
                  <c:v>58.712000000000003</c:v>
                </c:pt>
                <c:pt idx="701">
                  <c:v>59.018000000000001</c:v>
                </c:pt>
                <c:pt idx="702">
                  <c:v>58.82</c:v>
                </c:pt>
                <c:pt idx="703">
                  <c:v>58.765999999999998</c:v>
                </c:pt>
                <c:pt idx="704">
                  <c:v>58.838000000000001</c:v>
                </c:pt>
                <c:pt idx="705">
                  <c:v>58.748000000000005</c:v>
                </c:pt>
                <c:pt idx="706">
                  <c:v>59.036000000000001</c:v>
                </c:pt>
                <c:pt idx="707">
                  <c:v>59.233999999999995</c:v>
                </c:pt>
                <c:pt idx="708">
                  <c:v>59.287999999999997</c:v>
                </c:pt>
                <c:pt idx="709">
                  <c:v>58.891999999999996</c:v>
                </c:pt>
                <c:pt idx="710">
                  <c:v>58.838000000000001</c:v>
                </c:pt>
                <c:pt idx="711">
                  <c:v>58.478000000000002</c:v>
                </c:pt>
                <c:pt idx="712">
                  <c:v>58.676000000000002</c:v>
                </c:pt>
                <c:pt idx="713">
                  <c:v>58.765999999999998</c:v>
                </c:pt>
                <c:pt idx="714">
                  <c:v>58.531999999999996</c:v>
                </c:pt>
                <c:pt idx="715">
                  <c:v>58.784000000000006</c:v>
                </c:pt>
                <c:pt idx="716">
                  <c:v>58.765999999999998</c:v>
                </c:pt>
                <c:pt idx="717">
                  <c:v>58.873999999999995</c:v>
                </c:pt>
                <c:pt idx="718">
                  <c:v>58.676000000000002</c:v>
                </c:pt>
                <c:pt idx="719">
                  <c:v>58.730000000000004</c:v>
                </c:pt>
                <c:pt idx="720">
                  <c:v>58.784000000000006</c:v>
                </c:pt>
                <c:pt idx="721">
                  <c:v>58.784000000000006</c:v>
                </c:pt>
                <c:pt idx="722">
                  <c:v>58.658000000000001</c:v>
                </c:pt>
                <c:pt idx="723">
                  <c:v>58.585999999999999</c:v>
                </c:pt>
                <c:pt idx="724">
                  <c:v>58.712000000000003</c:v>
                </c:pt>
                <c:pt idx="725">
                  <c:v>58.603999999999999</c:v>
                </c:pt>
                <c:pt idx="726">
                  <c:v>58.64</c:v>
                </c:pt>
                <c:pt idx="727">
                  <c:v>59.036000000000001</c:v>
                </c:pt>
                <c:pt idx="728">
                  <c:v>58.694000000000003</c:v>
                </c:pt>
                <c:pt idx="729">
                  <c:v>58.873999999999995</c:v>
                </c:pt>
                <c:pt idx="730">
                  <c:v>58.873999999999995</c:v>
                </c:pt>
                <c:pt idx="731">
                  <c:v>58.927999999999997</c:v>
                </c:pt>
                <c:pt idx="732">
                  <c:v>59.305999999999997</c:v>
                </c:pt>
                <c:pt idx="733">
                  <c:v>59.018000000000001</c:v>
                </c:pt>
                <c:pt idx="734">
                  <c:v>58.748000000000005</c:v>
                </c:pt>
                <c:pt idx="735">
                  <c:v>58.82</c:v>
                </c:pt>
                <c:pt idx="736">
                  <c:v>58.891999999999996</c:v>
                </c:pt>
                <c:pt idx="737">
                  <c:v>58.91</c:v>
                </c:pt>
                <c:pt idx="738">
                  <c:v>58.873999999999995</c:v>
                </c:pt>
                <c:pt idx="739">
                  <c:v>59</c:v>
                </c:pt>
                <c:pt idx="740">
                  <c:v>58.981999999999999</c:v>
                </c:pt>
                <c:pt idx="741">
                  <c:v>59.216000000000001</c:v>
                </c:pt>
                <c:pt idx="742">
                  <c:v>59.323999999999998</c:v>
                </c:pt>
                <c:pt idx="743">
                  <c:v>59.432000000000002</c:v>
                </c:pt>
                <c:pt idx="744">
                  <c:v>59.323999999999998</c:v>
                </c:pt>
                <c:pt idx="745">
                  <c:v>59.216000000000001</c:v>
                </c:pt>
                <c:pt idx="746">
                  <c:v>58.981999999999999</c:v>
                </c:pt>
                <c:pt idx="747">
                  <c:v>58.838000000000001</c:v>
                </c:pt>
                <c:pt idx="748">
                  <c:v>58.802000000000007</c:v>
                </c:pt>
                <c:pt idx="749">
                  <c:v>58.748000000000005</c:v>
                </c:pt>
                <c:pt idx="750">
                  <c:v>58.927999999999997</c:v>
                </c:pt>
                <c:pt idx="751">
                  <c:v>58.765999999999998</c:v>
                </c:pt>
                <c:pt idx="752">
                  <c:v>59.161999999999999</c:v>
                </c:pt>
                <c:pt idx="753">
                  <c:v>58.64</c:v>
                </c:pt>
                <c:pt idx="754">
                  <c:v>58.676000000000002</c:v>
                </c:pt>
                <c:pt idx="755">
                  <c:v>58.352000000000004</c:v>
                </c:pt>
                <c:pt idx="756">
                  <c:v>58.802000000000007</c:v>
                </c:pt>
                <c:pt idx="757">
                  <c:v>58.567999999999998</c:v>
                </c:pt>
                <c:pt idx="758">
                  <c:v>58.622</c:v>
                </c:pt>
                <c:pt idx="759">
                  <c:v>58.730000000000004</c:v>
                </c:pt>
                <c:pt idx="760">
                  <c:v>58.856000000000002</c:v>
                </c:pt>
                <c:pt idx="761">
                  <c:v>58.658000000000001</c:v>
                </c:pt>
                <c:pt idx="762">
                  <c:v>58.856000000000002</c:v>
                </c:pt>
                <c:pt idx="763">
                  <c:v>58.963999999999999</c:v>
                </c:pt>
                <c:pt idx="764">
                  <c:v>58.873999999999995</c:v>
                </c:pt>
                <c:pt idx="765">
                  <c:v>58.784000000000006</c:v>
                </c:pt>
                <c:pt idx="766">
                  <c:v>58.838000000000001</c:v>
                </c:pt>
                <c:pt idx="767">
                  <c:v>58.802000000000007</c:v>
                </c:pt>
                <c:pt idx="768">
                  <c:v>59.09</c:v>
                </c:pt>
                <c:pt idx="769">
                  <c:v>58.694000000000003</c:v>
                </c:pt>
                <c:pt idx="770">
                  <c:v>58.712000000000003</c:v>
                </c:pt>
                <c:pt idx="771">
                  <c:v>58.873999999999995</c:v>
                </c:pt>
                <c:pt idx="772">
                  <c:v>58.891999999999996</c:v>
                </c:pt>
                <c:pt idx="773">
                  <c:v>58.891999999999996</c:v>
                </c:pt>
                <c:pt idx="774">
                  <c:v>58.784000000000006</c:v>
                </c:pt>
                <c:pt idx="775">
                  <c:v>58.945999999999998</c:v>
                </c:pt>
                <c:pt idx="776">
                  <c:v>58.514000000000003</c:v>
                </c:pt>
                <c:pt idx="777">
                  <c:v>58.64</c:v>
                </c:pt>
                <c:pt idx="778">
                  <c:v>58.784000000000006</c:v>
                </c:pt>
                <c:pt idx="779">
                  <c:v>58.945999999999998</c:v>
                </c:pt>
                <c:pt idx="780">
                  <c:v>59.414000000000001</c:v>
                </c:pt>
                <c:pt idx="781">
                  <c:v>58.981999999999999</c:v>
                </c:pt>
                <c:pt idx="782">
                  <c:v>58.891999999999996</c:v>
                </c:pt>
                <c:pt idx="783">
                  <c:v>59.161999999999999</c:v>
                </c:pt>
                <c:pt idx="784">
                  <c:v>59.341999999999999</c:v>
                </c:pt>
                <c:pt idx="785">
                  <c:v>59.341999999999999</c:v>
                </c:pt>
                <c:pt idx="786">
                  <c:v>59.864000000000004</c:v>
                </c:pt>
                <c:pt idx="787">
                  <c:v>59.629999999999995</c:v>
                </c:pt>
                <c:pt idx="788">
                  <c:v>59.72</c:v>
                </c:pt>
                <c:pt idx="789">
                  <c:v>59.647999999999996</c:v>
                </c:pt>
                <c:pt idx="790">
                  <c:v>59.45</c:v>
                </c:pt>
                <c:pt idx="791">
                  <c:v>59.792000000000002</c:v>
                </c:pt>
                <c:pt idx="792">
                  <c:v>59.72</c:v>
                </c:pt>
                <c:pt idx="793">
                  <c:v>59.576000000000001</c:v>
                </c:pt>
                <c:pt idx="794">
                  <c:v>59.287999999999997</c:v>
                </c:pt>
                <c:pt idx="795">
                  <c:v>59.414000000000001</c:v>
                </c:pt>
                <c:pt idx="796">
                  <c:v>59.36</c:v>
                </c:pt>
                <c:pt idx="797">
                  <c:v>59.540000000000006</c:v>
                </c:pt>
                <c:pt idx="798">
                  <c:v>59.378</c:v>
                </c:pt>
                <c:pt idx="799">
                  <c:v>59.629999999999995</c:v>
                </c:pt>
                <c:pt idx="800">
                  <c:v>59.540000000000006</c:v>
                </c:pt>
                <c:pt idx="801">
                  <c:v>59.486000000000004</c:v>
                </c:pt>
                <c:pt idx="802">
                  <c:v>59.683999999999997</c:v>
                </c:pt>
                <c:pt idx="803">
                  <c:v>59.468000000000004</c:v>
                </c:pt>
                <c:pt idx="804">
                  <c:v>59.666000000000004</c:v>
                </c:pt>
                <c:pt idx="805">
                  <c:v>59.45</c:v>
                </c:pt>
                <c:pt idx="806">
                  <c:v>59.144000000000005</c:v>
                </c:pt>
                <c:pt idx="807">
                  <c:v>59.126000000000005</c:v>
                </c:pt>
                <c:pt idx="808">
                  <c:v>59.036000000000001</c:v>
                </c:pt>
                <c:pt idx="809">
                  <c:v>59.323999999999998</c:v>
                </c:pt>
                <c:pt idx="810">
                  <c:v>59.45</c:v>
                </c:pt>
                <c:pt idx="811">
                  <c:v>59.341999999999999</c:v>
                </c:pt>
                <c:pt idx="812">
                  <c:v>59.378</c:v>
                </c:pt>
                <c:pt idx="813">
                  <c:v>59.108000000000004</c:v>
                </c:pt>
                <c:pt idx="814">
                  <c:v>59.161999999999999</c:v>
                </c:pt>
                <c:pt idx="815">
                  <c:v>59.45</c:v>
                </c:pt>
                <c:pt idx="816">
                  <c:v>59.576000000000001</c:v>
                </c:pt>
                <c:pt idx="817">
                  <c:v>59.305999999999997</c:v>
                </c:pt>
                <c:pt idx="818">
                  <c:v>59.233999999999995</c:v>
                </c:pt>
                <c:pt idx="819">
                  <c:v>59.323999999999998</c:v>
                </c:pt>
                <c:pt idx="820">
                  <c:v>59.45</c:v>
                </c:pt>
                <c:pt idx="821">
                  <c:v>59.72</c:v>
                </c:pt>
              </c:numCache>
            </c:numRef>
          </c:val>
          <c:smooth val="0"/>
          <c:extLst>
            <c:ext xmlns:c16="http://schemas.microsoft.com/office/drawing/2014/chart" uri="{C3380CC4-5D6E-409C-BE32-E72D297353CC}">
              <c16:uniqueId val="{00000001-5E0E-4A30-82C9-82EFFD8A2E58}"/>
            </c:ext>
          </c:extLst>
        </c:ser>
        <c:dLbls>
          <c:showLegendKey val="0"/>
          <c:showVal val="0"/>
          <c:showCatName val="0"/>
          <c:showSerName val="0"/>
          <c:showPercent val="0"/>
          <c:showBubbleSize val="0"/>
        </c:dLbls>
        <c:hiLowLines>
          <c:spPr>
            <a:ln w="0">
              <a:noFill/>
            </a:ln>
          </c:spPr>
        </c:hiLowLines>
        <c:marker val="1"/>
        <c:smooth val="0"/>
        <c:axId val="5287354"/>
        <c:axId val="69737629"/>
      </c:lineChart>
      <c:lineChart>
        <c:grouping val="standard"/>
        <c:varyColors val="0"/>
        <c:ser>
          <c:idx val="1"/>
          <c:order val="1"/>
          <c:tx>
            <c:v>CO2</c:v>
          </c:tx>
          <c:spPr>
            <a:ln w="2844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E97132"/>
                </a:solidFill>
                <a:prstDash val="sysDot"/>
                <a:round/>
              </a:ln>
            </c:spPr>
            <c:trendlineType val="linear"/>
            <c:dispRSqr val="0"/>
            <c:dispEq val="0"/>
          </c:trendline>
          <c:cat>
            <c:strRef>
              <c:f>'F Plus CO2'!$A$940:$A$1761</c:f>
              <c:strCache>
                <c:ptCount val="822"/>
                <c:pt idx="0">
                  <c:v>3/1958</c:v>
                </c:pt>
                <c:pt idx="1">
                  <c:v>4/1958</c:v>
                </c:pt>
                <c:pt idx="2">
                  <c:v>5/1958</c:v>
                </c:pt>
                <c:pt idx="3">
                  <c:v>6/1958</c:v>
                </c:pt>
                <c:pt idx="4">
                  <c:v>7/1958</c:v>
                </c:pt>
                <c:pt idx="5">
                  <c:v>8/1958</c:v>
                </c:pt>
                <c:pt idx="6">
                  <c:v>9/1958</c:v>
                </c:pt>
                <c:pt idx="7">
                  <c:v>10/1958</c:v>
                </c:pt>
                <c:pt idx="8">
                  <c:v>11/1958</c:v>
                </c:pt>
                <c:pt idx="9">
                  <c:v>12/1958</c:v>
                </c:pt>
                <c:pt idx="10">
                  <c:v>1/1959</c:v>
                </c:pt>
                <c:pt idx="11">
                  <c:v>2/1959</c:v>
                </c:pt>
                <c:pt idx="12">
                  <c:v>3/1959</c:v>
                </c:pt>
                <c:pt idx="13">
                  <c:v>4/1959</c:v>
                </c:pt>
                <c:pt idx="14">
                  <c:v>5/1959</c:v>
                </c:pt>
                <c:pt idx="15">
                  <c:v>6/1959</c:v>
                </c:pt>
                <c:pt idx="16">
                  <c:v>7/1959</c:v>
                </c:pt>
                <c:pt idx="17">
                  <c:v>8/1959</c:v>
                </c:pt>
                <c:pt idx="18">
                  <c:v>9/1959</c:v>
                </c:pt>
                <c:pt idx="19">
                  <c:v>10/1959</c:v>
                </c:pt>
                <c:pt idx="20">
                  <c:v>11/1959</c:v>
                </c:pt>
                <c:pt idx="21">
                  <c:v>12/1959</c:v>
                </c:pt>
                <c:pt idx="22">
                  <c:v>1/1960</c:v>
                </c:pt>
                <c:pt idx="23">
                  <c:v>2/1960</c:v>
                </c:pt>
                <c:pt idx="24">
                  <c:v>3/1960</c:v>
                </c:pt>
                <c:pt idx="25">
                  <c:v>4/1960</c:v>
                </c:pt>
                <c:pt idx="26">
                  <c:v>5/1960</c:v>
                </c:pt>
                <c:pt idx="27">
                  <c:v>6/1960</c:v>
                </c:pt>
                <c:pt idx="28">
                  <c:v>7/1960</c:v>
                </c:pt>
                <c:pt idx="29">
                  <c:v>8/1960</c:v>
                </c:pt>
                <c:pt idx="30">
                  <c:v>9/1960</c:v>
                </c:pt>
                <c:pt idx="31">
                  <c:v>10/1960</c:v>
                </c:pt>
                <c:pt idx="32">
                  <c:v>11/1960</c:v>
                </c:pt>
                <c:pt idx="33">
                  <c:v>12/1960</c:v>
                </c:pt>
                <c:pt idx="34">
                  <c:v>1/1961</c:v>
                </c:pt>
                <c:pt idx="35">
                  <c:v>2/1961</c:v>
                </c:pt>
                <c:pt idx="36">
                  <c:v>3/1961</c:v>
                </c:pt>
                <c:pt idx="37">
                  <c:v>4/1961</c:v>
                </c:pt>
                <c:pt idx="38">
                  <c:v>5/1961</c:v>
                </c:pt>
                <c:pt idx="39">
                  <c:v>6/1961</c:v>
                </c:pt>
                <c:pt idx="40">
                  <c:v>7/1961</c:v>
                </c:pt>
                <c:pt idx="41">
                  <c:v>8/1961</c:v>
                </c:pt>
                <c:pt idx="42">
                  <c:v>9/1961</c:v>
                </c:pt>
                <c:pt idx="43">
                  <c:v>10/1961</c:v>
                </c:pt>
                <c:pt idx="44">
                  <c:v>11/1961</c:v>
                </c:pt>
                <c:pt idx="45">
                  <c:v>12/1961</c:v>
                </c:pt>
                <c:pt idx="46">
                  <c:v>1/1962</c:v>
                </c:pt>
                <c:pt idx="47">
                  <c:v>2/1962</c:v>
                </c:pt>
                <c:pt idx="48">
                  <c:v>3/1962</c:v>
                </c:pt>
                <c:pt idx="49">
                  <c:v>4/1962</c:v>
                </c:pt>
                <c:pt idx="50">
                  <c:v>5/1962</c:v>
                </c:pt>
                <c:pt idx="51">
                  <c:v>6/1962</c:v>
                </c:pt>
                <c:pt idx="52">
                  <c:v>7/1962</c:v>
                </c:pt>
                <c:pt idx="53">
                  <c:v>8/1962</c:v>
                </c:pt>
                <c:pt idx="54">
                  <c:v>9/1962</c:v>
                </c:pt>
                <c:pt idx="55">
                  <c:v>10/1962</c:v>
                </c:pt>
                <c:pt idx="56">
                  <c:v>11/1962</c:v>
                </c:pt>
                <c:pt idx="57">
                  <c:v>12/1962</c:v>
                </c:pt>
                <c:pt idx="58">
                  <c:v>1/1963</c:v>
                </c:pt>
                <c:pt idx="59">
                  <c:v>2/1963</c:v>
                </c:pt>
                <c:pt idx="60">
                  <c:v>3/1963</c:v>
                </c:pt>
                <c:pt idx="61">
                  <c:v>4/1963</c:v>
                </c:pt>
                <c:pt idx="62">
                  <c:v>5/1963</c:v>
                </c:pt>
                <c:pt idx="63">
                  <c:v>6/1963</c:v>
                </c:pt>
                <c:pt idx="64">
                  <c:v>7/1963</c:v>
                </c:pt>
                <c:pt idx="65">
                  <c:v>8/1963</c:v>
                </c:pt>
                <c:pt idx="66">
                  <c:v>9/1963</c:v>
                </c:pt>
                <c:pt idx="67">
                  <c:v>10/1963</c:v>
                </c:pt>
                <c:pt idx="68">
                  <c:v>11/1963</c:v>
                </c:pt>
                <c:pt idx="69">
                  <c:v>12/1963</c:v>
                </c:pt>
                <c:pt idx="70">
                  <c:v>1/1964</c:v>
                </c:pt>
                <c:pt idx="71">
                  <c:v>2/1964</c:v>
                </c:pt>
                <c:pt idx="72">
                  <c:v>3/1964</c:v>
                </c:pt>
                <c:pt idx="73">
                  <c:v>4/1964</c:v>
                </c:pt>
                <c:pt idx="74">
                  <c:v>5/1964</c:v>
                </c:pt>
                <c:pt idx="75">
                  <c:v>6/1964</c:v>
                </c:pt>
                <c:pt idx="76">
                  <c:v>7/1964</c:v>
                </c:pt>
                <c:pt idx="77">
                  <c:v>8/1964</c:v>
                </c:pt>
                <c:pt idx="78">
                  <c:v>9/1964</c:v>
                </c:pt>
                <c:pt idx="79">
                  <c:v>10/1964</c:v>
                </c:pt>
                <c:pt idx="80">
                  <c:v>11/1964</c:v>
                </c:pt>
                <c:pt idx="81">
                  <c:v>12/1964</c:v>
                </c:pt>
                <c:pt idx="82">
                  <c:v>1/1965</c:v>
                </c:pt>
                <c:pt idx="83">
                  <c:v>2/1965</c:v>
                </c:pt>
                <c:pt idx="84">
                  <c:v>3/1965</c:v>
                </c:pt>
                <c:pt idx="85">
                  <c:v>4/1965</c:v>
                </c:pt>
                <c:pt idx="86">
                  <c:v>5/1965</c:v>
                </c:pt>
                <c:pt idx="87">
                  <c:v>6/1965</c:v>
                </c:pt>
                <c:pt idx="88">
                  <c:v>7/1965</c:v>
                </c:pt>
                <c:pt idx="89">
                  <c:v>8/1965</c:v>
                </c:pt>
                <c:pt idx="90">
                  <c:v>9/1965</c:v>
                </c:pt>
                <c:pt idx="91">
                  <c:v>10/1965</c:v>
                </c:pt>
                <c:pt idx="92">
                  <c:v>11/1965</c:v>
                </c:pt>
                <c:pt idx="93">
                  <c:v>12/1965</c:v>
                </c:pt>
                <c:pt idx="94">
                  <c:v>1/1966</c:v>
                </c:pt>
                <c:pt idx="95">
                  <c:v>2/1966</c:v>
                </c:pt>
                <c:pt idx="96">
                  <c:v>3/1966</c:v>
                </c:pt>
                <c:pt idx="97">
                  <c:v>4/1966</c:v>
                </c:pt>
                <c:pt idx="98">
                  <c:v>5/1966</c:v>
                </c:pt>
                <c:pt idx="99">
                  <c:v>6/1966</c:v>
                </c:pt>
                <c:pt idx="100">
                  <c:v>7/1966</c:v>
                </c:pt>
                <c:pt idx="101">
                  <c:v>8/1966</c:v>
                </c:pt>
                <c:pt idx="102">
                  <c:v>9/1966</c:v>
                </c:pt>
                <c:pt idx="103">
                  <c:v>10/1966</c:v>
                </c:pt>
                <c:pt idx="104">
                  <c:v>11/1966</c:v>
                </c:pt>
                <c:pt idx="105">
                  <c:v>12/1966</c:v>
                </c:pt>
                <c:pt idx="106">
                  <c:v>1/1967</c:v>
                </c:pt>
                <c:pt idx="107">
                  <c:v>2/1967</c:v>
                </c:pt>
                <c:pt idx="108">
                  <c:v>3/1967</c:v>
                </c:pt>
                <c:pt idx="109">
                  <c:v>4/1967</c:v>
                </c:pt>
                <c:pt idx="110">
                  <c:v>5/1967</c:v>
                </c:pt>
                <c:pt idx="111">
                  <c:v>6/1967</c:v>
                </c:pt>
                <c:pt idx="112">
                  <c:v>7/1967</c:v>
                </c:pt>
                <c:pt idx="113">
                  <c:v>8/1967</c:v>
                </c:pt>
                <c:pt idx="114">
                  <c:v>9/1967</c:v>
                </c:pt>
                <c:pt idx="115">
                  <c:v>10/1967</c:v>
                </c:pt>
                <c:pt idx="116">
                  <c:v>11/1967</c:v>
                </c:pt>
                <c:pt idx="117">
                  <c:v>12/1967</c:v>
                </c:pt>
                <c:pt idx="118">
                  <c:v>1/1968</c:v>
                </c:pt>
                <c:pt idx="119">
                  <c:v>2/1968</c:v>
                </c:pt>
                <c:pt idx="120">
                  <c:v>3/1968</c:v>
                </c:pt>
                <c:pt idx="121">
                  <c:v>4/1968</c:v>
                </c:pt>
                <c:pt idx="122">
                  <c:v>5/1968</c:v>
                </c:pt>
                <c:pt idx="123">
                  <c:v>6/1968</c:v>
                </c:pt>
                <c:pt idx="124">
                  <c:v>7/1968</c:v>
                </c:pt>
                <c:pt idx="125">
                  <c:v>8/1968</c:v>
                </c:pt>
                <c:pt idx="126">
                  <c:v>9/1968</c:v>
                </c:pt>
                <c:pt idx="127">
                  <c:v>10/1968</c:v>
                </c:pt>
                <c:pt idx="128">
                  <c:v>11/1968</c:v>
                </c:pt>
                <c:pt idx="129">
                  <c:v>12/1968</c:v>
                </c:pt>
                <c:pt idx="130">
                  <c:v>1/1969</c:v>
                </c:pt>
                <c:pt idx="131">
                  <c:v>2/1969</c:v>
                </c:pt>
                <c:pt idx="132">
                  <c:v>3/1969</c:v>
                </c:pt>
                <c:pt idx="133">
                  <c:v>4/1969</c:v>
                </c:pt>
                <c:pt idx="134">
                  <c:v>5/1969</c:v>
                </c:pt>
                <c:pt idx="135">
                  <c:v>6/1969</c:v>
                </c:pt>
                <c:pt idx="136">
                  <c:v>7/1969</c:v>
                </c:pt>
                <c:pt idx="137">
                  <c:v>8/1969</c:v>
                </c:pt>
                <c:pt idx="138">
                  <c:v>9/1969</c:v>
                </c:pt>
                <c:pt idx="139">
                  <c:v>10/1969</c:v>
                </c:pt>
                <c:pt idx="140">
                  <c:v>11/1969</c:v>
                </c:pt>
                <c:pt idx="141">
                  <c:v>12/1969</c:v>
                </c:pt>
                <c:pt idx="142">
                  <c:v>1/1970</c:v>
                </c:pt>
                <c:pt idx="143">
                  <c:v>2/1970</c:v>
                </c:pt>
                <c:pt idx="144">
                  <c:v>3/1970</c:v>
                </c:pt>
                <c:pt idx="145">
                  <c:v>4/1970</c:v>
                </c:pt>
                <c:pt idx="146">
                  <c:v>5/1970</c:v>
                </c:pt>
                <c:pt idx="147">
                  <c:v>6/1970</c:v>
                </c:pt>
                <c:pt idx="148">
                  <c:v>7/1970</c:v>
                </c:pt>
                <c:pt idx="149">
                  <c:v>8/1970</c:v>
                </c:pt>
                <c:pt idx="150">
                  <c:v>9/1970</c:v>
                </c:pt>
                <c:pt idx="151">
                  <c:v>10/1970</c:v>
                </c:pt>
                <c:pt idx="152">
                  <c:v>11/1970</c:v>
                </c:pt>
                <c:pt idx="153">
                  <c:v>12/1970</c:v>
                </c:pt>
                <c:pt idx="154">
                  <c:v>1/1971</c:v>
                </c:pt>
                <c:pt idx="155">
                  <c:v>2/1971</c:v>
                </c:pt>
                <c:pt idx="156">
                  <c:v>3/1971</c:v>
                </c:pt>
                <c:pt idx="157">
                  <c:v>4/1971</c:v>
                </c:pt>
                <c:pt idx="158">
                  <c:v>5/1971</c:v>
                </c:pt>
                <c:pt idx="159">
                  <c:v>6/1971</c:v>
                </c:pt>
                <c:pt idx="160">
                  <c:v>7/1971</c:v>
                </c:pt>
                <c:pt idx="161">
                  <c:v>8/1971</c:v>
                </c:pt>
                <c:pt idx="162">
                  <c:v>9/1971</c:v>
                </c:pt>
                <c:pt idx="163">
                  <c:v>10/1971</c:v>
                </c:pt>
                <c:pt idx="164">
                  <c:v>11/1971</c:v>
                </c:pt>
                <c:pt idx="165">
                  <c:v>12/1971</c:v>
                </c:pt>
                <c:pt idx="166">
                  <c:v>1/1972</c:v>
                </c:pt>
                <c:pt idx="167">
                  <c:v>2/1972</c:v>
                </c:pt>
                <c:pt idx="168">
                  <c:v>3/1972</c:v>
                </c:pt>
                <c:pt idx="169">
                  <c:v>4/1972</c:v>
                </c:pt>
                <c:pt idx="170">
                  <c:v>5/1972</c:v>
                </c:pt>
                <c:pt idx="171">
                  <c:v>6/1972</c:v>
                </c:pt>
                <c:pt idx="172">
                  <c:v>7/1972</c:v>
                </c:pt>
                <c:pt idx="173">
                  <c:v>8/1972</c:v>
                </c:pt>
                <c:pt idx="174">
                  <c:v>9/1972</c:v>
                </c:pt>
                <c:pt idx="175">
                  <c:v>10/1972</c:v>
                </c:pt>
                <c:pt idx="176">
                  <c:v>11/1972</c:v>
                </c:pt>
                <c:pt idx="177">
                  <c:v>12/1972</c:v>
                </c:pt>
                <c:pt idx="178">
                  <c:v>1/1973</c:v>
                </c:pt>
                <c:pt idx="179">
                  <c:v>2/1973</c:v>
                </c:pt>
                <c:pt idx="180">
                  <c:v>3/1973</c:v>
                </c:pt>
                <c:pt idx="181">
                  <c:v>4/1973</c:v>
                </c:pt>
                <c:pt idx="182">
                  <c:v>5/1973</c:v>
                </c:pt>
                <c:pt idx="183">
                  <c:v>6/1973</c:v>
                </c:pt>
                <c:pt idx="184">
                  <c:v>7/1973</c:v>
                </c:pt>
                <c:pt idx="185">
                  <c:v>8/1973</c:v>
                </c:pt>
                <c:pt idx="186">
                  <c:v>9/1973</c:v>
                </c:pt>
                <c:pt idx="187">
                  <c:v>10/1973</c:v>
                </c:pt>
                <c:pt idx="188">
                  <c:v>11/1973</c:v>
                </c:pt>
                <c:pt idx="189">
                  <c:v>12/1973</c:v>
                </c:pt>
                <c:pt idx="190">
                  <c:v>1/1974</c:v>
                </c:pt>
                <c:pt idx="191">
                  <c:v>2/1974</c:v>
                </c:pt>
                <c:pt idx="192">
                  <c:v>3/1974</c:v>
                </c:pt>
                <c:pt idx="193">
                  <c:v>4/1974</c:v>
                </c:pt>
                <c:pt idx="194">
                  <c:v>5/1974</c:v>
                </c:pt>
                <c:pt idx="195">
                  <c:v>6/1974</c:v>
                </c:pt>
                <c:pt idx="196">
                  <c:v>7/1974</c:v>
                </c:pt>
                <c:pt idx="197">
                  <c:v>8/1974</c:v>
                </c:pt>
                <c:pt idx="198">
                  <c:v>9/1974</c:v>
                </c:pt>
                <c:pt idx="199">
                  <c:v>10/1974</c:v>
                </c:pt>
                <c:pt idx="200">
                  <c:v>11/1974</c:v>
                </c:pt>
                <c:pt idx="201">
                  <c:v>12/1974</c:v>
                </c:pt>
                <c:pt idx="202">
                  <c:v>1/1975</c:v>
                </c:pt>
                <c:pt idx="203">
                  <c:v>2/1975</c:v>
                </c:pt>
                <c:pt idx="204">
                  <c:v>3/1975</c:v>
                </c:pt>
                <c:pt idx="205">
                  <c:v>4/1975</c:v>
                </c:pt>
                <c:pt idx="206">
                  <c:v>5/1975</c:v>
                </c:pt>
                <c:pt idx="207">
                  <c:v>6/1975</c:v>
                </c:pt>
                <c:pt idx="208">
                  <c:v>7/1975</c:v>
                </c:pt>
                <c:pt idx="209">
                  <c:v>8/1975</c:v>
                </c:pt>
                <c:pt idx="210">
                  <c:v>9/1975</c:v>
                </c:pt>
                <c:pt idx="211">
                  <c:v>10/1975</c:v>
                </c:pt>
                <c:pt idx="212">
                  <c:v>11/1975</c:v>
                </c:pt>
                <c:pt idx="213">
                  <c:v>12/1975</c:v>
                </c:pt>
                <c:pt idx="214">
                  <c:v>1/1976</c:v>
                </c:pt>
                <c:pt idx="215">
                  <c:v>2/1976</c:v>
                </c:pt>
                <c:pt idx="216">
                  <c:v>3/1976</c:v>
                </c:pt>
                <c:pt idx="217">
                  <c:v>4/1976</c:v>
                </c:pt>
                <c:pt idx="218">
                  <c:v>5/1976</c:v>
                </c:pt>
                <c:pt idx="219">
                  <c:v>6/1976</c:v>
                </c:pt>
                <c:pt idx="220">
                  <c:v>7/1976</c:v>
                </c:pt>
                <c:pt idx="221">
                  <c:v>8/1976</c:v>
                </c:pt>
                <c:pt idx="222">
                  <c:v>9/1976</c:v>
                </c:pt>
                <c:pt idx="223">
                  <c:v>10/1976</c:v>
                </c:pt>
                <c:pt idx="224">
                  <c:v>11/1976</c:v>
                </c:pt>
                <c:pt idx="225">
                  <c:v>12/1976</c:v>
                </c:pt>
                <c:pt idx="226">
                  <c:v>1/1977</c:v>
                </c:pt>
                <c:pt idx="227">
                  <c:v>2/1977</c:v>
                </c:pt>
                <c:pt idx="228">
                  <c:v>3/1977</c:v>
                </c:pt>
                <c:pt idx="229">
                  <c:v>4/1977</c:v>
                </c:pt>
                <c:pt idx="230">
                  <c:v>5/1977</c:v>
                </c:pt>
                <c:pt idx="231">
                  <c:v>6/1977</c:v>
                </c:pt>
                <c:pt idx="232">
                  <c:v>7/1977</c:v>
                </c:pt>
                <c:pt idx="233">
                  <c:v>8/1977</c:v>
                </c:pt>
                <c:pt idx="234">
                  <c:v>9/1977</c:v>
                </c:pt>
                <c:pt idx="235">
                  <c:v>10/1977</c:v>
                </c:pt>
                <c:pt idx="236">
                  <c:v>11/1977</c:v>
                </c:pt>
                <c:pt idx="237">
                  <c:v>12/1977</c:v>
                </c:pt>
                <c:pt idx="238">
                  <c:v>1/1978</c:v>
                </c:pt>
                <c:pt idx="239">
                  <c:v>2/1978</c:v>
                </c:pt>
                <c:pt idx="240">
                  <c:v>3/1978</c:v>
                </c:pt>
                <c:pt idx="241">
                  <c:v>4/1978</c:v>
                </c:pt>
                <c:pt idx="242">
                  <c:v>5/1978</c:v>
                </c:pt>
                <c:pt idx="243">
                  <c:v>6/1978</c:v>
                </c:pt>
                <c:pt idx="244">
                  <c:v>7/1978</c:v>
                </c:pt>
                <c:pt idx="245">
                  <c:v>8/1978</c:v>
                </c:pt>
                <c:pt idx="246">
                  <c:v>9/1978</c:v>
                </c:pt>
                <c:pt idx="247">
                  <c:v>10/1978</c:v>
                </c:pt>
                <c:pt idx="248">
                  <c:v>11/1978</c:v>
                </c:pt>
                <c:pt idx="249">
                  <c:v>12/1978</c:v>
                </c:pt>
                <c:pt idx="250">
                  <c:v>1/1979</c:v>
                </c:pt>
                <c:pt idx="251">
                  <c:v>2/1979</c:v>
                </c:pt>
                <c:pt idx="252">
                  <c:v>3/1979</c:v>
                </c:pt>
                <c:pt idx="253">
                  <c:v>4/1979</c:v>
                </c:pt>
                <c:pt idx="254">
                  <c:v>5/1979</c:v>
                </c:pt>
                <c:pt idx="255">
                  <c:v>6/1979</c:v>
                </c:pt>
                <c:pt idx="256">
                  <c:v>7/1979</c:v>
                </c:pt>
                <c:pt idx="257">
                  <c:v>8/1979</c:v>
                </c:pt>
                <c:pt idx="258">
                  <c:v>9/1979</c:v>
                </c:pt>
                <c:pt idx="259">
                  <c:v>10/1979</c:v>
                </c:pt>
                <c:pt idx="260">
                  <c:v>11/1979</c:v>
                </c:pt>
                <c:pt idx="261">
                  <c:v>12/1979</c:v>
                </c:pt>
                <c:pt idx="262">
                  <c:v>1/1980</c:v>
                </c:pt>
                <c:pt idx="263">
                  <c:v>2/1980</c:v>
                </c:pt>
                <c:pt idx="264">
                  <c:v>3/1980</c:v>
                </c:pt>
                <c:pt idx="265">
                  <c:v>4/1980</c:v>
                </c:pt>
                <c:pt idx="266">
                  <c:v>5/1980</c:v>
                </c:pt>
                <c:pt idx="267">
                  <c:v>6/1980</c:v>
                </c:pt>
                <c:pt idx="268">
                  <c:v>7/1980</c:v>
                </c:pt>
                <c:pt idx="269">
                  <c:v>8/1980</c:v>
                </c:pt>
                <c:pt idx="270">
                  <c:v>9/1980</c:v>
                </c:pt>
                <c:pt idx="271">
                  <c:v>10/1980</c:v>
                </c:pt>
                <c:pt idx="272">
                  <c:v>11/1980</c:v>
                </c:pt>
                <c:pt idx="273">
                  <c:v>12/1980</c:v>
                </c:pt>
                <c:pt idx="274">
                  <c:v>1/1981</c:v>
                </c:pt>
                <c:pt idx="275">
                  <c:v>2/1981</c:v>
                </c:pt>
                <c:pt idx="276">
                  <c:v>3/1981</c:v>
                </c:pt>
                <c:pt idx="277">
                  <c:v>4/1981</c:v>
                </c:pt>
                <c:pt idx="278">
                  <c:v>5/1981</c:v>
                </c:pt>
                <c:pt idx="279">
                  <c:v>6/1981</c:v>
                </c:pt>
                <c:pt idx="280">
                  <c:v>7/1981</c:v>
                </c:pt>
                <c:pt idx="281">
                  <c:v>8/1981</c:v>
                </c:pt>
                <c:pt idx="282">
                  <c:v>9/1981</c:v>
                </c:pt>
                <c:pt idx="283">
                  <c:v>10/1981</c:v>
                </c:pt>
                <c:pt idx="284">
                  <c:v>11/1981</c:v>
                </c:pt>
                <c:pt idx="285">
                  <c:v>12/1981</c:v>
                </c:pt>
                <c:pt idx="286">
                  <c:v>1/1982</c:v>
                </c:pt>
                <c:pt idx="287">
                  <c:v>2/1982</c:v>
                </c:pt>
                <c:pt idx="288">
                  <c:v>3/1982</c:v>
                </c:pt>
                <c:pt idx="289">
                  <c:v>4/1982</c:v>
                </c:pt>
                <c:pt idx="290">
                  <c:v>5/1982</c:v>
                </c:pt>
                <c:pt idx="291">
                  <c:v>6/1982</c:v>
                </c:pt>
                <c:pt idx="292">
                  <c:v>7/1982</c:v>
                </c:pt>
                <c:pt idx="293">
                  <c:v>8/1982</c:v>
                </c:pt>
                <c:pt idx="294">
                  <c:v>9/1982</c:v>
                </c:pt>
                <c:pt idx="295">
                  <c:v>10/1982</c:v>
                </c:pt>
                <c:pt idx="296">
                  <c:v>11/1982</c:v>
                </c:pt>
                <c:pt idx="297">
                  <c:v>12/1982</c:v>
                </c:pt>
                <c:pt idx="298">
                  <c:v>1/1983</c:v>
                </c:pt>
                <c:pt idx="299">
                  <c:v>2/1983</c:v>
                </c:pt>
                <c:pt idx="300">
                  <c:v>3/1983</c:v>
                </c:pt>
                <c:pt idx="301">
                  <c:v>4/1983</c:v>
                </c:pt>
                <c:pt idx="302">
                  <c:v>5/1983</c:v>
                </c:pt>
                <c:pt idx="303">
                  <c:v>6/1983</c:v>
                </c:pt>
                <c:pt idx="304">
                  <c:v>7/1983</c:v>
                </c:pt>
                <c:pt idx="305">
                  <c:v>8/1983</c:v>
                </c:pt>
                <c:pt idx="306">
                  <c:v>9/1983</c:v>
                </c:pt>
                <c:pt idx="307">
                  <c:v>10/1983</c:v>
                </c:pt>
                <c:pt idx="308">
                  <c:v>11/1983</c:v>
                </c:pt>
                <c:pt idx="309">
                  <c:v>12/1983</c:v>
                </c:pt>
                <c:pt idx="310">
                  <c:v>1/1984</c:v>
                </c:pt>
                <c:pt idx="311">
                  <c:v>2/1984</c:v>
                </c:pt>
                <c:pt idx="312">
                  <c:v>3/1984</c:v>
                </c:pt>
                <c:pt idx="313">
                  <c:v>4/1984</c:v>
                </c:pt>
                <c:pt idx="314">
                  <c:v>5/1984</c:v>
                </c:pt>
                <c:pt idx="315">
                  <c:v>6/1984</c:v>
                </c:pt>
                <c:pt idx="316">
                  <c:v>7/1984</c:v>
                </c:pt>
                <c:pt idx="317">
                  <c:v>8/1984</c:v>
                </c:pt>
                <c:pt idx="318">
                  <c:v>9/1984</c:v>
                </c:pt>
                <c:pt idx="319">
                  <c:v>10/1984</c:v>
                </c:pt>
                <c:pt idx="320">
                  <c:v>11/1984</c:v>
                </c:pt>
                <c:pt idx="321">
                  <c:v>12/1984</c:v>
                </c:pt>
                <c:pt idx="322">
                  <c:v>1/1985</c:v>
                </c:pt>
                <c:pt idx="323">
                  <c:v>2/1985</c:v>
                </c:pt>
                <c:pt idx="324">
                  <c:v>3/1985</c:v>
                </c:pt>
                <c:pt idx="325">
                  <c:v>4/1985</c:v>
                </c:pt>
                <c:pt idx="326">
                  <c:v>5/1985</c:v>
                </c:pt>
                <c:pt idx="327">
                  <c:v>6/1985</c:v>
                </c:pt>
                <c:pt idx="328">
                  <c:v>7/1985</c:v>
                </c:pt>
                <c:pt idx="329">
                  <c:v>8/1985</c:v>
                </c:pt>
                <c:pt idx="330">
                  <c:v>9/1985</c:v>
                </c:pt>
                <c:pt idx="331">
                  <c:v>10/1985</c:v>
                </c:pt>
                <c:pt idx="332">
                  <c:v>11/1985</c:v>
                </c:pt>
                <c:pt idx="333">
                  <c:v>12/1985</c:v>
                </c:pt>
                <c:pt idx="334">
                  <c:v>1/1986</c:v>
                </c:pt>
                <c:pt idx="335">
                  <c:v>2/1986</c:v>
                </c:pt>
                <c:pt idx="336">
                  <c:v>3/1986</c:v>
                </c:pt>
                <c:pt idx="337">
                  <c:v>4/1986</c:v>
                </c:pt>
                <c:pt idx="338">
                  <c:v>5/1986</c:v>
                </c:pt>
                <c:pt idx="339">
                  <c:v>6/1986</c:v>
                </c:pt>
                <c:pt idx="340">
                  <c:v>7/1986</c:v>
                </c:pt>
                <c:pt idx="341">
                  <c:v>8/1986</c:v>
                </c:pt>
                <c:pt idx="342">
                  <c:v>9/1986</c:v>
                </c:pt>
                <c:pt idx="343">
                  <c:v>10/1986</c:v>
                </c:pt>
                <c:pt idx="344">
                  <c:v>11/1986</c:v>
                </c:pt>
                <c:pt idx="345">
                  <c:v>12/1986</c:v>
                </c:pt>
                <c:pt idx="346">
                  <c:v>1/1987</c:v>
                </c:pt>
                <c:pt idx="347">
                  <c:v>2/1987</c:v>
                </c:pt>
                <c:pt idx="348">
                  <c:v>3/1987</c:v>
                </c:pt>
                <c:pt idx="349">
                  <c:v>4/1987</c:v>
                </c:pt>
                <c:pt idx="350">
                  <c:v>5/1987</c:v>
                </c:pt>
                <c:pt idx="351">
                  <c:v>6/1987</c:v>
                </c:pt>
                <c:pt idx="352">
                  <c:v>7/1987</c:v>
                </c:pt>
                <c:pt idx="353">
                  <c:v>8/1987</c:v>
                </c:pt>
                <c:pt idx="354">
                  <c:v>9/1987</c:v>
                </c:pt>
                <c:pt idx="355">
                  <c:v>10/1987</c:v>
                </c:pt>
                <c:pt idx="356">
                  <c:v>11/1987</c:v>
                </c:pt>
                <c:pt idx="357">
                  <c:v>12/1987</c:v>
                </c:pt>
                <c:pt idx="358">
                  <c:v>1/1988</c:v>
                </c:pt>
                <c:pt idx="359">
                  <c:v>2/1988</c:v>
                </c:pt>
                <c:pt idx="360">
                  <c:v>3/1988</c:v>
                </c:pt>
                <c:pt idx="361">
                  <c:v>4/1988</c:v>
                </c:pt>
                <c:pt idx="362">
                  <c:v>5/1988</c:v>
                </c:pt>
                <c:pt idx="363">
                  <c:v>6/1988</c:v>
                </c:pt>
                <c:pt idx="364">
                  <c:v>7/1988</c:v>
                </c:pt>
                <c:pt idx="365">
                  <c:v>8/1988</c:v>
                </c:pt>
                <c:pt idx="366">
                  <c:v>9/1988</c:v>
                </c:pt>
                <c:pt idx="367">
                  <c:v>10/1988</c:v>
                </c:pt>
                <c:pt idx="368">
                  <c:v>11/1988</c:v>
                </c:pt>
                <c:pt idx="369">
                  <c:v>12/1988</c:v>
                </c:pt>
                <c:pt idx="370">
                  <c:v>1/1989</c:v>
                </c:pt>
                <c:pt idx="371">
                  <c:v>2/1989</c:v>
                </c:pt>
                <c:pt idx="372">
                  <c:v>3/1989</c:v>
                </c:pt>
                <c:pt idx="373">
                  <c:v>4/1989</c:v>
                </c:pt>
                <c:pt idx="374">
                  <c:v>5/1989</c:v>
                </c:pt>
                <c:pt idx="375">
                  <c:v>6/1989</c:v>
                </c:pt>
                <c:pt idx="376">
                  <c:v>7/1989</c:v>
                </c:pt>
                <c:pt idx="377">
                  <c:v>8/1989</c:v>
                </c:pt>
                <c:pt idx="378">
                  <c:v>9/1989</c:v>
                </c:pt>
                <c:pt idx="379">
                  <c:v>10/1989</c:v>
                </c:pt>
                <c:pt idx="380">
                  <c:v>11/1989</c:v>
                </c:pt>
                <c:pt idx="381">
                  <c:v>12/1989</c:v>
                </c:pt>
                <c:pt idx="382">
                  <c:v>1/1990</c:v>
                </c:pt>
                <c:pt idx="383">
                  <c:v>2/1990</c:v>
                </c:pt>
                <c:pt idx="384">
                  <c:v>3/1990</c:v>
                </c:pt>
                <c:pt idx="385">
                  <c:v>4/1990</c:v>
                </c:pt>
                <c:pt idx="386">
                  <c:v>5/1990</c:v>
                </c:pt>
                <c:pt idx="387">
                  <c:v>6/1990</c:v>
                </c:pt>
                <c:pt idx="388">
                  <c:v>7/1990</c:v>
                </c:pt>
                <c:pt idx="389">
                  <c:v>8/1990</c:v>
                </c:pt>
                <c:pt idx="390">
                  <c:v>9/1990</c:v>
                </c:pt>
                <c:pt idx="391">
                  <c:v>10/1990</c:v>
                </c:pt>
                <c:pt idx="392">
                  <c:v>11/1990</c:v>
                </c:pt>
                <c:pt idx="393">
                  <c:v>12/1990</c:v>
                </c:pt>
                <c:pt idx="394">
                  <c:v>1/1991</c:v>
                </c:pt>
                <c:pt idx="395">
                  <c:v>2/1991</c:v>
                </c:pt>
                <c:pt idx="396">
                  <c:v>3/1991</c:v>
                </c:pt>
                <c:pt idx="397">
                  <c:v>4/1991</c:v>
                </c:pt>
                <c:pt idx="398">
                  <c:v>5/1991</c:v>
                </c:pt>
                <c:pt idx="399">
                  <c:v>6/1991</c:v>
                </c:pt>
                <c:pt idx="400">
                  <c:v>7/1991</c:v>
                </c:pt>
                <c:pt idx="401">
                  <c:v>8/1991</c:v>
                </c:pt>
                <c:pt idx="402">
                  <c:v>9/1991</c:v>
                </c:pt>
                <c:pt idx="403">
                  <c:v>10/1991</c:v>
                </c:pt>
                <c:pt idx="404">
                  <c:v>11/1991</c:v>
                </c:pt>
                <c:pt idx="405">
                  <c:v>12/1991</c:v>
                </c:pt>
                <c:pt idx="406">
                  <c:v>1/1992</c:v>
                </c:pt>
                <c:pt idx="407">
                  <c:v>2/1992</c:v>
                </c:pt>
                <c:pt idx="408">
                  <c:v>3/1992</c:v>
                </c:pt>
                <c:pt idx="409">
                  <c:v>4/1992</c:v>
                </c:pt>
                <c:pt idx="410">
                  <c:v>5/1992</c:v>
                </c:pt>
                <c:pt idx="411">
                  <c:v>6/1992</c:v>
                </c:pt>
                <c:pt idx="412">
                  <c:v>7/1992</c:v>
                </c:pt>
                <c:pt idx="413">
                  <c:v>8/1992</c:v>
                </c:pt>
                <c:pt idx="414">
                  <c:v>9/1992</c:v>
                </c:pt>
                <c:pt idx="415">
                  <c:v>10/1992</c:v>
                </c:pt>
                <c:pt idx="416">
                  <c:v>11/1992</c:v>
                </c:pt>
                <c:pt idx="417">
                  <c:v>12/1992</c:v>
                </c:pt>
                <c:pt idx="418">
                  <c:v>1/1993</c:v>
                </c:pt>
                <c:pt idx="419">
                  <c:v>2/1993</c:v>
                </c:pt>
                <c:pt idx="420">
                  <c:v>3/1993</c:v>
                </c:pt>
                <c:pt idx="421">
                  <c:v>4/1993</c:v>
                </c:pt>
                <c:pt idx="422">
                  <c:v>5/1993</c:v>
                </c:pt>
                <c:pt idx="423">
                  <c:v>6/1993</c:v>
                </c:pt>
                <c:pt idx="424">
                  <c:v>7/1993</c:v>
                </c:pt>
                <c:pt idx="425">
                  <c:v>8/1993</c:v>
                </c:pt>
                <c:pt idx="426">
                  <c:v>9/1993</c:v>
                </c:pt>
                <c:pt idx="427">
                  <c:v>10/1993</c:v>
                </c:pt>
                <c:pt idx="428">
                  <c:v>11/1993</c:v>
                </c:pt>
                <c:pt idx="429">
                  <c:v>12/1993</c:v>
                </c:pt>
                <c:pt idx="430">
                  <c:v>1/1994</c:v>
                </c:pt>
                <c:pt idx="431">
                  <c:v>2/1994</c:v>
                </c:pt>
                <c:pt idx="432">
                  <c:v>3/1994</c:v>
                </c:pt>
                <c:pt idx="433">
                  <c:v>4/1994</c:v>
                </c:pt>
                <c:pt idx="434">
                  <c:v>5/1994</c:v>
                </c:pt>
                <c:pt idx="435">
                  <c:v>6/1994</c:v>
                </c:pt>
                <c:pt idx="436">
                  <c:v>7/1994</c:v>
                </c:pt>
                <c:pt idx="437">
                  <c:v>8/1994</c:v>
                </c:pt>
                <c:pt idx="438">
                  <c:v>9/1994</c:v>
                </c:pt>
                <c:pt idx="439">
                  <c:v>10/1994</c:v>
                </c:pt>
                <c:pt idx="440">
                  <c:v>11/1994</c:v>
                </c:pt>
                <c:pt idx="441">
                  <c:v>12/1994</c:v>
                </c:pt>
                <c:pt idx="442">
                  <c:v>1/1995</c:v>
                </c:pt>
                <c:pt idx="443">
                  <c:v>2/1995</c:v>
                </c:pt>
                <c:pt idx="444">
                  <c:v>3/1995</c:v>
                </c:pt>
                <c:pt idx="445">
                  <c:v>4/1995</c:v>
                </c:pt>
                <c:pt idx="446">
                  <c:v>5/1995</c:v>
                </c:pt>
                <c:pt idx="447">
                  <c:v>6/1995</c:v>
                </c:pt>
                <c:pt idx="448">
                  <c:v>7/1995</c:v>
                </c:pt>
                <c:pt idx="449">
                  <c:v>8/1995</c:v>
                </c:pt>
                <c:pt idx="450">
                  <c:v>9/1995</c:v>
                </c:pt>
                <c:pt idx="451">
                  <c:v>10/1995</c:v>
                </c:pt>
                <c:pt idx="452">
                  <c:v>11/1995</c:v>
                </c:pt>
                <c:pt idx="453">
                  <c:v>12/1995</c:v>
                </c:pt>
                <c:pt idx="454">
                  <c:v>1/1996</c:v>
                </c:pt>
                <c:pt idx="455">
                  <c:v>2/1996</c:v>
                </c:pt>
                <c:pt idx="456">
                  <c:v>3/1996</c:v>
                </c:pt>
                <c:pt idx="457">
                  <c:v>4/1996</c:v>
                </c:pt>
                <c:pt idx="458">
                  <c:v>5/1996</c:v>
                </c:pt>
                <c:pt idx="459">
                  <c:v>6/1996</c:v>
                </c:pt>
                <c:pt idx="460">
                  <c:v>7/1996</c:v>
                </c:pt>
                <c:pt idx="461">
                  <c:v>8/1996</c:v>
                </c:pt>
                <c:pt idx="462">
                  <c:v>9/1996</c:v>
                </c:pt>
                <c:pt idx="463">
                  <c:v>10/1996</c:v>
                </c:pt>
                <c:pt idx="464">
                  <c:v>11/1996</c:v>
                </c:pt>
                <c:pt idx="465">
                  <c:v>12/1996</c:v>
                </c:pt>
                <c:pt idx="466">
                  <c:v>1/1997</c:v>
                </c:pt>
                <c:pt idx="467">
                  <c:v>2/1997</c:v>
                </c:pt>
                <c:pt idx="468">
                  <c:v>3/1997</c:v>
                </c:pt>
                <c:pt idx="469">
                  <c:v>4/1997</c:v>
                </c:pt>
                <c:pt idx="470">
                  <c:v>5/1997</c:v>
                </c:pt>
                <c:pt idx="471">
                  <c:v>6/1997</c:v>
                </c:pt>
                <c:pt idx="472">
                  <c:v>7/1997</c:v>
                </c:pt>
                <c:pt idx="473">
                  <c:v>8/1997</c:v>
                </c:pt>
                <c:pt idx="474">
                  <c:v>9/1997</c:v>
                </c:pt>
                <c:pt idx="475">
                  <c:v>10/1997</c:v>
                </c:pt>
                <c:pt idx="476">
                  <c:v>11/1997</c:v>
                </c:pt>
                <c:pt idx="477">
                  <c:v>12/1997</c:v>
                </c:pt>
                <c:pt idx="478">
                  <c:v>1/1998</c:v>
                </c:pt>
                <c:pt idx="479">
                  <c:v>2/1998</c:v>
                </c:pt>
                <c:pt idx="480">
                  <c:v>3/1998</c:v>
                </c:pt>
                <c:pt idx="481">
                  <c:v>4/1998</c:v>
                </c:pt>
                <c:pt idx="482">
                  <c:v>5/1998</c:v>
                </c:pt>
                <c:pt idx="483">
                  <c:v>6/1998</c:v>
                </c:pt>
                <c:pt idx="484">
                  <c:v>7/1998</c:v>
                </c:pt>
                <c:pt idx="485">
                  <c:v>8/1998</c:v>
                </c:pt>
                <c:pt idx="486">
                  <c:v>9/1998</c:v>
                </c:pt>
                <c:pt idx="487">
                  <c:v>10/1998</c:v>
                </c:pt>
                <c:pt idx="488">
                  <c:v>11/1998</c:v>
                </c:pt>
                <c:pt idx="489">
                  <c:v>12/1998</c:v>
                </c:pt>
                <c:pt idx="490">
                  <c:v>1/1999</c:v>
                </c:pt>
                <c:pt idx="491">
                  <c:v>2/1999</c:v>
                </c:pt>
                <c:pt idx="492">
                  <c:v>3/1999</c:v>
                </c:pt>
                <c:pt idx="493">
                  <c:v>4/1999</c:v>
                </c:pt>
                <c:pt idx="494">
                  <c:v>5/1999</c:v>
                </c:pt>
                <c:pt idx="495">
                  <c:v>6/1999</c:v>
                </c:pt>
                <c:pt idx="496">
                  <c:v>7/1999</c:v>
                </c:pt>
                <c:pt idx="497">
                  <c:v>8/1999</c:v>
                </c:pt>
                <c:pt idx="498">
                  <c:v>9/1999</c:v>
                </c:pt>
                <c:pt idx="499">
                  <c:v>10/1999</c:v>
                </c:pt>
                <c:pt idx="500">
                  <c:v>11/1999</c:v>
                </c:pt>
                <c:pt idx="501">
                  <c:v>12/1999</c:v>
                </c:pt>
                <c:pt idx="502">
                  <c:v>1/2000</c:v>
                </c:pt>
                <c:pt idx="503">
                  <c:v>2/2000</c:v>
                </c:pt>
                <c:pt idx="504">
                  <c:v>3/2000</c:v>
                </c:pt>
                <c:pt idx="505">
                  <c:v>4/2000</c:v>
                </c:pt>
                <c:pt idx="506">
                  <c:v>5/2000</c:v>
                </c:pt>
                <c:pt idx="507">
                  <c:v>6/2000</c:v>
                </c:pt>
                <c:pt idx="508">
                  <c:v>7/2000</c:v>
                </c:pt>
                <c:pt idx="509">
                  <c:v>8/2000</c:v>
                </c:pt>
                <c:pt idx="510">
                  <c:v>9/2000</c:v>
                </c:pt>
                <c:pt idx="511">
                  <c:v>10/2000</c:v>
                </c:pt>
                <c:pt idx="512">
                  <c:v>11/2000</c:v>
                </c:pt>
                <c:pt idx="513">
                  <c:v>12/2000</c:v>
                </c:pt>
                <c:pt idx="514">
                  <c:v>1/2001</c:v>
                </c:pt>
                <c:pt idx="515">
                  <c:v>2/2001</c:v>
                </c:pt>
                <c:pt idx="516">
                  <c:v>3/2001</c:v>
                </c:pt>
                <c:pt idx="517">
                  <c:v>4/2001</c:v>
                </c:pt>
                <c:pt idx="518">
                  <c:v>5/2001</c:v>
                </c:pt>
                <c:pt idx="519">
                  <c:v>6/2001</c:v>
                </c:pt>
                <c:pt idx="520">
                  <c:v>7/2001</c:v>
                </c:pt>
                <c:pt idx="521">
                  <c:v>8/2001</c:v>
                </c:pt>
                <c:pt idx="522">
                  <c:v>9/2001</c:v>
                </c:pt>
                <c:pt idx="523">
                  <c:v>10/2001</c:v>
                </c:pt>
                <c:pt idx="524">
                  <c:v>11/2001</c:v>
                </c:pt>
                <c:pt idx="525">
                  <c:v>12/2001</c:v>
                </c:pt>
                <c:pt idx="526">
                  <c:v>1/2002</c:v>
                </c:pt>
                <c:pt idx="527">
                  <c:v>2/2002</c:v>
                </c:pt>
                <c:pt idx="528">
                  <c:v>3/2002</c:v>
                </c:pt>
                <c:pt idx="529">
                  <c:v>4/2002</c:v>
                </c:pt>
                <c:pt idx="530">
                  <c:v>5/2002</c:v>
                </c:pt>
                <c:pt idx="531">
                  <c:v>6/2002</c:v>
                </c:pt>
                <c:pt idx="532">
                  <c:v>7/2002</c:v>
                </c:pt>
                <c:pt idx="533">
                  <c:v>8/2002</c:v>
                </c:pt>
                <c:pt idx="534">
                  <c:v>9/2002</c:v>
                </c:pt>
                <c:pt idx="535">
                  <c:v>10/2002</c:v>
                </c:pt>
                <c:pt idx="536">
                  <c:v>11/2002</c:v>
                </c:pt>
                <c:pt idx="537">
                  <c:v>12/2002</c:v>
                </c:pt>
                <c:pt idx="538">
                  <c:v>1/2003</c:v>
                </c:pt>
                <c:pt idx="539">
                  <c:v>2/2003</c:v>
                </c:pt>
                <c:pt idx="540">
                  <c:v>3/2003</c:v>
                </c:pt>
                <c:pt idx="541">
                  <c:v>4/2003</c:v>
                </c:pt>
                <c:pt idx="542">
                  <c:v>5/2003</c:v>
                </c:pt>
                <c:pt idx="543">
                  <c:v>6/2003</c:v>
                </c:pt>
                <c:pt idx="544">
                  <c:v>7/2003</c:v>
                </c:pt>
                <c:pt idx="545">
                  <c:v>8/2003</c:v>
                </c:pt>
                <c:pt idx="546">
                  <c:v>9/2003</c:v>
                </c:pt>
                <c:pt idx="547">
                  <c:v>10/2003</c:v>
                </c:pt>
                <c:pt idx="548">
                  <c:v>11/2003</c:v>
                </c:pt>
                <c:pt idx="549">
                  <c:v>12/2003</c:v>
                </c:pt>
                <c:pt idx="550">
                  <c:v>1/2004</c:v>
                </c:pt>
                <c:pt idx="551">
                  <c:v>2/2004</c:v>
                </c:pt>
                <c:pt idx="552">
                  <c:v>3/2004</c:v>
                </c:pt>
                <c:pt idx="553">
                  <c:v>4/2004</c:v>
                </c:pt>
                <c:pt idx="554">
                  <c:v>5/2004</c:v>
                </c:pt>
                <c:pt idx="555">
                  <c:v>6/2004</c:v>
                </c:pt>
                <c:pt idx="556">
                  <c:v>7/2004</c:v>
                </c:pt>
                <c:pt idx="557">
                  <c:v>8/2004</c:v>
                </c:pt>
                <c:pt idx="558">
                  <c:v>9/2004</c:v>
                </c:pt>
                <c:pt idx="559">
                  <c:v>10/2004</c:v>
                </c:pt>
                <c:pt idx="560">
                  <c:v>11/2004</c:v>
                </c:pt>
                <c:pt idx="561">
                  <c:v>12/2004</c:v>
                </c:pt>
                <c:pt idx="562">
                  <c:v>1/2005</c:v>
                </c:pt>
                <c:pt idx="563">
                  <c:v>2/2005</c:v>
                </c:pt>
                <c:pt idx="564">
                  <c:v>3/2005</c:v>
                </c:pt>
                <c:pt idx="565">
                  <c:v>4/2005</c:v>
                </c:pt>
                <c:pt idx="566">
                  <c:v>5/2005</c:v>
                </c:pt>
                <c:pt idx="567">
                  <c:v>6/2005</c:v>
                </c:pt>
                <c:pt idx="568">
                  <c:v>7/2005</c:v>
                </c:pt>
                <c:pt idx="569">
                  <c:v>8/2005</c:v>
                </c:pt>
                <c:pt idx="570">
                  <c:v>9/2005</c:v>
                </c:pt>
                <c:pt idx="571">
                  <c:v>10/2005</c:v>
                </c:pt>
                <c:pt idx="572">
                  <c:v>11/2005</c:v>
                </c:pt>
                <c:pt idx="573">
                  <c:v>12/2005</c:v>
                </c:pt>
                <c:pt idx="574">
                  <c:v>1/2006</c:v>
                </c:pt>
                <c:pt idx="575">
                  <c:v>2/2006</c:v>
                </c:pt>
                <c:pt idx="576">
                  <c:v>3/2006</c:v>
                </c:pt>
                <c:pt idx="577">
                  <c:v>4/2006</c:v>
                </c:pt>
                <c:pt idx="578">
                  <c:v>5/2006</c:v>
                </c:pt>
                <c:pt idx="579">
                  <c:v>6/2006</c:v>
                </c:pt>
                <c:pt idx="580">
                  <c:v>7/2006</c:v>
                </c:pt>
                <c:pt idx="581">
                  <c:v>8/2006</c:v>
                </c:pt>
                <c:pt idx="582">
                  <c:v>9/2006</c:v>
                </c:pt>
                <c:pt idx="583">
                  <c:v>10/2006</c:v>
                </c:pt>
                <c:pt idx="584">
                  <c:v>11/2006</c:v>
                </c:pt>
                <c:pt idx="585">
                  <c:v>12/2006</c:v>
                </c:pt>
                <c:pt idx="586">
                  <c:v>1/2007</c:v>
                </c:pt>
                <c:pt idx="587">
                  <c:v>2/2007</c:v>
                </c:pt>
                <c:pt idx="588">
                  <c:v>3/2007</c:v>
                </c:pt>
                <c:pt idx="589">
                  <c:v>4/2007</c:v>
                </c:pt>
                <c:pt idx="590">
                  <c:v>5/2007</c:v>
                </c:pt>
                <c:pt idx="591">
                  <c:v>6/2007</c:v>
                </c:pt>
                <c:pt idx="592">
                  <c:v>7/2007</c:v>
                </c:pt>
                <c:pt idx="593">
                  <c:v>8/2007</c:v>
                </c:pt>
                <c:pt idx="594">
                  <c:v>9/2007</c:v>
                </c:pt>
                <c:pt idx="595">
                  <c:v>10/2007</c:v>
                </c:pt>
                <c:pt idx="596">
                  <c:v>11/2007</c:v>
                </c:pt>
                <c:pt idx="597">
                  <c:v>12/2007</c:v>
                </c:pt>
                <c:pt idx="598">
                  <c:v>1/2008</c:v>
                </c:pt>
                <c:pt idx="599">
                  <c:v>2/2008</c:v>
                </c:pt>
                <c:pt idx="600">
                  <c:v>3/2008</c:v>
                </c:pt>
                <c:pt idx="601">
                  <c:v>4/2008</c:v>
                </c:pt>
                <c:pt idx="602">
                  <c:v>5/2008</c:v>
                </c:pt>
                <c:pt idx="603">
                  <c:v>6/2008</c:v>
                </c:pt>
                <c:pt idx="604">
                  <c:v>7/2008</c:v>
                </c:pt>
                <c:pt idx="605">
                  <c:v>8/2008</c:v>
                </c:pt>
                <c:pt idx="606">
                  <c:v>9/2008</c:v>
                </c:pt>
                <c:pt idx="607">
                  <c:v>10/2008</c:v>
                </c:pt>
                <c:pt idx="608">
                  <c:v>11/2008</c:v>
                </c:pt>
                <c:pt idx="609">
                  <c:v>12/2008</c:v>
                </c:pt>
                <c:pt idx="610">
                  <c:v>1/2009</c:v>
                </c:pt>
                <c:pt idx="611">
                  <c:v>2/2009</c:v>
                </c:pt>
                <c:pt idx="612">
                  <c:v>3/2009</c:v>
                </c:pt>
                <c:pt idx="613">
                  <c:v>4/2009</c:v>
                </c:pt>
                <c:pt idx="614">
                  <c:v>5/2009</c:v>
                </c:pt>
                <c:pt idx="615">
                  <c:v>6/2009</c:v>
                </c:pt>
                <c:pt idx="616">
                  <c:v>7/2009</c:v>
                </c:pt>
                <c:pt idx="617">
                  <c:v>8/2009</c:v>
                </c:pt>
                <c:pt idx="618">
                  <c:v>9/2009</c:v>
                </c:pt>
                <c:pt idx="619">
                  <c:v>10/2009</c:v>
                </c:pt>
                <c:pt idx="620">
                  <c:v>11/2009</c:v>
                </c:pt>
                <c:pt idx="621">
                  <c:v>12/2009</c:v>
                </c:pt>
                <c:pt idx="622">
                  <c:v>1/2010</c:v>
                </c:pt>
                <c:pt idx="623">
                  <c:v>2/2010</c:v>
                </c:pt>
                <c:pt idx="624">
                  <c:v>3/2010</c:v>
                </c:pt>
                <c:pt idx="625">
                  <c:v>4/2010</c:v>
                </c:pt>
                <c:pt idx="626">
                  <c:v>5/2010</c:v>
                </c:pt>
                <c:pt idx="627">
                  <c:v>6/2010</c:v>
                </c:pt>
                <c:pt idx="628">
                  <c:v>7/2010</c:v>
                </c:pt>
                <c:pt idx="629">
                  <c:v>8/2010</c:v>
                </c:pt>
                <c:pt idx="630">
                  <c:v>9/2010</c:v>
                </c:pt>
                <c:pt idx="631">
                  <c:v>10/2010</c:v>
                </c:pt>
                <c:pt idx="632">
                  <c:v>11/2010</c:v>
                </c:pt>
                <c:pt idx="633">
                  <c:v>12/2010</c:v>
                </c:pt>
                <c:pt idx="634">
                  <c:v>1/2011</c:v>
                </c:pt>
                <c:pt idx="635">
                  <c:v>2/2011</c:v>
                </c:pt>
                <c:pt idx="636">
                  <c:v>3/2011</c:v>
                </c:pt>
                <c:pt idx="637">
                  <c:v>4/2011</c:v>
                </c:pt>
                <c:pt idx="638">
                  <c:v>5/2011</c:v>
                </c:pt>
                <c:pt idx="639">
                  <c:v>6/2011</c:v>
                </c:pt>
                <c:pt idx="640">
                  <c:v>7/2011</c:v>
                </c:pt>
                <c:pt idx="641">
                  <c:v>8/2011</c:v>
                </c:pt>
                <c:pt idx="642">
                  <c:v>9/2011</c:v>
                </c:pt>
                <c:pt idx="643">
                  <c:v>10/2011</c:v>
                </c:pt>
                <c:pt idx="644">
                  <c:v>11/2011</c:v>
                </c:pt>
                <c:pt idx="645">
                  <c:v>12/2011</c:v>
                </c:pt>
                <c:pt idx="646">
                  <c:v>1/2012</c:v>
                </c:pt>
                <c:pt idx="647">
                  <c:v>2/2012</c:v>
                </c:pt>
                <c:pt idx="648">
                  <c:v>3/2012</c:v>
                </c:pt>
                <c:pt idx="649">
                  <c:v>4/2012</c:v>
                </c:pt>
                <c:pt idx="650">
                  <c:v>5/2012</c:v>
                </c:pt>
                <c:pt idx="651">
                  <c:v>6/2012</c:v>
                </c:pt>
                <c:pt idx="652">
                  <c:v>7/2012</c:v>
                </c:pt>
                <c:pt idx="653">
                  <c:v>8/2012</c:v>
                </c:pt>
                <c:pt idx="654">
                  <c:v>9/2012</c:v>
                </c:pt>
                <c:pt idx="655">
                  <c:v>10/2012</c:v>
                </c:pt>
                <c:pt idx="656">
                  <c:v>11/2012</c:v>
                </c:pt>
                <c:pt idx="657">
                  <c:v>12/2012</c:v>
                </c:pt>
                <c:pt idx="658">
                  <c:v>1/2013</c:v>
                </c:pt>
                <c:pt idx="659">
                  <c:v>2/2013</c:v>
                </c:pt>
                <c:pt idx="660">
                  <c:v>3/2013</c:v>
                </c:pt>
                <c:pt idx="661">
                  <c:v>4/2013</c:v>
                </c:pt>
                <c:pt idx="662">
                  <c:v>5/2013</c:v>
                </c:pt>
                <c:pt idx="663">
                  <c:v>6/2013</c:v>
                </c:pt>
                <c:pt idx="664">
                  <c:v>7/2013</c:v>
                </c:pt>
                <c:pt idx="665">
                  <c:v>8/2013</c:v>
                </c:pt>
                <c:pt idx="666">
                  <c:v>9/2013</c:v>
                </c:pt>
                <c:pt idx="667">
                  <c:v>10/2013</c:v>
                </c:pt>
                <c:pt idx="668">
                  <c:v>11/2013</c:v>
                </c:pt>
                <c:pt idx="669">
                  <c:v>12/2013</c:v>
                </c:pt>
                <c:pt idx="670">
                  <c:v>1/2014</c:v>
                </c:pt>
                <c:pt idx="671">
                  <c:v>2/2014</c:v>
                </c:pt>
                <c:pt idx="672">
                  <c:v>3/2014</c:v>
                </c:pt>
                <c:pt idx="673">
                  <c:v>4/2014</c:v>
                </c:pt>
                <c:pt idx="674">
                  <c:v>5/2014</c:v>
                </c:pt>
                <c:pt idx="675">
                  <c:v>6/2014</c:v>
                </c:pt>
                <c:pt idx="676">
                  <c:v>7/2014</c:v>
                </c:pt>
                <c:pt idx="677">
                  <c:v>8/2014</c:v>
                </c:pt>
                <c:pt idx="678">
                  <c:v>9/2014</c:v>
                </c:pt>
                <c:pt idx="679">
                  <c:v>10/2014</c:v>
                </c:pt>
                <c:pt idx="680">
                  <c:v>11/2014</c:v>
                </c:pt>
                <c:pt idx="681">
                  <c:v>12/2014</c:v>
                </c:pt>
                <c:pt idx="682">
                  <c:v>1/2015</c:v>
                </c:pt>
                <c:pt idx="683">
                  <c:v>2/2015</c:v>
                </c:pt>
                <c:pt idx="684">
                  <c:v>3/2015</c:v>
                </c:pt>
                <c:pt idx="685">
                  <c:v>4/2015</c:v>
                </c:pt>
                <c:pt idx="686">
                  <c:v>5/2015</c:v>
                </c:pt>
                <c:pt idx="687">
                  <c:v>6/2015</c:v>
                </c:pt>
                <c:pt idx="688">
                  <c:v>7/2015</c:v>
                </c:pt>
                <c:pt idx="689">
                  <c:v>8/2015</c:v>
                </c:pt>
                <c:pt idx="690">
                  <c:v>9/2015</c:v>
                </c:pt>
                <c:pt idx="691">
                  <c:v>10/2015</c:v>
                </c:pt>
                <c:pt idx="692">
                  <c:v>11/2015</c:v>
                </c:pt>
                <c:pt idx="693">
                  <c:v>12/2015</c:v>
                </c:pt>
                <c:pt idx="694">
                  <c:v>1/2016</c:v>
                </c:pt>
                <c:pt idx="695">
                  <c:v>2/2016</c:v>
                </c:pt>
                <c:pt idx="696">
                  <c:v>3/2016</c:v>
                </c:pt>
                <c:pt idx="697">
                  <c:v>4/2016</c:v>
                </c:pt>
                <c:pt idx="698">
                  <c:v>5/2016</c:v>
                </c:pt>
                <c:pt idx="699">
                  <c:v>6/2016</c:v>
                </c:pt>
                <c:pt idx="700">
                  <c:v>7/2016</c:v>
                </c:pt>
                <c:pt idx="701">
                  <c:v>8/2016</c:v>
                </c:pt>
                <c:pt idx="702">
                  <c:v>9/2016</c:v>
                </c:pt>
                <c:pt idx="703">
                  <c:v>10/2016</c:v>
                </c:pt>
                <c:pt idx="704">
                  <c:v>11/2016</c:v>
                </c:pt>
                <c:pt idx="705">
                  <c:v>12/2016</c:v>
                </c:pt>
                <c:pt idx="706">
                  <c:v>1/2017</c:v>
                </c:pt>
                <c:pt idx="707">
                  <c:v>2/2017</c:v>
                </c:pt>
                <c:pt idx="708">
                  <c:v>3/2017</c:v>
                </c:pt>
                <c:pt idx="709">
                  <c:v>4/2017</c:v>
                </c:pt>
                <c:pt idx="710">
                  <c:v>5/2017</c:v>
                </c:pt>
                <c:pt idx="711">
                  <c:v>6/2017</c:v>
                </c:pt>
                <c:pt idx="712">
                  <c:v>7/2017</c:v>
                </c:pt>
                <c:pt idx="713">
                  <c:v>8/2017</c:v>
                </c:pt>
                <c:pt idx="714">
                  <c:v>9/2017</c:v>
                </c:pt>
                <c:pt idx="715">
                  <c:v>10/2017</c:v>
                </c:pt>
                <c:pt idx="716">
                  <c:v>11/2017</c:v>
                </c:pt>
                <c:pt idx="717">
                  <c:v>12/2017</c:v>
                </c:pt>
                <c:pt idx="718">
                  <c:v>1/2018</c:v>
                </c:pt>
                <c:pt idx="719">
                  <c:v>2/2018</c:v>
                </c:pt>
                <c:pt idx="720">
                  <c:v>3/2018</c:v>
                </c:pt>
                <c:pt idx="721">
                  <c:v>4/2018</c:v>
                </c:pt>
                <c:pt idx="722">
                  <c:v>5/2018</c:v>
                </c:pt>
                <c:pt idx="723">
                  <c:v>6/2018</c:v>
                </c:pt>
                <c:pt idx="724">
                  <c:v>7/2018</c:v>
                </c:pt>
                <c:pt idx="725">
                  <c:v>8/2018</c:v>
                </c:pt>
                <c:pt idx="726">
                  <c:v>9/2018</c:v>
                </c:pt>
                <c:pt idx="727">
                  <c:v>10/2018</c:v>
                </c:pt>
                <c:pt idx="728">
                  <c:v>11/2018</c:v>
                </c:pt>
                <c:pt idx="729">
                  <c:v>12/2018</c:v>
                </c:pt>
                <c:pt idx="730">
                  <c:v>1/2019</c:v>
                </c:pt>
                <c:pt idx="731">
                  <c:v>2/2019</c:v>
                </c:pt>
                <c:pt idx="732">
                  <c:v>3/2019</c:v>
                </c:pt>
                <c:pt idx="733">
                  <c:v>4/2019</c:v>
                </c:pt>
                <c:pt idx="734">
                  <c:v>5/2019</c:v>
                </c:pt>
                <c:pt idx="735">
                  <c:v>6/2019</c:v>
                </c:pt>
                <c:pt idx="736">
                  <c:v>7/2019</c:v>
                </c:pt>
                <c:pt idx="737">
                  <c:v>8/2019</c:v>
                </c:pt>
                <c:pt idx="738">
                  <c:v>9/2019</c:v>
                </c:pt>
                <c:pt idx="739">
                  <c:v>10/2019</c:v>
                </c:pt>
                <c:pt idx="740">
                  <c:v>11/2019</c:v>
                </c:pt>
                <c:pt idx="741">
                  <c:v>12/2019</c:v>
                </c:pt>
                <c:pt idx="742">
                  <c:v>1/2020</c:v>
                </c:pt>
                <c:pt idx="743">
                  <c:v>2/2020</c:v>
                </c:pt>
                <c:pt idx="744">
                  <c:v>3/2020</c:v>
                </c:pt>
                <c:pt idx="745">
                  <c:v>4/2020</c:v>
                </c:pt>
                <c:pt idx="746">
                  <c:v>5/2020</c:v>
                </c:pt>
                <c:pt idx="747">
                  <c:v>6/2020</c:v>
                </c:pt>
                <c:pt idx="748">
                  <c:v>7/2020</c:v>
                </c:pt>
                <c:pt idx="749">
                  <c:v>8/2020</c:v>
                </c:pt>
                <c:pt idx="750">
                  <c:v>9/2020</c:v>
                </c:pt>
                <c:pt idx="751">
                  <c:v>10/2020</c:v>
                </c:pt>
                <c:pt idx="752">
                  <c:v>11/2020</c:v>
                </c:pt>
                <c:pt idx="753">
                  <c:v>12/2020</c:v>
                </c:pt>
                <c:pt idx="754">
                  <c:v>1/2021</c:v>
                </c:pt>
                <c:pt idx="755">
                  <c:v>2/2021</c:v>
                </c:pt>
                <c:pt idx="756">
                  <c:v>3/2021</c:v>
                </c:pt>
                <c:pt idx="757">
                  <c:v>4/2021</c:v>
                </c:pt>
                <c:pt idx="758">
                  <c:v>5/2021</c:v>
                </c:pt>
                <c:pt idx="759">
                  <c:v>6/2021</c:v>
                </c:pt>
                <c:pt idx="760">
                  <c:v>7/2021</c:v>
                </c:pt>
                <c:pt idx="761">
                  <c:v>8/2021</c:v>
                </c:pt>
                <c:pt idx="762">
                  <c:v>9/2021</c:v>
                </c:pt>
                <c:pt idx="763">
                  <c:v>10/2021</c:v>
                </c:pt>
                <c:pt idx="764">
                  <c:v>11/2021</c:v>
                </c:pt>
                <c:pt idx="765">
                  <c:v>12/2021</c:v>
                </c:pt>
                <c:pt idx="766">
                  <c:v>1/2022</c:v>
                </c:pt>
                <c:pt idx="767">
                  <c:v>2/2022</c:v>
                </c:pt>
                <c:pt idx="768">
                  <c:v>3/2022</c:v>
                </c:pt>
                <c:pt idx="769">
                  <c:v>4/2022</c:v>
                </c:pt>
                <c:pt idx="770">
                  <c:v>5/2022</c:v>
                </c:pt>
                <c:pt idx="771">
                  <c:v>6/2022</c:v>
                </c:pt>
                <c:pt idx="772">
                  <c:v>7/2022</c:v>
                </c:pt>
                <c:pt idx="773">
                  <c:v>8/2022</c:v>
                </c:pt>
                <c:pt idx="774">
                  <c:v>9/2022</c:v>
                </c:pt>
                <c:pt idx="775">
                  <c:v>10/2022</c:v>
                </c:pt>
                <c:pt idx="776">
                  <c:v>11/2022</c:v>
                </c:pt>
                <c:pt idx="777">
                  <c:v>12/2022</c:v>
                </c:pt>
                <c:pt idx="778">
                  <c:v>1/2023</c:v>
                </c:pt>
                <c:pt idx="779">
                  <c:v>2/2023</c:v>
                </c:pt>
                <c:pt idx="780">
                  <c:v>3/2023</c:v>
                </c:pt>
                <c:pt idx="781">
                  <c:v>4/2023</c:v>
                </c:pt>
                <c:pt idx="782">
                  <c:v>5/2023</c:v>
                </c:pt>
                <c:pt idx="783">
                  <c:v>6/2023</c:v>
                </c:pt>
                <c:pt idx="784">
                  <c:v>7/2023</c:v>
                </c:pt>
                <c:pt idx="785">
                  <c:v>8/2023</c:v>
                </c:pt>
                <c:pt idx="786">
                  <c:v>9/2023</c:v>
                </c:pt>
                <c:pt idx="787">
                  <c:v>10/2023</c:v>
                </c:pt>
                <c:pt idx="788">
                  <c:v>11/2023</c:v>
                </c:pt>
                <c:pt idx="789">
                  <c:v>12/2023</c:v>
                </c:pt>
                <c:pt idx="790">
                  <c:v>1/2024</c:v>
                </c:pt>
                <c:pt idx="791">
                  <c:v>2/2024</c:v>
                </c:pt>
                <c:pt idx="792">
                  <c:v>3/2024</c:v>
                </c:pt>
                <c:pt idx="793">
                  <c:v>4/2024</c:v>
                </c:pt>
                <c:pt idx="794">
                  <c:v>5/2024</c:v>
                </c:pt>
                <c:pt idx="795">
                  <c:v>6/2024</c:v>
                </c:pt>
                <c:pt idx="796">
                  <c:v>7/2024</c:v>
                </c:pt>
                <c:pt idx="797">
                  <c:v>8/2024</c:v>
                </c:pt>
                <c:pt idx="798">
                  <c:v>9/2024</c:v>
                </c:pt>
                <c:pt idx="799">
                  <c:v>10/2024</c:v>
                </c:pt>
                <c:pt idx="800">
                  <c:v>11/2024</c:v>
                </c:pt>
                <c:pt idx="801">
                  <c:v>12/2024</c:v>
                </c:pt>
                <c:pt idx="802">
                  <c:v>1/2025</c:v>
                </c:pt>
                <c:pt idx="803">
                  <c:v>2/2025</c:v>
                </c:pt>
                <c:pt idx="804">
                  <c:v>3/2025</c:v>
                </c:pt>
                <c:pt idx="805">
                  <c:v>4/2025</c:v>
                </c:pt>
                <c:pt idx="806">
                  <c:v>5/2025</c:v>
                </c:pt>
                <c:pt idx="807">
                  <c:v>6/2025</c:v>
                </c:pt>
                <c:pt idx="808">
                  <c:v>7/2025</c:v>
                </c:pt>
                <c:pt idx="809">
                  <c:v>8/2025</c:v>
                </c:pt>
                <c:pt idx="810">
                  <c:v>9/2025</c:v>
                </c:pt>
                <c:pt idx="811">
                  <c:v>10/2025</c:v>
                </c:pt>
                <c:pt idx="812">
                  <c:v>11/2025</c:v>
                </c:pt>
                <c:pt idx="813">
                  <c:v>12/2025</c:v>
                </c:pt>
                <c:pt idx="814">
                  <c:v>1/2026</c:v>
                </c:pt>
                <c:pt idx="815">
                  <c:v>2/2026</c:v>
                </c:pt>
                <c:pt idx="816">
                  <c:v>3/2026</c:v>
                </c:pt>
                <c:pt idx="817">
                  <c:v>4/2026</c:v>
                </c:pt>
                <c:pt idx="818">
                  <c:v>5/2026</c:v>
                </c:pt>
                <c:pt idx="819">
                  <c:v>6/2026</c:v>
                </c:pt>
                <c:pt idx="820">
                  <c:v>7/2026</c:v>
                </c:pt>
                <c:pt idx="821">
                  <c:v>8/2026</c:v>
                </c:pt>
              </c:strCache>
            </c:strRef>
          </c:cat>
          <c:val>
            <c:numRef>
              <c:f>'F Plus CO2'!$C$940:$C$1761</c:f>
              <c:numCache>
                <c:formatCode>General</c:formatCode>
                <c:ptCount val="822"/>
                <c:pt idx="0">
                  <c:v>315.70999999999998</c:v>
                </c:pt>
                <c:pt idx="1">
                  <c:v>317.45</c:v>
                </c:pt>
                <c:pt idx="2">
                  <c:v>317.51</c:v>
                </c:pt>
                <c:pt idx="3">
                  <c:v>317.27</c:v>
                </c:pt>
                <c:pt idx="4">
                  <c:v>315.87</c:v>
                </c:pt>
                <c:pt idx="5">
                  <c:v>314.93</c:v>
                </c:pt>
                <c:pt idx="6">
                  <c:v>313.20999999999998</c:v>
                </c:pt>
                <c:pt idx="7">
                  <c:v>312.42</c:v>
                </c:pt>
                <c:pt idx="8">
                  <c:v>313.33</c:v>
                </c:pt>
                <c:pt idx="9">
                  <c:v>314.67</c:v>
                </c:pt>
                <c:pt idx="10">
                  <c:v>315.58</c:v>
                </c:pt>
                <c:pt idx="11">
                  <c:v>316.49</c:v>
                </c:pt>
                <c:pt idx="12">
                  <c:v>316.64999999999998</c:v>
                </c:pt>
                <c:pt idx="13">
                  <c:v>317.72000000000003</c:v>
                </c:pt>
                <c:pt idx="14">
                  <c:v>318.29000000000002</c:v>
                </c:pt>
                <c:pt idx="15">
                  <c:v>318.14999999999998</c:v>
                </c:pt>
                <c:pt idx="16">
                  <c:v>316.54000000000002</c:v>
                </c:pt>
                <c:pt idx="17">
                  <c:v>314.8</c:v>
                </c:pt>
                <c:pt idx="18">
                  <c:v>313.83999999999997</c:v>
                </c:pt>
                <c:pt idx="19">
                  <c:v>313.33</c:v>
                </c:pt>
                <c:pt idx="20">
                  <c:v>314.81</c:v>
                </c:pt>
                <c:pt idx="21">
                  <c:v>315.58</c:v>
                </c:pt>
                <c:pt idx="22">
                  <c:v>316.43</c:v>
                </c:pt>
                <c:pt idx="23">
                  <c:v>316.98</c:v>
                </c:pt>
                <c:pt idx="24">
                  <c:v>317.58</c:v>
                </c:pt>
                <c:pt idx="25">
                  <c:v>319.02999999999997</c:v>
                </c:pt>
                <c:pt idx="26">
                  <c:v>320.02999999999997</c:v>
                </c:pt>
                <c:pt idx="27">
                  <c:v>319.58</c:v>
                </c:pt>
                <c:pt idx="28">
                  <c:v>318.18</c:v>
                </c:pt>
                <c:pt idx="29">
                  <c:v>315.89999999999998</c:v>
                </c:pt>
                <c:pt idx="30">
                  <c:v>314.17</c:v>
                </c:pt>
                <c:pt idx="31">
                  <c:v>313.83</c:v>
                </c:pt>
                <c:pt idx="32">
                  <c:v>315</c:v>
                </c:pt>
                <c:pt idx="33">
                  <c:v>316.19</c:v>
                </c:pt>
                <c:pt idx="34">
                  <c:v>316.89</c:v>
                </c:pt>
                <c:pt idx="35">
                  <c:v>317.7</c:v>
                </c:pt>
                <c:pt idx="36">
                  <c:v>318.54000000000002</c:v>
                </c:pt>
                <c:pt idx="37">
                  <c:v>319.48</c:v>
                </c:pt>
                <c:pt idx="38">
                  <c:v>320.58</c:v>
                </c:pt>
                <c:pt idx="39">
                  <c:v>319.77</c:v>
                </c:pt>
                <c:pt idx="40">
                  <c:v>318.56</c:v>
                </c:pt>
                <c:pt idx="41">
                  <c:v>316.79000000000002</c:v>
                </c:pt>
                <c:pt idx="42">
                  <c:v>314.99</c:v>
                </c:pt>
                <c:pt idx="43">
                  <c:v>315.31</c:v>
                </c:pt>
                <c:pt idx="44">
                  <c:v>316.10000000000002</c:v>
                </c:pt>
                <c:pt idx="45">
                  <c:v>317.01</c:v>
                </c:pt>
                <c:pt idx="46">
                  <c:v>317.94</c:v>
                </c:pt>
                <c:pt idx="47">
                  <c:v>318.55</c:v>
                </c:pt>
                <c:pt idx="48">
                  <c:v>319.68</c:v>
                </c:pt>
                <c:pt idx="49">
                  <c:v>320.57</c:v>
                </c:pt>
                <c:pt idx="50">
                  <c:v>321.02</c:v>
                </c:pt>
                <c:pt idx="51">
                  <c:v>320.62</c:v>
                </c:pt>
                <c:pt idx="52">
                  <c:v>319.61</c:v>
                </c:pt>
                <c:pt idx="53">
                  <c:v>317.39999999999998</c:v>
                </c:pt>
                <c:pt idx="54">
                  <c:v>316.24</c:v>
                </c:pt>
                <c:pt idx="55">
                  <c:v>315.42</c:v>
                </c:pt>
                <c:pt idx="56">
                  <c:v>316.69</c:v>
                </c:pt>
                <c:pt idx="57">
                  <c:v>317.7</c:v>
                </c:pt>
                <c:pt idx="58">
                  <c:v>318.74</c:v>
                </c:pt>
                <c:pt idx="59">
                  <c:v>319.07</c:v>
                </c:pt>
                <c:pt idx="60">
                  <c:v>319.86</c:v>
                </c:pt>
                <c:pt idx="61">
                  <c:v>321.38</c:v>
                </c:pt>
                <c:pt idx="62">
                  <c:v>322.24</c:v>
                </c:pt>
                <c:pt idx="63">
                  <c:v>321.49</c:v>
                </c:pt>
                <c:pt idx="64">
                  <c:v>319.74</c:v>
                </c:pt>
                <c:pt idx="65">
                  <c:v>317.77</c:v>
                </c:pt>
                <c:pt idx="66">
                  <c:v>316.20999999999998</c:v>
                </c:pt>
                <c:pt idx="67">
                  <c:v>315.99</c:v>
                </c:pt>
                <c:pt idx="68">
                  <c:v>317.07</c:v>
                </c:pt>
                <c:pt idx="69">
                  <c:v>318.35000000000002</c:v>
                </c:pt>
                <c:pt idx="70">
                  <c:v>319.57</c:v>
                </c:pt>
                <c:pt idx="71">
                  <c:v>320.04000000000002</c:v>
                </c:pt>
                <c:pt idx="72">
                  <c:v>320.75</c:v>
                </c:pt>
                <c:pt idx="73">
                  <c:v>321.83999999999997</c:v>
                </c:pt>
                <c:pt idx="74">
                  <c:v>322.25</c:v>
                </c:pt>
                <c:pt idx="75">
                  <c:v>321.89</c:v>
                </c:pt>
                <c:pt idx="76">
                  <c:v>320.44</c:v>
                </c:pt>
                <c:pt idx="77">
                  <c:v>318.69</c:v>
                </c:pt>
                <c:pt idx="78">
                  <c:v>316.70999999999998</c:v>
                </c:pt>
                <c:pt idx="79">
                  <c:v>316.87</c:v>
                </c:pt>
                <c:pt idx="80">
                  <c:v>317.68</c:v>
                </c:pt>
                <c:pt idx="81">
                  <c:v>318.70999999999998</c:v>
                </c:pt>
                <c:pt idx="82">
                  <c:v>319.44</c:v>
                </c:pt>
                <c:pt idx="83">
                  <c:v>320.44</c:v>
                </c:pt>
                <c:pt idx="84">
                  <c:v>320.89</c:v>
                </c:pt>
                <c:pt idx="85">
                  <c:v>322.14</c:v>
                </c:pt>
                <c:pt idx="86">
                  <c:v>322.17</c:v>
                </c:pt>
                <c:pt idx="87">
                  <c:v>321.87</c:v>
                </c:pt>
                <c:pt idx="88">
                  <c:v>321.20999999999998</c:v>
                </c:pt>
                <c:pt idx="89">
                  <c:v>318.87</c:v>
                </c:pt>
                <c:pt idx="90">
                  <c:v>317.82</c:v>
                </c:pt>
                <c:pt idx="91">
                  <c:v>317.3</c:v>
                </c:pt>
                <c:pt idx="92">
                  <c:v>318.87</c:v>
                </c:pt>
                <c:pt idx="93">
                  <c:v>319.42</c:v>
                </c:pt>
                <c:pt idx="94">
                  <c:v>320.62</c:v>
                </c:pt>
                <c:pt idx="95">
                  <c:v>321.60000000000002</c:v>
                </c:pt>
                <c:pt idx="96">
                  <c:v>322.39</c:v>
                </c:pt>
                <c:pt idx="97">
                  <c:v>323.7</c:v>
                </c:pt>
                <c:pt idx="98">
                  <c:v>324.08</c:v>
                </c:pt>
                <c:pt idx="99">
                  <c:v>323.75</c:v>
                </c:pt>
                <c:pt idx="100">
                  <c:v>322.37</c:v>
                </c:pt>
                <c:pt idx="101">
                  <c:v>320.36</c:v>
                </c:pt>
                <c:pt idx="102">
                  <c:v>318.64</c:v>
                </c:pt>
                <c:pt idx="103">
                  <c:v>318.10000000000002</c:v>
                </c:pt>
                <c:pt idx="104">
                  <c:v>319.77999999999997</c:v>
                </c:pt>
                <c:pt idx="105">
                  <c:v>321.02</c:v>
                </c:pt>
                <c:pt idx="106">
                  <c:v>322.33</c:v>
                </c:pt>
                <c:pt idx="107">
                  <c:v>322.5</c:v>
                </c:pt>
                <c:pt idx="108">
                  <c:v>323.02999999999997</c:v>
                </c:pt>
                <c:pt idx="109">
                  <c:v>324.41000000000003</c:v>
                </c:pt>
                <c:pt idx="110">
                  <c:v>325</c:v>
                </c:pt>
                <c:pt idx="111">
                  <c:v>324.08999999999997</c:v>
                </c:pt>
                <c:pt idx="112">
                  <c:v>322.54000000000002</c:v>
                </c:pt>
                <c:pt idx="113">
                  <c:v>320.92</c:v>
                </c:pt>
                <c:pt idx="114">
                  <c:v>319.25</c:v>
                </c:pt>
                <c:pt idx="115">
                  <c:v>319.39</c:v>
                </c:pt>
                <c:pt idx="116">
                  <c:v>320.73</c:v>
                </c:pt>
                <c:pt idx="117">
                  <c:v>321.95999999999998</c:v>
                </c:pt>
                <c:pt idx="118">
                  <c:v>322.57</c:v>
                </c:pt>
                <c:pt idx="119">
                  <c:v>323.14999999999998</c:v>
                </c:pt>
                <c:pt idx="120">
                  <c:v>323.89</c:v>
                </c:pt>
                <c:pt idx="121">
                  <c:v>325.02</c:v>
                </c:pt>
                <c:pt idx="122">
                  <c:v>325.57</c:v>
                </c:pt>
                <c:pt idx="123">
                  <c:v>325.36</c:v>
                </c:pt>
                <c:pt idx="124">
                  <c:v>324.14</c:v>
                </c:pt>
                <c:pt idx="125">
                  <c:v>322.11</c:v>
                </c:pt>
                <c:pt idx="126">
                  <c:v>320.33</c:v>
                </c:pt>
                <c:pt idx="127">
                  <c:v>320.25</c:v>
                </c:pt>
                <c:pt idx="128">
                  <c:v>321.32</c:v>
                </c:pt>
                <c:pt idx="129">
                  <c:v>322.89</c:v>
                </c:pt>
                <c:pt idx="130">
                  <c:v>324</c:v>
                </c:pt>
                <c:pt idx="131">
                  <c:v>324.41000000000003</c:v>
                </c:pt>
                <c:pt idx="132">
                  <c:v>325.63</c:v>
                </c:pt>
                <c:pt idx="133">
                  <c:v>326.66000000000003</c:v>
                </c:pt>
                <c:pt idx="134">
                  <c:v>327.38</c:v>
                </c:pt>
                <c:pt idx="135">
                  <c:v>326.70999999999998</c:v>
                </c:pt>
                <c:pt idx="136">
                  <c:v>325.88</c:v>
                </c:pt>
                <c:pt idx="137">
                  <c:v>323.66000000000003</c:v>
                </c:pt>
                <c:pt idx="138">
                  <c:v>322.38</c:v>
                </c:pt>
                <c:pt idx="139">
                  <c:v>321.77999999999997</c:v>
                </c:pt>
                <c:pt idx="140">
                  <c:v>322.85000000000002</c:v>
                </c:pt>
                <c:pt idx="141">
                  <c:v>324.11</c:v>
                </c:pt>
                <c:pt idx="142">
                  <c:v>325.06</c:v>
                </c:pt>
                <c:pt idx="143">
                  <c:v>325.99</c:v>
                </c:pt>
                <c:pt idx="144">
                  <c:v>326.93</c:v>
                </c:pt>
                <c:pt idx="145">
                  <c:v>328.13</c:v>
                </c:pt>
                <c:pt idx="146">
                  <c:v>328.08</c:v>
                </c:pt>
                <c:pt idx="147">
                  <c:v>327.67</c:v>
                </c:pt>
                <c:pt idx="148">
                  <c:v>326.33999999999997</c:v>
                </c:pt>
                <c:pt idx="149">
                  <c:v>324.68</c:v>
                </c:pt>
                <c:pt idx="150">
                  <c:v>323.10000000000002</c:v>
                </c:pt>
                <c:pt idx="151">
                  <c:v>323.06</c:v>
                </c:pt>
                <c:pt idx="152">
                  <c:v>324.01</c:v>
                </c:pt>
                <c:pt idx="153">
                  <c:v>325.13</c:v>
                </c:pt>
                <c:pt idx="154">
                  <c:v>326.17</c:v>
                </c:pt>
                <c:pt idx="155">
                  <c:v>326.69</c:v>
                </c:pt>
                <c:pt idx="156">
                  <c:v>327.18</c:v>
                </c:pt>
                <c:pt idx="157">
                  <c:v>327.78</c:v>
                </c:pt>
                <c:pt idx="158">
                  <c:v>328.93</c:v>
                </c:pt>
                <c:pt idx="159">
                  <c:v>328.57</c:v>
                </c:pt>
                <c:pt idx="160">
                  <c:v>327.36</c:v>
                </c:pt>
                <c:pt idx="161">
                  <c:v>325.43</c:v>
                </c:pt>
                <c:pt idx="162">
                  <c:v>323.36</c:v>
                </c:pt>
                <c:pt idx="163">
                  <c:v>323.56</c:v>
                </c:pt>
                <c:pt idx="164">
                  <c:v>324.8</c:v>
                </c:pt>
                <c:pt idx="165">
                  <c:v>326.01</c:v>
                </c:pt>
                <c:pt idx="166">
                  <c:v>326.77</c:v>
                </c:pt>
                <c:pt idx="167">
                  <c:v>327.63</c:v>
                </c:pt>
                <c:pt idx="168">
                  <c:v>327.75</c:v>
                </c:pt>
                <c:pt idx="169">
                  <c:v>329.72</c:v>
                </c:pt>
                <c:pt idx="170">
                  <c:v>330.07</c:v>
                </c:pt>
                <c:pt idx="171">
                  <c:v>329.09</c:v>
                </c:pt>
                <c:pt idx="172">
                  <c:v>328.04</c:v>
                </c:pt>
                <c:pt idx="173">
                  <c:v>326.32</c:v>
                </c:pt>
                <c:pt idx="174">
                  <c:v>324.83999999999997</c:v>
                </c:pt>
                <c:pt idx="175">
                  <c:v>325.2</c:v>
                </c:pt>
                <c:pt idx="176">
                  <c:v>326.5</c:v>
                </c:pt>
                <c:pt idx="177">
                  <c:v>327.55</c:v>
                </c:pt>
                <c:pt idx="178">
                  <c:v>328.55</c:v>
                </c:pt>
                <c:pt idx="179">
                  <c:v>329.57</c:v>
                </c:pt>
                <c:pt idx="180">
                  <c:v>330.3</c:v>
                </c:pt>
                <c:pt idx="181">
                  <c:v>331.5</c:v>
                </c:pt>
                <c:pt idx="182">
                  <c:v>332.48</c:v>
                </c:pt>
                <c:pt idx="183">
                  <c:v>332.07</c:v>
                </c:pt>
                <c:pt idx="184">
                  <c:v>330.87</c:v>
                </c:pt>
                <c:pt idx="185">
                  <c:v>329.31</c:v>
                </c:pt>
                <c:pt idx="186">
                  <c:v>327.52</c:v>
                </c:pt>
                <c:pt idx="187">
                  <c:v>327.19</c:v>
                </c:pt>
                <c:pt idx="188">
                  <c:v>328.17</c:v>
                </c:pt>
                <c:pt idx="189">
                  <c:v>328.65</c:v>
                </c:pt>
                <c:pt idx="190">
                  <c:v>329.36</c:v>
                </c:pt>
                <c:pt idx="191">
                  <c:v>330.71</c:v>
                </c:pt>
                <c:pt idx="192">
                  <c:v>331.49</c:v>
                </c:pt>
                <c:pt idx="193">
                  <c:v>332.65</c:v>
                </c:pt>
                <c:pt idx="194">
                  <c:v>333.19</c:v>
                </c:pt>
                <c:pt idx="195">
                  <c:v>332.2</c:v>
                </c:pt>
                <c:pt idx="196">
                  <c:v>331.07</c:v>
                </c:pt>
                <c:pt idx="197">
                  <c:v>329.15</c:v>
                </c:pt>
                <c:pt idx="198">
                  <c:v>327.33</c:v>
                </c:pt>
                <c:pt idx="199">
                  <c:v>327.27999999999997</c:v>
                </c:pt>
                <c:pt idx="200">
                  <c:v>328.31</c:v>
                </c:pt>
                <c:pt idx="201">
                  <c:v>329.58</c:v>
                </c:pt>
                <c:pt idx="202">
                  <c:v>330.73</c:v>
                </c:pt>
                <c:pt idx="203">
                  <c:v>331.46</c:v>
                </c:pt>
                <c:pt idx="204">
                  <c:v>331.94</c:v>
                </c:pt>
                <c:pt idx="205">
                  <c:v>333.11</c:v>
                </c:pt>
                <c:pt idx="206">
                  <c:v>333.95</c:v>
                </c:pt>
                <c:pt idx="207">
                  <c:v>333.42</c:v>
                </c:pt>
                <c:pt idx="208">
                  <c:v>331.97</c:v>
                </c:pt>
                <c:pt idx="209">
                  <c:v>329.95</c:v>
                </c:pt>
                <c:pt idx="210">
                  <c:v>328.49</c:v>
                </c:pt>
                <c:pt idx="211">
                  <c:v>328.36</c:v>
                </c:pt>
                <c:pt idx="212">
                  <c:v>329.38</c:v>
                </c:pt>
                <c:pt idx="213">
                  <c:v>330.77</c:v>
                </c:pt>
                <c:pt idx="214">
                  <c:v>331.56</c:v>
                </c:pt>
                <c:pt idx="215">
                  <c:v>332.74</c:v>
                </c:pt>
                <c:pt idx="216">
                  <c:v>333.36</c:v>
                </c:pt>
                <c:pt idx="217">
                  <c:v>334.74</c:v>
                </c:pt>
                <c:pt idx="218">
                  <c:v>334.72</c:v>
                </c:pt>
                <c:pt idx="219">
                  <c:v>333.97</c:v>
                </c:pt>
                <c:pt idx="220">
                  <c:v>333.08</c:v>
                </c:pt>
                <c:pt idx="221">
                  <c:v>330.68</c:v>
                </c:pt>
                <c:pt idx="222">
                  <c:v>328.96</c:v>
                </c:pt>
                <c:pt idx="223">
                  <c:v>328.72</c:v>
                </c:pt>
                <c:pt idx="224">
                  <c:v>330.16</c:v>
                </c:pt>
                <c:pt idx="225">
                  <c:v>331.62</c:v>
                </c:pt>
                <c:pt idx="226">
                  <c:v>332.68</c:v>
                </c:pt>
                <c:pt idx="227">
                  <c:v>333.17</c:v>
                </c:pt>
                <c:pt idx="228">
                  <c:v>334.96</c:v>
                </c:pt>
                <c:pt idx="229">
                  <c:v>336.14</c:v>
                </c:pt>
                <c:pt idx="230">
                  <c:v>336.93</c:v>
                </c:pt>
                <c:pt idx="231">
                  <c:v>336.17</c:v>
                </c:pt>
                <c:pt idx="232">
                  <c:v>334.89</c:v>
                </c:pt>
                <c:pt idx="233">
                  <c:v>332.56</c:v>
                </c:pt>
                <c:pt idx="234">
                  <c:v>331.29</c:v>
                </c:pt>
                <c:pt idx="235">
                  <c:v>331.28</c:v>
                </c:pt>
                <c:pt idx="236">
                  <c:v>332.46</c:v>
                </c:pt>
                <c:pt idx="237">
                  <c:v>333.6</c:v>
                </c:pt>
                <c:pt idx="238">
                  <c:v>334.94</c:v>
                </c:pt>
                <c:pt idx="239">
                  <c:v>335.26</c:v>
                </c:pt>
                <c:pt idx="240">
                  <c:v>336.66</c:v>
                </c:pt>
                <c:pt idx="241">
                  <c:v>337.69</c:v>
                </c:pt>
                <c:pt idx="242">
                  <c:v>338.02</c:v>
                </c:pt>
                <c:pt idx="243">
                  <c:v>338.01</c:v>
                </c:pt>
                <c:pt idx="244">
                  <c:v>336.5</c:v>
                </c:pt>
                <c:pt idx="245">
                  <c:v>334.42</c:v>
                </c:pt>
                <c:pt idx="246">
                  <c:v>332.36</c:v>
                </c:pt>
                <c:pt idx="247">
                  <c:v>332.45</c:v>
                </c:pt>
                <c:pt idx="248">
                  <c:v>333.76</c:v>
                </c:pt>
                <c:pt idx="249">
                  <c:v>334.91</c:v>
                </c:pt>
                <c:pt idx="250">
                  <c:v>336.14</c:v>
                </c:pt>
                <c:pt idx="251">
                  <c:v>336.69</c:v>
                </c:pt>
                <c:pt idx="252">
                  <c:v>338.27</c:v>
                </c:pt>
                <c:pt idx="253">
                  <c:v>338.82</c:v>
                </c:pt>
                <c:pt idx="254">
                  <c:v>339.24</c:v>
                </c:pt>
                <c:pt idx="255">
                  <c:v>339.26</c:v>
                </c:pt>
                <c:pt idx="256">
                  <c:v>337.54</c:v>
                </c:pt>
                <c:pt idx="257">
                  <c:v>335.72</c:v>
                </c:pt>
                <c:pt idx="258">
                  <c:v>333.97</c:v>
                </c:pt>
                <c:pt idx="259">
                  <c:v>334.24</c:v>
                </c:pt>
                <c:pt idx="260">
                  <c:v>335.32</c:v>
                </c:pt>
                <c:pt idx="261">
                  <c:v>336.81</c:v>
                </c:pt>
                <c:pt idx="262">
                  <c:v>337.9</c:v>
                </c:pt>
                <c:pt idx="263">
                  <c:v>338.34</c:v>
                </c:pt>
                <c:pt idx="264">
                  <c:v>340.07</c:v>
                </c:pt>
                <c:pt idx="265">
                  <c:v>340.93</c:v>
                </c:pt>
                <c:pt idx="266">
                  <c:v>341.45</c:v>
                </c:pt>
                <c:pt idx="267">
                  <c:v>341.36</c:v>
                </c:pt>
                <c:pt idx="268">
                  <c:v>339.45</c:v>
                </c:pt>
                <c:pt idx="269">
                  <c:v>337.67</c:v>
                </c:pt>
                <c:pt idx="270">
                  <c:v>336.25</c:v>
                </c:pt>
                <c:pt idx="271">
                  <c:v>336.14</c:v>
                </c:pt>
                <c:pt idx="272">
                  <c:v>337.3</c:v>
                </c:pt>
                <c:pt idx="273">
                  <c:v>338.29</c:v>
                </c:pt>
                <c:pt idx="274">
                  <c:v>339.29</c:v>
                </c:pt>
                <c:pt idx="275">
                  <c:v>340.55</c:v>
                </c:pt>
                <c:pt idx="276">
                  <c:v>341.63</c:v>
                </c:pt>
                <c:pt idx="277">
                  <c:v>342.6</c:v>
                </c:pt>
                <c:pt idx="278">
                  <c:v>343.04</c:v>
                </c:pt>
                <c:pt idx="279">
                  <c:v>342.54</c:v>
                </c:pt>
                <c:pt idx="280">
                  <c:v>340.82</c:v>
                </c:pt>
                <c:pt idx="281">
                  <c:v>338.48</c:v>
                </c:pt>
                <c:pt idx="282">
                  <c:v>336.95</c:v>
                </c:pt>
                <c:pt idx="283">
                  <c:v>337.05</c:v>
                </c:pt>
                <c:pt idx="284">
                  <c:v>338.58</c:v>
                </c:pt>
                <c:pt idx="285">
                  <c:v>339.91</c:v>
                </c:pt>
                <c:pt idx="286">
                  <c:v>340.93</c:v>
                </c:pt>
                <c:pt idx="287">
                  <c:v>341.76</c:v>
                </c:pt>
                <c:pt idx="288">
                  <c:v>342.78</c:v>
                </c:pt>
                <c:pt idx="289">
                  <c:v>343.96</c:v>
                </c:pt>
                <c:pt idx="290">
                  <c:v>344.77</c:v>
                </c:pt>
                <c:pt idx="291">
                  <c:v>343.88</c:v>
                </c:pt>
                <c:pt idx="292">
                  <c:v>342.42</c:v>
                </c:pt>
                <c:pt idx="293">
                  <c:v>340.24</c:v>
                </c:pt>
                <c:pt idx="294">
                  <c:v>338.37</c:v>
                </c:pt>
                <c:pt idx="295">
                  <c:v>338.41</c:v>
                </c:pt>
                <c:pt idx="296">
                  <c:v>339.44</c:v>
                </c:pt>
                <c:pt idx="297">
                  <c:v>340.78</c:v>
                </c:pt>
                <c:pt idx="298">
                  <c:v>341.57</c:v>
                </c:pt>
                <c:pt idx="299">
                  <c:v>342.78</c:v>
                </c:pt>
                <c:pt idx="300">
                  <c:v>343.37</c:v>
                </c:pt>
                <c:pt idx="301">
                  <c:v>345.4</c:v>
                </c:pt>
                <c:pt idx="302">
                  <c:v>346.14</c:v>
                </c:pt>
                <c:pt idx="303">
                  <c:v>345.76</c:v>
                </c:pt>
                <c:pt idx="304">
                  <c:v>344.32</c:v>
                </c:pt>
                <c:pt idx="305">
                  <c:v>342.51</c:v>
                </c:pt>
                <c:pt idx="306">
                  <c:v>340.46</c:v>
                </c:pt>
                <c:pt idx="307">
                  <c:v>340.53</c:v>
                </c:pt>
                <c:pt idx="308">
                  <c:v>341.79</c:v>
                </c:pt>
                <c:pt idx="309">
                  <c:v>343.2</c:v>
                </c:pt>
                <c:pt idx="310">
                  <c:v>344.21</c:v>
                </c:pt>
                <c:pt idx="311">
                  <c:v>344.92</c:v>
                </c:pt>
                <c:pt idx="312">
                  <c:v>345.68</c:v>
                </c:pt>
                <c:pt idx="313">
                  <c:v>347.37</c:v>
                </c:pt>
                <c:pt idx="314">
                  <c:v>347.77</c:v>
                </c:pt>
                <c:pt idx="315">
                  <c:v>347.16</c:v>
                </c:pt>
                <c:pt idx="316">
                  <c:v>345.79</c:v>
                </c:pt>
                <c:pt idx="317">
                  <c:v>343.74</c:v>
                </c:pt>
                <c:pt idx="318">
                  <c:v>341.59</c:v>
                </c:pt>
                <c:pt idx="319">
                  <c:v>341.86</c:v>
                </c:pt>
                <c:pt idx="320">
                  <c:v>343.31</c:v>
                </c:pt>
                <c:pt idx="321">
                  <c:v>345</c:v>
                </c:pt>
                <c:pt idx="322">
                  <c:v>345.48</c:v>
                </c:pt>
                <c:pt idx="323">
                  <c:v>346.41</c:v>
                </c:pt>
                <c:pt idx="324">
                  <c:v>347.91</c:v>
                </c:pt>
                <c:pt idx="325">
                  <c:v>348.66</c:v>
                </c:pt>
                <c:pt idx="326">
                  <c:v>349.28</c:v>
                </c:pt>
                <c:pt idx="327">
                  <c:v>348.65</c:v>
                </c:pt>
                <c:pt idx="328">
                  <c:v>346.9</c:v>
                </c:pt>
                <c:pt idx="329">
                  <c:v>345.26</c:v>
                </c:pt>
                <c:pt idx="330">
                  <c:v>343.47</c:v>
                </c:pt>
                <c:pt idx="331">
                  <c:v>343.35</c:v>
                </c:pt>
                <c:pt idx="332">
                  <c:v>344.73</c:v>
                </c:pt>
                <c:pt idx="333">
                  <c:v>346.12</c:v>
                </c:pt>
                <c:pt idx="334">
                  <c:v>346.78</c:v>
                </c:pt>
                <c:pt idx="335">
                  <c:v>347.48</c:v>
                </c:pt>
                <c:pt idx="336">
                  <c:v>348.25</c:v>
                </c:pt>
                <c:pt idx="337">
                  <c:v>349.86</c:v>
                </c:pt>
                <c:pt idx="338">
                  <c:v>350.52</c:v>
                </c:pt>
                <c:pt idx="339">
                  <c:v>349.98</c:v>
                </c:pt>
                <c:pt idx="340">
                  <c:v>348.25</c:v>
                </c:pt>
                <c:pt idx="341">
                  <c:v>346.17</c:v>
                </c:pt>
                <c:pt idx="342">
                  <c:v>345.48</c:v>
                </c:pt>
                <c:pt idx="343">
                  <c:v>344.82</c:v>
                </c:pt>
                <c:pt idx="344">
                  <c:v>346.22</c:v>
                </c:pt>
                <c:pt idx="345">
                  <c:v>347.48</c:v>
                </c:pt>
                <c:pt idx="346">
                  <c:v>348.73</c:v>
                </c:pt>
                <c:pt idx="347">
                  <c:v>348.92</c:v>
                </c:pt>
                <c:pt idx="348">
                  <c:v>349.81</c:v>
                </c:pt>
                <c:pt idx="349">
                  <c:v>351.4</c:v>
                </c:pt>
                <c:pt idx="350">
                  <c:v>352.15</c:v>
                </c:pt>
                <c:pt idx="351">
                  <c:v>351.58</c:v>
                </c:pt>
                <c:pt idx="352">
                  <c:v>350.21</c:v>
                </c:pt>
                <c:pt idx="353">
                  <c:v>348.2</c:v>
                </c:pt>
                <c:pt idx="354">
                  <c:v>346.66</c:v>
                </c:pt>
                <c:pt idx="355">
                  <c:v>346.72</c:v>
                </c:pt>
                <c:pt idx="356">
                  <c:v>348.08</c:v>
                </c:pt>
                <c:pt idx="357">
                  <c:v>349.28</c:v>
                </c:pt>
                <c:pt idx="358">
                  <c:v>350.51</c:v>
                </c:pt>
                <c:pt idx="359">
                  <c:v>351.7</c:v>
                </c:pt>
                <c:pt idx="360">
                  <c:v>352.5</c:v>
                </c:pt>
                <c:pt idx="361">
                  <c:v>353.67</c:v>
                </c:pt>
                <c:pt idx="362">
                  <c:v>354.35</c:v>
                </c:pt>
                <c:pt idx="363">
                  <c:v>353.88</c:v>
                </c:pt>
                <c:pt idx="364">
                  <c:v>352.8</c:v>
                </c:pt>
                <c:pt idx="365">
                  <c:v>350.49</c:v>
                </c:pt>
                <c:pt idx="366">
                  <c:v>348.97</c:v>
                </c:pt>
                <c:pt idx="367">
                  <c:v>349.37</c:v>
                </c:pt>
                <c:pt idx="368">
                  <c:v>350.42</c:v>
                </c:pt>
                <c:pt idx="369">
                  <c:v>351.62</c:v>
                </c:pt>
                <c:pt idx="370">
                  <c:v>353.07</c:v>
                </c:pt>
                <c:pt idx="371">
                  <c:v>353.43</c:v>
                </c:pt>
                <c:pt idx="372">
                  <c:v>354.08</c:v>
                </c:pt>
                <c:pt idx="373">
                  <c:v>355.72</c:v>
                </c:pt>
                <c:pt idx="374">
                  <c:v>355.95</c:v>
                </c:pt>
                <c:pt idx="375">
                  <c:v>355.44</c:v>
                </c:pt>
                <c:pt idx="376">
                  <c:v>354.05</c:v>
                </c:pt>
                <c:pt idx="377">
                  <c:v>351.84</c:v>
                </c:pt>
                <c:pt idx="378">
                  <c:v>350.09</c:v>
                </c:pt>
                <c:pt idx="379">
                  <c:v>350.33</c:v>
                </c:pt>
                <c:pt idx="380">
                  <c:v>351.55</c:v>
                </c:pt>
                <c:pt idx="381">
                  <c:v>352.91</c:v>
                </c:pt>
                <c:pt idx="382">
                  <c:v>353.86</c:v>
                </c:pt>
                <c:pt idx="383">
                  <c:v>355.1</c:v>
                </c:pt>
                <c:pt idx="384">
                  <c:v>355.75</c:v>
                </c:pt>
                <c:pt idx="385">
                  <c:v>356.38</c:v>
                </c:pt>
                <c:pt idx="386">
                  <c:v>357.38</c:v>
                </c:pt>
                <c:pt idx="387">
                  <c:v>356.39</c:v>
                </c:pt>
                <c:pt idx="388">
                  <c:v>354.89</c:v>
                </c:pt>
                <c:pt idx="389">
                  <c:v>353.06</c:v>
                </c:pt>
                <c:pt idx="390">
                  <c:v>351.38</c:v>
                </c:pt>
                <c:pt idx="391">
                  <c:v>351.69</c:v>
                </c:pt>
                <c:pt idx="392">
                  <c:v>353.14</c:v>
                </c:pt>
                <c:pt idx="393">
                  <c:v>354.41</c:v>
                </c:pt>
                <c:pt idx="394">
                  <c:v>354.93</c:v>
                </c:pt>
                <c:pt idx="395">
                  <c:v>355.82</c:v>
                </c:pt>
                <c:pt idx="396">
                  <c:v>357.33</c:v>
                </c:pt>
                <c:pt idx="397">
                  <c:v>358.77</c:v>
                </c:pt>
                <c:pt idx="398">
                  <c:v>359.23</c:v>
                </c:pt>
                <c:pt idx="399">
                  <c:v>358.23</c:v>
                </c:pt>
                <c:pt idx="400">
                  <c:v>356.3</c:v>
                </c:pt>
                <c:pt idx="401">
                  <c:v>353.97</c:v>
                </c:pt>
                <c:pt idx="402">
                  <c:v>352.34</c:v>
                </c:pt>
                <c:pt idx="403">
                  <c:v>352.43</c:v>
                </c:pt>
                <c:pt idx="404">
                  <c:v>353.89</c:v>
                </c:pt>
                <c:pt idx="405">
                  <c:v>355.21</c:v>
                </c:pt>
                <c:pt idx="406">
                  <c:v>356.34</c:v>
                </c:pt>
                <c:pt idx="407">
                  <c:v>357.21</c:v>
                </c:pt>
                <c:pt idx="408">
                  <c:v>357.97</c:v>
                </c:pt>
                <c:pt idx="409">
                  <c:v>359.22</c:v>
                </c:pt>
                <c:pt idx="410">
                  <c:v>359.71</c:v>
                </c:pt>
                <c:pt idx="411">
                  <c:v>359.44</c:v>
                </c:pt>
                <c:pt idx="412">
                  <c:v>357.15</c:v>
                </c:pt>
                <c:pt idx="413">
                  <c:v>354.99</c:v>
                </c:pt>
                <c:pt idx="414">
                  <c:v>353.01</c:v>
                </c:pt>
                <c:pt idx="415">
                  <c:v>353.4</c:v>
                </c:pt>
                <c:pt idx="416">
                  <c:v>354.42</c:v>
                </c:pt>
                <c:pt idx="417">
                  <c:v>355.68</c:v>
                </c:pt>
                <c:pt idx="418">
                  <c:v>357.1</c:v>
                </c:pt>
                <c:pt idx="419">
                  <c:v>357.42</c:v>
                </c:pt>
                <c:pt idx="420">
                  <c:v>358.59</c:v>
                </c:pt>
                <c:pt idx="421">
                  <c:v>359.39</c:v>
                </c:pt>
                <c:pt idx="422">
                  <c:v>360.3</c:v>
                </c:pt>
                <c:pt idx="423">
                  <c:v>359.64</c:v>
                </c:pt>
                <c:pt idx="424">
                  <c:v>357.45</c:v>
                </c:pt>
                <c:pt idx="425">
                  <c:v>355.76</c:v>
                </c:pt>
                <c:pt idx="426">
                  <c:v>354.14</c:v>
                </c:pt>
                <c:pt idx="427">
                  <c:v>354.23</c:v>
                </c:pt>
                <c:pt idx="428">
                  <c:v>355.53</c:v>
                </c:pt>
                <c:pt idx="429">
                  <c:v>357.03</c:v>
                </c:pt>
                <c:pt idx="430">
                  <c:v>358.36</c:v>
                </c:pt>
                <c:pt idx="431">
                  <c:v>359.04</c:v>
                </c:pt>
                <c:pt idx="432">
                  <c:v>360.11</c:v>
                </c:pt>
                <c:pt idx="433">
                  <c:v>361.36</c:v>
                </c:pt>
                <c:pt idx="434">
                  <c:v>361.78</c:v>
                </c:pt>
                <c:pt idx="435">
                  <c:v>360.94</c:v>
                </c:pt>
                <c:pt idx="436">
                  <c:v>359.51</c:v>
                </c:pt>
                <c:pt idx="437">
                  <c:v>357.59</c:v>
                </c:pt>
                <c:pt idx="438">
                  <c:v>355.86</c:v>
                </c:pt>
                <c:pt idx="439">
                  <c:v>356.21</c:v>
                </c:pt>
                <c:pt idx="440">
                  <c:v>357.65</c:v>
                </c:pt>
                <c:pt idx="441">
                  <c:v>359.1</c:v>
                </c:pt>
                <c:pt idx="442">
                  <c:v>360.04</c:v>
                </c:pt>
                <c:pt idx="443">
                  <c:v>361</c:v>
                </c:pt>
                <c:pt idx="444">
                  <c:v>361.98</c:v>
                </c:pt>
                <c:pt idx="445">
                  <c:v>363.44</c:v>
                </c:pt>
                <c:pt idx="446">
                  <c:v>363.83</c:v>
                </c:pt>
                <c:pt idx="447">
                  <c:v>363.33</c:v>
                </c:pt>
                <c:pt idx="448">
                  <c:v>361.78</c:v>
                </c:pt>
                <c:pt idx="449">
                  <c:v>359.33</c:v>
                </c:pt>
                <c:pt idx="450">
                  <c:v>358.32</c:v>
                </c:pt>
                <c:pt idx="451">
                  <c:v>358.14</c:v>
                </c:pt>
                <c:pt idx="452">
                  <c:v>359.61</c:v>
                </c:pt>
                <c:pt idx="453">
                  <c:v>360.82</c:v>
                </c:pt>
                <c:pt idx="454">
                  <c:v>362.2</c:v>
                </c:pt>
                <c:pt idx="455">
                  <c:v>363.36</c:v>
                </c:pt>
                <c:pt idx="456">
                  <c:v>364.28</c:v>
                </c:pt>
                <c:pt idx="457">
                  <c:v>364.69</c:v>
                </c:pt>
                <c:pt idx="458">
                  <c:v>365.25</c:v>
                </c:pt>
                <c:pt idx="459">
                  <c:v>365.06</c:v>
                </c:pt>
                <c:pt idx="460">
                  <c:v>363.69</c:v>
                </c:pt>
                <c:pt idx="461">
                  <c:v>361.55</c:v>
                </c:pt>
                <c:pt idx="462">
                  <c:v>359.69</c:v>
                </c:pt>
                <c:pt idx="463">
                  <c:v>359.72</c:v>
                </c:pt>
                <c:pt idx="464">
                  <c:v>361.04</c:v>
                </c:pt>
                <c:pt idx="465">
                  <c:v>362.39</c:v>
                </c:pt>
                <c:pt idx="466">
                  <c:v>363.24</c:v>
                </c:pt>
                <c:pt idx="467">
                  <c:v>364.21</c:v>
                </c:pt>
                <c:pt idx="468">
                  <c:v>364.65</c:v>
                </c:pt>
                <c:pt idx="469">
                  <c:v>366.49</c:v>
                </c:pt>
                <c:pt idx="470">
                  <c:v>366.77</c:v>
                </c:pt>
                <c:pt idx="471">
                  <c:v>365.73</c:v>
                </c:pt>
                <c:pt idx="472">
                  <c:v>364.46</c:v>
                </c:pt>
                <c:pt idx="473">
                  <c:v>362.4</c:v>
                </c:pt>
                <c:pt idx="474">
                  <c:v>360.44</c:v>
                </c:pt>
                <c:pt idx="475">
                  <c:v>360.97</c:v>
                </c:pt>
                <c:pt idx="476">
                  <c:v>362.65</c:v>
                </c:pt>
                <c:pt idx="477">
                  <c:v>364.51</c:v>
                </c:pt>
                <c:pt idx="478">
                  <c:v>365.39</c:v>
                </c:pt>
                <c:pt idx="479">
                  <c:v>366.1</c:v>
                </c:pt>
                <c:pt idx="480">
                  <c:v>367.36</c:v>
                </c:pt>
                <c:pt idx="481">
                  <c:v>368.79</c:v>
                </c:pt>
                <c:pt idx="482">
                  <c:v>369.56</c:v>
                </c:pt>
                <c:pt idx="483">
                  <c:v>369.13</c:v>
                </c:pt>
                <c:pt idx="484">
                  <c:v>367.98</c:v>
                </c:pt>
                <c:pt idx="485">
                  <c:v>366.1</c:v>
                </c:pt>
                <c:pt idx="486">
                  <c:v>364.16</c:v>
                </c:pt>
                <c:pt idx="487">
                  <c:v>364.54</c:v>
                </c:pt>
                <c:pt idx="488">
                  <c:v>365.67</c:v>
                </c:pt>
                <c:pt idx="489">
                  <c:v>367.3</c:v>
                </c:pt>
                <c:pt idx="490">
                  <c:v>368.35</c:v>
                </c:pt>
                <c:pt idx="491">
                  <c:v>369.28</c:v>
                </c:pt>
                <c:pt idx="492">
                  <c:v>369.84</c:v>
                </c:pt>
                <c:pt idx="493">
                  <c:v>371.15</c:v>
                </c:pt>
                <c:pt idx="494">
                  <c:v>371.12</c:v>
                </c:pt>
                <c:pt idx="495">
                  <c:v>370.46</c:v>
                </c:pt>
                <c:pt idx="496">
                  <c:v>369.61</c:v>
                </c:pt>
                <c:pt idx="497">
                  <c:v>367.06</c:v>
                </c:pt>
                <c:pt idx="498">
                  <c:v>364.95</c:v>
                </c:pt>
                <c:pt idx="499">
                  <c:v>365.52</c:v>
                </c:pt>
                <c:pt idx="500">
                  <c:v>366.88</c:v>
                </c:pt>
                <c:pt idx="501">
                  <c:v>368.26</c:v>
                </c:pt>
                <c:pt idx="502">
                  <c:v>369.45</c:v>
                </c:pt>
                <c:pt idx="503">
                  <c:v>369.71</c:v>
                </c:pt>
                <c:pt idx="504">
                  <c:v>370.75</c:v>
                </c:pt>
                <c:pt idx="505">
                  <c:v>371.98</c:v>
                </c:pt>
                <c:pt idx="506">
                  <c:v>371.75</c:v>
                </c:pt>
                <c:pt idx="507">
                  <c:v>371.87</c:v>
                </c:pt>
                <c:pt idx="508">
                  <c:v>370.02</c:v>
                </c:pt>
                <c:pt idx="509">
                  <c:v>368.27</c:v>
                </c:pt>
                <c:pt idx="510">
                  <c:v>367.15</c:v>
                </c:pt>
                <c:pt idx="511">
                  <c:v>367.18</c:v>
                </c:pt>
                <c:pt idx="512">
                  <c:v>368.53</c:v>
                </c:pt>
                <c:pt idx="513">
                  <c:v>369.83</c:v>
                </c:pt>
                <c:pt idx="514">
                  <c:v>370.76</c:v>
                </c:pt>
                <c:pt idx="515">
                  <c:v>371.69</c:v>
                </c:pt>
                <c:pt idx="516">
                  <c:v>372.63</c:v>
                </c:pt>
                <c:pt idx="517">
                  <c:v>373.55</c:v>
                </c:pt>
                <c:pt idx="518">
                  <c:v>374.03</c:v>
                </c:pt>
                <c:pt idx="519">
                  <c:v>373.4</c:v>
                </c:pt>
                <c:pt idx="520">
                  <c:v>371.68</c:v>
                </c:pt>
                <c:pt idx="521">
                  <c:v>369.78</c:v>
                </c:pt>
                <c:pt idx="522">
                  <c:v>368.34</c:v>
                </c:pt>
                <c:pt idx="523">
                  <c:v>368.61</c:v>
                </c:pt>
                <c:pt idx="524">
                  <c:v>369.94</c:v>
                </c:pt>
                <c:pt idx="525">
                  <c:v>371.42</c:v>
                </c:pt>
                <c:pt idx="526">
                  <c:v>372.7</c:v>
                </c:pt>
                <c:pt idx="527">
                  <c:v>373.37</c:v>
                </c:pt>
                <c:pt idx="528">
                  <c:v>374.3</c:v>
                </c:pt>
                <c:pt idx="529">
                  <c:v>375.19</c:v>
                </c:pt>
                <c:pt idx="530">
                  <c:v>375.93</c:v>
                </c:pt>
                <c:pt idx="531">
                  <c:v>375.69</c:v>
                </c:pt>
                <c:pt idx="532">
                  <c:v>374.16</c:v>
                </c:pt>
                <c:pt idx="533">
                  <c:v>372.03</c:v>
                </c:pt>
                <c:pt idx="534">
                  <c:v>370.92</c:v>
                </c:pt>
                <c:pt idx="535">
                  <c:v>370.73</c:v>
                </c:pt>
                <c:pt idx="536">
                  <c:v>372.43</c:v>
                </c:pt>
                <c:pt idx="537">
                  <c:v>373.98</c:v>
                </c:pt>
                <c:pt idx="538">
                  <c:v>375.07</c:v>
                </c:pt>
                <c:pt idx="539">
                  <c:v>375.82</c:v>
                </c:pt>
                <c:pt idx="540">
                  <c:v>376.64</c:v>
                </c:pt>
                <c:pt idx="541">
                  <c:v>377.92</c:v>
                </c:pt>
                <c:pt idx="542">
                  <c:v>378.78</c:v>
                </c:pt>
                <c:pt idx="543">
                  <c:v>378.46</c:v>
                </c:pt>
                <c:pt idx="544">
                  <c:v>376.88</c:v>
                </c:pt>
                <c:pt idx="545">
                  <c:v>374.57</c:v>
                </c:pt>
                <c:pt idx="546">
                  <c:v>373.34</c:v>
                </c:pt>
                <c:pt idx="547">
                  <c:v>373.31</c:v>
                </c:pt>
                <c:pt idx="548">
                  <c:v>374.84</c:v>
                </c:pt>
                <c:pt idx="549">
                  <c:v>376.17</c:v>
                </c:pt>
                <c:pt idx="550">
                  <c:v>377.17</c:v>
                </c:pt>
                <c:pt idx="551">
                  <c:v>378.05</c:v>
                </c:pt>
                <c:pt idx="552">
                  <c:v>379.06</c:v>
                </c:pt>
                <c:pt idx="553">
                  <c:v>380.54</c:v>
                </c:pt>
                <c:pt idx="554">
                  <c:v>380.8</c:v>
                </c:pt>
                <c:pt idx="555">
                  <c:v>379.87</c:v>
                </c:pt>
                <c:pt idx="556">
                  <c:v>377.65</c:v>
                </c:pt>
                <c:pt idx="557">
                  <c:v>376.17</c:v>
                </c:pt>
                <c:pt idx="558">
                  <c:v>374.43</c:v>
                </c:pt>
                <c:pt idx="559">
                  <c:v>374.63</c:v>
                </c:pt>
                <c:pt idx="560">
                  <c:v>376.33</c:v>
                </c:pt>
                <c:pt idx="561">
                  <c:v>377.68</c:v>
                </c:pt>
                <c:pt idx="562">
                  <c:v>378.63</c:v>
                </c:pt>
                <c:pt idx="563">
                  <c:v>379.91</c:v>
                </c:pt>
                <c:pt idx="564">
                  <c:v>380.95</c:v>
                </c:pt>
                <c:pt idx="565">
                  <c:v>382.48</c:v>
                </c:pt>
                <c:pt idx="566">
                  <c:v>382.64</c:v>
                </c:pt>
                <c:pt idx="567">
                  <c:v>382.4</c:v>
                </c:pt>
                <c:pt idx="568">
                  <c:v>380.93</c:v>
                </c:pt>
                <c:pt idx="569">
                  <c:v>378.93</c:v>
                </c:pt>
                <c:pt idx="570">
                  <c:v>376.89</c:v>
                </c:pt>
                <c:pt idx="571">
                  <c:v>377.19</c:v>
                </c:pt>
                <c:pt idx="572">
                  <c:v>378.54</c:v>
                </c:pt>
                <c:pt idx="573">
                  <c:v>380.31</c:v>
                </c:pt>
                <c:pt idx="574">
                  <c:v>381.58</c:v>
                </c:pt>
                <c:pt idx="575">
                  <c:v>382.4</c:v>
                </c:pt>
                <c:pt idx="576">
                  <c:v>382.86</c:v>
                </c:pt>
                <c:pt idx="577">
                  <c:v>384.8</c:v>
                </c:pt>
                <c:pt idx="578">
                  <c:v>385.22</c:v>
                </c:pt>
                <c:pt idx="579">
                  <c:v>384.24</c:v>
                </c:pt>
                <c:pt idx="580">
                  <c:v>382.65</c:v>
                </c:pt>
                <c:pt idx="581">
                  <c:v>380.6</c:v>
                </c:pt>
                <c:pt idx="582">
                  <c:v>379.04</c:v>
                </c:pt>
                <c:pt idx="583">
                  <c:v>379.33</c:v>
                </c:pt>
                <c:pt idx="584">
                  <c:v>380.35</c:v>
                </c:pt>
                <c:pt idx="585">
                  <c:v>382.02</c:v>
                </c:pt>
                <c:pt idx="586">
                  <c:v>383.1</c:v>
                </c:pt>
                <c:pt idx="587">
                  <c:v>384.12</c:v>
                </c:pt>
                <c:pt idx="588">
                  <c:v>384.81</c:v>
                </c:pt>
                <c:pt idx="589">
                  <c:v>386.73</c:v>
                </c:pt>
                <c:pt idx="590">
                  <c:v>386.78</c:v>
                </c:pt>
                <c:pt idx="591">
                  <c:v>386.33</c:v>
                </c:pt>
                <c:pt idx="592">
                  <c:v>384.73</c:v>
                </c:pt>
                <c:pt idx="593">
                  <c:v>382.24</c:v>
                </c:pt>
                <c:pt idx="594">
                  <c:v>381.2</c:v>
                </c:pt>
                <c:pt idx="595">
                  <c:v>381.37</c:v>
                </c:pt>
                <c:pt idx="596">
                  <c:v>382.7</c:v>
                </c:pt>
                <c:pt idx="597">
                  <c:v>384.19</c:v>
                </c:pt>
                <c:pt idx="598">
                  <c:v>385.78</c:v>
                </c:pt>
                <c:pt idx="599">
                  <c:v>386.06</c:v>
                </c:pt>
                <c:pt idx="600">
                  <c:v>386.28</c:v>
                </c:pt>
                <c:pt idx="601">
                  <c:v>387.33</c:v>
                </c:pt>
                <c:pt idx="602">
                  <c:v>388.78</c:v>
                </c:pt>
                <c:pt idx="603">
                  <c:v>387.99</c:v>
                </c:pt>
                <c:pt idx="604">
                  <c:v>386.62</c:v>
                </c:pt>
                <c:pt idx="605">
                  <c:v>384.32</c:v>
                </c:pt>
                <c:pt idx="606">
                  <c:v>383.41</c:v>
                </c:pt>
                <c:pt idx="607">
                  <c:v>383.22</c:v>
                </c:pt>
                <c:pt idx="608">
                  <c:v>384.41</c:v>
                </c:pt>
                <c:pt idx="609">
                  <c:v>385.79</c:v>
                </c:pt>
                <c:pt idx="610">
                  <c:v>387.17</c:v>
                </c:pt>
                <c:pt idx="611">
                  <c:v>387.7</c:v>
                </c:pt>
                <c:pt idx="612">
                  <c:v>389.04</c:v>
                </c:pt>
                <c:pt idx="613">
                  <c:v>389.76</c:v>
                </c:pt>
                <c:pt idx="614">
                  <c:v>390.36</c:v>
                </c:pt>
                <c:pt idx="615">
                  <c:v>389.7</c:v>
                </c:pt>
                <c:pt idx="616">
                  <c:v>388.24</c:v>
                </c:pt>
                <c:pt idx="617">
                  <c:v>386.29</c:v>
                </c:pt>
                <c:pt idx="618">
                  <c:v>384.95</c:v>
                </c:pt>
                <c:pt idx="619">
                  <c:v>384.64</c:v>
                </c:pt>
                <c:pt idx="620">
                  <c:v>386.23</c:v>
                </c:pt>
                <c:pt idx="621">
                  <c:v>387.63</c:v>
                </c:pt>
                <c:pt idx="622">
                  <c:v>388.91</c:v>
                </c:pt>
                <c:pt idx="623">
                  <c:v>390.41</c:v>
                </c:pt>
                <c:pt idx="624">
                  <c:v>391.37</c:v>
                </c:pt>
                <c:pt idx="625">
                  <c:v>392.67</c:v>
                </c:pt>
                <c:pt idx="626">
                  <c:v>393.21</c:v>
                </c:pt>
                <c:pt idx="627">
                  <c:v>392.38</c:v>
                </c:pt>
                <c:pt idx="628">
                  <c:v>390.41</c:v>
                </c:pt>
                <c:pt idx="629">
                  <c:v>388.54</c:v>
                </c:pt>
                <c:pt idx="630">
                  <c:v>387.03</c:v>
                </c:pt>
                <c:pt idx="631">
                  <c:v>387.43</c:v>
                </c:pt>
                <c:pt idx="632">
                  <c:v>388.87</c:v>
                </c:pt>
                <c:pt idx="633">
                  <c:v>389.99</c:v>
                </c:pt>
                <c:pt idx="634">
                  <c:v>391.5</c:v>
                </c:pt>
                <c:pt idx="635">
                  <c:v>392.05</c:v>
                </c:pt>
                <c:pt idx="636">
                  <c:v>392.8</c:v>
                </c:pt>
                <c:pt idx="637">
                  <c:v>393.44</c:v>
                </c:pt>
                <c:pt idx="638">
                  <c:v>394.41</c:v>
                </c:pt>
                <c:pt idx="639">
                  <c:v>393.95</c:v>
                </c:pt>
                <c:pt idx="640">
                  <c:v>392.72</c:v>
                </c:pt>
                <c:pt idx="641">
                  <c:v>390.33</c:v>
                </c:pt>
                <c:pt idx="642">
                  <c:v>389.28</c:v>
                </c:pt>
                <c:pt idx="643">
                  <c:v>389.19</c:v>
                </c:pt>
                <c:pt idx="644">
                  <c:v>390.48</c:v>
                </c:pt>
                <c:pt idx="645">
                  <c:v>392.06</c:v>
                </c:pt>
                <c:pt idx="646">
                  <c:v>393.31</c:v>
                </c:pt>
                <c:pt idx="647">
                  <c:v>394.04</c:v>
                </c:pt>
                <c:pt idx="648">
                  <c:v>394.59</c:v>
                </c:pt>
                <c:pt idx="649">
                  <c:v>396.38</c:v>
                </c:pt>
                <c:pt idx="650">
                  <c:v>396.93</c:v>
                </c:pt>
                <c:pt idx="651">
                  <c:v>395.91</c:v>
                </c:pt>
                <c:pt idx="652">
                  <c:v>394.56</c:v>
                </c:pt>
                <c:pt idx="653">
                  <c:v>392.59</c:v>
                </c:pt>
                <c:pt idx="654">
                  <c:v>391.32</c:v>
                </c:pt>
                <c:pt idx="655">
                  <c:v>391.27</c:v>
                </c:pt>
                <c:pt idx="656">
                  <c:v>393.2</c:v>
                </c:pt>
                <c:pt idx="657">
                  <c:v>394.57</c:v>
                </c:pt>
                <c:pt idx="658">
                  <c:v>395.78</c:v>
                </c:pt>
                <c:pt idx="659">
                  <c:v>397.03</c:v>
                </c:pt>
                <c:pt idx="660">
                  <c:v>397.66</c:v>
                </c:pt>
                <c:pt idx="661">
                  <c:v>398.64</c:v>
                </c:pt>
                <c:pt idx="662">
                  <c:v>400.02</c:v>
                </c:pt>
                <c:pt idx="663">
                  <c:v>398.81</c:v>
                </c:pt>
                <c:pt idx="664">
                  <c:v>397.51</c:v>
                </c:pt>
                <c:pt idx="665">
                  <c:v>395.39</c:v>
                </c:pt>
                <c:pt idx="666">
                  <c:v>393.72</c:v>
                </c:pt>
                <c:pt idx="667">
                  <c:v>393.9</c:v>
                </c:pt>
                <c:pt idx="668">
                  <c:v>395.36</c:v>
                </c:pt>
                <c:pt idx="669">
                  <c:v>397.03</c:v>
                </c:pt>
                <c:pt idx="670">
                  <c:v>398.04</c:v>
                </c:pt>
                <c:pt idx="671">
                  <c:v>398.27</c:v>
                </c:pt>
                <c:pt idx="672">
                  <c:v>399.91</c:v>
                </c:pt>
                <c:pt idx="673">
                  <c:v>401.51</c:v>
                </c:pt>
                <c:pt idx="674">
                  <c:v>401.96</c:v>
                </c:pt>
                <c:pt idx="675">
                  <c:v>401.43</c:v>
                </c:pt>
                <c:pt idx="676">
                  <c:v>399.27</c:v>
                </c:pt>
                <c:pt idx="677">
                  <c:v>397.18</c:v>
                </c:pt>
                <c:pt idx="678">
                  <c:v>395.54</c:v>
                </c:pt>
                <c:pt idx="679">
                  <c:v>396.16</c:v>
                </c:pt>
                <c:pt idx="680">
                  <c:v>397.4</c:v>
                </c:pt>
                <c:pt idx="681">
                  <c:v>399.08</c:v>
                </c:pt>
                <c:pt idx="682">
                  <c:v>400.18</c:v>
                </c:pt>
                <c:pt idx="683">
                  <c:v>400.55</c:v>
                </c:pt>
                <c:pt idx="684">
                  <c:v>401.74</c:v>
                </c:pt>
                <c:pt idx="685">
                  <c:v>403.35</c:v>
                </c:pt>
                <c:pt idx="686">
                  <c:v>404.15</c:v>
                </c:pt>
                <c:pt idx="687">
                  <c:v>402.97</c:v>
                </c:pt>
                <c:pt idx="688">
                  <c:v>401.46</c:v>
                </c:pt>
                <c:pt idx="689">
                  <c:v>399.11</c:v>
                </c:pt>
                <c:pt idx="690">
                  <c:v>397.82</c:v>
                </c:pt>
                <c:pt idx="691">
                  <c:v>398.49</c:v>
                </c:pt>
                <c:pt idx="692">
                  <c:v>400.27</c:v>
                </c:pt>
                <c:pt idx="693">
                  <c:v>402.06</c:v>
                </c:pt>
                <c:pt idx="694">
                  <c:v>402.73</c:v>
                </c:pt>
                <c:pt idx="695">
                  <c:v>404.25</c:v>
                </c:pt>
                <c:pt idx="696">
                  <c:v>405.06</c:v>
                </c:pt>
                <c:pt idx="697">
                  <c:v>407.6</c:v>
                </c:pt>
                <c:pt idx="698">
                  <c:v>407.9</c:v>
                </c:pt>
                <c:pt idx="699">
                  <c:v>406.99</c:v>
                </c:pt>
                <c:pt idx="700">
                  <c:v>404.59</c:v>
                </c:pt>
                <c:pt idx="701">
                  <c:v>402.45</c:v>
                </c:pt>
                <c:pt idx="702">
                  <c:v>401.23</c:v>
                </c:pt>
                <c:pt idx="703">
                  <c:v>401.79</c:v>
                </c:pt>
                <c:pt idx="704">
                  <c:v>403.72</c:v>
                </c:pt>
                <c:pt idx="705">
                  <c:v>404.64</c:v>
                </c:pt>
                <c:pt idx="706">
                  <c:v>406.36</c:v>
                </c:pt>
                <c:pt idx="707">
                  <c:v>406.66</c:v>
                </c:pt>
                <c:pt idx="708">
                  <c:v>407.54</c:v>
                </c:pt>
                <c:pt idx="709">
                  <c:v>409.22</c:v>
                </c:pt>
                <c:pt idx="710">
                  <c:v>409.89</c:v>
                </c:pt>
                <c:pt idx="711">
                  <c:v>409.08</c:v>
                </c:pt>
                <c:pt idx="712">
                  <c:v>407.33</c:v>
                </c:pt>
                <c:pt idx="713">
                  <c:v>405.32</c:v>
                </c:pt>
                <c:pt idx="714">
                  <c:v>403.57</c:v>
                </c:pt>
                <c:pt idx="715">
                  <c:v>403.82</c:v>
                </c:pt>
                <c:pt idx="716">
                  <c:v>405.31</c:v>
                </c:pt>
                <c:pt idx="717">
                  <c:v>407</c:v>
                </c:pt>
                <c:pt idx="718">
                  <c:v>408.15</c:v>
                </c:pt>
                <c:pt idx="719">
                  <c:v>408.52</c:v>
                </c:pt>
                <c:pt idx="720">
                  <c:v>409.59</c:v>
                </c:pt>
                <c:pt idx="721">
                  <c:v>410.45</c:v>
                </c:pt>
                <c:pt idx="722">
                  <c:v>411.44</c:v>
                </c:pt>
                <c:pt idx="723">
                  <c:v>410.99</c:v>
                </c:pt>
                <c:pt idx="724">
                  <c:v>408.9</c:v>
                </c:pt>
                <c:pt idx="725">
                  <c:v>407.16</c:v>
                </c:pt>
                <c:pt idx="726">
                  <c:v>405.71</c:v>
                </c:pt>
                <c:pt idx="727">
                  <c:v>406.19</c:v>
                </c:pt>
                <c:pt idx="728">
                  <c:v>408.21</c:v>
                </c:pt>
                <c:pt idx="729">
                  <c:v>409.27</c:v>
                </c:pt>
                <c:pt idx="730">
                  <c:v>411.03</c:v>
                </c:pt>
                <c:pt idx="731">
                  <c:v>411.96</c:v>
                </c:pt>
                <c:pt idx="732">
                  <c:v>412.18</c:v>
                </c:pt>
                <c:pt idx="733">
                  <c:v>413.54</c:v>
                </c:pt>
                <c:pt idx="734">
                  <c:v>414.86</c:v>
                </c:pt>
                <c:pt idx="735">
                  <c:v>414.15</c:v>
                </c:pt>
                <c:pt idx="736">
                  <c:v>411.96</c:v>
                </c:pt>
                <c:pt idx="737">
                  <c:v>410.17</c:v>
                </c:pt>
                <c:pt idx="738">
                  <c:v>408.76</c:v>
                </c:pt>
                <c:pt idx="739">
                  <c:v>408.74</c:v>
                </c:pt>
                <c:pt idx="740">
                  <c:v>410.47</c:v>
                </c:pt>
                <c:pt idx="741">
                  <c:v>411.97</c:v>
                </c:pt>
                <c:pt idx="742">
                  <c:v>413.59</c:v>
                </c:pt>
                <c:pt idx="743">
                  <c:v>414.32</c:v>
                </c:pt>
                <c:pt idx="744">
                  <c:v>414.72</c:v>
                </c:pt>
                <c:pt idx="745">
                  <c:v>416.42</c:v>
                </c:pt>
                <c:pt idx="746">
                  <c:v>417.28</c:v>
                </c:pt>
                <c:pt idx="747">
                  <c:v>416.58</c:v>
                </c:pt>
                <c:pt idx="748">
                  <c:v>414.58</c:v>
                </c:pt>
                <c:pt idx="749">
                  <c:v>412.75</c:v>
                </c:pt>
                <c:pt idx="750">
                  <c:v>411.5</c:v>
                </c:pt>
                <c:pt idx="751">
                  <c:v>411.49</c:v>
                </c:pt>
                <c:pt idx="752">
                  <c:v>413.1</c:v>
                </c:pt>
                <c:pt idx="753">
                  <c:v>414.23</c:v>
                </c:pt>
                <c:pt idx="754">
                  <c:v>415.49</c:v>
                </c:pt>
                <c:pt idx="755">
                  <c:v>416.72</c:v>
                </c:pt>
                <c:pt idx="756">
                  <c:v>417.61</c:v>
                </c:pt>
                <c:pt idx="757">
                  <c:v>419.01</c:v>
                </c:pt>
                <c:pt idx="758">
                  <c:v>419.09</c:v>
                </c:pt>
                <c:pt idx="759">
                  <c:v>418.93</c:v>
                </c:pt>
                <c:pt idx="760">
                  <c:v>416.9</c:v>
                </c:pt>
                <c:pt idx="761">
                  <c:v>414.42</c:v>
                </c:pt>
                <c:pt idx="762">
                  <c:v>413.26</c:v>
                </c:pt>
                <c:pt idx="763">
                  <c:v>413.9</c:v>
                </c:pt>
                <c:pt idx="764">
                  <c:v>414.97</c:v>
                </c:pt>
                <c:pt idx="765">
                  <c:v>416.67</c:v>
                </c:pt>
                <c:pt idx="766">
                  <c:v>418.13</c:v>
                </c:pt>
                <c:pt idx="767">
                  <c:v>419.24</c:v>
                </c:pt>
                <c:pt idx="768">
                  <c:v>418.76</c:v>
                </c:pt>
                <c:pt idx="769">
                  <c:v>420.19</c:v>
                </c:pt>
                <c:pt idx="770">
                  <c:v>420.97</c:v>
                </c:pt>
                <c:pt idx="771">
                  <c:v>420.94</c:v>
                </c:pt>
                <c:pt idx="772">
                  <c:v>418.85</c:v>
                </c:pt>
                <c:pt idx="773">
                  <c:v>417.15</c:v>
                </c:pt>
                <c:pt idx="774">
                  <c:v>415.91</c:v>
                </c:pt>
                <c:pt idx="775">
                  <c:v>415.74</c:v>
                </c:pt>
                <c:pt idx="776">
                  <c:v>417.47</c:v>
                </c:pt>
                <c:pt idx="777">
                  <c:v>418.99</c:v>
                </c:pt>
                <c:pt idx="778">
                  <c:v>419.48</c:v>
                </c:pt>
                <c:pt idx="779">
                  <c:v>420.31</c:v>
                </c:pt>
                <c:pt idx="780">
                  <c:v>420.99</c:v>
                </c:pt>
                <c:pt idx="781">
                  <c:v>423.35</c:v>
                </c:pt>
                <c:pt idx="782">
                  <c:v>424</c:v>
                </c:pt>
                <c:pt idx="783">
                  <c:v>423.68</c:v>
                </c:pt>
                <c:pt idx="784">
                  <c:v>421.83</c:v>
                </c:pt>
                <c:pt idx="785">
                  <c:v>419.68</c:v>
                </c:pt>
                <c:pt idx="786">
                  <c:v>418.5</c:v>
                </c:pt>
                <c:pt idx="787">
                  <c:v>418.82</c:v>
                </c:pt>
                <c:pt idx="788">
                  <c:v>420.46</c:v>
                </c:pt>
                <c:pt idx="789">
                  <c:v>421.86</c:v>
                </c:pt>
                <c:pt idx="790">
                  <c:v>422.8</c:v>
                </c:pt>
                <c:pt idx="791">
                  <c:v>424.55</c:v>
                </c:pt>
                <c:pt idx="792">
                  <c:v>425.38</c:v>
                </c:pt>
                <c:pt idx="793">
                  <c:v>426.51</c:v>
                </c:pt>
                <c:pt idx="794">
                  <c:v>426.9</c:v>
                </c:pt>
                <c:pt idx="795">
                  <c:v>426.91</c:v>
                </c:pt>
                <c:pt idx="796">
                  <c:v>425.55</c:v>
                </c:pt>
                <c:pt idx="797">
                  <c:v>422.99</c:v>
                </c:pt>
                <c:pt idx="798">
                  <c:v>422.03</c:v>
                </c:pt>
                <c:pt idx="799">
                  <c:v>422.38</c:v>
                </c:pt>
                <c:pt idx="800">
                  <c:v>423.85</c:v>
                </c:pt>
                <c:pt idx="801">
                  <c:v>425.4</c:v>
                </c:pt>
                <c:pt idx="802">
                  <c:v>426.65</c:v>
                </c:pt>
                <c:pt idx="803">
                  <c:v>427.09</c:v>
                </c:pt>
                <c:pt idx="804">
                  <c:v>428.15</c:v>
                </c:pt>
                <c:pt idx="805">
                  <c:v>429.64</c:v>
                </c:pt>
                <c:pt idx="806">
                  <c:v>430.51</c:v>
                </c:pt>
                <c:pt idx="807">
                  <c:v>429.61</c:v>
                </c:pt>
                <c:pt idx="808">
                  <c:v>427.87</c:v>
                </c:pt>
                <c:pt idx="809">
                  <c:v>425.48</c:v>
                </c:pt>
                <c:pt idx="810">
                  <c:v>424.37</c:v>
                </c:pt>
                <c:pt idx="811">
                  <c:v>424.87</c:v>
                </c:pt>
                <c:pt idx="812">
                  <c:v>426.46</c:v>
                </c:pt>
                <c:pt idx="813">
                  <c:v>427.49</c:v>
                </c:pt>
                <c:pt idx="814">
                  <c:v>428.62</c:v>
                </c:pt>
                <c:pt idx="815">
                  <c:v>429.35</c:v>
                </c:pt>
                <c:pt idx="816">
                  <c:v>430.15</c:v>
                </c:pt>
                <c:pt idx="817">
                  <c:v>431.12</c:v>
                </c:pt>
                <c:pt idx="818">
                  <c:v>432.34</c:v>
                </c:pt>
                <c:pt idx="819">
                  <c:v>431.43</c:v>
                </c:pt>
                <c:pt idx="820">
                  <c:v>429.13</c:v>
                </c:pt>
                <c:pt idx="821">
                  <c:v>427.55</c:v>
                </c:pt>
              </c:numCache>
            </c:numRef>
          </c:val>
          <c:smooth val="0"/>
          <c:extLst>
            <c:ext xmlns:c16="http://schemas.microsoft.com/office/drawing/2014/chart" uri="{C3380CC4-5D6E-409C-BE32-E72D297353CC}">
              <c16:uniqueId val="{00000003-5E0E-4A30-82C9-82EFFD8A2E58}"/>
            </c:ext>
          </c:extLst>
        </c:ser>
        <c:dLbls>
          <c:showLegendKey val="0"/>
          <c:showVal val="0"/>
          <c:showCatName val="0"/>
          <c:showSerName val="0"/>
          <c:showPercent val="0"/>
          <c:showBubbleSize val="0"/>
        </c:dLbls>
        <c:hiLowLines>
          <c:spPr>
            <a:ln w="0">
              <a:noFill/>
            </a:ln>
          </c:spPr>
        </c:hiLowLines>
        <c:marker val="1"/>
        <c:smooth val="0"/>
        <c:axId val="27415779"/>
        <c:axId val="14998988"/>
      </c:lineChart>
      <c:catAx>
        <c:axId val="528735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ea typeface="Calibri"/>
              </a:defRPr>
            </a:pPr>
            <a:endParaRPr lang="en-US"/>
          </a:p>
        </c:txPr>
        <c:crossAx val="69737629"/>
        <c:crosses val="autoZero"/>
        <c:auto val="1"/>
        <c:lblAlgn val="ctr"/>
        <c:lblOffset val="100"/>
        <c:noMultiLvlLbl val="0"/>
      </c:catAx>
      <c:valAx>
        <c:axId val="69737629"/>
        <c:scaling>
          <c:orientation val="minMax"/>
          <c:max val="60"/>
          <c:min val="56.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Calibri"/>
                    <a:ea typeface="Calibri"/>
                  </a:defRPr>
                </a:pPr>
                <a:r>
                  <a:rPr lang="en-US" sz="1000" b="0" strike="noStrike" spc="-1">
                    <a:solidFill>
                      <a:srgbClr val="595959"/>
                    </a:solidFill>
                    <a:latin typeface="Calibri"/>
                    <a:ea typeface="Calibri"/>
                  </a:rPr>
                  <a:t>Temperature (Degrees F)</a:t>
                </a:r>
              </a:p>
            </c:rich>
          </c:tx>
          <c:overlay val="0"/>
          <c:spPr>
            <a:noFill/>
            <a:ln w="0">
              <a:noFill/>
            </a:ln>
          </c:spPr>
        </c:title>
        <c:numFmt formatCode="0.00" sourceLinked="0"/>
        <c:majorTickMark val="none"/>
        <c:minorTickMark val="none"/>
        <c:tickLblPos val="nextTo"/>
        <c:spPr>
          <a:ln w="12600">
            <a:noFill/>
          </a:ln>
        </c:spPr>
        <c:txPr>
          <a:bodyPr/>
          <a:lstStyle/>
          <a:p>
            <a:pPr>
              <a:defRPr sz="900" b="0" strike="noStrike" spc="-1">
                <a:solidFill>
                  <a:srgbClr val="595959"/>
                </a:solidFill>
                <a:latin typeface="Calibri"/>
                <a:ea typeface="Calibri"/>
              </a:defRPr>
            </a:pPr>
            <a:endParaRPr lang="en-US"/>
          </a:p>
        </c:txPr>
        <c:crossAx val="5287354"/>
        <c:crosses val="autoZero"/>
        <c:crossBetween val="between"/>
      </c:valAx>
      <c:catAx>
        <c:axId val="27415779"/>
        <c:scaling>
          <c:orientation val="minMax"/>
        </c:scaling>
        <c:delete val="1"/>
        <c:axPos val="b"/>
        <c:numFmt formatCode="General" sourceLinked="1"/>
        <c:majorTickMark val="out"/>
        <c:minorTickMark val="none"/>
        <c:tickLblPos val="nextTo"/>
        <c:crossAx val="14998988"/>
        <c:crosses val="autoZero"/>
        <c:auto val="1"/>
        <c:lblAlgn val="ctr"/>
        <c:lblOffset val="100"/>
        <c:noMultiLvlLbl val="0"/>
      </c:catAx>
      <c:valAx>
        <c:axId val="14998988"/>
        <c:scaling>
          <c:orientation val="minMax"/>
          <c:max val="465"/>
          <c:min val="290"/>
        </c:scaling>
        <c:delete val="0"/>
        <c:axPos val="r"/>
        <c:title>
          <c:tx>
            <c:rich>
              <a:bodyPr rot="-5400000"/>
              <a:lstStyle/>
              <a:p>
                <a:pPr>
                  <a:defRPr lang="en-US" sz="1000" b="0" strike="noStrike" spc="-1">
                    <a:solidFill>
                      <a:srgbClr val="595959"/>
                    </a:solidFill>
                    <a:latin typeface="Calibri"/>
                    <a:ea typeface="Calibri"/>
                  </a:defRPr>
                </a:pPr>
                <a:r>
                  <a:rPr lang="en-US" sz="1000" b="0" strike="noStrike" spc="-1">
                    <a:solidFill>
                      <a:srgbClr val="595959"/>
                    </a:solidFill>
                    <a:latin typeface="Calibri"/>
                    <a:ea typeface="Calibri"/>
                  </a:rPr>
                  <a:t>CO2 (PPM)</a:t>
                </a:r>
              </a:p>
            </c:rich>
          </c:tx>
          <c:overlay val="0"/>
          <c:spPr>
            <a:noFill/>
            <a:ln w="0">
              <a:noFill/>
            </a:ln>
          </c:spPr>
        </c:title>
        <c:numFmt formatCode="General" sourceLinked="0"/>
        <c:majorTickMark val="out"/>
        <c:minorTickMark val="none"/>
        <c:tickLblPos val="nextTo"/>
        <c:spPr>
          <a:ln w="12600">
            <a:noFill/>
          </a:ln>
        </c:spPr>
        <c:txPr>
          <a:bodyPr/>
          <a:lstStyle/>
          <a:p>
            <a:pPr>
              <a:defRPr sz="900" b="0" strike="noStrike" spc="-1">
                <a:solidFill>
                  <a:srgbClr val="595959"/>
                </a:solidFill>
                <a:latin typeface="Calibri"/>
                <a:ea typeface="Calibri"/>
              </a:defRPr>
            </a:pPr>
            <a:endParaRPr lang="en-US"/>
          </a:p>
        </c:txPr>
        <c:crossAx val="27415779"/>
        <c:crosses val="max"/>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1</xdr:row>
      <xdr:rowOff>0</xdr:rowOff>
    </xdr:from>
    <xdr:to>
      <xdr:col>16</xdr:col>
      <xdr:colOff>444960</xdr:colOff>
      <xdr:row>7</xdr:row>
      <xdr:rowOff>522360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18</xdr:col>
      <xdr:colOff>407160</xdr:colOff>
      <xdr:row>21</xdr:row>
      <xdr:rowOff>147600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24</xdr:row>
      <xdr:rowOff>0</xdr:rowOff>
    </xdr:from>
    <xdr:to>
      <xdr:col>18</xdr:col>
      <xdr:colOff>407160</xdr:colOff>
      <xdr:row>44</xdr:row>
      <xdr:rowOff>147960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1</xdr:row>
      <xdr:rowOff>0</xdr:rowOff>
    </xdr:from>
    <xdr:to>
      <xdr:col>20</xdr:col>
      <xdr:colOff>86040</xdr:colOff>
      <xdr:row>15</xdr:row>
      <xdr:rowOff>30600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24</xdr:row>
      <xdr:rowOff>0</xdr:rowOff>
    </xdr:from>
    <xdr:to>
      <xdr:col>20</xdr:col>
      <xdr:colOff>86040</xdr:colOff>
      <xdr:row>35</xdr:row>
      <xdr:rowOff>190080</xdr:rowOff>
    </xdr:to>
    <xdr:graphicFrame macro="">
      <xdr:nvGraphicFramePr>
        <xdr:cNvPr id="5" name="Chart 2">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23</xdr:col>
      <xdr:colOff>446040</xdr:colOff>
      <xdr:row>19</xdr:row>
      <xdr:rowOff>168840</xdr:rowOff>
    </xdr:to>
    <xdr:graphicFrame macro="">
      <xdr:nvGraphicFramePr>
        <xdr:cNvPr id="6" name="Chart 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22</xdr:row>
      <xdr:rowOff>0</xdr:rowOff>
    </xdr:from>
    <xdr:to>
      <xdr:col>23</xdr:col>
      <xdr:colOff>446040</xdr:colOff>
      <xdr:row>40</xdr:row>
      <xdr:rowOff>168840</xdr:rowOff>
    </xdr:to>
    <xdr:graphicFrame macro="">
      <xdr:nvGraphicFramePr>
        <xdr:cNvPr id="7" name="Chart 2">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0</xdr:colOff>
      <xdr:row>43</xdr:row>
      <xdr:rowOff>0</xdr:rowOff>
    </xdr:from>
    <xdr:to>
      <xdr:col>23</xdr:col>
      <xdr:colOff>446040</xdr:colOff>
      <xdr:row>61</xdr:row>
      <xdr:rowOff>168840</xdr:rowOff>
    </xdr:to>
    <xdr:graphicFrame macro="">
      <xdr:nvGraphicFramePr>
        <xdr:cNvPr id="8" name="Chart 3">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0</xdr:colOff>
      <xdr:row>64</xdr:row>
      <xdr:rowOff>0</xdr:rowOff>
    </xdr:from>
    <xdr:to>
      <xdr:col>23</xdr:col>
      <xdr:colOff>446040</xdr:colOff>
      <xdr:row>82</xdr:row>
      <xdr:rowOff>168840</xdr:rowOff>
    </xdr:to>
    <xdr:graphicFrame macro="">
      <xdr:nvGraphicFramePr>
        <xdr:cNvPr id="9" name="Chart 4">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0</xdr:colOff>
      <xdr:row>1</xdr:row>
      <xdr:rowOff>0</xdr:rowOff>
    </xdr:from>
    <xdr:to>
      <xdr:col>25</xdr:col>
      <xdr:colOff>446040</xdr:colOff>
      <xdr:row>19</xdr:row>
      <xdr:rowOff>168840</xdr:rowOff>
    </xdr:to>
    <xdr:graphicFrame macro="">
      <xdr:nvGraphicFramePr>
        <xdr:cNvPr id="10" name="Chart 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0</xdr:colOff>
      <xdr:row>22</xdr:row>
      <xdr:rowOff>0</xdr:rowOff>
    </xdr:from>
    <xdr:to>
      <xdr:col>25</xdr:col>
      <xdr:colOff>446040</xdr:colOff>
      <xdr:row>40</xdr:row>
      <xdr:rowOff>168840</xdr:rowOff>
    </xdr:to>
    <xdr:graphicFrame macro="">
      <xdr:nvGraphicFramePr>
        <xdr:cNvPr id="11" name="Chart 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0</xdr:colOff>
      <xdr:row>43</xdr:row>
      <xdr:rowOff>0</xdr:rowOff>
    </xdr:from>
    <xdr:to>
      <xdr:col>25</xdr:col>
      <xdr:colOff>446040</xdr:colOff>
      <xdr:row>61</xdr:row>
      <xdr:rowOff>168840</xdr:rowOff>
    </xdr:to>
    <xdr:graphicFrame macro="">
      <xdr:nvGraphicFramePr>
        <xdr:cNvPr id="12" name="Chart 3">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0</xdr:colOff>
      <xdr:row>64</xdr:row>
      <xdr:rowOff>0</xdr:rowOff>
    </xdr:from>
    <xdr:to>
      <xdr:col>23</xdr:col>
      <xdr:colOff>523800</xdr:colOff>
      <xdr:row>79</xdr:row>
      <xdr:rowOff>20520</xdr:rowOff>
    </xdr:to>
    <xdr:graphicFrame macro="">
      <xdr:nvGraphicFramePr>
        <xdr:cNvPr id="13" name="Chart 4">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0</xdr:colOff>
      <xdr:row>1</xdr:row>
      <xdr:rowOff>0</xdr:rowOff>
    </xdr:from>
    <xdr:to>
      <xdr:col>25</xdr:col>
      <xdr:colOff>446040</xdr:colOff>
      <xdr:row>19</xdr:row>
      <xdr:rowOff>168840</xdr:rowOff>
    </xdr:to>
    <xdr:graphicFrame macro="">
      <xdr:nvGraphicFramePr>
        <xdr:cNvPr id="14" name="Chart 1">
          <a:extLst>
            <a:ext uri="{FF2B5EF4-FFF2-40B4-BE49-F238E27FC236}">
              <a16:creationId xmlns:a16="http://schemas.microsoft.com/office/drawing/2014/main" id="{00000000-0008-0000-08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0</xdr:colOff>
      <xdr:row>22</xdr:row>
      <xdr:rowOff>0</xdr:rowOff>
    </xdr:from>
    <xdr:to>
      <xdr:col>25</xdr:col>
      <xdr:colOff>446040</xdr:colOff>
      <xdr:row>40</xdr:row>
      <xdr:rowOff>168840</xdr:rowOff>
    </xdr:to>
    <xdr:graphicFrame macro="">
      <xdr:nvGraphicFramePr>
        <xdr:cNvPr id="15" name="Chart 2">
          <a:extLst>
            <a:ext uri="{FF2B5EF4-FFF2-40B4-BE49-F238E27FC236}">
              <a16:creationId xmlns:a16="http://schemas.microsoft.com/office/drawing/2014/main" id="{00000000-0008-0000-08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0</xdr:colOff>
      <xdr:row>43</xdr:row>
      <xdr:rowOff>0</xdr:rowOff>
    </xdr:from>
    <xdr:to>
      <xdr:col>25</xdr:col>
      <xdr:colOff>446040</xdr:colOff>
      <xdr:row>61</xdr:row>
      <xdr:rowOff>168840</xdr:rowOff>
    </xdr:to>
    <xdr:graphicFrame macro="">
      <xdr:nvGraphicFramePr>
        <xdr:cNvPr id="16" name="Chart 3">
          <a:extLst>
            <a:ext uri="{FF2B5EF4-FFF2-40B4-BE49-F238E27FC236}">
              <a16:creationId xmlns:a16="http://schemas.microsoft.com/office/drawing/2014/main" id="{00000000-0008-0000-08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0</xdr:colOff>
      <xdr:row>64</xdr:row>
      <xdr:rowOff>0</xdr:rowOff>
    </xdr:from>
    <xdr:to>
      <xdr:col>23</xdr:col>
      <xdr:colOff>523440</xdr:colOff>
      <xdr:row>79</xdr:row>
      <xdr:rowOff>20520</xdr:rowOff>
    </xdr:to>
    <xdr:graphicFrame macro="">
      <xdr:nvGraphicFramePr>
        <xdr:cNvPr id="17" name="Chart 4">
          <a:extLst>
            <a:ext uri="{FF2B5EF4-FFF2-40B4-BE49-F238E27FC236}">
              <a16:creationId xmlns:a16="http://schemas.microsoft.com/office/drawing/2014/main" id="{00000000-0008-0000-08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0</xdr:colOff>
      <xdr:row>1</xdr:row>
      <xdr:rowOff>0</xdr:rowOff>
    </xdr:from>
    <xdr:to>
      <xdr:col>29</xdr:col>
      <xdr:colOff>447840</xdr:colOff>
      <xdr:row>19</xdr:row>
      <xdr:rowOff>170640</xdr:rowOff>
    </xdr:to>
    <xdr:graphicFrame macro="">
      <xdr:nvGraphicFramePr>
        <xdr:cNvPr id="18" name="Chart 1">
          <a:extLst>
            <a:ext uri="{FF2B5EF4-FFF2-40B4-BE49-F238E27FC236}">
              <a16:creationId xmlns:a16="http://schemas.microsoft.com/office/drawing/2014/main" id="{00000000-0008-0000-09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0</xdr:colOff>
      <xdr:row>22</xdr:row>
      <xdr:rowOff>0</xdr:rowOff>
    </xdr:from>
    <xdr:to>
      <xdr:col>29</xdr:col>
      <xdr:colOff>447840</xdr:colOff>
      <xdr:row>40</xdr:row>
      <xdr:rowOff>170640</xdr:rowOff>
    </xdr:to>
    <xdr:graphicFrame macro="">
      <xdr:nvGraphicFramePr>
        <xdr:cNvPr id="19" name="Chart 2">
          <a:extLst>
            <a:ext uri="{FF2B5EF4-FFF2-40B4-BE49-F238E27FC236}">
              <a16:creationId xmlns:a16="http://schemas.microsoft.com/office/drawing/2014/main" id="{00000000-0008-0000-09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0</xdr:colOff>
      <xdr:row>64</xdr:row>
      <xdr:rowOff>0</xdr:rowOff>
    </xdr:from>
    <xdr:to>
      <xdr:col>29</xdr:col>
      <xdr:colOff>447840</xdr:colOff>
      <xdr:row>82</xdr:row>
      <xdr:rowOff>170640</xdr:rowOff>
    </xdr:to>
    <xdr:graphicFrame macro="">
      <xdr:nvGraphicFramePr>
        <xdr:cNvPr id="20" name="Chart 3">
          <a:extLst>
            <a:ext uri="{FF2B5EF4-FFF2-40B4-BE49-F238E27FC236}">
              <a16:creationId xmlns:a16="http://schemas.microsoft.com/office/drawing/2014/main" id="{00000000-0008-0000-09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0</xdr:colOff>
      <xdr:row>85</xdr:row>
      <xdr:rowOff>0</xdr:rowOff>
    </xdr:from>
    <xdr:to>
      <xdr:col>29</xdr:col>
      <xdr:colOff>447840</xdr:colOff>
      <xdr:row>103</xdr:row>
      <xdr:rowOff>170640</xdr:rowOff>
    </xdr:to>
    <xdr:graphicFrame macro="">
      <xdr:nvGraphicFramePr>
        <xdr:cNvPr id="21" name="Chart 4">
          <a:extLst>
            <a:ext uri="{FF2B5EF4-FFF2-40B4-BE49-F238E27FC236}">
              <a16:creationId xmlns:a16="http://schemas.microsoft.com/office/drawing/2014/main" id="{00000000-0008-0000-09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0</xdr:colOff>
      <xdr:row>43</xdr:row>
      <xdr:rowOff>0</xdr:rowOff>
    </xdr:from>
    <xdr:to>
      <xdr:col>29</xdr:col>
      <xdr:colOff>447840</xdr:colOff>
      <xdr:row>61</xdr:row>
      <xdr:rowOff>170640</xdr:rowOff>
    </xdr:to>
    <xdr:graphicFrame macro="">
      <xdr:nvGraphicFramePr>
        <xdr:cNvPr id="22" name="Chart 5">
          <a:extLst>
            <a:ext uri="{FF2B5EF4-FFF2-40B4-BE49-F238E27FC236}">
              <a16:creationId xmlns:a16="http://schemas.microsoft.com/office/drawing/2014/main" id="{00000000-0008-0000-09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22</xdr:col>
      <xdr:colOff>0</xdr:colOff>
      <xdr:row>1</xdr:row>
      <xdr:rowOff>0</xdr:rowOff>
    </xdr:from>
    <xdr:to>
      <xdr:col>29</xdr:col>
      <xdr:colOff>447840</xdr:colOff>
      <xdr:row>19</xdr:row>
      <xdr:rowOff>170640</xdr:rowOff>
    </xdr:to>
    <xdr:graphicFrame macro="">
      <xdr:nvGraphicFramePr>
        <xdr:cNvPr id="23" name="Chart 1">
          <a:extLst>
            <a:ext uri="{FF2B5EF4-FFF2-40B4-BE49-F238E27FC236}">
              <a16:creationId xmlns:a16="http://schemas.microsoft.com/office/drawing/2014/main" id="{00000000-0008-0000-0A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0</xdr:colOff>
      <xdr:row>22</xdr:row>
      <xdr:rowOff>0</xdr:rowOff>
    </xdr:from>
    <xdr:to>
      <xdr:col>29</xdr:col>
      <xdr:colOff>447840</xdr:colOff>
      <xdr:row>40</xdr:row>
      <xdr:rowOff>170640</xdr:rowOff>
    </xdr:to>
    <xdr:graphicFrame macro="">
      <xdr:nvGraphicFramePr>
        <xdr:cNvPr id="24" name="Chart 2">
          <a:extLst>
            <a:ext uri="{FF2B5EF4-FFF2-40B4-BE49-F238E27FC236}">
              <a16:creationId xmlns:a16="http://schemas.microsoft.com/office/drawing/2014/main" id="{00000000-0008-0000-0A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0</xdr:colOff>
      <xdr:row>43</xdr:row>
      <xdr:rowOff>0</xdr:rowOff>
    </xdr:from>
    <xdr:to>
      <xdr:col>29</xdr:col>
      <xdr:colOff>447840</xdr:colOff>
      <xdr:row>61</xdr:row>
      <xdr:rowOff>170640</xdr:rowOff>
    </xdr:to>
    <xdr:graphicFrame macro="">
      <xdr:nvGraphicFramePr>
        <xdr:cNvPr id="25" name="Chart 3">
          <a:extLst>
            <a:ext uri="{FF2B5EF4-FFF2-40B4-BE49-F238E27FC236}">
              <a16:creationId xmlns:a16="http://schemas.microsoft.com/office/drawing/2014/main" id="{00000000-0008-0000-0A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604800</xdr:colOff>
      <xdr:row>1716</xdr:row>
      <xdr:rowOff>81000</xdr:rowOff>
    </xdr:from>
    <xdr:to>
      <xdr:col>17</xdr:col>
      <xdr:colOff>235800</xdr:colOff>
      <xdr:row>1746</xdr:row>
      <xdr:rowOff>64440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E1733-0FD5-4742-AF52-F0DD47D0F027}">
  <dimension ref="B2:O51"/>
  <sheetViews>
    <sheetView showGridLines="0" tabSelected="1" topLeftCell="A23" zoomScaleNormal="100" workbookViewId="0">
      <selection activeCell="I35" sqref="I35"/>
    </sheetView>
  </sheetViews>
  <sheetFormatPr defaultColWidth="8.5703125" defaultRowHeight="15"/>
  <cols>
    <col min="1" max="1" width="2" customWidth="1"/>
    <col min="2" max="2" width="26" customWidth="1"/>
    <col min="3" max="3" width="12" customWidth="1"/>
    <col min="4" max="4" width="14" customWidth="1"/>
    <col min="5" max="5" width="9" customWidth="1"/>
    <col min="6" max="6" width="16" customWidth="1"/>
    <col min="7" max="7" width="13" customWidth="1"/>
    <col min="8" max="8" width="14" customWidth="1"/>
    <col min="9" max="9" width="20" customWidth="1"/>
    <col min="10" max="10" width="13" customWidth="1"/>
    <col min="11" max="11" width="16" customWidth="1"/>
    <col min="12" max="12" width="2" customWidth="1"/>
    <col min="13" max="13" width="12" customWidth="1"/>
    <col min="14" max="14" width="8" customWidth="1"/>
    <col min="15" max="15" width="11" customWidth="1"/>
  </cols>
  <sheetData>
    <row r="2" spans="2:15" ht="21">
      <c r="B2" s="3" t="s">
        <v>0</v>
      </c>
    </row>
    <row r="3" spans="2:15" ht="27.75" customHeight="1">
      <c r="B3" s="52" t="s">
        <v>1</v>
      </c>
      <c r="C3" s="52"/>
      <c r="D3" s="52"/>
      <c r="E3" s="52"/>
      <c r="F3" s="52"/>
      <c r="G3" s="52"/>
      <c r="H3" s="52"/>
      <c r="I3" s="52"/>
    </row>
    <row r="5" spans="2:15" ht="15.75">
      <c r="B5" s="4" t="s">
        <v>2</v>
      </c>
    </row>
    <row r="6" spans="2:15" ht="57.75" customHeight="1">
      <c r="B6" s="59" t="s">
        <v>3</v>
      </c>
      <c r="C6" s="59"/>
      <c r="D6" s="59" t="s">
        <v>4</v>
      </c>
      <c r="E6" s="59"/>
      <c r="F6" s="59" t="s">
        <v>5</v>
      </c>
      <c r="G6" s="59"/>
      <c r="H6" s="59" t="s">
        <v>6</v>
      </c>
      <c r="I6" s="59"/>
    </row>
    <row r="7" spans="2:15" ht="24">
      <c r="B7" s="56">
        <f>Forcing!T17</f>
        <v>1.6066885523057173</v>
      </c>
      <c r="C7" s="56"/>
      <c r="D7" s="56">
        <f>Annual!K4</f>
        <v>2.7423885028518846</v>
      </c>
      <c r="E7" s="56"/>
      <c r="F7" s="56">
        <f>Annual!K13</f>
        <v>0.6358713141370349</v>
      </c>
      <c r="G7" s="56"/>
      <c r="H7" s="57">
        <f>Volcanic!N39</f>
        <v>0.15129879294277743</v>
      </c>
      <c r="I7" s="57"/>
    </row>
    <row r="8" spans="2:15" ht="99.75" customHeight="1">
      <c r="B8" s="58" t="str">
        <f>"Slope of annual T on anthropogenic ERF (ENSO controlled, 1959-2025) × F2x = 3.93 W/m². AR(1) 95% "&amp;TEXT(Forcing!T20,"0.00")&amp;" to "&amp;TEXT(Forcing!U20,"0.00")&amp;"; with F2x uncertainty "&amp;TEXT(Forcing!T43,"0.00")&amp;" to "&amp;TEXT(Forcing!U43,"0.00")&amp;"; with IGCC ERF uncertainty also propagated (Monte Carlo, Sensitivity!AC46) 1.43 to 1.78 at 90%. A historical-regression quantity, not the 1%/yr TCR experiment; numerical overlap with AR6 TCR is a comparison, not a validation."</f>
        <v>Slope of annual T on anthropogenic ERF (ENSO controlled, 1959-2025) × F2x = 3.93 W/m². AR(1) 95% 1.48 to 1.74; with F2x uncertainty 1.34 to 1.87; with IGCC ERF uncertainty also propagated (Monte Carlo, Sensitivity!AC46) 1.43 to 1.78 at 90%. A historical-regression quantity, not the 1%/yr TCR experiment; numerical overlap with AR6 TCR is a comparison, not a validation.</v>
      </c>
      <c r="C8" s="58"/>
      <c r="D8" s="58" t="str">
        <f>"Annual T on log2(CO2) alone, 67 years, R² 0.93; AR(1) 95% interval "&amp;TEXT(Annual!K20,"0.00")&amp;" to "&amp;TEXT(Annual!L20,"0.00")&amp;". Split sample: "&amp;TEXT(Annual!K21,"0.00")&amp;" (1959-91) vs "&amp;TEXT(Annual!L21,"0.00")&amp;" (1992-2025), a difference of only "&amp;TEXT(Annual!K22,"0.0")&amp;" adjusted SE. CO2 is collinear with total human forcing (r = 0.997), so this is NOT a CO2-only climate response."</f>
        <v>Annual T on log2(CO2) alone, 67 years, R² 0.93; AR(1) 95% interval 2.51 to 2.98. Split sample: 2.57 (1959-91) vs 3.19 (1992-2025), a difference of only 1.3 adjusted SE. CO2 is collinear with total human forcing (r = 0.997), so this is NOT a CO2-only climate response.</v>
      </c>
      <c r="E8" s="58"/>
      <c r="F8" s="58" t="s">
        <v>7</v>
      </c>
      <c r="G8" s="58"/>
      <c r="H8" s="58" t="str">
        <f>"Monthly: after CO2, ENSO and sulfate AOD. Annual, after full anthropogenic ERF (incl. aerosol change) + ENSO: "&amp;TEXT(Forcing!T31,"+0.00")&amp;"; with volcanic ERF incl. Hunga Tonga H2O as a regressor: "&amp;TEXT(Forcing!T45,"+0.00")&amp;". Persists under blocked cross-validation. Partly accounted for: see Recent 2023-25 tab (solar cycle 25 about half; ~0.07 °C remains, about one SE)."</f>
        <v>Monthly: after CO2, ENSO and sulfate AOD. Annual, after full anthropogenic ERF (incl. aerosol change) + ENSO: +0.14; with volcanic ERF incl. Hunga Tonga H2O as a regressor: +0.13. Persists under blocked cross-validation. Partly accounted for: see Recent 2023-25 tab (solar cycle 25 about half; ~0.07 °C remains, about one SE).</v>
      </c>
      <c r="I8" s="58"/>
    </row>
    <row r="10" spans="2:15" ht="15.75">
      <c r="B10" s="4" t="s">
        <v>8</v>
      </c>
    </row>
    <row r="11" spans="2:15" ht="30" customHeight="1">
      <c r="B11" s="2" t="s">
        <v>9</v>
      </c>
      <c r="C11" s="2" t="s">
        <v>10</v>
      </c>
      <c r="D11" s="2" t="s">
        <v>11</v>
      </c>
      <c r="E11" s="2" t="s">
        <v>12</v>
      </c>
      <c r="F11" s="2" t="s">
        <v>13</v>
      </c>
      <c r="G11" s="2" t="s">
        <v>14</v>
      </c>
      <c r="H11" s="2" t="s">
        <v>15</v>
      </c>
      <c r="I11" s="2" t="s">
        <v>16</v>
      </c>
      <c r="J11" s="2" t="s">
        <v>17</v>
      </c>
      <c r="K11" s="2" t="s">
        <v>18</v>
      </c>
      <c r="M11" s="5" t="s">
        <v>9</v>
      </c>
      <c r="N11" s="5" t="s">
        <v>12</v>
      </c>
      <c r="O11" s="5" t="s">
        <v>19</v>
      </c>
    </row>
    <row r="12" spans="2:15">
      <c r="B12" s="6" t="s">
        <v>20</v>
      </c>
      <c r="C12" s="7">
        <f>Analysis!I7</f>
        <v>822</v>
      </c>
      <c r="D12" s="8">
        <f>Analysis!I11</f>
        <v>2.7335713488112736</v>
      </c>
      <c r="E12" s="9">
        <f>Analysis!I12</f>
        <v>0.86092237008061834</v>
      </c>
      <c r="F12" s="9"/>
      <c r="G12" s="9">
        <f>ENSO!N7</f>
        <v>0.14507445376646036</v>
      </c>
      <c r="H12" s="8">
        <f>ENSO!N8</f>
        <v>0.64377332517660224</v>
      </c>
      <c r="I12" s="10"/>
      <c r="J12" s="6"/>
      <c r="K12" s="6" t="s">
        <v>21</v>
      </c>
      <c r="M12" s="11" t="s">
        <v>20</v>
      </c>
      <c r="N12" s="12">
        <f>E12</f>
        <v>0.86092237008061834</v>
      </c>
      <c r="O12" s="12">
        <f>G12</f>
        <v>0.14507445376646036</v>
      </c>
    </row>
    <row r="13" spans="2:15">
      <c r="B13" s="6" t="s">
        <v>22</v>
      </c>
      <c r="C13" s="7">
        <f>ENSO!N18</f>
        <v>815</v>
      </c>
      <c r="D13" s="8">
        <f>ENSO!N15</f>
        <v>2.7467961431074888</v>
      </c>
      <c r="E13" s="9">
        <f>ENSO!N17</f>
        <v>0.89162717015030246</v>
      </c>
      <c r="F13" s="9">
        <f>ENSO!N22</f>
        <v>0.8605803560904528</v>
      </c>
      <c r="G13" s="9">
        <f>ENSO!N19</f>
        <v>0.12801796518151615</v>
      </c>
      <c r="H13" s="8">
        <f>ENSO!N20</f>
        <v>0.54654178400355902</v>
      </c>
      <c r="I13" s="10">
        <f>ENSO!N16</f>
        <v>8.7037769889549657E-2</v>
      </c>
      <c r="J13" s="6" t="s">
        <v>23</v>
      </c>
      <c r="K13" s="6" t="s">
        <v>24</v>
      </c>
      <c r="M13" s="11" t="s">
        <v>25</v>
      </c>
      <c r="N13" s="12">
        <f>E13</f>
        <v>0.89162717015030246</v>
      </c>
      <c r="O13" s="12">
        <f>G13</f>
        <v>0.12801796518151615</v>
      </c>
    </row>
    <row r="14" spans="2:15">
      <c r="B14" s="6" t="s">
        <v>26</v>
      </c>
      <c r="C14" s="7">
        <f>Volcanic!N19</f>
        <v>814</v>
      </c>
      <c r="D14" s="8">
        <f>Volcanic!N15</f>
        <v>2.7274258799243318</v>
      </c>
      <c r="E14" s="9">
        <f>Volcanic!N18</f>
        <v>0.90076358738862705</v>
      </c>
      <c r="F14" s="9">
        <f>Volcanic!N22</f>
        <v>0.89120225263536146</v>
      </c>
      <c r="G14" s="9">
        <f>Volcanic!N20</f>
        <v>0.1220848768623428</v>
      </c>
      <c r="H14" s="8">
        <f>Volcanic!N21</f>
        <v>0.50280223948212055</v>
      </c>
      <c r="I14" s="10">
        <f>Volcanic!N17</f>
        <v>-2.2003522516467848</v>
      </c>
      <c r="J14" s="6" t="s">
        <v>27</v>
      </c>
      <c r="K14" s="6" t="s">
        <v>28</v>
      </c>
      <c r="M14" s="11" t="s">
        <v>29</v>
      </c>
      <c r="N14" s="12">
        <f>E14</f>
        <v>0.90076358738862705</v>
      </c>
      <c r="O14" s="12">
        <f>G14</f>
        <v>0.1220848768623428</v>
      </c>
    </row>
    <row r="15" spans="2:15">
      <c r="B15" s="6" t="s">
        <v>30</v>
      </c>
      <c r="C15" s="7">
        <f>COUNT(Volcanic!F9:F791)</f>
        <v>783</v>
      </c>
      <c r="D15" s="8">
        <f>Volcanic!N25</f>
        <v>2.6436323213675288</v>
      </c>
      <c r="E15" s="9">
        <f>Volcanic!N29</f>
        <v>0.89324050025852886</v>
      </c>
      <c r="F15" s="9">
        <f>Volcanic!N30</f>
        <v>0.88957834055845042</v>
      </c>
      <c r="G15" s="9"/>
      <c r="H15" s="8"/>
      <c r="I15" s="10">
        <f>Volcanic!N28</f>
        <v>5.2957800507588366E-2</v>
      </c>
      <c r="J15" s="6" t="s">
        <v>31</v>
      </c>
      <c r="K15" s="6" t="s">
        <v>32</v>
      </c>
      <c r="M15" s="11" t="s">
        <v>33</v>
      </c>
      <c r="N15" s="12">
        <f>E16</f>
        <v>0.90365215591368819</v>
      </c>
      <c r="O15" s="12">
        <f>G16</f>
        <v>0.11857710718592421</v>
      </c>
    </row>
    <row r="16" spans="2:15">
      <c r="B16" s="13" t="s">
        <v>34</v>
      </c>
      <c r="C16" s="7">
        <f>Kernel!P18</f>
        <v>807</v>
      </c>
      <c r="D16" s="8">
        <f>Kernel!P14</f>
        <v>2.7041739651109489</v>
      </c>
      <c r="E16" s="9">
        <f>Kernel!P22</f>
        <v>0.90365215591368819</v>
      </c>
      <c r="F16" s="9">
        <f>Kernel!P21</f>
        <v>0.89830013237906148</v>
      </c>
      <c r="G16" s="9">
        <f>Kernel!P19</f>
        <v>0.11857710718592421</v>
      </c>
      <c r="H16" s="8">
        <f>Kernel!P20</f>
        <v>0.47349000139964903</v>
      </c>
      <c r="I16" s="10"/>
      <c r="J16" s="6" t="s">
        <v>35</v>
      </c>
      <c r="K16" s="6" t="s">
        <v>36</v>
      </c>
    </row>
    <row r="17" spans="2:11" ht="27.75" customHeight="1">
      <c r="B17" s="54" t="s">
        <v>37</v>
      </c>
      <c r="C17" s="54"/>
      <c r="D17" s="54"/>
      <c r="E17" s="54"/>
      <c r="F17" s="54"/>
      <c r="G17" s="54"/>
      <c r="H17" s="54"/>
      <c r="I17" s="54"/>
      <c r="J17" s="54"/>
      <c r="K17" s="54"/>
    </row>
    <row r="19" spans="2:11" ht="15.75">
      <c r="B19" s="4" t="s">
        <v>38</v>
      </c>
    </row>
    <row r="20" spans="2:11" ht="43.5" customHeight="1">
      <c r="B20" s="14" t="s">
        <v>39</v>
      </c>
      <c r="C20" s="55" t="s">
        <v>2456</v>
      </c>
      <c r="D20" s="55"/>
      <c r="E20" s="55"/>
      <c r="F20" s="55"/>
      <c r="G20" s="55"/>
      <c r="H20" s="55"/>
      <c r="I20" s="55"/>
      <c r="J20" s="55"/>
      <c r="K20" s="55"/>
    </row>
    <row r="21" spans="2:11" ht="43.5" customHeight="1">
      <c r="B21" s="14" t="s">
        <v>40</v>
      </c>
      <c r="C21" s="55" t="s">
        <v>41</v>
      </c>
      <c r="D21" s="55"/>
      <c r="E21" s="55"/>
      <c r="F21" s="55"/>
      <c r="G21" s="55"/>
      <c r="H21" s="55"/>
      <c r="I21" s="55"/>
      <c r="J21" s="55"/>
      <c r="K21" s="55"/>
    </row>
    <row r="22" spans="2:11" ht="43.5" customHeight="1">
      <c r="B22" s="14" t="s">
        <v>42</v>
      </c>
      <c r="C22" s="55" t="s">
        <v>43</v>
      </c>
      <c r="D22" s="55"/>
      <c r="E22" s="55"/>
      <c r="F22" s="55"/>
      <c r="G22" s="55"/>
      <c r="H22" s="55"/>
      <c r="I22" s="55"/>
      <c r="J22" s="55"/>
      <c r="K22" s="55"/>
    </row>
    <row r="23" spans="2:11" ht="78" customHeight="1">
      <c r="B23" s="14" t="s">
        <v>44</v>
      </c>
      <c r="C23" s="55" t="s">
        <v>45</v>
      </c>
      <c r="D23" s="55"/>
      <c r="E23" s="55"/>
      <c r="F23" s="55"/>
      <c r="G23" s="55"/>
      <c r="H23" s="55"/>
      <c r="I23" s="55"/>
      <c r="J23" s="55"/>
      <c r="K23" s="55"/>
    </row>
    <row r="24" spans="2:11" ht="78" customHeight="1">
      <c r="B24" s="14" t="s">
        <v>46</v>
      </c>
      <c r="C24" s="55" t="s">
        <v>2571</v>
      </c>
      <c r="D24" s="55"/>
      <c r="E24" s="55"/>
      <c r="F24" s="55"/>
      <c r="G24" s="55"/>
      <c r="H24" s="55"/>
      <c r="I24" s="55"/>
      <c r="J24" s="55"/>
      <c r="K24" s="55"/>
    </row>
    <row r="26" spans="2:11" ht="15.75">
      <c r="B26" s="4" t="s">
        <v>47</v>
      </c>
    </row>
    <row r="27" spans="2:11" ht="66" customHeight="1">
      <c r="B27" s="55" t="s">
        <v>2455</v>
      </c>
      <c r="C27" s="55"/>
      <c r="D27" s="55"/>
      <c r="E27" s="55"/>
      <c r="F27" s="55"/>
      <c r="G27" s="55"/>
      <c r="H27" s="55"/>
      <c r="I27" s="55"/>
      <c r="J27" s="55"/>
      <c r="K27" s="55"/>
    </row>
    <row r="28" spans="2:11" ht="42" customHeight="1">
      <c r="B28" s="55" t="s">
        <v>2572</v>
      </c>
      <c r="C28" s="55"/>
      <c r="D28" s="55"/>
      <c r="E28" s="55"/>
      <c r="F28" s="55"/>
      <c r="G28" s="55"/>
      <c r="H28" s="55"/>
      <c r="I28" s="55"/>
      <c r="J28" s="55"/>
      <c r="K28" s="55"/>
    </row>
    <row r="29" spans="2:11" ht="51.75" customHeight="1">
      <c r="B29" s="55" t="s">
        <v>2573</v>
      </c>
      <c r="C29" s="55"/>
      <c r="D29" s="55"/>
      <c r="E29" s="55"/>
      <c r="F29" s="55"/>
      <c r="G29" s="55"/>
      <c r="H29" s="55"/>
      <c r="I29" s="55"/>
      <c r="J29" s="55"/>
      <c r="K29" s="55"/>
    </row>
    <row r="30" spans="2:11" ht="51.75" customHeight="1">
      <c r="B30" s="55" t="s">
        <v>2460</v>
      </c>
      <c r="C30" s="55"/>
      <c r="D30" s="55"/>
      <c r="E30" s="55"/>
      <c r="F30" s="55"/>
      <c r="G30" s="55"/>
      <c r="H30" s="55"/>
      <c r="I30" s="55"/>
      <c r="J30" s="55"/>
      <c r="K30" s="55"/>
    </row>
    <row r="31" spans="2:11" ht="51.75" customHeight="1">
      <c r="B31" s="55" t="s">
        <v>48</v>
      </c>
      <c r="C31" s="55"/>
      <c r="D31" s="55"/>
      <c r="E31" s="55"/>
      <c r="F31" s="55"/>
      <c r="G31" s="55"/>
      <c r="H31" s="55"/>
      <c r="I31" s="55"/>
      <c r="J31" s="55"/>
      <c r="K31" s="55"/>
    </row>
    <row r="33" spans="2:11" ht="15.75">
      <c r="B33" s="4" t="s">
        <v>2574</v>
      </c>
    </row>
    <row r="34" spans="2:11" ht="27.95" customHeight="1">
      <c r="B34" s="54" t="s">
        <v>2575</v>
      </c>
      <c r="C34" s="53"/>
      <c r="D34" s="53"/>
      <c r="E34" s="53"/>
      <c r="F34" s="53"/>
      <c r="G34" s="53"/>
      <c r="H34" s="53"/>
      <c r="I34" s="53"/>
      <c r="J34" s="53"/>
      <c r="K34" s="53"/>
    </row>
    <row r="36" spans="2:11" ht="18" customHeight="1">
      <c r="B36" s="17" t="s">
        <v>2576</v>
      </c>
    </row>
    <row r="37" spans="2:11" ht="30" customHeight="1">
      <c r="B37" s="2" t="s">
        <v>9</v>
      </c>
      <c r="C37" s="2" t="s">
        <v>2577</v>
      </c>
      <c r="D37" s="2" t="s">
        <v>2578</v>
      </c>
      <c r="E37" s="2" t="s">
        <v>2579</v>
      </c>
      <c r="F37" s="2" t="s">
        <v>2580</v>
      </c>
    </row>
    <row r="38" spans="2:11">
      <c r="B38" s="6" t="s">
        <v>2581</v>
      </c>
      <c r="C38" s="20">
        <f>E12</f>
        <v>0.86092237008061834</v>
      </c>
      <c r="D38" s="20">
        <f>Kernel!P69</f>
        <v>0.83799999999999997</v>
      </c>
      <c r="F38" s="6" t="s">
        <v>2582</v>
      </c>
    </row>
    <row r="39" spans="2:11">
      <c r="B39" s="6" t="s">
        <v>2583</v>
      </c>
      <c r="C39" s="20">
        <f>E16</f>
        <v>0.90365215591368819</v>
      </c>
      <c r="D39" s="20">
        <f>Kernel!P66</f>
        <v>0.88700000000000001</v>
      </c>
      <c r="E39" s="20">
        <f>Kernel!Q66</f>
        <v>3.0000000000000001E-3</v>
      </c>
      <c r="F39" s="6" t="s">
        <v>2584</v>
      </c>
    </row>
    <row r="40" spans="2:11">
      <c r="B40" s="6" t="s">
        <v>2585</v>
      </c>
      <c r="C40" s="20">
        <f>E16</f>
        <v>0.90365215591368819</v>
      </c>
      <c r="D40" s="20">
        <f>Kernel!P68</f>
        <v>0.88900000000000001</v>
      </c>
      <c r="E40" s="20">
        <f>Kernel!Q68</f>
        <v>3.0000000000000001E-3</v>
      </c>
      <c r="F40" s="6" t="s">
        <v>2586</v>
      </c>
    </row>
    <row r="41" spans="2:11" ht="45.95" customHeight="1">
      <c r="B41" s="52" t="s">
        <v>2587</v>
      </c>
      <c r="C41" s="53"/>
      <c r="D41" s="53"/>
      <c r="E41" s="53"/>
      <c r="F41" s="53"/>
      <c r="G41" s="53"/>
      <c r="H41" s="53"/>
      <c r="I41" s="53"/>
      <c r="J41" s="53"/>
      <c r="K41" s="53"/>
    </row>
    <row r="43" spans="2:11" ht="18" customHeight="1">
      <c r="B43" s="17" t="s">
        <v>2588</v>
      </c>
    </row>
    <row r="44" spans="2:11" ht="132" customHeight="1">
      <c r="B44" s="54" t="s">
        <v>2589</v>
      </c>
      <c r="C44" s="53"/>
      <c r="D44" s="53"/>
      <c r="E44" s="53"/>
      <c r="F44" s="53"/>
      <c r="G44" s="53"/>
      <c r="H44" s="53"/>
      <c r="I44" s="53"/>
      <c r="J44" s="53"/>
      <c r="K44" s="53"/>
    </row>
    <row r="45" spans="2:11" ht="32.1" customHeight="1">
      <c r="B45" s="52" t="s">
        <v>2590</v>
      </c>
      <c r="C45" s="53"/>
      <c r="D45" s="53"/>
      <c r="E45" s="53"/>
      <c r="F45" s="53"/>
      <c r="G45" s="53"/>
      <c r="H45" s="53"/>
      <c r="I45" s="53"/>
      <c r="J45" s="53"/>
      <c r="K45" s="53"/>
    </row>
    <row r="47" spans="2:11" ht="15.75">
      <c r="B47" s="4" t="s">
        <v>2895</v>
      </c>
    </row>
    <row r="48" spans="2:11">
      <c r="B48" s="40" t="s">
        <v>2591</v>
      </c>
      <c r="C48" s="21" t="s">
        <v>2897</v>
      </c>
      <c r="D48" s="52" t="s">
        <v>2899</v>
      </c>
      <c r="E48" s="53"/>
      <c r="F48" s="53"/>
      <c r="G48" s="53"/>
      <c r="H48" s="53"/>
      <c r="I48" s="53"/>
      <c r="J48" s="53"/>
      <c r="K48" s="53"/>
    </row>
    <row r="49" spans="2:3">
      <c r="B49" s="40" t="s">
        <v>2592</v>
      </c>
      <c r="C49" s="21" t="s">
        <v>2898</v>
      </c>
    </row>
    <row r="50" spans="2:3">
      <c r="B50" s="40" t="s">
        <v>2594</v>
      </c>
      <c r="C50" s="21" t="s">
        <v>2595</v>
      </c>
    </row>
    <row r="51" spans="2:3">
      <c r="B51" s="40" t="s">
        <v>2896</v>
      </c>
    </row>
  </sheetData>
  <mergeCells count="29">
    <mergeCell ref="B3:I3"/>
    <mergeCell ref="B6:C6"/>
    <mergeCell ref="D6:E6"/>
    <mergeCell ref="F6:G6"/>
    <mergeCell ref="H6:I6"/>
    <mergeCell ref="B7:C7"/>
    <mergeCell ref="D7:E7"/>
    <mergeCell ref="F7:G7"/>
    <mergeCell ref="H7:I7"/>
    <mergeCell ref="B8:C8"/>
    <mergeCell ref="D8:E8"/>
    <mergeCell ref="F8:G8"/>
    <mergeCell ref="H8:I8"/>
    <mergeCell ref="B17:K17"/>
    <mergeCell ref="C20:K20"/>
    <mergeCell ref="C21:K21"/>
    <mergeCell ref="C22:K22"/>
    <mergeCell ref="C23:K23"/>
    <mergeCell ref="B31:K31"/>
    <mergeCell ref="C24:K24"/>
    <mergeCell ref="B27:K27"/>
    <mergeCell ref="B28:K28"/>
    <mergeCell ref="B29:K29"/>
    <mergeCell ref="B30:K30"/>
    <mergeCell ref="D48:K48"/>
    <mergeCell ref="B34:K34"/>
    <mergeCell ref="B41:K41"/>
    <mergeCell ref="B44:K44"/>
    <mergeCell ref="B45:K45"/>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AC6C-7FD2-4C7C-93F7-705FE9C20DB7}">
  <dimension ref="A1:I823"/>
  <sheetViews>
    <sheetView zoomScaleNormal="100" workbookViewId="0">
      <pane ySplit="1" topLeftCell="A2" activePane="bottomLeft" state="frozen"/>
      <selection pane="bottomLeft" activeCell="H17" sqref="H17"/>
    </sheetView>
  </sheetViews>
  <sheetFormatPr defaultColWidth="8.5703125" defaultRowHeight="15"/>
  <cols>
    <col min="1" max="1" width="11" customWidth="1"/>
    <col min="2" max="2" width="13" customWidth="1"/>
    <col min="3" max="4" width="10" customWidth="1"/>
    <col min="5" max="6" width="22" customWidth="1"/>
    <col min="7" max="7" width="3" customWidth="1"/>
    <col min="8" max="8" width="34" customWidth="1"/>
    <col min="9" max="9" width="12" customWidth="1"/>
  </cols>
  <sheetData>
    <row r="1" spans="1:9" ht="15" customHeight="1">
      <c r="A1" s="17" t="s">
        <v>63</v>
      </c>
      <c r="B1" s="17" t="s">
        <v>1830</v>
      </c>
      <c r="C1" s="17" t="s">
        <v>1831</v>
      </c>
      <c r="D1" s="17" t="s">
        <v>1832</v>
      </c>
      <c r="E1" s="17" t="s">
        <v>1833</v>
      </c>
      <c r="F1" s="17" t="s">
        <v>1834</v>
      </c>
    </row>
    <row r="2" spans="1:9" ht="15" customHeight="1">
      <c r="A2" s="18" t="str">
        <f>'F Plus CO2'!A940</f>
        <v>3/1958</v>
      </c>
      <c r="B2" s="19">
        <f t="shared" ref="B2:B65" si="0">VALUE(RIGHT(A2,4))+(VALUE(LEFT(A2,FIND("/",A2)-1))-0.5)/12</f>
        <v>1958.2083333333333</v>
      </c>
      <c r="C2" s="20">
        <f>'F Plus CO2'!B940</f>
        <v>57.344000000000001</v>
      </c>
      <c r="D2" s="19">
        <f>'F Plus CO2'!C940</f>
        <v>315.70999999999998</v>
      </c>
      <c r="E2" s="19">
        <f t="shared" ref="E2:E65" si="1">(C2-32)*5/9-$I$3</f>
        <v>8.0000000000000071E-2</v>
      </c>
      <c r="F2" s="20">
        <f t="shared" ref="F2:F65" si="2">LOG(D2/$I$4,2)</f>
        <v>0.17317313104772078</v>
      </c>
      <c r="H2" s="17" t="s">
        <v>1835</v>
      </c>
    </row>
    <row r="3" spans="1:9" ht="15" customHeight="1">
      <c r="A3" s="18" t="str">
        <f>'F Plus CO2'!A941</f>
        <v>4/1958</v>
      </c>
      <c r="B3" s="19">
        <f t="shared" si="0"/>
        <v>1958.2916666666667</v>
      </c>
      <c r="C3" s="20">
        <f>'F Plus CO2'!B941</f>
        <v>57.218000000000004</v>
      </c>
      <c r="D3" s="19">
        <f>'F Plus CO2'!C941</f>
        <v>317.45</v>
      </c>
      <c r="E3" s="19">
        <f t="shared" si="1"/>
        <v>1.0000000000001563E-2</v>
      </c>
      <c r="F3" s="20">
        <f t="shared" si="2"/>
        <v>0.1811025507537978</v>
      </c>
      <c r="H3" t="s">
        <v>1836</v>
      </c>
      <c r="I3" s="21">
        <v>14</v>
      </c>
    </row>
    <row r="4" spans="1:9" ht="15" customHeight="1">
      <c r="A4" s="18" t="str">
        <f>'F Plus CO2'!A942</f>
        <v>5/1958</v>
      </c>
      <c r="B4" s="19">
        <f t="shared" si="0"/>
        <v>1958.375</v>
      </c>
      <c r="C4" s="20">
        <f>'F Plus CO2'!B942</f>
        <v>57.308</v>
      </c>
      <c r="D4" s="19">
        <f>'F Plus CO2'!C942</f>
        <v>317.51</v>
      </c>
      <c r="E4" s="19">
        <f t="shared" si="1"/>
        <v>5.9999999999998721E-2</v>
      </c>
      <c r="F4" s="20">
        <f t="shared" si="2"/>
        <v>0.18137520321288492</v>
      </c>
      <c r="H4" t="s">
        <v>1837</v>
      </c>
      <c r="I4" s="21">
        <v>280</v>
      </c>
    </row>
    <row r="5" spans="1:9" ht="15" customHeight="1">
      <c r="A5" s="18" t="str">
        <f>'F Plus CO2'!A943</f>
        <v>6/1958</v>
      </c>
      <c r="B5" s="19">
        <f t="shared" si="0"/>
        <v>1958.4583333333333</v>
      </c>
      <c r="C5" s="20">
        <f>'F Plus CO2'!B943</f>
        <v>57.037999999999997</v>
      </c>
      <c r="D5" s="19">
        <f>'F Plus CO2'!C943</f>
        <v>317.27</v>
      </c>
      <c r="E5" s="19">
        <f t="shared" si="1"/>
        <v>-9.0000000000001634E-2</v>
      </c>
      <c r="F5" s="20">
        <f t="shared" si="2"/>
        <v>0.1802842840714132</v>
      </c>
    </row>
    <row r="6" spans="1:9" ht="15" customHeight="1">
      <c r="A6" s="18" t="str">
        <f>'F Plus CO2'!A944</f>
        <v>7/1958</v>
      </c>
      <c r="B6" s="19">
        <f t="shared" si="0"/>
        <v>1958.5416666666667</v>
      </c>
      <c r="C6" s="20">
        <f>'F Plus CO2'!B944</f>
        <v>57.290000000000006</v>
      </c>
      <c r="D6" s="19">
        <f>'F Plus CO2'!C944</f>
        <v>315.87</v>
      </c>
      <c r="E6" s="19">
        <f t="shared" si="1"/>
        <v>5.0000000000004263E-2</v>
      </c>
      <c r="F6" s="20">
        <f t="shared" si="2"/>
        <v>0.17390409533246803</v>
      </c>
      <c r="H6" s="17" t="s">
        <v>1838</v>
      </c>
    </row>
    <row r="7" spans="1:9" ht="15" customHeight="1">
      <c r="A7" s="18" t="str">
        <f>'F Plus CO2'!A945</f>
        <v>8/1958</v>
      </c>
      <c r="B7" s="19">
        <f t="shared" si="0"/>
        <v>1958.625</v>
      </c>
      <c r="C7" s="20">
        <f>'F Plus CO2'!B945</f>
        <v>57.11</v>
      </c>
      <c r="D7" s="19">
        <f>'F Plus CO2'!C945</f>
        <v>314.93</v>
      </c>
      <c r="E7" s="19">
        <f t="shared" si="1"/>
        <v>-5.0000000000000711E-2</v>
      </c>
      <c r="F7" s="20">
        <f t="shared" si="2"/>
        <v>0.16960436691695893</v>
      </c>
      <c r="H7" s="18" t="s">
        <v>1839</v>
      </c>
      <c r="I7" s="22">
        <f>COUNT($E$2:$E$823)</f>
        <v>822</v>
      </c>
    </row>
    <row r="8" spans="1:9" ht="15" customHeight="1">
      <c r="A8" s="18" t="str">
        <f>'F Plus CO2'!A946</f>
        <v>9/1958</v>
      </c>
      <c r="B8" s="19">
        <f t="shared" si="0"/>
        <v>1958.7083333333333</v>
      </c>
      <c r="C8" s="20">
        <f>'F Plus CO2'!B946</f>
        <v>57.146000000000001</v>
      </c>
      <c r="D8" s="19">
        <f>'F Plus CO2'!C946</f>
        <v>313.20999999999998</v>
      </c>
      <c r="E8" s="19">
        <f t="shared" si="1"/>
        <v>-2.9999999999999361E-2</v>
      </c>
      <c r="F8" s="20">
        <f t="shared" si="2"/>
        <v>0.1617034477834195</v>
      </c>
      <c r="H8" s="18" t="s">
        <v>1840</v>
      </c>
      <c r="I8" s="20">
        <f>SLOPE($E$2:$E$823,$D$2:$D$823)*100</f>
        <v>1.0819022483953677</v>
      </c>
    </row>
    <row r="9" spans="1:9" ht="15" customHeight="1">
      <c r="A9" s="18" t="str">
        <f>'F Plus CO2'!A947</f>
        <v>10/1958</v>
      </c>
      <c r="B9" s="19">
        <f t="shared" si="0"/>
        <v>1958.7916666666667</v>
      </c>
      <c r="C9" s="20">
        <f>'F Plus CO2'!B947</f>
        <v>57.271999999999998</v>
      </c>
      <c r="D9" s="19">
        <f>'F Plus CO2'!C947</f>
        <v>312.42</v>
      </c>
      <c r="E9" s="19">
        <f t="shared" si="1"/>
        <v>3.9999999999999147E-2</v>
      </c>
      <c r="F9" s="20">
        <f t="shared" si="2"/>
        <v>0.1580599853917147</v>
      </c>
      <c r="H9" s="18" t="s">
        <v>1841</v>
      </c>
      <c r="I9" s="20">
        <f>INTERCEPT($E$2:$E$823,$D$2:$D$823)</f>
        <v>-3.5067568789362524</v>
      </c>
    </row>
    <row r="10" spans="1:9" ht="15" customHeight="1">
      <c r="A10" s="18" t="str">
        <f>'F Plus CO2'!A948</f>
        <v>11/1958</v>
      </c>
      <c r="B10" s="19">
        <f t="shared" si="0"/>
        <v>1958.875</v>
      </c>
      <c r="C10" s="20">
        <f>'F Plus CO2'!B948</f>
        <v>57.236000000000004</v>
      </c>
      <c r="D10" s="19">
        <f>'F Plus CO2'!C948</f>
        <v>313.33</v>
      </c>
      <c r="E10" s="19">
        <f t="shared" si="1"/>
        <v>2.0000000000003126E-2</v>
      </c>
      <c r="F10" s="20">
        <f t="shared" si="2"/>
        <v>0.16225608099765507</v>
      </c>
      <c r="H10" s="18" t="s">
        <v>1842</v>
      </c>
      <c r="I10" s="20">
        <f>RSQ($E$2:$E$823,$D$2:$D$823)</f>
        <v>0.86577375117560229</v>
      </c>
    </row>
    <row r="11" spans="1:9" ht="15" customHeight="1">
      <c r="A11" s="18" t="str">
        <f>'F Plus CO2'!A949</f>
        <v>12/1958</v>
      </c>
      <c r="B11" s="19">
        <f t="shared" si="0"/>
        <v>1958.9583333333333</v>
      </c>
      <c r="C11" s="20">
        <f>'F Plus CO2'!B949</f>
        <v>57.218000000000004</v>
      </c>
      <c r="D11" s="19">
        <f>'F Plus CO2'!C949</f>
        <v>314.67</v>
      </c>
      <c r="E11" s="19">
        <f t="shared" si="1"/>
        <v>1.0000000000001563E-2</v>
      </c>
      <c r="F11" s="20">
        <f t="shared" si="2"/>
        <v>0.16841281440122227</v>
      </c>
      <c r="H11" s="18" t="s">
        <v>1843</v>
      </c>
      <c r="I11" s="20">
        <f>SLOPE($E$2:$E$823,$F$2:$F$823)</f>
        <v>2.7335713488112736</v>
      </c>
    </row>
    <row r="12" spans="1:9" ht="15" customHeight="1">
      <c r="A12" s="18" t="str">
        <f>'F Plus CO2'!A950</f>
        <v>1/1959</v>
      </c>
      <c r="B12" s="19">
        <f t="shared" si="0"/>
        <v>1959.0416666666667</v>
      </c>
      <c r="C12" s="20">
        <f>'F Plus CO2'!B950</f>
        <v>57.344000000000001</v>
      </c>
      <c r="D12" s="19">
        <f>'F Plus CO2'!C950</f>
        <v>315.58</v>
      </c>
      <c r="E12" s="19">
        <f t="shared" si="1"/>
        <v>8.0000000000000071E-2</v>
      </c>
      <c r="F12" s="20">
        <f t="shared" si="2"/>
        <v>0.17257894974287927</v>
      </c>
      <c r="H12" s="18" t="s">
        <v>1844</v>
      </c>
      <c r="I12" s="20">
        <f>RSQ($E$2:$E$823,$F$2:$F$823)</f>
        <v>0.86092237008061834</v>
      </c>
    </row>
    <row r="13" spans="1:9" ht="15" customHeight="1">
      <c r="A13" s="18" t="str">
        <f>'F Plus CO2'!A951</f>
        <v>2/1959</v>
      </c>
      <c r="B13" s="19">
        <f t="shared" si="0"/>
        <v>1959.125</v>
      </c>
      <c r="C13" s="20">
        <f>'F Plus CO2'!B951</f>
        <v>57.326000000000001</v>
      </c>
      <c r="D13" s="19">
        <f>'F Plus CO2'!C951</f>
        <v>316.49</v>
      </c>
      <c r="E13" s="19">
        <f t="shared" si="1"/>
        <v>7.0000000000000284E-2</v>
      </c>
      <c r="F13" s="20">
        <f t="shared" si="2"/>
        <v>0.17673308898155007</v>
      </c>
      <c r="H13" s="18" t="s">
        <v>1845</v>
      </c>
      <c r="I13" s="20">
        <f>CORREL($E$2:$E$823,$D$2:$D$823)</f>
        <v>0.93046964011492728</v>
      </c>
    </row>
    <row r="14" spans="1:9" ht="15" customHeight="1">
      <c r="A14" s="18" t="str">
        <f>'F Plus CO2'!A952</f>
        <v>3/1959</v>
      </c>
      <c r="B14" s="19">
        <f t="shared" si="0"/>
        <v>1959.2083333333333</v>
      </c>
      <c r="C14" s="20">
        <f>'F Plus CO2'!B952</f>
        <v>57.524000000000001</v>
      </c>
      <c r="D14" s="19">
        <f>'F Plus CO2'!C952</f>
        <v>316.64999999999998</v>
      </c>
      <c r="E14" s="19">
        <f t="shared" si="1"/>
        <v>0.17999999999999972</v>
      </c>
      <c r="F14" s="20">
        <f t="shared" si="2"/>
        <v>0.17746225223598333</v>
      </c>
    </row>
    <row r="15" spans="1:9" ht="15" customHeight="1">
      <c r="A15" s="18" t="str">
        <f>'F Plus CO2'!A953</f>
        <v>4/1959</v>
      </c>
      <c r="B15" s="19">
        <f t="shared" si="0"/>
        <v>1959.2916666666667</v>
      </c>
      <c r="C15" s="20">
        <f>'F Plus CO2'!B953</f>
        <v>57.488</v>
      </c>
      <c r="D15" s="19">
        <f>'F Plus CO2'!C953</f>
        <v>317.72000000000003</v>
      </c>
      <c r="E15" s="19">
        <f t="shared" si="1"/>
        <v>0.16000000000000014</v>
      </c>
      <c r="F15" s="20">
        <f t="shared" si="2"/>
        <v>0.18232908124013067</v>
      </c>
      <c r="H15" s="23" t="s">
        <v>1846</v>
      </c>
    </row>
    <row r="16" spans="1:9" ht="15" customHeight="1">
      <c r="A16" s="18" t="str">
        <f>'F Plus CO2'!A954</f>
        <v>5/1959</v>
      </c>
      <c r="B16" s="19">
        <f t="shared" si="0"/>
        <v>1959.375</v>
      </c>
      <c r="C16" s="20">
        <f>'F Plus CO2'!B954</f>
        <v>57.271999999999998</v>
      </c>
      <c r="D16" s="19">
        <f>'F Plus CO2'!C954</f>
        <v>318.29000000000002</v>
      </c>
      <c r="E16" s="19">
        <f t="shared" si="1"/>
        <v>3.9999999999999147E-2</v>
      </c>
      <c r="F16" s="20">
        <f t="shared" si="2"/>
        <v>0.18491500408245293</v>
      </c>
      <c r="H16" s="23" t="s">
        <v>2459</v>
      </c>
    </row>
    <row r="17" spans="1:9" ht="15" customHeight="1">
      <c r="A17" s="18" t="str">
        <f>'F Plus CO2'!A955</f>
        <v>6/1959</v>
      </c>
      <c r="B17" s="19">
        <f t="shared" si="0"/>
        <v>1959.4583333333333</v>
      </c>
      <c r="C17" s="20">
        <f>'F Plus CO2'!B955</f>
        <v>57.253999999999998</v>
      </c>
      <c r="D17" s="19">
        <f>'F Plus CO2'!C955</f>
        <v>318.14999999999998</v>
      </c>
      <c r="E17" s="19">
        <f t="shared" si="1"/>
        <v>2.9999999999997584E-2</v>
      </c>
      <c r="F17" s="20">
        <f t="shared" si="2"/>
        <v>0.1842802944193824</v>
      </c>
    </row>
    <row r="18" spans="1:9" ht="15" customHeight="1">
      <c r="A18" s="18" t="str">
        <f>'F Plus CO2'!A956</f>
        <v>7/1959</v>
      </c>
      <c r="B18" s="19">
        <f t="shared" si="0"/>
        <v>1959.5416666666667</v>
      </c>
      <c r="C18" s="20">
        <f>'F Plus CO2'!B956</f>
        <v>57.253999999999998</v>
      </c>
      <c r="D18" s="19">
        <f>'F Plus CO2'!C956</f>
        <v>316.54000000000002</v>
      </c>
      <c r="E18" s="19">
        <f t="shared" si="1"/>
        <v>2.9999999999997584E-2</v>
      </c>
      <c r="F18" s="20">
        <f t="shared" si="2"/>
        <v>0.17696099208944205</v>
      </c>
      <c r="H18" s="17" t="s">
        <v>1847</v>
      </c>
    </row>
    <row r="19" spans="1:9" ht="15" customHeight="1">
      <c r="A19" s="18" t="str">
        <f>'F Plus CO2'!A957</f>
        <v>8/1959</v>
      </c>
      <c r="B19" s="19">
        <f t="shared" si="0"/>
        <v>1959.625</v>
      </c>
      <c r="C19" s="20">
        <f>'F Plus CO2'!B957</f>
        <v>57.182000000000002</v>
      </c>
      <c r="D19" s="19">
        <f>'F Plus CO2'!C957</f>
        <v>314.8</v>
      </c>
      <c r="E19" s="19">
        <f t="shared" si="1"/>
        <v>-9.9999999999980105E-3</v>
      </c>
      <c r="F19" s="20">
        <f t="shared" si="2"/>
        <v>0.16900871367515766</v>
      </c>
      <c r="H19" s="18" t="s">
        <v>1848</v>
      </c>
      <c r="I19" s="20">
        <f>SLOPE($E$2:$E$779,$F$2:$F$779)</f>
        <v>2.5849313281892083</v>
      </c>
    </row>
    <row r="20" spans="1:9" ht="15" customHeight="1">
      <c r="A20" s="18" t="str">
        <f>'F Plus CO2'!A958</f>
        <v>9/1959</v>
      </c>
      <c r="B20" s="19">
        <f t="shared" si="0"/>
        <v>1959.7083333333333</v>
      </c>
      <c r="C20" s="20">
        <f>'F Plus CO2'!B958</f>
        <v>57.091999999999999</v>
      </c>
      <c r="D20" s="19">
        <f>'F Plus CO2'!C958</f>
        <v>313.83999999999997</v>
      </c>
      <c r="E20" s="19">
        <f t="shared" si="1"/>
        <v>-6.0000000000000497E-2</v>
      </c>
      <c r="F20" s="20">
        <f t="shared" si="2"/>
        <v>0.16460241335740428</v>
      </c>
      <c r="H20" s="18" t="s">
        <v>1849</v>
      </c>
      <c r="I20" s="20">
        <f>SLOPE($E$2:$E$791,$F$2:$F$791)</f>
        <v>2.6292800031360235</v>
      </c>
    </row>
    <row r="21" spans="1:9" ht="15" customHeight="1">
      <c r="A21" s="18" t="str">
        <f>'F Plus CO2'!A959</f>
        <v>10/1959</v>
      </c>
      <c r="B21" s="19">
        <f t="shared" si="0"/>
        <v>1959.7916666666667</v>
      </c>
      <c r="C21" s="20">
        <f>'F Plus CO2'!B959</f>
        <v>57.073999999999998</v>
      </c>
      <c r="D21" s="19">
        <f>'F Plus CO2'!C959</f>
        <v>313.33</v>
      </c>
      <c r="E21" s="19">
        <f t="shared" si="1"/>
        <v>-7.0000000000000284E-2</v>
      </c>
      <c r="F21" s="20">
        <f t="shared" si="2"/>
        <v>0.16225608099765507</v>
      </c>
      <c r="H21" s="18" t="s">
        <v>1850</v>
      </c>
      <c r="I21" s="20">
        <f>SLOPE($E$2:$E$803,$F$2:$F$803)</f>
        <v>2.6884782629896473</v>
      </c>
    </row>
    <row r="22" spans="1:9" ht="15" customHeight="1">
      <c r="A22" s="18" t="str">
        <f>'F Plus CO2'!A960</f>
        <v>11/1959</v>
      </c>
      <c r="B22" s="19">
        <f t="shared" si="0"/>
        <v>1959.875</v>
      </c>
      <c r="C22" s="20">
        <f>'F Plus CO2'!B960</f>
        <v>57.055999999999997</v>
      </c>
      <c r="D22" s="19">
        <f>'F Plus CO2'!C960</f>
        <v>314.81</v>
      </c>
      <c r="E22" s="19">
        <f t="shared" si="1"/>
        <v>-8.0000000000001847E-2</v>
      </c>
      <c r="F22" s="20">
        <f t="shared" si="2"/>
        <v>0.16905454188757499</v>
      </c>
      <c r="H22" s="18" t="s">
        <v>1851</v>
      </c>
      <c r="I22" s="20">
        <f>SLOPE($E$2:$E$815,$F$2:$F$815)</f>
        <v>2.7158666439203549</v>
      </c>
    </row>
    <row r="23" spans="1:9" ht="15" customHeight="1">
      <c r="A23" s="18" t="str">
        <f>'F Plus CO2'!A961</f>
        <v>12/1959</v>
      </c>
      <c r="B23" s="19">
        <f t="shared" si="0"/>
        <v>1959.9583333333333</v>
      </c>
      <c r="C23" s="20">
        <f>'F Plus CO2'!B961</f>
        <v>57.2</v>
      </c>
      <c r="D23" s="19">
        <f>'F Plus CO2'!C961</f>
        <v>315.58</v>
      </c>
      <c r="E23" s="19">
        <f t="shared" si="1"/>
        <v>0</v>
      </c>
      <c r="F23" s="20">
        <f t="shared" si="2"/>
        <v>0.17257894974287927</v>
      </c>
      <c r="H23" s="18" t="s">
        <v>1852</v>
      </c>
      <c r="I23" s="20">
        <f>SLOPE($E$2:$E$823,$F$2:$F$823)</f>
        <v>2.7335713488112736</v>
      </c>
    </row>
    <row r="24" spans="1:9" ht="15" customHeight="1">
      <c r="A24" s="18" t="str">
        <f>'F Plus CO2'!A962</f>
        <v>1/1960</v>
      </c>
      <c r="B24" s="19">
        <f t="shared" si="0"/>
        <v>1960.0416666666667</v>
      </c>
      <c r="C24" s="20">
        <f>'F Plus CO2'!B962</f>
        <v>57.2</v>
      </c>
      <c r="D24" s="19">
        <f>'F Plus CO2'!C962</f>
        <v>316.43</v>
      </c>
      <c r="E24" s="19">
        <f t="shared" si="1"/>
        <v>0</v>
      </c>
      <c r="F24" s="20">
        <f t="shared" si="2"/>
        <v>0.17645955772100325</v>
      </c>
      <c r="H24" s="23" t="s">
        <v>1853</v>
      </c>
    </row>
    <row r="25" spans="1:9" ht="15" customHeight="1">
      <c r="A25" s="18" t="str">
        <f>'F Plus CO2'!A963</f>
        <v>2/1960</v>
      </c>
      <c r="B25" s="19">
        <f t="shared" si="0"/>
        <v>1960.125</v>
      </c>
      <c r="C25" s="20">
        <f>'F Plus CO2'!B963</f>
        <v>57.433999999999997</v>
      </c>
      <c r="D25" s="19">
        <f>'F Plus CO2'!C963</f>
        <v>316.98</v>
      </c>
      <c r="E25" s="19">
        <f t="shared" si="1"/>
        <v>0.12999999999999901</v>
      </c>
      <c r="F25" s="20">
        <f t="shared" si="2"/>
        <v>0.17896498855382964</v>
      </c>
    </row>
    <row r="26" spans="1:9" ht="15" customHeight="1">
      <c r="A26" s="18" t="str">
        <f>'F Plus CO2'!A964</f>
        <v>3/1960</v>
      </c>
      <c r="B26" s="19">
        <f t="shared" si="0"/>
        <v>1960.2083333333333</v>
      </c>
      <c r="C26" s="20">
        <f>'F Plus CO2'!B964</f>
        <v>56.57</v>
      </c>
      <c r="D26" s="19">
        <f>'F Plus CO2'!C964</f>
        <v>317.58</v>
      </c>
      <c r="E26" s="19">
        <f t="shared" si="1"/>
        <v>-0.35000000000000142</v>
      </c>
      <c r="F26" s="20">
        <f t="shared" si="2"/>
        <v>0.1816932326363403</v>
      </c>
    </row>
    <row r="27" spans="1:9" ht="15" customHeight="1">
      <c r="A27" s="18" t="str">
        <f>'F Plus CO2'!A965</f>
        <v>4/1960</v>
      </c>
      <c r="B27" s="19">
        <f t="shared" si="0"/>
        <v>1960.2916666666667</v>
      </c>
      <c r="C27" s="20">
        <f>'F Plus CO2'!B965</f>
        <v>56.93</v>
      </c>
      <c r="D27" s="19">
        <f>'F Plus CO2'!C965</f>
        <v>319.02999999999997</v>
      </c>
      <c r="E27" s="19">
        <f t="shared" si="1"/>
        <v>-0.14999999999999858</v>
      </c>
      <c r="F27" s="20">
        <f t="shared" si="2"/>
        <v>0.18826526709013644</v>
      </c>
    </row>
    <row r="28" spans="1:9" ht="15" customHeight="1">
      <c r="A28" s="18" t="str">
        <f>'F Plus CO2'!A966</f>
        <v>5/1960</v>
      </c>
      <c r="B28" s="19">
        <f t="shared" si="0"/>
        <v>1960.375</v>
      </c>
      <c r="C28" s="20">
        <f>'F Plus CO2'!B966</f>
        <v>57.055999999999997</v>
      </c>
      <c r="D28" s="19">
        <f>'F Plus CO2'!C966</f>
        <v>320.02999999999997</v>
      </c>
      <c r="E28" s="19">
        <f t="shared" si="1"/>
        <v>-8.0000000000001847E-2</v>
      </c>
      <c r="F28" s="20">
        <f t="shared" si="2"/>
        <v>0.19278032426290692</v>
      </c>
    </row>
    <row r="29" spans="1:9" ht="15" customHeight="1">
      <c r="A29" s="18" t="str">
        <f>'F Plus CO2'!A967</f>
        <v>6/1960</v>
      </c>
      <c r="B29" s="19">
        <f t="shared" si="0"/>
        <v>1960.4583333333333</v>
      </c>
      <c r="C29" s="20">
        <f>'F Plus CO2'!B967</f>
        <v>57.128</v>
      </c>
      <c r="D29" s="19">
        <f>'F Plus CO2'!C967</f>
        <v>319.58</v>
      </c>
      <c r="E29" s="19">
        <f t="shared" si="1"/>
        <v>-3.9999999999999147E-2</v>
      </c>
      <c r="F29" s="20">
        <f t="shared" si="2"/>
        <v>0.19075029697903845</v>
      </c>
    </row>
    <row r="30" spans="1:9" ht="15" customHeight="1">
      <c r="A30" s="18" t="str">
        <f>'F Plus CO2'!A968</f>
        <v>7/1960</v>
      </c>
      <c r="B30" s="19">
        <f t="shared" si="0"/>
        <v>1960.5416666666667</v>
      </c>
      <c r="C30" s="20">
        <f>'F Plus CO2'!B968</f>
        <v>57.128</v>
      </c>
      <c r="D30" s="19">
        <f>'F Plus CO2'!C968</f>
        <v>318.18</v>
      </c>
      <c r="E30" s="19">
        <f t="shared" si="1"/>
        <v>-3.9999999999999147E-2</v>
      </c>
      <c r="F30" s="20">
        <f t="shared" si="2"/>
        <v>0.1844163271422109</v>
      </c>
    </row>
    <row r="31" spans="1:9" ht="15" customHeight="1">
      <c r="A31" s="18" t="str">
        <f>'F Plus CO2'!A969</f>
        <v>8/1960</v>
      </c>
      <c r="B31" s="19">
        <f t="shared" si="0"/>
        <v>1960.625</v>
      </c>
      <c r="C31" s="20">
        <f>'F Plus CO2'!B969</f>
        <v>57.236000000000004</v>
      </c>
      <c r="D31" s="19">
        <f>'F Plus CO2'!C969</f>
        <v>315.89999999999998</v>
      </c>
      <c r="E31" s="19">
        <f t="shared" si="1"/>
        <v>2.0000000000003126E-2</v>
      </c>
      <c r="F31" s="20">
        <f t="shared" si="2"/>
        <v>0.17404110991454413</v>
      </c>
    </row>
    <row r="32" spans="1:9" ht="15" customHeight="1">
      <c r="A32" s="18" t="str">
        <f>'F Plus CO2'!A970</f>
        <v>9/1960</v>
      </c>
      <c r="B32" s="19">
        <f t="shared" si="0"/>
        <v>1960.7083333333333</v>
      </c>
      <c r="C32" s="20">
        <f>'F Plus CO2'!B970</f>
        <v>57.326000000000001</v>
      </c>
      <c r="D32" s="19">
        <f>'F Plus CO2'!C970</f>
        <v>314.17</v>
      </c>
      <c r="E32" s="19">
        <f t="shared" si="1"/>
        <v>7.0000000000000284E-2</v>
      </c>
      <c r="F32" s="20">
        <f t="shared" si="2"/>
        <v>0.16611859751788685</v>
      </c>
    </row>
    <row r="33" spans="1:6" ht="15" customHeight="1">
      <c r="A33" s="18" t="str">
        <f>'F Plus CO2'!A971</f>
        <v>10/1960</v>
      </c>
      <c r="B33" s="19">
        <f t="shared" si="0"/>
        <v>1960.7916666666667</v>
      </c>
      <c r="C33" s="20">
        <f>'F Plus CO2'!B971</f>
        <v>57.308</v>
      </c>
      <c r="D33" s="19">
        <f>'F Plus CO2'!C971</f>
        <v>313.83</v>
      </c>
      <c r="E33" s="19">
        <f t="shared" si="1"/>
        <v>5.9999999999998721E-2</v>
      </c>
      <c r="F33" s="20">
        <f t="shared" si="2"/>
        <v>0.16455644349932552</v>
      </c>
    </row>
    <row r="34" spans="1:6" ht="15" customHeight="1">
      <c r="A34" s="18" t="str">
        <f>'F Plus CO2'!A972</f>
        <v>11/1960</v>
      </c>
      <c r="B34" s="19">
        <f t="shared" si="0"/>
        <v>1960.875</v>
      </c>
      <c r="C34" s="20">
        <f>'F Plus CO2'!B972</f>
        <v>57.002000000000002</v>
      </c>
      <c r="D34" s="19">
        <f>'F Plus CO2'!C972</f>
        <v>315</v>
      </c>
      <c r="E34" s="19">
        <f t="shared" si="1"/>
        <v>-0.10999999999999766</v>
      </c>
      <c r="F34" s="20">
        <f t="shared" si="2"/>
        <v>0.16992500144231237</v>
      </c>
    </row>
    <row r="35" spans="1:6" ht="15" customHeight="1">
      <c r="A35" s="18" t="str">
        <f>'F Plus CO2'!A973</f>
        <v>12/1960</v>
      </c>
      <c r="B35" s="19">
        <f t="shared" si="0"/>
        <v>1960.9583333333333</v>
      </c>
      <c r="C35" s="20">
        <f>'F Plus CO2'!B973</f>
        <v>57.542000000000002</v>
      </c>
      <c r="D35" s="19">
        <f>'F Plus CO2'!C973</f>
        <v>316.19</v>
      </c>
      <c r="E35" s="19">
        <f t="shared" si="1"/>
        <v>0.19000000000000128</v>
      </c>
      <c r="F35" s="20">
        <f t="shared" si="2"/>
        <v>0.17536491377542907</v>
      </c>
    </row>
    <row r="36" spans="1:6" ht="15" customHeight="1">
      <c r="A36" s="18" t="str">
        <f>'F Plus CO2'!A974</f>
        <v>1/1961</v>
      </c>
      <c r="B36" s="19">
        <f t="shared" si="0"/>
        <v>1961.0416666666667</v>
      </c>
      <c r="C36" s="20">
        <f>'F Plus CO2'!B974</f>
        <v>57.326000000000001</v>
      </c>
      <c r="D36" s="19">
        <f>'F Plus CO2'!C974</f>
        <v>316.89</v>
      </c>
      <c r="E36" s="19">
        <f t="shared" si="1"/>
        <v>7.0000000000000284E-2</v>
      </c>
      <c r="F36" s="20">
        <f t="shared" si="2"/>
        <v>0.17855530658575247</v>
      </c>
    </row>
    <row r="37" spans="1:6" ht="15" customHeight="1">
      <c r="A37" s="18" t="str">
        <f>'F Plus CO2'!A975</f>
        <v>2/1961</v>
      </c>
      <c r="B37" s="19">
        <f t="shared" si="0"/>
        <v>1961.125</v>
      </c>
      <c r="C37" s="20">
        <f>'F Plus CO2'!B975</f>
        <v>57.542000000000002</v>
      </c>
      <c r="D37" s="19">
        <f>'F Plus CO2'!C975</f>
        <v>317.7</v>
      </c>
      <c r="E37" s="19">
        <f t="shared" si="1"/>
        <v>0.19000000000000128</v>
      </c>
      <c r="F37" s="20">
        <f t="shared" si="2"/>
        <v>0.18223826288116377</v>
      </c>
    </row>
    <row r="38" spans="1:6" ht="15" customHeight="1">
      <c r="A38" s="18" t="str">
        <f>'F Plus CO2'!A976</f>
        <v>3/1961</v>
      </c>
      <c r="B38" s="19">
        <f t="shared" si="0"/>
        <v>1961.2083333333333</v>
      </c>
      <c r="C38" s="20">
        <f>'F Plus CO2'!B976</f>
        <v>57.362000000000002</v>
      </c>
      <c r="D38" s="19">
        <f>'F Plus CO2'!C976</f>
        <v>318.54000000000002</v>
      </c>
      <c r="E38" s="19">
        <f t="shared" si="1"/>
        <v>8.9999999999999858E-2</v>
      </c>
      <c r="F38" s="20">
        <f t="shared" si="2"/>
        <v>0.18604772012519621</v>
      </c>
    </row>
    <row r="39" spans="1:6" ht="15" customHeight="1">
      <c r="A39" s="18" t="str">
        <f>'F Plus CO2'!A977</f>
        <v>4/1961</v>
      </c>
      <c r="B39" s="19">
        <f t="shared" si="0"/>
        <v>1961.2916666666667</v>
      </c>
      <c r="C39" s="20">
        <f>'F Plus CO2'!B977</f>
        <v>57.433999999999997</v>
      </c>
      <c r="D39" s="19">
        <f>'F Plus CO2'!C977</f>
        <v>319.48</v>
      </c>
      <c r="E39" s="19">
        <f t="shared" si="1"/>
        <v>0.12999999999999901</v>
      </c>
      <c r="F39" s="20">
        <f t="shared" si="2"/>
        <v>0.19029879162659466</v>
      </c>
    </row>
    <row r="40" spans="1:6" ht="15" customHeight="1">
      <c r="A40" s="18" t="str">
        <f>'F Plus CO2'!A978</f>
        <v>5/1961</v>
      </c>
      <c r="B40" s="19">
        <f t="shared" si="0"/>
        <v>1961.375</v>
      </c>
      <c r="C40" s="20">
        <f>'F Plus CO2'!B978</f>
        <v>57.415999999999997</v>
      </c>
      <c r="D40" s="19">
        <f>'F Plus CO2'!C978</f>
        <v>320.58</v>
      </c>
      <c r="E40" s="19">
        <f t="shared" si="1"/>
        <v>0.11999999999999744</v>
      </c>
      <c r="F40" s="20">
        <f t="shared" si="2"/>
        <v>0.1952575958242399</v>
      </c>
    </row>
    <row r="41" spans="1:6" ht="15" customHeight="1">
      <c r="A41" s="18" t="str">
        <f>'F Plus CO2'!A979</f>
        <v>6/1961</v>
      </c>
      <c r="B41" s="19">
        <f t="shared" si="0"/>
        <v>1961.4583333333333</v>
      </c>
      <c r="C41" s="20">
        <f>'F Plus CO2'!B979</f>
        <v>57.397999999999996</v>
      </c>
      <c r="D41" s="19">
        <f>'F Plus CO2'!C979</f>
        <v>319.77</v>
      </c>
      <c r="E41" s="19">
        <f t="shared" si="1"/>
        <v>0.10999999999999766</v>
      </c>
      <c r="F41" s="20">
        <f t="shared" si="2"/>
        <v>0.19160776805384336</v>
      </c>
    </row>
    <row r="42" spans="1:6" ht="15" customHeight="1">
      <c r="A42" s="18" t="str">
        <f>'F Plus CO2'!A980</f>
        <v>7/1961</v>
      </c>
      <c r="B42" s="19">
        <f t="shared" si="0"/>
        <v>1961.5416666666667</v>
      </c>
      <c r="C42" s="20">
        <f>'F Plus CO2'!B980</f>
        <v>57.218000000000004</v>
      </c>
      <c r="D42" s="19">
        <f>'F Plus CO2'!C980</f>
        <v>318.56</v>
      </c>
      <c r="E42" s="19">
        <f t="shared" si="1"/>
        <v>1.0000000000001563E-2</v>
      </c>
      <c r="F42" s="20">
        <f t="shared" si="2"/>
        <v>0.18613829900081141</v>
      </c>
    </row>
    <row r="43" spans="1:6" ht="15" customHeight="1">
      <c r="A43" s="18" t="str">
        <f>'F Plus CO2'!A981</f>
        <v>8/1961</v>
      </c>
      <c r="B43" s="19">
        <f t="shared" si="0"/>
        <v>1961.625</v>
      </c>
      <c r="C43" s="20">
        <f>'F Plus CO2'!B981</f>
        <v>57.218000000000004</v>
      </c>
      <c r="D43" s="19">
        <f>'F Plus CO2'!C981</f>
        <v>316.79000000000002</v>
      </c>
      <c r="E43" s="19">
        <f t="shared" si="1"/>
        <v>1.0000000000001563E-2</v>
      </c>
      <c r="F43" s="20">
        <f t="shared" si="2"/>
        <v>0.17809996791233229</v>
      </c>
    </row>
    <row r="44" spans="1:6" ht="15" customHeight="1">
      <c r="A44" s="18" t="str">
        <f>'F Plus CO2'!A982</f>
        <v>9/1961</v>
      </c>
      <c r="B44" s="19">
        <f t="shared" si="0"/>
        <v>1961.7083333333333</v>
      </c>
      <c r="C44" s="20">
        <f>'F Plus CO2'!B982</f>
        <v>57.344000000000001</v>
      </c>
      <c r="D44" s="19">
        <f>'F Plus CO2'!C982</f>
        <v>314.99</v>
      </c>
      <c r="E44" s="19">
        <f t="shared" si="1"/>
        <v>8.0000000000000071E-2</v>
      </c>
      <c r="F44" s="20">
        <f t="shared" si="2"/>
        <v>0.16987920087274735</v>
      </c>
    </row>
    <row r="45" spans="1:6" ht="15" customHeight="1">
      <c r="A45" s="18" t="str">
        <f>'F Plus CO2'!A983</f>
        <v>10/1961</v>
      </c>
      <c r="B45" s="19">
        <f t="shared" si="0"/>
        <v>1961.7916666666667</v>
      </c>
      <c r="C45" s="20">
        <f>'F Plus CO2'!B983</f>
        <v>57.2</v>
      </c>
      <c r="D45" s="19">
        <f>'F Plus CO2'!C983</f>
        <v>315.31</v>
      </c>
      <c r="E45" s="19">
        <f t="shared" si="1"/>
        <v>0</v>
      </c>
      <c r="F45" s="20">
        <f t="shared" si="2"/>
        <v>0.17134409839059492</v>
      </c>
    </row>
    <row r="46" spans="1:6" ht="15" customHeight="1">
      <c r="A46" s="18" t="str">
        <f>'F Plus CO2'!A984</f>
        <v>11/1961</v>
      </c>
      <c r="B46" s="19">
        <f t="shared" si="0"/>
        <v>1961.875</v>
      </c>
      <c r="C46" s="20">
        <f>'F Plus CO2'!B984</f>
        <v>57.253999999999998</v>
      </c>
      <c r="D46" s="19">
        <f>'F Plus CO2'!C984</f>
        <v>316.10000000000002</v>
      </c>
      <c r="E46" s="19">
        <f t="shared" si="1"/>
        <v>2.9999999999997584E-2</v>
      </c>
      <c r="F46" s="20">
        <f t="shared" si="2"/>
        <v>0.17495420807216977</v>
      </c>
    </row>
    <row r="47" spans="1:6" ht="15" customHeight="1">
      <c r="A47" s="18" t="str">
        <f>'F Plus CO2'!A985</f>
        <v>12/1961</v>
      </c>
      <c r="B47" s="19">
        <f t="shared" si="0"/>
        <v>1961.9583333333333</v>
      </c>
      <c r="C47" s="20">
        <f>'F Plus CO2'!B985</f>
        <v>56.911999999999999</v>
      </c>
      <c r="D47" s="19">
        <f>'F Plus CO2'!C985</f>
        <v>317.01</v>
      </c>
      <c r="E47" s="19">
        <f t="shared" si="1"/>
        <v>-0.16000000000000014</v>
      </c>
      <c r="F47" s="20">
        <f t="shared" si="2"/>
        <v>0.17910152336118931</v>
      </c>
    </row>
    <row r="48" spans="1:6" ht="15" customHeight="1">
      <c r="A48" s="18" t="str">
        <f>'F Plus CO2'!A986</f>
        <v>1/1962</v>
      </c>
      <c r="B48" s="19">
        <f t="shared" si="0"/>
        <v>1962.0416666666667</v>
      </c>
      <c r="C48" s="20">
        <f>'F Plus CO2'!B986</f>
        <v>57.290000000000006</v>
      </c>
      <c r="D48" s="19">
        <f>'F Plus CO2'!C986</f>
        <v>317.94</v>
      </c>
      <c r="E48" s="19">
        <f t="shared" si="1"/>
        <v>5.0000000000004263E-2</v>
      </c>
      <c r="F48" s="20">
        <f t="shared" si="2"/>
        <v>0.18332770604480075</v>
      </c>
    </row>
    <row r="49" spans="1:6" ht="15" customHeight="1">
      <c r="A49" s="18" t="str">
        <f>'F Plus CO2'!A987</f>
        <v>2/1962</v>
      </c>
      <c r="B49" s="19">
        <f t="shared" si="0"/>
        <v>1962.125</v>
      </c>
      <c r="C49" s="20">
        <f>'F Plus CO2'!B987</f>
        <v>57.47</v>
      </c>
      <c r="D49" s="19">
        <f>'F Plus CO2'!C987</f>
        <v>318.55</v>
      </c>
      <c r="E49" s="19">
        <f t="shared" si="1"/>
        <v>0.14999999999999858</v>
      </c>
      <c r="F49" s="20">
        <f t="shared" si="2"/>
        <v>0.18609301027387254</v>
      </c>
    </row>
    <row r="50" spans="1:6" ht="15" customHeight="1">
      <c r="A50" s="18" t="str">
        <f>'F Plus CO2'!A988</f>
        <v>3/1962</v>
      </c>
      <c r="B50" s="19">
        <f t="shared" si="0"/>
        <v>1962.2083333333333</v>
      </c>
      <c r="C50" s="20">
        <f>'F Plus CO2'!B988</f>
        <v>57.379999999999995</v>
      </c>
      <c r="D50" s="19">
        <f>'F Plus CO2'!C988</f>
        <v>319.68</v>
      </c>
      <c r="E50" s="19">
        <f t="shared" si="1"/>
        <v>9.9999999999997868E-2</v>
      </c>
      <c r="F50" s="20">
        <f t="shared" si="2"/>
        <v>0.19120166107272715</v>
      </c>
    </row>
    <row r="51" spans="1:6" ht="15" customHeight="1">
      <c r="A51" s="18" t="str">
        <f>'F Plus CO2'!A989</f>
        <v>4/1962</v>
      </c>
      <c r="B51" s="19">
        <f t="shared" si="0"/>
        <v>1962.2916666666667</v>
      </c>
      <c r="C51" s="20">
        <f>'F Plus CO2'!B989</f>
        <v>57.290000000000006</v>
      </c>
      <c r="D51" s="19">
        <f>'F Plus CO2'!C989</f>
        <v>320.57</v>
      </c>
      <c r="E51" s="19">
        <f t="shared" si="1"/>
        <v>5.0000000000004263E-2</v>
      </c>
      <c r="F51" s="20">
        <f t="shared" si="2"/>
        <v>0.19521259246961153</v>
      </c>
    </row>
    <row r="52" spans="1:6" ht="15" customHeight="1">
      <c r="A52" s="18" t="str">
        <f>'F Plus CO2'!A990</f>
        <v>5/1962</v>
      </c>
      <c r="B52" s="19">
        <f t="shared" si="0"/>
        <v>1962.375</v>
      </c>
      <c r="C52" s="20">
        <f>'F Plus CO2'!B990</f>
        <v>57.091999999999999</v>
      </c>
      <c r="D52" s="19">
        <f>'F Plus CO2'!C990</f>
        <v>321.02</v>
      </c>
      <c r="E52" s="19">
        <f t="shared" si="1"/>
        <v>-6.0000000000000497E-2</v>
      </c>
      <c r="F52" s="20">
        <f t="shared" si="2"/>
        <v>0.19723635491870628</v>
      </c>
    </row>
    <row r="53" spans="1:6" ht="15" customHeight="1">
      <c r="A53" s="18" t="str">
        <f>'F Plus CO2'!A991</f>
        <v>6/1962</v>
      </c>
      <c r="B53" s="19">
        <f t="shared" si="0"/>
        <v>1962.4583333333333</v>
      </c>
      <c r="C53" s="20">
        <f>'F Plus CO2'!B991</f>
        <v>57.253999999999998</v>
      </c>
      <c r="D53" s="19">
        <f>'F Plus CO2'!C991</f>
        <v>320.62</v>
      </c>
      <c r="E53" s="19">
        <f t="shared" si="1"/>
        <v>2.9999999999997584E-2</v>
      </c>
      <c r="F53" s="20">
        <f t="shared" si="2"/>
        <v>0.19543759520574477</v>
      </c>
    </row>
    <row r="54" spans="1:6" ht="15" customHeight="1">
      <c r="A54" s="18" t="str">
        <f>'F Plus CO2'!A992</f>
        <v>7/1962</v>
      </c>
      <c r="B54" s="19">
        <f t="shared" si="0"/>
        <v>1962.5416666666667</v>
      </c>
      <c r="C54" s="20">
        <f>'F Plus CO2'!B992</f>
        <v>57.236000000000004</v>
      </c>
      <c r="D54" s="19">
        <f>'F Plus CO2'!C992</f>
        <v>319.61</v>
      </c>
      <c r="E54" s="19">
        <f t="shared" si="1"/>
        <v>2.0000000000003126E-2</v>
      </c>
      <c r="F54" s="20">
        <f t="shared" si="2"/>
        <v>0.19088572103529255</v>
      </c>
    </row>
    <row r="55" spans="1:6" ht="15" customHeight="1">
      <c r="A55" s="18" t="str">
        <f>'F Plus CO2'!A993</f>
        <v>8/1962</v>
      </c>
      <c r="B55" s="19">
        <f t="shared" si="0"/>
        <v>1962.625</v>
      </c>
      <c r="C55" s="20">
        <f>'F Plus CO2'!B993</f>
        <v>57.182000000000002</v>
      </c>
      <c r="D55" s="19">
        <f>'F Plus CO2'!C993</f>
        <v>317.39999999999998</v>
      </c>
      <c r="E55" s="19">
        <f t="shared" si="1"/>
        <v>-9.9999999999980105E-3</v>
      </c>
      <c r="F55" s="20">
        <f t="shared" si="2"/>
        <v>0.18087530100285296</v>
      </c>
    </row>
    <row r="56" spans="1:6" ht="15" customHeight="1">
      <c r="A56" s="18" t="str">
        <f>'F Plus CO2'!A994</f>
        <v>9/1962</v>
      </c>
      <c r="B56" s="19">
        <f t="shared" si="0"/>
        <v>1962.7083333333333</v>
      </c>
      <c r="C56" s="20">
        <f>'F Plus CO2'!B994</f>
        <v>57.2</v>
      </c>
      <c r="D56" s="19">
        <f>'F Plus CO2'!C994</f>
        <v>316.24</v>
      </c>
      <c r="E56" s="19">
        <f t="shared" si="1"/>
        <v>0</v>
      </c>
      <c r="F56" s="20">
        <f t="shared" si="2"/>
        <v>0.17559303309992255</v>
      </c>
    </row>
    <row r="57" spans="1:6" ht="15" customHeight="1">
      <c r="A57" s="18" t="str">
        <f>'F Plus CO2'!A995</f>
        <v>10/1962</v>
      </c>
      <c r="B57" s="19">
        <f t="shared" si="0"/>
        <v>1962.7916666666667</v>
      </c>
      <c r="C57" s="20">
        <f>'F Plus CO2'!B995</f>
        <v>57.218000000000004</v>
      </c>
      <c r="D57" s="19">
        <f>'F Plus CO2'!C995</f>
        <v>315.42</v>
      </c>
      <c r="E57" s="19">
        <f t="shared" si="1"/>
        <v>1.0000000000001563E-2</v>
      </c>
      <c r="F57" s="20">
        <f t="shared" si="2"/>
        <v>0.17184731357334099</v>
      </c>
    </row>
    <row r="58" spans="1:6" ht="15" customHeight="1">
      <c r="A58" s="18" t="str">
        <f>'F Plus CO2'!A996</f>
        <v>11/1962</v>
      </c>
      <c r="B58" s="19">
        <f t="shared" si="0"/>
        <v>1962.875</v>
      </c>
      <c r="C58" s="20">
        <f>'F Plus CO2'!B996</f>
        <v>57.308</v>
      </c>
      <c r="D58" s="19">
        <f>'F Plus CO2'!C996</f>
        <v>316.69</v>
      </c>
      <c r="E58" s="19">
        <f t="shared" si="1"/>
        <v>5.9999999999998721E-2</v>
      </c>
      <c r="F58" s="20">
        <f t="shared" si="2"/>
        <v>0.17764448548104073</v>
      </c>
    </row>
    <row r="59" spans="1:6" ht="15" customHeight="1">
      <c r="A59" s="18" t="str">
        <f>'F Plus CO2'!A997</f>
        <v>12/1962</v>
      </c>
      <c r="B59" s="19">
        <f t="shared" si="0"/>
        <v>1962.9583333333333</v>
      </c>
      <c r="C59" s="20">
        <f>'F Plus CO2'!B997</f>
        <v>57.146000000000001</v>
      </c>
      <c r="D59" s="19">
        <f>'F Plus CO2'!C997</f>
        <v>317.7</v>
      </c>
      <c r="E59" s="19">
        <f t="shared" si="1"/>
        <v>-2.9999999999999361E-2</v>
      </c>
      <c r="F59" s="20">
        <f t="shared" si="2"/>
        <v>0.18223826288116377</v>
      </c>
    </row>
    <row r="60" spans="1:6" ht="15" customHeight="1">
      <c r="A60" s="18" t="str">
        <f>'F Plus CO2'!A998</f>
        <v>1/1963</v>
      </c>
      <c r="B60" s="19">
        <f t="shared" si="0"/>
        <v>1963.0416666666667</v>
      </c>
      <c r="C60" s="20">
        <f>'F Plus CO2'!B998</f>
        <v>57.146000000000001</v>
      </c>
      <c r="D60" s="19">
        <f>'F Plus CO2'!C998</f>
        <v>318.74</v>
      </c>
      <c r="E60" s="19">
        <f t="shared" si="1"/>
        <v>-2.9999999999999361E-2</v>
      </c>
      <c r="F60" s="20">
        <f t="shared" si="2"/>
        <v>0.18695325307037156</v>
      </c>
    </row>
    <row r="61" spans="1:6" ht="15" customHeight="1">
      <c r="A61" s="18" t="str">
        <f>'F Plus CO2'!A999</f>
        <v>2/1963</v>
      </c>
      <c r="B61" s="19">
        <f t="shared" si="0"/>
        <v>1963.125</v>
      </c>
      <c r="C61" s="20">
        <f>'F Plus CO2'!B999</f>
        <v>57.524000000000001</v>
      </c>
      <c r="D61" s="19">
        <f>'F Plus CO2'!C999</f>
        <v>319.07</v>
      </c>
      <c r="E61" s="19">
        <f t="shared" si="1"/>
        <v>0.17999999999999972</v>
      </c>
      <c r="F61" s="20">
        <f t="shared" si="2"/>
        <v>0.18844614093972484</v>
      </c>
    </row>
    <row r="62" spans="1:6" ht="15" customHeight="1">
      <c r="A62" s="18" t="str">
        <f>'F Plus CO2'!A1000</f>
        <v>3/1963</v>
      </c>
      <c r="B62" s="19">
        <f t="shared" si="0"/>
        <v>1963.2083333333333</v>
      </c>
      <c r="C62" s="20">
        <f>'F Plus CO2'!B1000</f>
        <v>56.948</v>
      </c>
      <c r="D62" s="19">
        <f>'F Plus CO2'!C1000</f>
        <v>319.86</v>
      </c>
      <c r="E62" s="19">
        <f t="shared" si="1"/>
        <v>-0.13999999999999879</v>
      </c>
      <c r="F62" s="20">
        <f t="shared" si="2"/>
        <v>0.19201376075129936</v>
      </c>
    </row>
    <row r="63" spans="1:6" ht="15" customHeight="1">
      <c r="A63" s="18" t="str">
        <f>'F Plus CO2'!A1001</f>
        <v>4/1963</v>
      </c>
      <c r="B63" s="19">
        <f t="shared" si="0"/>
        <v>1963.2916666666667</v>
      </c>
      <c r="C63" s="20">
        <f>'F Plus CO2'!B1001</f>
        <v>57.073999999999998</v>
      </c>
      <c r="D63" s="19">
        <f>'F Plus CO2'!C1001</f>
        <v>321.38</v>
      </c>
      <c r="E63" s="19">
        <f t="shared" si="1"/>
        <v>-7.0000000000000284E-2</v>
      </c>
      <c r="F63" s="20">
        <f t="shared" si="2"/>
        <v>0.198853323377887</v>
      </c>
    </row>
    <row r="64" spans="1:6" ht="15" customHeight="1">
      <c r="A64" s="18" t="str">
        <f>'F Plus CO2'!A1002</f>
        <v>5/1963</v>
      </c>
      <c r="B64" s="19">
        <f t="shared" si="0"/>
        <v>1963.375</v>
      </c>
      <c r="C64" s="20">
        <f>'F Plus CO2'!B1002</f>
        <v>57.091999999999999</v>
      </c>
      <c r="D64" s="19">
        <f>'F Plus CO2'!C1002</f>
        <v>322.24</v>
      </c>
      <c r="E64" s="19">
        <f t="shared" si="1"/>
        <v>-6.0000000000000497E-2</v>
      </c>
      <c r="F64" s="20">
        <f t="shared" si="2"/>
        <v>0.20270876128709345</v>
      </c>
    </row>
    <row r="65" spans="1:6" ht="15" customHeight="1">
      <c r="A65" s="18" t="str">
        <f>'F Plus CO2'!A1003</f>
        <v>6/1963</v>
      </c>
      <c r="B65" s="19">
        <f t="shared" si="0"/>
        <v>1963.4583333333333</v>
      </c>
      <c r="C65" s="20">
        <f>'F Plus CO2'!B1003</f>
        <v>57.290000000000006</v>
      </c>
      <c r="D65" s="19">
        <f>'F Plus CO2'!C1003</f>
        <v>321.49</v>
      </c>
      <c r="E65" s="19">
        <f t="shared" si="1"/>
        <v>5.0000000000004263E-2</v>
      </c>
      <c r="F65" s="20">
        <f t="shared" si="2"/>
        <v>0.19934703581133892</v>
      </c>
    </row>
    <row r="66" spans="1:6" ht="15" customHeight="1">
      <c r="A66" s="18" t="str">
        <f>'F Plus CO2'!A1004</f>
        <v>7/1963</v>
      </c>
      <c r="B66" s="19">
        <f t="shared" ref="B66:B129" si="3">VALUE(RIGHT(A66,4))+(VALUE(LEFT(A66,FIND("/",A66)-1))-0.5)/12</f>
        <v>1963.5416666666667</v>
      </c>
      <c r="C66" s="20">
        <f>'F Plus CO2'!B1004</f>
        <v>57.308</v>
      </c>
      <c r="D66" s="19">
        <f>'F Plus CO2'!C1004</f>
        <v>319.74</v>
      </c>
      <c r="E66" s="19">
        <f t="shared" ref="E66:E129" si="4">(C66-32)*5/9-$I$3</f>
        <v>5.9999999999998721E-2</v>
      </c>
      <c r="F66" s="20">
        <f t="shared" ref="F66:F129" si="5">LOG(D66/$I$4,2)</f>
        <v>0.19147241176149948</v>
      </c>
    </row>
    <row r="67" spans="1:6" ht="15" customHeight="1">
      <c r="A67" s="18" t="str">
        <f>'F Plus CO2'!A1005</f>
        <v>8/1963</v>
      </c>
      <c r="B67" s="19">
        <f t="shared" si="3"/>
        <v>1963.625</v>
      </c>
      <c r="C67" s="20">
        <f>'F Plus CO2'!B1005</f>
        <v>57.596000000000004</v>
      </c>
      <c r="D67" s="19">
        <f>'F Plus CO2'!C1005</f>
        <v>317.77</v>
      </c>
      <c r="E67" s="19">
        <f t="shared" si="4"/>
        <v>0.22000000000000242</v>
      </c>
      <c r="F67" s="20">
        <f t="shared" si="5"/>
        <v>0.18255610212855772</v>
      </c>
    </row>
    <row r="68" spans="1:6" ht="15" customHeight="1">
      <c r="A68" s="18" t="str">
        <f>'F Plus CO2'!A1006</f>
        <v>9/1963</v>
      </c>
      <c r="B68" s="19">
        <f t="shared" si="3"/>
        <v>1963.7083333333333</v>
      </c>
      <c r="C68" s="20">
        <f>'F Plus CO2'!B1006</f>
        <v>57.506</v>
      </c>
      <c r="D68" s="19">
        <f>'F Plus CO2'!C1006</f>
        <v>316.20999999999998</v>
      </c>
      <c r="E68" s="19">
        <f t="shared" si="4"/>
        <v>0.16999999999999993</v>
      </c>
      <c r="F68" s="20">
        <f t="shared" si="5"/>
        <v>0.17545616583370666</v>
      </c>
    </row>
    <row r="69" spans="1:6" ht="15" customHeight="1">
      <c r="A69" s="18" t="str">
        <f>'F Plus CO2'!A1007</f>
        <v>10/1963</v>
      </c>
      <c r="B69" s="19">
        <f t="shared" si="3"/>
        <v>1963.7916666666667</v>
      </c>
      <c r="C69" s="20">
        <f>'F Plus CO2'!B1007</f>
        <v>57.47</v>
      </c>
      <c r="D69" s="19">
        <f>'F Plus CO2'!C1007</f>
        <v>315.99</v>
      </c>
      <c r="E69" s="19">
        <f t="shared" si="4"/>
        <v>0.14999999999999858</v>
      </c>
      <c r="F69" s="20">
        <f t="shared" si="5"/>
        <v>0.17445207560337639</v>
      </c>
    </row>
    <row r="70" spans="1:6" ht="15" customHeight="1">
      <c r="A70" s="18" t="str">
        <f>'F Plus CO2'!A1008</f>
        <v>11/1963</v>
      </c>
      <c r="B70" s="19">
        <f t="shared" si="3"/>
        <v>1963.875</v>
      </c>
      <c r="C70" s="20">
        <f>'F Plus CO2'!B1008</f>
        <v>57.47</v>
      </c>
      <c r="D70" s="19">
        <f>'F Plus CO2'!C1008</f>
        <v>317.07</v>
      </c>
      <c r="E70" s="19">
        <f t="shared" si="4"/>
        <v>0.14999999999999858</v>
      </c>
      <c r="F70" s="20">
        <f t="shared" si="5"/>
        <v>0.179374554217585</v>
      </c>
    </row>
    <row r="71" spans="1:6" ht="15" customHeight="1">
      <c r="A71" s="18" t="str">
        <f>'F Plus CO2'!A1009</f>
        <v>12/1963</v>
      </c>
      <c r="B71" s="19">
        <f t="shared" si="3"/>
        <v>1963.9583333333333</v>
      </c>
      <c r="C71" s="20">
        <f>'F Plus CO2'!B1009</f>
        <v>57.146000000000001</v>
      </c>
      <c r="D71" s="19">
        <f>'F Plus CO2'!C1009</f>
        <v>318.35000000000002</v>
      </c>
      <c r="E71" s="19">
        <f t="shared" si="4"/>
        <v>-2.9999999999999361E-2</v>
      </c>
      <c r="F71" s="20">
        <f t="shared" si="5"/>
        <v>0.18518693705150802</v>
      </c>
    </row>
    <row r="72" spans="1:6" ht="15" customHeight="1">
      <c r="A72" s="18" t="str">
        <f>'F Plus CO2'!A1010</f>
        <v>1/1964</v>
      </c>
      <c r="B72" s="19">
        <f t="shared" si="3"/>
        <v>1964.0416666666667</v>
      </c>
      <c r="C72" s="20">
        <f>'F Plus CO2'!B1010</f>
        <v>57.037999999999997</v>
      </c>
      <c r="D72" s="19">
        <f>'F Plus CO2'!C1010</f>
        <v>319.57</v>
      </c>
      <c r="E72" s="19">
        <f t="shared" si="4"/>
        <v>-9.0000000000001634E-2</v>
      </c>
      <c r="F72" s="20">
        <f t="shared" si="5"/>
        <v>0.1907051528018969</v>
      </c>
    </row>
    <row r="73" spans="1:6" ht="15" customHeight="1">
      <c r="A73" s="18" t="str">
        <f>'F Plus CO2'!A1011</f>
        <v>2/1964</v>
      </c>
      <c r="B73" s="19">
        <f t="shared" si="3"/>
        <v>1964.125</v>
      </c>
      <c r="C73" s="20">
        <f>'F Plus CO2'!B1011</f>
        <v>57.019999999999996</v>
      </c>
      <c r="D73" s="19">
        <f>'F Plus CO2'!C1011</f>
        <v>320.04000000000002</v>
      </c>
      <c r="E73" s="19">
        <f t="shared" si="4"/>
        <v>-0.10000000000000142</v>
      </c>
      <c r="F73" s="20">
        <f t="shared" si="5"/>
        <v>0.19282540355239119</v>
      </c>
    </row>
    <row r="74" spans="1:6" ht="15" customHeight="1">
      <c r="A74" s="18" t="str">
        <f>'F Plus CO2'!A1012</f>
        <v>3/1964</v>
      </c>
      <c r="B74" s="19">
        <f t="shared" si="3"/>
        <v>1964.2083333333333</v>
      </c>
      <c r="C74" s="20">
        <f>'F Plus CO2'!B1012</f>
        <v>56.822000000000003</v>
      </c>
      <c r="D74" s="19">
        <f>'F Plus CO2'!C1012</f>
        <v>320.75</v>
      </c>
      <c r="E74" s="19">
        <f t="shared" si="4"/>
        <v>-0.20999999999999908</v>
      </c>
      <c r="F74" s="20">
        <f t="shared" si="5"/>
        <v>0.19602243814471609</v>
      </c>
    </row>
    <row r="75" spans="1:6" ht="15" customHeight="1">
      <c r="A75" s="18" t="str">
        <f>'F Plus CO2'!A1013</f>
        <v>4/1964</v>
      </c>
      <c r="B75" s="19">
        <f t="shared" si="3"/>
        <v>1964.2916666666667</v>
      </c>
      <c r="C75" s="20">
        <f>'F Plus CO2'!B1013</f>
        <v>56.623999999999995</v>
      </c>
      <c r="D75" s="19">
        <f>'F Plus CO2'!C1013</f>
        <v>321.83999999999997</v>
      </c>
      <c r="E75" s="19">
        <f t="shared" si="4"/>
        <v>-0.32000000000000206</v>
      </c>
      <c r="F75" s="20">
        <f t="shared" si="5"/>
        <v>0.20091681590593874</v>
      </c>
    </row>
    <row r="76" spans="1:6" ht="15" customHeight="1">
      <c r="A76" s="18" t="str">
        <f>'F Plus CO2'!A1014</f>
        <v>5/1964</v>
      </c>
      <c r="B76" s="19">
        <f t="shared" si="3"/>
        <v>1964.375</v>
      </c>
      <c r="C76" s="20">
        <f>'F Plus CO2'!B1014</f>
        <v>56.75</v>
      </c>
      <c r="D76" s="19">
        <f>'F Plus CO2'!C1014</f>
        <v>322.25</v>
      </c>
      <c r="E76" s="19">
        <f t="shared" si="4"/>
        <v>-0.25</v>
      </c>
      <c r="F76" s="20">
        <f t="shared" si="5"/>
        <v>0.20275353141668456</v>
      </c>
    </row>
    <row r="77" spans="1:6" ht="15" customHeight="1">
      <c r="A77" s="18" t="str">
        <f>'F Plus CO2'!A1015</f>
        <v>6/1964</v>
      </c>
      <c r="B77" s="19">
        <f t="shared" si="3"/>
        <v>1964.4583333333333</v>
      </c>
      <c r="C77" s="20">
        <f>'F Plus CO2'!B1015</f>
        <v>57.128</v>
      </c>
      <c r="D77" s="19">
        <f>'F Plus CO2'!C1015</f>
        <v>321.89</v>
      </c>
      <c r="E77" s="19">
        <f t="shared" si="4"/>
        <v>-3.9999999999999147E-2</v>
      </c>
      <c r="F77" s="20">
        <f t="shared" si="5"/>
        <v>0.20114093083670029</v>
      </c>
    </row>
    <row r="78" spans="1:6" ht="15" customHeight="1">
      <c r="A78" s="18" t="str">
        <f>'F Plus CO2'!A1016</f>
        <v>7/1964</v>
      </c>
      <c r="B78" s="19">
        <f t="shared" si="3"/>
        <v>1964.5416666666667</v>
      </c>
      <c r="C78" s="20">
        <f>'F Plus CO2'!B1016</f>
        <v>57.128</v>
      </c>
      <c r="D78" s="19">
        <f>'F Plus CO2'!C1016</f>
        <v>320.44</v>
      </c>
      <c r="E78" s="19">
        <f t="shared" si="4"/>
        <v>-3.9999999999999147E-2</v>
      </c>
      <c r="F78" s="20">
        <f t="shared" si="5"/>
        <v>0.19462742107482237</v>
      </c>
    </row>
    <row r="79" spans="1:6" ht="15" customHeight="1">
      <c r="A79" s="18" t="str">
        <f>'F Plus CO2'!A1017</f>
        <v>8/1964</v>
      </c>
      <c r="B79" s="19">
        <f t="shared" si="3"/>
        <v>1964.625</v>
      </c>
      <c r="C79" s="20">
        <f>'F Plus CO2'!B1017</f>
        <v>56.804000000000002</v>
      </c>
      <c r="D79" s="19">
        <f>'F Plus CO2'!C1017</f>
        <v>318.69</v>
      </c>
      <c r="E79" s="19">
        <f t="shared" si="4"/>
        <v>-0.21999999999999886</v>
      </c>
      <c r="F79" s="20">
        <f t="shared" si="5"/>
        <v>0.18672692311353747</v>
      </c>
    </row>
    <row r="80" spans="1:6" ht="15" customHeight="1">
      <c r="A80" s="18" t="str">
        <f>'F Plus CO2'!A1018</f>
        <v>9/1964</v>
      </c>
      <c r="B80" s="19">
        <f t="shared" si="3"/>
        <v>1964.7083333333333</v>
      </c>
      <c r="C80" s="20">
        <f>'F Plus CO2'!B1018</f>
        <v>56.66</v>
      </c>
      <c r="D80" s="19">
        <f>'F Plus CO2'!C1018</f>
        <v>316.70999999999998</v>
      </c>
      <c r="E80" s="19">
        <f t="shared" si="4"/>
        <v>-0.30000000000000249</v>
      </c>
      <c r="F80" s="20">
        <f t="shared" si="5"/>
        <v>0.17773559347228587</v>
      </c>
    </row>
    <row r="81" spans="1:6" ht="15" customHeight="1">
      <c r="A81" s="18" t="str">
        <f>'F Plus CO2'!A1019</f>
        <v>10/1964</v>
      </c>
      <c r="B81" s="19">
        <f t="shared" si="3"/>
        <v>1964.7916666666667</v>
      </c>
      <c r="C81" s="20">
        <f>'F Plus CO2'!B1019</f>
        <v>56.641999999999996</v>
      </c>
      <c r="D81" s="19">
        <f>'F Plus CO2'!C1019</f>
        <v>316.87</v>
      </c>
      <c r="E81" s="19">
        <f t="shared" si="4"/>
        <v>-0.31000000000000227</v>
      </c>
      <c r="F81" s="20">
        <f t="shared" si="5"/>
        <v>0.17846425034734256</v>
      </c>
    </row>
    <row r="82" spans="1:6" ht="15" customHeight="1">
      <c r="A82" s="18" t="str">
        <f>'F Plus CO2'!A1020</f>
        <v>11/1964</v>
      </c>
      <c r="B82" s="19">
        <f t="shared" si="3"/>
        <v>1964.875</v>
      </c>
      <c r="C82" s="20">
        <f>'F Plus CO2'!B1020</f>
        <v>56.822000000000003</v>
      </c>
      <c r="D82" s="19">
        <f>'F Plus CO2'!C1020</f>
        <v>317.68</v>
      </c>
      <c r="E82" s="19">
        <f t="shared" si="4"/>
        <v>-0.20999999999999908</v>
      </c>
      <c r="F82" s="20">
        <f t="shared" si="5"/>
        <v>0.18214743880477707</v>
      </c>
    </row>
    <row r="83" spans="1:6" ht="15" customHeight="1">
      <c r="A83" s="18" t="str">
        <f>'F Plus CO2'!A1021</f>
        <v>12/1964</v>
      </c>
      <c r="B83" s="19">
        <f t="shared" si="3"/>
        <v>1964.9583333333333</v>
      </c>
      <c r="C83" s="20">
        <f>'F Plus CO2'!B1021</f>
        <v>56.66</v>
      </c>
      <c r="D83" s="19">
        <f>'F Plus CO2'!C1021</f>
        <v>318.70999999999998</v>
      </c>
      <c r="E83" s="19">
        <f t="shared" si="4"/>
        <v>-0.30000000000000249</v>
      </c>
      <c r="F83" s="20">
        <f t="shared" si="5"/>
        <v>0.18681745935711205</v>
      </c>
    </row>
    <row r="84" spans="1:6" ht="15" customHeight="1">
      <c r="A84" s="18" t="str">
        <f>'F Plus CO2'!A1022</f>
        <v>1/1965</v>
      </c>
      <c r="B84" s="19">
        <f t="shared" si="3"/>
        <v>1965.0416666666667</v>
      </c>
      <c r="C84" s="20">
        <f>'F Plus CO2'!B1022</f>
        <v>57.055999999999997</v>
      </c>
      <c r="D84" s="19">
        <f>'F Plus CO2'!C1022</f>
        <v>319.44</v>
      </c>
      <c r="E84" s="19">
        <f t="shared" si="4"/>
        <v>-8.0000000000001847E-2</v>
      </c>
      <c r="F84" s="20">
        <f t="shared" si="5"/>
        <v>0.19011814991335674</v>
      </c>
    </row>
    <row r="85" spans="1:6" ht="15" customHeight="1">
      <c r="A85" s="18" t="str">
        <f>'F Plus CO2'!A1023</f>
        <v>2/1965</v>
      </c>
      <c r="B85" s="19">
        <f t="shared" si="3"/>
        <v>1965.125</v>
      </c>
      <c r="C85" s="20">
        <f>'F Plus CO2'!B1023</f>
        <v>56.894000000000005</v>
      </c>
      <c r="D85" s="19">
        <f>'F Plus CO2'!C1023</f>
        <v>320.44</v>
      </c>
      <c r="E85" s="19">
        <f t="shared" si="4"/>
        <v>-0.16999999999999638</v>
      </c>
      <c r="F85" s="20">
        <f t="shared" si="5"/>
        <v>0.19462742107482237</v>
      </c>
    </row>
    <row r="86" spans="1:6" ht="15" customHeight="1">
      <c r="A86" s="18" t="str">
        <f>'F Plus CO2'!A1024</f>
        <v>3/1965</v>
      </c>
      <c r="B86" s="19">
        <f t="shared" si="3"/>
        <v>1965.2083333333333</v>
      </c>
      <c r="C86" s="20">
        <f>'F Plus CO2'!B1024</f>
        <v>56.965999999999994</v>
      </c>
      <c r="D86" s="19">
        <f>'F Plus CO2'!C1024</f>
        <v>320.89</v>
      </c>
      <c r="E86" s="19">
        <f t="shared" si="4"/>
        <v>-0.13000000000000256</v>
      </c>
      <c r="F86" s="20">
        <f t="shared" si="5"/>
        <v>0.19665200397268703</v>
      </c>
    </row>
    <row r="87" spans="1:6" ht="15" customHeight="1">
      <c r="A87" s="18" t="str">
        <f>'F Plus CO2'!A1025</f>
        <v>4/1965</v>
      </c>
      <c r="B87" s="19">
        <f t="shared" si="3"/>
        <v>1965.2916666666667</v>
      </c>
      <c r="C87" s="20">
        <f>'F Plus CO2'!B1025</f>
        <v>56.858000000000004</v>
      </c>
      <c r="D87" s="19">
        <f>'F Plus CO2'!C1025</f>
        <v>322.14</v>
      </c>
      <c r="E87" s="19">
        <f t="shared" si="4"/>
        <v>-0.18999999999999773</v>
      </c>
      <c r="F87" s="20">
        <f t="shared" si="5"/>
        <v>0.20226098356200239</v>
      </c>
    </row>
    <row r="88" spans="1:6" ht="15" customHeight="1">
      <c r="A88" s="18" t="str">
        <f>'F Plus CO2'!A1026</f>
        <v>5/1965</v>
      </c>
      <c r="B88" s="19">
        <f t="shared" si="3"/>
        <v>1965.375</v>
      </c>
      <c r="C88" s="20">
        <f>'F Plus CO2'!B1026</f>
        <v>56.984000000000002</v>
      </c>
      <c r="D88" s="19">
        <f>'F Plus CO2'!C1026</f>
        <v>322.17</v>
      </c>
      <c r="E88" s="19">
        <f t="shared" si="4"/>
        <v>-0.11999999999999744</v>
      </c>
      <c r="F88" s="20">
        <f t="shared" si="5"/>
        <v>0.20239533147297081</v>
      </c>
    </row>
    <row r="89" spans="1:6" ht="15" customHeight="1">
      <c r="A89" s="18" t="str">
        <f>'F Plus CO2'!A1027</f>
        <v>6/1965</v>
      </c>
      <c r="B89" s="19">
        <f t="shared" si="3"/>
        <v>1965.4583333333333</v>
      </c>
      <c r="C89" s="20">
        <f>'F Plus CO2'!B1027</f>
        <v>57.055999999999997</v>
      </c>
      <c r="D89" s="19">
        <f>'F Plus CO2'!C1027</f>
        <v>321.87</v>
      </c>
      <c r="E89" s="19">
        <f t="shared" si="4"/>
        <v>-8.0000000000001847E-2</v>
      </c>
      <c r="F89" s="20">
        <f t="shared" si="5"/>
        <v>0.20105128904215877</v>
      </c>
    </row>
    <row r="90" spans="1:6" ht="15" customHeight="1">
      <c r="A90" s="18" t="str">
        <f>'F Plus CO2'!A1028</f>
        <v>7/1965</v>
      </c>
      <c r="B90" s="19">
        <f t="shared" si="3"/>
        <v>1965.5416666666667</v>
      </c>
      <c r="C90" s="20">
        <f>'F Plus CO2'!B1028</f>
        <v>56.965999999999994</v>
      </c>
      <c r="D90" s="19">
        <f>'F Plus CO2'!C1028</f>
        <v>321.20999999999998</v>
      </c>
      <c r="E90" s="19">
        <f t="shared" si="4"/>
        <v>-0.13000000000000256</v>
      </c>
      <c r="F90" s="20">
        <f t="shared" si="5"/>
        <v>0.19808998077164383</v>
      </c>
    </row>
    <row r="91" spans="1:6" ht="15" customHeight="1">
      <c r="A91" s="18" t="str">
        <f>'F Plus CO2'!A1029</f>
        <v>8/1965</v>
      </c>
      <c r="B91" s="19">
        <f t="shared" si="3"/>
        <v>1965.625</v>
      </c>
      <c r="C91" s="20">
        <f>'F Plus CO2'!B1029</f>
        <v>57.128</v>
      </c>
      <c r="D91" s="19">
        <f>'F Plus CO2'!C1029</f>
        <v>318.87</v>
      </c>
      <c r="E91" s="19">
        <f t="shared" si="4"/>
        <v>-3.9999999999999147E-2</v>
      </c>
      <c r="F91" s="20">
        <f t="shared" si="5"/>
        <v>0.18754154484093474</v>
      </c>
    </row>
    <row r="92" spans="1:6" ht="15" customHeight="1">
      <c r="A92" s="18" t="str">
        <f>'F Plus CO2'!A1030</f>
        <v>9/1965</v>
      </c>
      <c r="B92" s="19">
        <f t="shared" si="3"/>
        <v>1965.7083333333333</v>
      </c>
      <c r="C92" s="20">
        <f>'F Plus CO2'!B1030</f>
        <v>56.93</v>
      </c>
      <c r="D92" s="19">
        <f>'F Plus CO2'!C1030</f>
        <v>317.82</v>
      </c>
      <c r="E92" s="19">
        <f t="shared" si="4"/>
        <v>-0.14999999999999858</v>
      </c>
      <c r="F92" s="20">
        <f t="shared" si="5"/>
        <v>0.18278308729885059</v>
      </c>
    </row>
    <row r="93" spans="1:6" ht="15" customHeight="1">
      <c r="A93" s="18" t="str">
        <f>'F Plus CO2'!A1031</f>
        <v>10/1965</v>
      </c>
      <c r="B93" s="19">
        <f t="shared" si="3"/>
        <v>1965.7916666666667</v>
      </c>
      <c r="C93" s="20">
        <f>'F Plus CO2'!B1031</f>
        <v>57.11</v>
      </c>
      <c r="D93" s="19">
        <f>'F Plus CO2'!C1031</f>
        <v>317.3</v>
      </c>
      <c r="E93" s="19">
        <f t="shared" si="4"/>
        <v>-5.0000000000000711E-2</v>
      </c>
      <c r="F93" s="20">
        <f t="shared" si="5"/>
        <v>0.18042069408530895</v>
      </c>
    </row>
    <row r="94" spans="1:6" ht="15" customHeight="1">
      <c r="A94" s="18" t="str">
        <f>'F Plus CO2'!A1032</f>
        <v>11/1965</v>
      </c>
      <c r="B94" s="19">
        <f t="shared" si="3"/>
        <v>1965.875</v>
      </c>
      <c r="C94" s="20">
        <f>'F Plus CO2'!B1032</f>
        <v>57.091999999999999</v>
      </c>
      <c r="D94" s="19">
        <f>'F Plus CO2'!C1032</f>
        <v>318.87</v>
      </c>
      <c r="E94" s="19">
        <f t="shared" si="4"/>
        <v>-6.0000000000000497E-2</v>
      </c>
      <c r="F94" s="20">
        <f t="shared" si="5"/>
        <v>0.18754154484093474</v>
      </c>
    </row>
    <row r="95" spans="1:6" ht="15" customHeight="1">
      <c r="A95" s="18" t="str">
        <f>'F Plus CO2'!A1033</f>
        <v>12/1965</v>
      </c>
      <c r="B95" s="19">
        <f t="shared" si="3"/>
        <v>1965.9583333333333</v>
      </c>
      <c r="C95" s="20">
        <f>'F Plus CO2'!B1033</f>
        <v>57.055999999999997</v>
      </c>
      <c r="D95" s="19">
        <f>'F Plus CO2'!C1033</f>
        <v>319.42</v>
      </c>
      <c r="E95" s="19">
        <f t="shared" si="4"/>
        <v>-8.0000000000001847E-2</v>
      </c>
      <c r="F95" s="20">
        <f t="shared" si="5"/>
        <v>0.19002782057413631</v>
      </c>
    </row>
    <row r="96" spans="1:6" ht="15" customHeight="1">
      <c r="A96" s="18" t="str">
        <f>'F Plus CO2'!A1034</f>
        <v>1/1966</v>
      </c>
      <c r="B96" s="19">
        <f t="shared" si="3"/>
        <v>1966.0416666666667</v>
      </c>
      <c r="C96" s="20">
        <f>'F Plus CO2'!B1034</f>
        <v>56.858000000000004</v>
      </c>
      <c r="D96" s="19">
        <f>'F Plus CO2'!C1034</f>
        <v>320.62</v>
      </c>
      <c r="E96" s="19">
        <f t="shared" si="4"/>
        <v>-0.18999999999999773</v>
      </c>
      <c r="F96" s="20">
        <f t="shared" si="5"/>
        <v>0.19543759520574477</v>
      </c>
    </row>
    <row r="97" spans="1:6" ht="15" customHeight="1">
      <c r="A97" s="18" t="str">
        <f>'F Plus CO2'!A1035</f>
        <v>2/1966</v>
      </c>
      <c r="B97" s="19">
        <f t="shared" si="3"/>
        <v>1966.125</v>
      </c>
      <c r="C97" s="20">
        <f>'F Plus CO2'!B1035</f>
        <v>57.128</v>
      </c>
      <c r="D97" s="19">
        <f>'F Plus CO2'!C1035</f>
        <v>321.60000000000002</v>
      </c>
      <c r="E97" s="19">
        <f t="shared" si="4"/>
        <v>-3.9999999999999147E-2</v>
      </c>
      <c r="F97" s="20">
        <f t="shared" si="5"/>
        <v>0.19984057934659985</v>
      </c>
    </row>
    <row r="98" spans="1:6" ht="15" customHeight="1">
      <c r="A98" s="18" t="str">
        <f>'F Plus CO2'!A1036</f>
        <v>3/1966</v>
      </c>
      <c r="B98" s="19">
        <f t="shared" si="3"/>
        <v>1966.2083333333333</v>
      </c>
      <c r="C98" s="20">
        <f>'F Plus CO2'!B1036</f>
        <v>57.253999999999998</v>
      </c>
      <c r="D98" s="19">
        <f>'F Plus CO2'!C1036</f>
        <v>322.39</v>
      </c>
      <c r="E98" s="19">
        <f t="shared" si="4"/>
        <v>2.9999999999997584E-2</v>
      </c>
      <c r="F98" s="20">
        <f t="shared" si="5"/>
        <v>0.20338016739614553</v>
      </c>
    </row>
    <row r="99" spans="1:6" ht="15" customHeight="1">
      <c r="A99" s="18" t="str">
        <f>'F Plus CO2'!A1037</f>
        <v>4/1966</v>
      </c>
      <c r="B99" s="19">
        <f t="shared" si="3"/>
        <v>1966.2916666666667</v>
      </c>
      <c r="C99" s="20">
        <f>'F Plus CO2'!B1037</f>
        <v>56.965999999999994</v>
      </c>
      <c r="D99" s="19">
        <f>'F Plus CO2'!C1037</f>
        <v>323.7</v>
      </c>
      <c r="E99" s="19">
        <f t="shared" si="4"/>
        <v>-0.13000000000000256</v>
      </c>
      <c r="F99" s="20">
        <f t="shared" si="5"/>
        <v>0.20923053837684438</v>
      </c>
    </row>
    <row r="100" spans="1:6" ht="15" customHeight="1">
      <c r="A100" s="18" t="str">
        <f>'F Plus CO2'!A1038</f>
        <v>5/1966</v>
      </c>
      <c r="B100" s="19">
        <f t="shared" si="3"/>
        <v>1966.375</v>
      </c>
      <c r="C100" s="20">
        <f>'F Plus CO2'!B1038</f>
        <v>56.984000000000002</v>
      </c>
      <c r="D100" s="19">
        <f>'F Plus CO2'!C1038</f>
        <v>324.08</v>
      </c>
      <c r="E100" s="19">
        <f t="shared" si="4"/>
        <v>-0.11999999999999744</v>
      </c>
      <c r="F100" s="20">
        <f t="shared" si="5"/>
        <v>0.21092316296674554</v>
      </c>
    </row>
    <row r="101" spans="1:6" ht="15" customHeight="1">
      <c r="A101" s="18" t="str">
        <f>'F Plus CO2'!A1039</f>
        <v>6/1966</v>
      </c>
      <c r="B101" s="19">
        <f t="shared" si="3"/>
        <v>1966.4583333333333</v>
      </c>
      <c r="C101" s="20">
        <f>'F Plus CO2'!B1039</f>
        <v>57.218000000000004</v>
      </c>
      <c r="D101" s="19">
        <f>'F Plus CO2'!C1039</f>
        <v>323.75</v>
      </c>
      <c r="E101" s="19">
        <f t="shared" si="4"/>
        <v>1.0000000000001563E-2</v>
      </c>
      <c r="F101" s="20">
        <f t="shared" si="5"/>
        <v>0.20945336562894978</v>
      </c>
    </row>
    <row r="102" spans="1:6" ht="15" customHeight="1">
      <c r="A102" s="18" t="str">
        <f>'F Plus CO2'!A1040</f>
        <v>7/1966</v>
      </c>
      <c r="B102" s="19">
        <f t="shared" si="3"/>
        <v>1966.5416666666667</v>
      </c>
      <c r="C102" s="20">
        <f>'F Plus CO2'!B1040</f>
        <v>57.344000000000001</v>
      </c>
      <c r="D102" s="19">
        <f>'F Plus CO2'!C1040</f>
        <v>322.37</v>
      </c>
      <c r="E102" s="19">
        <f t="shared" si="4"/>
        <v>8.0000000000000071E-2</v>
      </c>
      <c r="F102" s="20">
        <f t="shared" si="5"/>
        <v>0.20329066463286302</v>
      </c>
    </row>
    <row r="103" spans="1:6" ht="15" customHeight="1">
      <c r="A103" s="18" t="str">
        <f>'F Plus CO2'!A1041</f>
        <v>8/1966</v>
      </c>
      <c r="B103" s="19">
        <f t="shared" si="3"/>
        <v>1966.625</v>
      </c>
      <c r="C103" s="20">
        <f>'F Plus CO2'!B1041</f>
        <v>57.037999999999997</v>
      </c>
      <c r="D103" s="19">
        <f>'F Plus CO2'!C1041</f>
        <v>320.36</v>
      </c>
      <c r="E103" s="19">
        <f t="shared" si="4"/>
        <v>-9.0000000000001634E-2</v>
      </c>
      <c r="F103" s="20">
        <f t="shared" si="5"/>
        <v>0.19426719759207978</v>
      </c>
    </row>
    <row r="104" spans="1:6" ht="15" customHeight="1">
      <c r="A104" s="18" t="str">
        <f>'F Plus CO2'!A1042</f>
        <v>9/1966</v>
      </c>
      <c r="B104" s="19">
        <f t="shared" si="3"/>
        <v>1966.7083333333333</v>
      </c>
      <c r="C104" s="20">
        <f>'F Plus CO2'!B1042</f>
        <v>57.146000000000001</v>
      </c>
      <c r="D104" s="19">
        <f>'F Plus CO2'!C1042</f>
        <v>318.64</v>
      </c>
      <c r="E104" s="19">
        <f t="shared" si="4"/>
        <v>-2.9999999999999361E-2</v>
      </c>
      <c r="F104" s="20">
        <f t="shared" si="5"/>
        <v>0.18650055764449477</v>
      </c>
    </row>
    <row r="105" spans="1:6" ht="15" customHeight="1">
      <c r="A105" s="18" t="str">
        <f>'F Plus CO2'!A1043</f>
        <v>10/1966</v>
      </c>
      <c r="B105" s="19">
        <f t="shared" si="3"/>
        <v>1966.7916666666667</v>
      </c>
      <c r="C105" s="20">
        <f>'F Plus CO2'!B1043</f>
        <v>56.894000000000005</v>
      </c>
      <c r="D105" s="19">
        <f>'F Plus CO2'!C1043</f>
        <v>318.10000000000002</v>
      </c>
      <c r="E105" s="19">
        <f t="shared" si="4"/>
        <v>-0.16999999999999638</v>
      </c>
      <c r="F105" s="20">
        <f t="shared" si="5"/>
        <v>0.18405354470718463</v>
      </c>
    </row>
    <row r="106" spans="1:6" ht="15" customHeight="1">
      <c r="A106" s="18" t="str">
        <f>'F Plus CO2'!A1044</f>
        <v>11/1966</v>
      </c>
      <c r="B106" s="19">
        <f t="shared" si="3"/>
        <v>1966.875</v>
      </c>
      <c r="C106" s="20">
        <f>'F Plus CO2'!B1044</f>
        <v>57.182000000000002</v>
      </c>
      <c r="D106" s="19">
        <f>'F Plus CO2'!C1044</f>
        <v>319.77999999999997</v>
      </c>
      <c r="E106" s="19">
        <f t="shared" si="4"/>
        <v>-9.9999999999980105E-3</v>
      </c>
      <c r="F106" s="20">
        <f t="shared" si="5"/>
        <v>0.19165288399602148</v>
      </c>
    </row>
    <row r="107" spans="1:6" ht="15" customHeight="1">
      <c r="A107" s="18" t="str">
        <f>'F Plus CO2'!A1045</f>
        <v>12/1966</v>
      </c>
      <c r="B107" s="19">
        <f t="shared" si="3"/>
        <v>1966.9583333333333</v>
      </c>
      <c r="C107" s="20">
        <f>'F Plus CO2'!B1045</f>
        <v>57.146000000000001</v>
      </c>
      <c r="D107" s="19">
        <f>'F Plus CO2'!C1045</f>
        <v>321.02</v>
      </c>
      <c r="E107" s="19">
        <f t="shared" si="4"/>
        <v>-2.9999999999999361E-2</v>
      </c>
      <c r="F107" s="20">
        <f t="shared" si="5"/>
        <v>0.19723635491870628</v>
      </c>
    </row>
    <row r="108" spans="1:6" ht="15" customHeight="1">
      <c r="A108" s="18" t="str">
        <f>'F Plus CO2'!A1046</f>
        <v>1/1967</v>
      </c>
      <c r="B108" s="19">
        <f t="shared" si="3"/>
        <v>1967.0416666666667</v>
      </c>
      <c r="C108" s="20">
        <f>'F Plus CO2'!B1046</f>
        <v>57.055999999999997</v>
      </c>
      <c r="D108" s="19">
        <f>'F Plus CO2'!C1046</f>
        <v>322.33</v>
      </c>
      <c r="E108" s="19">
        <f t="shared" si="4"/>
        <v>-8.0000000000001847E-2</v>
      </c>
      <c r="F108" s="20">
        <f t="shared" si="5"/>
        <v>0.20311164244670007</v>
      </c>
    </row>
    <row r="109" spans="1:6" ht="15" customHeight="1">
      <c r="A109" s="18" t="str">
        <f>'F Plus CO2'!A1047</f>
        <v>2/1967</v>
      </c>
      <c r="B109" s="19">
        <f t="shared" si="3"/>
        <v>1967.125</v>
      </c>
      <c r="C109" s="20">
        <f>'F Plus CO2'!B1047</f>
        <v>56.822000000000003</v>
      </c>
      <c r="D109" s="19">
        <f>'F Plus CO2'!C1047</f>
        <v>322.5</v>
      </c>
      <c r="E109" s="19">
        <f t="shared" si="4"/>
        <v>-0.20999999999999908</v>
      </c>
      <c r="F109" s="20">
        <f t="shared" si="5"/>
        <v>0.20387233336564989</v>
      </c>
    </row>
    <row r="110" spans="1:6" ht="15" customHeight="1">
      <c r="A110" s="18" t="str">
        <f>'F Plus CO2'!A1048</f>
        <v>3/1967</v>
      </c>
      <c r="B110" s="19">
        <f t="shared" si="3"/>
        <v>1967.2083333333333</v>
      </c>
      <c r="C110" s="20">
        <f>'F Plus CO2'!B1048</f>
        <v>57.290000000000006</v>
      </c>
      <c r="D110" s="19">
        <f>'F Plus CO2'!C1048</f>
        <v>323.02999999999997</v>
      </c>
      <c r="E110" s="19">
        <f t="shared" si="4"/>
        <v>5.0000000000004263E-2</v>
      </c>
      <c r="F110" s="20">
        <f t="shared" si="5"/>
        <v>0.20624132797002478</v>
      </c>
    </row>
    <row r="111" spans="1:6" ht="15" customHeight="1">
      <c r="A111" s="18" t="str">
        <f>'F Plus CO2'!A1049</f>
        <v>4/1967</v>
      </c>
      <c r="B111" s="19">
        <f t="shared" si="3"/>
        <v>1967.2916666666667</v>
      </c>
      <c r="C111" s="20">
        <f>'F Plus CO2'!B1049</f>
        <v>57.11</v>
      </c>
      <c r="D111" s="19">
        <f>'F Plus CO2'!C1049</f>
        <v>324.41000000000003</v>
      </c>
      <c r="E111" s="19">
        <f t="shared" si="4"/>
        <v>-5.0000000000000711E-2</v>
      </c>
      <c r="F111" s="20">
        <f t="shared" si="5"/>
        <v>0.21239146441962328</v>
      </c>
    </row>
    <row r="112" spans="1:6" ht="15" customHeight="1">
      <c r="A112" s="18" t="str">
        <f>'F Plus CO2'!A1050</f>
        <v>5/1967</v>
      </c>
      <c r="B112" s="19">
        <f t="shared" si="3"/>
        <v>1967.375</v>
      </c>
      <c r="C112" s="20">
        <f>'F Plus CO2'!B1050</f>
        <v>57.415999999999997</v>
      </c>
      <c r="D112" s="19">
        <f>'F Plus CO2'!C1050</f>
        <v>325</v>
      </c>
      <c r="E112" s="19">
        <f t="shared" si="4"/>
        <v>0.11999999999999744</v>
      </c>
      <c r="F112" s="20">
        <f t="shared" si="5"/>
        <v>0.21501289097085052</v>
      </c>
    </row>
    <row r="113" spans="1:6" ht="15" customHeight="1">
      <c r="A113" s="18" t="str">
        <f>'F Plus CO2'!A1051</f>
        <v>6/1967</v>
      </c>
      <c r="B113" s="19">
        <f t="shared" si="3"/>
        <v>1967.4583333333333</v>
      </c>
      <c r="C113" s="20">
        <f>'F Plus CO2'!B1051</f>
        <v>57.055999999999997</v>
      </c>
      <c r="D113" s="19">
        <f>'F Plus CO2'!C1051</f>
        <v>324.08999999999997</v>
      </c>
      <c r="E113" s="19">
        <f t="shared" si="4"/>
        <v>-8.0000000000001847E-2</v>
      </c>
      <c r="F113" s="20">
        <f t="shared" si="5"/>
        <v>0.21096767891290158</v>
      </c>
    </row>
    <row r="114" spans="1:6" ht="15" customHeight="1">
      <c r="A114" s="18" t="str">
        <f>'F Plus CO2'!A1052</f>
        <v>7/1967</v>
      </c>
      <c r="B114" s="19">
        <f t="shared" si="3"/>
        <v>1967.5416666666667</v>
      </c>
      <c r="C114" s="20">
        <f>'F Plus CO2'!B1052</f>
        <v>57.236000000000004</v>
      </c>
      <c r="D114" s="19">
        <f>'F Plus CO2'!C1052</f>
        <v>322.54000000000002</v>
      </c>
      <c r="E114" s="19">
        <f t="shared" si="4"/>
        <v>2.0000000000003126E-2</v>
      </c>
      <c r="F114" s="20">
        <f t="shared" si="5"/>
        <v>0.20405126118938038</v>
      </c>
    </row>
    <row r="115" spans="1:6" ht="15" customHeight="1">
      <c r="A115" s="18" t="str">
        <f>'F Plus CO2'!A1053</f>
        <v>8/1967</v>
      </c>
      <c r="B115" s="19">
        <f t="shared" si="3"/>
        <v>1967.625</v>
      </c>
      <c r="C115" s="20">
        <f>'F Plus CO2'!B1053</f>
        <v>57.218000000000004</v>
      </c>
      <c r="D115" s="19">
        <f>'F Plus CO2'!C1053</f>
        <v>320.92</v>
      </c>
      <c r="E115" s="19">
        <f t="shared" si="4"/>
        <v>1.0000000000001563E-2</v>
      </c>
      <c r="F115" s="20">
        <f t="shared" si="5"/>
        <v>0.1967868752001786</v>
      </c>
    </row>
    <row r="116" spans="1:6" ht="15" customHeight="1">
      <c r="A116" s="18" t="str">
        <f>'F Plus CO2'!A1054</f>
        <v>9/1967</v>
      </c>
      <c r="B116" s="19">
        <f t="shared" si="3"/>
        <v>1967.7083333333333</v>
      </c>
      <c r="C116" s="20">
        <f>'F Plus CO2'!B1054</f>
        <v>57.091999999999999</v>
      </c>
      <c r="D116" s="19">
        <f>'F Plus CO2'!C1054</f>
        <v>319.25</v>
      </c>
      <c r="E116" s="19">
        <f t="shared" si="4"/>
        <v>-6.0000000000000497E-2</v>
      </c>
      <c r="F116" s="20">
        <f t="shared" si="5"/>
        <v>0.18925979275775742</v>
      </c>
    </row>
    <row r="117" spans="1:6" ht="15" customHeight="1">
      <c r="A117" s="18" t="str">
        <f>'F Plus CO2'!A1055</f>
        <v>10/1967</v>
      </c>
      <c r="B117" s="19">
        <f t="shared" si="3"/>
        <v>1967.7916666666667</v>
      </c>
      <c r="C117" s="20">
        <f>'F Plus CO2'!B1055</f>
        <v>57.362000000000002</v>
      </c>
      <c r="D117" s="19">
        <f>'F Plus CO2'!C1055</f>
        <v>319.39</v>
      </c>
      <c r="E117" s="19">
        <f t="shared" si="4"/>
        <v>8.9999999999999858E-2</v>
      </c>
      <c r="F117" s="20">
        <f t="shared" si="5"/>
        <v>0.18989231596006176</v>
      </c>
    </row>
    <row r="118" spans="1:6" ht="15" customHeight="1">
      <c r="A118" s="18" t="str">
        <f>'F Plus CO2'!A1056</f>
        <v>11/1967</v>
      </c>
      <c r="B118" s="19">
        <f t="shared" si="3"/>
        <v>1967.875</v>
      </c>
      <c r="C118" s="20">
        <f>'F Plus CO2'!B1056</f>
        <v>57.11</v>
      </c>
      <c r="D118" s="19">
        <f>'F Plus CO2'!C1056</f>
        <v>320.73</v>
      </c>
      <c r="E118" s="19">
        <f t="shared" si="4"/>
        <v>-5.0000000000000711E-2</v>
      </c>
      <c r="F118" s="20">
        <f t="shared" si="5"/>
        <v>0.19593247773807179</v>
      </c>
    </row>
    <row r="119" spans="1:6" ht="15" customHeight="1">
      <c r="A119" s="18" t="str">
        <f>'F Plus CO2'!A1057</f>
        <v>12/1967</v>
      </c>
      <c r="B119" s="19">
        <f t="shared" si="3"/>
        <v>1967.9583333333333</v>
      </c>
      <c r="C119" s="20">
        <f>'F Plus CO2'!B1057</f>
        <v>57.11</v>
      </c>
      <c r="D119" s="19">
        <f>'F Plus CO2'!C1057</f>
        <v>321.95999999999998</v>
      </c>
      <c r="E119" s="19">
        <f t="shared" si="4"/>
        <v>-5.0000000000000711E-2</v>
      </c>
      <c r="F119" s="20">
        <f t="shared" si="5"/>
        <v>0.20145463326198595</v>
      </c>
    </row>
    <row r="120" spans="1:6" ht="15" customHeight="1">
      <c r="A120" s="18" t="str">
        <f>'F Plus CO2'!A1058</f>
        <v>1/1968</v>
      </c>
      <c r="B120" s="19">
        <f t="shared" si="3"/>
        <v>1968.0416666666667</v>
      </c>
      <c r="C120" s="20">
        <f>'F Plus CO2'!B1058</f>
        <v>56.731999999999999</v>
      </c>
      <c r="D120" s="19">
        <f>'F Plus CO2'!C1058</f>
        <v>322.57</v>
      </c>
      <c r="E120" s="19">
        <f t="shared" si="4"/>
        <v>-0.25999999999999979</v>
      </c>
      <c r="F120" s="20">
        <f t="shared" si="5"/>
        <v>0.20418544249569365</v>
      </c>
    </row>
    <row r="121" spans="1:6" ht="15" customHeight="1">
      <c r="A121" s="18" t="str">
        <f>'F Plus CO2'!A1059</f>
        <v>2/1968</v>
      </c>
      <c r="B121" s="19">
        <f t="shared" si="3"/>
        <v>1968.125</v>
      </c>
      <c r="C121" s="20">
        <f>'F Plus CO2'!B1059</f>
        <v>56.948</v>
      </c>
      <c r="D121" s="19">
        <f>'F Plus CO2'!C1059</f>
        <v>323.14999999999998</v>
      </c>
      <c r="E121" s="19">
        <f t="shared" si="4"/>
        <v>-0.13999999999999879</v>
      </c>
      <c r="F121" s="20">
        <f t="shared" si="5"/>
        <v>0.20677716444561006</v>
      </c>
    </row>
    <row r="122" spans="1:6" ht="15" customHeight="1">
      <c r="A122" s="18" t="str">
        <f>'F Plus CO2'!A1060</f>
        <v>3/1968</v>
      </c>
      <c r="B122" s="19">
        <f t="shared" si="3"/>
        <v>1968.2083333333333</v>
      </c>
      <c r="C122" s="20">
        <f>'F Plus CO2'!B1060</f>
        <v>57.56</v>
      </c>
      <c r="D122" s="19">
        <f>'F Plus CO2'!C1060</f>
        <v>323.89</v>
      </c>
      <c r="E122" s="19">
        <f t="shared" si="4"/>
        <v>0.20000000000000107</v>
      </c>
      <c r="F122" s="20">
        <f t="shared" si="5"/>
        <v>0.21007709890320869</v>
      </c>
    </row>
    <row r="123" spans="1:6" ht="15" customHeight="1">
      <c r="A123" s="18" t="str">
        <f>'F Plus CO2'!A1061</f>
        <v>4/1968</v>
      </c>
      <c r="B123" s="19">
        <f t="shared" si="3"/>
        <v>1968.2916666666667</v>
      </c>
      <c r="C123" s="20">
        <f>'F Plus CO2'!B1061</f>
        <v>57.091999999999999</v>
      </c>
      <c r="D123" s="19">
        <f>'F Plus CO2'!C1061</f>
        <v>325.02</v>
      </c>
      <c r="E123" s="19">
        <f t="shared" si="4"/>
        <v>-6.0000000000000497E-2</v>
      </c>
      <c r="F123" s="20">
        <f t="shared" si="5"/>
        <v>0.21510166947251774</v>
      </c>
    </row>
    <row r="124" spans="1:6" ht="15" customHeight="1">
      <c r="A124" s="18" t="str">
        <f>'F Plus CO2'!A1062</f>
        <v>5/1968</v>
      </c>
      <c r="B124" s="19">
        <f t="shared" si="3"/>
        <v>1968.375</v>
      </c>
      <c r="C124" s="20">
        <f>'F Plus CO2'!B1062</f>
        <v>56.948</v>
      </c>
      <c r="D124" s="19">
        <f>'F Plus CO2'!C1062</f>
        <v>325.57</v>
      </c>
      <c r="E124" s="19">
        <f t="shared" si="4"/>
        <v>-0.13999999999999879</v>
      </c>
      <c r="F124" s="20">
        <f t="shared" si="5"/>
        <v>0.21754093986252426</v>
      </c>
    </row>
    <row r="125" spans="1:6" ht="15" customHeight="1">
      <c r="A125" s="18" t="str">
        <f>'F Plus CO2'!A1063</f>
        <v>6/1968</v>
      </c>
      <c r="B125" s="19">
        <f t="shared" si="3"/>
        <v>1968.4583333333333</v>
      </c>
      <c r="C125" s="20">
        <f>'F Plus CO2'!B1063</f>
        <v>57.037999999999997</v>
      </c>
      <c r="D125" s="19">
        <f>'F Plus CO2'!C1063</f>
        <v>325.36</v>
      </c>
      <c r="E125" s="19">
        <f t="shared" si="4"/>
        <v>-9.0000000000001634E-2</v>
      </c>
      <c r="F125" s="20">
        <f t="shared" si="5"/>
        <v>0.21661006874244201</v>
      </c>
    </row>
    <row r="126" spans="1:6" ht="15" customHeight="1">
      <c r="A126" s="18" t="str">
        <f>'F Plus CO2'!A1064</f>
        <v>7/1968</v>
      </c>
      <c r="B126" s="19">
        <f t="shared" si="3"/>
        <v>1968.5416666666667</v>
      </c>
      <c r="C126" s="20">
        <f>'F Plus CO2'!B1064</f>
        <v>56.965999999999994</v>
      </c>
      <c r="D126" s="19">
        <f>'F Plus CO2'!C1064</f>
        <v>324.14</v>
      </c>
      <c r="E126" s="19">
        <f t="shared" si="4"/>
        <v>-0.13000000000000256</v>
      </c>
      <c r="F126" s="20">
        <f t="shared" si="5"/>
        <v>0.21119023804218459</v>
      </c>
    </row>
    <row r="127" spans="1:6" ht="15" customHeight="1">
      <c r="A127" s="18" t="str">
        <f>'F Plus CO2'!A1065</f>
        <v>8/1968</v>
      </c>
      <c r="B127" s="19">
        <f t="shared" si="3"/>
        <v>1968.625</v>
      </c>
      <c r="C127" s="20">
        <f>'F Plus CO2'!B1065</f>
        <v>57.055999999999997</v>
      </c>
      <c r="D127" s="19">
        <f>'F Plus CO2'!C1065</f>
        <v>322.11</v>
      </c>
      <c r="E127" s="19">
        <f t="shared" si="4"/>
        <v>-8.0000000000001847E-2</v>
      </c>
      <c r="F127" s="20">
        <f t="shared" si="5"/>
        <v>0.20212662313900553</v>
      </c>
    </row>
    <row r="128" spans="1:6" ht="15" customHeight="1">
      <c r="A128" s="18" t="str">
        <f>'F Plus CO2'!A1066</f>
        <v>9/1968</v>
      </c>
      <c r="B128" s="19">
        <f t="shared" si="3"/>
        <v>1968.7083333333333</v>
      </c>
      <c r="C128" s="20">
        <f>'F Plus CO2'!B1066</f>
        <v>56.858000000000004</v>
      </c>
      <c r="D128" s="19">
        <f>'F Plus CO2'!C1066</f>
        <v>320.33</v>
      </c>
      <c r="E128" s="19">
        <f t="shared" si="4"/>
        <v>-0.18999999999999773</v>
      </c>
      <c r="F128" s="20">
        <f t="shared" si="5"/>
        <v>0.19413209059412975</v>
      </c>
    </row>
    <row r="129" spans="1:6" ht="15" customHeight="1">
      <c r="A129" s="18" t="str">
        <f>'F Plus CO2'!A1067</f>
        <v>10/1968</v>
      </c>
      <c r="B129" s="19">
        <f t="shared" si="3"/>
        <v>1968.7916666666667</v>
      </c>
      <c r="C129" s="20">
        <f>'F Plus CO2'!B1067</f>
        <v>57.362000000000002</v>
      </c>
      <c r="D129" s="19">
        <f>'F Plus CO2'!C1067</f>
        <v>320.25</v>
      </c>
      <c r="E129" s="19">
        <f t="shared" si="4"/>
        <v>8.9999999999999858E-2</v>
      </c>
      <c r="F129" s="20">
        <f t="shared" si="5"/>
        <v>0.19377174339668018</v>
      </c>
    </row>
    <row r="130" spans="1:6" ht="15" customHeight="1">
      <c r="A130" s="18" t="str">
        <f>'F Plus CO2'!A1068</f>
        <v>11/1968</v>
      </c>
      <c r="B130" s="19">
        <f t="shared" ref="B130:B193" si="6">VALUE(RIGHT(A130,4))+(VALUE(LEFT(A130,FIND("/",A130)-1))-0.5)/12</f>
        <v>1968.875</v>
      </c>
      <c r="C130" s="20">
        <f>'F Plus CO2'!B1068</f>
        <v>57.11</v>
      </c>
      <c r="D130" s="19">
        <f>'F Plus CO2'!C1068</f>
        <v>321.32</v>
      </c>
      <c r="E130" s="19">
        <f t="shared" ref="E130:E193" si="7">(C130-32)*5/9-$I$3</f>
        <v>-5.0000000000000711E-2</v>
      </c>
      <c r="F130" s="20">
        <f t="shared" ref="F130:F193" si="8">LOG(D130/$I$4,2)</f>
        <v>0.19858395445706917</v>
      </c>
    </row>
    <row r="131" spans="1:6" ht="15" customHeight="1">
      <c r="A131" s="18" t="str">
        <f>'F Plus CO2'!A1069</f>
        <v>12/1968</v>
      </c>
      <c r="B131" s="19">
        <f t="shared" si="6"/>
        <v>1968.9583333333333</v>
      </c>
      <c r="C131" s="20">
        <f>'F Plus CO2'!B1069</f>
        <v>56.948</v>
      </c>
      <c r="D131" s="19">
        <f>'F Plus CO2'!C1069</f>
        <v>322.89</v>
      </c>
      <c r="E131" s="19">
        <f t="shared" si="7"/>
        <v>-0.13999999999999879</v>
      </c>
      <c r="F131" s="20">
        <f t="shared" si="8"/>
        <v>0.20561593377604628</v>
      </c>
    </row>
    <row r="132" spans="1:6" ht="15" customHeight="1">
      <c r="A132" s="18" t="str">
        <f>'F Plus CO2'!A1070</f>
        <v>1/1969</v>
      </c>
      <c r="B132" s="19">
        <f t="shared" si="6"/>
        <v>1969.0416666666667</v>
      </c>
      <c r="C132" s="20">
        <f>'F Plus CO2'!B1070</f>
        <v>57.002000000000002</v>
      </c>
      <c r="D132" s="19">
        <f>'F Plus CO2'!C1070</f>
        <v>324</v>
      </c>
      <c r="E132" s="19">
        <f t="shared" si="7"/>
        <v>-0.10999999999999766</v>
      </c>
      <c r="F132" s="20">
        <f t="shared" si="8"/>
        <v>0.21056698593965839</v>
      </c>
    </row>
    <row r="133" spans="1:6" ht="15" customHeight="1">
      <c r="A133" s="18" t="str">
        <f>'F Plus CO2'!A1071</f>
        <v>2/1969</v>
      </c>
      <c r="B133" s="19">
        <f t="shared" si="6"/>
        <v>1969.125</v>
      </c>
      <c r="C133" s="20">
        <f>'F Plus CO2'!B1071</f>
        <v>56.876000000000005</v>
      </c>
      <c r="D133" s="19">
        <f>'F Plus CO2'!C1071</f>
        <v>324.41000000000003</v>
      </c>
      <c r="E133" s="19">
        <f t="shared" si="7"/>
        <v>-0.17999999999999794</v>
      </c>
      <c r="F133" s="20">
        <f t="shared" si="8"/>
        <v>0.21239146441962328</v>
      </c>
    </row>
    <row r="134" spans="1:6" ht="15" customHeight="1">
      <c r="A134" s="18" t="str">
        <f>'F Plus CO2'!A1072</f>
        <v>3/1969</v>
      </c>
      <c r="B134" s="19">
        <f t="shared" si="6"/>
        <v>1969.2083333333333</v>
      </c>
      <c r="C134" s="20">
        <f>'F Plus CO2'!B1072</f>
        <v>57.218000000000004</v>
      </c>
      <c r="D134" s="19">
        <f>'F Plus CO2'!C1072</f>
        <v>325.63</v>
      </c>
      <c r="E134" s="19">
        <f t="shared" si="7"/>
        <v>1.0000000000001563E-2</v>
      </c>
      <c r="F134" s="20">
        <f t="shared" si="8"/>
        <v>0.21780679275778927</v>
      </c>
    </row>
    <row r="135" spans="1:6" ht="15" customHeight="1">
      <c r="A135" s="18" t="str">
        <f>'F Plus CO2'!A1073</f>
        <v>4/1969</v>
      </c>
      <c r="B135" s="19">
        <f t="shared" si="6"/>
        <v>1969.2916666666667</v>
      </c>
      <c r="C135" s="20">
        <f>'F Plus CO2'!B1073</f>
        <v>57.506</v>
      </c>
      <c r="D135" s="19">
        <f>'F Plus CO2'!C1073</f>
        <v>326.66000000000003</v>
      </c>
      <c r="E135" s="19">
        <f t="shared" si="7"/>
        <v>0.16999999999999993</v>
      </c>
      <c r="F135" s="20">
        <f t="shared" si="8"/>
        <v>0.22236297828007129</v>
      </c>
    </row>
    <row r="136" spans="1:6" ht="15" customHeight="1">
      <c r="A136" s="18" t="str">
        <f>'F Plus CO2'!A1074</f>
        <v>5/1969</v>
      </c>
      <c r="B136" s="19">
        <f t="shared" si="6"/>
        <v>1969.375</v>
      </c>
      <c r="C136" s="20">
        <f>'F Plus CO2'!B1074</f>
        <v>57.524000000000001</v>
      </c>
      <c r="D136" s="19">
        <f>'F Plus CO2'!C1074</f>
        <v>327.38</v>
      </c>
      <c r="E136" s="19">
        <f t="shared" si="7"/>
        <v>0.17999999999999972</v>
      </c>
      <c r="F136" s="20">
        <f t="shared" si="8"/>
        <v>0.22553936152588727</v>
      </c>
    </row>
    <row r="137" spans="1:6" ht="15" customHeight="1">
      <c r="A137" s="18" t="str">
        <f>'F Plus CO2'!A1075</f>
        <v>6/1969</v>
      </c>
      <c r="B137" s="19">
        <f t="shared" si="6"/>
        <v>1969.4583333333333</v>
      </c>
      <c r="C137" s="20">
        <f>'F Plus CO2'!B1075</f>
        <v>57.253999999999998</v>
      </c>
      <c r="D137" s="19">
        <f>'F Plus CO2'!C1075</f>
        <v>326.70999999999998</v>
      </c>
      <c r="E137" s="19">
        <f t="shared" si="7"/>
        <v>2.9999999999997584E-2</v>
      </c>
      <c r="F137" s="20">
        <f t="shared" si="8"/>
        <v>0.22258378655772451</v>
      </c>
    </row>
    <row r="138" spans="1:6" ht="15" customHeight="1">
      <c r="A138" s="18" t="str">
        <f>'F Plus CO2'!A1076</f>
        <v>7/1969</v>
      </c>
      <c r="B138" s="19">
        <f t="shared" si="6"/>
        <v>1969.5416666666667</v>
      </c>
      <c r="C138" s="20">
        <f>'F Plus CO2'!B1076</f>
        <v>57.128</v>
      </c>
      <c r="D138" s="19">
        <f>'F Plus CO2'!C1076</f>
        <v>325.88</v>
      </c>
      <c r="E138" s="19">
        <f t="shared" si="7"/>
        <v>-3.9999999999999147E-2</v>
      </c>
      <c r="F138" s="20">
        <f t="shared" si="8"/>
        <v>0.21891398613294744</v>
      </c>
    </row>
    <row r="139" spans="1:6" ht="15" customHeight="1">
      <c r="A139" s="18" t="str">
        <f>'F Plus CO2'!A1077</f>
        <v>8/1969</v>
      </c>
      <c r="B139" s="19">
        <f t="shared" si="6"/>
        <v>1969.625</v>
      </c>
      <c r="C139" s="20">
        <f>'F Plus CO2'!B1077</f>
        <v>57.271999999999998</v>
      </c>
      <c r="D139" s="19">
        <f>'F Plus CO2'!C1077</f>
        <v>323.66000000000003</v>
      </c>
      <c r="E139" s="19">
        <f t="shared" si="7"/>
        <v>3.9999999999999147E-2</v>
      </c>
      <c r="F139" s="20">
        <f t="shared" si="8"/>
        <v>0.20905225179222678</v>
      </c>
    </row>
    <row r="140" spans="1:6" ht="15" customHeight="1">
      <c r="A140" s="18" t="str">
        <f>'F Plus CO2'!A1078</f>
        <v>9/1969</v>
      </c>
      <c r="B140" s="19">
        <f t="shared" si="6"/>
        <v>1969.7083333333333</v>
      </c>
      <c r="C140" s="20">
        <f>'F Plus CO2'!B1078</f>
        <v>57.344000000000001</v>
      </c>
      <c r="D140" s="19">
        <f>'F Plus CO2'!C1078</f>
        <v>322.38</v>
      </c>
      <c r="E140" s="19">
        <f t="shared" si="7"/>
        <v>8.0000000000000071E-2</v>
      </c>
      <c r="F140" s="20">
        <f t="shared" si="8"/>
        <v>0.20333541670858227</v>
      </c>
    </row>
    <row r="141" spans="1:6" ht="15" customHeight="1">
      <c r="A141" s="18" t="str">
        <f>'F Plus CO2'!A1079</f>
        <v>10/1969</v>
      </c>
      <c r="B141" s="19">
        <f t="shared" si="6"/>
        <v>1969.7916666666667</v>
      </c>
      <c r="C141" s="20">
        <f>'F Plus CO2'!B1079</f>
        <v>57.362000000000002</v>
      </c>
      <c r="D141" s="19">
        <f>'F Plus CO2'!C1079</f>
        <v>321.77999999999997</v>
      </c>
      <c r="E141" s="19">
        <f t="shared" si="7"/>
        <v>8.9999999999999858E-2</v>
      </c>
      <c r="F141" s="20">
        <f t="shared" si="8"/>
        <v>0.20064783202506462</v>
      </c>
    </row>
    <row r="142" spans="1:6" ht="15" customHeight="1">
      <c r="A142" s="18" t="str">
        <f>'F Plus CO2'!A1080</f>
        <v>11/1969</v>
      </c>
      <c r="B142" s="19">
        <f t="shared" si="6"/>
        <v>1969.875</v>
      </c>
      <c r="C142" s="20">
        <f>'F Plus CO2'!B1080</f>
        <v>57.415999999999997</v>
      </c>
      <c r="D142" s="19">
        <f>'F Plus CO2'!C1080</f>
        <v>322.85000000000002</v>
      </c>
      <c r="E142" s="19">
        <f t="shared" si="7"/>
        <v>0.11999999999999744</v>
      </c>
      <c r="F142" s="20">
        <f t="shared" si="8"/>
        <v>0.2054371999150208</v>
      </c>
    </row>
    <row r="143" spans="1:6" ht="15" customHeight="1">
      <c r="A143" s="18" t="str">
        <f>'F Plus CO2'!A1081</f>
        <v>12/1969</v>
      </c>
      <c r="B143" s="19">
        <f t="shared" si="6"/>
        <v>1969.9583333333333</v>
      </c>
      <c r="C143" s="20">
        <f>'F Plus CO2'!B1081</f>
        <v>57.632000000000005</v>
      </c>
      <c r="D143" s="19">
        <f>'F Plus CO2'!C1081</f>
        <v>324.11</v>
      </c>
      <c r="E143" s="19">
        <f t="shared" si="7"/>
        <v>0.24000000000000199</v>
      </c>
      <c r="F143" s="20">
        <f t="shared" si="8"/>
        <v>0.21105670668466028</v>
      </c>
    </row>
    <row r="144" spans="1:6" ht="15" customHeight="1">
      <c r="A144" s="18" t="str">
        <f>'F Plus CO2'!A1082</f>
        <v>1/1970</v>
      </c>
      <c r="B144" s="19">
        <f t="shared" si="6"/>
        <v>1970.0416666666667</v>
      </c>
      <c r="C144" s="20">
        <f>'F Plus CO2'!B1082</f>
        <v>57.344000000000001</v>
      </c>
      <c r="D144" s="19">
        <f>'F Plus CO2'!C1082</f>
        <v>325.06</v>
      </c>
      <c r="E144" s="19">
        <f t="shared" si="7"/>
        <v>8.0000000000000071E-2</v>
      </c>
      <c r="F144" s="20">
        <f t="shared" si="8"/>
        <v>0.21527921008816014</v>
      </c>
    </row>
    <row r="145" spans="1:6" ht="15" customHeight="1">
      <c r="A145" s="18" t="str">
        <f>'F Plus CO2'!A1083</f>
        <v>2/1970</v>
      </c>
      <c r="B145" s="19">
        <f t="shared" si="6"/>
        <v>1970.125</v>
      </c>
      <c r="C145" s="20">
        <f>'F Plus CO2'!B1083</f>
        <v>57.596000000000004</v>
      </c>
      <c r="D145" s="19">
        <f>'F Plus CO2'!C1083</f>
        <v>325.99</v>
      </c>
      <c r="E145" s="19">
        <f t="shared" si="7"/>
        <v>0.22000000000000242</v>
      </c>
      <c r="F145" s="20">
        <f t="shared" si="8"/>
        <v>0.21940088215824097</v>
      </c>
    </row>
    <row r="146" spans="1:6" ht="15" customHeight="1">
      <c r="A146" s="18" t="str">
        <f>'F Plus CO2'!A1084</f>
        <v>3/1970</v>
      </c>
      <c r="B146" s="19">
        <f t="shared" si="6"/>
        <v>1970.2083333333333</v>
      </c>
      <c r="C146" s="20">
        <f>'F Plus CO2'!B1084</f>
        <v>57.308</v>
      </c>
      <c r="D146" s="19">
        <f>'F Plus CO2'!C1084</f>
        <v>326.93</v>
      </c>
      <c r="E146" s="19">
        <f t="shared" si="7"/>
        <v>5.9999999999998721E-2</v>
      </c>
      <c r="F146" s="20">
        <f t="shared" si="8"/>
        <v>0.22355494169199039</v>
      </c>
    </row>
    <row r="147" spans="1:6" ht="15" customHeight="1">
      <c r="A147" s="18" t="str">
        <f>'F Plus CO2'!A1085</f>
        <v>4/1970</v>
      </c>
      <c r="B147" s="19">
        <f t="shared" si="6"/>
        <v>1970.2916666666667</v>
      </c>
      <c r="C147" s="20">
        <f>'F Plus CO2'!B1085</f>
        <v>57.290000000000006</v>
      </c>
      <c r="D147" s="19">
        <f>'F Plus CO2'!C1085</f>
        <v>328.13</v>
      </c>
      <c r="E147" s="19">
        <f t="shared" si="7"/>
        <v>5.0000000000004263E-2</v>
      </c>
      <c r="F147" s="20">
        <f t="shared" si="8"/>
        <v>0.22884067425281851</v>
      </c>
    </row>
    <row r="148" spans="1:6" ht="15" customHeight="1">
      <c r="A148" s="18" t="str">
        <f>'F Plus CO2'!A1086</f>
        <v>5/1970</v>
      </c>
      <c r="B148" s="19">
        <f t="shared" si="6"/>
        <v>1970.375</v>
      </c>
      <c r="C148" s="20">
        <f>'F Plus CO2'!B1086</f>
        <v>57.146000000000001</v>
      </c>
      <c r="D148" s="19">
        <f>'F Plus CO2'!C1086</f>
        <v>328.08</v>
      </c>
      <c r="E148" s="19">
        <f t="shared" si="7"/>
        <v>-2.9999999999999361E-2</v>
      </c>
      <c r="F148" s="20">
        <f t="shared" si="8"/>
        <v>0.22862082160752503</v>
      </c>
    </row>
    <row r="149" spans="1:6" ht="15" customHeight="1">
      <c r="A149" s="18" t="str">
        <f>'F Plus CO2'!A1087</f>
        <v>6/1970</v>
      </c>
      <c r="B149" s="19">
        <f t="shared" si="6"/>
        <v>1970.4583333333333</v>
      </c>
      <c r="C149" s="20">
        <f>'F Plus CO2'!B1087</f>
        <v>57.164000000000001</v>
      </c>
      <c r="D149" s="19">
        <f>'F Plus CO2'!C1087</f>
        <v>327.67</v>
      </c>
      <c r="E149" s="19">
        <f t="shared" si="7"/>
        <v>-1.9999999999999574E-2</v>
      </c>
      <c r="F149" s="20">
        <f t="shared" si="8"/>
        <v>0.22681676504986711</v>
      </c>
    </row>
    <row r="150" spans="1:6" ht="15" customHeight="1">
      <c r="A150" s="18" t="str">
        <f>'F Plus CO2'!A1088</f>
        <v>7/1970</v>
      </c>
      <c r="B150" s="19">
        <f t="shared" si="6"/>
        <v>1970.5416666666667</v>
      </c>
      <c r="C150" s="20">
        <f>'F Plus CO2'!B1088</f>
        <v>57.236000000000004</v>
      </c>
      <c r="D150" s="19">
        <f>'F Plus CO2'!C1088</f>
        <v>326.33999999999997</v>
      </c>
      <c r="E150" s="19">
        <f t="shared" si="7"/>
        <v>2.0000000000003126E-2</v>
      </c>
      <c r="F150" s="20">
        <f t="shared" si="8"/>
        <v>0.2209490044667792</v>
      </c>
    </row>
    <row r="151" spans="1:6" ht="15" customHeight="1">
      <c r="A151" s="18" t="str">
        <f>'F Plus CO2'!A1089</f>
        <v>8/1970</v>
      </c>
      <c r="B151" s="19">
        <f t="shared" si="6"/>
        <v>1970.625</v>
      </c>
      <c r="C151" s="20">
        <f>'F Plus CO2'!B1089</f>
        <v>57.019999999999996</v>
      </c>
      <c r="D151" s="19">
        <f>'F Plus CO2'!C1089</f>
        <v>324.68</v>
      </c>
      <c r="E151" s="19">
        <f t="shared" si="7"/>
        <v>-0.10000000000000142</v>
      </c>
      <c r="F151" s="20">
        <f t="shared" si="8"/>
        <v>0.21359169145595572</v>
      </c>
    </row>
    <row r="152" spans="1:6" ht="15" customHeight="1">
      <c r="A152" s="18" t="str">
        <f>'F Plus CO2'!A1090</f>
        <v>9/1970</v>
      </c>
      <c r="B152" s="19">
        <f t="shared" si="6"/>
        <v>1970.7083333333333</v>
      </c>
      <c r="C152" s="20">
        <f>'F Plus CO2'!B1090</f>
        <v>57.415999999999997</v>
      </c>
      <c r="D152" s="19">
        <f>'F Plus CO2'!C1090</f>
        <v>323.10000000000002</v>
      </c>
      <c r="E152" s="19">
        <f t="shared" si="7"/>
        <v>0.11999999999999744</v>
      </c>
      <c r="F152" s="20">
        <f t="shared" si="8"/>
        <v>0.20655392343303489</v>
      </c>
    </row>
    <row r="153" spans="1:6" ht="15" customHeight="1">
      <c r="A153" s="18" t="str">
        <f>'F Plus CO2'!A1091</f>
        <v>10/1970</v>
      </c>
      <c r="B153" s="19">
        <f t="shared" si="6"/>
        <v>1970.7916666666667</v>
      </c>
      <c r="C153" s="20">
        <f>'F Plus CO2'!B1091</f>
        <v>57.253999999999998</v>
      </c>
      <c r="D153" s="19">
        <f>'F Plus CO2'!C1091</f>
        <v>323.06</v>
      </c>
      <c r="E153" s="19">
        <f t="shared" si="7"/>
        <v>2.9999999999997584E-2</v>
      </c>
      <c r="F153" s="20">
        <f t="shared" si="8"/>
        <v>0.20637530574791263</v>
      </c>
    </row>
    <row r="154" spans="1:6" ht="15" customHeight="1">
      <c r="A154" s="18" t="str">
        <f>'F Plus CO2'!A1092</f>
        <v>11/1970</v>
      </c>
      <c r="B154" s="19">
        <f t="shared" si="6"/>
        <v>1970.875</v>
      </c>
      <c r="C154" s="20">
        <f>'F Plus CO2'!B1092</f>
        <v>57.236000000000004</v>
      </c>
      <c r="D154" s="19">
        <f>'F Plus CO2'!C1092</f>
        <v>324.01</v>
      </c>
      <c r="E154" s="19">
        <f t="shared" si="7"/>
        <v>2.0000000000003126E-2</v>
      </c>
      <c r="F154" s="20">
        <f t="shared" si="8"/>
        <v>0.21061151287723645</v>
      </c>
    </row>
    <row r="155" spans="1:6" ht="15" customHeight="1">
      <c r="A155" s="18" t="str">
        <f>'F Plus CO2'!A1093</f>
        <v>12/1970</v>
      </c>
      <c r="B155" s="19">
        <f t="shared" si="6"/>
        <v>1970.9583333333333</v>
      </c>
      <c r="C155" s="20">
        <f>'F Plus CO2'!B1093</f>
        <v>56.984000000000002</v>
      </c>
      <c r="D155" s="19">
        <f>'F Plus CO2'!C1093</f>
        <v>325.13</v>
      </c>
      <c r="E155" s="19">
        <f t="shared" si="7"/>
        <v>-0.11999999999999744</v>
      </c>
      <c r="F155" s="20">
        <f t="shared" si="8"/>
        <v>0.21558985360237096</v>
      </c>
    </row>
    <row r="156" spans="1:6" ht="15" customHeight="1">
      <c r="A156" s="18" t="str">
        <f>'F Plus CO2'!A1094</f>
        <v>1/1971</v>
      </c>
      <c r="B156" s="19">
        <f t="shared" si="6"/>
        <v>1971.0416666666667</v>
      </c>
      <c r="C156" s="20">
        <f>'F Plus CO2'!B1094</f>
        <v>57.164000000000001</v>
      </c>
      <c r="D156" s="19">
        <f>'F Plus CO2'!C1094</f>
        <v>326.17</v>
      </c>
      <c r="E156" s="19">
        <f t="shared" si="7"/>
        <v>-1.9999999999999574E-2</v>
      </c>
      <c r="F156" s="20">
        <f t="shared" si="8"/>
        <v>0.22019726683057364</v>
      </c>
    </row>
    <row r="157" spans="1:6" ht="15" customHeight="1">
      <c r="A157" s="18" t="str">
        <f>'F Plus CO2'!A1095</f>
        <v>2/1971</v>
      </c>
      <c r="B157" s="19">
        <f t="shared" si="6"/>
        <v>1971.125</v>
      </c>
      <c r="C157" s="20">
        <f>'F Plus CO2'!B1095</f>
        <v>56.93</v>
      </c>
      <c r="D157" s="19">
        <f>'F Plus CO2'!C1095</f>
        <v>326.69</v>
      </c>
      <c r="E157" s="19">
        <f t="shared" si="7"/>
        <v>-0.14999999999999858</v>
      </c>
      <c r="F157" s="20">
        <f t="shared" si="8"/>
        <v>0.22249546730205641</v>
      </c>
    </row>
    <row r="158" spans="1:6" ht="15" customHeight="1">
      <c r="A158" s="18" t="str">
        <f>'F Plus CO2'!A1096</f>
        <v>3/1971</v>
      </c>
      <c r="B158" s="19">
        <f t="shared" si="6"/>
        <v>1971.2083333333333</v>
      </c>
      <c r="C158" s="20">
        <f>'F Plus CO2'!B1096</f>
        <v>56.876000000000005</v>
      </c>
      <c r="D158" s="19">
        <f>'F Plus CO2'!C1096</f>
        <v>327.18</v>
      </c>
      <c r="E158" s="19">
        <f t="shared" si="7"/>
        <v>-0.17999999999999794</v>
      </c>
      <c r="F158" s="20">
        <f t="shared" si="8"/>
        <v>0.22465773412073844</v>
      </c>
    </row>
    <row r="159" spans="1:6" ht="15" customHeight="1">
      <c r="A159" s="18" t="str">
        <f>'F Plus CO2'!A1097</f>
        <v>4/1971</v>
      </c>
      <c r="B159" s="19">
        <f t="shared" si="6"/>
        <v>1971.2916666666667</v>
      </c>
      <c r="C159" s="20">
        <f>'F Plus CO2'!B1097</f>
        <v>57.073999999999998</v>
      </c>
      <c r="D159" s="19">
        <f>'F Plus CO2'!C1097</f>
        <v>327.78</v>
      </c>
      <c r="E159" s="19">
        <f t="shared" si="7"/>
        <v>-7.0000000000000284E-2</v>
      </c>
      <c r="F159" s="20">
        <f t="shared" si="8"/>
        <v>0.22730100169945941</v>
      </c>
    </row>
    <row r="160" spans="1:6" ht="15" customHeight="1">
      <c r="A160" s="18" t="str">
        <f>'F Plus CO2'!A1098</f>
        <v>5/1971</v>
      </c>
      <c r="B160" s="19">
        <f t="shared" si="6"/>
        <v>1971.375</v>
      </c>
      <c r="C160" s="20">
        <f>'F Plus CO2'!B1098</f>
        <v>57.11</v>
      </c>
      <c r="D160" s="19">
        <f>'F Plus CO2'!C1098</f>
        <v>328.93</v>
      </c>
      <c r="E160" s="19">
        <f t="shared" si="7"/>
        <v>-5.0000000000000711E-2</v>
      </c>
      <c r="F160" s="20">
        <f t="shared" si="8"/>
        <v>0.23235376773902855</v>
      </c>
    </row>
    <row r="161" spans="1:6" ht="15" customHeight="1">
      <c r="A161" s="18" t="str">
        <f>'F Plus CO2'!A1099</f>
        <v>6/1971</v>
      </c>
      <c r="B161" s="19">
        <f t="shared" si="6"/>
        <v>1971.4583333333333</v>
      </c>
      <c r="C161" s="20">
        <f>'F Plus CO2'!B1099</f>
        <v>56.911999999999999</v>
      </c>
      <c r="D161" s="19">
        <f>'F Plus CO2'!C1099</f>
        <v>328.57</v>
      </c>
      <c r="E161" s="19">
        <f t="shared" si="7"/>
        <v>-0.16000000000000014</v>
      </c>
      <c r="F161" s="20">
        <f t="shared" si="8"/>
        <v>0.23077393422839654</v>
      </c>
    </row>
    <row r="162" spans="1:6" ht="15" customHeight="1">
      <c r="A162" s="18" t="str">
        <f>'F Plus CO2'!A1100</f>
        <v>7/1971</v>
      </c>
      <c r="B162" s="19">
        <f t="shared" si="6"/>
        <v>1971.5416666666667</v>
      </c>
      <c r="C162" s="20">
        <f>'F Plus CO2'!B1100</f>
        <v>57.073999999999998</v>
      </c>
      <c r="D162" s="19">
        <f>'F Plus CO2'!C1100</f>
        <v>327.36</v>
      </c>
      <c r="E162" s="19">
        <f t="shared" si="7"/>
        <v>-7.0000000000000284E-2</v>
      </c>
      <c r="F162" s="20">
        <f t="shared" si="8"/>
        <v>0.22545122302563764</v>
      </c>
    </row>
    <row r="163" spans="1:6" ht="15" customHeight="1">
      <c r="A163" s="18" t="str">
        <f>'F Plus CO2'!A1101</f>
        <v>8/1971</v>
      </c>
      <c r="B163" s="19">
        <f t="shared" si="6"/>
        <v>1971.625</v>
      </c>
      <c r="C163" s="20">
        <f>'F Plus CO2'!B1101</f>
        <v>57.182000000000002</v>
      </c>
      <c r="D163" s="19">
        <f>'F Plus CO2'!C1101</f>
        <v>325.43</v>
      </c>
      <c r="E163" s="19">
        <f t="shared" si="7"/>
        <v>-9.9999999999980105E-3</v>
      </c>
      <c r="F163" s="20">
        <f t="shared" si="8"/>
        <v>0.21692042585687715</v>
      </c>
    </row>
    <row r="164" spans="1:6" ht="15" customHeight="1">
      <c r="A164" s="18" t="str">
        <f>'F Plus CO2'!A1102</f>
        <v>9/1971</v>
      </c>
      <c r="B164" s="19">
        <f t="shared" si="6"/>
        <v>1971.7083333333333</v>
      </c>
      <c r="C164" s="20">
        <f>'F Plus CO2'!B1102</f>
        <v>57.11</v>
      </c>
      <c r="D164" s="19">
        <f>'F Plus CO2'!C1102</f>
        <v>323.36</v>
      </c>
      <c r="E164" s="19">
        <f t="shared" si="7"/>
        <v>-5.0000000000000711E-2</v>
      </c>
      <c r="F164" s="20">
        <f t="shared" si="8"/>
        <v>0.2077143996600441</v>
      </c>
    </row>
    <row r="165" spans="1:6" ht="15" customHeight="1">
      <c r="A165" s="18" t="str">
        <f>'F Plus CO2'!A1103</f>
        <v>10/1971</v>
      </c>
      <c r="B165" s="19">
        <f t="shared" si="6"/>
        <v>1971.7916666666667</v>
      </c>
      <c r="C165" s="20">
        <f>'F Plus CO2'!B1103</f>
        <v>57.128</v>
      </c>
      <c r="D165" s="19">
        <f>'F Plus CO2'!C1103</f>
        <v>323.56</v>
      </c>
      <c r="E165" s="19">
        <f t="shared" si="7"/>
        <v>-3.9999999999999147E-2</v>
      </c>
      <c r="F165" s="20">
        <f t="shared" si="8"/>
        <v>0.20860643891488381</v>
      </c>
    </row>
    <row r="166" spans="1:6" ht="15" customHeight="1">
      <c r="A166" s="18" t="str">
        <f>'F Plus CO2'!A1104</f>
        <v>11/1971</v>
      </c>
      <c r="B166" s="19">
        <f t="shared" si="6"/>
        <v>1971.875</v>
      </c>
      <c r="C166" s="20">
        <f>'F Plus CO2'!B1104</f>
        <v>57.073999999999998</v>
      </c>
      <c r="D166" s="19">
        <f>'F Plus CO2'!C1104</f>
        <v>324.8</v>
      </c>
      <c r="E166" s="19">
        <f t="shared" si="7"/>
        <v>-7.0000000000000284E-2</v>
      </c>
      <c r="F166" s="20">
        <f t="shared" si="8"/>
        <v>0.21412480535284761</v>
      </c>
    </row>
    <row r="167" spans="1:6" ht="15" customHeight="1">
      <c r="A167" s="18" t="str">
        <f>'F Plus CO2'!A1105</f>
        <v>12/1971</v>
      </c>
      <c r="B167" s="19">
        <f t="shared" si="6"/>
        <v>1971.9583333333333</v>
      </c>
      <c r="C167" s="20">
        <f>'F Plus CO2'!B1105</f>
        <v>57.055999999999997</v>
      </c>
      <c r="D167" s="19">
        <f>'F Plus CO2'!C1105</f>
        <v>326.01</v>
      </c>
      <c r="E167" s="19">
        <f t="shared" si="7"/>
        <v>-8.0000000000001847E-2</v>
      </c>
      <c r="F167" s="20">
        <f t="shared" si="8"/>
        <v>0.21948939105648271</v>
      </c>
    </row>
    <row r="168" spans="1:6" ht="15" customHeight="1">
      <c r="A168" s="18" t="str">
        <f>'F Plus CO2'!A1106</f>
        <v>1/1972</v>
      </c>
      <c r="B168" s="19">
        <f t="shared" si="6"/>
        <v>1972.0416666666667</v>
      </c>
      <c r="C168" s="20">
        <f>'F Plus CO2'!B1106</f>
        <v>56.804000000000002</v>
      </c>
      <c r="D168" s="19">
        <f>'F Plus CO2'!C1106</f>
        <v>326.77</v>
      </c>
      <c r="E168" s="19">
        <f t="shared" si="7"/>
        <v>-0.21999999999999886</v>
      </c>
      <c r="F168" s="20">
        <f t="shared" si="8"/>
        <v>0.22284871188886418</v>
      </c>
    </row>
    <row r="169" spans="1:6" ht="15" customHeight="1">
      <c r="A169" s="18" t="str">
        <f>'F Plus CO2'!A1107</f>
        <v>2/1972</v>
      </c>
      <c r="B169" s="19">
        <f t="shared" si="6"/>
        <v>1972.125</v>
      </c>
      <c r="C169" s="20">
        <f>'F Plus CO2'!B1107</f>
        <v>56.876000000000005</v>
      </c>
      <c r="D169" s="19">
        <f>'F Plus CO2'!C1107</f>
        <v>327.63</v>
      </c>
      <c r="E169" s="19">
        <f t="shared" si="7"/>
        <v>-0.17999999999999794</v>
      </c>
      <c r="F169" s="20">
        <f t="shared" si="8"/>
        <v>0.22664063869031495</v>
      </c>
    </row>
    <row r="170" spans="1:6" ht="15" customHeight="1">
      <c r="A170" s="18" t="str">
        <f>'F Plus CO2'!A1108</f>
        <v>3/1972</v>
      </c>
      <c r="B170" s="19">
        <f t="shared" si="6"/>
        <v>1972.2083333333333</v>
      </c>
      <c r="C170" s="20">
        <f>'F Plus CO2'!B1108</f>
        <v>57.253999999999998</v>
      </c>
      <c r="D170" s="19">
        <f>'F Plus CO2'!C1108</f>
        <v>327.75</v>
      </c>
      <c r="E170" s="19">
        <f t="shared" si="7"/>
        <v>2.9999999999997584E-2</v>
      </c>
      <c r="F170" s="20">
        <f t="shared" si="8"/>
        <v>0.22716895327678804</v>
      </c>
    </row>
    <row r="171" spans="1:6" ht="15" customHeight="1">
      <c r="A171" s="18" t="str">
        <f>'F Plus CO2'!A1109</f>
        <v>4/1972</v>
      </c>
      <c r="B171" s="19">
        <f t="shared" si="6"/>
        <v>1972.2916666666667</v>
      </c>
      <c r="C171" s="20">
        <f>'F Plus CO2'!B1109</f>
        <v>57.2</v>
      </c>
      <c r="D171" s="19">
        <f>'F Plus CO2'!C1109</f>
        <v>329.72</v>
      </c>
      <c r="E171" s="19">
        <f t="shared" si="7"/>
        <v>0</v>
      </c>
      <c r="F171" s="20">
        <f t="shared" si="8"/>
        <v>0.23581457280650558</v>
      </c>
    </row>
    <row r="172" spans="1:6" ht="15" customHeight="1">
      <c r="A172" s="18" t="str">
        <f>'F Plus CO2'!A1110</f>
        <v>5/1972</v>
      </c>
      <c r="B172" s="19">
        <f t="shared" si="6"/>
        <v>1972.375</v>
      </c>
      <c r="C172" s="20">
        <f>'F Plus CO2'!B1110</f>
        <v>57.146000000000001</v>
      </c>
      <c r="D172" s="19">
        <f>'F Plus CO2'!C1110</f>
        <v>330.07</v>
      </c>
      <c r="E172" s="19">
        <f t="shared" si="7"/>
        <v>-2.9999999999999361E-2</v>
      </c>
      <c r="F172" s="20">
        <f t="shared" si="8"/>
        <v>0.23734519106890656</v>
      </c>
    </row>
    <row r="173" spans="1:6" ht="15" customHeight="1">
      <c r="A173" s="18" t="str">
        <f>'F Plus CO2'!A1111</f>
        <v>6/1972</v>
      </c>
      <c r="B173" s="19">
        <f t="shared" si="6"/>
        <v>1972.4583333333333</v>
      </c>
      <c r="C173" s="20">
        <f>'F Plus CO2'!B1111</f>
        <v>57.271999999999998</v>
      </c>
      <c r="D173" s="19">
        <f>'F Plus CO2'!C1111</f>
        <v>329.09</v>
      </c>
      <c r="E173" s="19">
        <f t="shared" si="7"/>
        <v>3.9999999999999147E-2</v>
      </c>
      <c r="F173" s="20">
        <f t="shared" si="8"/>
        <v>0.23305536103738234</v>
      </c>
    </row>
    <row r="174" spans="1:6" ht="15" customHeight="1">
      <c r="A174" s="18" t="str">
        <f>'F Plus CO2'!A1112</f>
        <v>7/1972</v>
      </c>
      <c r="B174" s="19">
        <f t="shared" si="6"/>
        <v>1972.5416666666667</v>
      </c>
      <c r="C174" s="20">
        <f>'F Plus CO2'!B1112</f>
        <v>57.218000000000004</v>
      </c>
      <c r="D174" s="19">
        <f>'F Plus CO2'!C1112</f>
        <v>328.04</v>
      </c>
      <c r="E174" s="19">
        <f t="shared" si="7"/>
        <v>1.0000000000001563E-2</v>
      </c>
      <c r="F174" s="20">
        <f t="shared" si="8"/>
        <v>0.2284449153656577</v>
      </c>
    </row>
    <row r="175" spans="1:6" ht="15" customHeight="1">
      <c r="A175" s="18" t="str">
        <f>'F Plus CO2'!A1113</f>
        <v>8/1972</v>
      </c>
      <c r="B175" s="19">
        <f t="shared" si="6"/>
        <v>1972.625</v>
      </c>
      <c r="C175" s="20">
        <f>'F Plus CO2'!B1113</f>
        <v>57.488</v>
      </c>
      <c r="D175" s="19">
        <f>'F Plus CO2'!C1113</f>
        <v>326.32</v>
      </c>
      <c r="E175" s="19">
        <f t="shared" si="7"/>
        <v>0.16000000000000014</v>
      </c>
      <c r="F175" s="20">
        <f t="shared" si="8"/>
        <v>0.22086058507283202</v>
      </c>
    </row>
    <row r="176" spans="1:6" ht="15" customHeight="1">
      <c r="A176" s="18" t="str">
        <f>'F Plus CO2'!A1114</f>
        <v>9/1972</v>
      </c>
      <c r="B176" s="19">
        <f t="shared" si="6"/>
        <v>1972.7083333333333</v>
      </c>
      <c r="C176" s="20">
        <f>'F Plus CO2'!B1114</f>
        <v>57.236000000000004</v>
      </c>
      <c r="D176" s="19">
        <f>'F Plus CO2'!C1114</f>
        <v>324.83999999999997</v>
      </c>
      <c r="E176" s="19">
        <f t="shared" si="7"/>
        <v>2.0000000000003126E-2</v>
      </c>
      <c r="F176" s="20">
        <f t="shared" si="8"/>
        <v>0.21430246621642873</v>
      </c>
    </row>
    <row r="177" spans="1:6" ht="15" customHeight="1">
      <c r="A177" s="18" t="str">
        <f>'F Plus CO2'!A1115</f>
        <v>10/1972</v>
      </c>
      <c r="B177" s="19">
        <f t="shared" si="6"/>
        <v>1972.7916666666667</v>
      </c>
      <c r="C177" s="20">
        <f>'F Plus CO2'!B1115</f>
        <v>57.344000000000001</v>
      </c>
      <c r="D177" s="19">
        <f>'F Plus CO2'!C1115</f>
        <v>325.2</v>
      </c>
      <c r="E177" s="19">
        <f t="shared" si="7"/>
        <v>8.0000000000000071E-2</v>
      </c>
      <c r="F177" s="20">
        <f t="shared" si="8"/>
        <v>0.21590043024269898</v>
      </c>
    </row>
    <row r="178" spans="1:6" ht="15" customHeight="1">
      <c r="A178" s="18" t="str">
        <f>'F Plus CO2'!A1116</f>
        <v>11/1972</v>
      </c>
      <c r="B178" s="19">
        <f t="shared" si="6"/>
        <v>1972.875</v>
      </c>
      <c r="C178" s="20">
        <f>'F Plus CO2'!B1116</f>
        <v>57.236000000000004</v>
      </c>
      <c r="D178" s="19">
        <f>'F Plus CO2'!C1116</f>
        <v>326.5</v>
      </c>
      <c r="E178" s="19">
        <f t="shared" si="7"/>
        <v>2.0000000000003126E-2</v>
      </c>
      <c r="F178" s="20">
        <f t="shared" si="8"/>
        <v>0.22165616460146442</v>
      </c>
    </row>
    <row r="179" spans="1:6" ht="15" customHeight="1">
      <c r="A179" s="18" t="str">
        <f>'F Plus CO2'!A1117</f>
        <v>12/1972</v>
      </c>
      <c r="B179" s="19">
        <f t="shared" si="6"/>
        <v>1972.9583333333333</v>
      </c>
      <c r="C179" s="20">
        <f>'F Plus CO2'!B1117</f>
        <v>57.524000000000001</v>
      </c>
      <c r="D179" s="19">
        <f>'F Plus CO2'!C1117</f>
        <v>327.55</v>
      </c>
      <c r="E179" s="19">
        <f t="shared" si="7"/>
        <v>0.17999999999999972</v>
      </c>
      <c r="F179" s="20">
        <f t="shared" si="8"/>
        <v>0.22628832145277814</v>
      </c>
    </row>
    <row r="180" spans="1:6" ht="15" customHeight="1">
      <c r="A180" s="18" t="str">
        <f>'F Plus CO2'!A1118</f>
        <v>1/1973</v>
      </c>
      <c r="B180" s="19">
        <f t="shared" si="6"/>
        <v>1973.0416666666667</v>
      </c>
      <c r="C180" s="20">
        <f>'F Plus CO2'!B1118</f>
        <v>57.721999999999994</v>
      </c>
      <c r="D180" s="19">
        <f>'F Plus CO2'!C1118</f>
        <v>328.55</v>
      </c>
      <c r="E180" s="19">
        <f t="shared" si="7"/>
        <v>0.28999999999999559</v>
      </c>
      <c r="F180" s="20">
        <f t="shared" si="8"/>
        <v>0.23068611495390581</v>
      </c>
    </row>
    <row r="181" spans="1:6" ht="15" customHeight="1">
      <c r="A181" s="18" t="str">
        <f>'F Plus CO2'!A1119</f>
        <v>2/1973</v>
      </c>
      <c r="B181" s="19">
        <f t="shared" si="6"/>
        <v>1973.125</v>
      </c>
      <c r="C181" s="20">
        <f>'F Plus CO2'!B1119</f>
        <v>57.775999999999996</v>
      </c>
      <c r="D181" s="19">
        <f>'F Plus CO2'!C1119</f>
        <v>329.57</v>
      </c>
      <c r="E181" s="19">
        <f t="shared" si="7"/>
        <v>0.32000000000000028</v>
      </c>
      <c r="F181" s="20">
        <f t="shared" si="8"/>
        <v>0.23515809611228167</v>
      </c>
    </row>
    <row r="182" spans="1:6" ht="15" customHeight="1">
      <c r="A182" s="18" t="str">
        <f>'F Plus CO2'!A1120</f>
        <v>3/1973</v>
      </c>
      <c r="B182" s="19">
        <f t="shared" si="6"/>
        <v>1973.2083333333333</v>
      </c>
      <c r="C182" s="20">
        <f>'F Plus CO2'!B1120</f>
        <v>57.721999999999994</v>
      </c>
      <c r="D182" s="19">
        <f>'F Plus CO2'!C1120</f>
        <v>330.3</v>
      </c>
      <c r="E182" s="19">
        <f t="shared" si="7"/>
        <v>0.28999999999999559</v>
      </c>
      <c r="F182" s="20">
        <f t="shared" si="8"/>
        <v>0.23835014245319641</v>
      </c>
    </row>
    <row r="183" spans="1:6" ht="15" customHeight="1">
      <c r="A183" s="18" t="str">
        <f>'F Plus CO2'!A1121</f>
        <v>4/1973</v>
      </c>
      <c r="B183" s="19">
        <f t="shared" si="6"/>
        <v>1973.2916666666667</v>
      </c>
      <c r="C183" s="20">
        <f>'F Plus CO2'!B1121</f>
        <v>57.686</v>
      </c>
      <c r="D183" s="19">
        <f>'F Plus CO2'!C1121</f>
        <v>331.5</v>
      </c>
      <c r="E183" s="19">
        <f t="shared" si="7"/>
        <v>0.27000000000000135</v>
      </c>
      <c r="F183" s="20">
        <f t="shared" si="8"/>
        <v>0.24358204316762133</v>
      </c>
    </row>
    <row r="184" spans="1:6" ht="15" customHeight="1">
      <c r="A184" s="18" t="str">
        <f>'F Plus CO2'!A1122</f>
        <v>5/1973</v>
      </c>
      <c r="B184" s="19">
        <f t="shared" si="6"/>
        <v>1973.375</v>
      </c>
      <c r="C184" s="20">
        <f>'F Plus CO2'!B1122</f>
        <v>57.614000000000004</v>
      </c>
      <c r="D184" s="19">
        <f>'F Plus CO2'!C1122</f>
        <v>332.48</v>
      </c>
      <c r="E184" s="19">
        <f t="shared" si="7"/>
        <v>0.2300000000000022</v>
      </c>
      <c r="F184" s="20">
        <f t="shared" si="8"/>
        <v>0.24784073218452071</v>
      </c>
    </row>
    <row r="185" spans="1:6" ht="15" customHeight="1">
      <c r="A185" s="18" t="str">
        <f>'F Plus CO2'!A1123</f>
        <v>6/1973</v>
      </c>
      <c r="B185" s="19">
        <f t="shared" si="6"/>
        <v>1973.4583333333333</v>
      </c>
      <c r="C185" s="20">
        <f>'F Plus CO2'!B1123</f>
        <v>57.542000000000002</v>
      </c>
      <c r="D185" s="19">
        <f>'F Plus CO2'!C1123</f>
        <v>332.07</v>
      </c>
      <c r="E185" s="19">
        <f t="shared" si="7"/>
        <v>0.19000000000000128</v>
      </c>
      <c r="F185" s="20">
        <f t="shared" si="8"/>
        <v>0.24606056502835677</v>
      </c>
    </row>
    <row r="186" spans="1:6" ht="15" customHeight="1">
      <c r="A186" s="18" t="str">
        <f>'F Plus CO2'!A1124</f>
        <v>7/1973</v>
      </c>
      <c r="B186" s="19">
        <f t="shared" si="6"/>
        <v>1973.5416666666667</v>
      </c>
      <c r="C186" s="20">
        <f>'F Plus CO2'!B1124</f>
        <v>57.433999999999997</v>
      </c>
      <c r="D186" s="19">
        <f>'F Plus CO2'!C1124</f>
        <v>330.87</v>
      </c>
      <c r="E186" s="19">
        <f t="shared" si="7"/>
        <v>0.12999999999999901</v>
      </c>
      <c r="F186" s="20">
        <f t="shared" si="8"/>
        <v>0.24083766117617278</v>
      </c>
    </row>
    <row r="187" spans="1:6" ht="15" customHeight="1">
      <c r="A187" s="18" t="str">
        <f>'F Plus CO2'!A1125</f>
        <v>8/1973</v>
      </c>
      <c r="B187" s="19">
        <f t="shared" si="6"/>
        <v>1973.625</v>
      </c>
      <c r="C187" s="20">
        <f>'F Plus CO2'!B1125</f>
        <v>57.290000000000006</v>
      </c>
      <c r="D187" s="19">
        <f>'F Plus CO2'!C1125</f>
        <v>329.31</v>
      </c>
      <c r="E187" s="19">
        <f t="shared" si="7"/>
        <v>5.0000000000004263E-2</v>
      </c>
      <c r="F187" s="20">
        <f t="shared" si="8"/>
        <v>0.23401949506170835</v>
      </c>
    </row>
    <row r="188" spans="1:6" ht="15" customHeight="1">
      <c r="A188" s="18" t="str">
        <f>'F Plus CO2'!A1126</f>
        <v>9/1973</v>
      </c>
      <c r="B188" s="19">
        <f t="shared" si="6"/>
        <v>1973.7083333333333</v>
      </c>
      <c r="C188" s="20">
        <f>'F Plus CO2'!B1126</f>
        <v>57.362000000000002</v>
      </c>
      <c r="D188" s="19">
        <f>'F Plus CO2'!C1126</f>
        <v>327.52</v>
      </c>
      <c r="E188" s="19">
        <f t="shared" si="7"/>
        <v>8.9999999999999858E-2</v>
      </c>
      <c r="F188" s="20">
        <f t="shared" si="8"/>
        <v>0.22615618030371948</v>
      </c>
    </row>
    <row r="189" spans="1:6" ht="15" customHeight="1">
      <c r="A189" s="18" t="str">
        <f>'F Plus CO2'!A1127</f>
        <v>10/1973</v>
      </c>
      <c r="B189" s="19">
        <f t="shared" si="6"/>
        <v>1973.7916666666667</v>
      </c>
      <c r="C189" s="20">
        <f>'F Plus CO2'!B1127</f>
        <v>57.379999999999995</v>
      </c>
      <c r="D189" s="19">
        <f>'F Plus CO2'!C1127</f>
        <v>327.19</v>
      </c>
      <c r="E189" s="19">
        <f t="shared" si="7"/>
        <v>9.9999999999997868E-2</v>
      </c>
      <c r="F189" s="20">
        <f t="shared" si="8"/>
        <v>0.22470182828890004</v>
      </c>
    </row>
    <row r="190" spans="1:6" ht="15" customHeight="1">
      <c r="A190" s="18" t="str">
        <f>'F Plus CO2'!A1128</f>
        <v>11/1973</v>
      </c>
      <c r="B190" s="19">
        <f t="shared" si="6"/>
        <v>1973.875</v>
      </c>
      <c r="C190" s="20">
        <f>'F Plus CO2'!B1128</f>
        <v>57.271999999999998</v>
      </c>
      <c r="D190" s="19">
        <f>'F Plus CO2'!C1128</f>
        <v>328.17</v>
      </c>
      <c r="E190" s="19">
        <f t="shared" si="7"/>
        <v>3.9999999999999147E-2</v>
      </c>
      <c r="F190" s="20">
        <f t="shared" si="8"/>
        <v>0.22901653224979263</v>
      </c>
    </row>
    <row r="191" spans="1:6" ht="15" customHeight="1">
      <c r="A191" s="18" t="str">
        <f>'F Plus CO2'!A1129</f>
        <v>12/1973</v>
      </c>
      <c r="B191" s="19">
        <f t="shared" si="6"/>
        <v>1973.9583333333333</v>
      </c>
      <c r="C191" s="20">
        <f>'F Plus CO2'!B1129</f>
        <v>57.073999999999998</v>
      </c>
      <c r="D191" s="19">
        <f>'F Plus CO2'!C1129</f>
        <v>328.65</v>
      </c>
      <c r="E191" s="19">
        <f t="shared" si="7"/>
        <v>-7.0000000000000284E-2</v>
      </c>
      <c r="F191" s="20">
        <f t="shared" si="8"/>
        <v>0.23112515787904964</v>
      </c>
    </row>
    <row r="192" spans="1:6" ht="15" customHeight="1">
      <c r="A192" s="18" t="str">
        <f>'F Plus CO2'!A1130</f>
        <v>1/1974</v>
      </c>
      <c r="B192" s="19">
        <f t="shared" si="6"/>
        <v>1974.0416666666667</v>
      </c>
      <c r="C192" s="20">
        <f>'F Plus CO2'!B1130</f>
        <v>57.019999999999996</v>
      </c>
      <c r="D192" s="19">
        <f>'F Plus CO2'!C1130</f>
        <v>329.36</v>
      </c>
      <c r="E192" s="19">
        <f t="shared" si="7"/>
        <v>-0.10000000000000142</v>
      </c>
      <c r="F192" s="20">
        <f t="shared" si="8"/>
        <v>0.23423852660157829</v>
      </c>
    </row>
    <row r="193" spans="1:6" ht="15" customHeight="1">
      <c r="A193" s="18" t="str">
        <f>'F Plus CO2'!A1131</f>
        <v>2/1974</v>
      </c>
      <c r="B193" s="19">
        <f t="shared" si="6"/>
        <v>1974.125</v>
      </c>
      <c r="C193" s="20">
        <f>'F Plus CO2'!B1131</f>
        <v>56.713999999999999</v>
      </c>
      <c r="D193" s="19">
        <f>'F Plus CO2'!C1131</f>
        <v>330.71</v>
      </c>
      <c r="E193" s="19">
        <f t="shared" si="7"/>
        <v>-0.27000000000000135</v>
      </c>
      <c r="F193" s="20">
        <f t="shared" si="8"/>
        <v>0.24013984319182427</v>
      </c>
    </row>
    <row r="194" spans="1:6" ht="15" customHeight="1">
      <c r="A194" s="18" t="str">
        <f>'F Plus CO2'!A1132</f>
        <v>3/1974</v>
      </c>
      <c r="B194" s="19">
        <f t="shared" ref="B194:B257" si="9">VALUE(RIGHT(A194,4))+(VALUE(LEFT(A194,FIND("/",A194)-1))-0.5)/12</f>
        <v>1974.2083333333333</v>
      </c>
      <c r="C194" s="20">
        <f>'F Plus CO2'!B1132</f>
        <v>57.11</v>
      </c>
      <c r="D194" s="19">
        <f>'F Plus CO2'!C1132</f>
        <v>331.49</v>
      </c>
      <c r="E194" s="19">
        <f t="shared" ref="E194:E257" si="10">(C194-32)*5/9-$I$3</f>
        <v>-5.0000000000000711E-2</v>
      </c>
      <c r="F194" s="20">
        <f t="shared" ref="F194:F257" si="11">LOG(D194/$I$4,2)</f>
        <v>0.24353852229879974</v>
      </c>
    </row>
    <row r="195" spans="1:6" ht="15" customHeight="1">
      <c r="A195" s="18" t="str">
        <f>'F Plus CO2'!A1133</f>
        <v>4/1974</v>
      </c>
      <c r="B195" s="19">
        <f t="shared" si="9"/>
        <v>1974.2916666666667</v>
      </c>
      <c r="C195" s="20">
        <f>'F Plus CO2'!B1133</f>
        <v>56.984000000000002</v>
      </c>
      <c r="D195" s="19">
        <f>'F Plus CO2'!C1133</f>
        <v>332.65</v>
      </c>
      <c r="E195" s="19">
        <f t="shared" si="10"/>
        <v>-0.11999999999999744</v>
      </c>
      <c r="F195" s="20">
        <f t="shared" si="11"/>
        <v>0.24857820654980772</v>
      </c>
    </row>
    <row r="196" spans="1:6" ht="15" customHeight="1">
      <c r="A196" s="18" t="str">
        <f>'F Plus CO2'!A1134</f>
        <v>5/1974</v>
      </c>
      <c r="B196" s="19">
        <f t="shared" si="9"/>
        <v>1974.375</v>
      </c>
      <c r="C196" s="20">
        <f>'F Plus CO2'!B1134</f>
        <v>57.128</v>
      </c>
      <c r="D196" s="19">
        <f>'F Plus CO2'!C1134</f>
        <v>333.19</v>
      </c>
      <c r="E196" s="19">
        <f t="shared" si="10"/>
        <v>-3.9999999999999147E-2</v>
      </c>
      <c r="F196" s="20">
        <f t="shared" si="11"/>
        <v>0.25091827471297862</v>
      </c>
    </row>
    <row r="197" spans="1:6" ht="15" customHeight="1">
      <c r="A197" s="18" t="str">
        <f>'F Plus CO2'!A1135</f>
        <v>6/1974</v>
      </c>
      <c r="B197" s="19">
        <f t="shared" si="9"/>
        <v>1974.4583333333333</v>
      </c>
      <c r="C197" s="20">
        <f>'F Plus CO2'!B1135</f>
        <v>57.11</v>
      </c>
      <c r="D197" s="19">
        <f>'F Plus CO2'!C1135</f>
        <v>332.2</v>
      </c>
      <c r="E197" s="19">
        <f t="shared" si="10"/>
        <v>-5.0000000000000711E-2</v>
      </c>
      <c r="F197" s="20">
        <f t="shared" si="11"/>
        <v>0.24662524613004733</v>
      </c>
    </row>
    <row r="198" spans="1:6" ht="15" customHeight="1">
      <c r="A198" s="18" t="str">
        <f>'F Plus CO2'!A1136</f>
        <v>7/1974</v>
      </c>
      <c r="B198" s="19">
        <f t="shared" si="9"/>
        <v>1974.5416666666667</v>
      </c>
      <c r="C198" s="20">
        <f>'F Plus CO2'!B1136</f>
        <v>57.146000000000001</v>
      </c>
      <c r="D198" s="19">
        <f>'F Plus CO2'!C1136</f>
        <v>331.07</v>
      </c>
      <c r="E198" s="19">
        <f t="shared" si="10"/>
        <v>-2.9999999999999361E-2</v>
      </c>
      <c r="F198" s="20">
        <f t="shared" si="11"/>
        <v>0.24170945927557155</v>
      </c>
    </row>
    <row r="199" spans="1:6" ht="15" customHeight="1">
      <c r="A199" s="18" t="str">
        <f>'F Plus CO2'!A1137</f>
        <v>8/1974</v>
      </c>
      <c r="B199" s="19">
        <f t="shared" si="9"/>
        <v>1974.625</v>
      </c>
      <c r="C199" s="20">
        <f>'F Plus CO2'!B1137</f>
        <v>57.379999999999995</v>
      </c>
      <c r="D199" s="19">
        <f>'F Plus CO2'!C1137</f>
        <v>329.15</v>
      </c>
      <c r="E199" s="19">
        <f t="shared" si="10"/>
        <v>9.9999999999997868E-2</v>
      </c>
      <c r="F199" s="20">
        <f t="shared" si="11"/>
        <v>0.23331837058615809</v>
      </c>
    </row>
    <row r="200" spans="1:6" ht="15" customHeight="1">
      <c r="A200" s="18" t="str">
        <f>'F Plus CO2'!A1138</f>
        <v>9/1974</v>
      </c>
      <c r="B200" s="19">
        <f t="shared" si="9"/>
        <v>1974.7083333333333</v>
      </c>
      <c r="C200" s="20">
        <f>'F Plus CO2'!B1138</f>
        <v>57.055999999999997</v>
      </c>
      <c r="D200" s="19">
        <f>'F Plus CO2'!C1138</f>
        <v>327.33</v>
      </c>
      <c r="E200" s="19">
        <f t="shared" si="10"/>
        <v>-8.0000000000001847E-2</v>
      </c>
      <c r="F200" s="20">
        <f t="shared" si="11"/>
        <v>0.22531900517823794</v>
      </c>
    </row>
    <row r="201" spans="1:6" ht="15" customHeight="1">
      <c r="A201" s="18" t="str">
        <f>'F Plus CO2'!A1139</f>
        <v>10/1974</v>
      </c>
      <c r="B201" s="19">
        <f t="shared" si="9"/>
        <v>1974.7916666666667</v>
      </c>
      <c r="C201" s="20">
        <f>'F Plus CO2'!B1139</f>
        <v>57.091999999999999</v>
      </c>
      <c r="D201" s="19">
        <f>'F Plus CO2'!C1139</f>
        <v>327.27999999999997</v>
      </c>
      <c r="E201" s="19">
        <f t="shared" si="10"/>
        <v>-6.0000000000000497E-2</v>
      </c>
      <c r="F201" s="20">
        <f t="shared" si="11"/>
        <v>0.22509861516835514</v>
      </c>
    </row>
    <row r="202" spans="1:6" ht="15" customHeight="1">
      <c r="A202" s="18" t="str">
        <f>'F Plus CO2'!A1140</f>
        <v>11/1974</v>
      </c>
      <c r="B202" s="19">
        <f t="shared" si="9"/>
        <v>1974.875</v>
      </c>
      <c r="C202" s="20">
        <f>'F Plus CO2'!B1140</f>
        <v>57.055999999999997</v>
      </c>
      <c r="D202" s="19">
        <f>'F Plus CO2'!C1140</f>
        <v>328.31</v>
      </c>
      <c r="E202" s="19">
        <f t="shared" si="10"/>
        <v>-8.0000000000001847E-2</v>
      </c>
      <c r="F202" s="20">
        <f t="shared" si="11"/>
        <v>0.22963186648323872</v>
      </c>
    </row>
    <row r="203" spans="1:6" ht="15" customHeight="1">
      <c r="A203" s="18" t="str">
        <f>'F Plus CO2'!A1141</f>
        <v>12/1974</v>
      </c>
      <c r="B203" s="19">
        <f t="shared" si="9"/>
        <v>1974.9583333333333</v>
      </c>
      <c r="C203" s="20">
        <f>'F Plus CO2'!B1141</f>
        <v>57.055999999999997</v>
      </c>
      <c r="D203" s="19">
        <f>'F Plus CO2'!C1141</f>
        <v>329.58</v>
      </c>
      <c r="E203" s="19">
        <f t="shared" si="10"/>
        <v>-8.0000000000001847E-2</v>
      </c>
      <c r="F203" s="20">
        <f t="shared" si="11"/>
        <v>0.23520187051995831</v>
      </c>
    </row>
    <row r="204" spans="1:6" ht="15" customHeight="1">
      <c r="A204" s="18" t="str">
        <f>'F Plus CO2'!A1142</f>
        <v>1/1975</v>
      </c>
      <c r="B204" s="19">
        <f t="shared" si="9"/>
        <v>1975.0416666666667</v>
      </c>
      <c r="C204" s="20">
        <f>'F Plus CO2'!B1142</f>
        <v>57.379999999999995</v>
      </c>
      <c r="D204" s="19">
        <f>'F Plus CO2'!C1142</f>
        <v>330.73</v>
      </c>
      <c r="E204" s="19">
        <f t="shared" si="10"/>
        <v>9.9999999999997868E-2</v>
      </c>
      <c r="F204" s="20">
        <f t="shared" si="11"/>
        <v>0.24022708890066147</v>
      </c>
    </row>
    <row r="205" spans="1:6" ht="15" customHeight="1">
      <c r="A205" s="18" t="str">
        <f>'F Plus CO2'!A1143</f>
        <v>2/1975</v>
      </c>
      <c r="B205" s="19">
        <f t="shared" si="9"/>
        <v>1975.125</v>
      </c>
      <c r="C205" s="20">
        <f>'F Plus CO2'!B1143</f>
        <v>57.344000000000001</v>
      </c>
      <c r="D205" s="19">
        <f>'F Plus CO2'!C1143</f>
        <v>331.46</v>
      </c>
      <c r="E205" s="19">
        <f t="shared" si="10"/>
        <v>8.0000000000000071E-2</v>
      </c>
      <c r="F205" s="20">
        <f t="shared" si="11"/>
        <v>0.24340795181458158</v>
      </c>
    </row>
    <row r="206" spans="1:6" ht="15" customHeight="1">
      <c r="A206" s="18" t="str">
        <f>'F Plus CO2'!A1144</f>
        <v>3/1975</v>
      </c>
      <c r="B206" s="19">
        <f t="shared" si="9"/>
        <v>1975.2083333333333</v>
      </c>
      <c r="C206" s="20">
        <f>'F Plus CO2'!B1144</f>
        <v>57.415999999999997</v>
      </c>
      <c r="D206" s="19">
        <f>'F Plus CO2'!C1144</f>
        <v>331.94</v>
      </c>
      <c r="E206" s="19">
        <f t="shared" si="10"/>
        <v>0.11999999999999744</v>
      </c>
      <c r="F206" s="20">
        <f t="shared" si="11"/>
        <v>0.24549566281992086</v>
      </c>
    </row>
    <row r="207" spans="1:6" ht="15" customHeight="1">
      <c r="A207" s="18" t="str">
        <f>'F Plus CO2'!A1145</f>
        <v>4/1975</v>
      </c>
      <c r="B207" s="19">
        <f t="shared" si="9"/>
        <v>1975.2916666666667</v>
      </c>
      <c r="C207" s="20">
        <f>'F Plus CO2'!B1145</f>
        <v>57.271999999999998</v>
      </c>
      <c r="D207" s="19">
        <f>'F Plus CO2'!C1145</f>
        <v>333.11</v>
      </c>
      <c r="E207" s="19">
        <f t="shared" si="10"/>
        <v>3.9999999999999147E-2</v>
      </c>
      <c r="F207" s="20">
        <f t="shared" si="11"/>
        <v>0.25057183736095789</v>
      </c>
    </row>
    <row r="208" spans="1:6" ht="15" customHeight="1">
      <c r="A208" s="18" t="str">
        <f>'F Plus CO2'!A1146</f>
        <v>5/1975</v>
      </c>
      <c r="B208" s="19">
        <f t="shared" si="9"/>
        <v>1975.375</v>
      </c>
      <c r="C208" s="20">
        <f>'F Plus CO2'!B1146</f>
        <v>57.488</v>
      </c>
      <c r="D208" s="19">
        <f>'F Plus CO2'!C1146</f>
        <v>333.95</v>
      </c>
      <c r="E208" s="19">
        <f t="shared" si="10"/>
        <v>0.16000000000000014</v>
      </c>
      <c r="F208" s="20">
        <f t="shared" si="11"/>
        <v>0.25420528705036982</v>
      </c>
    </row>
    <row r="209" spans="1:6" ht="15" customHeight="1">
      <c r="A209" s="18" t="str">
        <f>'F Plus CO2'!A1147</f>
        <v>6/1975</v>
      </c>
      <c r="B209" s="19">
        <f t="shared" si="9"/>
        <v>1975.4583333333333</v>
      </c>
      <c r="C209" s="20">
        <f>'F Plus CO2'!B1147</f>
        <v>57.182000000000002</v>
      </c>
      <c r="D209" s="19">
        <f>'F Plus CO2'!C1147</f>
        <v>333.42</v>
      </c>
      <c r="E209" s="19">
        <f t="shared" si="10"/>
        <v>-9.9999999999980105E-3</v>
      </c>
      <c r="F209" s="20">
        <f t="shared" si="11"/>
        <v>0.25191381895195386</v>
      </c>
    </row>
    <row r="210" spans="1:6" ht="15" customHeight="1">
      <c r="A210" s="18" t="str">
        <f>'F Plus CO2'!A1148</f>
        <v>7/1975</v>
      </c>
      <c r="B210" s="19">
        <f t="shared" si="9"/>
        <v>1975.5416666666667</v>
      </c>
      <c r="C210" s="20">
        <f>'F Plus CO2'!B1148</f>
        <v>57.182000000000002</v>
      </c>
      <c r="D210" s="19">
        <f>'F Plus CO2'!C1148</f>
        <v>331.97</v>
      </c>
      <c r="E210" s="19">
        <f t="shared" si="10"/>
        <v>-9.9999999999980105E-3</v>
      </c>
      <c r="F210" s="20">
        <f t="shared" si="11"/>
        <v>0.24562604450194436</v>
      </c>
    </row>
    <row r="211" spans="1:6" ht="15" customHeight="1">
      <c r="A211" s="18" t="str">
        <f>'F Plus CO2'!A1149</f>
        <v>8/1975</v>
      </c>
      <c r="B211" s="19">
        <f t="shared" si="9"/>
        <v>1975.625</v>
      </c>
      <c r="C211" s="20">
        <f>'F Plus CO2'!B1149</f>
        <v>56.894000000000005</v>
      </c>
      <c r="D211" s="19">
        <f>'F Plus CO2'!C1149</f>
        <v>329.95</v>
      </c>
      <c r="E211" s="19">
        <f t="shared" si="10"/>
        <v>-0.16999999999999638</v>
      </c>
      <c r="F211" s="20">
        <f t="shared" si="11"/>
        <v>0.23682059058160543</v>
      </c>
    </row>
    <row r="212" spans="1:6" ht="15" customHeight="1">
      <c r="A212" s="18" t="str">
        <f>'F Plus CO2'!A1150</f>
        <v>9/1975</v>
      </c>
      <c r="B212" s="19">
        <f t="shared" si="9"/>
        <v>1975.7083333333333</v>
      </c>
      <c r="C212" s="20">
        <f>'F Plus CO2'!B1150</f>
        <v>57.164000000000001</v>
      </c>
      <c r="D212" s="19">
        <f>'F Plus CO2'!C1150</f>
        <v>328.49</v>
      </c>
      <c r="E212" s="19">
        <f t="shared" si="10"/>
        <v>-1.9999999999999574E-2</v>
      </c>
      <c r="F212" s="20">
        <f t="shared" si="11"/>
        <v>0.23042262505163516</v>
      </c>
    </row>
    <row r="213" spans="1:6" ht="15" customHeight="1">
      <c r="A213" s="18" t="str">
        <f>'F Plus CO2'!A1151</f>
        <v>10/1975</v>
      </c>
      <c r="B213" s="19">
        <f t="shared" si="9"/>
        <v>1975.7916666666667</v>
      </c>
      <c r="C213" s="20">
        <f>'F Plus CO2'!B1151</f>
        <v>57.002000000000002</v>
      </c>
      <c r="D213" s="19">
        <f>'F Plus CO2'!C1151</f>
        <v>328.36</v>
      </c>
      <c r="E213" s="19">
        <f t="shared" si="10"/>
        <v>-0.10999999999999766</v>
      </c>
      <c r="F213" s="20">
        <f t="shared" si="11"/>
        <v>0.22985156512086161</v>
      </c>
    </row>
    <row r="214" spans="1:6" ht="15" customHeight="1">
      <c r="A214" s="18" t="str">
        <f>'F Plus CO2'!A1152</f>
        <v>11/1975</v>
      </c>
      <c r="B214" s="19">
        <f t="shared" si="9"/>
        <v>1975.875</v>
      </c>
      <c r="C214" s="20">
        <f>'F Plus CO2'!B1152</f>
        <v>56.894000000000005</v>
      </c>
      <c r="D214" s="19">
        <f>'F Plus CO2'!C1152</f>
        <v>329.38</v>
      </c>
      <c r="E214" s="19">
        <f t="shared" si="10"/>
        <v>-0.16999999999999638</v>
      </c>
      <c r="F214" s="20">
        <f t="shared" si="11"/>
        <v>0.2343261299073639</v>
      </c>
    </row>
    <row r="215" spans="1:6" ht="15" customHeight="1">
      <c r="A215" s="18" t="str">
        <f>'F Plus CO2'!A1153</f>
        <v>12/1975</v>
      </c>
      <c r="B215" s="19">
        <f t="shared" si="9"/>
        <v>1975.9583333333333</v>
      </c>
      <c r="C215" s="20">
        <f>'F Plus CO2'!B1153</f>
        <v>56.894000000000005</v>
      </c>
      <c r="D215" s="19">
        <f>'F Plus CO2'!C1153</f>
        <v>330.77</v>
      </c>
      <c r="E215" s="19">
        <f t="shared" si="10"/>
        <v>-0.16999999999999638</v>
      </c>
      <c r="F215" s="20">
        <f t="shared" si="11"/>
        <v>0.24040156449160882</v>
      </c>
    </row>
    <row r="216" spans="1:6" ht="15" customHeight="1">
      <c r="A216" s="18" t="str">
        <f>'F Plus CO2'!A1154</f>
        <v>1/1976</v>
      </c>
      <c r="B216" s="19">
        <f t="shared" si="9"/>
        <v>1976.0416666666667</v>
      </c>
      <c r="C216" s="20">
        <f>'F Plus CO2'!B1154</f>
        <v>57.146000000000001</v>
      </c>
      <c r="D216" s="19">
        <f>'F Plus CO2'!C1154</f>
        <v>331.56</v>
      </c>
      <c r="E216" s="19">
        <f t="shared" si="10"/>
        <v>-2.9999999999999361E-2</v>
      </c>
      <c r="F216" s="20">
        <f t="shared" si="11"/>
        <v>0.2438431408139568</v>
      </c>
    </row>
    <row r="217" spans="1:6" ht="15" customHeight="1">
      <c r="A217" s="18" t="str">
        <f>'F Plus CO2'!A1155</f>
        <v>2/1976</v>
      </c>
      <c r="B217" s="19">
        <f t="shared" si="9"/>
        <v>1976.125</v>
      </c>
      <c r="C217" s="20">
        <f>'F Plus CO2'!B1155</f>
        <v>57.091999999999999</v>
      </c>
      <c r="D217" s="19">
        <f>'F Plus CO2'!C1155</f>
        <v>332.74</v>
      </c>
      <c r="E217" s="19">
        <f t="shared" si="10"/>
        <v>-6.0000000000000497E-2</v>
      </c>
      <c r="F217" s="20">
        <f t="shared" si="11"/>
        <v>0.24896848158992504</v>
      </c>
    </row>
    <row r="218" spans="1:6" ht="15" customHeight="1">
      <c r="A218" s="18" t="str">
        <f>'F Plus CO2'!A1156</f>
        <v>3/1976</v>
      </c>
      <c r="B218" s="19">
        <f t="shared" si="9"/>
        <v>1976.2083333333333</v>
      </c>
      <c r="C218" s="20">
        <f>'F Plus CO2'!B1156</f>
        <v>56.804000000000002</v>
      </c>
      <c r="D218" s="19">
        <f>'F Plus CO2'!C1156</f>
        <v>333.36</v>
      </c>
      <c r="E218" s="19">
        <f t="shared" si="10"/>
        <v>-0.21999999999999886</v>
      </c>
      <c r="F218" s="20">
        <f t="shared" si="11"/>
        <v>0.25165417798285766</v>
      </c>
    </row>
    <row r="219" spans="1:6" ht="15" customHeight="1">
      <c r="A219" s="18" t="str">
        <f>'F Plus CO2'!A1157</f>
        <v>4/1976</v>
      </c>
      <c r="B219" s="19">
        <f t="shared" si="9"/>
        <v>1976.2916666666667</v>
      </c>
      <c r="C219" s="20">
        <f>'F Plus CO2'!B1157</f>
        <v>57.073999999999998</v>
      </c>
      <c r="D219" s="19">
        <f>'F Plus CO2'!C1157</f>
        <v>334.74</v>
      </c>
      <c r="E219" s="19">
        <f t="shared" si="10"/>
        <v>-7.0000000000000284E-2</v>
      </c>
      <c r="F219" s="20">
        <f t="shared" si="11"/>
        <v>0.25761413004954092</v>
      </c>
    </row>
    <row r="220" spans="1:6" ht="15" customHeight="1">
      <c r="A220" s="18" t="str">
        <f>'F Plus CO2'!A1158</f>
        <v>5/1976</v>
      </c>
      <c r="B220" s="19">
        <f t="shared" si="9"/>
        <v>1976.375</v>
      </c>
      <c r="C220" s="20">
        <f>'F Plus CO2'!B1158</f>
        <v>56.84</v>
      </c>
      <c r="D220" s="19">
        <f>'F Plus CO2'!C1158</f>
        <v>334.72</v>
      </c>
      <c r="E220" s="19">
        <f t="shared" si="10"/>
        <v>-0.19999999999999751</v>
      </c>
      <c r="F220" s="20">
        <f t="shared" si="11"/>
        <v>0.25752792952725034</v>
      </c>
    </row>
    <row r="221" spans="1:6" ht="15" customHeight="1">
      <c r="A221" s="18" t="str">
        <f>'F Plus CO2'!A1159</f>
        <v>6/1976</v>
      </c>
      <c r="B221" s="19">
        <f t="shared" si="9"/>
        <v>1976.4583333333333</v>
      </c>
      <c r="C221" s="20">
        <f>'F Plus CO2'!B1159</f>
        <v>56.984000000000002</v>
      </c>
      <c r="D221" s="19">
        <f>'F Plus CO2'!C1159</f>
        <v>333.97</v>
      </c>
      <c r="E221" s="19">
        <f t="shared" si="10"/>
        <v>-0.11999999999999744</v>
      </c>
      <c r="F221" s="20">
        <f t="shared" si="11"/>
        <v>0.25429168632221816</v>
      </c>
    </row>
    <row r="222" spans="1:6" ht="15" customHeight="1">
      <c r="A222" s="18" t="str">
        <f>'F Plus CO2'!A1160</f>
        <v>7/1976</v>
      </c>
      <c r="B222" s="19">
        <f t="shared" si="9"/>
        <v>1976.5416666666667</v>
      </c>
      <c r="C222" s="20">
        <f>'F Plus CO2'!B1160</f>
        <v>57.019999999999996</v>
      </c>
      <c r="D222" s="19">
        <f>'F Plus CO2'!C1160</f>
        <v>333.08</v>
      </c>
      <c r="E222" s="19">
        <f t="shared" si="10"/>
        <v>-0.10000000000000142</v>
      </c>
      <c r="F222" s="20">
        <f t="shared" si="11"/>
        <v>0.2504419019033377</v>
      </c>
    </row>
    <row r="223" spans="1:6" ht="15" customHeight="1">
      <c r="A223" s="18" t="str">
        <f>'F Plus CO2'!A1161</f>
        <v>8/1976</v>
      </c>
      <c r="B223" s="19">
        <f t="shared" si="9"/>
        <v>1976.625</v>
      </c>
      <c r="C223" s="20">
        <f>'F Plus CO2'!B1161</f>
        <v>56.984000000000002</v>
      </c>
      <c r="D223" s="19">
        <f>'F Plus CO2'!C1161</f>
        <v>330.68</v>
      </c>
      <c r="E223" s="19">
        <f t="shared" si="10"/>
        <v>-0.11999999999999744</v>
      </c>
      <c r="F223" s="20">
        <f t="shared" si="11"/>
        <v>0.24000896473507025</v>
      </c>
    </row>
    <row r="224" spans="1:6" ht="15" customHeight="1">
      <c r="A224" s="18" t="str">
        <f>'F Plus CO2'!A1162</f>
        <v>9/1976</v>
      </c>
      <c r="B224" s="19">
        <f t="shared" si="9"/>
        <v>1976.7083333333333</v>
      </c>
      <c r="C224" s="20">
        <f>'F Plus CO2'!B1162</f>
        <v>57.091999999999999</v>
      </c>
      <c r="D224" s="19">
        <f>'F Plus CO2'!C1162</f>
        <v>328.96</v>
      </c>
      <c r="E224" s="19">
        <f t="shared" si="10"/>
        <v>-6.0000000000000497E-2</v>
      </c>
      <c r="F224" s="20">
        <f t="shared" si="11"/>
        <v>0.23248534247418692</v>
      </c>
    </row>
    <row r="225" spans="1:6" ht="15" customHeight="1">
      <c r="A225" s="18" t="str">
        <f>'F Plus CO2'!A1163</f>
        <v>10/1976</v>
      </c>
      <c r="B225" s="19">
        <f t="shared" si="9"/>
        <v>1976.7916666666667</v>
      </c>
      <c r="C225" s="20">
        <f>'F Plus CO2'!B1163</f>
        <v>56.768000000000001</v>
      </c>
      <c r="D225" s="19">
        <f>'F Plus CO2'!C1163</f>
        <v>328.72</v>
      </c>
      <c r="E225" s="19">
        <f t="shared" si="10"/>
        <v>-0.24000000000000021</v>
      </c>
      <c r="F225" s="20">
        <f t="shared" si="11"/>
        <v>0.23143240844796537</v>
      </c>
    </row>
    <row r="226" spans="1:6" ht="15" customHeight="1">
      <c r="A226" s="18" t="str">
        <f>'F Plus CO2'!A1164</f>
        <v>11/1976</v>
      </c>
      <c r="B226" s="19">
        <f t="shared" si="9"/>
        <v>1976.875</v>
      </c>
      <c r="C226" s="20">
        <f>'F Plus CO2'!B1164</f>
        <v>57.091999999999999</v>
      </c>
      <c r="D226" s="19">
        <f>'F Plus CO2'!C1164</f>
        <v>330.16</v>
      </c>
      <c r="E226" s="19">
        <f t="shared" si="10"/>
        <v>-6.0000000000000497E-2</v>
      </c>
      <c r="F226" s="20">
        <f t="shared" si="11"/>
        <v>0.23773851628734363</v>
      </c>
    </row>
    <row r="227" spans="1:6" ht="15" customHeight="1">
      <c r="A227" s="18" t="str">
        <f>'F Plus CO2'!A1165</f>
        <v>12/1976</v>
      </c>
      <c r="B227" s="19">
        <f t="shared" si="9"/>
        <v>1976.9583333333333</v>
      </c>
      <c r="C227" s="20">
        <f>'F Plus CO2'!B1165</f>
        <v>57.397999999999996</v>
      </c>
      <c r="D227" s="19">
        <f>'F Plus CO2'!C1165</f>
        <v>331.62</v>
      </c>
      <c r="E227" s="19">
        <f t="shared" si="10"/>
        <v>0.10999999999999766</v>
      </c>
      <c r="F227" s="20">
        <f t="shared" si="11"/>
        <v>0.24410419121562613</v>
      </c>
    </row>
    <row r="228" spans="1:6" ht="15" customHeight="1">
      <c r="A228" s="18" t="str">
        <f>'F Plus CO2'!A1166</f>
        <v>1/1977</v>
      </c>
      <c r="B228" s="19">
        <f t="shared" si="9"/>
        <v>1977.0416666666667</v>
      </c>
      <c r="C228" s="20">
        <f>'F Plus CO2'!B1166</f>
        <v>57.542000000000002</v>
      </c>
      <c r="D228" s="19">
        <f>'F Plus CO2'!C1166</f>
        <v>332.68</v>
      </c>
      <c r="E228" s="19">
        <f t="shared" si="10"/>
        <v>0.19000000000000128</v>
      </c>
      <c r="F228" s="20">
        <f t="shared" si="11"/>
        <v>0.248708309960915</v>
      </c>
    </row>
    <row r="229" spans="1:6" ht="15" customHeight="1">
      <c r="A229" s="18" t="str">
        <f>'F Plus CO2'!A1167</f>
        <v>2/1977</v>
      </c>
      <c r="B229" s="19">
        <f t="shared" si="9"/>
        <v>1977.125</v>
      </c>
      <c r="C229" s="20">
        <f>'F Plus CO2'!B1167</f>
        <v>57.614000000000004</v>
      </c>
      <c r="D229" s="19">
        <f>'F Plus CO2'!C1167</f>
        <v>333.17</v>
      </c>
      <c r="E229" s="19">
        <f t="shared" si="10"/>
        <v>0.2300000000000022</v>
      </c>
      <c r="F229" s="20">
        <f t="shared" si="11"/>
        <v>0.25083167317379135</v>
      </c>
    </row>
    <row r="230" spans="1:6" ht="15" customHeight="1">
      <c r="A230" s="18" t="str">
        <f>'F Plus CO2'!A1168</f>
        <v>3/1977</v>
      </c>
      <c r="B230" s="19">
        <f t="shared" si="9"/>
        <v>1977.2083333333333</v>
      </c>
      <c r="C230" s="20">
        <f>'F Plus CO2'!B1168</f>
        <v>57.632000000000005</v>
      </c>
      <c r="D230" s="19">
        <f>'F Plus CO2'!C1168</f>
        <v>334.96</v>
      </c>
      <c r="E230" s="19">
        <f t="shared" si="10"/>
        <v>0.24000000000000199</v>
      </c>
      <c r="F230" s="20">
        <f t="shared" si="11"/>
        <v>0.25856199602061081</v>
      </c>
    </row>
    <row r="231" spans="1:6" ht="15" customHeight="1">
      <c r="A231" s="18" t="str">
        <f>'F Plus CO2'!A1169</f>
        <v>4/1977</v>
      </c>
      <c r="B231" s="19">
        <f t="shared" si="9"/>
        <v>1977.2916666666667</v>
      </c>
      <c r="C231" s="20">
        <f>'F Plus CO2'!B1169</f>
        <v>57.667999999999999</v>
      </c>
      <c r="D231" s="19">
        <f>'F Plus CO2'!C1169</f>
        <v>336.14</v>
      </c>
      <c r="E231" s="19">
        <f t="shared" si="10"/>
        <v>0.25999999999999979</v>
      </c>
      <c r="F231" s="20">
        <f t="shared" si="11"/>
        <v>0.26363540356832926</v>
      </c>
    </row>
    <row r="232" spans="1:6" ht="15" customHeight="1">
      <c r="A232" s="18" t="str">
        <f>'F Plus CO2'!A1170</f>
        <v>5/1977</v>
      </c>
      <c r="B232" s="19">
        <f t="shared" si="9"/>
        <v>1977.375</v>
      </c>
      <c r="C232" s="20">
        <f>'F Plus CO2'!B1170</f>
        <v>57.793999999999997</v>
      </c>
      <c r="D232" s="19">
        <f>'F Plus CO2'!C1170</f>
        <v>336.93</v>
      </c>
      <c r="E232" s="19">
        <f t="shared" si="10"/>
        <v>0.32999999999999652</v>
      </c>
      <c r="F232" s="20">
        <f t="shared" si="11"/>
        <v>0.26702206351656388</v>
      </c>
    </row>
    <row r="233" spans="1:6" ht="15" customHeight="1">
      <c r="A233" s="18" t="str">
        <f>'F Plus CO2'!A1171</f>
        <v>6/1977</v>
      </c>
      <c r="B233" s="19">
        <f t="shared" si="9"/>
        <v>1977.4583333333333</v>
      </c>
      <c r="C233" s="20">
        <f>'F Plus CO2'!B1171</f>
        <v>57.686</v>
      </c>
      <c r="D233" s="19">
        <f>'F Plus CO2'!C1171</f>
        <v>336.17</v>
      </c>
      <c r="E233" s="19">
        <f t="shared" si="10"/>
        <v>0.27000000000000135</v>
      </c>
      <c r="F233" s="20">
        <f t="shared" si="11"/>
        <v>0.26376415623080784</v>
      </c>
    </row>
    <row r="234" spans="1:6" ht="15" customHeight="1">
      <c r="A234" s="18" t="str">
        <f>'F Plus CO2'!A1172</f>
        <v>7/1977</v>
      </c>
      <c r="B234" s="19">
        <f t="shared" si="9"/>
        <v>1977.5416666666667</v>
      </c>
      <c r="C234" s="20">
        <f>'F Plus CO2'!B1172</f>
        <v>57.56</v>
      </c>
      <c r="D234" s="19">
        <f>'F Plus CO2'!C1172</f>
        <v>334.89</v>
      </c>
      <c r="E234" s="19">
        <f t="shared" si="10"/>
        <v>0.20000000000000107</v>
      </c>
      <c r="F234" s="20">
        <f t="shared" si="11"/>
        <v>0.25826046984839379</v>
      </c>
    </row>
    <row r="235" spans="1:6" ht="15" customHeight="1">
      <c r="A235" s="18" t="str">
        <f>'F Plus CO2'!A1173</f>
        <v>8/1977</v>
      </c>
      <c r="B235" s="19">
        <f t="shared" si="9"/>
        <v>1977.625</v>
      </c>
      <c r="C235" s="20">
        <f>'F Plus CO2'!B1173</f>
        <v>57.524000000000001</v>
      </c>
      <c r="D235" s="19">
        <f>'F Plus CO2'!C1173</f>
        <v>332.56</v>
      </c>
      <c r="E235" s="19">
        <f t="shared" si="10"/>
        <v>0.17999999999999972</v>
      </c>
      <c r="F235" s="20">
        <f t="shared" si="11"/>
        <v>0.2481878259046813</v>
      </c>
    </row>
    <row r="236" spans="1:6" ht="15" customHeight="1">
      <c r="A236" s="18" t="str">
        <f>'F Plus CO2'!A1174</f>
        <v>9/1977</v>
      </c>
      <c r="B236" s="19">
        <f t="shared" si="9"/>
        <v>1977.7083333333333</v>
      </c>
      <c r="C236" s="20">
        <f>'F Plus CO2'!B1174</f>
        <v>57.236000000000004</v>
      </c>
      <c r="D236" s="19">
        <f>'F Plus CO2'!C1174</f>
        <v>331.29</v>
      </c>
      <c r="E236" s="19">
        <f t="shared" si="10"/>
        <v>2.0000000000003126E-2</v>
      </c>
      <c r="F236" s="20">
        <f t="shared" si="11"/>
        <v>0.24266782910668239</v>
      </c>
    </row>
    <row r="237" spans="1:6" ht="15" customHeight="1">
      <c r="A237" s="18" t="str">
        <f>'F Plus CO2'!A1175</f>
        <v>10/1977</v>
      </c>
      <c r="B237" s="19">
        <f t="shared" si="9"/>
        <v>1977.7916666666667</v>
      </c>
      <c r="C237" s="20">
        <f>'F Plus CO2'!B1175</f>
        <v>57.253999999999998</v>
      </c>
      <c r="D237" s="19">
        <f>'F Plus CO2'!C1175</f>
        <v>331.28</v>
      </c>
      <c r="E237" s="19">
        <f t="shared" si="10"/>
        <v>2.9999999999997584E-2</v>
      </c>
      <c r="F237" s="20">
        <f t="shared" si="11"/>
        <v>0.24262428065018715</v>
      </c>
    </row>
    <row r="238" spans="1:6" ht="15" customHeight="1">
      <c r="A238" s="18" t="str">
        <f>'F Plus CO2'!A1176</f>
        <v>11/1977</v>
      </c>
      <c r="B238" s="19">
        <f t="shared" si="9"/>
        <v>1977.875</v>
      </c>
      <c r="C238" s="20">
        <f>'F Plus CO2'!B1176</f>
        <v>57.488</v>
      </c>
      <c r="D238" s="19">
        <f>'F Plus CO2'!C1176</f>
        <v>332.46</v>
      </c>
      <c r="E238" s="19">
        <f t="shared" si="10"/>
        <v>0.16000000000000014</v>
      </c>
      <c r="F238" s="20">
        <f t="shared" si="11"/>
        <v>0.24775394570505929</v>
      </c>
    </row>
    <row r="239" spans="1:6" ht="15" customHeight="1">
      <c r="A239" s="18" t="str">
        <f>'F Plus CO2'!A1177</f>
        <v>12/1977</v>
      </c>
      <c r="B239" s="19">
        <f t="shared" si="9"/>
        <v>1977.9583333333333</v>
      </c>
      <c r="C239" s="20">
        <f>'F Plus CO2'!B1177</f>
        <v>57.253999999999998</v>
      </c>
      <c r="D239" s="19">
        <f>'F Plus CO2'!C1177</f>
        <v>333.6</v>
      </c>
      <c r="E239" s="19">
        <f t="shared" si="10"/>
        <v>2.9999999999997584E-2</v>
      </c>
      <c r="F239" s="20">
        <f t="shared" si="11"/>
        <v>0.25269246161233488</v>
      </c>
    </row>
    <row r="240" spans="1:6" ht="15" customHeight="1">
      <c r="A240" s="18" t="str">
        <f>'F Plus CO2'!A1178</f>
        <v>1/1978</v>
      </c>
      <c r="B240" s="19">
        <f t="shared" si="9"/>
        <v>1978.0416666666667</v>
      </c>
      <c r="C240" s="20">
        <f>'F Plus CO2'!B1178</f>
        <v>57.308</v>
      </c>
      <c r="D240" s="19">
        <f>'F Plus CO2'!C1178</f>
        <v>334.94</v>
      </c>
      <c r="E240" s="19">
        <f t="shared" si="10"/>
        <v>5.9999999999998721E-2</v>
      </c>
      <c r="F240" s="20">
        <f t="shared" si="11"/>
        <v>0.25847585211606888</v>
      </c>
    </row>
    <row r="241" spans="1:6" ht="15" customHeight="1">
      <c r="A241" s="18" t="str">
        <f>'F Plus CO2'!A1179</f>
        <v>2/1978</v>
      </c>
      <c r="B241" s="19">
        <f t="shared" si="9"/>
        <v>1978.125</v>
      </c>
      <c r="C241" s="20">
        <f>'F Plus CO2'!B1179</f>
        <v>57.379999999999995</v>
      </c>
      <c r="D241" s="19">
        <f>'F Plus CO2'!C1179</f>
        <v>335.26</v>
      </c>
      <c r="E241" s="19">
        <f t="shared" si="10"/>
        <v>9.9999999999997868E-2</v>
      </c>
      <c r="F241" s="20">
        <f t="shared" si="11"/>
        <v>0.25985353772683362</v>
      </c>
    </row>
    <row r="242" spans="1:6" ht="15" customHeight="1">
      <c r="A242" s="18" t="str">
        <f>'F Plus CO2'!A1180</f>
        <v>3/1978</v>
      </c>
      <c r="B242" s="19">
        <f t="shared" si="9"/>
        <v>1978.2083333333333</v>
      </c>
      <c r="C242" s="20">
        <f>'F Plus CO2'!B1180</f>
        <v>57.542000000000002</v>
      </c>
      <c r="D242" s="19">
        <f>'F Plus CO2'!C1180</f>
        <v>336.66</v>
      </c>
      <c r="E242" s="19">
        <f t="shared" si="10"/>
        <v>0.19000000000000128</v>
      </c>
      <c r="F242" s="20">
        <f t="shared" si="11"/>
        <v>0.26586549147154565</v>
      </c>
    </row>
    <row r="243" spans="1:6" ht="15" customHeight="1">
      <c r="A243" s="18" t="str">
        <f>'F Plus CO2'!A1181</f>
        <v>4/1978</v>
      </c>
      <c r="B243" s="19">
        <f t="shared" si="9"/>
        <v>1978.2916666666667</v>
      </c>
      <c r="C243" s="20">
        <f>'F Plus CO2'!B1181</f>
        <v>57.506</v>
      </c>
      <c r="D243" s="19">
        <f>'F Plus CO2'!C1181</f>
        <v>337.69</v>
      </c>
      <c r="E243" s="19">
        <f t="shared" si="10"/>
        <v>0.16999999999999993</v>
      </c>
      <c r="F243" s="20">
        <f t="shared" si="11"/>
        <v>0.27027263033914217</v>
      </c>
    </row>
    <row r="244" spans="1:6" ht="15" customHeight="1">
      <c r="A244" s="18" t="str">
        <f>'F Plus CO2'!A1182</f>
        <v>5/1978</v>
      </c>
      <c r="B244" s="19">
        <f t="shared" si="9"/>
        <v>1978.375</v>
      </c>
      <c r="C244" s="20">
        <f>'F Plus CO2'!B1182</f>
        <v>57.362000000000002</v>
      </c>
      <c r="D244" s="19">
        <f>'F Plus CO2'!C1182</f>
        <v>338.02</v>
      </c>
      <c r="E244" s="19">
        <f t="shared" si="10"/>
        <v>8.9999999999999858E-2</v>
      </c>
      <c r="F244" s="20">
        <f t="shared" si="11"/>
        <v>0.27168178338214594</v>
      </c>
    </row>
    <row r="245" spans="1:6" ht="15" customHeight="1">
      <c r="A245" s="18" t="str">
        <f>'F Plus CO2'!A1183</f>
        <v>6/1978</v>
      </c>
      <c r="B245" s="19">
        <f t="shared" si="9"/>
        <v>1978.4583333333333</v>
      </c>
      <c r="C245" s="20">
        <f>'F Plus CO2'!B1183</f>
        <v>57.182000000000002</v>
      </c>
      <c r="D245" s="19">
        <f>'F Plus CO2'!C1183</f>
        <v>338.01</v>
      </c>
      <c r="E245" s="19">
        <f t="shared" si="10"/>
        <v>-9.9999999999980105E-3</v>
      </c>
      <c r="F245" s="20">
        <f t="shared" si="11"/>
        <v>0.27163910199105418</v>
      </c>
    </row>
    <row r="246" spans="1:6" ht="15" customHeight="1">
      <c r="A246" s="18" t="str">
        <f>'F Plus CO2'!A1184</f>
        <v>7/1978</v>
      </c>
      <c r="B246" s="19">
        <f t="shared" si="9"/>
        <v>1978.5416666666667</v>
      </c>
      <c r="C246" s="20">
        <f>'F Plus CO2'!B1184</f>
        <v>57.271999999999998</v>
      </c>
      <c r="D246" s="19">
        <f>'F Plus CO2'!C1184</f>
        <v>336.5</v>
      </c>
      <c r="E246" s="19">
        <f t="shared" si="10"/>
        <v>3.9999999999999147E-2</v>
      </c>
      <c r="F246" s="20">
        <f t="shared" si="11"/>
        <v>0.26517967766535055</v>
      </c>
    </row>
    <row r="247" spans="1:6" ht="15" customHeight="1">
      <c r="A247" s="18" t="str">
        <f>'F Plus CO2'!A1185</f>
        <v>8/1978</v>
      </c>
      <c r="B247" s="19">
        <f t="shared" si="9"/>
        <v>1978.625</v>
      </c>
      <c r="C247" s="20">
        <f>'F Plus CO2'!B1185</f>
        <v>56.948</v>
      </c>
      <c r="D247" s="19">
        <f>'F Plus CO2'!C1185</f>
        <v>334.42</v>
      </c>
      <c r="E247" s="19">
        <f t="shared" si="10"/>
        <v>-0.13999999999999879</v>
      </c>
      <c r="F247" s="20">
        <f t="shared" si="11"/>
        <v>0.25623430325691615</v>
      </c>
    </row>
    <row r="248" spans="1:6" ht="15" customHeight="1">
      <c r="A248" s="18" t="str">
        <f>'F Plus CO2'!A1186</f>
        <v>9/1978</v>
      </c>
      <c r="B248" s="19">
        <f t="shared" si="9"/>
        <v>1978.7083333333333</v>
      </c>
      <c r="C248" s="20">
        <f>'F Plus CO2'!B1186</f>
        <v>57.308</v>
      </c>
      <c r="D248" s="19">
        <f>'F Plus CO2'!C1186</f>
        <v>332.36</v>
      </c>
      <c r="E248" s="19">
        <f t="shared" si="10"/>
        <v>5.9999999999998721E-2</v>
      </c>
      <c r="F248" s="20">
        <f t="shared" si="11"/>
        <v>0.24731993497981972</v>
      </c>
    </row>
    <row r="249" spans="1:6" ht="15" customHeight="1">
      <c r="A249" s="18" t="str">
        <f>'F Plus CO2'!A1187</f>
        <v>10/1978</v>
      </c>
      <c r="B249" s="19">
        <f t="shared" si="9"/>
        <v>1978.7916666666667</v>
      </c>
      <c r="C249" s="20">
        <f>'F Plus CO2'!B1187</f>
        <v>57.253999999999998</v>
      </c>
      <c r="D249" s="19">
        <f>'F Plus CO2'!C1187</f>
        <v>332.45</v>
      </c>
      <c r="E249" s="19">
        <f t="shared" si="10"/>
        <v>2.9999999999997584E-2</v>
      </c>
      <c r="F249" s="20">
        <f t="shared" si="11"/>
        <v>0.24771055050748395</v>
      </c>
    </row>
    <row r="250" spans="1:6" ht="15" customHeight="1">
      <c r="A250" s="18" t="str">
        <f>'F Plus CO2'!A1188</f>
        <v>11/1978</v>
      </c>
      <c r="B250" s="19">
        <f t="shared" si="9"/>
        <v>1978.875</v>
      </c>
      <c r="C250" s="20">
        <f>'F Plus CO2'!B1188</f>
        <v>57.433999999999997</v>
      </c>
      <c r="D250" s="19">
        <f>'F Plus CO2'!C1188</f>
        <v>333.76</v>
      </c>
      <c r="E250" s="19">
        <f t="shared" si="10"/>
        <v>0.12999999999999901</v>
      </c>
      <c r="F250" s="20">
        <f t="shared" si="11"/>
        <v>0.25338423580007446</v>
      </c>
    </row>
    <row r="251" spans="1:6" ht="15" customHeight="1">
      <c r="A251" s="18" t="str">
        <f>'F Plus CO2'!A1189</f>
        <v>12/1978</v>
      </c>
      <c r="B251" s="19">
        <f t="shared" si="9"/>
        <v>1978.9583333333333</v>
      </c>
      <c r="C251" s="20">
        <f>'F Plus CO2'!B1189</f>
        <v>57.344000000000001</v>
      </c>
      <c r="D251" s="19">
        <f>'F Plus CO2'!C1189</f>
        <v>334.91</v>
      </c>
      <c r="E251" s="19">
        <f t="shared" si="10"/>
        <v>8.0000000000000071E-2</v>
      </c>
      <c r="F251" s="20">
        <f t="shared" si="11"/>
        <v>0.25834662661407437</v>
      </c>
    </row>
    <row r="252" spans="1:6" ht="15" customHeight="1">
      <c r="A252" s="18" t="str">
        <f>'F Plus CO2'!A1190</f>
        <v>1/1979</v>
      </c>
      <c r="B252" s="19">
        <f t="shared" si="9"/>
        <v>1979.0416666666667</v>
      </c>
      <c r="C252" s="20">
        <f>'F Plus CO2'!B1190</f>
        <v>57.362000000000002</v>
      </c>
      <c r="D252" s="19">
        <f>'F Plus CO2'!C1190</f>
        <v>336.14</v>
      </c>
      <c r="E252" s="19">
        <f t="shared" si="10"/>
        <v>8.9999999999999858E-2</v>
      </c>
      <c r="F252" s="20">
        <f t="shared" si="11"/>
        <v>0.26363540356832926</v>
      </c>
    </row>
    <row r="253" spans="1:6" ht="15" customHeight="1">
      <c r="A253" s="18" t="str">
        <f>'F Plus CO2'!A1191</f>
        <v>2/1979</v>
      </c>
      <c r="B253" s="19">
        <f t="shared" si="9"/>
        <v>1979.125</v>
      </c>
      <c r="C253" s="20">
        <f>'F Plus CO2'!B1191</f>
        <v>57.019999999999996</v>
      </c>
      <c r="D253" s="19">
        <f>'F Plus CO2'!C1191</f>
        <v>336.69</v>
      </c>
      <c r="E253" s="19">
        <f t="shared" si="10"/>
        <v>-0.10000000000000142</v>
      </c>
      <c r="F253" s="20">
        <f t="shared" si="11"/>
        <v>0.2659940452734475</v>
      </c>
    </row>
    <row r="254" spans="1:6" ht="15" customHeight="1">
      <c r="A254" s="18" t="str">
        <f>'F Plus CO2'!A1192</f>
        <v>3/1979</v>
      </c>
      <c r="B254" s="19">
        <f t="shared" si="9"/>
        <v>1979.2083333333333</v>
      </c>
      <c r="C254" s="20">
        <f>'F Plus CO2'!B1192</f>
        <v>57.542000000000002</v>
      </c>
      <c r="D254" s="19">
        <f>'F Plus CO2'!C1192</f>
        <v>338.27</v>
      </c>
      <c r="E254" s="19">
        <f t="shared" si="10"/>
        <v>0.19000000000000128</v>
      </c>
      <c r="F254" s="20">
        <f t="shared" si="11"/>
        <v>0.27274840798594358</v>
      </c>
    </row>
    <row r="255" spans="1:6" ht="15" customHeight="1">
      <c r="A255" s="18" t="str">
        <f>'F Plus CO2'!A1193</f>
        <v>4/1979</v>
      </c>
      <c r="B255" s="19">
        <f t="shared" si="9"/>
        <v>1979.2916666666667</v>
      </c>
      <c r="C255" s="20">
        <f>'F Plus CO2'!B1193</f>
        <v>57.47</v>
      </c>
      <c r="D255" s="19">
        <f>'F Plus CO2'!C1193</f>
        <v>338.82</v>
      </c>
      <c r="E255" s="19">
        <f t="shared" si="10"/>
        <v>0.14999999999999858</v>
      </c>
      <c r="F255" s="20">
        <f t="shared" si="11"/>
        <v>0.27509220998275441</v>
      </c>
    </row>
    <row r="256" spans="1:6" ht="15" customHeight="1">
      <c r="A256" s="18" t="str">
        <f>'F Plus CO2'!A1194</f>
        <v>5/1979</v>
      </c>
      <c r="B256" s="19">
        <f t="shared" si="9"/>
        <v>1979.375</v>
      </c>
      <c r="C256" s="20">
        <f>'F Plus CO2'!B1194</f>
        <v>57.253999999999998</v>
      </c>
      <c r="D256" s="19">
        <f>'F Plus CO2'!C1194</f>
        <v>339.24</v>
      </c>
      <c r="E256" s="19">
        <f t="shared" si="10"/>
        <v>2.9999999999997584E-2</v>
      </c>
      <c r="F256" s="20">
        <f t="shared" si="11"/>
        <v>0.27687946183264034</v>
      </c>
    </row>
    <row r="257" spans="1:6" ht="15" customHeight="1">
      <c r="A257" s="18" t="str">
        <f>'F Plus CO2'!A1195</f>
        <v>6/1979</v>
      </c>
      <c r="B257" s="19">
        <f t="shared" si="9"/>
        <v>1979.4583333333333</v>
      </c>
      <c r="C257" s="20">
        <f>'F Plus CO2'!B1195</f>
        <v>57.451999999999998</v>
      </c>
      <c r="D257" s="19">
        <f>'F Plus CO2'!C1195</f>
        <v>339.26</v>
      </c>
      <c r="E257" s="19">
        <f t="shared" si="10"/>
        <v>0.13999999999999879</v>
      </c>
      <c r="F257" s="20">
        <f t="shared" si="11"/>
        <v>0.27696451386160453</v>
      </c>
    </row>
    <row r="258" spans="1:6" ht="15" customHeight="1">
      <c r="A258" s="18" t="str">
        <f>'F Plus CO2'!A1196</f>
        <v>7/1979</v>
      </c>
      <c r="B258" s="19">
        <f t="shared" ref="B258:B321" si="12">VALUE(RIGHT(A258,4))+(VALUE(LEFT(A258,FIND("/",A258)-1))-0.5)/12</f>
        <v>1979.5416666666667</v>
      </c>
      <c r="C258" s="20">
        <f>'F Plus CO2'!B1196</f>
        <v>57.271999999999998</v>
      </c>
      <c r="D258" s="19">
        <f>'F Plus CO2'!C1196</f>
        <v>337.54</v>
      </c>
      <c r="E258" s="19">
        <f t="shared" ref="E258:E321" si="13">(C258-32)*5/9-$I$3</f>
        <v>3.9999999999999147E-2</v>
      </c>
      <c r="F258" s="20">
        <f t="shared" ref="F258:F321" si="14">LOG(D258/$I$4,2)</f>
        <v>0.26963165094043912</v>
      </c>
    </row>
    <row r="259" spans="1:6" ht="15" customHeight="1">
      <c r="A259" s="18" t="str">
        <f>'F Plus CO2'!A1197</f>
        <v>8/1979</v>
      </c>
      <c r="B259" s="19">
        <f t="shared" si="12"/>
        <v>1979.625</v>
      </c>
      <c r="C259" s="20">
        <f>'F Plus CO2'!B1197</f>
        <v>57.506</v>
      </c>
      <c r="D259" s="19">
        <f>'F Plus CO2'!C1197</f>
        <v>335.72</v>
      </c>
      <c r="E259" s="19">
        <f t="shared" si="13"/>
        <v>0.16999999999999993</v>
      </c>
      <c r="F259" s="20">
        <f t="shared" si="14"/>
        <v>0.26183165875213665</v>
      </c>
    </row>
    <row r="260" spans="1:6" ht="15" customHeight="1">
      <c r="A260" s="18" t="str">
        <f>'F Plus CO2'!A1198</f>
        <v>9/1979</v>
      </c>
      <c r="B260" s="19">
        <f t="shared" si="12"/>
        <v>1979.7083333333333</v>
      </c>
      <c r="C260" s="20">
        <f>'F Plus CO2'!B1198</f>
        <v>57.650000000000006</v>
      </c>
      <c r="D260" s="19">
        <f>'F Plus CO2'!C1198</f>
        <v>333.97</v>
      </c>
      <c r="E260" s="19">
        <f t="shared" si="13"/>
        <v>0.25000000000000355</v>
      </c>
      <c r="F260" s="20">
        <f t="shared" si="14"/>
        <v>0.25429168632221816</v>
      </c>
    </row>
    <row r="261" spans="1:6" ht="15" customHeight="1">
      <c r="A261" s="18" t="str">
        <f>'F Plus CO2'!A1199</f>
        <v>10/1979</v>
      </c>
      <c r="B261" s="19">
        <f t="shared" si="12"/>
        <v>1979.7916666666667</v>
      </c>
      <c r="C261" s="20">
        <f>'F Plus CO2'!B1199</f>
        <v>57.667999999999999</v>
      </c>
      <c r="D261" s="19">
        <f>'F Plus CO2'!C1199</f>
        <v>334.24</v>
      </c>
      <c r="E261" s="19">
        <f t="shared" si="13"/>
        <v>0.25999999999999979</v>
      </c>
      <c r="F261" s="20">
        <f t="shared" si="14"/>
        <v>0.25545757034741712</v>
      </c>
    </row>
    <row r="262" spans="1:6" ht="15" customHeight="1">
      <c r="A262" s="18" t="str">
        <f>'F Plus CO2'!A1200</f>
        <v>11/1979</v>
      </c>
      <c r="B262" s="19">
        <f t="shared" si="12"/>
        <v>1979.875</v>
      </c>
      <c r="C262" s="20">
        <f>'F Plus CO2'!B1200</f>
        <v>57.704000000000001</v>
      </c>
      <c r="D262" s="19">
        <f>'F Plus CO2'!C1200</f>
        <v>335.32</v>
      </c>
      <c r="E262" s="19">
        <f t="shared" si="13"/>
        <v>0.28000000000000114</v>
      </c>
      <c r="F262" s="20">
        <f t="shared" si="14"/>
        <v>0.26011170737902828</v>
      </c>
    </row>
    <row r="263" spans="1:6" ht="15" customHeight="1">
      <c r="A263" s="18" t="str">
        <f>'F Plus CO2'!A1201</f>
        <v>12/1979</v>
      </c>
      <c r="B263" s="19">
        <f t="shared" si="12"/>
        <v>1979.9583333333333</v>
      </c>
      <c r="C263" s="20">
        <f>'F Plus CO2'!B1201</f>
        <v>58.046000000000006</v>
      </c>
      <c r="D263" s="19">
        <f>'F Plus CO2'!C1201</f>
        <v>336.81</v>
      </c>
      <c r="E263" s="19">
        <f t="shared" si="13"/>
        <v>0.47000000000000242</v>
      </c>
      <c r="F263" s="20">
        <f t="shared" si="14"/>
        <v>0.26650814596160988</v>
      </c>
    </row>
    <row r="264" spans="1:6" ht="15" customHeight="1">
      <c r="A264" s="18" t="str">
        <f>'F Plus CO2'!A1202</f>
        <v>1/1980</v>
      </c>
      <c r="B264" s="19">
        <f t="shared" si="12"/>
        <v>1980.0416666666667</v>
      </c>
      <c r="C264" s="20">
        <f>'F Plus CO2'!B1202</f>
        <v>57.74</v>
      </c>
      <c r="D264" s="19">
        <f>'F Plus CO2'!C1202</f>
        <v>337.9</v>
      </c>
      <c r="E264" s="19">
        <f t="shared" si="13"/>
        <v>0.30000000000000249</v>
      </c>
      <c r="F264" s="20">
        <f t="shared" si="14"/>
        <v>0.2711695233314726</v>
      </c>
    </row>
    <row r="265" spans="1:6" ht="15" customHeight="1">
      <c r="A265" s="18" t="str">
        <f>'F Plus CO2'!A1203</f>
        <v>2/1980</v>
      </c>
      <c r="B265" s="19">
        <f t="shared" si="12"/>
        <v>1980.125</v>
      </c>
      <c r="C265" s="20">
        <f>'F Plus CO2'!B1203</f>
        <v>57.902000000000001</v>
      </c>
      <c r="D265" s="19">
        <f>'F Plus CO2'!C1203</f>
        <v>338.34</v>
      </c>
      <c r="E265" s="19">
        <f t="shared" si="13"/>
        <v>0.38999999999999879</v>
      </c>
      <c r="F265" s="20">
        <f t="shared" si="14"/>
        <v>0.27304692161483607</v>
      </c>
    </row>
    <row r="266" spans="1:6" ht="15" customHeight="1">
      <c r="A266" s="18" t="str">
        <f>'F Plus CO2'!A1204</f>
        <v>3/1980</v>
      </c>
      <c r="B266" s="19">
        <f t="shared" si="12"/>
        <v>1980.2083333333333</v>
      </c>
      <c r="C266" s="20">
        <f>'F Plus CO2'!B1204</f>
        <v>57.721999999999994</v>
      </c>
      <c r="D266" s="19">
        <f>'F Plus CO2'!C1204</f>
        <v>340.07</v>
      </c>
      <c r="E266" s="19">
        <f t="shared" si="13"/>
        <v>0.28999999999999559</v>
      </c>
      <c r="F266" s="20">
        <f t="shared" si="14"/>
        <v>0.28040491407037693</v>
      </c>
    </row>
    <row r="267" spans="1:6" ht="15" customHeight="1">
      <c r="A267" s="18" t="str">
        <f>'F Plus CO2'!A1205</f>
        <v>4/1980</v>
      </c>
      <c r="B267" s="19">
        <f t="shared" si="12"/>
        <v>1980.2916666666667</v>
      </c>
      <c r="C267" s="20">
        <f>'F Plus CO2'!B1205</f>
        <v>57.74</v>
      </c>
      <c r="D267" s="19">
        <f>'F Plus CO2'!C1205</f>
        <v>340.93</v>
      </c>
      <c r="E267" s="19">
        <f t="shared" si="13"/>
        <v>0.30000000000000249</v>
      </c>
      <c r="F267" s="20">
        <f t="shared" si="14"/>
        <v>0.28404872727074498</v>
      </c>
    </row>
    <row r="268" spans="1:6" ht="15" customHeight="1">
      <c r="A268" s="18" t="str">
        <f>'F Plus CO2'!A1206</f>
        <v>5/1980</v>
      </c>
      <c r="B268" s="19">
        <f t="shared" si="12"/>
        <v>1980.375</v>
      </c>
      <c r="C268" s="20">
        <f>'F Plus CO2'!B1206</f>
        <v>57.83</v>
      </c>
      <c r="D268" s="19">
        <f>'F Plus CO2'!C1206</f>
        <v>341.45</v>
      </c>
      <c r="E268" s="19">
        <f t="shared" si="13"/>
        <v>0.34999999999999787</v>
      </c>
      <c r="F268" s="20">
        <f t="shared" si="14"/>
        <v>0.28624750673812982</v>
      </c>
    </row>
    <row r="269" spans="1:6" ht="15" customHeight="1">
      <c r="A269" s="18" t="str">
        <f>'F Plus CO2'!A1207</f>
        <v>6/1980</v>
      </c>
      <c r="B269" s="19">
        <f t="shared" si="12"/>
        <v>1980.4583333333333</v>
      </c>
      <c r="C269" s="20">
        <f>'F Plus CO2'!B1207</f>
        <v>57.56</v>
      </c>
      <c r="D269" s="19">
        <f>'F Plus CO2'!C1207</f>
        <v>341.36</v>
      </c>
      <c r="E269" s="19">
        <f t="shared" si="13"/>
        <v>0.20000000000000107</v>
      </c>
      <c r="F269" s="20">
        <f t="shared" si="14"/>
        <v>0.28586718848142018</v>
      </c>
    </row>
    <row r="270" spans="1:6" ht="15" customHeight="1">
      <c r="A270" s="18" t="str">
        <f>'F Plus CO2'!A1208</f>
        <v>7/1980</v>
      </c>
      <c r="B270" s="19">
        <f t="shared" si="12"/>
        <v>1980.5416666666667</v>
      </c>
      <c r="C270" s="20">
        <f>'F Plus CO2'!B1208</f>
        <v>57.596000000000004</v>
      </c>
      <c r="D270" s="19">
        <f>'F Plus CO2'!C1208</f>
        <v>339.45</v>
      </c>
      <c r="E270" s="19">
        <f t="shared" si="13"/>
        <v>0.22000000000000242</v>
      </c>
      <c r="F270" s="20">
        <f t="shared" si="14"/>
        <v>0.27777225815571982</v>
      </c>
    </row>
    <row r="271" spans="1:6" ht="15" customHeight="1">
      <c r="A271" s="18" t="str">
        <f>'F Plus CO2'!A1209</f>
        <v>8/1980</v>
      </c>
      <c r="B271" s="19">
        <f t="shared" si="12"/>
        <v>1980.625</v>
      </c>
      <c r="C271" s="20">
        <f>'F Plus CO2'!B1209</f>
        <v>57.524000000000001</v>
      </c>
      <c r="D271" s="19">
        <f>'F Plus CO2'!C1209</f>
        <v>337.67</v>
      </c>
      <c r="E271" s="19">
        <f t="shared" si="13"/>
        <v>0.17999999999999972</v>
      </c>
      <c r="F271" s="20">
        <f t="shared" si="14"/>
        <v>0.2701871828716399</v>
      </c>
    </row>
    <row r="272" spans="1:6" ht="15" customHeight="1">
      <c r="A272" s="18" t="str">
        <f>'F Plus CO2'!A1210</f>
        <v>9/1980</v>
      </c>
      <c r="B272" s="19">
        <f t="shared" si="12"/>
        <v>1980.7083333333333</v>
      </c>
      <c r="C272" s="20">
        <f>'F Plus CO2'!B1210</f>
        <v>57.56</v>
      </c>
      <c r="D272" s="19">
        <f>'F Plus CO2'!C1210</f>
        <v>336.25</v>
      </c>
      <c r="E272" s="19">
        <f t="shared" si="13"/>
        <v>0.20000000000000107</v>
      </c>
      <c r="F272" s="20">
        <f t="shared" si="14"/>
        <v>0.26410744049902013</v>
      </c>
    </row>
    <row r="273" spans="1:6" ht="15" customHeight="1">
      <c r="A273" s="18" t="str">
        <f>'F Plus CO2'!A1211</f>
        <v>10/1980</v>
      </c>
      <c r="B273" s="19">
        <f t="shared" si="12"/>
        <v>1980.7916666666667</v>
      </c>
      <c r="C273" s="20">
        <f>'F Plus CO2'!B1211</f>
        <v>57.433999999999997</v>
      </c>
      <c r="D273" s="19">
        <f>'F Plus CO2'!C1211</f>
        <v>336.14</v>
      </c>
      <c r="E273" s="19">
        <f t="shared" si="13"/>
        <v>0.12999999999999901</v>
      </c>
      <c r="F273" s="20">
        <f t="shared" si="14"/>
        <v>0.26363540356832926</v>
      </c>
    </row>
    <row r="274" spans="1:6" ht="15" customHeight="1">
      <c r="A274" s="18" t="str">
        <f>'F Plus CO2'!A1212</f>
        <v>11/1980</v>
      </c>
      <c r="B274" s="19">
        <f t="shared" si="12"/>
        <v>1980.875</v>
      </c>
      <c r="C274" s="20">
        <f>'F Plus CO2'!B1212</f>
        <v>57.74</v>
      </c>
      <c r="D274" s="19">
        <f>'F Plus CO2'!C1212</f>
        <v>337.3</v>
      </c>
      <c r="E274" s="19">
        <f t="shared" si="13"/>
        <v>0.30000000000000249</v>
      </c>
      <c r="F274" s="20">
        <f t="shared" si="14"/>
        <v>0.26860549118579774</v>
      </c>
    </row>
    <row r="275" spans="1:6" ht="15" customHeight="1">
      <c r="A275" s="18" t="str">
        <f>'F Plus CO2'!A1213</f>
        <v>12/1980</v>
      </c>
      <c r="B275" s="19">
        <f t="shared" si="12"/>
        <v>1980.9583333333333</v>
      </c>
      <c r="C275" s="20">
        <f>'F Plus CO2'!B1213</f>
        <v>57.578000000000003</v>
      </c>
      <c r="D275" s="19">
        <f>'F Plus CO2'!C1213</f>
        <v>338.29</v>
      </c>
      <c r="E275" s="19">
        <f t="shared" si="13"/>
        <v>0.21000000000000085</v>
      </c>
      <c r="F275" s="20">
        <f t="shared" si="14"/>
        <v>0.27283370389710077</v>
      </c>
    </row>
    <row r="276" spans="1:6" ht="15" customHeight="1">
      <c r="A276" s="18" t="str">
        <f>'F Plus CO2'!A1214</f>
        <v>1/1981</v>
      </c>
      <c r="B276" s="19">
        <f t="shared" si="12"/>
        <v>1981.0416666666667</v>
      </c>
      <c r="C276" s="20">
        <f>'F Plus CO2'!B1214</f>
        <v>58.153999999999996</v>
      </c>
      <c r="D276" s="19">
        <f>'F Plus CO2'!C1214</f>
        <v>339.29</v>
      </c>
      <c r="E276" s="19">
        <f t="shared" si="13"/>
        <v>0.52999999999999758</v>
      </c>
      <c r="F276" s="20">
        <f t="shared" si="14"/>
        <v>0.27709208250431316</v>
      </c>
    </row>
    <row r="277" spans="1:6" ht="15" customHeight="1">
      <c r="A277" s="18" t="str">
        <f>'F Plus CO2'!A1215</f>
        <v>2/1981</v>
      </c>
      <c r="B277" s="19">
        <f t="shared" si="12"/>
        <v>1981.125</v>
      </c>
      <c r="C277" s="20">
        <f>'F Plus CO2'!B1215</f>
        <v>57.956000000000003</v>
      </c>
      <c r="D277" s="19">
        <f>'F Plus CO2'!C1215</f>
        <v>340.55</v>
      </c>
      <c r="E277" s="19">
        <f t="shared" si="13"/>
        <v>0.42000000000000348</v>
      </c>
      <c r="F277" s="20">
        <f t="shared" si="14"/>
        <v>0.28243980500638693</v>
      </c>
    </row>
    <row r="278" spans="1:6" ht="15" customHeight="1">
      <c r="A278" s="18" t="str">
        <f>'F Plus CO2'!A1216</f>
        <v>3/1981</v>
      </c>
      <c r="B278" s="19">
        <f t="shared" si="12"/>
        <v>1981.2083333333333</v>
      </c>
      <c r="C278" s="20">
        <f>'F Plus CO2'!B1216</f>
        <v>58.064</v>
      </c>
      <c r="D278" s="19">
        <f>'F Plus CO2'!C1216</f>
        <v>341.63</v>
      </c>
      <c r="E278" s="19">
        <f t="shared" si="13"/>
        <v>0.47999999999999865</v>
      </c>
      <c r="F278" s="20">
        <f t="shared" si="14"/>
        <v>0.28700784260909884</v>
      </c>
    </row>
    <row r="279" spans="1:6" ht="15" customHeight="1">
      <c r="A279" s="18" t="str">
        <f>'F Plus CO2'!A1217</f>
        <v>4/1981</v>
      </c>
      <c r="B279" s="19">
        <f t="shared" si="12"/>
        <v>1981.2916666666667</v>
      </c>
      <c r="C279" s="20">
        <f>'F Plus CO2'!B1217</f>
        <v>57.775999999999996</v>
      </c>
      <c r="D279" s="19">
        <f>'F Plus CO2'!C1217</f>
        <v>342.6</v>
      </c>
      <c r="E279" s="19">
        <f t="shared" si="13"/>
        <v>0.32000000000000028</v>
      </c>
      <c r="F279" s="20">
        <f t="shared" si="14"/>
        <v>0.29109832425167037</v>
      </c>
    </row>
    <row r="280" spans="1:6" ht="15" customHeight="1">
      <c r="A280" s="18" t="str">
        <f>'F Plus CO2'!A1218</f>
        <v>5/1981</v>
      </c>
      <c r="B280" s="19">
        <f t="shared" si="12"/>
        <v>1981.375</v>
      </c>
      <c r="C280" s="20">
        <f>'F Plus CO2'!B1218</f>
        <v>57.650000000000006</v>
      </c>
      <c r="D280" s="19">
        <f>'F Plus CO2'!C1218</f>
        <v>343.04</v>
      </c>
      <c r="E280" s="19">
        <f t="shared" si="13"/>
        <v>0.25000000000000355</v>
      </c>
      <c r="F280" s="20">
        <f t="shared" si="14"/>
        <v>0.29294998373808151</v>
      </c>
    </row>
    <row r="281" spans="1:6" ht="15" customHeight="1">
      <c r="A281" s="18" t="str">
        <f>'F Plus CO2'!A1219</f>
        <v>6/1981</v>
      </c>
      <c r="B281" s="19">
        <f t="shared" si="12"/>
        <v>1981.4583333333333</v>
      </c>
      <c r="C281" s="20">
        <f>'F Plus CO2'!B1219</f>
        <v>57.721999999999994</v>
      </c>
      <c r="D281" s="19">
        <f>'F Plus CO2'!C1219</f>
        <v>342.54</v>
      </c>
      <c r="E281" s="19">
        <f t="shared" si="13"/>
        <v>0.28999999999999559</v>
      </c>
      <c r="F281" s="20">
        <f t="shared" si="14"/>
        <v>0.29084564099664334</v>
      </c>
    </row>
    <row r="282" spans="1:6" ht="15" customHeight="1">
      <c r="A282" s="18" t="str">
        <f>'F Plus CO2'!A1220</f>
        <v>7/1981</v>
      </c>
      <c r="B282" s="19">
        <f t="shared" si="12"/>
        <v>1981.5416666666667</v>
      </c>
      <c r="C282" s="20">
        <f>'F Plus CO2'!B1220</f>
        <v>57.793999999999997</v>
      </c>
      <c r="D282" s="19">
        <f>'F Plus CO2'!C1220</f>
        <v>340.82</v>
      </c>
      <c r="E282" s="19">
        <f t="shared" si="13"/>
        <v>0.32999999999999652</v>
      </c>
      <c r="F282" s="20">
        <f t="shared" si="14"/>
        <v>0.28358317111122905</v>
      </c>
    </row>
    <row r="283" spans="1:6" ht="15" customHeight="1">
      <c r="A283" s="18" t="str">
        <f>'F Plus CO2'!A1221</f>
        <v>8/1981</v>
      </c>
      <c r="B283" s="19">
        <f t="shared" si="12"/>
        <v>1981.625</v>
      </c>
      <c r="C283" s="20">
        <f>'F Plus CO2'!B1221</f>
        <v>57.83</v>
      </c>
      <c r="D283" s="19">
        <f>'F Plus CO2'!C1221</f>
        <v>338.48</v>
      </c>
      <c r="E283" s="19">
        <f t="shared" si="13"/>
        <v>0.34999999999999787</v>
      </c>
      <c r="F283" s="20">
        <f t="shared" si="14"/>
        <v>0.27364376363665927</v>
      </c>
    </row>
    <row r="284" spans="1:6" ht="15" customHeight="1">
      <c r="A284" s="18" t="str">
        <f>'F Plus CO2'!A1222</f>
        <v>9/1981</v>
      </c>
      <c r="B284" s="19">
        <f t="shared" si="12"/>
        <v>1981.7083333333333</v>
      </c>
      <c r="C284" s="20">
        <f>'F Plus CO2'!B1222</f>
        <v>57.47</v>
      </c>
      <c r="D284" s="19">
        <f>'F Plus CO2'!C1222</f>
        <v>336.95</v>
      </c>
      <c r="E284" s="19">
        <f t="shared" si="13"/>
        <v>0.14999999999999858</v>
      </c>
      <c r="F284" s="20">
        <f t="shared" si="14"/>
        <v>0.26710769864693196</v>
      </c>
    </row>
    <row r="285" spans="1:6" ht="15" customHeight="1">
      <c r="A285" s="18" t="str">
        <f>'F Plus CO2'!A1223</f>
        <v>10/1981</v>
      </c>
      <c r="B285" s="19">
        <f t="shared" si="12"/>
        <v>1981.7916666666667</v>
      </c>
      <c r="C285" s="20">
        <f>'F Plus CO2'!B1223</f>
        <v>57.415999999999997</v>
      </c>
      <c r="D285" s="19">
        <f>'F Plus CO2'!C1223</f>
        <v>337.05</v>
      </c>
      <c r="E285" s="19">
        <f t="shared" si="13"/>
        <v>0.11999999999999744</v>
      </c>
      <c r="F285" s="20">
        <f t="shared" si="14"/>
        <v>0.26753579806873473</v>
      </c>
    </row>
    <row r="286" spans="1:6" ht="15" customHeight="1">
      <c r="A286" s="18" t="str">
        <f>'F Plus CO2'!A1224</f>
        <v>11/1981</v>
      </c>
      <c r="B286" s="19">
        <f t="shared" si="12"/>
        <v>1981.875</v>
      </c>
      <c r="C286" s="20">
        <f>'F Plus CO2'!B1224</f>
        <v>57.614000000000004</v>
      </c>
      <c r="D286" s="19">
        <f>'F Plus CO2'!C1224</f>
        <v>338.58</v>
      </c>
      <c r="E286" s="19">
        <f t="shared" si="13"/>
        <v>0.2300000000000022</v>
      </c>
      <c r="F286" s="20">
        <f t="shared" si="14"/>
        <v>0.27406992824581616</v>
      </c>
    </row>
    <row r="287" spans="1:6" ht="15" customHeight="1">
      <c r="A287" s="18" t="str">
        <f>'F Plus CO2'!A1225</f>
        <v>12/1981</v>
      </c>
      <c r="B287" s="19">
        <f t="shared" si="12"/>
        <v>1981.9583333333333</v>
      </c>
      <c r="C287" s="20">
        <f>'F Plus CO2'!B1225</f>
        <v>57.938000000000002</v>
      </c>
      <c r="D287" s="19">
        <f>'F Plus CO2'!C1225</f>
        <v>339.91</v>
      </c>
      <c r="E287" s="19">
        <f t="shared" si="13"/>
        <v>0.41000000000000014</v>
      </c>
      <c r="F287" s="20">
        <f t="shared" si="14"/>
        <v>0.27972597877580269</v>
      </c>
    </row>
    <row r="288" spans="1:6" ht="15" customHeight="1">
      <c r="A288" s="18" t="str">
        <f>'F Plus CO2'!A1226</f>
        <v>1/1982</v>
      </c>
      <c r="B288" s="19">
        <f t="shared" si="12"/>
        <v>1982.0416666666667</v>
      </c>
      <c r="C288" s="20">
        <f>'F Plus CO2'!B1226</f>
        <v>57.290000000000006</v>
      </c>
      <c r="D288" s="19">
        <f>'F Plus CO2'!C1226</f>
        <v>340.93</v>
      </c>
      <c r="E288" s="19">
        <f t="shared" si="13"/>
        <v>5.0000000000004263E-2</v>
      </c>
      <c r="F288" s="20">
        <f t="shared" si="14"/>
        <v>0.28404872727074498</v>
      </c>
    </row>
    <row r="289" spans="1:6" ht="15" customHeight="1">
      <c r="A289" s="18" t="str">
        <f>'F Plus CO2'!A1227</f>
        <v>2/1982</v>
      </c>
      <c r="B289" s="19">
        <f t="shared" si="12"/>
        <v>1982.125</v>
      </c>
      <c r="C289" s="20">
        <f>'F Plus CO2'!B1227</f>
        <v>57.47</v>
      </c>
      <c r="D289" s="19">
        <f>'F Plus CO2'!C1227</f>
        <v>341.76</v>
      </c>
      <c r="E289" s="19">
        <f t="shared" si="13"/>
        <v>0.14999999999999858</v>
      </c>
      <c r="F289" s="20">
        <f t="shared" si="14"/>
        <v>0.28755672496786289</v>
      </c>
    </row>
    <row r="290" spans="1:6" ht="15" customHeight="1">
      <c r="A290" s="18" t="str">
        <f>'F Plus CO2'!A1228</f>
        <v>3/1982</v>
      </c>
      <c r="B290" s="19">
        <f t="shared" si="12"/>
        <v>1982.2083333333333</v>
      </c>
      <c r="C290" s="20">
        <f>'F Plus CO2'!B1228</f>
        <v>57.253999999999998</v>
      </c>
      <c r="D290" s="19">
        <f>'F Plus CO2'!C1228</f>
        <v>342.78</v>
      </c>
      <c r="E290" s="19">
        <f t="shared" si="13"/>
        <v>2.9999999999997584E-2</v>
      </c>
      <c r="F290" s="20">
        <f t="shared" si="14"/>
        <v>0.29185610858541344</v>
      </c>
    </row>
    <row r="291" spans="1:6" ht="15" customHeight="1">
      <c r="A291" s="18" t="str">
        <f>'F Plus CO2'!A1229</f>
        <v>4/1982</v>
      </c>
      <c r="B291" s="19">
        <f t="shared" si="12"/>
        <v>1982.2916666666667</v>
      </c>
      <c r="C291" s="20">
        <f>'F Plus CO2'!B1229</f>
        <v>57.47</v>
      </c>
      <c r="D291" s="19">
        <f>'F Plus CO2'!C1229</f>
        <v>343.96</v>
      </c>
      <c r="E291" s="19">
        <f t="shared" si="13"/>
        <v>0.14999999999999858</v>
      </c>
      <c r="F291" s="20">
        <f t="shared" si="14"/>
        <v>0.2968139727658512</v>
      </c>
    </row>
    <row r="292" spans="1:6" ht="15" customHeight="1">
      <c r="A292" s="18" t="str">
        <f>'F Plus CO2'!A1230</f>
        <v>5/1982</v>
      </c>
      <c r="B292" s="19">
        <f t="shared" si="12"/>
        <v>1982.375</v>
      </c>
      <c r="C292" s="20">
        <f>'F Plus CO2'!B1230</f>
        <v>57.524000000000001</v>
      </c>
      <c r="D292" s="19">
        <f>'F Plus CO2'!C1230</f>
        <v>344.77</v>
      </c>
      <c r="E292" s="19">
        <f t="shared" si="13"/>
        <v>0.17999999999999972</v>
      </c>
      <c r="F292" s="20">
        <f t="shared" si="14"/>
        <v>0.30020741728518119</v>
      </c>
    </row>
    <row r="293" spans="1:6" ht="15" customHeight="1">
      <c r="A293" s="18" t="str">
        <f>'F Plus CO2'!A1231</f>
        <v>6/1982</v>
      </c>
      <c r="B293" s="19">
        <f t="shared" si="12"/>
        <v>1982.4583333333333</v>
      </c>
      <c r="C293" s="20">
        <f>'F Plus CO2'!B1231</f>
        <v>57.308</v>
      </c>
      <c r="D293" s="19">
        <f>'F Plus CO2'!C1231</f>
        <v>343.88</v>
      </c>
      <c r="E293" s="19">
        <f t="shared" si="13"/>
        <v>5.9999999999998721E-2</v>
      </c>
      <c r="F293" s="20">
        <f t="shared" si="14"/>
        <v>0.29647838424587125</v>
      </c>
    </row>
    <row r="294" spans="1:6" ht="15" customHeight="1">
      <c r="A294" s="18" t="str">
        <f>'F Plus CO2'!A1232</f>
        <v>7/1982</v>
      </c>
      <c r="B294" s="19">
        <f t="shared" si="12"/>
        <v>1982.5416666666667</v>
      </c>
      <c r="C294" s="20">
        <f>'F Plus CO2'!B1232</f>
        <v>57.451999999999998</v>
      </c>
      <c r="D294" s="19">
        <f>'F Plus CO2'!C1232</f>
        <v>342.42</v>
      </c>
      <c r="E294" s="19">
        <f t="shared" si="13"/>
        <v>0.13999999999999879</v>
      </c>
      <c r="F294" s="20">
        <f t="shared" si="14"/>
        <v>0.29034014167791555</v>
      </c>
    </row>
    <row r="295" spans="1:6" ht="15" customHeight="1">
      <c r="A295" s="18" t="str">
        <f>'F Plus CO2'!A1233</f>
        <v>8/1982</v>
      </c>
      <c r="B295" s="19">
        <f t="shared" si="12"/>
        <v>1982.625</v>
      </c>
      <c r="C295" s="20">
        <f>'F Plus CO2'!B1233</f>
        <v>57.253999999999998</v>
      </c>
      <c r="D295" s="19">
        <f>'F Plus CO2'!C1233</f>
        <v>340.24</v>
      </c>
      <c r="E295" s="19">
        <f t="shared" si="13"/>
        <v>2.9999999999997584E-2</v>
      </c>
      <c r="F295" s="20">
        <f t="shared" si="14"/>
        <v>0.28112593290607241</v>
      </c>
    </row>
    <row r="296" spans="1:6" ht="15" customHeight="1">
      <c r="A296" s="18" t="str">
        <f>'F Plus CO2'!A1234</f>
        <v>9/1982</v>
      </c>
      <c r="B296" s="19">
        <f t="shared" si="12"/>
        <v>1982.7083333333333</v>
      </c>
      <c r="C296" s="20">
        <f>'F Plus CO2'!B1234</f>
        <v>57.451999999999998</v>
      </c>
      <c r="D296" s="19">
        <f>'F Plus CO2'!C1234</f>
        <v>338.37</v>
      </c>
      <c r="E296" s="19">
        <f t="shared" si="13"/>
        <v>0.13999999999999879</v>
      </c>
      <c r="F296" s="20">
        <f t="shared" si="14"/>
        <v>0.2731748371214936</v>
      </c>
    </row>
    <row r="297" spans="1:6" ht="15" customHeight="1">
      <c r="A297" s="18" t="str">
        <f>'F Plus CO2'!A1235</f>
        <v>10/1982</v>
      </c>
      <c r="B297" s="19">
        <f t="shared" si="12"/>
        <v>1982.7916666666667</v>
      </c>
      <c r="C297" s="20">
        <f>'F Plus CO2'!B1235</f>
        <v>57.433999999999997</v>
      </c>
      <c r="D297" s="19">
        <f>'F Plus CO2'!C1235</f>
        <v>338.41</v>
      </c>
      <c r="E297" s="19">
        <f t="shared" si="13"/>
        <v>0.12999999999999901</v>
      </c>
      <c r="F297" s="20">
        <f t="shared" si="14"/>
        <v>0.27334537348989335</v>
      </c>
    </row>
    <row r="298" spans="1:6" ht="15" customHeight="1">
      <c r="A298" s="18" t="str">
        <f>'F Plus CO2'!A1236</f>
        <v>11/1982</v>
      </c>
      <c r="B298" s="19">
        <f t="shared" si="12"/>
        <v>1982.875</v>
      </c>
      <c r="C298" s="20">
        <f>'F Plus CO2'!B1236</f>
        <v>57.524000000000001</v>
      </c>
      <c r="D298" s="19">
        <f>'F Plus CO2'!C1236</f>
        <v>339.44</v>
      </c>
      <c r="E298" s="19">
        <f t="shared" si="13"/>
        <v>0.17999999999999972</v>
      </c>
      <c r="F298" s="20">
        <f t="shared" si="14"/>
        <v>0.27772975657104493</v>
      </c>
    </row>
    <row r="299" spans="1:6" ht="15" customHeight="1">
      <c r="A299" s="18" t="str">
        <f>'F Plus CO2'!A1237</f>
        <v>12/1982</v>
      </c>
      <c r="B299" s="19">
        <f t="shared" si="12"/>
        <v>1982.9583333333333</v>
      </c>
      <c r="C299" s="20">
        <f>'F Plus CO2'!B1237</f>
        <v>57.974000000000004</v>
      </c>
      <c r="D299" s="19">
        <f>'F Plus CO2'!C1237</f>
        <v>340.78</v>
      </c>
      <c r="E299" s="19">
        <f t="shared" si="13"/>
        <v>0.42999999999999972</v>
      </c>
      <c r="F299" s="20">
        <f t="shared" si="14"/>
        <v>0.28341384070717457</v>
      </c>
    </row>
    <row r="300" spans="1:6" ht="15" customHeight="1">
      <c r="A300" s="18" t="str">
        <f>'F Plus CO2'!A1238</f>
        <v>1/1983</v>
      </c>
      <c r="B300" s="19">
        <f t="shared" si="12"/>
        <v>1983.0416666666667</v>
      </c>
      <c r="C300" s="20">
        <f>'F Plus CO2'!B1238</f>
        <v>58.153999999999996</v>
      </c>
      <c r="D300" s="19">
        <f>'F Plus CO2'!C1238</f>
        <v>341.57</v>
      </c>
      <c r="E300" s="19">
        <f t="shared" si="13"/>
        <v>0.52999999999999758</v>
      </c>
      <c r="F300" s="20">
        <f t="shared" si="14"/>
        <v>0.28675444184014132</v>
      </c>
    </row>
    <row r="301" spans="1:6" ht="15" customHeight="1">
      <c r="A301" s="18" t="str">
        <f>'F Plus CO2'!A1239</f>
        <v>2/1983</v>
      </c>
      <c r="B301" s="19">
        <f t="shared" si="12"/>
        <v>1983.125</v>
      </c>
      <c r="C301" s="20">
        <f>'F Plus CO2'!B1239</f>
        <v>57.974000000000004</v>
      </c>
      <c r="D301" s="19">
        <f>'F Plus CO2'!C1239</f>
        <v>342.78</v>
      </c>
      <c r="E301" s="19">
        <f t="shared" si="13"/>
        <v>0.42999999999999972</v>
      </c>
      <c r="F301" s="20">
        <f t="shared" si="14"/>
        <v>0.29185610858541344</v>
      </c>
    </row>
    <row r="302" spans="1:6" ht="15" customHeight="1">
      <c r="A302" s="18" t="str">
        <f>'F Plus CO2'!A1240</f>
        <v>3/1983</v>
      </c>
      <c r="B302" s="19">
        <f t="shared" si="12"/>
        <v>1983.2083333333333</v>
      </c>
      <c r="C302" s="20">
        <f>'F Plus CO2'!B1240</f>
        <v>57.956000000000003</v>
      </c>
      <c r="D302" s="19">
        <f>'F Plus CO2'!C1240</f>
        <v>343.37</v>
      </c>
      <c r="E302" s="19">
        <f t="shared" si="13"/>
        <v>0.42000000000000348</v>
      </c>
      <c r="F302" s="20">
        <f t="shared" si="14"/>
        <v>0.29433717040544699</v>
      </c>
    </row>
    <row r="303" spans="1:6" ht="15" customHeight="1">
      <c r="A303" s="18" t="str">
        <f>'F Plus CO2'!A1241</f>
        <v>4/1983</v>
      </c>
      <c r="B303" s="19">
        <f t="shared" si="12"/>
        <v>1983.2916666666667</v>
      </c>
      <c r="C303" s="20">
        <f>'F Plus CO2'!B1241</f>
        <v>57.704000000000001</v>
      </c>
      <c r="D303" s="19">
        <f>'F Plus CO2'!C1241</f>
        <v>345.4</v>
      </c>
      <c r="E303" s="19">
        <f t="shared" si="13"/>
        <v>0.28000000000000114</v>
      </c>
      <c r="F303" s="20">
        <f t="shared" si="14"/>
        <v>0.30284125569659542</v>
      </c>
    </row>
    <row r="304" spans="1:6" ht="15" customHeight="1">
      <c r="A304" s="18" t="str">
        <f>'F Plus CO2'!A1242</f>
        <v>5/1983</v>
      </c>
      <c r="B304" s="19">
        <f t="shared" si="12"/>
        <v>1983.375</v>
      </c>
      <c r="C304" s="20">
        <f>'F Plus CO2'!B1242</f>
        <v>57.811999999999998</v>
      </c>
      <c r="D304" s="19">
        <f>'F Plus CO2'!C1242</f>
        <v>346.14</v>
      </c>
      <c r="E304" s="19">
        <f t="shared" si="13"/>
        <v>0.33999999999999986</v>
      </c>
      <c r="F304" s="20">
        <f t="shared" si="14"/>
        <v>0.30592884206251841</v>
      </c>
    </row>
    <row r="305" spans="1:6" ht="15" customHeight="1">
      <c r="A305" s="18" t="str">
        <f>'F Plus CO2'!A1243</f>
        <v>6/1983</v>
      </c>
      <c r="B305" s="19">
        <f t="shared" si="12"/>
        <v>1983.4583333333333</v>
      </c>
      <c r="C305" s="20">
        <f>'F Plus CO2'!B1243</f>
        <v>57.614000000000004</v>
      </c>
      <c r="D305" s="19">
        <f>'F Plus CO2'!C1243</f>
        <v>345.76</v>
      </c>
      <c r="E305" s="19">
        <f t="shared" si="13"/>
        <v>0.2300000000000022</v>
      </c>
      <c r="F305" s="20">
        <f t="shared" si="14"/>
        <v>0.30434415013981614</v>
      </c>
    </row>
    <row r="306" spans="1:6" ht="15" customHeight="1">
      <c r="A306" s="18" t="str">
        <f>'F Plus CO2'!A1244</f>
        <v>7/1983</v>
      </c>
      <c r="B306" s="19">
        <f t="shared" si="12"/>
        <v>1983.5416666666667</v>
      </c>
      <c r="C306" s="20">
        <f>'F Plus CO2'!B1244</f>
        <v>57.524000000000001</v>
      </c>
      <c r="D306" s="19">
        <f>'F Plus CO2'!C1244</f>
        <v>344.32</v>
      </c>
      <c r="E306" s="19">
        <f t="shared" si="13"/>
        <v>0.17999999999999972</v>
      </c>
      <c r="F306" s="20">
        <f t="shared" si="14"/>
        <v>0.29832315583693308</v>
      </c>
    </row>
    <row r="307" spans="1:6" ht="15" customHeight="1">
      <c r="A307" s="18" t="str">
        <f>'F Plus CO2'!A1245</f>
        <v>8/1983</v>
      </c>
      <c r="B307" s="19">
        <f t="shared" si="12"/>
        <v>1983.625</v>
      </c>
      <c r="C307" s="20">
        <f>'F Plus CO2'!B1245</f>
        <v>57.847999999999999</v>
      </c>
      <c r="D307" s="19">
        <f>'F Plus CO2'!C1245</f>
        <v>342.51</v>
      </c>
      <c r="E307" s="19">
        <f t="shared" si="13"/>
        <v>0.36000000000000121</v>
      </c>
      <c r="F307" s="20">
        <f t="shared" si="14"/>
        <v>0.29071928277095344</v>
      </c>
    </row>
    <row r="308" spans="1:6" ht="15" customHeight="1">
      <c r="A308" s="18" t="str">
        <f>'F Plus CO2'!A1246</f>
        <v>9/1983</v>
      </c>
      <c r="B308" s="19">
        <f t="shared" si="12"/>
        <v>1983.7083333333333</v>
      </c>
      <c r="C308" s="20">
        <f>'F Plus CO2'!B1246</f>
        <v>57.866</v>
      </c>
      <c r="D308" s="19">
        <f>'F Plus CO2'!C1246</f>
        <v>340.46</v>
      </c>
      <c r="E308" s="19">
        <f t="shared" si="13"/>
        <v>0.36999999999999744</v>
      </c>
      <c r="F308" s="20">
        <f t="shared" si="14"/>
        <v>0.28205848151793295</v>
      </c>
    </row>
    <row r="309" spans="1:6" ht="15" customHeight="1">
      <c r="A309" s="18" t="str">
        <f>'F Plus CO2'!A1247</f>
        <v>10/1983</v>
      </c>
      <c r="B309" s="19">
        <f t="shared" si="12"/>
        <v>1983.7916666666667</v>
      </c>
      <c r="C309" s="20">
        <f>'F Plus CO2'!B1247</f>
        <v>57.506</v>
      </c>
      <c r="D309" s="19">
        <f>'F Plus CO2'!C1247</f>
        <v>340.53</v>
      </c>
      <c r="E309" s="19">
        <f t="shared" si="13"/>
        <v>0.16999999999999993</v>
      </c>
      <c r="F309" s="20">
        <f t="shared" si="14"/>
        <v>0.28235507516311997</v>
      </c>
    </row>
    <row r="310" spans="1:6" ht="15" customHeight="1">
      <c r="A310" s="18" t="str">
        <f>'F Plus CO2'!A1248</f>
        <v>11/1983</v>
      </c>
      <c r="B310" s="19">
        <f t="shared" si="12"/>
        <v>1983.875</v>
      </c>
      <c r="C310" s="20">
        <f>'F Plus CO2'!B1248</f>
        <v>57.74</v>
      </c>
      <c r="D310" s="19">
        <f>'F Plus CO2'!C1248</f>
        <v>341.79</v>
      </c>
      <c r="E310" s="19">
        <f t="shared" si="13"/>
        <v>0.30000000000000249</v>
      </c>
      <c r="F310" s="20">
        <f t="shared" si="14"/>
        <v>0.28768336047734855</v>
      </c>
    </row>
    <row r="311" spans="1:6" ht="15" customHeight="1">
      <c r="A311" s="18" t="str">
        <f>'F Plus CO2'!A1249</f>
        <v>12/1983</v>
      </c>
      <c r="B311" s="19">
        <f t="shared" si="12"/>
        <v>1983.9583333333333</v>
      </c>
      <c r="C311" s="20">
        <f>'F Plus CO2'!B1249</f>
        <v>57.506</v>
      </c>
      <c r="D311" s="19">
        <f>'F Plus CO2'!C1249</f>
        <v>343.2</v>
      </c>
      <c r="E311" s="19">
        <f t="shared" si="13"/>
        <v>0.16999999999999993</v>
      </c>
      <c r="F311" s="20">
        <f t="shared" si="14"/>
        <v>0.29362272566721687</v>
      </c>
    </row>
    <row r="312" spans="1:6" ht="15" customHeight="1">
      <c r="A312" s="18" t="str">
        <f>'F Plus CO2'!A1250</f>
        <v>1/1984</v>
      </c>
      <c r="B312" s="19">
        <f t="shared" si="12"/>
        <v>1984.0416666666667</v>
      </c>
      <c r="C312" s="20">
        <f>'F Plus CO2'!B1250</f>
        <v>57.758000000000003</v>
      </c>
      <c r="D312" s="19">
        <f>'F Plus CO2'!C1250</f>
        <v>344.21</v>
      </c>
      <c r="E312" s="19">
        <f t="shared" si="13"/>
        <v>0.31000000000000227</v>
      </c>
      <c r="F312" s="20">
        <f t="shared" si="14"/>
        <v>0.29786218403948628</v>
      </c>
    </row>
    <row r="313" spans="1:6" ht="15" customHeight="1">
      <c r="A313" s="18" t="str">
        <f>'F Plus CO2'!A1251</f>
        <v>2/1984</v>
      </c>
      <c r="B313" s="19">
        <f t="shared" si="12"/>
        <v>1984.125</v>
      </c>
      <c r="C313" s="20">
        <f>'F Plus CO2'!B1251</f>
        <v>57.451999999999998</v>
      </c>
      <c r="D313" s="19">
        <f>'F Plus CO2'!C1251</f>
        <v>344.92</v>
      </c>
      <c r="E313" s="19">
        <f t="shared" si="13"/>
        <v>0.13999999999999879</v>
      </c>
      <c r="F313" s="20">
        <f t="shared" si="14"/>
        <v>0.30083495794705978</v>
      </c>
    </row>
    <row r="314" spans="1:6" ht="15" customHeight="1">
      <c r="A314" s="18" t="str">
        <f>'F Plus CO2'!A1252</f>
        <v>3/1984</v>
      </c>
      <c r="B314" s="19">
        <f t="shared" si="12"/>
        <v>1984.2083333333333</v>
      </c>
      <c r="C314" s="20">
        <f>'F Plus CO2'!B1252</f>
        <v>57.667999999999999</v>
      </c>
      <c r="D314" s="19">
        <f>'F Plus CO2'!C1252</f>
        <v>345.68</v>
      </c>
      <c r="E314" s="19">
        <f t="shared" si="13"/>
        <v>0.25999999999999979</v>
      </c>
      <c r="F314" s="20">
        <f t="shared" si="14"/>
        <v>0.30401030887004266</v>
      </c>
    </row>
    <row r="315" spans="1:6" ht="15" customHeight="1">
      <c r="A315" s="18" t="str">
        <f>'F Plus CO2'!A1253</f>
        <v>4/1984</v>
      </c>
      <c r="B315" s="19">
        <f t="shared" si="12"/>
        <v>1984.2916666666667</v>
      </c>
      <c r="C315" s="20">
        <f>'F Plus CO2'!B1253</f>
        <v>57.308</v>
      </c>
      <c r="D315" s="19">
        <f>'F Plus CO2'!C1253</f>
        <v>347.37</v>
      </c>
      <c r="E315" s="19">
        <f t="shared" si="13"/>
        <v>5.9999999999998721E-2</v>
      </c>
      <c r="F315" s="20">
        <f t="shared" si="14"/>
        <v>0.31104633643445362</v>
      </c>
    </row>
    <row r="316" spans="1:6" ht="15" customHeight="1">
      <c r="A316" s="18" t="str">
        <f>'F Plus CO2'!A1254</f>
        <v>5/1984</v>
      </c>
      <c r="B316" s="19">
        <f t="shared" si="12"/>
        <v>1984.375</v>
      </c>
      <c r="C316" s="20">
        <f>'F Plus CO2'!B1254</f>
        <v>57.793999999999997</v>
      </c>
      <c r="D316" s="19">
        <f>'F Plus CO2'!C1254</f>
        <v>347.77</v>
      </c>
      <c r="E316" s="19">
        <f t="shared" si="13"/>
        <v>0.32999999999999652</v>
      </c>
      <c r="F316" s="20">
        <f t="shared" si="14"/>
        <v>0.31270665832658501</v>
      </c>
    </row>
    <row r="317" spans="1:6" ht="15" customHeight="1">
      <c r="A317" s="18" t="str">
        <f>'F Plus CO2'!A1255</f>
        <v>6/1984</v>
      </c>
      <c r="B317" s="19">
        <f t="shared" si="12"/>
        <v>1984.4583333333333</v>
      </c>
      <c r="C317" s="20">
        <f>'F Plus CO2'!B1255</f>
        <v>57.236000000000004</v>
      </c>
      <c r="D317" s="19">
        <f>'F Plus CO2'!C1255</f>
        <v>347.16</v>
      </c>
      <c r="E317" s="19">
        <f t="shared" si="13"/>
        <v>2.0000000000003126E-2</v>
      </c>
      <c r="F317" s="20">
        <f t="shared" si="14"/>
        <v>0.31017390193106481</v>
      </c>
    </row>
    <row r="318" spans="1:6" ht="15" customHeight="1">
      <c r="A318" s="18" t="str">
        <f>'F Plus CO2'!A1256</f>
        <v>7/1984</v>
      </c>
      <c r="B318" s="19">
        <f t="shared" si="12"/>
        <v>1984.5416666666667</v>
      </c>
      <c r="C318" s="20">
        <f>'F Plus CO2'!B1256</f>
        <v>57.542000000000002</v>
      </c>
      <c r="D318" s="19">
        <f>'F Plus CO2'!C1256</f>
        <v>345.79</v>
      </c>
      <c r="E318" s="19">
        <f t="shared" si="13"/>
        <v>0.19000000000000128</v>
      </c>
      <c r="F318" s="20">
        <f t="shared" si="14"/>
        <v>0.30446932070233174</v>
      </c>
    </row>
    <row r="319" spans="1:6" ht="15" customHeight="1">
      <c r="A319" s="18" t="str">
        <f>'F Plus CO2'!A1257</f>
        <v>8/1984</v>
      </c>
      <c r="B319" s="19">
        <f t="shared" si="12"/>
        <v>1984.625</v>
      </c>
      <c r="C319" s="20">
        <f>'F Plus CO2'!B1257</f>
        <v>57.542000000000002</v>
      </c>
      <c r="D319" s="19">
        <f>'F Plus CO2'!C1257</f>
        <v>343.74</v>
      </c>
      <c r="E319" s="19">
        <f t="shared" si="13"/>
        <v>0.19000000000000128</v>
      </c>
      <c r="F319" s="20">
        <f t="shared" si="14"/>
        <v>0.29589091643366305</v>
      </c>
    </row>
    <row r="320" spans="1:6" ht="15" customHeight="1">
      <c r="A320" s="18" t="str">
        <f>'F Plus CO2'!A1258</f>
        <v>9/1984</v>
      </c>
      <c r="B320" s="19">
        <f t="shared" si="12"/>
        <v>1984.7083333333333</v>
      </c>
      <c r="C320" s="20">
        <f>'F Plus CO2'!B1258</f>
        <v>57.578000000000003</v>
      </c>
      <c r="D320" s="19">
        <f>'F Plus CO2'!C1258</f>
        <v>341.59</v>
      </c>
      <c r="E320" s="19">
        <f t="shared" si="13"/>
        <v>0.21000000000000085</v>
      </c>
      <c r="F320" s="20">
        <f t="shared" si="14"/>
        <v>0.28683891370859382</v>
      </c>
    </row>
    <row r="321" spans="1:6" ht="15" customHeight="1">
      <c r="A321" s="18" t="str">
        <f>'F Plus CO2'!A1259</f>
        <v>10/1984</v>
      </c>
      <c r="B321" s="19">
        <f t="shared" si="12"/>
        <v>1984.7916666666667</v>
      </c>
      <c r="C321" s="20">
        <f>'F Plus CO2'!B1259</f>
        <v>57.433999999999997</v>
      </c>
      <c r="D321" s="19">
        <f>'F Plus CO2'!C1259</f>
        <v>341.86</v>
      </c>
      <c r="E321" s="19">
        <f t="shared" si="13"/>
        <v>0.12999999999999901</v>
      </c>
      <c r="F321" s="20">
        <f t="shared" si="14"/>
        <v>0.28797880011229388</v>
      </c>
    </row>
    <row r="322" spans="1:6" ht="15" customHeight="1">
      <c r="A322" s="18" t="str">
        <f>'F Plus CO2'!A1260</f>
        <v>11/1984</v>
      </c>
      <c r="B322" s="19">
        <f t="shared" ref="B322:B385" si="15">VALUE(RIGHT(A322,4))+(VALUE(LEFT(A322,FIND("/",A322)-1))-0.5)/12</f>
        <v>1984.875</v>
      </c>
      <c r="C322" s="20">
        <f>'F Plus CO2'!B1260</f>
        <v>57.308</v>
      </c>
      <c r="D322" s="19">
        <f>'F Plus CO2'!C1260</f>
        <v>343.31</v>
      </c>
      <c r="E322" s="19">
        <f t="shared" ref="E322:E385" si="16">(C322-32)*5/9-$I$3</f>
        <v>5.9999999999998721E-2</v>
      </c>
      <c r="F322" s="20">
        <f t="shared" ref="F322:F385" si="17">LOG(D322/$I$4,2)</f>
        <v>0.29408505383681638</v>
      </c>
    </row>
    <row r="323" spans="1:6" ht="15" customHeight="1">
      <c r="A323" s="18" t="str">
        <f>'F Plus CO2'!A1261</f>
        <v>12/1984</v>
      </c>
      <c r="B323" s="19">
        <f t="shared" si="15"/>
        <v>1984.9583333333333</v>
      </c>
      <c r="C323" s="20">
        <f>'F Plus CO2'!B1261</f>
        <v>57.128</v>
      </c>
      <c r="D323" s="19">
        <f>'F Plus CO2'!C1261</f>
        <v>345</v>
      </c>
      <c r="E323" s="19">
        <f t="shared" si="16"/>
        <v>-3.9999999999999147E-2</v>
      </c>
      <c r="F323" s="20">
        <f t="shared" si="17"/>
        <v>0.30116953472056501</v>
      </c>
    </row>
    <row r="324" spans="1:6" ht="15" customHeight="1">
      <c r="A324" s="18" t="str">
        <f>'F Plus CO2'!A1262</f>
        <v>1/1985</v>
      </c>
      <c r="B324" s="19">
        <f t="shared" si="15"/>
        <v>1985.0416666666667</v>
      </c>
      <c r="C324" s="20">
        <f>'F Plus CO2'!B1262</f>
        <v>57.596000000000004</v>
      </c>
      <c r="D324" s="19">
        <f>'F Plus CO2'!C1262</f>
        <v>345.48</v>
      </c>
      <c r="E324" s="19">
        <f t="shared" si="16"/>
        <v>0.22000000000000242</v>
      </c>
      <c r="F324" s="20">
        <f t="shared" si="17"/>
        <v>0.30317536756489971</v>
      </c>
    </row>
    <row r="325" spans="1:6" ht="15" customHeight="1">
      <c r="A325" s="18" t="str">
        <f>'F Plus CO2'!A1263</f>
        <v>2/1985</v>
      </c>
      <c r="B325" s="19">
        <f t="shared" si="15"/>
        <v>1985.125</v>
      </c>
      <c r="C325" s="20">
        <f>'F Plus CO2'!B1263</f>
        <v>57.128</v>
      </c>
      <c r="D325" s="19">
        <f>'F Plus CO2'!C1263</f>
        <v>346.41</v>
      </c>
      <c r="E325" s="19">
        <f t="shared" si="16"/>
        <v>-3.9999999999999147E-2</v>
      </c>
      <c r="F325" s="20">
        <f t="shared" si="17"/>
        <v>0.30705375053345996</v>
      </c>
    </row>
    <row r="326" spans="1:6" ht="15" customHeight="1">
      <c r="A326" s="18" t="str">
        <f>'F Plus CO2'!A1264</f>
        <v>3/1985</v>
      </c>
      <c r="B326" s="19">
        <f t="shared" si="15"/>
        <v>1985.2083333333333</v>
      </c>
      <c r="C326" s="20">
        <f>'F Plus CO2'!B1264</f>
        <v>57.506</v>
      </c>
      <c r="D326" s="19">
        <f>'F Plus CO2'!C1264</f>
        <v>347.91</v>
      </c>
      <c r="E326" s="19">
        <f t="shared" si="16"/>
        <v>0.16999999999999993</v>
      </c>
      <c r="F326" s="20">
        <f t="shared" si="17"/>
        <v>0.31328731986192054</v>
      </c>
    </row>
    <row r="327" spans="1:6" ht="15" customHeight="1">
      <c r="A327" s="18" t="str">
        <f>'F Plus CO2'!A1265</f>
        <v>4/1985</v>
      </c>
      <c r="B327" s="19">
        <f t="shared" si="15"/>
        <v>1985.2916666666667</v>
      </c>
      <c r="C327" s="20">
        <f>'F Plus CO2'!B1265</f>
        <v>57.415999999999997</v>
      </c>
      <c r="D327" s="19">
        <f>'F Plus CO2'!C1265</f>
        <v>348.66</v>
      </c>
      <c r="E327" s="19">
        <f t="shared" si="16"/>
        <v>0.11999999999999744</v>
      </c>
      <c r="F327" s="20">
        <f t="shared" si="17"/>
        <v>0.31639403332587512</v>
      </c>
    </row>
    <row r="328" spans="1:6" ht="15" customHeight="1">
      <c r="A328" s="18" t="str">
        <f>'F Plus CO2'!A1266</f>
        <v>5/1985</v>
      </c>
      <c r="B328" s="19">
        <f t="shared" si="15"/>
        <v>1985.375</v>
      </c>
      <c r="C328" s="20">
        <f>'F Plus CO2'!B1266</f>
        <v>57.47</v>
      </c>
      <c r="D328" s="19">
        <f>'F Plus CO2'!C1266</f>
        <v>349.28</v>
      </c>
      <c r="E328" s="19">
        <f t="shared" si="16"/>
        <v>0.14999999999999858</v>
      </c>
      <c r="F328" s="20">
        <f t="shared" si="17"/>
        <v>0.3189572082710998</v>
      </c>
    </row>
    <row r="329" spans="1:6" ht="15" customHeight="1">
      <c r="A329" s="18" t="str">
        <f>'F Plus CO2'!A1267</f>
        <v>6/1985</v>
      </c>
      <c r="B329" s="19">
        <f t="shared" si="15"/>
        <v>1985.4583333333333</v>
      </c>
      <c r="C329" s="20">
        <f>'F Plus CO2'!B1267</f>
        <v>57.47</v>
      </c>
      <c r="D329" s="19">
        <f>'F Plus CO2'!C1267</f>
        <v>348.65</v>
      </c>
      <c r="E329" s="19">
        <f t="shared" si="16"/>
        <v>0.14999999999999858</v>
      </c>
      <c r="F329" s="20">
        <f t="shared" si="17"/>
        <v>0.31635265445446925</v>
      </c>
    </row>
    <row r="330" spans="1:6" ht="15" customHeight="1">
      <c r="A330" s="18" t="str">
        <f>'F Plus CO2'!A1268</f>
        <v>7/1985</v>
      </c>
      <c r="B330" s="19">
        <f t="shared" si="15"/>
        <v>1985.5416666666667</v>
      </c>
      <c r="C330" s="20">
        <f>'F Plus CO2'!B1268</f>
        <v>57.271999999999998</v>
      </c>
      <c r="D330" s="19">
        <f>'F Plus CO2'!C1268</f>
        <v>346.9</v>
      </c>
      <c r="E330" s="19">
        <f t="shared" si="16"/>
        <v>3.9999999999999147E-2</v>
      </c>
      <c r="F330" s="20">
        <f t="shared" si="17"/>
        <v>0.30909301345405343</v>
      </c>
    </row>
    <row r="331" spans="1:6" ht="15" customHeight="1">
      <c r="A331" s="18" t="str">
        <f>'F Plus CO2'!A1269</f>
        <v>8/1985</v>
      </c>
      <c r="B331" s="19">
        <f t="shared" si="15"/>
        <v>1985.625</v>
      </c>
      <c r="C331" s="20">
        <f>'F Plus CO2'!B1269</f>
        <v>57.506</v>
      </c>
      <c r="D331" s="19">
        <f>'F Plus CO2'!C1269</f>
        <v>345.26</v>
      </c>
      <c r="E331" s="19">
        <f t="shared" si="16"/>
        <v>0.16999999999999993</v>
      </c>
      <c r="F331" s="20">
        <f t="shared" si="17"/>
        <v>0.30225637367507746</v>
      </c>
    </row>
    <row r="332" spans="1:6" ht="15" customHeight="1">
      <c r="A332" s="18" t="str">
        <f>'F Plus CO2'!A1270</f>
        <v>9/1985</v>
      </c>
      <c r="B332" s="19">
        <f t="shared" si="15"/>
        <v>1985.7083333333333</v>
      </c>
      <c r="C332" s="20">
        <f>'F Plus CO2'!B1270</f>
        <v>57.433999999999997</v>
      </c>
      <c r="D332" s="19">
        <f>'F Plus CO2'!C1270</f>
        <v>343.47</v>
      </c>
      <c r="E332" s="19">
        <f t="shared" si="16"/>
        <v>0.12999999999999901</v>
      </c>
      <c r="F332" s="20">
        <f t="shared" si="17"/>
        <v>0.29475726680375902</v>
      </c>
    </row>
    <row r="333" spans="1:6" ht="15" customHeight="1">
      <c r="A333" s="18" t="str">
        <f>'F Plus CO2'!A1271</f>
        <v>10/1985</v>
      </c>
      <c r="B333" s="19">
        <f t="shared" si="15"/>
        <v>1985.7916666666667</v>
      </c>
      <c r="C333" s="20">
        <f>'F Plus CO2'!B1271</f>
        <v>57.415999999999997</v>
      </c>
      <c r="D333" s="19">
        <f>'F Plus CO2'!C1271</f>
        <v>343.35</v>
      </c>
      <c r="E333" s="19">
        <f t="shared" si="16"/>
        <v>0.11999999999999744</v>
      </c>
      <c r="F333" s="20">
        <f t="shared" si="17"/>
        <v>0.29425313644451412</v>
      </c>
    </row>
    <row r="334" spans="1:6" ht="15" customHeight="1">
      <c r="A334" s="18" t="str">
        <f>'F Plus CO2'!A1272</f>
        <v>11/1985</v>
      </c>
      <c r="B334" s="19">
        <f t="shared" si="15"/>
        <v>1985.875</v>
      </c>
      <c r="C334" s="20">
        <f>'F Plus CO2'!B1272</f>
        <v>57.290000000000006</v>
      </c>
      <c r="D334" s="19">
        <f>'F Plus CO2'!C1272</f>
        <v>344.73</v>
      </c>
      <c r="E334" s="19">
        <f t="shared" si="16"/>
        <v>5.0000000000004263E-2</v>
      </c>
      <c r="F334" s="20">
        <f t="shared" si="17"/>
        <v>0.30004002699743576</v>
      </c>
    </row>
    <row r="335" spans="1:6" ht="15" customHeight="1">
      <c r="A335" s="18" t="str">
        <f>'F Plus CO2'!A1273</f>
        <v>12/1985</v>
      </c>
      <c r="B335" s="19">
        <f t="shared" si="15"/>
        <v>1985.9583333333333</v>
      </c>
      <c r="C335" s="20">
        <f>'F Plus CO2'!B1273</f>
        <v>57.451999999999998</v>
      </c>
      <c r="D335" s="19">
        <f>'F Plus CO2'!C1273</f>
        <v>346.12</v>
      </c>
      <c r="E335" s="19">
        <f t="shared" si="16"/>
        <v>0.13999999999999879</v>
      </c>
      <c r="F335" s="20">
        <f t="shared" si="17"/>
        <v>0.30584548060634364</v>
      </c>
    </row>
    <row r="336" spans="1:6" ht="15" customHeight="1">
      <c r="A336" s="18" t="str">
        <f>'F Plus CO2'!A1274</f>
        <v>1/1986</v>
      </c>
      <c r="B336" s="19">
        <f t="shared" si="15"/>
        <v>1986.0416666666667</v>
      </c>
      <c r="C336" s="20">
        <f>'F Plus CO2'!B1274</f>
        <v>57.667999999999999</v>
      </c>
      <c r="D336" s="19">
        <f>'F Plus CO2'!C1274</f>
        <v>346.78</v>
      </c>
      <c r="E336" s="19">
        <f t="shared" si="16"/>
        <v>0.25999999999999979</v>
      </c>
      <c r="F336" s="20">
        <f t="shared" si="17"/>
        <v>0.30859386858427595</v>
      </c>
    </row>
    <row r="337" spans="1:6" ht="15" customHeight="1">
      <c r="A337" s="18" t="str">
        <f>'F Plus CO2'!A1275</f>
        <v>2/1986</v>
      </c>
      <c r="B337" s="19">
        <f t="shared" si="15"/>
        <v>1986.125</v>
      </c>
      <c r="C337" s="20">
        <f>'F Plus CO2'!B1275</f>
        <v>57.866</v>
      </c>
      <c r="D337" s="19">
        <f>'F Plus CO2'!C1275</f>
        <v>347.48</v>
      </c>
      <c r="E337" s="19">
        <f t="shared" si="16"/>
        <v>0.36999999999999744</v>
      </c>
      <c r="F337" s="20">
        <f t="shared" si="17"/>
        <v>0.31150311546826975</v>
      </c>
    </row>
    <row r="338" spans="1:6" ht="15" customHeight="1">
      <c r="A338" s="18" t="str">
        <f>'F Plus CO2'!A1276</f>
        <v>3/1986</v>
      </c>
      <c r="B338" s="19">
        <f t="shared" si="15"/>
        <v>1986.2083333333333</v>
      </c>
      <c r="C338" s="20">
        <f>'F Plus CO2'!B1276</f>
        <v>57.74</v>
      </c>
      <c r="D338" s="19">
        <f>'F Plus CO2'!C1276</f>
        <v>348.25</v>
      </c>
      <c r="E338" s="19">
        <f t="shared" si="16"/>
        <v>0.30000000000000249</v>
      </c>
      <c r="F338" s="20">
        <f t="shared" si="17"/>
        <v>0.31469652565628642</v>
      </c>
    </row>
    <row r="339" spans="1:6" ht="15" customHeight="1">
      <c r="A339" s="18" t="str">
        <f>'F Plus CO2'!A1277</f>
        <v>4/1986</v>
      </c>
      <c r="B339" s="19">
        <f t="shared" si="15"/>
        <v>1986.2916666666667</v>
      </c>
      <c r="C339" s="20">
        <f>'F Plus CO2'!B1277</f>
        <v>57.596000000000004</v>
      </c>
      <c r="D339" s="19">
        <f>'F Plus CO2'!C1277</f>
        <v>349.86</v>
      </c>
      <c r="E339" s="19">
        <f t="shared" si="16"/>
        <v>0.22000000000000242</v>
      </c>
      <c r="F339" s="20">
        <f t="shared" si="17"/>
        <v>0.32135090142461681</v>
      </c>
    </row>
    <row r="340" spans="1:6" ht="15" customHeight="1">
      <c r="A340" s="18" t="str">
        <f>'F Plus CO2'!A1278</f>
        <v>5/1986</v>
      </c>
      <c r="B340" s="19">
        <f t="shared" si="15"/>
        <v>1986.375</v>
      </c>
      <c r="C340" s="20">
        <f>'F Plus CO2'!B1278</f>
        <v>57.578000000000003</v>
      </c>
      <c r="D340" s="19">
        <f>'F Plus CO2'!C1278</f>
        <v>350.52</v>
      </c>
      <c r="E340" s="19">
        <f t="shared" si="16"/>
        <v>0.21000000000000085</v>
      </c>
      <c r="F340" s="20">
        <f t="shared" si="17"/>
        <v>0.32406993683064367</v>
      </c>
    </row>
    <row r="341" spans="1:6" ht="15" customHeight="1">
      <c r="A341" s="18" t="str">
        <f>'F Plus CO2'!A1279</f>
        <v>6/1986</v>
      </c>
      <c r="B341" s="19">
        <f t="shared" si="15"/>
        <v>1986.4583333333333</v>
      </c>
      <c r="C341" s="20">
        <f>'F Plus CO2'!B1279</f>
        <v>57.415999999999997</v>
      </c>
      <c r="D341" s="19">
        <f>'F Plus CO2'!C1279</f>
        <v>349.98</v>
      </c>
      <c r="E341" s="19">
        <f t="shared" si="16"/>
        <v>0.11999999999999744</v>
      </c>
      <c r="F341" s="20">
        <f t="shared" si="17"/>
        <v>0.32184565281522998</v>
      </c>
    </row>
    <row r="342" spans="1:6" ht="15" customHeight="1">
      <c r="A342" s="18" t="str">
        <f>'F Plus CO2'!A1280</f>
        <v>7/1986</v>
      </c>
      <c r="B342" s="19">
        <f t="shared" si="15"/>
        <v>1986.5416666666667</v>
      </c>
      <c r="C342" s="20">
        <f>'F Plus CO2'!B1280</f>
        <v>57.397999999999996</v>
      </c>
      <c r="D342" s="19">
        <f>'F Plus CO2'!C1280</f>
        <v>348.25</v>
      </c>
      <c r="E342" s="19">
        <f t="shared" si="16"/>
        <v>0.10999999999999766</v>
      </c>
      <c r="F342" s="20">
        <f t="shared" si="17"/>
        <v>0.31469652565628642</v>
      </c>
    </row>
    <row r="343" spans="1:6" ht="15" customHeight="1">
      <c r="A343" s="18" t="str">
        <f>'F Plus CO2'!A1281</f>
        <v>8/1986</v>
      </c>
      <c r="B343" s="19">
        <f t="shared" si="15"/>
        <v>1986.625</v>
      </c>
      <c r="C343" s="20">
        <f>'F Plus CO2'!B1281</f>
        <v>57.488</v>
      </c>
      <c r="D343" s="19">
        <f>'F Plus CO2'!C1281</f>
        <v>346.17</v>
      </c>
      <c r="E343" s="19">
        <f t="shared" si="16"/>
        <v>0.16000000000000014</v>
      </c>
      <c r="F343" s="20">
        <f t="shared" si="17"/>
        <v>0.30605387521602989</v>
      </c>
    </row>
    <row r="344" spans="1:6" ht="15" customHeight="1">
      <c r="A344" s="18" t="str">
        <f>'F Plus CO2'!A1282</f>
        <v>9/1986</v>
      </c>
      <c r="B344" s="19">
        <f t="shared" si="15"/>
        <v>1986.7083333333333</v>
      </c>
      <c r="C344" s="20">
        <f>'F Plus CO2'!B1282</f>
        <v>57.253999999999998</v>
      </c>
      <c r="D344" s="19">
        <f>'F Plus CO2'!C1282</f>
        <v>345.48</v>
      </c>
      <c r="E344" s="19">
        <f t="shared" si="16"/>
        <v>2.9999999999997584E-2</v>
      </c>
      <c r="F344" s="20">
        <f t="shared" si="17"/>
        <v>0.30317536756489971</v>
      </c>
    </row>
    <row r="345" spans="1:6" ht="15" customHeight="1">
      <c r="A345" s="18" t="str">
        <f>'F Plus CO2'!A1283</f>
        <v>10/1986</v>
      </c>
      <c r="B345" s="19">
        <f t="shared" si="15"/>
        <v>1986.7916666666667</v>
      </c>
      <c r="C345" s="20">
        <f>'F Plus CO2'!B1283</f>
        <v>57.47</v>
      </c>
      <c r="D345" s="19">
        <f>'F Plus CO2'!C1283</f>
        <v>344.82</v>
      </c>
      <c r="E345" s="19">
        <f t="shared" si="16"/>
        <v>0.14999999999999858</v>
      </c>
      <c r="F345" s="20">
        <f t="shared" si="17"/>
        <v>0.30041662783687401</v>
      </c>
    </row>
    <row r="346" spans="1:6" ht="15" customHeight="1">
      <c r="A346" s="18" t="str">
        <f>'F Plus CO2'!A1284</f>
        <v>11/1986</v>
      </c>
      <c r="B346" s="19">
        <f t="shared" si="15"/>
        <v>1986.875</v>
      </c>
      <c r="C346" s="20">
        <f>'F Plus CO2'!B1284</f>
        <v>57.379999999999995</v>
      </c>
      <c r="D346" s="19">
        <f>'F Plus CO2'!C1284</f>
        <v>346.22</v>
      </c>
      <c r="E346" s="19">
        <f t="shared" si="16"/>
        <v>9.9999999999997868E-2</v>
      </c>
      <c r="F346" s="20">
        <f t="shared" si="17"/>
        <v>0.30626223972785099</v>
      </c>
    </row>
    <row r="347" spans="1:6" ht="15" customHeight="1">
      <c r="A347" s="18" t="str">
        <f>'F Plus CO2'!A1285</f>
        <v>12/1986</v>
      </c>
      <c r="B347" s="19">
        <f t="shared" si="15"/>
        <v>1986.9583333333333</v>
      </c>
      <c r="C347" s="20">
        <f>'F Plus CO2'!B1285</f>
        <v>57.433999999999997</v>
      </c>
      <c r="D347" s="19">
        <f>'F Plus CO2'!C1285</f>
        <v>347.48</v>
      </c>
      <c r="E347" s="19">
        <f t="shared" si="16"/>
        <v>0.12999999999999901</v>
      </c>
      <c r="F347" s="20">
        <f t="shared" si="17"/>
        <v>0.31150311546826975</v>
      </c>
    </row>
    <row r="348" spans="1:6" ht="15" customHeight="1">
      <c r="A348" s="18" t="str">
        <f>'F Plus CO2'!A1286</f>
        <v>1/1987</v>
      </c>
      <c r="B348" s="19">
        <f t="shared" si="15"/>
        <v>1987.0416666666667</v>
      </c>
      <c r="C348" s="20">
        <f>'F Plus CO2'!B1286</f>
        <v>57.775999999999996</v>
      </c>
      <c r="D348" s="19">
        <f>'F Plus CO2'!C1286</f>
        <v>348.73</v>
      </c>
      <c r="E348" s="19">
        <f t="shared" si="16"/>
        <v>0.32000000000000028</v>
      </c>
      <c r="F348" s="20">
        <f t="shared" si="17"/>
        <v>0.31668365219967981</v>
      </c>
    </row>
    <row r="349" spans="1:6" ht="15" customHeight="1">
      <c r="A349" s="18" t="str">
        <f>'F Plus CO2'!A1287</f>
        <v>2/1987</v>
      </c>
      <c r="B349" s="19">
        <f t="shared" si="15"/>
        <v>1987.125</v>
      </c>
      <c r="C349" s="20">
        <f>'F Plus CO2'!B1287</f>
        <v>57.974000000000004</v>
      </c>
      <c r="D349" s="19">
        <f>'F Plus CO2'!C1287</f>
        <v>348.92</v>
      </c>
      <c r="E349" s="19">
        <f t="shared" si="16"/>
        <v>0.42999999999999972</v>
      </c>
      <c r="F349" s="20">
        <f t="shared" si="17"/>
        <v>0.31746946762158468</v>
      </c>
    </row>
    <row r="350" spans="1:6" ht="15" customHeight="1">
      <c r="A350" s="18" t="str">
        <f>'F Plus CO2'!A1288</f>
        <v>3/1987</v>
      </c>
      <c r="B350" s="19">
        <f t="shared" si="15"/>
        <v>1987.2083333333333</v>
      </c>
      <c r="C350" s="20">
        <f>'F Plus CO2'!B1288</f>
        <v>57.524000000000001</v>
      </c>
      <c r="D350" s="19">
        <f>'F Plus CO2'!C1288</f>
        <v>349.81</v>
      </c>
      <c r="E350" s="19">
        <f t="shared" si="16"/>
        <v>0.17999999999999972</v>
      </c>
      <c r="F350" s="20">
        <f t="shared" si="17"/>
        <v>0.32114470492578934</v>
      </c>
    </row>
    <row r="351" spans="1:6" ht="15" customHeight="1">
      <c r="A351" s="18" t="str">
        <f>'F Plus CO2'!A1289</f>
        <v>4/1987</v>
      </c>
      <c r="B351" s="19">
        <f t="shared" si="15"/>
        <v>1987.2916666666667</v>
      </c>
      <c r="C351" s="20">
        <f>'F Plus CO2'!B1289</f>
        <v>57.632000000000005</v>
      </c>
      <c r="D351" s="19">
        <f>'F Plus CO2'!C1289</f>
        <v>351.4</v>
      </c>
      <c r="E351" s="19">
        <f t="shared" si="16"/>
        <v>0.24000000000000199</v>
      </c>
      <c r="F351" s="20">
        <f t="shared" si="17"/>
        <v>0.32768736417604716</v>
      </c>
    </row>
    <row r="352" spans="1:6" ht="15" customHeight="1">
      <c r="A352" s="18" t="str">
        <f>'F Plus CO2'!A1290</f>
        <v>5/1987</v>
      </c>
      <c r="B352" s="19">
        <f t="shared" si="15"/>
        <v>1987.375</v>
      </c>
      <c r="C352" s="20">
        <f>'F Plus CO2'!B1290</f>
        <v>57.667999999999999</v>
      </c>
      <c r="D352" s="19">
        <f>'F Plus CO2'!C1290</f>
        <v>352.15</v>
      </c>
      <c r="E352" s="19">
        <f t="shared" si="16"/>
        <v>0.25999999999999979</v>
      </c>
      <c r="F352" s="20">
        <f t="shared" si="17"/>
        <v>0.33076325555700942</v>
      </c>
    </row>
    <row r="353" spans="1:6" ht="15" customHeight="1">
      <c r="A353" s="18" t="str">
        <f>'F Plus CO2'!A1291</f>
        <v>6/1987</v>
      </c>
      <c r="B353" s="19">
        <f t="shared" si="15"/>
        <v>1987.4583333333333</v>
      </c>
      <c r="C353" s="20">
        <f>'F Plus CO2'!B1291</f>
        <v>57.83</v>
      </c>
      <c r="D353" s="19">
        <f>'F Plus CO2'!C1291</f>
        <v>351.58</v>
      </c>
      <c r="E353" s="19">
        <f t="shared" si="16"/>
        <v>0.34999999999999787</v>
      </c>
      <c r="F353" s="20">
        <f t="shared" si="17"/>
        <v>0.32842617641262656</v>
      </c>
    </row>
    <row r="354" spans="1:6" ht="15" customHeight="1">
      <c r="A354" s="18" t="str">
        <f>'F Plus CO2'!A1292</f>
        <v>7/1987</v>
      </c>
      <c r="B354" s="19">
        <f t="shared" si="15"/>
        <v>1987.5416666666667</v>
      </c>
      <c r="C354" s="20">
        <f>'F Plus CO2'!B1292</f>
        <v>57.92</v>
      </c>
      <c r="D354" s="19">
        <f>'F Plus CO2'!C1292</f>
        <v>350.21</v>
      </c>
      <c r="E354" s="19">
        <f t="shared" si="16"/>
        <v>0.40000000000000213</v>
      </c>
      <c r="F354" s="20">
        <f t="shared" si="17"/>
        <v>0.32279345233061574</v>
      </c>
    </row>
    <row r="355" spans="1:6" ht="15" customHeight="1">
      <c r="A355" s="18" t="str">
        <f>'F Plus CO2'!A1293</f>
        <v>8/1987</v>
      </c>
      <c r="B355" s="19">
        <f t="shared" si="15"/>
        <v>1987.625</v>
      </c>
      <c r="C355" s="20">
        <f>'F Plus CO2'!B1293</f>
        <v>57.650000000000006</v>
      </c>
      <c r="D355" s="19">
        <f>'F Plus CO2'!C1293</f>
        <v>348.2</v>
      </c>
      <c r="E355" s="19">
        <f t="shared" si="16"/>
        <v>0.25000000000000355</v>
      </c>
      <c r="F355" s="20">
        <f t="shared" si="17"/>
        <v>0.31448937581877229</v>
      </c>
    </row>
    <row r="356" spans="1:6" ht="15" customHeight="1">
      <c r="A356" s="18" t="str">
        <f>'F Plus CO2'!A1294</f>
        <v>9/1987</v>
      </c>
      <c r="B356" s="19">
        <f t="shared" si="15"/>
        <v>1987.7083333333333</v>
      </c>
      <c r="C356" s="20">
        <f>'F Plus CO2'!B1294</f>
        <v>57.83</v>
      </c>
      <c r="D356" s="19">
        <f>'F Plus CO2'!C1294</f>
        <v>346.66</v>
      </c>
      <c r="E356" s="19">
        <f t="shared" si="16"/>
        <v>0.34999999999999787</v>
      </c>
      <c r="F356" s="20">
        <f t="shared" si="17"/>
        <v>0.30809455096015637</v>
      </c>
    </row>
    <row r="357" spans="1:6" ht="15" customHeight="1">
      <c r="A357" s="18" t="str">
        <f>'F Plus CO2'!A1295</f>
        <v>10/1987</v>
      </c>
      <c r="B357" s="19">
        <f t="shared" si="15"/>
        <v>1987.7916666666667</v>
      </c>
      <c r="C357" s="20">
        <f>'F Plus CO2'!B1295</f>
        <v>57.793999999999997</v>
      </c>
      <c r="D357" s="19">
        <f>'F Plus CO2'!C1295</f>
        <v>346.72</v>
      </c>
      <c r="E357" s="19">
        <f t="shared" si="16"/>
        <v>0.32999999999999652</v>
      </c>
      <c r="F357" s="20">
        <f t="shared" si="17"/>
        <v>0.30834423137398254</v>
      </c>
    </row>
    <row r="358" spans="1:6" ht="15" customHeight="1">
      <c r="A358" s="18" t="str">
        <f>'F Plus CO2'!A1296</f>
        <v>11/1987</v>
      </c>
      <c r="B358" s="19">
        <f t="shared" si="15"/>
        <v>1987.875</v>
      </c>
      <c r="C358" s="20">
        <f>'F Plus CO2'!B1296</f>
        <v>57.721999999999994</v>
      </c>
      <c r="D358" s="19">
        <f>'F Plus CO2'!C1296</f>
        <v>348.08</v>
      </c>
      <c r="E358" s="19">
        <f t="shared" si="16"/>
        <v>0.28999999999999559</v>
      </c>
      <c r="F358" s="20">
        <f t="shared" si="17"/>
        <v>0.31399209482083829</v>
      </c>
    </row>
    <row r="359" spans="1:6" ht="15" customHeight="1">
      <c r="A359" s="18" t="str">
        <f>'F Plus CO2'!A1297</f>
        <v>12/1987</v>
      </c>
      <c r="B359" s="19">
        <f t="shared" si="15"/>
        <v>1987.9583333333333</v>
      </c>
      <c r="C359" s="20">
        <f>'F Plus CO2'!B1297</f>
        <v>58.028000000000006</v>
      </c>
      <c r="D359" s="19">
        <f>'F Plus CO2'!C1297</f>
        <v>349.28</v>
      </c>
      <c r="E359" s="19">
        <f t="shared" si="16"/>
        <v>0.46000000000000441</v>
      </c>
      <c r="F359" s="20">
        <f t="shared" si="17"/>
        <v>0.3189572082710998</v>
      </c>
    </row>
    <row r="360" spans="1:6" ht="15" customHeight="1">
      <c r="A360" s="18" t="str">
        <f>'F Plus CO2'!A1298</f>
        <v>1/1988</v>
      </c>
      <c r="B360" s="19">
        <f t="shared" si="15"/>
        <v>1988.0416666666667</v>
      </c>
      <c r="C360" s="20">
        <f>'F Plus CO2'!B1298</f>
        <v>58.225999999999999</v>
      </c>
      <c r="D360" s="19">
        <f>'F Plus CO2'!C1298</f>
        <v>350.51</v>
      </c>
      <c r="E360" s="19">
        <f t="shared" si="16"/>
        <v>0.57000000000000028</v>
      </c>
      <c r="F360" s="20">
        <f t="shared" si="17"/>
        <v>0.32402877753529308</v>
      </c>
    </row>
    <row r="361" spans="1:6" ht="15" customHeight="1">
      <c r="A361" s="18" t="str">
        <f>'F Plus CO2'!A1299</f>
        <v>2/1988</v>
      </c>
      <c r="B361" s="19">
        <f t="shared" si="15"/>
        <v>1988.125</v>
      </c>
      <c r="C361" s="20">
        <f>'F Plus CO2'!B1299</f>
        <v>57.992000000000004</v>
      </c>
      <c r="D361" s="19">
        <f>'F Plus CO2'!C1299</f>
        <v>351.7</v>
      </c>
      <c r="E361" s="19">
        <f t="shared" si="16"/>
        <v>0.44000000000000483</v>
      </c>
      <c r="F361" s="20">
        <f t="shared" si="17"/>
        <v>0.32891850779297804</v>
      </c>
    </row>
    <row r="362" spans="1:6" ht="15" customHeight="1">
      <c r="A362" s="18" t="str">
        <f>'F Plus CO2'!A1300</f>
        <v>3/1988</v>
      </c>
      <c r="B362" s="19">
        <f t="shared" si="15"/>
        <v>1988.2083333333333</v>
      </c>
      <c r="C362" s="20">
        <f>'F Plus CO2'!B1300</f>
        <v>58.135999999999996</v>
      </c>
      <c r="D362" s="19">
        <f>'F Plus CO2'!C1300</f>
        <v>352.5</v>
      </c>
      <c r="E362" s="19">
        <f t="shared" si="16"/>
        <v>0.5199999999999978</v>
      </c>
      <c r="F362" s="20">
        <f t="shared" si="17"/>
        <v>0.3321964303411894</v>
      </c>
    </row>
    <row r="363" spans="1:6" ht="15" customHeight="1">
      <c r="A363" s="18" t="str">
        <f>'F Plus CO2'!A1301</f>
        <v>4/1988</v>
      </c>
      <c r="B363" s="19">
        <f t="shared" si="15"/>
        <v>1988.2916666666667</v>
      </c>
      <c r="C363" s="20">
        <f>'F Plus CO2'!B1301</f>
        <v>57.974000000000004</v>
      </c>
      <c r="D363" s="19">
        <f>'F Plus CO2'!C1301</f>
        <v>353.67</v>
      </c>
      <c r="E363" s="19">
        <f t="shared" si="16"/>
        <v>0.42999999999999972</v>
      </c>
      <c r="F363" s="20">
        <f t="shared" si="17"/>
        <v>0.33697702068730562</v>
      </c>
    </row>
    <row r="364" spans="1:6" ht="15" customHeight="1">
      <c r="A364" s="18" t="str">
        <f>'F Plus CO2'!A1302</f>
        <v>5/1988</v>
      </c>
      <c r="B364" s="19">
        <f t="shared" si="15"/>
        <v>1988.375</v>
      </c>
      <c r="C364" s="20">
        <f>'F Plus CO2'!B1302</f>
        <v>57.992000000000004</v>
      </c>
      <c r="D364" s="19">
        <f>'F Plus CO2'!C1302</f>
        <v>354.35</v>
      </c>
      <c r="E364" s="19">
        <f t="shared" si="16"/>
        <v>0.44000000000000483</v>
      </c>
      <c r="F364" s="20">
        <f t="shared" si="17"/>
        <v>0.33974822186649467</v>
      </c>
    </row>
    <row r="365" spans="1:6" ht="15" customHeight="1">
      <c r="A365" s="18" t="str">
        <f>'F Plus CO2'!A1303</f>
        <v>6/1988</v>
      </c>
      <c r="B365" s="19">
        <f t="shared" si="15"/>
        <v>1988.4583333333333</v>
      </c>
      <c r="C365" s="20">
        <f>'F Plus CO2'!B1303</f>
        <v>57.92</v>
      </c>
      <c r="D365" s="19">
        <f>'F Plus CO2'!C1303</f>
        <v>353.88</v>
      </c>
      <c r="E365" s="19">
        <f t="shared" si="16"/>
        <v>0.40000000000000213</v>
      </c>
      <c r="F365" s="20">
        <f t="shared" si="17"/>
        <v>0.33783340106320175</v>
      </c>
    </row>
    <row r="366" spans="1:6" ht="15" customHeight="1">
      <c r="A366" s="18" t="str">
        <f>'F Plus CO2'!A1304</f>
        <v>7/1988</v>
      </c>
      <c r="B366" s="19">
        <f t="shared" si="15"/>
        <v>1988.5416666666667</v>
      </c>
      <c r="C366" s="20">
        <f>'F Plus CO2'!B1304</f>
        <v>57.793999999999997</v>
      </c>
      <c r="D366" s="19">
        <f>'F Plus CO2'!C1304</f>
        <v>352.8</v>
      </c>
      <c r="E366" s="19">
        <f t="shared" si="16"/>
        <v>0.32999999999999652</v>
      </c>
      <c r="F366" s="20">
        <f t="shared" si="17"/>
        <v>0.3334237337251918</v>
      </c>
    </row>
    <row r="367" spans="1:6" ht="15" customHeight="1">
      <c r="A367" s="18" t="str">
        <f>'F Plus CO2'!A1305</f>
        <v>8/1988</v>
      </c>
      <c r="B367" s="19">
        <f t="shared" si="15"/>
        <v>1988.625</v>
      </c>
      <c r="C367" s="20">
        <f>'F Plus CO2'!B1305</f>
        <v>57.902000000000001</v>
      </c>
      <c r="D367" s="19">
        <f>'F Plus CO2'!C1305</f>
        <v>350.49</v>
      </c>
      <c r="E367" s="19">
        <f t="shared" si="16"/>
        <v>0.38999999999999879</v>
      </c>
      <c r="F367" s="20">
        <f t="shared" si="17"/>
        <v>0.32394645542166806</v>
      </c>
    </row>
    <row r="368" spans="1:6" ht="15" customHeight="1">
      <c r="A368" s="18" t="str">
        <f>'F Plus CO2'!A1306</f>
        <v>9/1988</v>
      </c>
      <c r="B368" s="19">
        <f t="shared" si="15"/>
        <v>1988.7083333333333</v>
      </c>
      <c r="C368" s="20">
        <f>'F Plus CO2'!B1306</f>
        <v>57.866</v>
      </c>
      <c r="D368" s="19">
        <f>'F Plus CO2'!C1306</f>
        <v>348.97</v>
      </c>
      <c r="E368" s="19">
        <f t="shared" si="16"/>
        <v>0.36999999999999744</v>
      </c>
      <c r="F368" s="20">
        <f t="shared" si="17"/>
        <v>0.31767619003390707</v>
      </c>
    </row>
    <row r="369" spans="1:6" ht="15" customHeight="1">
      <c r="A369" s="18" t="str">
        <f>'F Plus CO2'!A1307</f>
        <v>10/1988</v>
      </c>
      <c r="B369" s="19">
        <f t="shared" si="15"/>
        <v>1988.7916666666667</v>
      </c>
      <c r="C369" s="20">
        <f>'F Plus CO2'!B1307</f>
        <v>57.884</v>
      </c>
      <c r="D369" s="19">
        <f>'F Plus CO2'!C1307</f>
        <v>349.37</v>
      </c>
      <c r="E369" s="19">
        <f t="shared" si="16"/>
        <v>0.38000000000000256</v>
      </c>
      <c r="F369" s="20">
        <f t="shared" si="17"/>
        <v>0.3193289038394051</v>
      </c>
    </row>
    <row r="370" spans="1:6" ht="15" customHeight="1">
      <c r="A370" s="18" t="str">
        <f>'F Plus CO2'!A1308</f>
        <v>11/1988</v>
      </c>
      <c r="B370" s="19">
        <f t="shared" si="15"/>
        <v>1988.875</v>
      </c>
      <c r="C370" s="20">
        <f>'F Plus CO2'!B1308</f>
        <v>57.415999999999997</v>
      </c>
      <c r="D370" s="19">
        <f>'F Plus CO2'!C1308</f>
        <v>350.42</v>
      </c>
      <c r="E370" s="19">
        <f t="shared" si="16"/>
        <v>0.11999999999999744</v>
      </c>
      <c r="F370" s="20">
        <f t="shared" si="17"/>
        <v>0.32365829102624488</v>
      </c>
    </row>
    <row r="371" spans="1:6" ht="15" customHeight="1">
      <c r="A371" s="18" t="str">
        <f>'F Plus CO2'!A1309</f>
        <v>12/1988</v>
      </c>
      <c r="B371" s="19">
        <f t="shared" si="15"/>
        <v>1988.9583333333333</v>
      </c>
      <c r="C371" s="20">
        <f>'F Plus CO2'!B1309</f>
        <v>57.721999999999994</v>
      </c>
      <c r="D371" s="19">
        <f>'F Plus CO2'!C1309</f>
        <v>351.62</v>
      </c>
      <c r="E371" s="19">
        <f t="shared" si="16"/>
        <v>0.28999999999999559</v>
      </c>
      <c r="F371" s="20">
        <f t="shared" si="17"/>
        <v>0.32859030554145996</v>
      </c>
    </row>
    <row r="372" spans="1:6" ht="15" customHeight="1">
      <c r="A372" s="18" t="str">
        <f>'F Plus CO2'!A1310</f>
        <v>1/1989</v>
      </c>
      <c r="B372" s="19">
        <f t="shared" si="15"/>
        <v>1989.0416666666667</v>
      </c>
      <c r="C372" s="20">
        <f>'F Plus CO2'!B1310</f>
        <v>57.415999999999997</v>
      </c>
      <c r="D372" s="19">
        <f>'F Plus CO2'!C1310</f>
        <v>353.07</v>
      </c>
      <c r="E372" s="19">
        <f t="shared" si="16"/>
        <v>0.11999999999999744</v>
      </c>
      <c r="F372" s="20">
        <f t="shared" si="17"/>
        <v>0.33452741479971682</v>
      </c>
    </row>
    <row r="373" spans="1:6" ht="15" customHeight="1">
      <c r="A373" s="18" t="str">
        <f>'F Plus CO2'!A1311</f>
        <v>2/1989</v>
      </c>
      <c r="B373" s="19">
        <f t="shared" si="15"/>
        <v>1989.125</v>
      </c>
      <c r="C373" s="20">
        <f>'F Plus CO2'!B1311</f>
        <v>57.74</v>
      </c>
      <c r="D373" s="19">
        <f>'F Plus CO2'!C1311</f>
        <v>353.43</v>
      </c>
      <c r="E373" s="19">
        <f t="shared" si="16"/>
        <v>0.30000000000000249</v>
      </c>
      <c r="F373" s="20">
        <f t="shared" si="17"/>
        <v>0.33599767738901826</v>
      </c>
    </row>
    <row r="374" spans="1:6" ht="15" customHeight="1">
      <c r="A374" s="18" t="str">
        <f>'F Plus CO2'!A1312</f>
        <v>3/1989</v>
      </c>
      <c r="B374" s="19">
        <f t="shared" si="15"/>
        <v>1989.2083333333333</v>
      </c>
      <c r="C374" s="20">
        <f>'F Plus CO2'!B1312</f>
        <v>57.847999999999999</v>
      </c>
      <c r="D374" s="19">
        <f>'F Plus CO2'!C1312</f>
        <v>354.08</v>
      </c>
      <c r="E374" s="19">
        <f t="shared" si="16"/>
        <v>0.36000000000000121</v>
      </c>
      <c r="F374" s="20">
        <f t="shared" si="17"/>
        <v>0.33864852908132032</v>
      </c>
    </row>
    <row r="375" spans="1:6" ht="15" customHeight="1">
      <c r="A375" s="18" t="str">
        <f>'F Plus CO2'!A1313</f>
        <v>4/1989</v>
      </c>
      <c r="B375" s="19">
        <f t="shared" si="15"/>
        <v>1989.2916666666667</v>
      </c>
      <c r="C375" s="20">
        <f>'F Plus CO2'!B1313</f>
        <v>57.721999999999994</v>
      </c>
      <c r="D375" s="19">
        <f>'F Plus CO2'!C1313</f>
        <v>355.72</v>
      </c>
      <c r="E375" s="19">
        <f t="shared" si="16"/>
        <v>0.28999999999999559</v>
      </c>
      <c r="F375" s="20">
        <f t="shared" si="17"/>
        <v>0.3453152635906736</v>
      </c>
    </row>
    <row r="376" spans="1:6" ht="15" customHeight="1">
      <c r="A376" s="18" t="str">
        <f>'F Plus CO2'!A1314</f>
        <v>5/1989</v>
      </c>
      <c r="B376" s="19">
        <f t="shared" si="15"/>
        <v>1989.375</v>
      </c>
      <c r="C376" s="20">
        <f>'F Plus CO2'!B1314</f>
        <v>57.524000000000001</v>
      </c>
      <c r="D376" s="19">
        <f>'F Plus CO2'!C1314</f>
        <v>355.95</v>
      </c>
      <c r="E376" s="19">
        <f t="shared" si="16"/>
        <v>0.17999999999999972</v>
      </c>
      <c r="F376" s="20">
        <f t="shared" si="17"/>
        <v>0.34624777408277535</v>
      </c>
    </row>
    <row r="377" spans="1:6" ht="15" customHeight="1">
      <c r="A377" s="18" t="str">
        <f>'F Plus CO2'!A1315</f>
        <v>6/1989</v>
      </c>
      <c r="B377" s="19">
        <f t="shared" si="15"/>
        <v>1989.4583333333333</v>
      </c>
      <c r="C377" s="20">
        <f>'F Plus CO2'!B1315</f>
        <v>57.47</v>
      </c>
      <c r="D377" s="19">
        <f>'F Plus CO2'!C1315</f>
        <v>355.44</v>
      </c>
      <c r="E377" s="19">
        <f t="shared" si="16"/>
        <v>0.14999999999999858</v>
      </c>
      <c r="F377" s="20">
        <f t="shared" si="17"/>
        <v>0.3441792192903127</v>
      </c>
    </row>
    <row r="378" spans="1:6" ht="15" customHeight="1">
      <c r="A378" s="18" t="str">
        <f>'F Plus CO2'!A1316</f>
        <v>7/1989</v>
      </c>
      <c r="B378" s="19">
        <f t="shared" si="15"/>
        <v>1989.5416666666667</v>
      </c>
      <c r="C378" s="20">
        <f>'F Plus CO2'!B1316</f>
        <v>57.83</v>
      </c>
      <c r="D378" s="19">
        <f>'F Plus CO2'!C1316</f>
        <v>354.05</v>
      </c>
      <c r="E378" s="19">
        <f t="shared" si="16"/>
        <v>0.34999999999999787</v>
      </c>
      <c r="F378" s="20">
        <f t="shared" si="17"/>
        <v>0.33852628923481626</v>
      </c>
    </row>
    <row r="379" spans="1:6" ht="15" customHeight="1">
      <c r="A379" s="18" t="str">
        <f>'F Plus CO2'!A1317</f>
        <v>8/1989</v>
      </c>
      <c r="B379" s="19">
        <f t="shared" si="15"/>
        <v>1989.625</v>
      </c>
      <c r="C379" s="20">
        <f>'F Plus CO2'!B1317</f>
        <v>57.793999999999997</v>
      </c>
      <c r="D379" s="19">
        <f>'F Plus CO2'!C1317</f>
        <v>351.84</v>
      </c>
      <c r="E379" s="19">
        <f t="shared" si="16"/>
        <v>0.32999999999999652</v>
      </c>
      <c r="F379" s="20">
        <f t="shared" si="17"/>
        <v>0.32949268213527677</v>
      </c>
    </row>
    <row r="380" spans="1:6" ht="15" customHeight="1">
      <c r="A380" s="18" t="str">
        <f>'F Plus CO2'!A1318</f>
        <v>9/1989</v>
      </c>
      <c r="B380" s="19">
        <f t="shared" si="15"/>
        <v>1989.7083333333333</v>
      </c>
      <c r="C380" s="20">
        <f>'F Plus CO2'!B1318</f>
        <v>57.83</v>
      </c>
      <c r="D380" s="19">
        <f>'F Plus CO2'!C1318</f>
        <v>350.09</v>
      </c>
      <c r="E380" s="19">
        <f t="shared" si="16"/>
        <v>0.34999999999999787</v>
      </c>
      <c r="F380" s="20">
        <f t="shared" si="17"/>
        <v>0.32229902592307286</v>
      </c>
    </row>
    <row r="381" spans="1:6" ht="15" customHeight="1">
      <c r="A381" s="18" t="str">
        <f>'F Plus CO2'!A1319</f>
        <v>10/1989</v>
      </c>
      <c r="B381" s="19">
        <f t="shared" si="15"/>
        <v>1989.7916666666667</v>
      </c>
      <c r="C381" s="20">
        <f>'F Plus CO2'!B1319</f>
        <v>57.721999999999994</v>
      </c>
      <c r="D381" s="19">
        <f>'F Plus CO2'!C1319</f>
        <v>350.33</v>
      </c>
      <c r="E381" s="19">
        <f t="shared" si="16"/>
        <v>0.28999999999999559</v>
      </c>
      <c r="F381" s="20">
        <f t="shared" si="17"/>
        <v>0.32328770935119977</v>
      </c>
    </row>
    <row r="382" spans="1:6" ht="15" customHeight="1">
      <c r="A382" s="18" t="str">
        <f>'F Plus CO2'!A1320</f>
        <v>11/1989</v>
      </c>
      <c r="B382" s="19">
        <f t="shared" si="15"/>
        <v>1989.875</v>
      </c>
      <c r="C382" s="20">
        <f>'F Plus CO2'!B1320</f>
        <v>57.56</v>
      </c>
      <c r="D382" s="19">
        <f>'F Plus CO2'!C1320</f>
        <v>351.55</v>
      </c>
      <c r="E382" s="19">
        <f t="shared" si="16"/>
        <v>0.20000000000000107</v>
      </c>
      <c r="F382" s="20">
        <f t="shared" si="17"/>
        <v>0.32830306731117204</v>
      </c>
    </row>
    <row r="383" spans="1:6" ht="15" customHeight="1">
      <c r="A383" s="18" t="str">
        <f>'F Plus CO2'!A1321</f>
        <v>12/1989</v>
      </c>
      <c r="B383" s="19">
        <f t="shared" si="15"/>
        <v>1989.9583333333333</v>
      </c>
      <c r="C383" s="20">
        <f>'F Plus CO2'!B1321</f>
        <v>57.866</v>
      </c>
      <c r="D383" s="19">
        <f>'F Plus CO2'!C1321</f>
        <v>352.91</v>
      </c>
      <c r="E383" s="19">
        <f t="shared" si="16"/>
        <v>0.36999999999999744</v>
      </c>
      <c r="F383" s="20">
        <f t="shared" si="17"/>
        <v>0.33387348349714652</v>
      </c>
    </row>
    <row r="384" spans="1:6" ht="15" customHeight="1">
      <c r="A384" s="18" t="str">
        <f>'F Plus CO2'!A1322</f>
        <v>1/1990</v>
      </c>
      <c r="B384" s="19">
        <f t="shared" si="15"/>
        <v>1990.0416666666667</v>
      </c>
      <c r="C384" s="20">
        <f>'F Plus CO2'!B1322</f>
        <v>57.956000000000003</v>
      </c>
      <c r="D384" s="19">
        <f>'F Plus CO2'!C1322</f>
        <v>353.86</v>
      </c>
      <c r="E384" s="19">
        <f t="shared" si="16"/>
        <v>0.42000000000000348</v>
      </c>
      <c r="F384" s="20">
        <f t="shared" si="17"/>
        <v>0.33775186292539572</v>
      </c>
    </row>
    <row r="385" spans="1:6" ht="15" customHeight="1">
      <c r="A385" s="18" t="str">
        <f>'F Plus CO2'!A1323</f>
        <v>2/1990</v>
      </c>
      <c r="B385" s="19">
        <f t="shared" si="15"/>
        <v>1990.125</v>
      </c>
      <c r="C385" s="20">
        <f>'F Plus CO2'!B1323</f>
        <v>57.992000000000004</v>
      </c>
      <c r="D385" s="19">
        <f>'F Plus CO2'!C1323</f>
        <v>355.1</v>
      </c>
      <c r="E385" s="19">
        <f t="shared" si="16"/>
        <v>0.44000000000000483</v>
      </c>
      <c r="F385" s="20">
        <f t="shared" si="17"/>
        <v>0.34279853318864284</v>
      </c>
    </row>
    <row r="386" spans="1:6" ht="15" customHeight="1">
      <c r="A386" s="18" t="str">
        <f>'F Plus CO2'!A1324</f>
        <v>3/1990</v>
      </c>
      <c r="B386" s="19">
        <f t="shared" ref="B386:B449" si="18">VALUE(RIGHT(A386,4))+(VALUE(LEFT(A386,FIND("/",A386)-1))-0.5)/12</f>
        <v>1990.2083333333333</v>
      </c>
      <c r="C386" s="20">
        <f>'F Plus CO2'!B1324</f>
        <v>58.64</v>
      </c>
      <c r="D386" s="19">
        <f>'F Plus CO2'!C1324</f>
        <v>355.75</v>
      </c>
      <c r="E386" s="19">
        <f t="shared" ref="E386:E449" si="19">(C386-32)*5/9-$I$3</f>
        <v>0.79999999999999893</v>
      </c>
      <c r="F386" s="20">
        <f t="shared" ref="F386:F449" si="20">LOG(D386/$I$4,2)</f>
        <v>0.34543692958151601</v>
      </c>
    </row>
    <row r="387" spans="1:6" ht="15" customHeight="1">
      <c r="A387" s="18" t="str">
        <f>'F Plus CO2'!A1325</f>
        <v>4/1990</v>
      </c>
      <c r="B387" s="19">
        <f t="shared" si="18"/>
        <v>1990.2916666666667</v>
      </c>
      <c r="C387" s="20">
        <f>'F Plus CO2'!B1325</f>
        <v>58.207999999999998</v>
      </c>
      <c r="D387" s="19">
        <f>'F Plus CO2'!C1325</f>
        <v>356.38</v>
      </c>
      <c r="E387" s="19">
        <f t="shared" si="19"/>
        <v>0.55999999999999872</v>
      </c>
      <c r="F387" s="20">
        <f t="shared" si="20"/>
        <v>0.34798954810025179</v>
      </c>
    </row>
    <row r="388" spans="1:6" ht="15" customHeight="1">
      <c r="A388" s="18" t="str">
        <f>'F Plus CO2'!A1326</f>
        <v>5/1990</v>
      </c>
      <c r="B388" s="19">
        <f t="shared" si="18"/>
        <v>1990.375</v>
      </c>
      <c r="C388" s="20">
        <f>'F Plus CO2'!B1326</f>
        <v>58.028000000000006</v>
      </c>
      <c r="D388" s="19">
        <f>'F Plus CO2'!C1326</f>
        <v>357.38</v>
      </c>
      <c r="E388" s="19">
        <f t="shared" si="19"/>
        <v>0.46000000000000441</v>
      </c>
      <c r="F388" s="20">
        <f t="shared" si="20"/>
        <v>0.35203207215550791</v>
      </c>
    </row>
    <row r="389" spans="1:6" ht="15" customHeight="1">
      <c r="A389" s="18" t="str">
        <f>'F Plus CO2'!A1327</f>
        <v>6/1990</v>
      </c>
      <c r="B389" s="19">
        <f t="shared" si="18"/>
        <v>1990.4583333333333</v>
      </c>
      <c r="C389" s="20">
        <f>'F Plus CO2'!B1327</f>
        <v>57.866</v>
      </c>
      <c r="D389" s="19">
        <f>'F Plus CO2'!C1327</f>
        <v>356.39</v>
      </c>
      <c r="E389" s="19">
        <f t="shared" si="19"/>
        <v>0.36999999999999744</v>
      </c>
      <c r="F389" s="20">
        <f t="shared" si="20"/>
        <v>0.34803002946285083</v>
      </c>
    </row>
    <row r="390" spans="1:6" ht="15" customHeight="1">
      <c r="A390" s="18" t="str">
        <f>'F Plus CO2'!A1328</f>
        <v>7/1990</v>
      </c>
      <c r="B390" s="19">
        <f t="shared" si="18"/>
        <v>1990.5416666666667</v>
      </c>
      <c r="C390" s="20">
        <f>'F Plus CO2'!B1328</f>
        <v>58.028000000000006</v>
      </c>
      <c r="D390" s="19">
        <f>'F Plus CO2'!C1328</f>
        <v>354.89</v>
      </c>
      <c r="E390" s="19">
        <f t="shared" si="19"/>
        <v>0.46000000000000441</v>
      </c>
      <c r="F390" s="20">
        <f t="shared" si="20"/>
        <v>0.34194509590805666</v>
      </c>
    </row>
    <row r="391" spans="1:6" ht="15" customHeight="1">
      <c r="A391" s="18" t="str">
        <f>'F Plus CO2'!A1329</f>
        <v>8/1990</v>
      </c>
      <c r="B391" s="19">
        <f t="shared" si="18"/>
        <v>1990.625</v>
      </c>
      <c r="C391" s="20">
        <f>'F Plus CO2'!B1329</f>
        <v>57.811999999999998</v>
      </c>
      <c r="D391" s="19">
        <f>'F Plus CO2'!C1329</f>
        <v>353.06</v>
      </c>
      <c r="E391" s="19">
        <f t="shared" si="19"/>
        <v>0.33999999999999986</v>
      </c>
      <c r="F391" s="20">
        <f t="shared" si="20"/>
        <v>0.3344865527759821</v>
      </c>
    </row>
    <row r="392" spans="1:6" ht="15" customHeight="1">
      <c r="A392" s="18" t="str">
        <f>'F Plus CO2'!A1330</f>
        <v>9/1990</v>
      </c>
      <c r="B392" s="19">
        <f t="shared" si="18"/>
        <v>1990.7083333333333</v>
      </c>
      <c r="C392" s="20">
        <f>'F Plus CO2'!B1330</f>
        <v>57.614000000000004</v>
      </c>
      <c r="D392" s="19">
        <f>'F Plus CO2'!C1330</f>
        <v>351.38</v>
      </c>
      <c r="E392" s="19">
        <f t="shared" si="19"/>
        <v>0.2300000000000022</v>
      </c>
      <c r="F392" s="20">
        <f t="shared" si="20"/>
        <v>0.32760525056773293</v>
      </c>
    </row>
    <row r="393" spans="1:6" ht="15" customHeight="1">
      <c r="A393" s="18" t="str">
        <f>'F Plus CO2'!A1331</f>
        <v>10/1990</v>
      </c>
      <c r="B393" s="19">
        <f t="shared" si="18"/>
        <v>1990.7916666666667</v>
      </c>
      <c r="C393" s="20">
        <f>'F Plus CO2'!B1331</f>
        <v>58.01</v>
      </c>
      <c r="D393" s="19">
        <f>'F Plus CO2'!C1331</f>
        <v>351.69</v>
      </c>
      <c r="E393" s="19">
        <f t="shared" si="19"/>
        <v>0.44999999999999751</v>
      </c>
      <c r="F393" s="20">
        <f t="shared" si="20"/>
        <v>0.32887748659446853</v>
      </c>
    </row>
    <row r="394" spans="1:6" ht="15" customHeight="1">
      <c r="A394" s="18" t="str">
        <f>'F Plus CO2'!A1332</f>
        <v>11/1990</v>
      </c>
      <c r="B394" s="19">
        <f t="shared" si="18"/>
        <v>1990.875</v>
      </c>
      <c r="C394" s="20">
        <f>'F Plus CO2'!B1332</f>
        <v>58.028000000000006</v>
      </c>
      <c r="D394" s="19">
        <f>'F Plus CO2'!C1332</f>
        <v>353.14</v>
      </c>
      <c r="E394" s="19">
        <f t="shared" si="19"/>
        <v>0.46000000000000441</v>
      </c>
      <c r="F394" s="20">
        <f t="shared" si="20"/>
        <v>0.33481341656461083</v>
      </c>
    </row>
    <row r="395" spans="1:6" ht="15" customHeight="1">
      <c r="A395" s="18" t="str">
        <f>'F Plus CO2'!A1333</f>
        <v>12/1990</v>
      </c>
      <c r="B395" s="19">
        <f t="shared" si="18"/>
        <v>1990.9583333333333</v>
      </c>
      <c r="C395" s="20">
        <f>'F Plus CO2'!B1333</f>
        <v>57.92</v>
      </c>
      <c r="D395" s="19">
        <f>'F Plus CO2'!C1333</f>
        <v>354.41</v>
      </c>
      <c r="E395" s="19">
        <f t="shared" si="19"/>
        <v>0.40000000000000213</v>
      </c>
      <c r="F395" s="20">
        <f t="shared" si="20"/>
        <v>0.33999248424772416</v>
      </c>
    </row>
    <row r="396" spans="1:6" ht="15" customHeight="1">
      <c r="A396" s="18" t="str">
        <f>'F Plus CO2'!A1334</f>
        <v>1/1991</v>
      </c>
      <c r="B396" s="19">
        <f t="shared" si="18"/>
        <v>1991.0416666666667</v>
      </c>
      <c r="C396" s="20">
        <f>'F Plus CO2'!B1334</f>
        <v>57.974000000000004</v>
      </c>
      <c r="D396" s="19">
        <f>'F Plus CO2'!C1334</f>
        <v>354.93</v>
      </c>
      <c r="E396" s="19">
        <f t="shared" si="19"/>
        <v>0.42999999999999972</v>
      </c>
      <c r="F396" s="20">
        <f t="shared" si="20"/>
        <v>0.3421076943180667</v>
      </c>
    </row>
    <row r="397" spans="1:6" ht="15" customHeight="1">
      <c r="A397" s="18" t="str">
        <f>'F Plus CO2'!A1335</f>
        <v>2/1991</v>
      </c>
      <c r="B397" s="19">
        <f t="shared" si="18"/>
        <v>1991.125</v>
      </c>
      <c r="C397" s="20">
        <f>'F Plus CO2'!B1335</f>
        <v>58.1</v>
      </c>
      <c r="D397" s="19">
        <f>'F Plus CO2'!C1335</f>
        <v>355.82</v>
      </c>
      <c r="E397" s="19">
        <f t="shared" si="19"/>
        <v>0.5</v>
      </c>
      <c r="F397" s="20">
        <f t="shared" si="20"/>
        <v>0.34572077699832093</v>
      </c>
    </row>
    <row r="398" spans="1:6" ht="15" customHeight="1">
      <c r="A398" s="18" t="str">
        <f>'F Plus CO2'!A1336</f>
        <v>3/1991</v>
      </c>
      <c r="B398" s="19">
        <f t="shared" si="18"/>
        <v>1991.2083333333333</v>
      </c>
      <c r="C398" s="20">
        <f>'F Plus CO2'!B1336</f>
        <v>57.847999999999999</v>
      </c>
      <c r="D398" s="19">
        <f>'F Plus CO2'!C1336</f>
        <v>357.33</v>
      </c>
      <c r="E398" s="19">
        <f t="shared" si="19"/>
        <v>0.36000000000000121</v>
      </c>
      <c r="F398" s="20">
        <f t="shared" si="20"/>
        <v>0.35183021475275128</v>
      </c>
    </row>
    <row r="399" spans="1:6" ht="15" customHeight="1">
      <c r="A399" s="18" t="str">
        <f>'F Plus CO2'!A1337</f>
        <v>4/1991</v>
      </c>
      <c r="B399" s="19">
        <f t="shared" si="18"/>
        <v>1991.2916666666667</v>
      </c>
      <c r="C399" s="20">
        <f>'F Plus CO2'!B1337</f>
        <v>58.117999999999995</v>
      </c>
      <c r="D399" s="19">
        <f>'F Plus CO2'!C1337</f>
        <v>358.77</v>
      </c>
      <c r="E399" s="19">
        <f t="shared" si="19"/>
        <v>0.50999999999999801</v>
      </c>
      <c r="F399" s="20">
        <f t="shared" si="20"/>
        <v>0.35763243136807038</v>
      </c>
    </row>
    <row r="400" spans="1:6" ht="15" customHeight="1">
      <c r="A400" s="18" t="str">
        <f>'F Plus CO2'!A1338</f>
        <v>5/1991</v>
      </c>
      <c r="B400" s="19">
        <f t="shared" si="18"/>
        <v>1991.375</v>
      </c>
      <c r="C400" s="20">
        <f>'F Plus CO2'!B1338</f>
        <v>57.811999999999998</v>
      </c>
      <c r="D400" s="19">
        <f>'F Plus CO2'!C1338</f>
        <v>359.23</v>
      </c>
      <c r="E400" s="19">
        <f t="shared" si="19"/>
        <v>0.33999999999999986</v>
      </c>
      <c r="F400" s="20">
        <f t="shared" si="20"/>
        <v>0.3594810102249153</v>
      </c>
    </row>
    <row r="401" spans="1:6" ht="15" customHeight="1">
      <c r="A401" s="18" t="str">
        <f>'F Plus CO2'!A1339</f>
        <v>6/1991</v>
      </c>
      <c r="B401" s="19">
        <f t="shared" si="18"/>
        <v>1991.4583333333333</v>
      </c>
      <c r="C401" s="20">
        <f>'F Plus CO2'!B1339</f>
        <v>58.153999999999996</v>
      </c>
      <c r="D401" s="19">
        <f>'F Plus CO2'!C1339</f>
        <v>358.23</v>
      </c>
      <c r="E401" s="19">
        <f t="shared" si="19"/>
        <v>0.52999999999999758</v>
      </c>
      <c r="F401" s="20">
        <f t="shared" si="20"/>
        <v>0.35545933382447809</v>
      </c>
    </row>
    <row r="402" spans="1:6" ht="15" customHeight="1">
      <c r="A402" s="18" t="str">
        <f>'F Plus CO2'!A1340</f>
        <v>7/1991</v>
      </c>
      <c r="B402" s="19">
        <f t="shared" si="18"/>
        <v>1991.5416666666667</v>
      </c>
      <c r="C402" s="20">
        <f>'F Plus CO2'!B1340</f>
        <v>58.064</v>
      </c>
      <c r="D402" s="19">
        <f>'F Plus CO2'!C1340</f>
        <v>356.3</v>
      </c>
      <c r="E402" s="19">
        <f t="shared" si="19"/>
        <v>0.47999999999999865</v>
      </c>
      <c r="F402" s="20">
        <f t="shared" si="20"/>
        <v>0.34766565630097057</v>
      </c>
    </row>
    <row r="403" spans="1:6" ht="15" customHeight="1">
      <c r="A403" s="18" t="str">
        <f>'F Plus CO2'!A1341</f>
        <v>8/1991</v>
      </c>
      <c r="B403" s="19">
        <f t="shared" si="18"/>
        <v>1991.625</v>
      </c>
      <c r="C403" s="20">
        <f>'F Plus CO2'!B1341</f>
        <v>57.902000000000001</v>
      </c>
      <c r="D403" s="19">
        <f>'F Plus CO2'!C1341</f>
        <v>353.97</v>
      </c>
      <c r="E403" s="19">
        <f t="shared" si="19"/>
        <v>0.38999999999999879</v>
      </c>
      <c r="F403" s="20">
        <f t="shared" si="20"/>
        <v>0.33820026566553218</v>
      </c>
    </row>
    <row r="404" spans="1:6" ht="15" customHeight="1">
      <c r="A404" s="18" t="str">
        <f>'F Plus CO2'!A1342</f>
        <v>9/1991</v>
      </c>
      <c r="B404" s="19">
        <f t="shared" si="18"/>
        <v>1991.7083333333333</v>
      </c>
      <c r="C404" s="20">
        <f>'F Plus CO2'!B1342</f>
        <v>57.992000000000004</v>
      </c>
      <c r="D404" s="19">
        <f>'F Plus CO2'!C1342</f>
        <v>352.34</v>
      </c>
      <c r="E404" s="19">
        <f t="shared" si="19"/>
        <v>0.44000000000000483</v>
      </c>
      <c r="F404" s="20">
        <f t="shared" si="20"/>
        <v>0.33154144137771635</v>
      </c>
    </row>
    <row r="405" spans="1:6" ht="15" customHeight="1">
      <c r="A405" s="18" t="str">
        <f>'F Plus CO2'!A1343</f>
        <v>10/1991</v>
      </c>
      <c r="B405" s="19">
        <f t="shared" si="18"/>
        <v>1991.7916666666667</v>
      </c>
      <c r="C405" s="20">
        <f>'F Plus CO2'!B1343</f>
        <v>57.721999999999994</v>
      </c>
      <c r="D405" s="19">
        <f>'F Plus CO2'!C1343</f>
        <v>352.43</v>
      </c>
      <c r="E405" s="19">
        <f t="shared" si="19"/>
        <v>0.28999999999999559</v>
      </c>
      <c r="F405" s="20">
        <f t="shared" si="20"/>
        <v>0.3319099092591129</v>
      </c>
    </row>
    <row r="406" spans="1:6" ht="15" customHeight="1">
      <c r="A406" s="18" t="str">
        <f>'F Plus CO2'!A1344</f>
        <v>11/1991</v>
      </c>
      <c r="B406" s="19">
        <f t="shared" si="18"/>
        <v>1991.875</v>
      </c>
      <c r="C406" s="20">
        <f>'F Plus CO2'!B1344</f>
        <v>57.74</v>
      </c>
      <c r="D406" s="19">
        <f>'F Plus CO2'!C1344</f>
        <v>353.89</v>
      </c>
      <c r="E406" s="19">
        <f t="shared" si="19"/>
        <v>0.30000000000000249</v>
      </c>
      <c r="F406" s="20">
        <f t="shared" si="20"/>
        <v>0.3378741684040325</v>
      </c>
    </row>
    <row r="407" spans="1:6" ht="15" customHeight="1">
      <c r="A407" s="18" t="str">
        <f>'F Plus CO2'!A1345</f>
        <v>12/1991</v>
      </c>
      <c r="B407" s="19">
        <f t="shared" si="18"/>
        <v>1991.9583333333333</v>
      </c>
      <c r="C407" s="20">
        <f>'F Plus CO2'!B1345</f>
        <v>57.775999999999996</v>
      </c>
      <c r="D407" s="19">
        <f>'F Plus CO2'!C1345</f>
        <v>355.21</v>
      </c>
      <c r="E407" s="19">
        <f t="shared" si="19"/>
        <v>0.32000000000000028</v>
      </c>
      <c r="F407" s="20">
        <f t="shared" si="20"/>
        <v>0.34324537036048725</v>
      </c>
    </row>
    <row r="408" spans="1:6" ht="15" customHeight="1">
      <c r="A408" s="18" t="str">
        <f>'F Plus CO2'!A1346</f>
        <v>1/1992</v>
      </c>
      <c r="B408" s="19">
        <f t="shared" si="18"/>
        <v>1992.0416666666667</v>
      </c>
      <c r="C408" s="20">
        <f>'F Plus CO2'!B1346</f>
        <v>58.064</v>
      </c>
      <c r="D408" s="19">
        <f>'F Plus CO2'!C1346</f>
        <v>356.34</v>
      </c>
      <c r="E408" s="19">
        <f t="shared" si="19"/>
        <v>0.47999999999999865</v>
      </c>
      <c r="F408" s="20">
        <f t="shared" si="20"/>
        <v>0.34782761129001444</v>
      </c>
    </row>
    <row r="409" spans="1:6" ht="15" customHeight="1">
      <c r="A409" s="18" t="str">
        <f>'F Plus CO2'!A1347</f>
        <v>2/1992</v>
      </c>
      <c r="B409" s="19">
        <f t="shared" si="18"/>
        <v>1992.125</v>
      </c>
      <c r="C409" s="20">
        <f>'F Plus CO2'!B1347</f>
        <v>57.92</v>
      </c>
      <c r="D409" s="19">
        <f>'F Plus CO2'!C1347</f>
        <v>357.21</v>
      </c>
      <c r="E409" s="19">
        <f t="shared" si="19"/>
        <v>0.40000000000000213</v>
      </c>
      <c r="F409" s="20">
        <f t="shared" si="20"/>
        <v>0.35134564172245408</v>
      </c>
    </row>
    <row r="410" spans="1:6" ht="15" customHeight="1">
      <c r="A410" s="18" t="str">
        <f>'F Plus CO2'!A1348</f>
        <v>3/1992</v>
      </c>
      <c r="B410" s="19">
        <f t="shared" si="18"/>
        <v>1992.2083333333333</v>
      </c>
      <c r="C410" s="20">
        <f>'F Plus CO2'!B1348</f>
        <v>58.064</v>
      </c>
      <c r="D410" s="19">
        <f>'F Plus CO2'!C1348</f>
        <v>357.97</v>
      </c>
      <c r="E410" s="19">
        <f t="shared" si="19"/>
        <v>0.47999999999999865</v>
      </c>
      <c r="F410" s="20">
        <f t="shared" si="20"/>
        <v>0.35441185902104577</v>
      </c>
    </row>
    <row r="411" spans="1:6" ht="15" customHeight="1">
      <c r="A411" s="18" t="str">
        <f>'F Plus CO2'!A1349</f>
        <v>4/1992</v>
      </c>
      <c r="B411" s="19">
        <f t="shared" si="18"/>
        <v>1992.2916666666667</v>
      </c>
      <c r="C411" s="20">
        <f>'F Plus CO2'!B1349</f>
        <v>57.704000000000001</v>
      </c>
      <c r="D411" s="19">
        <f>'F Plus CO2'!C1349</f>
        <v>359.22</v>
      </c>
      <c r="E411" s="19">
        <f t="shared" si="19"/>
        <v>0.28000000000000114</v>
      </c>
      <c r="F411" s="20">
        <f t="shared" si="20"/>
        <v>0.35944084890426714</v>
      </c>
    </row>
    <row r="412" spans="1:6" ht="15" customHeight="1">
      <c r="A412" s="18" t="str">
        <f>'F Plus CO2'!A1350</f>
        <v>5/1992</v>
      </c>
      <c r="B412" s="19">
        <f t="shared" si="18"/>
        <v>1992.375</v>
      </c>
      <c r="C412" s="20">
        <f>'F Plus CO2'!B1350</f>
        <v>57.758000000000003</v>
      </c>
      <c r="D412" s="19">
        <f>'F Plus CO2'!C1350</f>
        <v>359.71</v>
      </c>
      <c r="E412" s="19">
        <f t="shared" si="19"/>
        <v>0.31000000000000227</v>
      </c>
      <c r="F412" s="20">
        <f t="shared" si="20"/>
        <v>0.36140744003135555</v>
      </c>
    </row>
    <row r="413" spans="1:6" ht="15" customHeight="1">
      <c r="A413" s="18" t="str">
        <f>'F Plus CO2'!A1351</f>
        <v>6/1992</v>
      </c>
      <c r="B413" s="19">
        <f t="shared" si="18"/>
        <v>1992.4583333333333</v>
      </c>
      <c r="C413" s="20">
        <f>'F Plus CO2'!B1351</f>
        <v>57.667999999999999</v>
      </c>
      <c r="D413" s="19">
        <f>'F Plus CO2'!C1351</f>
        <v>359.44</v>
      </c>
      <c r="E413" s="19">
        <f t="shared" si="19"/>
        <v>0.25999999999999979</v>
      </c>
      <c r="F413" s="20">
        <f t="shared" si="20"/>
        <v>0.36032413980374728</v>
      </c>
    </row>
    <row r="414" spans="1:6" ht="15" customHeight="1">
      <c r="A414" s="18" t="str">
        <f>'F Plus CO2'!A1352</f>
        <v>7/1992</v>
      </c>
      <c r="B414" s="19">
        <f t="shared" si="18"/>
        <v>1992.5416666666667</v>
      </c>
      <c r="C414" s="20">
        <f>'F Plus CO2'!B1352</f>
        <v>57.362000000000002</v>
      </c>
      <c r="D414" s="19">
        <f>'F Plus CO2'!C1352</f>
        <v>357.15</v>
      </c>
      <c r="E414" s="19">
        <f t="shared" si="19"/>
        <v>8.9999999999999858E-2</v>
      </c>
      <c r="F414" s="20">
        <f t="shared" si="20"/>
        <v>0.35110329415916136</v>
      </c>
    </row>
    <row r="415" spans="1:6" ht="15" customHeight="1">
      <c r="A415" s="18" t="str">
        <f>'F Plus CO2'!A1353</f>
        <v>8/1992</v>
      </c>
      <c r="B415" s="19">
        <f t="shared" si="18"/>
        <v>1992.625</v>
      </c>
      <c r="C415" s="20">
        <f>'F Plus CO2'!B1353</f>
        <v>57.344000000000001</v>
      </c>
      <c r="D415" s="19">
        <f>'F Plus CO2'!C1353</f>
        <v>354.99</v>
      </c>
      <c r="E415" s="19">
        <f t="shared" si="19"/>
        <v>8.0000000000000071E-2</v>
      </c>
      <c r="F415" s="20">
        <f t="shared" si="20"/>
        <v>0.34235155757775643</v>
      </c>
    </row>
    <row r="416" spans="1:6" ht="15" customHeight="1">
      <c r="A416" s="18" t="str">
        <f>'F Plus CO2'!A1354</f>
        <v>9/1992</v>
      </c>
      <c r="B416" s="19">
        <f t="shared" si="18"/>
        <v>1992.7083333333333</v>
      </c>
      <c r="C416" s="20">
        <f>'F Plus CO2'!B1354</f>
        <v>57.182000000000002</v>
      </c>
      <c r="D416" s="19">
        <f>'F Plus CO2'!C1354</f>
        <v>353.01</v>
      </c>
      <c r="E416" s="19">
        <f t="shared" si="19"/>
        <v>-9.9999999999980105E-3</v>
      </c>
      <c r="F416" s="20">
        <f t="shared" si="20"/>
        <v>0.3342822252952366</v>
      </c>
    </row>
    <row r="417" spans="1:6" ht="15" customHeight="1">
      <c r="A417" s="18" t="str">
        <f>'F Plus CO2'!A1355</f>
        <v>10/1992</v>
      </c>
      <c r="B417" s="19">
        <f t="shared" si="18"/>
        <v>1992.7916666666667</v>
      </c>
      <c r="C417" s="20">
        <f>'F Plus CO2'!B1355</f>
        <v>57.326000000000001</v>
      </c>
      <c r="D417" s="19">
        <f>'F Plus CO2'!C1355</f>
        <v>353.4</v>
      </c>
      <c r="E417" s="19">
        <f t="shared" si="19"/>
        <v>7.0000000000000284E-2</v>
      </c>
      <c r="F417" s="20">
        <f t="shared" si="20"/>
        <v>0.33587521271928794</v>
      </c>
    </row>
    <row r="418" spans="1:6" ht="15" customHeight="1">
      <c r="A418" s="18" t="str">
        <f>'F Plus CO2'!A1356</f>
        <v>11/1992</v>
      </c>
      <c r="B418" s="19">
        <f t="shared" si="18"/>
        <v>1992.875</v>
      </c>
      <c r="C418" s="20">
        <f>'F Plus CO2'!B1356</f>
        <v>57.253999999999998</v>
      </c>
      <c r="D418" s="19">
        <f>'F Plus CO2'!C1356</f>
        <v>354.42</v>
      </c>
      <c r="E418" s="19">
        <f t="shared" si="19"/>
        <v>2.9999999999997584E-2</v>
      </c>
      <c r="F418" s="20">
        <f t="shared" si="20"/>
        <v>0.34003319062417492</v>
      </c>
    </row>
    <row r="419" spans="1:6" ht="15" customHeight="1">
      <c r="A419" s="18" t="str">
        <f>'F Plus CO2'!A1357</f>
        <v>12/1992</v>
      </c>
      <c r="B419" s="19">
        <f t="shared" si="18"/>
        <v>1992.9583333333333</v>
      </c>
      <c r="C419" s="20">
        <f>'F Plus CO2'!B1357</f>
        <v>57.596000000000004</v>
      </c>
      <c r="D419" s="19">
        <f>'F Plus CO2'!C1357</f>
        <v>355.68</v>
      </c>
      <c r="E419" s="19">
        <f t="shared" si="19"/>
        <v>0.22000000000000242</v>
      </c>
      <c r="F419" s="20">
        <f t="shared" si="20"/>
        <v>0.34515302630729883</v>
      </c>
    </row>
    <row r="420" spans="1:6" ht="15" customHeight="1">
      <c r="A420" s="18" t="str">
        <f>'F Plus CO2'!A1358</f>
        <v>1/1993</v>
      </c>
      <c r="B420" s="19">
        <f t="shared" si="18"/>
        <v>1993.0416666666667</v>
      </c>
      <c r="C420" s="20">
        <f>'F Plus CO2'!B1358</f>
        <v>57.83</v>
      </c>
      <c r="D420" s="19">
        <f>'F Plus CO2'!C1358</f>
        <v>357.1</v>
      </c>
      <c r="E420" s="19">
        <f t="shared" si="19"/>
        <v>0.34999999999999787</v>
      </c>
      <c r="F420" s="20">
        <f t="shared" si="20"/>
        <v>0.35090130675373682</v>
      </c>
    </row>
    <row r="421" spans="1:6" ht="15" customHeight="1">
      <c r="A421" s="18" t="str">
        <f>'F Plus CO2'!A1359</f>
        <v>2/1993</v>
      </c>
      <c r="B421" s="19">
        <f t="shared" si="18"/>
        <v>1993.125</v>
      </c>
      <c r="C421" s="20">
        <f>'F Plus CO2'!B1359</f>
        <v>57.866</v>
      </c>
      <c r="D421" s="19">
        <f>'F Plus CO2'!C1359</f>
        <v>357.42</v>
      </c>
      <c r="E421" s="19">
        <f t="shared" si="19"/>
        <v>0.36999999999999744</v>
      </c>
      <c r="F421" s="20">
        <f t="shared" si="20"/>
        <v>0.35219353774503176</v>
      </c>
    </row>
    <row r="422" spans="1:6" ht="15" customHeight="1">
      <c r="A422" s="18" t="str">
        <f>'F Plus CO2'!A1360</f>
        <v>3/1993</v>
      </c>
      <c r="B422" s="19">
        <f t="shared" si="18"/>
        <v>1993.2083333333333</v>
      </c>
      <c r="C422" s="20">
        <f>'F Plus CO2'!B1360</f>
        <v>57.847999999999999</v>
      </c>
      <c r="D422" s="19">
        <f>'F Plus CO2'!C1360</f>
        <v>358.59</v>
      </c>
      <c r="E422" s="19">
        <f t="shared" si="19"/>
        <v>0.36000000000000121</v>
      </c>
      <c r="F422" s="20">
        <f t="shared" si="20"/>
        <v>0.3569084291577157</v>
      </c>
    </row>
    <row r="423" spans="1:6" ht="15" customHeight="1">
      <c r="A423" s="18" t="str">
        <f>'F Plus CO2'!A1361</f>
        <v>4/1993</v>
      </c>
      <c r="B423" s="19">
        <f t="shared" si="18"/>
        <v>1993.2916666666667</v>
      </c>
      <c r="C423" s="20">
        <f>'F Plus CO2'!B1361</f>
        <v>57.704000000000001</v>
      </c>
      <c r="D423" s="19">
        <f>'F Plus CO2'!C1361</f>
        <v>359.39</v>
      </c>
      <c r="E423" s="19">
        <f t="shared" si="19"/>
        <v>0.28000000000000114</v>
      </c>
      <c r="F423" s="20">
        <f t="shared" si="20"/>
        <v>0.36012343935395846</v>
      </c>
    </row>
    <row r="424" spans="1:6" ht="15" customHeight="1">
      <c r="A424" s="18" t="str">
        <f>'F Plus CO2'!A1362</f>
        <v>5/1993</v>
      </c>
      <c r="B424" s="19">
        <f t="shared" si="18"/>
        <v>1993.375</v>
      </c>
      <c r="C424" s="20">
        <f>'F Plus CO2'!B1362</f>
        <v>57.704000000000001</v>
      </c>
      <c r="D424" s="19">
        <f>'F Plus CO2'!C1362</f>
        <v>360.3</v>
      </c>
      <c r="E424" s="19">
        <f t="shared" si="19"/>
        <v>0.28000000000000114</v>
      </c>
      <c r="F424" s="20">
        <f t="shared" si="20"/>
        <v>0.36377182459446167</v>
      </c>
    </row>
    <row r="425" spans="1:6" ht="15" customHeight="1">
      <c r="A425" s="18" t="str">
        <f>'F Plus CO2'!A1363</f>
        <v>6/1993</v>
      </c>
      <c r="B425" s="19">
        <f t="shared" si="18"/>
        <v>1993.4583333333333</v>
      </c>
      <c r="C425" s="20">
        <f>'F Plus CO2'!B1363</f>
        <v>57.614000000000004</v>
      </c>
      <c r="D425" s="19">
        <f>'F Plus CO2'!C1363</f>
        <v>359.64</v>
      </c>
      <c r="E425" s="19">
        <f t="shared" si="19"/>
        <v>0.2300000000000022</v>
      </c>
      <c r="F425" s="20">
        <f t="shared" si="20"/>
        <v>0.36112666251503961</v>
      </c>
    </row>
    <row r="426" spans="1:6" ht="15" customHeight="1">
      <c r="A426" s="18" t="str">
        <f>'F Plus CO2'!A1364</f>
        <v>7/1993</v>
      </c>
      <c r="B426" s="19">
        <f t="shared" si="18"/>
        <v>1993.5416666666667</v>
      </c>
      <c r="C426" s="20">
        <f>'F Plus CO2'!B1364</f>
        <v>57.650000000000006</v>
      </c>
      <c r="D426" s="19">
        <f>'F Plus CO2'!C1364</f>
        <v>357.45</v>
      </c>
      <c r="E426" s="19">
        <f t="shared" si="19"/>
        <v>0.25000000000000355</v>
      </c>
      <c r="F426" s="20">
        <f t="shared" si="20"/>
        <v>0.35231462507909828</v>
      </c>
    </row>
    <row r="427" spans="1:6" ht="15" customHeight="1">
      <c r="A427" s="18" t="str">
        <f>'F Plus CO2'!A1365</f>
        <v>8/1993</v>
      </c>
      <c r="B427" s="19">
        <f t="shared" si="18"/>
        <v>1993.625</v>
      </c>
      <c r="C427" s="20">
        <f>'F Plus CO2'!B1365</f>
        <v>57.397999999999996</v>
      </c>
      <c r="D427" s="19">
        <f>'F Plus CO2'!C1365</f>
        <v>355.76</v>
      </c>
      <c r="E427" s="19">
        <f t="shared" si="19"/>
        <v>0.10999999999999766</v>
      </c>
      <c r="F427" s="20">
        <f t="shared" si="20"/>
        <v>0.34547748263181688</v>
      </c>
    </row>
    <row r="428" spans="1:6" ht="15" customHeight="1">
      <c r="A428" s="18" t="str">
        <f>'F Plus CO2'!A1366</f>
        <v>9/1993</v>
      </c>
      <c r="B428" s="19">
        <f t="shared" si="18"/>
        <v>1993.7083333333333</v>
      </c>
      <c r="C428" s="20">
        <f>'F Plus CO2'!B1366</f>
        <v>57.397999999999996</v>
      </c>
      <c r="D428" s="19">
        <f>'F Plus CO2'!C1366</f>
        <v>354.14</v>
      </c>
      <c r="E428" s="19">
        <f t="shared" si="19"/>
        <v>0.10999999999999766</v>
      </c>
      <c r="F428" s="20">
        <f t="shared" si="20"/>
        <v>0.33889297770649457</v>
      </c>
    </row>
    <row r="429" spans="1:6" ht="15" customHeight="1">
      <c r="A429" s="18" t="str">
        <f>'F Plus CO2'!A1367</f>
        <v>10/1993</v>
      </c>
      <c r="B429" s="19">
        <f t="shared" si="18"/>
        <v>1993.7916666666667</v>
      </c>
      <c r="C429" s="20">
        <f>'F Plus CO2'!B1367</f>
        <v>57.632000000000005</v>
      </c>
      <c r="D429" s="19">
        <f>'F Plus CO2'!C1367</f>
        <v>354.23</v>
      </c>
      <c r="E429" s="19">
        <f t="shared" si="19"/>
        <v>0.24000000000000199</v>
      </c>
      <c r="F429" s="20">
        <f t="shared" si="20"/>
        <v>0.33925957300098403</v>
      </c>
    </row>
    <row r="430" spans="1:6" ht="15" customHeight="1">
      <c r="A430" s="18" t="str">
        <f>'F Plus CO2'!A1368</f>
        <v>11/1993</v>
      </c>
      <c r="B430" s="19">
        <f t="shared" si="18"/>
        <v>1993.875</v>
      </c>
      <c r="C430" s="20">
        <f>'F Plus CO2'!B1368</f>
        <v>57.271999999999998</v>
      </c>
      <c r="D430" s="19">
        <f>'F Plus CO2'!C1368</f>
        <v>355.53</v>
      </c>
      <c r="E430" s="19">
        <f t="shared" si="19"/>
        <v>3.9999999999999147E-2</v>
      </c>
      <c r="F430" s="20">
        <f t="shared" si="20"/>
        <v>0.34454447395471077</v>
      </c>
    </row>
    <row r="431" spans="1:6" ht="15" customHeight="1">
      <c r="A431" s="18" t="str">
        <f>'F Plus CO2'!A1369</f>
        <v>12/1993</v>
      </c>
      <c r="B431" s="19">
        <f t="shared" si="18"/>
        <v>1993.9583333333333</v>
      </c>
      <c r="C431" s="20">
        <f>'F Plus CO2'!B1369</f>
        <v>57.524000000000001</v>
      </c>
      <c r="D431" s="19">
        <f>'F Plus CO2'!C1369</f>
        <v>357.03</v>
      </c>
      <c r="E431" s="19">
        <f t="shared" si="19"/>
        <v>0.17999999999999972</v>
      </c>
      <c r="F431" s="20">
        <f t="shared" si="20"/>
        <v>0.35061847686790176</v>
      </c>
    </row>
    <row r="432" spans="1:6" ht="15" customHeight="1">
      <c r="A432" s="18" t="str">
        <f>'F Plus CO2'!A1370</f>
        <v>1/1994</v>
      </c>
      <c r="B432" s="19">
        <f t="shared" si="18"/>
        <v>1994.0416666666667</v>
      </c>
      <c r="C432" s="20">
        <f>'F Plus CO2'!B1370</f>
        <v>57.667999999999999</v>
      </c>
      <c r="D432" s="19">
        <f>'F Plus CO2'!C1370</f>
        <v>358.36</v>
      </c>
      <c r="E432" s="19">
        <f t="shared" si="19"/>
        <v>0.25999999999999979</v>
      </c>
      <c r="F432" s="20">
        <f t="shared" si="20"/>
        <v>0.35598278616786283</v>
      </c>
    </row>
    <row r="433" spans="1:6" ht="15" customHeight="1">
      <c r="A433" s="18" t="str">
        <f>'F Plus CO2'!A1371</f>
        <v>2/1994</v>
      </c>
      <c r="B433" s="19">
        <f t="shared" si="18"/>
        <v>1994.125</v>
      </c>
      <c r="C433" s="20">
        <f>'F Plus CO2'!B1371</f>
        <v>57.236000000000004</v>
      </c>
      <c r="D433" s="19">
        <f>'F Plus CO2'!C1371</f>
        <v>359.04</v>
      </c>
      <c r="E433" s="19">
        <f t="shared" si="19"/>
        <v>2.0000000000003126E-2</v>
      </c>
      <c r="F433" s="20">
        <f t="shared" si="20"/>
        <v>0.35871775388910165</v>
      </c>
    </row>
    <row r="434" spans="1:6" ht="15" customHeight="1">
      <c r="A434" s="18" t="str">
        <f>'F Plus CO2'!A1372</f>
        <v>3/1994</v>
      </c>
      <c r="B434" s="19">
        <f t="shared" si="18"/>
        <v>1994.2083333333333</v>
      </c>
      <c r="C434" s="20">
        <f>'F Plus CO2'!B1372</f>
        <v>57.721999999999994</v>
      </c>
      <c r="D434" s="19">
        <f>'F Plus CO2'!C1372</f>
        <v>360.11</v>
      </c>
      <c r="E434" s="19">
        <f t="shared" si="19"/>
        <v>0.28999999999999559</v>
      </c>
      <c r="F434" s="20">
        <f t="shared" si="20"/>
        <v>0.36301083553510793</v>
      </c>
    </row>
    <row r="435" spans="1:6" ht="15" customHeight="1">
      <c r="A435" s="18" t="str">
        <f>'F Plus CO2'!A1373</f>
        <v>4/1994</v>
      </c>
      <c r="B435" s="19">
        <f t="shared" si="18"/>
        <v>1994.2916666666667</v>
      </c>
      <c r="C435" s="20">
        <f>'F Plus CO2'!B1373</f>
        <v>57.938000000000002</v>
      </c>
      <c r="D435" s="19">
        <f>'F Plus CO2'!C1373</f>
        <v>361.36</v>
      </c>
      <c r="E435" s="19">
        <f t="shared" si="19"/>
        <v>0.41000000000000014</v>
      </c>
      <c r="F435" s="20">
        <f t="shared" si="20"/>
        <v>0.36800999171782506</v>
      </c>
    </row>
    <row r="436" spans="1:6" ht="15" customHeight="1">
      <c r="A436" s="18" t="str">
        <f>'F Plus CO2'!A1374</f>
        <v>5/1994</v>
      </c>
      <c r="B436" s="19">
        <f t="shared" si="18"/>
        <v>1994.375</v>
      </c>
      <c r="C436" s="20">
        <f>'F Plus CO2'!B1374</f>
        <v>57.704000000000001</v>
      </c>
      <c r="D436" s="19">
        <f>'F Plus CO2'!C1374</f>
        <v>361.78</v>
      </c>
      <c r="E436" s="19">
        <f t="shared" si="19"/>
        <v>0.28000000000000114</v>
      </c>
      <c r="F436" s="20">
        <f t="shared" si="20"/>
        <v>0.36968582761490204</v>
      </c>
    </row>
    <row r="437" spans="1:6" ht="15" customHeight="1">
      <c r="A437" s="18" t="str">
        <f>'F Plus CO2'!A1375</f>
        <v>6/1994</v>
      </c>
      <c r="B437" s="19">
        <f t="shared" si="18"/>
        <v>1994.4583333333333</v>
      </c>
      <c r="C437" s="20">
        <f>'F Plus CO2'!B1375</f>
        <v>57.974000000000004</v>
      </c>
      <c r="D437" s="19">
        <f>'F Plus CO2'!C1375</f>
        <v>360.94</v>
      </c>
      <c r="E437" s="19">
        <f t="shared" si="19"/>
        <v>0.42999999999999972</v>
      </c>
      <c r="F437" s="20">
        <f t="shared" si="20"/>
        <v>0.36633220690413326</v>
      </c>
    </row>
    <row r="438" spans="1:6" ht="15" customHeight="1">
      <c r="A438" s="18" t="str">
        <f>'F Plus CO2'!A1376</f>
        <v>7/1994</v>
      </c>
      <c r="B438" s="19">
        <f t="shared" si="18"/>
        <v>1994.5416666666667</v>
      </c>
      <c r="C438" s="20">
        <f>'F Plus CO2'!B1376</f>
        <v>57.74</v>
      </c>
      <c r="D438" s="19">
        <f>'F Plus CO2'!C1376</f>
        <v>359.51</v>
      </c>
      <c r="E438" s="19">
        <f t="shared" si="19"/>
        <v>0.30000000000000249</v>
      </c>
      <c r="F438" s="20">
        <f t="shared" si="20"/>
        <v>0.36060507353538723</v>
      </c>
    </row>
    <row r="439" spans="1:6" ht="15" customHeight="1">
      <c r="A439" s="18" t="str">
        <f>'F Plus CO2'!A1377</f>
        <v>8/1994</v>
      </c>
      <c r="B439" s="19">
        <f t="shared" si="18"/>
        <v>1994.625</v>
      </c>
      <c r="C439" s="20">
        <f>'F Plus CO2'!B1377</f>
        <v>57.596000000000004</v>
      </c>
      <c r="D439" s="19">
        <f>'F Plus CO2'!C1377</f>
        <v>357.59</v>
      </c>
      <c r="E439" s="19">
        <f t="shared" si="19"/>
        <v>0.22000000000000242</v>
      </c>
      <c r="F439" s="20">
        <f t="shared" si="20"/>
        <v>0.35287956496583295</v>
      </c>
    </row>
    <row r="440" spans="1:6" ht="15" customHeight="1">
      <c r="A440" s="18" t="str">
        <f>'F Plus CO2'!A1378</f>
        <v>9/1994</v>
      </c>
      <c r="B440" s="19">
        <f t="shared" si="18"/>
        <v>1994.7083333333333</v>
      </c>
      <c r="C440" s="20">
        <f>'F Plus CO2'!B1378</f>
        <v>57.758000000000003</v>
      </c>
      <c r="D440" s="19">
        <f>'F Plus CO2'!C1378</f>
        <v>355.86</v>
      </c>
      <c r="E440" s="19">
        <f t="shared" si="19"/>
        <v>0.31000000000000227</v>
      </c>
      <c r="F440" s="20">
        <f t="shared" si="20"/>
        <v>0.34588295045182915</v>
      </c>
    </row>
    <row r="441" spans="1:6" ht="15" customHeight="1">
      <c r="A441" s="18" t="str">
        <f>'F Plus CO2'!A1379</f>
        <v>10/1994</v>
      </c>
      <c r="B441" s="19">
        <f t="shared" si="18"/>
        <v>1994.7916666666667</v>
      </c>
      <c r="C441" s="20">
        <f>'F Plus CO2'!B1379</f>
        <v>57.974000000000004</v>
      </c>
      <c r="D441" s="19">
        <f>'F Plus CO2'!C1379</f>
        <v>356.21</v>
      </c>
      <c r="E441" s="19">
        <f t="shared" si="19"/>
        <v>0.42999999999999972</v>
      </c>
      <c r="F441" s="20">
        <f t="shared" si="20"/>
        <v>0.34730119108821406</v>
      </c>
    </row>
    <row r="442" spans="1:6" ht="15" customHeight="1">
      <c r="A442" s="18" t="str">
        <f>'F Plus CO2'!A1380</f>
        <v>11/1994</v>
      </c>
      <c r="B442" s="19">
        <f t="shared" si="18"/>
        <v>1994.875</v>
      </c>
      <c r="C442" s="20">
        <f>'F Plus CO2'!B1380</f>
        <v>58.01</v>
      </c>
      <c r="D442" s="19">
        <f>'F Plus CO2'!C1380</f>
        <v>357.65</v>
      </c>
      <c r="E442" s="19">
        <f t="shared" si="19"/>
        <v>0.44999999999999751</v>
      </c>
      <c r="F442" s="20">
        <f t="shared" si="20"/>
        <v>0.35312161435528655</v>
      </c>
    </row>
    <row r="443" spans="1:6" ht="15" customHeight="1">
      <c r="A443" s="18" t="str">
        <f>'F Plus CO2'!A1381</f>
        <v>12/1994</v>
      </c>
      <c r="B443" s="19">
        <f t="shared" si="18"/>
        <v>1994.9583333333333</v>
      </c>
      <c r="C443" s="20">
        <f>'F Plus CO2'!B1381</f>
        <v>57.902000000000001</v>
      </c>
      <c r="D443" s="19">
        <f>'F Plus CO2'!C1381</f>
        <v>359.1</v>
      </c>
      <c r="E443" s="19">
        <f t="shared" si="19"/>
        <v>0.38999999999999879</v>
      </c>
      <c r="F443" s="20">
        <f t="shared" si="20"/>
        <v>0.35895882583232935</v>
      </c>
    </row>
    <row r="444" spans="1:6" ht="15" customHeight="1">
      <c r="A444" s="18" t="str">
        <f>'F Plus CO2'!A1382</f>
        <v>1/1995</v>
      </c>
      <c r="B444" s="19">
        <f t="shared" si="18"/>
        <v>1995.0416666666667</v>
      </c>
      <c r="C444" s="20">
        <f>'F Plus CO2'!B1382</f>
        <v>58.153999999999996</v>
      </c>
      <c r="D444" s="19">
        <f>'F Plus CO2'!C1382</f>
        <v>360.04</v>
      </c>
      <c r="E444" s="19">
        <f t="shared" si="19"/>
        <v>0.52999999999999758</v>
      </c>
      <c r="F444" s="20">
        <f t="shared" si="20"/>
        <v>0.36273036992883079</v>
      </c>
    </row>
    <row r="445" spans="1:6" ht="15" customHeight="1">
      <c r="A445" s="18" t="str">
        <f>'F Plus CO2'!A1383</f>
        <v>2/1995</v>
      </c>
      <c r="B445" s="19">
        <f t="shared" si="18"/>
        <v>1995.125</v>
      </c>
      <c r="C445" s="20">
        <f>'F Plus CO2'!B1383</f>
        <v>58.622</v>
      </c>
      <c r="D445" s="19">
        <f>'F Plus CO2'!C1383</f>
        <v>361</v>
      </c>
      <c r="E445" s="19">
        <f t="shared" si="19"/>
        <v>0.79000000000000092</v>
      </c>
      <c r="F445" s="20">
        <f t="shared" si="20"/>
        <v>0.36657200994220462</v>
      </c>
    </row>
    <row r="446" spans="1:6" ht="15" customHeight="1">
      <c r="A446" s="18" t="str">
        <f>'F Plus CO2'!A1384</f>
        <v>3/1995</v>
      </c>
      <c r="B446" s="19">
        <f t="shared" si="18"/>
        <v>1995.2083333333333</v>
      </c>
      <c r="C446" s="20">
        <f>'F Plus CO2'!B1384</f>
        <v>58.046000000000006</v>
      </c>
      <c r="D446" s="19">
        <f>'F Plus CO2'!C1384</f>
        <v>361.98</v>
      </c>
      <c r="E446" s="19">
        <f t="shared" si="19"/>
        <v>0.47000000000000242</v>
      </c>
      <c r="F446" s="20">
        <f t="shared" si="20"/>
        <v>0.3704831610279733</v>
      </c>
    </row>
    <row r="447" spans="1:6" ht="15" customHeight="1">
      <c r="A447" s="18" t="str">
        <f>'F Plus CO2'!A1385</f>
        <v>4/1995</v>
      </c>
      <c r="B447" s="19">
        <f t="shared" si="18"/>
        <v>1995.2916666666667</v>
      </c>
      <c r="C447" s="20">
        <f>'F Plus CO2'!B1385</f>
        <v>58.046000000000006</v>
      </c>
      <c r="D447" s="19">
        <f>'F Plus CO2'!C1385</f>
        <v>363.44</v>
      </c>
      <c r="E447" s="19">
        <f t="shared" si="19"/>
        <v>0.47000000000000242</v>
      </c>
      <c r="F447" s="20">
        <f t="shared" si="20"/>
        <v>0.37629038333705156</v>
      </c>
    </row>
    <row r="448" spans="1:6" ht="15" customHeight="1">
      <c r="A448" s="18" t="str">
        <f>'F Plus CO2'!A1386</f>
        <v>5/1995</v>
      </c>
      <c r="B448" s="19">
        <f t="shared" si="18"/>
        <v>1995.375</v>
      </c>
      <c r="C448" s="20">
        <f>'F Plus CO2'!B1386</f>
        <v>57.686</v>
      </c>
      <c r="D448" s="19">
        <f>'F Plus CO2'!C1386</f>
        <v>363.83</v>
      </c>
      <c r="E448" s="19">
        <f t="shared" si="19"/>
        <v>0.27000000000000135</v>
      </c>
      <c r="F448" s="20">
        <f t="shared" si="20"/>
        <v>0.37783767971908239</v>
      </c>
    </row>
    <row r="449" spans="1:6" ht="15" customHeight="1">
      <c r="A449" s="18" t="str">
        <f>'F Plus CO2'!A1387</f>
        <v>6/1995</v>
      </c>
      <c r="B449" s="19">
        <f t="shared" si="18"/>
        <v>1995.4583333333333</v>
      </c>
      <c r="C449" s="20">
        <f>'F Plus CO2'!B1387</f>
        <v>57.974000000000004</v>
      </c>
      <c r="D449" s="19">
        <f>'F Plus CO2'!C1387</f>
        <v>363.33</v>
      </c>
      <c r="E449" s="19">
        <f t="shared" si="19"/>
        <v>0.42999999999999972</v>
      </c>
      <c r="F449" s="20">
        <f t="shared" si="20"/>
        <v>0.37585366620313115</v>
      </c>
    </row>
    <row r="450" spans="1:6" ht="15" customHeight="1">
      <c r="A450" s="18" t="str">
        <f>'F Plus CO2'!A1388</f>
        <v>7/1995</v>
      </c>
      <c r="B450" s="19">
        <f t="shared" ref="B450:B513" si="21">VALUE(RIGHT(A450,4))+(VALUE(LEFT(A450,FIND("/",A450)-1))-0.5)/12</f>
        <v>1995.5416666666667</v>
      </c>
      <c r="C450" s="20">
        <f>'F Plus CO2'!B1388</f>
        <v>58.028000000000006</v>
      </c>
      <c r="D450" s="19">
        <f>'F Plus CO2'!C1388</f>
        <v>361.78</v>
      </c>
      <c r="E450" s="19">
        <f t="shared" ref="E450:E513" si="22">(C450-32)*5/9-$I$3</f>
        <v>0.46000000000000441</v>
      </c>
      <c r="F450" s="20">
        <f t="shared" ref="F450:F513" si="23">LOG(D450/$I$4,2)</f>
        <v>0.36968582761490204</v>
      </c>
    </row>
    <row r="451" spans="1:6" ht="15" customHeight="1">
      <c r="A451" s="18" t="str">
        <f>'F Plus CO2'!A1389</f>
        <v>8/1995</v>
      </c>
      <c r="B451" s="19">
        <f t="shared" si="21"/>
        <v>1995.625</v>
      </c>
      <c r="C451" s="20">
        <f>'F Plus CO2'!B1389</f>
        <v>58.01</v>
      </c>
      <c r="D451" s="19">
        <f>'F Plus CO2'!C1389</f>
        <v>359.33</v>
      </c>
      <c r="E451" s="19">
        <f t="shared" si="22"/>
        <v>0.44999999999999751</v>
      </c>
      <c r="F451" s="20">
        <f t="shared" si="23"/>
        <v>0.35988256195342855</v>
      </c>
    </row>
    <row r="452" spans="1:6" ht="15" customHeight="1">
      <c r="A452" s="18" t="str">
        <f>'F Plus CO2'!A1390</f>
        <v>9/1995</v>
      </c>
      <c r="B452" s="19">
        <f t="shared" si="21"/>
        <v>1995.7083333333333</v>
      </c>
      <c r="C452" s="20">
        <f>'F Plus CO2'!B1390</f>
        <v>57.793999999999997</v>
      </c>
      <c r="D452" s="19">
        <f>'F Plus CO2'!C1390</f>
        <v>358.32</v>
      </c>
      <c r="E452" s="19">
        <f t="shared" si="22"/>
        <v>0.32999999999999652</v>
      </c>
      <c r="F452" s="20">
        <f t="shared" si="23"/>
        <v>0.35582174413600615</v>
      </c>
    </row>
    <row r="453" spans="1:6" ht="15" customHeight="1">
      <c r="A453" s="18" t="str">
        <f>'F Plus CO2'!A1391</f>
        <v>10/1995</v>
      </c>
      <c r="B453" s="19">
        <f t="shared" si="21"/>
        <v>1995.7916666666667</v>
      </c>
      <c r="C453" s="20">
        <f>'F Plus CO2'!B1391</f>
        <v>58.028000000000006</v>
      </c>
      <c r="D453" s="19">
        <f>'F Plus CO2'!C1391</f>
        <v>358.14</v>
      </c>
      <c r="E453" s="19">
        <f t="shared" si="22"/>
        <v>0.46000000000000441</v>
      </c>
      <c r="F453" s="20">
        <f t="shared" si="23"/>
        <v>0.35509683245126811</v>
      </c>
    </row>
    <row r="454" spans="1:6" ht="15" customHeight="1">
      <c r="A454" s="18" t="str">
        <f>'F Plus CO2'!A1392</f>
        <v>11/1995</v>
      </c>
      <c r="B454" s="19">
        <f t="shared" si="21"/>
        <v>1995.875</v>
      </c>
      <c r="C454" s="20">
        <f>'F Plus CO2'!B1392</f>
        <v>58.01</v>
      </c>
      <c r="D454" s="19">
        <f>'F Plus CO2'!C1392</f>
        <v>359.61</v>
      </c>
      <c r="E454" s="19">
        <f t="shared" si="22"/>
        <v>0.44999999999999751</v>
      </c>
      <c r="F454" s="20">
        <f t="shared" si="23"/>
        <v>0.36100631256369653</v>
      </c>
    </row>
    <row r="455" spans="1:6" ht="15" customHeight="1">
      <c r="A455" s="18" t="str">
        <f>'F Plus CO2'!A1393</f>
        <v>12/1995</v>
      </c>
      <c r="B455" s="19">
        <f t="shared" si="21"/>
        <v>1995.9583333333333</v>
      </c>
      <c r="C455" s="20">
        <f>'F Plus CO2'!B1393</f>
        <v>57.667999999999999</v>
      </c>
      <c r="D455" s="19">
        <f>'F Plus CO2'!C1393</f>
        <v>360.82</v>
      </c>
      <c r="E455" s="19">
        <f t="shared" si="22"/>
        <v>0.25999999999999979</v>
      </c>
      <c r="F455" s="20">
        <f t="shared" si="23"/>
        <v>0.36585248121553354</v>
      </c>
    </row>
    <row r="456" spans="1:6" ht="15" customHeight="1">
      <c r="A456" s="18" t="str">
        <f>'F Plus CO2'!A1394</f>
        <v>1/1996</v>
      </c>
      <c r="B456" s="19">
        <f t="shared" si="21"/>
        <v>1996.0416666666667</v>
      </c>
      <c r="C456" s="20">
        <f>'F Plus CO2'!B1394</f>
        <v>57.632000000000005</v>
      </c>
      <c r="D456" s="19">
        <f>'F Plus CO2'!C1394</f>
        <v>362.2</v>
      </c>
      <c r="E456" s="19">
        <f t="shared" si="22"/>
        <v>0.24000000000000199</v>
      </c>
      <c r="F456" s="20">
        <f t="shared" si="23"/>
        <v>0.37135971911783916</v>
      </c>
    </row>
    <row r="457" spans="1:6" ht="15" customHeight="1">
      <c r="A457" s="18" t="str">
        <f>'F Plus CO2'!A1395</f>
        <v>2/1996</v>
      </c>
      <c r="B457" s="19">
        <f t="shared" si="21"/>
        <v>1996.125</v>
      </c>
      <c r="C457" s="20">
        <f>'F Plus CO2'!B1395</f>
        <v>58.028000000000006</v>
      </c>
      <c r="D457" s="19">
        <f>'F Plus CO2'!C1395</f>
        <v>363.36</v>
      </c>
      <c r="E457" s="19">
        <f t="shared" si="22"/>
        <v>0.46000000000000441</v>
      </c>
      <c r="F457" s="20">
        <f t="shared" si="23"/>
        <v>0.37597278398719675</v>
      </c>
    </row>
    <row r="458" spans="1:6" ht="15" customHeight="1">
      <c r="A458" s="18" t="str">
        <f>'F Plus CO2'!A1396</f>
        <v>3/1996</v>
      </c>
      <c r="B458" s="19">
        <f t="shared" si="21"/>
        <v>1996.2083333333333</v>
      </c>
      <c r="C458" s="20">
        <f>'F Plus CO2'!B1396</f>
        <v>57.793999999999997</v>
      </c>
      <c r="D458" s="19">
        <f>'F Plus CO2'!C1396</f>
        <v>364.28</v>
      </c>
      <c r="E458" s="19">
        <f t="shared" si="22"/>
        <v>0.32999999999999652</v>
      </c>
      <c r="F458" s="20">
        <f t="shared" si="23"/>
        <v>0.37962096205570828</v>
      </c>
    </row>
    <row r="459" spans="1:6" ht="15" customHeight="1">
      <c r="A459" s="18" t="str">
        <f>'F Plus CO2'!A1397</f>
        <v>4/1996</v>
      </c>
      <c r="B459" s="19">
        <f t="shared" si="21"/>
        <v>1996.2916666666667</v>
      </c>
      <c r="C459" s="20">
        <f>'F Plus CO2'!B1397</f>
        <v>57.793999999999997</v>
      </c>
      <c r="D459" s="19">
        <f>'F Plus CO2'!C1397</f>
        <v>364.69</v>
      </c>
      <c r="E459" s="19">
        <f t="shared" si="22"/>
        <v>0.32999999999999652</v>
      </c>
      <c r="F459" s="20">
        <f t="shared" si="23"/>
        <v>0.3812438135561429</v>
      </c>
    </row>
    <row r="460" spans="1:6" ht="15" customHeight="1">
      <c r="A460" s="18" t="str">
        <f>'F Plus CO2'!A1398</f>
        <v>5/1996</v>
      </c>
      <c r="B460" s="19">
        <f t="shared" si="21"/>
        <v>1996.375</v>
      </c>
      <c r="C460" s="20">
        <f>'F Plus CO2'!B1398</f>
        <v>57.686</v>
      </c>
      <c r="D460" s="19">
        <f>'F Plus CO2'!C1398</f>
        <v>365.25</v>
      </c>
      <c r="E460" s="19">
        <f t="shared" si="22"/>
        <v>0.27000000000000135</v>
      </c>
      <c r="F460" s="20">
        <f t="shared" si="23"/>
        <v>0.38345744585853175</v>
      </c>
    </row>
    <row r="461" spans="1:6" ht="15" customHeight="1">
      <c r="A461" s="18" t="str">
        <f>'F Plus CO2'!A1399</f>
        <v>6/1996</v>
      </c>
      <c r="B461" s="19">
        <f t="shared" si="21"/>
        <v>1996.4583333333333</v>
      </c>
      <c r="C461" s="20">
        <f>'F Plus CO2'!B1399</f>
        <v>57.667999999999999</v>
      </c>
      <c r="D461" s="19">
        <f>'F Plus CO2'!C1399</f>
        <v>365.06</v>
      </c>
      <c r="E461" s="19">
        <f t="shared" si="22"/>
        <v>0.25999999999999979</v>
      </c>
      <c r="F461" s="20">
        <f t="shared" si="23"/>
        <v>0.38270677268151582</v>
      </c>
    </row>
    <row r="462" spans="1:6" ht="15" customHeight="1">
      <c r="A462" s="18" t="str">
        <f>'F Plus CO2'!A1400</f>
        <v>7/1996</v>
      </c>
      <c r="B462" s="19">
        <f t="shared" si="21"/>
        <v>1996.5416666666667</v>
      </c>
      <c r="C462" s="20">
        <f>'F Plus CO2'!B1400</f>
        <v>57.866</v>
      </c>
      <c r="D462" s="19">
        <f>'F Plus CO2'!C1400</f>
        <v>363.69</v>
      </c>
      <c r="E462" s="19">
        <f t="shared" si="22"/>
        <v>0.36999999999999744</v>
      </c>
      <c r="F462" s="20">
        <f t="shared" si="23"/>
        <v>0.37728243090608043</v>
      </c>
    </row>
    <row r="463" spans="1:6" ht="15" customHeight="1">
      <c r="A463" s="18" t="str">
        <f>'F Plus CO2'!A1401</f>
        <v>8/1996</v>
      </c>
      <c r="B463" s="19">
        <f t="shared" si="21"/>
        <v>1996.625</v>
      </c>
      <c r="C463" s="20">
        <f>'F Plus CO2'!B1401</f>
        <v>58.064</v>
      </c>
      <c r="D463" s="19">
        <f>'F Plus CO2'!C1401</f>
        <v>361.55</v>
      </c>
      <c r="E463" s="19">
        <f t="shared" si="22"/>
        <v>0.47999999999999865</v>
      </c>
      <c r="F463" s="20">
        <f t="shared" si="23"/>
        <v>0.36876834909033485</v>
      </c>
    </row>
    <row r="464" spans="1:6" ht="15" customHeight="1">
      <c r="A464" s="18" t="str">
        <f>'F Plus CO2'!A1402</f>
        <v>9/1996</v>
      </c>
      <c r="B464" s="19">
        <f t="shared" si="21"/>
        <v>1996.7083333333333</v>
      </c>
      <c r="C464" s="20">
        <f>'F Plus CO2'!B1402</f>
        <v>57.667999999999999</v>
      </c>
      <c r="D464" s="19">
        <f>'F Plus CO2'!C1402</f>
        <v>359.69</v>
      </c>
      <c r="E464" s="19">
        <f t="shared" si="22"/>
        <v>0.25999999999999979</v>
      </c>
      <c r="F464" s="20">
        <f t="shared" si="23"/>
        <v>0.36132722345969809</v>
      </c>
    </row>
    <row r="465" spans="1:6" ht="15" customHeight="1">
      <c r="A465" s="18" t="str">
        <f>'F Plus CO2'!A1403</f>
        <v>10/1996</v>
      </c>
      <c r="B465" s="19">
        <f t="shared" si="21"/>
        <v>1996.7916666666667</v>
      </c>
      <c r="C465" s="20">
        <f>'F Plus CO2'!B1403</f>
        <v>57.596000000000004</v>
      </c>
      <c r="D465" s="19">
        <f>'F Plus CO2'!C1403</f>
        <v>359.72</v>
      </c>
      <c r="E465" s="19">
        <f t="shared" si="22"/>
        <v>0.22000000000000242</v>
      </c>
      <c r="F465" s="20">
        <f t="shared" si="23"/>
        <v>0.36144754664467421</v>
      </c>
    </row>
    <row r="466" spans="1:6" ht="15" customHeight="1">
      <c r="A466" s="18" t="str">
        <f>'F Plus CO2'!A1404</f>
        <v>11/1996</v>
      </c>
      <c r="B466" s="19">
        <f t="shared" si="21"/>
        <v>1996.875</v>
      </c>
      <c r="C466" s="20">
        <f>'F Plus CO2'!B1404</f>
        <v>57.956000000000003</v>
      </c>
      <c r="D466" s="19">
        <f>'F Plus CO2'!C1404</f>
        <v>361.04</v>
      </c>
      <c r="E466" s="19">
        <f t="shared" si="22"/>
        <v>0.42000000000000348</v>
      </c>
      <c r="F466" s="20">
        <f t="shared" si="23"/>
        <v>0.36673185649279633</v>
      </c>
    </row>
    <row r="467" spans="1:6" ht="15" customHeight="1">
      <c r="A467" s="18" t="str">
        <f>'F Plus CO2'!A1405</f>
        <v>12/1996</v>
      </c>
      <c r="B467" s="19">
        <f t="shared" si="21"/>
        <v>1996.9583333333333</v>
      </c>
      <c r="C467" s="20">
        <f>'F Plus CO2'!B1405</f>
        <v>57.866</v>
      </c>
      <c r="D467" s="19">
        <f>'F Plus CO2'!C1405</f>
        <v>362.39</v>
      </c>
      <c r="E467" s="19">
        <f t="shared" si="22"/>
        <v>0.36999999999999744</v>
      </c>
      <c r="F467" s="20">
        <f t="shared" si="23"/>
        <v>0.37211631819884028</v>
      </c>
    </row>
    <row r="468" spans="1:6" ht="15" customHeight="1">
      <c r="A468" s="18" t="str">
        <f>'F Plus CO2'!A1406</f>
        <v>1/1997</v>
      </c>
      <c r="B468" s="19">
        <f t="shared" si="21"/>
        <v>1997.0416666666667</v>
      </c>
      <c r="C468" s="20">
        <f>'F Plus CO2'!B1406</f>
        <v>57.775999999999996</v>
      </c>
      <c r="D468" s="19">
        <f>'F Plus CO2'!C1406</f>
        <v>363.24</v>
      </c>
      <c r="E468" s="19">
        <f t="shared" si="22"/>
        <v>0.32000000000000028</v>
      </c>
      <c r="F468" s="20">
        <f t="shared" si="23"/>
        <v>0.37549625382897855</v>
      </c>
    </row>
    <row r="469" spans="1:6" ht="15" customHeight="1">
      <c r="A469" s="18" t="str">
        <f>'F Plus CO2'!A1407</f>
        <v>2/1997</v>
      </c>
      <c r="B469" s="19">
        <f t="shared" si="21"/>
        <v>1997.125</v>
      </c>
      <c r="C469" s="20">
        <f>'F Plus CO2'!B1407</f>
        <v>57.938000000000002</v>
      </c>
      <c r="D469" s="19">
        <f>'F Plus CO2'!C1407</f>
        <v>364.21</v>
      </c>
      <c r="E469" s="19">
        <f t="shared" si="22"/>
        <v>0.41000000000000014</v>
      </c>
      <c r="F469" s="20">
        <f t="shared" si="23"/>
        <v>0.37934370731460526</v>
      </c>
    </row>
    <row r="470" spans="1:6" ht="15" customHeight="1">
      <c r="A470" s="18" t="str">
        <f>'F Plus CO2'!A1408</f>
        <v>3/1997</v>
      </c>
      <c r="B470" s="19">
        <f t="shared" si="21"/>
        <v>1997.2083333333333</v>
      </c>
      <c r="C470" s="20">
        <f>'F Plus CO2'!B1408</f>
        <v>58.135999999999996</v>
      </c>
      <c r="D470" s="19">
        <f>'F Plus CO2'!C1408</f>
        <v>364.65</v>
      </c>
      <c r="E470" s="19">
        <f t="shared" si="22"/>
        <v>0.5199999999999978</v>
      </c>
      <c r="F470" s="20">
        <f t="shared" si="23"/>
        <v>0.38108556691755607</v>
      </c>
    </row>
    <row r="471" spans="1:6" ht="15" customHeight="1">
      <c r="A471" s="18" t="str">
        <f>'F Plus CO2'!A1409</f>
        <v>4/1997</v>
      </c>
      <c r="B471" s="19">
        <f t="shared" si="21"/>
        <v>1997.2916666666667</v>
      </c>
      <c r="C471" s="20">
        <f>'F Plus CO2'!B1409</f>
        <v>57.811999999999998</v>
      </c>
      <c r="D471" s="19">
        <f>'F Plus CO2'!C1409</f>
        <v>366.49</v>
      </c>
      <c r="E471" s="19">
        <f t="shared" si="22"/>
        <v>0.33999999999999986</v>
      </c>
      <c r="F471" s="20">
        <f t="shared" si="23"/>
        <v>0.38834700653063781</v>
      </c>
    </row>
    <row r="472" spans="1:6" ht="15" customHeight="1">
      <c r="A472" s="18" t="str">
        <f>'F Plus CO2'!A1410</f>
        <v>5/1997</v>
      </c>
      <c r="B472" s="19">
        <f t="shared" si="21"/>
        <v>1997.375</v>
      </c>
      <c r="C472" s="20">
        <f>'F Plus CO2'!B1410</f>
        <v>57.83</v>
      </c>
      <c r="D472" s="19">
        <f>'F Plus CO2'!C1410</f>
        <v>366.77</v>
      </c>
      <c r="E472" s="19">
        <f t="shared" si="22"/>
        <v>0.34999999999999787</v>
      </c>
      <c r="F472" s="20">
        <f t="shared" si="23"/>
        <v>0.3894488111595088</v>
      </c>
    </row>
    <row r="473" spans="1:6" ht="15" customHeight="1">
      <c r="A473" s="18" t="str">
        <f>'F Plus CO2'!A1411</f>
        <v>6/1997</v>
      </c>
      <c r="B473" s="19">
        <f t="shared" si="21"/>
        <v>1997.4583333333333</v>
      </c>
      <c r="C473" s="20">
        <f>'F Plus CO2'!B1411</f>
        <v>58.19</v>
      </c>
      <c r="D473" s="19">
        <f>'F Plus CO2'!C1411</f>
        <v>365.73</v>
      </c>
      <c r="E473" s="19">
        <f t="shared" si="22"/>
        <v>0.54999999999999893</v>
      </c>
      <c r="F473" s="20">
        <f t="shared" si="23"/>
        <v>0.38535214535553447</v>
      </c>
    </row>
    <row r="474" spans="1:6" ht="15" customHeight="1">
      <c r="A474" s="18" t="str">
        <f>'F Plus CO2'!A1412</f>
        <v>7/1997</v>
      </c>
      <c r="B474" s="19">
        <f t="shared" si="21"/>
        <v>1997.5416666666667</v>
      </c>
      <c r="C474" s="20">
        <f>'F Plus CO2'!B1412</f>
        <v>57.811999999999998</v>
      </c>
      <c r="D474" s="19">
        <f>'F Plus CO2'!C1412</f>
        <v>364.46</v>
      </c>
      <c r="E474" s="19">
        <f t="shared" si="22"/>
        <v>0.33999999999999986</v>
      </c>
      <c r="F474" s="20">
        <f t="shared" si="23"/>
        <v>0.38033365825089765</v>
      </c>
    </row>
    <row r="475" spans="1:6" ht="15" customHeight="1">
      <c r="A475" s="18" t="str">
        <f>'F Plus CO2'!A1413</f>
        <v>8/1997</v>
      </c>
      <c r="B475" s="19">
        <f t="shared" si="21"/>
        <v>1997.625</v>
      </c>
      <c r="C475" s="20">
        <f>'F Plus CO2'!B1413</f>
        <v>57.938000000000002</v>
      </c>
      <c r="D475" s="19">
        <f>'F Plus CO2'!C1413</f>
        <v>362.4</v>
      </c>
      <c r="E475" s="19">
        <f t="shared" si="22"/>
        <v>0.41000000000000014</v>
      </c>
      <c r="F475" s="20">
        <f t="shared" si="23"/>
        <v>0.37215612821390631</v>
      </c>
    </row>
    <row r="476" spans="1:6" ht="15" customHeight="1">
      <c r="A476" s="18" t="str">
        <f>'F Plus CO2'!A1414</f>
        <v>9/1997</v>
      </c>
      <c r="B476" s="19">
        <f t="shared" si="21"/>
        <v>1997.7083333333333</v>
      </c>
      <c r="C476" s="20">
        <f>'F Plus CO2'!B1414</f>
        <v>58.135999999999996</v>
      </c>
      <c r="D476" s="19">
        <f>'F Plus CO2'!C1414</f>
        <v>360.44</v>
      </c>
      <c r="E476" s="19">
        <f t="shared" si="22"/>
        <v>0.5199999999999978</v>
      </c>
      <c r="F476" s="20">
        <f t="shared" si="23"/>
        <v>0.36433229663226918</v>
      </c>
    </row>
    <row r="477" spans="1:6" ht="15" customHeight="1">
      <c r="A477" s="18" t="str">
        <f>'F Plus CO2'!A1415</f>
        <v>10/1997</v>
      </c>
      <c r="B477" s="19">
        <f t="shared" si="21"/>
        <v>1997.7916666666667</v>
      </c>
      <c r="C477" s="20">
        <f>'F Plus CO2'!B1415</f>
        <v>58.298000000000002</v>
      </c>
      <c r="D477" s="19">
        <f>'F Plus CO2'!C1415</f>
        <v>360.97</v>
      </c>
      <c r="E477" s="19">
        <f t="shared" si="22"/>
        <v>0.61000000000000121</v>
      </c>
      <c r="F477" s="20">
        <f t="shared" si="23"/>
        <v>0.36645211340564054</v>
      </c>
    </row>
    <row r="478" spans="1:6" ht="15" customHeight="1">
      <c r="A478" s="18" t="str">
        <f>'F Plus CO2'!A1416</f>
        <v>11/1997</v>
      </c>
      <c r="B478" s="19">
        <f t="shared" si="21"/>
        <v>1997.875</v>
      </c>
      <c r="C478" s="20">
        <f>'F Plus CO2'!B1416</f>
        <v>58.370000000000005</v>
      </c>
      <c r="D478" s="19">
        <f>'F Plus CO2'!C1416</f>
        <v>362.65</v>
      </c>
      <c r="E478" s="19">
        <f t="shared" si="22"/>
        <v>0.65000000000000213</v>
      </c>
      <c r="F478" s="20">
        <f t="shared" si="23"/>
        <v>0.37315102173715475</v>
      </c>
    </row>
    <row r="479" spans="1:6" ht="15" customHeight="1">
      <c r="A479" s="18" t="str">
        <f>'F Plus CO2'!A1417</f>
        <v>12/1997</v>
      </c>
      <c r="B479" s="19">
        <f t="shared" si="21"/>
        <v>1997.9583333333333</v>
      </c>
      <c r="C479" s="20">
        <f>'F Plus CO2'!B1417</f>
        <v>58.262</v>
      </c>
      <c r="D479" s="19">
        <f>'F Plus CO2'!C1417</f>
        <v>364.51</v>
      </c>
      <c r="E479" s="19">
        <f t="shared" si="22"/>
        <v>0.58999999999999986</v>
      </c>
      <c r="F479" s="20">
        <f t="shared" si="23"/>
        <v>0.38053156694990453</v>
      </c>
    </row>
    <row r="480" spans="1:6" ht="15" customHeight="1">
      <c r="A480" s="18" t="str">
        <f>'F Plus CO2'!A1418</f>
        <v>1/1998</v>
      </c>
      <c r="B480" s="19">
        <f t="shared" si="21"/>
        <v>1998.0416666666667</v>
      </c>
      <c r="C480" s="20">
        <f>'F Plus CO2'!B1418</f>
        <v>58.244</v>
      </c>
      <c r="D480" s="19">
        <f>'F Plus CO2'!C1418</f>
        <v>365.39</v>
      </c>
      <c r="E480" s="19">
        <f t="shared" si="22"/>
        <v>0.58000000000000007</v>
      </c>
      <c r="F480" s="20">
        <f t="shared" si="23"/>
        <v>0.38401032363198068</v>
      </c>
    </row>
    <row r="481" spans="1:6" ht="15" customHeight="1">
      <c r="A481" s="18" t="str">
        <f>'F Plus CO2'!A1419</f>
        <v>2/1998</v>
      </c>
      <c r="B481" s="19">
        <f t="shared" si="21"/>
        <v>1998.125</v>
      </c>
      <c r="C481" s="20">
        <f>'F Plus CO2'!B1419</f>
        <v>58.784000000000006</v>
      </c>
      <c r="D481" s="19">
        <f>'F Plus CO2'!C1419</f>
        <v>366.1</v>
      </c>
      <c r="E481" s="19">
        <f t="shared" si="22"/>
        <v>0.88000000000000256</v>
      </c>
      <c r="F481" s="20">
        <f t="shared" si="23"/>
        <v>0.38681094647221681</v>
      </c>
    </row>
    <row r="482" spans="1:6" ht="15" customHeight="1">
      <c r="A482" s="18" t="str">
        <f>'F Plus CO2'!A1420</f>
        <v>3/1998</v>
      </c>
      <c r="B482" s="19">
        <f t="shared" si="21"/>
        <v>1998.2083333333333</v>
      </c>
      <c r="C482" s="20">
        <f>'F Plus CO2'!B1420</f>
        <v>58.334000000000003</v>
      </c>
      <c r="D482" s="19">
        <f>'F Plus CO2'!C1420</f>
        <v>367.36</v>
      </c>
      <c r="E482" s="19">
        <f t="shared" si="22"/>
        <v>0.63000000000000256</v>
      </c>
      <c r="F482" s="20">
        <f t="shared" si="23"/>
        <v>0.39176771995599674</v>
      </c>
    </row>
    <row r="483" spans="1:6" ht="15" customHeight="1">
      <c r="A483" s="18" t="str">
        <f>'F Plus CO2'!A1421</f>
        <v>4/1998</v>
      </c>
      <c r="B483" s="19">
        <f t="shared" si="21"/>
        <v>1998.2916666666667</v>
      </c>
      <c r="C483" s="20">
        <f>'F Plus CO2'!B1421</f>
        <v>58.352000000000004</v>
      </c>
      <c r="D483" s="19">
        <f>'F Plus CO2'!C1421</f>
        <v>368.79</v>
      </c>
      <c r="E483" s="19">
        <f t="shared" si="22"/>
        <v>0.64000000000000234</v>
      </c>
      <c r="F483" s="20">
        <f t="shared" si="23"/>
        <v>0.39737270943755826</v>
      </c>
    </row>
    <row r="484" spans="1:6" ht="15" customHeight="1">
      <c r="A484" s="18" t="str">
        <f>'F Plus CO2'!A1422</f>
        <v>5/1998</v>
      </c>
      <c r="B484" s="19">
        <f t="shared" si="21"/>
        <v>1998.375</v>
      </c>
      <c r="C484" s="20">
        <f>'F Plus CO2'!B1422</f>
        <v>58.423999999999999</v>
      </c>
      <c r="D484" s="19">
        <f>'F Plus CO2'!C1422</f>
        <v>369.56</v>
      </c>
      <c r="E484" s="19">
        <f t="shared" si="22"/>
        <v>0.67999999999999972</v>
      </c>
      <c r="F484" s="20">
        <f t="shared" si="23"/>
        <v>0.40038178530727464</v>
      </c>
    </row>
    <row r="485" spans="1:6" ht="15" customHeight="1">
      <c r="A485" s="18" t="str">
        <f>'F Plus CO2'!A1423</f>
        <v>6/1998</v>
      </c>
      <c r="B485" s="19">
        <f t="shared" si="21"/>
        <v>1998.4583333333333</v>
      </c>
      <c r="C485" s="20">
        <f>'F Plus CO2'!B1423</f>
        <v>58.585999999999999</v>
      </c>
      <c r="D485" s="19">
        <f>'F Plus CO2'!C1423</f>
        <v>369.13</v>
      </c>
      <c r="E485" s="19">
        <f t="shared" si="22"/>
        <v>0.77000000000000135</v>
      </c>
      <c r="F485" s="20">
        <f t="shared" si="23"/>
        <v>0.39870216614997578</v>
      </c>
    </row>
    <row r="486" spans="1:6" ht="15" customHeight="1">
      <c r="A486" s="18" t="str">
        <f>'F Plus CO2'!A1424</f>
        <v>7/1998</v>
      </c>
      <c r="B486" s="19">
        <f t="shared" si="21"/>
        <v>1998.5416666666667</v>
      </c>
      <c r="C486" s="20">
        <f>'F Plus CO2'!B1424</f>
        <v>58.388000000000005</v>
      </c>
      <c r="D486" s="19">
        <f>'F Plus CO2'!C1424</f>
        <v>367.98</v>
      </c>
      <c r="E486" s="19">
        <f t="shared" si="22"/>
        <v>0.66000000000000369</v>
      </c>
      <c r="F486" s="20">
        <f t="shared" si="23"/>
        <v>0.39420052964215635</v>
      </c>
    </row>
    <row r="487" spans="1:6" ht="15" customHeight="1">
      <c r="A487" s="18" t="str">
        <f>'F Plus CO2'!A1425</f>
        <v>8/1998</v>
      </c>
      <c r="B487" s="19">
        <f t="shared" si="21"/>
        <v>1998.625</v>
      </c>
      <c r="C487" s="20">
        <f>'F Plus CO2'!B1425</f>
        <v>58.370000000000005</v>
      </c>
      <c r="D487" s="19">
        <f>'F Plus CO2'!C1425</f>
        <v>366.1</v>
      </c>
      <c r="E487" s="19">
        <f t="shared" si="22"/>
        <v>0.65000000000000213</v>
      </c>
      <c r="F487" s="20">
        <f t="shared" si="23"/>
        <v>0.38681094647221681</v>
      </c>
    </row>
    <row r="488" spans="1:6" ht="15" customHeight="1">
      <c r="A488" s="18" t="str">
        <f>'F Plus CO2'!A1426</f>
        <v>9/1998</v>
      </c>
      <c r="B488" s="19">
        <f t="shared" si="21"/>
        <v>1998.7083333333333</v>
      </c>
      <c r="C488" s="20">
        <f>'F Plus CO2'!B1426</f>
        <v>57.956000000000003</v>
      </c>
      <c r="D488" s="19">
        <f>'F Plus CO2'!C1426</f>
        <v>364.16</v>
      </c>
      <c r="E488" s="19">
        <f t="shared" si="22"/>
        <v>0.42000000000000348</v>
      </c>
      <c r="F488" s="20">
        <f t="shared" si="23"/>
        <v>0.37914563558689091</v>
      </c>
    </row>
    <row r="489" spans="1:6" ht="15" customHeight="1">
      <c r="A489" s="18" t="str">
        <f>'F Plus CO2'!A1427</f>
        <v>10/1998</v>
      </c>
      <c r="B489" s="19">
        <f t="shared" si="21"/>
        <v>1998.7916666666667</v>
      </c>
      <c r="C489" s="20">
        <f>'F Plus CO2'!B1427</f>
        <v>57.956000000000003</v>
      </c>
      <c r="D489" s="19">
        <f>'F Plus CO2'!C1427</f>
        <v>364.54</v>
      </c>
      <c r="E489" s="19">
        <f t="shared" si="22"/>
        <v>0.42000000000000348</v>
      </c>
      <c r="F489" s="20">
        <f t="shared" si="23"/>
        <v>0.38065029913905807</v>
      </c>
    </row>
    <row r="490" spans="1:6" ht="15" customHeight="1">
      <c r="A490" s="18" t="str">
        <f>'F Plus CO2'!A1428</f>
        <v>11/1998</v>
      </c>
      <c r="B490" s="19">
        <f t="shared" si="21"/>
        <v>1998.875</v>
      </c>
      <c r="C490" s="20">
        <f>'F Plus CO2'!B1428</f>
        <v>57.974000000000004</v>
      </c>
      <c r="D490" s="19">
        <f>'F Plus CO2'!C1428</f>
        <v>365.67</v>
      </c>
      <c r="E490" s="19">
        <f t="shared" si="22"/>
        <v>0.42999999999999972</v>
      </c>
      <c r="F490" s="20">
        <f t="shared" si="23"/>
        <v>0.38511544395370917</v>
      </c>
    </row>
    <row r="491" spans="1:6" ht="15" customHeight="1">
      <c r="A491" s="18" t="str">
        <f>'F Plus CO2'!A1429</f>
        <v>12/1998</v>
      </c>
      <c r="B491" s="19">
        <f t="shared" si="21"/>
        <v>1998.9583333333333</v>
      </c>
      <c r="C491" s="20">
        <f>'F Plus CO2'!B1429</f>
        <v>58.19</v>
      </c>
      <c r="D491" s="19">
        <f>'F Plus CO2'!C1429</f>
        <v>367.3</v>
      </c>
      <c r="E491" s="19">
        <f t="shared" si="22"/>
        <v>0.54999999999999893</v>
      </c>
      <c r="F491" s="20">
        <f t="shared" si="23"/>
        <v>0.3915320688993289</v>
      </c>
    </row>
    <row r="492" spans="1:6" ht="15" customHeight="1">
      <c r="A492" s="18" t="str">
        <f>'F Plus CO2'!A1430</f>
        <v>1/1999</v>
      </c>
      <c r="B492" s="19">
        <f t="shared" si="21"/>
        <v>1999.0416666666667</v>
      </c>
      <c r="C492" s="20">
        <f>'F Plus CO2'!B1430</f>
        <v>58.064</v>
      </c>
      <c r="D492" s="19">
        <f>'F Plus CO2'!C1430</f>
        <v>368.35</v>
      </c>
      <c r="E492" s="19">
        <f t="shared" si="22"/>
        <v>0.47999999999999865</v>
      </c>
      <c r="F492" s="20">
        <f t="shared" si="23"/>
        <v>0.39565041545437801</v>
      </c>
    </row>
    <row r="493" spans="1:6" ht="15" customHeight="1">
      <c r="A493" s="18" t="str">
        <f>'F Plus CO2'!A1431</f>
        <v>2/1999</v>
      </c>
      <c r="B493" s="19">
        <f t="shared" si="21"/>
        <v>1999.125</v>
      </c>
      <c r="C493" s="20">
        <f>'F Plus CO2'!B1431</f>
        <v>58.352000000000004</v>
      </c>
      <c r="D493" s="19">
        <f>'F Plus CO2'!C1431</f>
        <v>369.28</v>
      </c>
      <c r="E493" s="19">
        <f t="shared" si="22"/>
        <v>0.64000000000000234</v>
      </c>
      <c r="F493" s="20">
        <f t="shared" si="23"/>
        <v>0.39928830192579123</v>
      </c>
    </row>
    <row r="494" spans="1:6" ht="15" customHeight="1">
      <c r="A494" s="18" t="str">
        <f>'F Plus CO2'!A1432</f>
        <v>3/1999</v>
      </c>
      <c r="B494" s="19">
        <f t="shared" si="21"/>
        <v>1999.2083333333333</v>
      </c>
      <c r="C494" s="20">
        <f>'F Plus CO2'!B1432</f>
        <v>57.793999999999997</v>
      </c>
      <c r="D494" s="19">
        <f>'F Plus CO2'!C1432</f>
        <v>369.84</v>
      </c>
      <c r="E494" s="19">
        <f t="shared" si="22"/>
        <v>0.32999999999999652</v>
      </c>
      <c r="F494" s="20">
        <f t="shared" si="23"/>
        <v>0.40147444051625025</v>
      </c>
    </row>
    <row r="495" spans="1:6" ht="15" customHeight="1">
      <c r="A495" s="18" t="str">
        <f>'F Plus CO2'!A1433</f>
        <v>4/1999</v>
      </c>
      <c r="B495" s="19">
        <f t="shared" si="21"/>
        <v>1999.2916666666667</v>
      </c>
      <c r="C495" s="20">
        <f>'F Plus CO2'!B1433</f>
        <v>57.775999999999996</v>
      </c>
      <c r="D495" s="19">
        <f>'F Plus CO2'!C1433</f>
        <v>371.15</v>
      </c>
      <c r="E495" s="19">
        <f t="shared" si="22"/>
        <v>0.32000000000000028</v>
      </c>
      <c r="F495" s="20">
        <f t="shared" si="23"/>
        <v>0.40657554167160614</v>
      </c>
    </row>
    <row r="496" spans="1:6" ht="15" customHeight="1">
      <c r="A496" s="18" t="str">
        <f>'F Plus CO2'!A1434</f>
        <v>5/1999</v>
      </c>
      <c r="B496" s="19">
        <f t="shared" si="21"/>
        <v>1999.375</v>
      </c>
      <c r="C496" s="20">
        <f>'F Plus CO2'!B1434</f>
        <v>57.667999999999999</v>
      </c>
      <c r="D496" s="19">
        <f>'F Plus CO2'!C1434</f>
        <v>371.12</v>
      </c>
      <c r="E496" s="19">
        <f t="shared" si="22"/>
        <v>0.25999999999999979</v>
      </c>
      <c r="F496" s="20">
        <f t="shared" si="23"/>
        <v>0.40645892413014484</v>
      </c>
    </row>
    <row r="497" spans="1:6" ht="15" customHeight="1">
      <c r="A497" s="18" t="str">
        <f>'F Plus CO2'!A1435</f>
        <v>6/1999</v>
      </c>
      <c r="B497" s="19">
        <f t="shared" si="21"/>
        <v>1999.4583333333333</v>
      </c>
      <c r="C497" s="20">
        <f>'F Plus CO2'!B1435</f>
        <v>57.847999999999999</v>
      </c>
      <c r="D497" s="19">
        <f>'F Plus CO2'!C1435</f>
        <v>370.46</v>
      </c>
      <c r="E497" s="19">
        <f t="shared" si="22"/>
        <v>0.36000000000000121</v>
      </c>
      <c r="F497" s="20">
        <f t="shared" si="23"/>
        <v>0.40389095040272749</v>
      </c>
    </row>
    <row r="498" spans="1:6" ht="15" customHeight="1">
      <c r="A498" s="18" t="str">
        <f>'F Plus CO2'!A1436</f>
        <v>7/1999</v>
      </c>
      <c r="B498" s="19">
        <f t="shared" si="21"/>
        <v>1999.5416666666667</v>
      </c>
      <c r="C498" s="20">
        <f>'F Plus CO2'!B1436</f>
        <v>57.902000000000001</v>
      </c>
      <c r="D498" s="19">
        <f>'F Plus CO2'!C1436</f>
        <v>369.61</v>
      </c>
      <c r="E498" s="19">
        <f t="shared" si="22"/>
        <v>0.38999999999999879</v>
      </c>
      <c r="F498" s="20">
        <f t="shared" si="23"/>
        <v>0.40057696301241569</v>
      </c>
    </row>
    <row r="499" spans="1:6" ht="15" customHeight="1">
      <c r="A499" s="18" t="str">
        <f>'F Plus CO2'!A1437</f>
        <v>8/1999</v>
      </c>
      <c r="B499" s="19">
        <f t="shared" si="21"/>
        <v>1999.625</v>
      </c>
      <c r="C499" s="20">
        <f>'F Plus CO2'!B1437</f>
        <v>57.758000000000003</v>
      </c>
      <c r="D499" s="19">
        <f>'F Plus CO2'!C1437</f>
        <v>367.06</v>
      </c>
      <c r="E499" s="19">
        <f t="shared" si="22"/>
        <v>0.31000000000000227</v>
      </c>
      <c r="F499" s="20">
        <f t="shared" si="23"/>
        <v>0.39058907956946148</v>
      </c>
    </row>
    <row r="500" spans="1:6" ht="15" customHeight="1">
      <c r="A500" s="18" t="str">
        <f>'F Plus CO2'!A1438</f>
        <v>9/1999</v>
      </c>
      <c r="B500" s="19">
        <f t="shared" si="21"/>
        <v>1999.7083333333333</v>
      </c>
      <c r="C500" s="20">
        <f>'F Plus CO2'!B1438</f>
        <v>57.902000000000001</v>
      </c>
      <c r="D500" s="19">
        <f>'F Plus CO2'!C1438</f>
        <v>364.95</v>
      </c>
      <c r="E500" s="19">
        <f t="shared" si="22"/>
        <v>0.38999999999999879</v>
      </c>
      <c r="F500" s="20">
        <f t="shared" si="23"/>
        <v>0.38227199382725641</v>
      </c>
    </row>
    <row r="501" spans="1:6" ht="15" customHeight="1">
      <c r="A501" s="18" t="str">
        <f>'F Plus CO2'!A1439</f>
        <v>10/1999</v>
      </c>
      <c r="B501" s="19">
        <f t="shared" si="21"/>
        <v>1999.7916666666667</v>
      </c>
      <c r="C501" s="20">
        <f>'F Plus CO2'!B1439</f>
        <v>57.811999999999998</v>
      </c>
      <c r="D501" s="19">
        <f>'F Plus CO2'!C1439</f>
        <v>365.52</v>
      </c>
      <c r="E501" s="19">
        <f t="shared" si="22"/>
        <v>0.33999999999999986</v>
      </c>
      <c r="F501" s="20">
        <f t="shared" si="23"/>
        <v>0.38452352048875721</v>
      </c>
    </row>
    <row r="502" spans="1:6" ht="15" customHeight="1">
      <c r="A502" s="18" t="str">
        <f>'F Plus CO2'!A1440</f>
        <v>11/1999</v>
      </c>
      <c r="B502" s="19">
        <f t="shared" si="21"/>
        <v>1999.875</v>
      </c>
      <c r="C502" s="20">
        <f>'F Plus CO2'!B1440</f>
        <v>57.866</v>
      </c>
      <c r="D502" s="19">
        <f>'F Plus CO2'!C1440</f>
        <v>366.88</v>
      </c>
      <c r="E502" s="19">
        <f t="shared" si="22"/>
        <v>0.36999999999999744</v>
      </c>
      <c r="F502" s="20">
        <f t="shared" si="23"/>
        <v>0.38988143286110233</v>
      </c>
    </row>
    <row r="503" spans="1:6" ht="15" customHeight="1">
      <c r="A503" s="18" t="str">
        <f>'F Plus CO2'!A1441</f>
        <v>12/1999</v>
      </c>
      <c r="B503" s="19">
        <f t="shared" si="21"/>
        <v>1999.9583333333333</v>
      </c>
      <c r="C503" s="20">
        <f>'F Plus CO2'!B1441</f>
        <v>57.92</v>
      </c>
      <c r="D503" s="19">
        <f>'F Plus CO2'!C1441</f>
        <v>368.26</v>
      </c>
      <c r="E503" s="19">
        <f t="shared" si="22"/>
        <v>0.40000000000000213</v>
      </c>
      <c r="F503" s="20">
        <f t="shared" si="23"/>
        <v>0.3952978746136992</v>
      </c>
    </row>
    <row r="504" spans="1:6" ht="15" customHeight="1">
      <c r="A504" s="18" t="str">
        <f>'F Plus CO2'!A1442</f>
        <v>1/2000</v>
      </c>
      <c r="B504" s="19">
        <f t="shared" si="21"/>
        <v>2000.0416666666667</v>
      </c>
      <c r="C504" s="20">
        <f>'F Plus CO2'!B1442</f>
        <v>57.650000000000006</v>
      </c>
      <c r="D504" s="19">
        <f>'F Plus CO2'!C1442</f>
        <v>369.45</v>
      </c>
      <c r="E504" s="19">
        <f t="shared" si="22"/>
        <v>0.25000000000000355</v>
      </c>
      <c r="F504" s="20">
        <f t="shared" si="23"/>
        <v>0.39995230138778842</v>
      </c>
    </row>
    <row r="505" spans="1:6" ht="15" customHeight="1">
      <c r="A505" s="18" t="str">
        <f>'F Plus CO2'!A1443</f>
        <v>2/2000</v>
      </c>
      <c r="B505" s="19">
        <f t="shared" si="21"/>
        <v>2000.125</v>
      </c>
      <c r="C505" s="20">
        <f>'F Plus CO2'!B1443</f>
        <v>58.207999999999998</v>
      </c>
      <c r="D505" s="19">
        <f>'F Plus CO2'!C1443</f>
        <v>369.71</v>
      </c>
      <c r="E505" s="19">
        <f t="shared" si="22"/>
        <v>0.55999999999999872</v>
      </c>
      <c r="F505" s="20">
        <f t="shared" si="23"/>
        <v>0.40096723922560795</v>
      </c>
    </row>
    <row r="506" spans="1:6" ht="15" customHeight="1">
      <c r="A506" s="18" t="str">
        <f>'F Plus CO2'!A1444</f>
        <v>3/2000</v>
      </c>
      <c r="B506" s="19">
        <f t="shared" si="21"/>
        <v>2000.2083333333333</v>
      </c>
      <c r="C506" s="20">
        <f>'F Plus CO2'!B1444</f>
        <v>58.19</v>
      </c>
      <c r="D506" s="19">
        <f>'F Plus CO2'!C1444</f>
        <v>370.75</v>
      </c>
      <c r="E506" s="19">
        <f t="shared" si="22"/>
        <v>0.54999999999999893</v>
      </c>
      <c r="F506" s="20">
        <f t="shared" si="23"/>
        <v>0.40501986550966412</v>
      </c>
    </row>
    <row r="507" spans="1:6" ht="15" customHeight="1">
      <c r="A507" s="18" t="str">
        <f>'F Plus CO2'!A1445</f>
        <v>4/2000</v>
      </c>
      <c r="B507" s="19">
        <f t="shared" si="21"/>
        <v>2000.2916666666667</v>
      </c>
      <c r="C507" s="20">
        <f>'F Plus CO2'!B1445</f>
        <v>58.207999999999998</v>
      </c>
      <c r="D507" s="19">
        <f>'F Plus CO2'!C1445</f>
        <v>371.98</v>
      </c>
      <c r="E507" s="19">
        <f t="shared" si="22"/>
        <v>0.55999999999999872</v>
      </c>
      <c r="F507" s="20">
        <f t="shared" si="23"/>
        <v>0.40979822782841963</v>
      </c>
    </row>
    <row r="508" spans="1:6" ht="15" customHeight="1">
      <c r="A508" s="18" t="str">
        <f>'F Plus CO2'!A1446</f>
        <v>5/2000</v>
      </c>
      <c r="B508" s="19">
        <f t="shared" si="21"/>
        <v>2000.375</v>
      </c>
      <c r="C508" s="20">
        <f>'F Plus CO2'!B1446</f>
        <v>57.83</v>
      </c>
      <c r="D508" s="19">
        <f>'F Plus CO2'!C1446</f>
        <v>371.75</v>
      </c>
      <c r="E508" s="19">
        <f t="shared" si="22"/>
        <v>0.34999999999999787</v>
      </c>
      <c r="F508" s="20">
        <f t="shared" si="23"/>
        <v>0.40890591510745228</v>
      </c>
    </row>
    <row r="509" spans="1:6" ht="15" customHeight="1">
      <c r="A509" s="18" t="str">
        <f>'F Plus CO2'!A1447</f>
        <v>6/2000</v>
      </c>
      <c r="B509" s="19">
        <f t="shared" si="21"/>
        <v>2000.4583333333333</v>
      </c>
      <c r="C509" s="20">
        <f>'F Plus CO2'!B1447</f>
        <v>57.92</v>
      </c>
      <c r="D509" s="19">
        <f>'F Plus CO2'!C1447</f>
        <v>371.87</v>
      </c>
      <c r="E509" s="19">
        <f t="shared" si="22"/>
        <v>0.40000000000000213</v>
      </c>
      <c r="F509" s="20">
        <f t="shared" si="23"/>
        <v>0.40937153842691504</v>
      </c>
    </row>
    <row r="510" spans="1:6" ht="15" customHeight="1">
      <c r="A510" s="18" t="str">
        <f>'F Plus CO2'!A1448</f>
        <v>7/2000</v>
      </c>
      <c r="B510" s="19">
        <f t="shared" si="21"/>
        <v>2000.5416666666667</v>
      </c>
      <c r="C510" s="20">
        <f>'F Plus CO2'!B1448</f>
        <v>57.902000000000001</v>
      </c>
      <c r="D510" s="19">
        <f>'F Plus CO2'!C1448</f>
        <v>370.02</v>
      </c>
      <c r="E510" s="19">
        <f t="shared" si="22"/>
        <v>0.38999999999999879</v>
      </c>
      <c r="F510" s="20">
        <f t="shared" si="23"/>
        <v>0.40217642497948264</v>
      </c>
    </row>
    <row r="511" spans="1:6" ht="15" customHeight="1">
      <c r="A511" s="18" t="str">
        <f>'F Plus CO2'!A1449</f>
        <v>8/2000</v>
      </c>
      <c r="B511" s="19">
        <f t="shared" si="21"/>
        <v>2000.625</v>
      </c>
      <c r="C511" s="20">
        <f>'F Plus CO2'!B1449</f>
        <v>57.956000000000003</v>
      </c>
      <c r="D511" s="19">
        <f>'F Plus CO2'!C1449</f>
        <v>368.27</v>
      </c>
      <c r="E511" s="19">
        <f t="shared" si="22"/>
        <v>0.42000000000000348</v>
      </c>
      <c r="F511" s="20">
        <f t="shared" si="23"/>
        <v>0.39533705007270242</v>
      </c>
    </row>
    <row r="512" spans="1:6" ht="15" customHeight="1">
      <c r="A512" s="18" t="str">
        <f>'F Plus CO2'!A1450</f>
        <v>9/2000</v>
      </c>
      <c r="B512" s="19">
        <f t="shared" si="21"/>
        <v>2000.7083333333333</v>
      </c>
      <c r="C512" s="20">
        <f>'F Plus CO2'!B1450</f>
        <v>57.902000000000001</v>
      </c>
      <c r="D512" s="19">
        <f>'F Plus CO2'!C1450</f>
        <v>367.15</v>
      </c>
      <c r="E512" s="19">
        <f t="shared" si="22"/>
        <v>0.38999999999999879</v>
      </c>
      <c r="F512" s="20">
        <f t="shared" si="23"/>
        <v>0.39094277280254291</v>
      </c>
    </row>
    <row r="513" spans="1:6" ht="15" customHeight="1">
      <c r="A513" s="18" t="str">
        <f>'F Plus CO2'!A1451</f>
        <v>10/2000</v>
      </c>
      <c r="B513" s="19">
        <f t="shared" si="21"/>
        <v>2000.7916666666667</v>
      </c>
      <c r="C513" s="20">
        <f>'F Plus CO2'!B1451</f>
        <v>57.686</v>
      </c>
      <c r="D513" s="19">
        <f>'F Plus CO2'!C1451</f>
        <v>367.18</v>
      </c>
      <c r="E513" s="19">
        <f t="shared" si="22"/>
        <v>0.27000000000000135</v>
      </c>
      <c r="F513" s="20">
        <f t="shared" si="23"/>
        <v>0.39106065128020484</v>
      </c>
    </row>
    <row r="514" spans="1:6" ht="15" customHeight="1">
      <c r="A514" s="18" t="str">
        <f>'F Plus CO2'!A1452</f>
        <v>11/2000</v>
      </c>
      <c r="B514" s="19">
        <f t="shared" ref="B514:B577" si="24">VALUE(RIGHT(A514,4))+(VALUE(LEFT(A514,FIND("/",A514)-1))-0.5)/12</f>
        <v>2000.875</v>
      </c>
      <c r="C514" s="20">
        <f>'F Plus CO2'!B1452</f>
        <v>57.74</v>
      </c>
      <c r="D514" s="19">
        <f>'F Plus CO2'!C1452</f>
        <v>368.53</v>
      </c>
      <c r="E514" s="19">
        <f t="shared" ref="E514:E577" si="25">(C514-32)*5/9-$I$3</f>
        <v>0.30000000000000249</v>
      </c>
      <c r="F514" s="20">
        <f t="shared" ref="F514:F577" si="26">LOG(D514/$I$4,2)</f>
        <v>0.39635523879745971</v>
      </c>
    </row>
    <row r="515" spans="1:6" ht="15" customHeight="1">
      <c r="A515" s="18" t="str">
        <f>'F Plus CO2'!A1453</f>
        <v>12/2000</v>
      </c>
      <c r="B515" s="19">
        <f t="shared" si="24"/>
        <v>2000.9583333333333</v>
      </c>
      <c r="C515" s="20">
        <f>'F Plus CO2'!B1453</f>
        <v>57.704000000000001</v>
      </c>
      <c r="D515" s="19">
        <f>'F Plus CO2'!C1453</f>
        <v>369.83</v>
      </c>
      <c r="E515" s="19">
        <f t="shared" si="25"/>
        <v>0.28000000000000114</v>
      </c>
      <c r="F515" s="20">
        <f t="shared" si="26"/>
        <v>0.40143543136241211</v>
      </c>
    </row>
    <row r="516" spans="1:6" ht="15" customHeight="1">
      <c r="A516" s="18" t="str">
        <f>'F Plus CO2'!A1454</f>
        <v>1/2001</v>
      </c>
      <c r="B516" s="19">
        <f t="shared" si="24"/>
        <v>2001.0416666666667</v>
      </c>
      <c r="C516" s="20">
        <f>'F Plus CO2'!B1454</f>
        <v>58.01</v>
      </c>
      <c r="D516" s="19">
        <f>'F Plus CO2'!C1454</f>
        <v>370.76</v>
      </c>
      <c r="E516" s="19">
        <f t="shared" si="25"/>
        <v>0.44999999999999751</v>
      </c>
      <c r="F516" s="20">
        <f t="shared" si="26"/>
        <v>0.40505877786528899</v>
      </c>
    </row>
    <row r="517" spans="1:6" ht="15" customHeight="1">
      <c r="A517" s="18" t="str">
        <f>'F Plus CO2'!A1455</f>
        <v>2/2001</v>
      </c>
      <c r="B517" s="19">
        <f t="shared" si="24"/>
        <v>2001.125</v>
      </c>
      <c r="C517" s="20">
        <f>'F Plus CO2'!B1455</f>
        <v>57.992000000000004</v>
      </c>
      <c r="D517" s="19">
        <f>'F Plus CO2'!C1455</f>
        <v>371.69</v>
      </c>
      <c r="E517" s="19">
        <f t="shared" si="25"/>
        <v>0.44000000000000483</v>
      </c>
      <c r="F517" s="20">
        <f t="shared" si="26"/>
        <v>0.40867304708140773</v>
      </c>
    </row>
    <row r="518" spans="1:6" ht="15" customHeight="1">
      <c r="A518" s="18" t="str">
        <f>'F Plus CO2'!A1456</f>
        <v>3/2001</v>
      </c>
      <c r="B518" s="19">
        <f t="shared" si="24"/>
        <v>2001.2083333333333</v>
      </c>
      <c r="C518" s="20">
        <f>'F Plus CO2'!B1456</f>
        <v>58.19</v>
      </c>
      <c r="D518" s="19">
        <f>'F Plus CO2'!C1456</f>
        <v>372.63</v>
      </c>
      <c r="E518" s="19">
        <f t="shared" si="25"/>
        <v>0.54999999999999893</v>
      </c>
      <c r="F518" s="20">
        <f t="shared" si="26"/>
        <v>0.4123170014542763</v>
      </c>
    </row>
    <row r="519" spans="1:6" ht="15" customHeight="1">
      <c r="A519" s="18" t="str">
        <f>'F Plus CO2'!A1457</f>
        <v>4/2001</v>
      </c>
      <c r="B519" s="19">
        <f t="shared" si="24"/>
        <v>2001.2916666666667</v>
      </c>
      <c r="C519" s="20">
        <f>'F Plus CO2'!B1457</f>
        <v>58.1</v>
      </c>
      <c r="D519" s="19">
        <f>'F Plus CO2'!C1457</f>
        <v>373.55</v>
      </c>
      <c r="E519" s="19">
        <f t="shared" si="25"/>
        <v>0.5</v>
      </c>
      <c r="F519" s="20">
        <f t="shared" si="26"/>
        <v>0.41587453478450814</v>
      </c>
    </row>
    <row r="520" spans="1:6" ht="15" customHeight="1">
      <c r="A520" s="18" t="str">
        <f>'F Plus CO2'!A1458</f>
        <v>5/2001</v>
      </c>
      <c r="B520" s="19">
        <f t="shared" si="24"/>
        <v>2001.375</v>
      </c>
      <c r="C520" s="20">
        <f>'F Plus CO2'!B1458</f>
        <v>58.225999999999999</v>
      </c>
      <c r="D520" s="19">
        <f>'F Plus CO2'!C1458</f>
        <v>374.03</v>
      </c>
      <c r="E520" s="19">
        <f t="shared" si="25"/>
        <v>0.57000000000000028</v>
      </c>
      <c r="F520" s="20">
        <f t="shared" si="26"/>
        <v>0.41772716250271424</v>
      </c>
    </row>
    <row r="521" spans="1:6" ht="15" customHeight="1">
      <c r="A521" s="18" t="str">
        <f>'F Plus CO2'!A1459</f>
        <v>6/2001</v>
      </c>
      <c r="B521" s="19">
        <f t="shared" si="24"/>
        <v>2001.4583333333333</v>
      </c>
      <c r="C521" s="20">
        <f>'F Plus CO2'!B1459</f>
        <v>58.153999999999996</v>
      </c>
      <c r="D521" s="19">
        <f>'F Plus CO2'!C1459</f>
        <v>373.4</v>
      </c>
      <c r="E521" s="19">
        <f t="shared" si="25"/>
        <v>0.52999999999999758</v>
      </c>
      <c r="F521" s="20">
        <f t="shared" si="26"/>
        <v>0.41529510039387307</v>
      </c>
    </row>
    <row r="522" spans="1:6" ht="15" customHeight="1">
      <c r="A522" s="18" t="str">
        <f>'F Plus CO2'!A1460</f>
        <v>7/2001</v>
      </c>
      <c r="B522" s="19">
        <f t="shared" si="24"/>
        <v>2001.5416666666667</v>
      </c>
      <c r="C522" s="20">
        <f>'F Plus CO2'!B1460</f>
        <v>58.262</v>
      </c>
      <c r="D522" s="19">
        <f>'F Plus CO2'!C1460</f>
        <v>371.68</v>
      </c>
      <c r="E522" s="19">
        <f t="shared" si="25"/>
        <v>0.58999999999999986</v>
      </c>
      <c r="F522" s="20">
        <f t="shared" si="26"/>
        <v>0.40863423208911642</v>
      </c>
    </row>
    <row r="523" spans="1:6" ht="15" customHeight="1">
      <c r="A523" s="18" t="str">
        <f>'F Plus CO2'!A1461</f>
        <v>8/2001</v>
      </c>
      <c r="B523" s="19">
        <f t="shared" si="24"/>
        <v>2001.625</v>
      </c>
      <c r="C523" s="20">
        <f>'F Plus CO2'!B1461</f>
        <v>58.064</v>
      </c>
      <c r="D523" s="19">
        <f>'F Plus CO2'!C1461</f>
        <v>369.78</v>
      </c>
      <c r="E523" s="19">
        <f t="shared" si="25"/>
        <v>0.47999999999999865</v>
      </c>
      <c r="F523" s="20">
        <f t="shared" si="26"/>
        <v>0.40124036977007455</v>
      </c>
    </row>
    <row r="524" spans="1:6" ht="15" customHeight="1">
      <c r="A524" s="18" t="str">
        <f>'F Plus CO2'!A1462</f>
        <v>9/2001</v>
      </c>
      <c r="B524" s="19">
        <f t="shared" si="24"/>
        <v>2001.7083333333333</v>
      </c>
      <c r="C524" s="20">
        <f>'F Plus CO2'!B1462</f>
        <v>58.135999999999996</v>
      </c>
      <c r="D524" s="19">
        <f>'F Plus CO2'!C1462</f>
        <v>368.34</v>
      </c>
      <c r="E524" s="19">
        <f t="shared" si="25"/>
        <v>0.5199999999999978</v>
      </c>
      <c r="F524" s="20">
        <f t="shared" si="26"/>
        <v>0.39561124850380214</v>
      </c>
    </row>
    <row r="525" spans="1:6" ht="15" customHeight="1">
      <c r="A525" s="18" t="str">
        <f>'F Plus CO2'!A1463</f>
        <v>10/2001</v>
      </c>
      <c r="B525" s="19">
        <f t="shared" si="24"/>
        <v>2001.7916666666667</v>
      </c>
      <c r="C525" s="20">
        <f>'F Plus CO2'!B1463</f>
        <v>58.1</v>
      </c>
      <c r="D525" s="19">
        <f>'F Plus CO2'!C1463</f>
        <v>368.61</v>
      </c>
      <c r="E525" s="19">
        <f t="shared" si="25"/>
        <v>0.5</v>
      </c>
      <c r="F525" s="20">
        <f t="shared" si="26"/>
        <v>0.39666838312207731</v>
      </c>
    </row>
    <row r="526" spans="1:6" ht="15" customHeight="1">
      <c r="A526" s="18" t="str">
        <f>'F Plus CO2'!A1464</f>
        <v>11/2001</v>
      </c>
      <c r="B526" s="19">
        <f t="shared" si="24"/>
        <v>2001.875</v>
      </c>
      <c r="C526" s="20">
        <f>'F Plus CO2'!B1464</f>
        <v>58.496000000000002</v>
      </c>
      <c r="D526" s="19">
        <f>'F Plus CO2'!C1464</f>
        <v>369.94</v>
      </c>
      <c r="E526" s="19">
        <f t="shared" si="25"/>
        <v>0.72000000000000242</v>
      </c>
      <c r="F526" s="20">
        <f t="shared" si="26"/>
        <v>0.40186447405316023</v>
      </c>
    </row>
    <row r="527" spans="1:6" ht="15" customHeight="1">
      <c r="A527" s="18" t="str">
        <f>'F Plus CO2'!A1465</f>
        <v>12/2001</v>
      </c>
      <c r="B527" s="19">
        <f t="shared" si="24"/>
        <v>2001.9583333333333</v>
      </c>
      <c r="C527" s="20">
        <f>'F Plus CO2'!B1465</f>
        <v>58.19</v>
      </c>
      <c r="D527" s="19">
        <f>'F Plus CO2'!C1465</f>
        <v>371.42</v>
      </c>
      <c r="E527" s="19">
        <f t="shared" si="25"/>
        <v>0.54999999999999893</v>
      </c>
      <c r="F527" s="20">
        <f t="shared" si="26"/>
        <v>0.40762467556660881</v>
      </c>
    </row>
    <row r="528" spans="1:6" ht="15" customHeight="1">
      <c r="A528" s="18" t="str">
        <f>'F Plus CO2'!A1466</f>
        <v>1/2002</v>
      </c>
      <c r="B528" s="19">
        <f t="shared" si="24"/>
        <v>2002.0416666666667</v>
      </c>
      <c r="C528" s="20">
        <f>'F Plus CO2'!B1466</f>
        <v>58.585999999999999</v>
      </c>
      <c r="D528" s="19">
        <f>'F Plus CO2'!C1466</f>
        <v>372.7</v>
      </c>
      <c r="E528" s="19">
        <f t="shared" si="25"/>
        <v>0.77000000000000135</v>
      </c>
      <c r="F528" s="20">
        <f t="shared" si="26"/>
        <v>0.4125879918965209</v>
      </c>
    </row>
    <row r="529" spans="1:6" ht="15" customHeight="1">
      <c r="A529" s="18" t="str">
        <f>'F Plus CO2'!A1467</f>
        <v>2/2002</v>
      </c>
      <c r="B529" s="19">
        <f t="shared" si="24"/>
        <v>2002.125</v>
      </c>
      <c r="C529" s="20">
        <f>'F Plus CO2'!B1467</f>
        <v>58.603999999999999</v>
      </c>
      <c r="D529" s="19">
        <f>'F Plus CO2'!C1467</f>
        <v>373.37</v>
      </c>
      <c r="E529" s="19">
        <f t="shared" si="25"/>
        <v>0.77999999999999758</v>
      </c>
      <c r="F529" s="20">
        <f t="shared" si="26"/>
        <v>0.41517918558409256</v>
      </c>
    </row>
    <row r="530" spans="1:6" ht="15" customHeight="1">
      <c r="A530" s="18" t="str">
        <f>'F Plus CO2'!A1468</f>
        <v>3/2002</v>
      </c>
      <c r="B530" s="19">
        <f t="shared" si="24"/>
        <v>2002.2083333333333</v>
      </c>
      <c r="C530" s="20">
        <f>'F Plus CO2'!B1468</f>
        <v>58.784000000000006</v>
      </c>
      <c r="D530" s="19">
        <f>'F Plus CO2'!C1468</f>
        <v>374.3</v>
      </c>
      <c r="E530" s="19">
        <f t="shared" si="25"/>
        <v>0.88000000000000256</v>
      </c>
      <c r="F530" s="20">
        <f t="shared" si="26"/>
        <v>0.41876822106763295</v>
      </c>
    </row>
    <row r="531" spans="1:6" ht="15" customHeight="1">
      <c r="A531" s="18" t="str">
        <f>'F Plus CO2'!A1469</f>
        <v>4/2002</v>
      </c>
      <c r="B531" s="19">
        <f t="shared" si="24"/>
        <v>2002.2916666666667</v>
      </c>
      <c r="C531" s="20">
        <f>'F Plus CO2'!B1469</f>
        <v>58.244</v>
      </c>
      <c r="D531" s="19">
        <f>'F Plus CO2'!C1469</f>
        <v>375.19</v>
      </c>
      <c r="E531" s="19">
        <f t="shared" si="25"/>
        <v>0.58000000000000007</v>
      </c>
      <c r="F531" s="20">
        <f t="shared" si="26"/>
        <v>0.4221945488102623</v>
      </c>
    </row>
    <row r="532" spans="1:6" ht="15" customHeight="1">
      <c r="A532" s="18" t="str">
        <f>'F Plus CO2'!A1470</f>
        <v>5/2002</v>
      </c>
      <c r="B532" s="19">
        <f t="shared" si="24"/>
        <v>2002.375</v>
      </c>
      <c r="C532" s="20">
        <f>'F Plus CO2'!B1470</f>
        <v>58.352000000000004</v>
      </c>
      <c r="D532" s="19">
        <f>'F Plus CO2'!C1470</f>
        <v>375.93</v>
      </c>
      <c r="E532" s="19">
        <f t="shared" si="25"/>
        <v>0.64000000000000234</v>
      </c>
      <c r="F532" s="20">
        <f t="shared" si="26"/>
        <v>0.42503722288541401</v>
      </c>
    </row>
    <row r="533" spans="1:6" ht="15" customHeight="1">
      <c r="A533" s="18" t="str">
        <f>'F Plus CO2'!A1471</f>
        <v>6/2002</v>
      </c>
      <c r="B533" s="19">
        <f t="shared" si="24"/>
        <v>2002.4583333333333</v>
      </c>
      <c r="C533" s="20">
        <f>'F Plus CO2'!B1471</f>
        <v>58.153999999999996</v>
      </c>
      <c r="D533" s="19">
        <f>'F Plus CO2'!C1471</f>
        <v>375.69</v>
      </c>
      <c r="E533" s="19">
        <f t="shared" si="25"/>
        <v>0.52999999999999758</v>
      </c>
      <c r="F533" s="20">
        <f t="shared" si="26"/>
        <v>0.42411588811097739</v>
      </c>
    </row>
    <row r="534" spans="1:6" ht="15" customHeight="1">
      <c r="A534" s="18" t="str">
        <f>'F Plus CO2'!A1472</f>
        <v>7/2002</v>
      </c>
      <c r="B534" s="19">
        <f t="shared" si="24"/>
        <v>2002.5416666666667</v>
      </c>
      <c r="C534" s="20">
        <f>'F Plus CO2'!B1472</f>
        <v>58.298000000000002</v>
      </c>
      <c r="D534" s="19">
        <f>'F Plus CO2'!C1472</f>
        <v>374.16</v>
      </c>
      <c r="E534" s="19">
        <f t="shared" si="25"/>
        <v>0.61000000000000121</v>
      </c>
      <c r="F534" s="20">
        <f t="shared" si="26"/>
        <v>0.41822850669924977</v>
      </c>
    </row>
    <row r="535" spans="1:6" ht="15" customHeight="1">
      <c r="A535" s="18" t="str">
        <f>'F Plus CO2'!A1473</f>
        <v>8/2002</v>
      </c>
      <c r="B535" s="19">
        <f t="shared" si="24"/>
        <v>2002.625</v>
      </c>
      <c r="C535" s="20">
        <f>'F Plus CO2'!B1473</f>
        <v>58.153999999999996</v>
      </c>
      <c r="D535" s="19">
        <f>'F Plus CO2'!C1473</f>
        <v>372.03</v>
      </c>
      <c r="E535" s="19">
        <f t="shared" si="25"/>
        <v>0.52999999999999758</v>
      </c>
      <c r="F535" s="20">
        <f t="shared" si="26"/>
        <v>0.40999213584619632</v>
      </c>
    </row>
    <row r="536" spans="1:6" ht="15" customHeight="1">
      <c r="A536" s="18" t="str">
        <f>'F Plus CO2'!A1474</f>
        <v>9/2002</v>
      </c>
      <c r="B536" s="19">
        <f t="shared" si="24"/>
        <v>2002.7083333333333</v>
      </c>
      <c r="C536" s="20">
        <f>'F Plus CO2'!B1474</f>
        <v>58.352000000000004</v>
      </c>
      <c r="D536" s="19">
        <f>'F Plus CO2'!C1474</f>
        <v>370.92</v>
      </c>
      <c r="E536" s="19">
        <f t="shared" si="25"/>
        <v>0.64000000000000234</v>
      </c>
      <c r="F536" s="20">
        <f t="shared" si="26"/>
        <v>0.40568123285968838</v>
      </c>
    </row>
    <row r="537" spans="1:6" ht="15" customHeight="1">
      <c r="A537" s="18" t="str">
        <f>'F Plus CO2'!A1475</f>
        <v>10/2002</v>
      </c>
      <c r="B537" s="19">
        <f t="shared" si="24"/>
        <v>2002.7916666666667</v>
      </c>
      <c r="C537" s="20">
        <f>'F Plus CO2'!B1475</f>
        <v>58.171999999999997</v>
      </c>
      <c r="D537" s="19">
        <f>'F Plus CO2'!C1475</f>
        <v>370.73</v>
      </c>
      <c r="E537" s="19">
        <f t="shared" si="25"/>
        <v>0.53999999999999915</v>
      </c>
      <c r="F537" s="20">
        <f t="shared" si="26"/>
        <v>0.40494203764964165</v>
      </c>
    </row>
    <row r="538" spans="1:6" ht="15" customHeight="1">
      <c r="A538" s="18" t="str">
        <f>'F Plus CO2'!A1476</f>
        <v>11/2002</v>
      </c>
      <c r="B538" s="19">
        <f t="shared" si="24"/>
        <v>2002.875</v>
      </c>
      <c r="C538" s="20">
        <f>'F Plus CO2'!B1476</f>
        <v>58.262</v>
      </c>
      <c r="D538" s="19">
        <f>'F Plus CO2'!C1476</f>
        <v>372.43</v>
      </c>
      <c r="E538" s="19">
        <f t="shared" si="25"/>
        <v>0.58999999999999986</v>
      </c>
      <c r="F538" s="20">
        <f t="shared" si="26"/>
        <v>0.41154246245041559</v>
      </c>
    </row>
    <row r="539" spans="1:6" ht="15" customHeight="1">
      <c r="A539" s="18" t="str">
        <f>'F Plus CO2'!A1477</f>
        <v>12/2002</v>
      </c>
      <c r="B539" s="19">
        <f t="shared" si="24"/>
        <v>2002.9583333333333</v>
      </c>
      <c r="C539" s="20">
        <f>'F Plus CO2'!B1477</f>
        <v>57.992000000000004</v>
      </c>
      <c r="D539" s="19">
        <f>'F Plus CO2'!C1477</f>
        <v>373.98</v>
      </c>
      <c r="E539" s="19">
        <f t="shared" si="25"/>
        <v>0.44000000000000483</v>
      </c>
      <c r="F539" s="20">
        <f t="shared" si="26"/>
        <v>0.41753429141234943</v>
      </c>
    </row>
    <row r="540" spans="1:6" ht="15" customHeight="1">
      <c r="A540" s="18" t="str">
        <f>'F Plus CO2'!A1478</f>
        <v>1/2003</v>
      </c>
      <c r="B540" s="19">
        <f t="shared" si="24"/>
        <v>2003.0416666666667</v>
      </c>
      <c r="C540" s="20">
        <f>'F Plus CO2'!B1478</f>
        <v>58.55</v>
      </c>
      <c r="D540" s="19">
        <f>'F Plus CO2'!C1478</f>
        <v>375.07</v>
      </c>
      <c r="E540" s="19">
        <f t="shared" si="25"/>
        <v>0.75</v>
      </c>
      <c r="F540" s="20">
        <f t="shared" si="26"/>
        <v>0.42173304638074988</v>
      </c>
    </row>
    <row r="541" spans="1:6" ht="15" customHeight="1">
      <c r="A541" s="18" t="str">
        <f>'F Plus CO2'!A1479</f>
        <v>2/2003</v>
      </c>
      <c r="B541" s="19">
        <f t="shared" si="24"/>
        <v>2003.125</v>
      </c>
      <c r="C541" s="20">
        <f>'F Plus CO2'!B1479</f>
        <v>58.244</v>
      </c>
      <c r="D541" s="19">
        <f>'F Plus CO2'!C1479</f>
        <v>375.82</v>
      </c>
      <c r="E541" s="19">
        <f t="shared" si="25"/>
        <v>0.58000000000000007</v>
      </c>
      <c r="F541" s="20">
        <f t="shared" si="26"/>
        <v>0.42461501748300506</v>
      </c>
    </row>
    <row r="542" spans="1:6" ht="15" customHeight="1">
      <c r="A542" s="18" t="str">
        <f>'F Plus CO2'!A1480</f>
        <v>3/2003</v>
      </c>
      <c r="B542" s="19">
        <f t="shared" si="24"/>
        <v>2003.2083333333333</v>
      </c>
      <c r="C542" s="20">
        <f>'F Plus CO2'!B1480</f>
        <v>58.28</v>
      </c>
      <c r="D542" s="19">
        <f>'F Plus CO2'!C1480</f>
        <v>376.64</v>
      </c>
      <c r="E542" s="19">
        <f t="shared" si="25"/>
        <v>0.60000000000000142</v>
      </c>
      <c r="F542" s="20">
        <f t="shared" si="26"/>
        <v>0.42775939831875309</v>
      </c>
    </row>
    <row r="543" spans="1:6" ht="15" customHeight="1">
      <c r="A543" s="18" t="str">
        <f>'F Plus CO2'!A1481</f>
        <v>4/2003</v>
      </c>
      <c r="B543" s="19">
        <f t="shared" si="24"/>
        <v>2003.2916666666667</v>
      </c>
      <c r="C543" s="20">
        <f>'F Plus CO2'!B1481</f>
        <v>58.19</v>
      </c>
      <c r="D543" s="19">
        <f>'F Plus CO2'!C1481</f>
        <v>377.92</v>
      </c>
      <c r="E543" s="19">
        <f t="shared" si="25"/>
        <v>0.54999999999999893</v>
      </c>
      <c r="F543" s="20">
        <f t="shared" si="26"/>
        <v>0.43265404267746627</v>
      </c>
    </row>
    <row r="544" spans="1:6" ht="15" customHeight="1">
      <c r="A544" s="18" t="str">
        <f>'F Plus CO2'!A1482</f>
        <v>5/2003</v>
      </c>
      <c r="B544" s="19">
        <f t="shared" si="24"/>
        <v>2003.375</v>
      </c>
      <c r="C544" s="20">
        <f>'F Plus CO2'!B1482</f>
        <v>58.28</v>
      </c>
      <c r="D544" s="19">
        <f>'F Plus CO2'!C1482</f>
        <v>378.78</v>
      </c>
      <c r="E544" s="19">
        <f t="shared" si="25"/>
        <v>0.60000000000000142</v>
      </c>
      <c r="F544" s="20">
        <f t="shared" si="26"/>
        <v>0.43593332976445326</v>
      </c>
    </row>
    <row r="545" spans="1:6" ht="15" customHeight="1">
      <c r="A545" s="18" t="str">
        <f>'F Plus CO2'!A1483</f>
        <v>6/2003</v>
      </c>
      <c r="B545" s="19">
        <f t="shared" si="24"/>
        <v>2003.4583333333333</v>
      </c>
      <c r="C545" s="20">
        <f>'F Plus CO2'!B1483</f>
        <v>58.064</v>
      </c>
      <c r="D545" s="19">
        <f>'F Plus CO2'!C1483</f>
        <v>378.46</v>
      </c>
      <c r="E545" s="19">
        <f t="shared" si="25"/>
        <v>0.47999999999999865</v>
      </c>
      <c r="F545" s="20">
        <f t="shared" si="26"/>
        <v>0.43471400051463627</v>
      </c>
    </row>
    <row r="546" spans="1:6" ht="15" customHeight="1">
      <c r="A546" s="18" t="str">
        <f>'F Plus CO2'!A1484</f>
        <v>7/2003</v>
      </c>
      <c r="B546" s="19">
        <f t="shared" si="24"/>
        <v>2003.5416666666667</v>
      </c>
      <c r="C546" s="20">
        <f>'F Plus CO2'!B1484</f>
        <v>58.244</v>
      </c>
      <c r="D546" s="19">
        <f>'F Plus CO2'!C1484</f>
        <v>376.88</v>
      </c>
      <c r="E546" s="19">
        <f t="shared" si="25"/>
        <v>0.58000000000000007</v>
      </c>
      <c r="F546" s="20">
        <f t="shared" si="26"/>
        <v>0.42867840994823009</v>
      </c>
    </row>
    <row r="547" spans="1:6" ht="15" customHeight="1">
      <c r="A547" s="18" t="str">
        <f>'F Plus CO2'!A1485</f>
        <v>8/2003</v>
      </c>
      <c r="B547" s="19">
        <f t="shared" si="24"/>
        <v>2003.625</v>
      </c>
      <c r="C547" s="20">
        <f>'F Plus CO2'!B1485</f>
        <v>58.352000000000004</v>
      </c>
      <c r="D547" s="19">
        <f>'F Plus CO2'!C1485</f>
        <v>374.57</v>
      </c>
      <c r="E547" s="19">
        <f t="shared" si="25"/>
        <v>0.64000000000000234</v>
      </c>
      <c r="F547" s="20">
        <f t="shared" si="26"/>
        <v>0.41980852893927539</v>
      </c>
    </row>
    <row r="548" spans="1:6" ht="15" customHeight="1">
      <c r="A548" s="18" t="str">
        <f>'F Plus CO2'!A1486</f>
        <v>9/2003</v>
      </c>
      <c r="B548" s="19">
        <f t="shared" si="24"/>
        <v>2003.7083333333333</v>
      </c>
      <c r="C548" s="20">
        <f>'F Plus CO2'!B1486</f>
        <v>58.316000000000003</v>
      </c>
      <c r="D548" s="19">
        <f>'F Plus CO2'!C1486</f>
        <v>373.34</v>
      </c>
      <c r="E548" s="19">
        <f t="shared" si="25"/>
        <v>0.62000000000000099</v>
      </c>
      <c r="F548" s="20">
        <f t="shared" si="26"/>
        <v>0.41506326146026928</v>
      </c>
    </row>
    <row r="549" spans="1:6" ht="15" customHeight="1">
      <c r="A549" s="18" t="str">
        <f>'F Plus CO2'!A1487</f>
        <v>10/2003</v>
      </c>
      <c r="B549" s="19">
        <f t="shared" si="24"/>
        <v>2003.7916666666667</v>
      </c>
      <c r="C549" s="20">
        <f>'F Plus CO2'!B1487</f>
        <v>58.496000000000002</v>
      </c>
      <c r="D549" s="19">
        <f>'F Plus CO2'!C1487</f>
        <v>373.31</v>
      </c>
      <c r="E549" s="19">
        <f t="shared" si="25"/>
        <v>0.72000000000000242</v>
      </c>
      <c r="F549" s="20">
        <f t="shared" si="26"/>
        <v>0.41494732802090711</v>
      </c>
    </row>
    <row r="550" spans="1:6" ht="15" customHeight="1">
      <c r="A550" s="18" t="str">
        <f>'F Plus CO2'!A1488</f>
        <v>11/2003</v>
      </c>
      <c r="B550" s="19">
        <f t="shared" si="24"/>
        <v>2003.875</v>
      </c>
      <c r="C550" s="20">
        <f>'F Plus CO2'!B1488</f>
        <v>58.153999999999996</v>
      </c>
      <c r="D550" s="19">
        <f>'F Plus CO2'!C1488</f>
        <v>374.84</v>
      </c>
      <c r="E550" s="19">
        <f t="shared" si="25"/>
        <v>0.52999999999999758</v>
      </c>
      <c r="F550" s="20">
        <f t="shared" si="26"/>
        <v>0.42084808719949091</v>
      </c>
    </row>
    <row r="551" spans="1:6" ht="15" customHeight="1">
      <c r="A551" s="18" t="str">
        <f>'F Plus CO2'!A1489</f>
        <v>12/2003</v>
      </c>
      <c r="B551" s="19">
        <f t="shared" si="24"/>
        <v>2003.9583333333333</v>
      </c>
      <c r="C551" s="20">
        <f>'F Plus CO2'!B1489</f>
        <v>58.55</v>
      </c>
      <c r="D551" s="19">
        <f>'F Plus CO2'!C1489</f>
        <v>376.17</v>
      </c>
      <c r="E551" s="19">
        <f t="shared" si="25"/>
        <v>0.75</v>
      </c>
      <c r="F551" s="20">
        <f t="shared" si="26"/>
        <v>0.42595796965197702</v>
      </c>
    </row>
    <row r="552" spans="1:6" ht="15" customHeight="1">
      <c r="A552" s="18" t="str">
        <f>'F Plus CO2'!A1490</f>
        <v>1/2004</v>
      </c>
      <c r="B552" s="19">
        <f t="shared" si="24"/>
        <v>2004.0416666666667</v>
      </c>
      <c r="C552" s="20">
        <f>'F Plus CO2'!B1490</f>
        <v>58.244</v>
      </c>
      <c r="D552" s="19">
        <f>'F Plus CO2'!C1490</f>
        <v>377.17</v>
      </c>
      <c r="E552" s="19">
        <f t="shared" si="25"/>
        <v>0.58000000000000007</v>
      </c>
      <c r="F552" s="20">
        <f t="shared" si="26"/>
        <v>0.42978810183201854</v>
      </c>
    </row>
    <row r="553" spans="1:6" ht="15" customHeight="1">
      <c r="A553" s="18" t="str">
        <f>'F Plus CO2'!A1491</f>
        <v>2/2004</v>
      </c>
      <c r="B553" s="19">
        <f t="shared" si="24"/>
        <v>2004.125</v>
      </c>
      <c r="C553" s="20">
        <f>'F Plus CO2'!B1491</f>
        <v>58.496000000000002</v>
      </c>
      <c r="D553" s="19">
        <f>'F Plus CO2'!C1491</f>
        <v>378.05</v>
      </c>
      <c r="E553" s="19">
        <f t="shared" si="25"/>
        <v>0.72000000000000242</v>
      </c>
      <c r="F553" s="20">
        <f t="shared" si="26"/>
        <v>0.43315022733337655</v>
      </c>
    </row>
    <row r="554" spans="1:6" ht="15" customHeight="1">
      <c r="A554" s="18" t="str">
        <f>'F Plus CO2'!A1492</f>
        <v>3/2004</v>
      </c>
      <c r="B554" s="19">
        <f t="shared" si="24"/>
        <v>2004.2083333333333</v>
      </c>
      <c r="C554" s="20">
        <f>'F Plus CO2'!B1492</f>
        <v>58.334000000000003</v>
      </c>
      <c r="D554" s="19">
        <f>'F Plus CO2'!C1492</f>
        <v>379.06</v>
      </c>
      <c r="E554" s="19">
        <f t="shared" si="25"/>
        <v>0.63000000000000256</v>
      </c>
      <c r="F554" s="20">
        <f t="shared" si="26"/>
        <v>0.4369993981425544</v>
      </c>
    </row>
    <row r="555" spans="1:6" ht="15" customHeight="1">
      <c r="A555" s="18" t="str">
        <f>'F Plus CO2'!A1493</f>
        <v>4/2004</v>
      </c>
      <c r="B555" s="19">
        <f t="shared" si="24"/>
        <v>2004.2916666666667</v>
      </c>
      <c r="C555" s="20">
        <f>'F Plus CO2'!B1493</f>
        <v>58.298000000000002</v>
      </c>
      <c r="D555" s="19">
        <f>'F Plus CO2'!C1493</f>
        <v>380.54</v>
      </c>
      <c r="E555" s="19">
        <f t="shared" si="25"/>
        <v>0.61000000000000121</v>
      </c>
      <c r="F555" s="20">
        <f t="shared" si="26"/>
        <v>0.44262128166655951</v>
      </c>
    </row>
    <row r="556" spans="1:6" ht="15" customHeight="1">
      <c r="A556" s="18" t="str">
        <f>'F Plus CO2'!A1494</f>
        <v>5/2004</v>
      </c>
      <c r="B556" s="19">
        <f t="shared" si="24"/>
        <v>2004.375</v>
      </c>
      <c r="C556" s="20">
        <f>'F Plus CO2'!B1494</f>
        <v>57.866</v>
      </c>
      <c r="D556" s="19">
        <f>'F Plus CO2'!C1494</f>
        <v>380.8</v>
      </c>
      <c r="E556" s="19">
        <f t="shared" si="25"/>
        <v>0.36999999999999744</v>
      </c>
      <c r="F556" s="20">
        <f t="shared" si="26"/>
        <v>0.44360665147561484</v>
      </c>
    </row>
    <row r="557" spans="1:6" ht="15" customHeight="1">
      <c r="A557" s="18" t="str">
        <f>'F Plus CO2'!A1495</f>
        <v>6/2004</v>
      </c>
      <c r="B557" s="19">
        <f t="shared" si="24"/>
        <v>2004.4583333333333</v>
      </c>
      <c r="C557" s="20">
        <f>'F Plus CO2'!B1495</f>
        <v>57.992000000000004</v>
      </c>
      <c r="D557" s="19">
        <f>'F Plus CO2'!C1495</f>
        <v>379.87</v>
      </c>
      <c r="E557" s="19">
        <f t="shared" si="25"/>
        <v>0.44000000000000483</v>
      </c>
      <c r="F557" s="20">
        <f t="shared" si="26"/>
        <v>0.44007895337646558</v>
      </c>
    </row>
    <row r="558" spans="1:6" ht="15" customHeight="1">
      <c r="A558" s="18" t="str">
        <f>'F Plus CO2'!A1496</f>
        <v>7/2004</v>
      </c>
      <c r="B558" s="19">
        <f t="shared" si="24"/>
        <v>2004.5416666666667</v>
      </c>
      <c r="C558" s="20">
        <f>'F Plus CO2'!B1496</f>
        <v>57.667999999999999</v>
      </c>
      <c r="D558" s="19">
        <f>'F Plus CO2'!C1496</f>
        <v>377.65</v>
      </c>
      <c r="E558" s="19">
        <f t="shared" si="25"/>
        <v>0.25999999999999979</v>
      </c>
      <c r="F558" s="20">
        <f t="shared" si="26"/>
        <v>0.43162295971329212</v>
      </c>
    </row>
    <row r="559" spans="1:6" ht="15" customHeight="1">
      <c r="A559" s="18" t="str">
        <f>'F Plus CO2'!A1497</f>
        <v>8/2004</v>
      </c>
      <c r="B559" s="19">
        <f t="shared" si="24"/>
        <v>2004.625</v>
      </c>
      <c r="C559" s="20">
        <f>'F Plus CO2'!B1497</f>
        <v>58.01</v>
      </c>
      <c r="D559" s="19">
        <f>'F Plus CO2'!C1497</f>
        <v>376.17</v>
      </c>
      <c r="E559" s="19">
        <f t="shared" si="25"/>
        <v>0.44999999999999751</v>
      </c>
      <c r="F559" s="20">
        <f t="shared" si="26"/>
        <v>0.42595796965197702</v>
      </c>
    </row>
    <row r="560" spans="1:6" ht="15" customHeight="1">
      <c r="A560" s="18" t="str">
        <f>'F Plus CO2'!A1498</f>
        <v>9/2004</v>
      </c>
      <c r="B560" s="19">
        <f t="shared" si="24"/>
        <v>2004.7083333333333</v>
      </c>
      <c r="C560" s="20">
        <f>'F Plus CO2'!B1498</f>
        <v>58.1</v>
      </c>
      <c r="D560" s="19">
        <f>'F Plus CO2'!C1498</f>
        <v>374.43</v>
      </c>
      <c r="E560" s="19">
        <f t="shared" si="25"/>
        <v>0.5</v>
      </c>
      <c r="F560" s="20">
        <f t="shared" si="26"/>
        <v>0.41926920368406412</v>
      </c>
    </row>
    <row r="561" spans="1:6" ht="15" customHeight="1">
      <c r="A561" s="18" t="str">
        <f>'F Plus CO2'!A1499</f>
        <v>10/2004</v>
      </c>
      <c r="B561" s="19">
        <f t="shared" si="24"/>
        <v>2004.7916666666667</v>
      </c>
      <c r="C561" s="20">
        <f>'F Plus CO2'!B1499</f>
        <v>58.298000000000002</v>
      </c>
      <c r="D561" s="19">
        <f>'F Plus CO2'!C1499</f>
        <v>374.63</v>
      </c>
      <c r="E561" s="19">
        <f t="shared" si="25"/>
        <v>0.61000000000000121</v>
      </c>
      <c r="F561" s="20">
        <f t="shared" si="26"/>
        <v>0.42003960662918038</v>
      </c>
    </row>
    <row r="562" spans="1:6" ht="15" customHeight="1">
      <c r="A562" s="18" t="str">
        <f>'F Plus CO2'!A1500</f>
        <v>11/2004</v>
      </c>
      <c r="B562" s="19">
        <f t="shared" si="24"/>
        <v>2004.875</v>
      </c>
      <c r="C562" s="20">
        <f>'F Plus CO2'!B1500</f>
        <v>58.514000000000003</v>
      </c>
      <c r="D562" s="19">
        <f>'F Plus CO2'!C1500</f>
        <v>376.33</v>
      </c>
      <c r="E562" s="19">
        <f t="shared" si="25"/>
        <v>0.7300000000000022</v>
      </c>
      <c r="F562" s="20">
        <f t="shared" si="26"/>
        <v>0.42657147452910854</v>
      </c>
    </row>
    <row r="563" spans="1:6" ht="15" customHeight="1">
      <c r="A563" s="18" t="str">
        <f>'F Plus CO2'!A1501</f>
        <v>12/2004</v>
      </c>
      <c r="B563" s="19">
        <f t="shared" si="24"/>
        <v>2004.9583333333333</v>
      </c>
      <c r="C563" s="20">
        <f>'F Plus CO2'!B1501</f>
        <v>58.117999999999995</v>
      </c>
      <c r="D563" s="19">
        <f>'F Plus CO2'!C1501</f>
        <v>377.68</v>
      </c>
      <c r="E563" s="19">
        <f t="shared" si="25"/>
        <v>0.50999999999999801</v>
      </c>
      <c r="F563" s="20">
        <f t="shared" si="26"/>
        <v>0.43173756088430215</v>
      </c>
    </row>
    <row r="564" spans="1:6" ht="15" customHeight="1">
      <c r="A564" s="18" t="str">
        <f>'F Plus CO2'!A1502</f>
        <v>1/2005</v>
      </c>
      <c r="B564" s="19">
        <f t="shared" si="24"/>
        <v>2005.0416666666667</v>
      </c>
      <c r="C564" s="20">
        <f>'F Plus CO2'!B1502</f>
        <v>58.55</v>
      </c>
      <c r="D564" s="19">
        <f>'F Plus CO2'!C1502</f>
        <v>378.63</v>
      </c>
      <c r="E564" s="19">
        <f t="shared" si="25"/>
        <v>0.75</v>
      </c>
      <c r="F564" s="20">
        <f t="shared" si="26"/>
        <v>0.43536189749141069</v>
      </c>
    </row>
    <row r="565" spans="1:6" ht="15" customHeight="1">
      <c r="A565" s="18" t="str">
        <f>'F Plus CO2'!A1503</f>
        <v>2/2005</v>
      </c>
      <c r="B565" s="19">
        <f t="shared" si="24"/>
        <v>2005.125</v>
      </c>
      <c r="C565" s="20">
        <f>'F Plus CO2'!B1503</f>
        <v>58.28</v>
      </c>
      <c r="D565" s="19">
        <f>'F Plus CO2'!C1503</f>
        <v>379.91</v>
      </c>
      <c r="E565" s="19">
        <f t="shared" si="25"/>
        <v>0.60000000000000142</v>
      </c>
      <c r="F565" s="20">
        <f t="shared" si="26"/>
        <v>0.4402308599854548</v>
      </c>
    </row>
    <row r="566" spans="1:6" ht="15" customHeight="1">
      <c r="A566" s="18" t="str">
        <f>'F Plus CO2'!A1504</f>
        <v>3/2005</v>
      </c>
      <c r="B566" s="19">
        <f t="shared" si="24"/>
        <v>2005.2083333333333</v>
      </c>
      <c r="C566" s="20">
        <f>'F Plus CO2'!B1504</f>
        <v>58.531999999999996</v>
      </c>
      <c r="D566" s="19">
        <f>'F Plus CO2'!C1504</f>
        <v>380.95</v>
      </c>
      <c r="E566" s="19">
        <f t="shared" si="25"/>
        <v>0.73999999999999666</v>
      </c>
      <c r="F566" s="20">
        <f t="shared" si="26"/>
        <v>0.44417482806617692</v>
      </c>
    </row>
    <row r="567" spans="1:6" ht="15" customHeight="1">
      <c r="A567" s="18" t="str">
        <f>'F Plus CO2'!A1505</f>
        <v>4/2005</v>
      </c>
      <c r="B567" s="19">
        <f t="shared" si="24"/>
        <v>2005.2916666666667</v>
      </c>
      <c r="C567" s="20">
        <f>'F Plus CO2'!B1505</f>
        <v>58.405999999999999</v>
      </c>
      <c r="D567" s="19">
        <f>'F Plus CO2'!C1505</f>
        <v>382.48</v>
      </c>
      <c r="E567" s="19">
        <f t="shared" si="25"/>
        <v>0.66999999999999993</v>
      </c>
      <c r="F567" s="20">
        <f t="shared" si="26"/>
        <v>0.44995748362800358</v>
      </c>
    </row>
    <row r="568" spans="1:6" ht="15" customHeight="1">
      <c r="A568" s="18" t="str">
        <f>'F Plus CO2'!A1506</f>
        <v>5/2005</v>
      </c>
      <c r="B568" s="19">
        <f t="shared" si="24"/>
        <v>2005.375</v>
      </c>
      <c r="C568" s="20">
        <f>'F Plus CO2'!B1506</f>
        <v>58.334000000000003</v>
      </c>
      <c r="D568" s="19">
        <f>'F Plus CO2'!C1506</f>
        <v>382.64</v>
      </c>
      <c r="E568" s="19">
        <f t="shared" si="25"/>
        <v>0.63000000000000256</v>
      </c>
      <c r="F568" s="20">
        <f t="shared" si="26"/>
        <v>0.45056086926661437</v>
      </c>
    </row>
    <row r="569" spans="1:6" ht="15" customHeight="1">
      <c r="A569" s="18" t="str">
        <f>'F Plus CO2'!A1507</f>
        <v>6/2005</v>
      </c>
      <c r="B569" s="19">
        <f t="shared" si="24"/>
        <v>2005.4583333333333</v>
      </c>
      <c r="C569" s="20">
        <f>'F Plus CO2'!B1507</f>
        <v>58.370000000000005</v>
      </c>
      <c r="D569" s="19">
        <f>'F Plus CO2'!C1507</f>
        <v>382.4</v>
      </c>
      <c r="E569" s="19">
        <f t="shared" si="25"/>
        <v>0.65000000000000213</v>
      </c>
      <c r="F569" s="20">
        <f t="shared" si="26"/>
        <v>0.44965569614841971</v>
      </c>
    </row>
    <row r="570" spans="1:6" ht="15" customHeight="1">
      <c r="A570" s="18" t="str">
        <f>'F Plus CO2'!A1508</f>
        <v>7/2005</v>
      </c>
      <c r="B570" s="19">
        <f t="shared" si="24"/>
        <v>2005.5416666666667</v>
      </c>
      <c r="C570" s="20">
        <f>'F Plus CO2'!B1508</f>
        <v>58.298000000000002</v>
      </c>
      <c r="D570" s="19">
        <f>'F Plus CO2'!C1508</f>
        <v>380.93</v>
      </c>
      <c r="E570" s="19">
        <f t="shared" si="25"/>
        <v>0.61000000000000121</v>
      </c>
      <c r="F570" s="20">
        <f t="shared" si="26"/>
        <v>0.44409908411483445</v>
      </c>
    </row>
    <row r="571" spans="1:6" ht="15" customHeight="1">
      <c r="A571" s="18" t="str">
        <f>'F Plus CO2'!A1509</f>
        <v>8/2005</v>
      </c>
      <c r="B571" s="19">
        <f t="shared" si="24"/>
        <v>2005.625</v>
      </c>
      <c r="C571" s="20">
        <f>'F Plus CO2'!B1509</f>
        <v>58.28</v>
      </c>
      <c r="D571" s="19">
        <f>'F Plus CO2'!C1509</f>
        <v>378.93</v>
      </c>
      <c r="E571" s="19">
        <f t="shared" si="25"/>
        <v>0.60000000000000142</v>
      </c>
      <c r="F571" s="20">
        <f t="shared" si="26"/>
        <v>0.43650453579040066</v>
      </c>
    </row>
    <row r="572" spans="1:6" ht="15" customHeight="1">
      <c r="A572" s="18" t="str">
        <f>'F Plus CO2'!A1510</f>
        <v>9/2005</v>
      </c>
      <c r="B572" s="19">
        <f t="shared" si="24"/>
        <v>2005.7083333333333</v>
      </c>
      <c r="C572" s="20">
        <f>'F Plus CO2'!B1510</f>
        <v>58.496000000000002</v>
      </c>
      <c r="D572" s="19">
        <f>'F Plus CO2'!C1510</f>
        <v>376.89</v>
      </c>
      <c r="E572" s="19">
        <f t="shared" si="25"/>
        <v>0.72000000000000242</v>
      </c>
      <c r="F572" s="20">
        <f t="shared" si="26"/>
        <v>0.42871668939795532</v>
      </c>
    </row>
    <row r="573" spans="1:6" ht="15" customHeight="1">
      <c r="A573" s="18" t="str">
        <f>'F Plus CO2'!A1511</f>
        <v>10/2005</v>
      </c>
      <c r="B573" s="19">
        <f t="shared" si="24"/>
        <v>2005.7916666666667</v>
      </c>
      <c r="C573" s="20">
        <f>'F Plus CO2'!B1511</f>
        <v>58.567999999999998</v>
      </c>
      <c r="D573" s="19">
        <f>'F Plus CO2'!C1511</f>
        <v>377.19</v>
      </c>
      <c r="E573" s="19">
        <f t="shared" si="25"/>
        <v>0.75999999999999801</v>
      </c>
      <c r="F573" s="20">
        <f t="shared" si="26"/>
        <v>0.42986460085324052</v>
      </c>
    </row>
    <row r="574" spans="1:6" ht="15" customHeight="1">
      <c r="A574" s="18" t="str">
        <f>'F Plus CO2'!A1512</f>
        <v>11/2005</v>
      </c>
      <c r="B574" s="19">
        <f t="shared" si="24"/>
        <v>2005.875</v>
      </c>
      <c r="C574" s="20">
        <f>'F Plus CO2'!B1512</f>
        <v>58.531999999999996</v>
      </c>
      <c r="D574" s="19">
        <f>'F Plus CO2'!C1512</f>
        <v>378.54</v>
      </c>
      <c r="E574" s="19">
        <f t="shared" si="25"/>
        <v>0.73999999999999666</v>
      </c>
      <c r="F574" s="20">
        <f t="shared" si="26"/>
        <v>0.43501892945440074</v>
      </c>
    </row>
    <row r="575" spans="1:6" ht="15" customHeight="1">
      <c r="A575" s="18" t="str">
        <f>'F Plus CO2'!A1513</f>
        <v>12/2005</v>
      </c>
      <c r="B575" s="19">
        <f t="shared" si="24"/>
        <v>2005.9583333333333</v>
      </c>
      <c r="C575" s="20">
        <f>'F Plus CO2'!B1513</f>
        <v>58.423999999999999</v>
      </c>
      <c r="D575" s="19">
        <f>'F Plus CO2'!C1513</f>
        <v>380.31</v>
      </c>
      <c r="E575" s="19">
        <f t="shared" si="25"/>
        <v>0.67999999999999972</v>
      </c>
      <c r="F575" s="20">
        <f t="shared" si="26"/>
        <v>0.44174904700923706</v>
      </c>
    </row>
    <row r="576" spans="1:6" ht="15" customHeight="1">
      <c r="A576" s="18" t="str">
        <f>'F Plus CO2'!A1514</f>
        <v>1/2006</v>
      </c>
      <c r="B576" s="19">
        <f t="shared" si="24"/>
        <v>2006.0416666666667</v>
      </c>
      <c r="C576" s="20">
        <f>'F Plus CO2'!B1514</f>
        <v>58.207999999999998</v>
      </c>
      <c r="D576" s="19">
        <f>'F Plus CO2'!C1514</f>
        <v>381.58</v>
      </c>
      <c r="E576" s="19">
        <f t="shared" si="25"/>
        <v>0.55999999999999872</v>
      </c>
      <c r="F576" s="20">
        <f t="shared" si="26"/>
        <v>0.44655872924400647</v>
      </c>
    </row>
    <row r="577" spans="1:6" ht="15" customHeight="1">
      <c r="A577" s="18" t="str">
        <f>'F Plus CO2'!A1515</f>
        <v>2/2006</v>
      </c>
      <c r="B577" s="19">
        <f t="shared" si="24"/>
        <v>2006.125</v>
      </c>
      <c r="C577" s="20">
        <f>'F Plus CO2'!B1515</f>
        <v>58.531999999999996</v>
      </c>
      <c r="D577" s="19">
        <f>'F Plus CO2'!C1515</f>
        <v>382.4</v>
      </c>
      <c r="E577" s="19">
        <f t="shared" si="25"/>
        <v>0.73999999999999666</v>
      </c>
      <c r="F577" s="20">
        <f t="shared" si="26"/>
        <v>0.44965569614841971</v>
      </c>
    </row>
    <row r="578" spans="1:6" ht="15" customHeight="1">
      <c r="A578" s="18" t="str">
        <f>'F Plus CO2'!A1516</f>
        <v>3/2006</v>
      </c>
      <c r="B578" s="19">
        <f t="shared" ref="B578:B641" si="27">VALUE(RIGHT(A578,4))+(VALUE(LEFT(A578,FIND("/",A578)-1))-0.5)/12</f>
        <v>2006.2083333333333</v>
      </c>
      <c r="C578" s="20">
        <f>'F Plus CO2'!B1516</f>
        <v>58.334000000000003</v>
      </c>
      <c r="D578" s="19">
        <f>'F Plus CO2'!C1516</f>
        <v>382.86</v>
      </c>
      <c r="E578" s="19">
        <f t="shared" ref="E578:E641" si="28">(C578-32)*5/9-$I$3</f>
        <v>0.63000000000000256</v>
      </c>
      <c r="F578" s="20">
        <f t="shared" ref="F578:F641" si="29">LOG(D578/$I$4,2)</f>
        <v>0.4513901126832936</v>
      </c>
    </row>
    <row r="579" spans="1:6" ht="15" customHeight="1">
      <c r="A579" s="18" t="str">
        <f>'F Plus CO2'!A1517</f>
        <v>4/2006</v>
      </c>
      <c r="B579" s="19">
        <f t="shared" si="27"/>
        <v>2006.2916666666667</v>
      </c>
      <c r="C579" s="20">
        <f>'F Plus CO2'!B1517</f>
        <v>58.046000000000006</v>
      </c>
      <c r="D579" s="19">
        <f>'F Plus CO2'!C1517</f>
        <v>384.8</v>
      </c>
      <c r="E579" s="19">
        <f t="shared" si="28"/>
        <v>0.47000000000000242</v>
      </c>
      <c r="F579" s="20">
        <f t="shared" si="29"/>
        <v>0.45868197193771321</v>
      </c>
    </row>
    <row r="580" spans="1:6" ht="15" customHeight="1">
      <c r="A580" s="18" t="str">
        <f>'F Plus CO2'!A1518</f>
        <v>5/2006</v>
      </c>
      <c r="B580" s="19">
        <f t="shared" si="27"/>
        <v>2006.375</v>
      </c>
      <c r="C580" s="20">
        <f>'F Plus CO2'!B1518</f>
        <v>58.064</v>
      </c>
      <c r="D580" s="19">
        <f>'F Plus CO2'!C1518</f>
        <v>385.22</v>
      </c>
      <c r="E580" s="19">
        <f t="shared" si="28"/>
        <v>0.47999999999999865</v>
      </c>
      <c r="F580" s="20">
        <f t="shared" si="29"/>
        <v>0.46025578035116405</v>
      </c>
    </row>
    <row r="581" spans="1:6" ht="15" customHeight="1">
      <c r="A581" s="18" t="str">
        <f>'F Plus CO2'!A1519</f>
        <v>6/2006</v>
      </c>
      <c r="B581" s="19">
        <f t="shared" si="27"/>
        <v>2006.4583333333333</v>
      </c>
      <c r="C581" s="20">
        <f>'F Plus CO2'!B1519</f>
        <v>58.405999999999999</v>
      </c>
      <c r="D581" s="19">
        <f>'F Plus CO2'!C1519</f>
        <v>384.24</v>
      </c>
      <c r="E581" s="19">
        <f t="shared" si="28"/>
        <v>0.66999999999999993</v>
      </c>
      <c r="F581" s="20">
        <f t="shared" si="29"/>
        <v>0.45658088651772205</v>
      </c>
    </row>
    <row r="582" spans="1:6" ht="15" customHeight="1">
      <c r="A582" s="18" t="str">
        <f>'F Plus CO2'!A1520</f>
        <v>7/2006</v>
      </c>
      <c r="B582" s="19">
        <f t="shared" si="27"/>
        <v>2006.5416666666667</v>
      </c>
      <c r="C582" s="20">
        <f>'F Plus CO2'!B1520</f>
        <v>58.171999999999997</v>
      </c>
      <c r="D582" s="19">
        <f>'F Plus CO2'!C1520</f>
        <v>382.65</v>
      </c>
      <c r="E582" s="19">
        <f t="shared" si="28"/>
        <v>0.53999999999999915</v>
      </c>
      <c r="F582" s="20">
        <f t="shared" si="29"/>
        <v>0.45059857249129948</v>
      </c>
    </row>
    <row r="583" spans="1:6" ht="15" customHeight="1">
      <c r="A583" s="18" t="str">
        <f>'F Plus CO2'!A1521</f>
        <v>8/2006</v>
      </c>
      <c r="B583" s="19">
        <f t="shared" si="27"/>
        <v>2006.625</v>
      </c>
      <c r="C583" s="20">
        <f>'F Plus CO2'!B1521</f>
        <v>58.478000000000002</v>
      </c>
      <c r="D583" s="19">
        <f>'F Plus CO2'!C1521</f>
        <v>380.6</v>
      </c>
      <c r="E583" s="19">
        <f t="shared" si="28"/>
        <v>0.71000000000000085</v>
      </c>
      <c r="F583" s="20">
        <f t="shared" si="29"/>
        <v>0.44284873444169331</v>
      </c>
    </row>
    <row r="584" spans="1:6" ht="15" customHeight="1">
      <c r="A584" s="18" t="str">
        <f>'F Plus CO2'!A1522</f>
        <v>9/2006</v>
      </c>
      <c r="B584" s="19">
        <f t="shared" si="27"/>
        <v>2006.7083333333333</v>
      </c>
      <c r="C584" s="20">
        <f>'F Plus CO2'!B1522</f>
        <v>58.388000000000005</v>
      </c>
      <c r="D584" s="19">
        <f>'F Plus CO2'!C1522</f>
        <v>379.04</v>
      </c>
      <c r="E584" s="19">
        <f t="shared" si="28"/>
        <v>0.66000000000000369</v>
      </c>
      <c r="F584" s="20">
        <f t="shared" si="29"/>
        <v>0.4369232765205403</v>
      </c>
    </row>
    <row r="585" spans="1:6" ht="15" customHeight="1">
      <c r="A585" s="18" t="str">
        <f>'F Plus CO2'!A1523</f>
        <v>10/2006</v>
      </c>
      <c r="B585" s="19">
        <f t="shared" si="27"/>
        <v>2006.7916666666667</v>
      </c>
      <c r="C585" s="20">
        <f>'F Plus CO2'!B1523</f>
        <v>58.478000000000002</v>
      </c>
      <c r="D585" s="19">
        <f>'F Plus CO2'!C1523</f>
        <v>379.33</v>
      </c>
      <c r="E585" s="19">
        <f t="shared" si="28"/>
        <v>0.71000000000000085</v>
      </c>
      <c r="F585" s="20">
        <f t="shared" si="29"/>
        <v>0.43802664712394201</v>
      </c>
    </row>
    <row r="586" spans="1:6" ht="15" customHeight="1">
      <c r="A586" s="18" t="str">
        <f>'F Plus CO2'!A1524</f>
        <v>11/2006</v>
      </c>
      <c r="B586" s="19">
        <f t="shared" si="27"/>
        <v>2006.875</v>
      </c>
      <c r="C586" s="20">
        <f>'F Plus CO2'!B1524</f>
        <v>58.514000000000003</v>
      </c>
      <c r="D586" s="19">
        <f>'F Plus CO2'!C1524</f>
        <v>380.35</v>
      </c>
      <c r="E586" s="19">
        <f t="shared" si="28"/>
        <v>0.7300000000000022</v>
      </c>
      <c r="F586" s="20">
        <f t="shared" si="29"/>
        <v>0.44190077787897852</v>
      </c>
    </row>
    <row r="587" spans="1:6" ht="15" customHeight="1">
      <c r="A587" s="18" t="str">
        <f>'F Plus CO2'!A1525</f>
        <v>12/2006</v>
      </c>
      <c r="B587" s="19">
        <f t="shared" si="27"/>
        <v>2006.9583333333333</v>
      </c>
      <c r="C587" s="20">
        <f>'F Plus CO2'!B1525</f>
        <v>58.622</v>
      </c>
      <c r="D587" s="19">
        <f>'F Plus CO2'!C1525</f>
        <v>382.02</v>
      </c>
      <c r="E587" s="19">
        <f t="shared" si="28"/>
        <v>0.79000000000000092</v>
      </c>
      <c r="F587" s="20">
        <f t="shared" si="29"/>
        <v>0.44822134288530163</v>
      </c>
    </row>
    <row r="588" spans="1:6" ht="15" customHeight="1">
      <c r="A588" s="18" t="str">
        <f>'F Plus CO2'!A1526</f>
        <v>1/2007</v>
      </c>
      <c r="B588" s="19">
        <f t="shared" si="27"/>
        <v>2007.0416666666667</v>
      </c>
      <c r="C588" s="20">
        <f>'F Plus CO2'!B1526</f>
        <v>59.018000000000001</v>
      </c>
      <c r="D588" s="19">
        <f>'F Plus CO2'!C1526</f>
        <v>383.1</v>
      </c>
      <c r="E588" s="19">
        <f t="shared" si="28"/>
        <v>1.0099999999999998</v>
      </c>
      <c r="F588" s="20">
        <f t="shared" si="29"/>
        <v>0.45229419859155129</v>
      </c>
    </row>
    <row r="589" spans="1:6" ht="15" customHeight="1">
      <c r="A589" s="18" t="str">
        <f>'F Plus CO2'!A1527</f>
        <v>2/2007</v>
      </c>
      <c r="B589" s="19">
        <f t="shared" si="27"/>
        <v>2007.125</v>
      </c>
      <c r="C589" s="20">
        <f>'F Plus CO2'!B1527</f>
        <v>58.46</v>
      </c>
      <c r="D589" s="19">
        <f>'F Plus CO2'!C1527</f>
        <v>384.12</v>
      </c>
      <c r="E589" s="19">
        <f t="shared" si="28"/>
        <v>0.70000000000000107</v>
      </c>
      <c r="F589" s="20">
        <f t="shared" si="29"/>
        <v>0.45613025554704617</v>
      </c>
    </row>
    <row r="590" spans="1:6" ht="15" customHeight="1">
      <c r="A590" s="18" t="str">
        <f>'F Plus CO2'!A1528</f>
        <v>3/2007</v>
      </c>
      <c r="B590" s="19">
        <f t="shared" si="27"/>
        <v>2007.2083333333333</v>
      </c>
      <c r="C590" s="20">
        <f>'F Plus CO2'!B1528</f>
        <v>58.478000000000002</v>
      </c>
      <c r="D590" s="19">
        <f>'F Plus CO2'!C1528</f>
        <v>384.81</v>
      </c>
      <c r="E590" s="19">
        <f t="shared" si="28"/>
        <v>0.71000000000000085</v>
      </c>
      <c r="F590" s="20">
        <f t="shared" si="29"/>
        <v>0.45871946352542553</v>
      </c>
    </row>
    <row r="591" spans="1:6" ht="15" customHeight="1">
      <c r="A591" s="18" t="str">
        <f>'F Plus CO2'!A1529</f>
        <v>4/2007</v>
      </c>
      <c r="B591" s="19">
        <f t="shared" si="27"/>
        <v>2007.2916666666667</v>
      </c>
      <c r="C591" s="20">
        <f>'F Plus CO2'!B1529</f>
        <v>58.585999999999999</v>
      </c>
      <c r="D591" s="19">
        <f>'F Plus CO2'!C1529</f>
        <v>386.73</v>
      </c>
      <c r="E591" s="19">
        <f t="shared" si="28"/>
        <v>0.77000000000000135</v>
      </c>
      <c r="F591" s="20">
        <f t="shared" si="29"/>
        <v>0.46589985649655991</v>
      </c>
    </row>
    <row r="592" spans="1:6" ht="15" customHeight="1">
      <c r="A592" s="18" t="str">
        <f>'F Plus CO2'!A1530</f>
        <v>5/2007</v>
      </c>
      <c r="B592" s="19">
        <f t="shared" si="27"/>
        <v>2007.375</v>
      </c>
      <c r="C592" s="20">
        <f>'F Plus CO2'!B1530</f>
        <v>58.442</v>
      </c>
      <c r="D592" s="19">
        <f>'F Plus CO2'!C1530</f>
        <v>386.78</v>
      </c>
      <c r="E592" s="19">
        <f t="shared" si="28"/>
        <v>0.69000000000000128</v>
      </c>
      <c r="F592" s="20">
        <f t="shared" si="29"/>
        <v>0.46608636928151376</v>
      </c>
    </row>
    <row r="593" spans="1:6" ht="15" customHeight="1">
      <c r="A593" s="18" t="str">
        <f>'F Plus CO2'!A1531</f>
        <v>6/2007</v>
      </c>
      <c r="B593" s="19">
        <f t="shared" si="27"/>
        <v>2007.4583333333333</v>
      </c>
      <c r="C593" s="20">
        <f>'F Plus CO2'!B1531</f>
        <v>58.298000000000002</v>
      </c>
      <c r="D593" s="19">
        <f>'F Plus CO2'!C1531</f>
        <v>386.33</v>
      </c>
      <c r="E593" s="19">
        <f t="shared" si="28"/>
        <v>0.61000000000000121</v>
      </c>
      <c r="F593" s="20">
        <f t="shared" si="29"/>
        <v>0.4644068855296089</v>
      </c>
    </row>
    <row r="594" spans="1:6" ht="15" customHeight="1">
      <c r="A594" s="18" t="str">
        <f>'F Plus CO2'!A1532</f>
        <v>7/2007</v>
      </c>
      <c r="B594" s="19">
        <f t="shared" si="27"/>
        <v>2007.5416666666667</v>
      </c>
      <c r="C594" s="20">
        <f>'F Plus CO2'!B1532</f>
        <v>58.28</v>
      </c>
      <c r="D594" s="19">
        <f>'F Plus CO2'!C1532</f>
        <v>384.73</v>
      </c>
      <c r="E594" s="19">
        <f t="shared" si="28"/>
        <v>0.60000000000000142</v>
      </c>
      <c r="F594" s="20">
        <f t="shared" si="29"/>
        <v>0.45841950353975386</v>
      </c>
    </row>
    <row r="595" spans="1:6" ht="15" customHeight="1">
      <c r="A595" s="18" t="str">
        <f>'F Plus CO2'!A1533</f>
        <v>8/2007</v>
      </c>
      <c r="B595" s="19">
        <f t="shared" si="27"/>
        <v>2007.625</v>
      </c>
      <c r="C595" s="20">
        <f>'F Plus CO2'!B1533</f>
        <v>58.28</v>
      </c>
      <c r="D595" s="19">
        <f>'F Plus CO2'!C1533</f>
        <v>382.24</v>
      </c>
      <c r="E595" s="19">
        <f t="shared" si="28"/>
        <v>0.60000000000000142</v>
      </c>
      <c r="F595" s="20">
        <f t="shared" si="29"/>
        <v>0.44905193173664115</v>
      </c>
    </row>
    <row r="596" spans="1:6" ht="15" customHeight="1">
      <c r="A596" s="18" t="str">
        <f>'F Plus CO2'!A1534</f>
        <v>9/2007</v>
      </c>
      <c r="B596" s="19">
        <f t="shared" si="27"/>
        <v>2007.7083333333333</v>
      </c>
      <c r="C596" s="20">
        <f>'F Plus CO2'!B1534</f>
        <v>58.28</v>
      </c>
      <c r="D596" s="19">
        <f>'F Plus CO2'!C1534</f>
        <v>381.2</v>
      </c>
      <c r="E596" s="19">
        <f t="shared" si="28"/>
        <v>0.60000000000000142</v>
      </c>
      <c r="F596" s="20">
        <f t="shared" si="29"/>
        <v>0.44512129207761308</v>
      </c>
    </row>
    <row r="597" spans="1:6" ht="15" customHeight="1">
      <c r="A597" s="18" t="str">
        <f>'F Plus CO2'!A1535</f>
        <v>10/2007</v>
      </c>
      <c r="B597" s="19">
        <f t="shared" si="27"/>
        <v>2007.7916666666667</v>
      </c>
      <c r="C597" s="20">
        <f>'F Plus CO2'!B1535</f>
        <v>58.262</v>
      </c>
      <c r="D597" s="19">
        <f>'F Plus CO2'!C1535</f>
        <v>381.37</v>
      </c>
      <c r="E597" s="19">
        <f t="shared" si="28"/>
        <v>0.58999999999999986</v>
      </c>
      <c r="F597" s="20">
        <f t="shared" si="29"/>
        <v>0.44576453312043945</v>
      </c>
    </row>
    <row r="598" spans="1:6" ht="15" customHeight="1">
      <c r="A598" s="18" t="str">
        <f>'F Plus CO2'!A1536</f>
        <v>11/2007</v>
      </c>
      <c r="B598" s="19">
        <f t="shared" si="27"/>
        <v>2007.875</v>
      </c>
      <c r="C598" s="20">
        <f>'F Plus CO2'!B1536</f>
        <v>58.262</v>
      </c>
      <c r="D598" s="19">
        <f>'F Plus CO2'!C1536</f>
        <v>382.7</v>
      </c>
      <c r="E598" s="19">
        <f t="shared" si="28"/>
        <v>0.58999999999999986</v>
      </c>
      <c r="F598" s="20">
        <f t="shared" si="29"/>
        <v>0.4507870738361669</v>
      </c>
    </row>
    <row r="599" spans="1:6" ht="15" customHeight="1">
      <c r="A599" s="18" t="str">
        <f>'F Plus CO2'!A1537</f>
        <v>12/2007</v>
      </c>
      <c r="B599" s="19">
        <f t="shared" si="27"/>
        <v>2007.9583333333333</v>
      </c>
      <c r="C599" s="20">
        <f>'F Plus CO2'!B1537</f>
        <v>58.1</v>
      </c>
      <c r="D599" s="19">
        <f>'F Plus CO2'!C1537</f>
        <v>384.19</v>
      </c>
      <c r="E599" s="19">
        <f t="shared" si="28"/>
        <v>0.5</v>
      </c>
      <c r="F599" s="20">
        <f t="shared" si="29"/>
        <v>0.45639314071876497</v>
      </c>
    </row>
    <row r="600" spans="1:6" ht="15" customHeight="1">
      <c r="A600" s="18" t="str">
        <f>'F Plus CO2'!A1538</f>
        <v>1/2008</v>
      </c>
      <c r="B600" s="19">
        <f t="shared" si="27"/>
        <v>2008.0416666666667</v>
      </c>
      <c r="C600" s="20">
        <f>'F Plus CO2'!B1538</f>
        <v>57.74</v>
      </c>
      <c r="D600" s="19">
        <f>'F Plus CO2'!C1538</f>
        <v>385.78</v>
      </c>
      <c r="E600" s="19">
        <f t="shared" si="28"/>
        <v>0.30000000000000249</v>
      </c>
      <c r="F600" s="20">
        <f t="shared" si="29"/>
        <v>0.46235152448856948</v>
      </c>
    </row>
    <row r="601" spans="1:6" ht="15" customHeight="1">
      <c r="A601" s="18" t="str">
        <f>'F Plus CO2'!A1539</f>
        <v>2/2008</v>
      </c>
      <c r="B601" s="19">
        <f t="shared" si="27"/>
        <v>2008.125</v>
      </c>
      <c r="C601" s="20">
        <f>'F Plus CO2'!B1539</f>
        <v>57.884</v>
      </c>
      <c r="D601" s="19">
        <f>'F Plus CO2'!C1539</f>
        <v>386.06</v>
      </c>
      <c r="E601" s="19">
        <f t="shared" si="28"/>
        <v>0.38000000000000256</v>
      </c>
      <c r="F601" s="20">
        <f t="shared" si="29"/>
        <v>0.46339825601108536</v>
      </c>
    </row>
    <row r="602" spans="1:6" ht="15" customHeight="1">
      <c r="A602" s="18" t="str">
        <f>'F Plus CO2'!A1540</f>
        <v>3/2008</v>
      </c>
      <c r="B602" s="19">
        <f t="shared" si="27"/>
        <v>2008.2083333333333</v>
      </c>
      <c r="C602" s="20">
        <f>'F Plus CO2'!B1540</f>
        <v>58.55</v>
      </c>
      <c r="D602" s="19">
        <f>'F Plus CO2'!C1540</f>
        <v>386.28</v>
      </c>
      <c r="E602" s="19">
        <f t="shared" si="28"/>
        <v>0.75</v>
      </c>
      <c r="F602" s="20">
        <f t="shared" si="29"/>
        <v>0.46422015547914297</v>
      </c>
    </row>
    <row r="603" spans="1:6" ht="15" customHeight="1">
      <c r="A603" s="18" t="str">
        <f>'F Plus CO2'!A1541</f>
        <v>4/2008</v>
      </c>
      <c r="B603" s="19">
        <f t="shared" si="27"/>
        <v>2008.2916666666667</v>
      </c>
      <c r="C603" s="20">
        <f>'F Plus CO2'!B1541</f>
        <v>58.171999999999997</v>
      </c>
      <c r="D603" s="19">
        <f>'F Plus CO2'!C1541</f>
        <v>387.33</v>
      </c>
      <c r="E603" s="19">
        <f t="shared" si="28"/>
        <v>0.53999999999999915</v>
      </c>
      <c r="F603" s="20">
        <f t="shared" si="29"/>
        <v>0.46813642006500927</v>
      </c>
    </row>
    <row r="604" spans="1:6" ht="15" customHeight="1">
      <c r="A604" s="18" t="str">
        <f>'F Plus CO2'!A1542</f>
        <v>5/2008</v>
      </c>
      <c r="B604" s="19">
        <f t="shared" si="27"/>
        <v>2008.375</v>
      </c>
      <c r="C604" s="20">
        <f>'F Plus CO2'!B1542</f>
        <v>58.1</v>
      </c>
      <c r="D604" s="19">
        <f>'F Plus CO2'!C1542</f>
        <v>388.78</v>
      </c>
      <c r="E604" s="19">
        <f t="shared" si="28"/>
        <v>0.5</v>
      </c>
      <c r="F604" s="20">
        <f t="shared" si="29"/>
        <v>0.47352717715675879</v>
      </c>
    </row>
    <row r="605" spans="1:6" ht="15" customHeight="1">
      <c r="A605" s="18" t="str">
        <f>'F Plus CO2'!A1543</f>
        <v>6/2008</v>
      </c>
      <c r="B605" s="19">
        <f t="shared" si="27"/>
        <v>2008.4583333333333</v>
      </c>
      <c r="C605" s="20">
        <f>'F Plus CO2'!B1543</f>
        <v>58.1</v>
      </c>
      <c r="D605" s="19">
        <f>'F Plus CO2'!C1543</f>
        <v>387.99</v>
      </c>
      <c r="E605" s="19">
        <f t="shared" si="28"/>
        <v>0.5</v>
      </c>
      <c r="F605" s="20">
        <f t="shared" si="29"/>
        <v>0.47059264190111394</v>
      </c>
    </row>
    <row r="606" spans="1:6" ht="15" customHeight="1">
      <c r="A606" s="18" t="str">
        <f>'F Plus CO2'!A1544</f>
        <v>7/2008</v>
      </c>
      <c r="B606" s="19">
        <f t="shared" si="27"/>
        <v>2008.5416666666667</v>
      </c>
      <c r="C606" s="20">
        <f>'F Plus CO2'!B1544</f>
        <v>58.28</v>
      </c>
      <c r="D606" s="19">
        <f>'F Plus CO2'!C1544</f>
        <v>386.62</v>
      </c>
      <c r="E606" s="19">
        <f t="shared" si="28"/>
        <v>0.60000000000000142</v>
      </c>
      <c r="F606" s="20">
        <f t="shared" si="29"/>
        <v>0.46548944347381965</v>
      </c>
    </row>
    <row r="607" spans="1:6" ht="15" customHeight="1">
      <c r="A607" s="18" t="str">
        <f>'F Plus CO2'!A1545</f>
        <v>8/2008</v>
      </c>
      <c r="B607" s="19">
        <f t="shared" si="27"/>
        <v>2008.625</v>
      </c>
      <c r="C607" s="20">
        <f>'F Plus CO2'!B1545</f>
        <v>58.01</v>
      </c>
      <c r="D607" s="19">
        <f>'F Plus CO2'!C1545</f>
        <v>384.32</v>
      </c>
      <c r="E607" s="19">
        <f t="shared" si="28"/>
        <v>0.44999999999999751</v>
      </c>
      <c r="F607" s="20">
        <f t="shared" si="29"/>
        <v>0.45688122898594291</v>
      </c>
    </row>
    <row r="608" spans="1:6" ht="15" customHeight="1">
      <c r="A608" s="18" t="str">
        <f>'F Plus CO2'!A1546</f>
        <v>9/2008</v>
      </c>
      <c r="B608" s="19">
        <f t="shared" si="27"/>
        <v>2008.7083333333333</v>
      </c>
      <c r="C608" s="20">
        <f>'F Plus CO2'!B1546</f>
        <v>58.28</v>
      </c>
      <c r="D608" s="19">
        <f>'F Plus CO2'!C1546</f>
        <v>383.41</v>
      </c>
      <c r="E608" s="19">
        <f t="shared" si="28"/>
        <v>0.60000000000000142</v>
      </c>
      <c r="F608" s="20">
        <f t="shared" si="29"/>
        <v>0.45346113832373852</v>
      </c>
    </row>
    <row r="609" spans="1:6" ht="15" customHeight="1">
      <c r="A609" s="18" t="str">
        <f>'F Plus CO2'!A1547</f>
        <v>10/2008</v>
      </c>
      <c r="B609" s="19">
        <f t="shared" si="27"/>
        <v>2008.7916666666667</v>
      </c>
      <c r="C609" s="20">
        <f>'F Plus CO2'!B1547</f>
        <v>58.405999999999999</v>
      </c>
      <c r="D609" s="19">
        <f>'F Plus CO2'!C1547</f>
        <v>383.22</v>
      </c>
      <c r="E609" s="19">
        <f t="shared" si="28"/>
        <v>0.66999999999999993</v>
      </c>
      <c r="F609" s="20">
        <f t="shared" si="29"/>
        <v>0.45274602917491535</v>
      </c>
    </row>
    <row r="610" spans="1:6" ht="15" customHeight="1">
      <c r="A610" s="18" t="str">
        <f>'F Plus CO2'!A1548</f>
        <v>11/2008</v>
      </c>
      <c r="B610" s="19">
        <f t="shared" si="27"/>
        <v>2008.875</v>
      </c>
      <c r="C610" s="20">
        <f>'F Plus CO2'!B1548</f>
        <v>58.442</v>
      </c>
      <c r="D610" s="19">
        <f>'F Plus CO2'!C1548</f>
        <v>384.41</v>
      </c>
      <c r="E610" s="19">
        <f t="shared" si="28"/>
        <v>0.69000000000000128</v>
      </c>
      <c r="F610" s="20">
        <f t="shared" si="29"/>
        <v>0.45721903954172527</v>
      </c>
    </row>
    <row r="611" spans="1:6" ht="15" customHeight="1">
      <c r="A611" s="18" t="str">
        <f>'F Plus CO2'!A1549</f>
        <v>12/2008</v>
      </c>
      <c r="B611" s="19">
        <f t="shared" si="27"/>
        <v>2008.9583333333333</v>
      </c>
      <c r="C611" s="20">
        <f>'F Plus CO2'!B1549</f>
        <v>58.171999999999997</v>
      </c>
      <c r="D611" s="19">
        <f>'F Plus CO2'!C1549</f>
        <v>385.79</v>
      </c>
      <c r="E611" s="19">
        <f t="shared" si="28"/>
        <v>0.53999999999999915</v>
      </c>
      <c r="F611" s="20">
        <f t="shared" si="29"/>
        <v>0.4623889208373384</v>
      </c>
    </row>
    <row r="612" spans="1:6" ht="15" customHeight="1">
      <c r="A612" s="18" t="str">
        <f>'F Plus CO2'!A1550</f>
        <v>1/2009</v>
      </c>
      <c r="B612" s="19">
        <f t="shared" si="27"/>
        <v>2009.0416666666667</v>
      </c>
      <c r="C612" s="20">
        <f>'F Plus CO2'!B1550</f>
        <v>58.370000000000005</v>
      </c>
      <c r="D612" s="19">
        <f>'F Plus CO2'!C1550</f>
        <v>387.17</v>
      </c>
      <c r="E612" s="19">
        <f t="shared" si="28"/>
        <v>0.65000000000000213</v>
      </c>
      <c r="F612" s="20">
        <f t="shared" si="29"/>
        <v>0.46754034205383838</v>
      </c>
    </row>
    <row r="613" spans="1:6" ht="15" customHeight="1">
      <c r="A613" s="18" t="str">
        <f>'F Plus CO2'!A1551</f>
        <v>2/2009</v>
      </c>
      <c r="B613" s="19">
        <f t="shared" si="27"/>
        <v>2009.125</v>
      </c>
      <c r="C613" s="20">
        <f>'F Plus CO2'!B1551</f>
        <v>58.153999999999996</v>
      </c>
      <c r="D613" s="19">
        <f>'F Plus CO2'!C1551</f>
        <v>387.7</v>
      </c>
      <c r="E613" s="19">
        <f t="shared" si="28"/>
        <v>0.52999999999999758</v>
      </c>
      <c r="F613" s="20">
        <f t="shared" si="29"/>
        <v>0.46951390791885167</v>
      </c>
    </row>
    <row r="614" spans="1:6" ht="15" customHeight="1">
      <c r="A614" s="18" t="str">
        <f>'F Plus CO2'!A1552</f>
        <v>3/2009</v>
      </c>
      <c r="B614" s="19">
        <f t="shared" si="27"/>
        <v>2009.2083333333333</v>
      </c>
      <c r="C614" s="20">
        <f>'F Plus CO2'!B1552</f>
        <v>58.153999999999996</v>
      </c>
      <c r="D614" s="19">
        <f>'F Plus CO2'!C1552</f>
        <v>389.04</v>
      </c>
      <c r="E614" s="19">
        <f t="shared" si="28"/>
        <v>0.52999999999999758</v>
      </c>
      <c r="F614" s="20">
        <f t="shared" si="29"/>
        <v>0.47449166951900662</v>
      </c>
    </row>
    <row r="615" spans="1:6" ht="15" customHeight="1">
      <c r="A615" s="18" t="str">
        <f>'F Plus CO2'!A1553</f>
        <v>4/2009</v>
      </c>
      <c r="B615" s="19">
        <f t="shared" si="27"/>
        <v>2009.2916666666667</v>
      </c>
      <c r="C615" s="20">
        <f>'F Plus CO2'!B1553</f>
        <v>58.298000000000002</v>
      </c>
      <c r="D615" s="19">
        <f>'F Plus CO2'!C1553</f>
        <v>389.76</v>
      </c>
      <c r="E615" s="19">
        <f t="shared" si="28"/>
        <v>0.61000000000000121</v>
      </c>
      <c r="F615" s="20">
        <f t="shared" si="29"/>
        <v>0.47715921118664112</v>
      </c>
    </row>
    <row r="616" spans="1:6" ht="15" customHeight="1">
      <c r="A616" s="18" t="str">
        <f>'F Plus CO2'!A1554</f>
        <v>5/2009</v>
      </c>
      <c r="B616" s="19">
        <f t="shared" si="27"/>
        <v>2009.375</v>
      </c>
      <c r="C616" s="20">
        <f>'F Plus CO2'!B1554</f>
        <v>58.370000000000005</v>
      </c>
      <c r="D616" s="19">
        <f>'F Plus CO2'!C1554</f>
        <v>390.36</v>
      </c>
      <c r="E616" s="19">
        <f t="shared" si="28"/>
        <v>0.65000000000000213</v>
      </c>
      <c r="F616" s="20">
        <f t="shared" si="29"/>
        <v>0.47937840104259694</v>
      </c>
    </row>
    <row r="617" spans="1:6" ht="15" customHeight="1">
      <c r="A617" s="18" t="str">
        <f>'F Plus CO2'!A1555</f>
        <v>6/2009</v>
      </c>
      <c r="B617" s="19">
        <f t="shared" si="27"/>
        <v>2009.4583333333333</v>
      </c>
      <c r="C617" s="20">
        <f>'F Plus CO2'!B1555</f>
        <v>58.334000000000003</v>
      </c>
      <c r="D617" s="19">
        <f>'F Plus CO2'!C1555</f>
        <v>389.7</v>
      </c>
      <c r="E617" s="19">
        <f t="shared" si="28"/>
        <v>0.63000000000000256</v>
      </c>
      <c r="F617" s="20">
        <f t="shared" si="29"/>
        <v>0.47693710433670838</v>
      </c>
    </row>
    <row r="618" spans="1:6" ht="15" customHeight="1">
      <c r="A618" s="18" t="str">
        <f>'F Plus CO2'!A1556</f>
        <v>7/2009</v>
      </c>
      <c r="B618" s="19">
        <f t="shared" si="27"/>
        <v>2009.5416666666667</v>
      </c>
      <c r="C618" s="20">
        <f>'F Plus CO2'!B1556</f>
        <v>58.531999999999996</v>
      </c>
      <c r="D618" s="19">
        <f>'F Plus CO2'!C1556</f>
        <v>388.24</v>
      </c>
      <c r="E618" s="19">
        <f t="shared" si="28"/>
        <v>0.73999999999999666</v>
      </c>
      <c r="F618" s="20">
        <f t="shared" si="29"/>
        <v>0.47152193804450682</v>
      </c>
    </row>
    <row r="619" spans="1:6" ht="15" customHeight="1">
      <c r="A619" s="18" t="str">
        <f>'F Plus CO2'!A1557</f>
        <v>8/2009</v>
      </c>
      <c r="B619" s="19">
        <f t="shared" si="27"/>
        <v>2009.625</v>
      </c>
      <c r="C619" s="20">
        <f>'F Plus CO2'!B1557</f>
        <v>58.442</v>
      </c>
      <c r="D619" s="19">
        <f>'F Plus CO2'!C1557</f>
        <v>386.29</v>
      </c>
      <c r="E619" s="19">
        <f t="shared" si="28"/>
        <v>0.69000000000000128</v>
      </c>
      <c r="F619" s="20">
        <f t="shared" si="29"/>
        <v>0.46425750342278521</v>
      </c>
    </row>
    <row r="620" spans="1:6" ht="15" customHeight="1">
      <c r="A620" s="18" t="str">
        <f>'F Plus CO2'!A1558</f>
        <v>9/2009</v>
      </c>
      <c r="B620" s="19">
        <f t="shared" si="27"/>
        <v>2009.7083333333333</v>
      </c>
      <c r="C620" s="20">
        <f>'F Plus CO2'!B1558</f>
        <v>58.496000000000002</v>
      </c>
      <c r="D620" s="19">
        <f>'F Plus CO2'!C1558</f>
        <v>384.95</v>
      </c>
      <c r="E620" s="19">
        <f t="shared" si="28"/>
        <v>0.72000000000000242</v>
      </c>
      <c r="F620" s="20">
        <f t="shared" si="29"/>
        <v>0.45924424347749254</v>
      </c>
    </row>
    <row r="621" spans="1:6" ht="15" customHeight="1">
      <c r="A621" s="18" t="str">
        <f>'F Plus CO2'!A1559</f>
        <v>10/2009</v>
      </c>
      <c r="B621" s="19">
        <f t="shared" si="27"/>
        <v>2009.7916666666667</v>
      </c>
      <c r="C621" s="20">
        <f>'F Plus CO2'!B1559</f>
        <v>58.370000000000005</v>
      </c>
      <c r="D621" s="19">
        <f>'F Plus CO2'!C1559</f>
        <v>384.64</v>
      </c>
      <c r="E621" s="19">
        <f t="shared" si="28"/>
        <v>0.65000000000000213</v>
      </c>
      <c r="F621" s="20">
        <f t="shared" si="29"/>
        <v>0.45808197399149425</v>
      </c>
    </row>
    <row r="622" spans="1:6" ht="15" customHeight="1">
      <c r="A622" s="18" t="str">
        <f>'F Plus CO2'!A1560</f>
        <v>11/2009</v>
      </c>
      <c r="B622" s="19">
        <f t="shared" si="27"/>
        <v>2009.875</v>
      </c>
      <c r="C622" s="20">
        <f>'F Plus CO2'!B1560</f>
        <v>58.64</v>
      </c>
      <c r="D622" s="19">
        <f>'F Plus CO2'!C1560</f>
        <v>386.23</v>
      </c>
      <c r="E622" s="19">
        <f t="shared" si="28"/>
        <v>0.79999999999999893</v>
      </c>
      <c r="F622" s="20">
        <f t="shared" si="29"/>
        <v>0.46403340125681564</v>
      </c>
    </row>
    <row r="623" spans="1:6" ht="15" customHeight="1">
      <c r="A623" s="18" t="str">
        <f>'F Plus CO2'!A1561</f>
        <v>12/2009</v>
      </c>
      <c r="B623" s="19">
        <f t="shared" si="27"/>
        <v>2009.9583333333333</v>
      </c>
      <c r="C623" s="20">
        <f>'F Plus CO2'!B1561</f>
        <v>58.405999999999999</v>
      </c>
      <c r="D623" s="19">
        <f>'F Plus CO2'!C1561</f>
        <v>387.63</v>
      </c>
      <c r="E623" s="19">
        <f t="shared" si="28"/>
        <v>0.66999999999999993</v>
      </c>
      <c r="F623" s="20">
        <f t="shared" si="29"/>
        <v>0.46925340296447982</v>
      </c>
    </row>
    <row r="624" spans="1:6" ht="15" customHeight="1">
      <c r="A624" s="18" t="str">
        <f>'F Plus CO2'!A1562</f>
        <v>1/2010</v>
      </c>
      <c r="B624" s="19">
        <f t="shared" si="27"/>
        <v>2010.0416666666667</v>
      </c>
      <c r="C624" s="20">
        <f>'F Plus CO2'!B1562</f>
        <v>58.55</v>
      </c>
      <c r="D624" s="19">
        <f>'F Plus CO2'!C1562</f>
        <v>388.91</v>
      </c>
      <c r="E624" s="19">
        <f t="shared" si="28"/>
        <v>0.75</v>
      </c>
      <c r="F624" s="20">
        <f t="shared" si="29"/>
        <v>0.47400950393751357</v>
      </c>
    </row>
    <row r="625" spans="1:6" ht="15" customHeight="1">
      <c r="A625" s="18" t="str">
        <f>'F Plus CO2'!A1563</f>
        <v>2/2010</v>
      </c>
      <c r="B625" s="19">
        <f t="shared" si="27"/>
        <v>2010.125</v>
      </c>
      <c r="C625" s="20">
        <f>'F Plus CO2'!B1563</f>
        <v>58.712000000000003</v>
      </c>
      <c r="D625" s="19">
        <f>'F Plus CO2'!C1563</f>
        <v>390.41</v>
      </c>
      <c r="E625" s="19">
        <f t="shared" si="28"/>
        <v>0.83999999999999986</v>
      </c>
      <c r="F625" s="20">
        <f t="shared" si="29"/>
        <v>0.47956317953598965</v>
      </c>
    </row>
    <row r="626" spans="1:6" ht="15" customHeight="1">
      <c r="A626" s="18" t="str">
        <f>'F Plus CO2'!A1564</f>
        <v>3/2010</v>
      </c>
      <c r="B626" s="19">
        <f t="shared" si="27"/>
        <v>2010.2083333333333</v>
      </c>
      <c r="C626" s="20">
        <f>'F Plus CO2'!B1564</f>
        <v>58.856000000000002</v>
      </c>
      <c r="D626" s="19">
        <f>'F Plus CO2'!C1564</f>
        <v>391.37</v>
      </c>
      <c r="E626" s="19">
        <f t="shared" si="28"/>
        <v>0.91999999999999993</v>
      </c>
      <c r="F626" s="20">
        <f t="shared" si="29"/>
        <v>0.48310634496717497</v>
      </c>
    </row>
    <row r="627" spans="1:6" ht="15" customHeight="1">
      <c r="A627" s="18" t="str">
        <f>'F Plus CO2'!A1565</f>
        <v>4/2010</v>
      </c>
      <c r="B627" s="19">
        <f t="shared" si="27"/>
        <v>2010.2916666666667</v>
      </c>
      <c r="C627" s="20">
        <f>'F Plus CO2'!B1565</f>
        <v>58.730000000000004</v>
      </c>
      <c r="D627" s="19">
        <f>'F Plus CO2'!C1565</f>
        <v>392.67</v>
      </c>
      <c r="E627" s="19">
        <f t="shared" si="28"/>
        <v>0.8500000000000032</v>
      </c>
      <c r="F627" s="20">
        <f t="shared" si="29"/>
        <v>0.4878905530991211</v>
      </c>
    </row>
    <row r="628" spans="1:6" ht="15" customHeight="1">
      <c r="A628" s="18" t="str">
        <f>'F Plus CO2'!A1566</f>
        <v>5/2010</v>
      </c>
      <c r="B628" s="19">
        <f t="shared" si="27"/>
        <v>2010.375</v>
      </c>
      <c r="C628" s="20">
        <f>'F Plus CO2'!B1566</f>
        <v>58.55</v>
      </c>
      <c r="D628" s="19">
        <f>'F Plus CO2'!C1566</f>
        <v>393.21</v>
      </c>
      <c r="E628" s="19">
        <f t="shared" si="28"/>
        <v>0.75</v>
      </c>
      <c r="F628" s="20">
        <f t="shared" si="29"/>
        <v>0.4898731851668387</v>
      </c>
    </row>
    <row r="629" spans="1:6" ht="15" customHeight="1">
      <c r="A629" s="18" t="str">
        <f>'F Plus CO2'!A1567</f>
        <v>6/2010</v>
      </c>
      <c r="B629" s="19">
        <f t="shared" si="27"/>
        <v>2010.4583333333333</v>
      </c>
      <c r="C629" s="20">
        <f>'F Plus CO2'!B1567</f>
        <v>58.423999999999999</v>
      </c>
      <c r="D629" s="19">
        <f>'F Plus CO2'!C1567</f>
        <v>392.38</v>
      </c>
      <c r="E629" s="19">
        <f t="shared" si="28"/>
        <v>0.67999999999999972</v>
      </c>
      <c r="F629" s="20">
        <f t="shared" si="29"/>
        <v>0.4868246806556118</v>
      </c>
    </row>
    <row r="630" spans="1:6" ht="15" customHeight="1">
      <c r="A630" s="18" t="str">
        <f>'F Plus CO2'!A1568</f>
        <v>7/2010</v>
      </c>
      <c r="B630" s="19">
        <f t="shared" si="27"/>
        <v>2010.5416666666667</v>
      </c>
      <c r="C630" s="20">
        <f>'F Plus CO2'!B1568</f>
        <v>58.334000000000003</v>
      </c>
      <c r="D630" s="19">
        <f>'F Plus CO2'!C1568</f>
        <v>390.41</v>
      </c>
      <c r="E630" s="19">
        <f t="shared" si="28"/>
        <v>0.63000000000000256</v>
      </c>
      <c r="F630" s="20">
        <f t="shared" si="29"/>
        <v>0.47956317953598965</v>
      </c>
    </row>
    <row r="631" spans="1:6" ht="15" customHeight="1">
      <c r="A631" s="18" t="str">
        <f>'F Plus CO2'!A1569</f>
        <v>8/2010</v>
      </c>
      <c r="B631" s="19">
        <f t="shared" si="27"/>
        <v>2010.625</v>
      </c>
      <c r="C631" s="20">
        <f>'F Plus CO2'!B1569</f>
        <v>58.405999999999999</v>
      </c>
      <c r="D631" s="19">
        <f>'F Plus CO2'!C1569</f>
        <v>388.54</v>
      </c>
      <c r="E631" s="19">
        <f t="shared" si="28"/>
        <v>0.66999999999999993</v>
      </c>
      <c r="F631" s="20">
        <f t="shared" si="29"/>
        <v>0.47263630384637006</v>
      </c>
    </row>
    <row r="632" spans="1:6" ht="15" customHeight="1">
      <c r="A632" s="18" t="str">
        <f>'F Plus CO2'!A1570</f>
        <v>9/2010</v>
      </c>
      <c r="B632" s="19">
        <f t="shared" si="27"/>
        <v>2010.7083333333333</v>
      </c>
      <c r="C632" s="20">
        <f>'F Plus CO2'!B1570</f>
        <v>58.334000000000003</v>
      </c>
      <c r="D632" s="19">
        <f>'F Plus CO2'!C1570</f>
        <v>387.03</v>
      </c>
      <c r="E632" s="19">
        <f t="shared" si="28"/>
        <v>0.63000000000000256</v>
      </c>
      <c r="F632" s="20">
        <f t="shared" si="29"/>
        <v>0.46701857168978234</v>
      </c>
    </row>
    <row r="633" spans="1:6" ht="15" customHeight="1">
      <c r="A633" s="18" t="str">
        <f>'F Plus CO2'!A1571</f>
        <v>10/2010</v>
      </c>
      <c r="B633" s="19">
        <f t="shared" si="27"/>
        <v>2010.7916666666667</v>
      </c>
      <c r="C633" s="20">
        <f>'F Plus CO2'!B1571</f>
        <v>58.478000000000002</v>
      </c>
      <c r="D633" s="19">
        <f>'F Plus CO2'!C1571</f>
        <v>387.43</v>
      </c>
      <c r="E633" s="19">
        <f t="shared" si="28"/>
        <v>0.71000000000000085</v>
      </c>
      <c r="F633" s="20">
        <f t="shared" si="29"/>
        <v>0.46850884379594554</v>
      </c>
    </row>
    <row r="634" spans="1:6" ht="15" customHeight="1">
      <c r="A634" s="18" t="str">
        <f>'F Plus CO2'!A1572</f>
        <v>11/2010</v>
      </c>
      <c r="B634" s="19">
        <f t="shared" si="27"/>
        <v>2010.875</v>
      </c>
      <c r="C634" s="20">
        <f>'F Plus CO2'!B1572</f>
        <v>58.658000000000001</v>
      </c>
      <c r="D634" s="19">
        <f>'F Plus CO2'!C1572</f>
        <v>388.87</v>
      </c>
      <c r="E634" s="19">
        <f t="shared" si="28"/>
        <v>0.81000000000000227</v>
      </c>
      <c r="F634" s="20">
        <f t="shared" si="29"/>
        <v>0.47386111287143712</v>
      </c>
    </row>
    <row r="635" spans="1:6" ht="15" customHeight="1">
      <c r="A635" s="18" t="str">
        <f>'F Plus CO2'!A1573</f>
        <v>12/2010</v>
      </c>
      <c r="B635" s="19">
        <f t="shared" si="27"/>
        <v>2010.9583333333333</v>
      </c>
      <c r="C635" s="20">
        <f>'F Plus CO2'!B1573</f>
        <v>58.01</v>
      </c>
      <c r="D635" s="19">
        <f>'F Plus CO2'!C1573</f>
        <v>389.99</v>
      </c>
      <c r="E635" s="19">
        <f t="shared" si="28"/>
        <v>0.44999999999999751</v>
      </c>
      <c r="F635" s="20">
        <f t="shared" si="29"/>
        <v>0.47801030414984191</v>
      </c>
    </row>
    <row r="636" spans="1:6" ht="15" customHeight="1">
      <c r="A636" s="18" t="str">
        <f>'F Plus CO2'!A1574</f>
        <v>1/2011</v>
      </c>
      <c r="B636" s="19">
        <f t="shared" si="27"/>
        <v>2011.0416666666667</v>
      </c>
      <c r="C636" s="20">
        <f>'F Plus CO2'!B1574</f>
        <v>58.135999999999996</v>
      </c>
      <c r="D636" s="19">
        <f>'F Plus CO2'!C1574</f>
        <v>391.5</v>
      </c>
      <c r="E636" s="19">
        <f t="shared" si="28"/>
        <v>0.5199999999999978</v>
      </c>
      <c r="F636" s="20">
        <f t="shared" si="29"/>
        <v>0.48358548034607413</v>
      </c>
    </row>
    <row r="637" spans="1:6" ht="15" customHeight="1">
      <c r="A637" s="18" t="str">
        <f>'F Plus CO2'!A1575</f>
        <v>2/2011</v>
      </c>
      <c r="B637" s="19">
        <f t="shared" si="27"/>
        <v>2011.125</v>
      </c>
      <c r="C637" s="20">
        <f>'F Plus CO2'!B1575</f>
        <v>58.046000000000006</v>
      </c>
      <c r="D637" s="19">
        <f>'F Plus CO2'!C1575</f>
        <v>392.05</v>
      </c>
      <c r="E637" s="19">
        <f t="shared" si="28"/>
        <v>0.47000000000000242</v>
      </c>
      <c r="F637" s="20">
        <f t="shared" si="29"/>
        <v>0.48561083266005051</v>
      </c>
    </row>
    <row r="638" spans="1:6" ht="15" customHeight="1">
      <c r="A638" s="18" t="str">
        <f>'F Plus CO2'!A1576</f>
        <v>3/2011</v>
      </c>
      <c r="B638" s="19">
        <f t="shared" si="27"/>
        <v>2011.2083333333333</v>
      </c>
      <c r="C638" s="20">
        <f>'F Plus CO2'!B1576</f>
        <v>58.370000000000005</v>
      </c>
      <c r="D638" s="19">
        <f>'F Plus CO2'!C1576</f>
        <v>392.8</v>
      </c>
      <c r="E638" s="19">
        <f t="shared" si="28"/>
        <v>0.65000000000000213</v>
      </c>
      <c r="F638" s="20">
        <f t="shared" si="29"/>
        <v>0.48836810248236423</v>
      </c>
    </row>
    <row r="639" spans="1:6" ht="15" customHeight="1">
      <c r="A639" s="18" t="str">
        <f>'F Plus CO2'!A1577</f>
        <v>4/2011</v>
      </c>
      <c r="B639" s="19">
        <f t="shared" si="27"/>
        <v>2011.2916666666667</v>
      </c>
      <c r="C639" s="20">
        <f>'F Plus CO2'!B1577</f>
        <v>58.352000000000004</v>
      </c>
      <c r="D639" s="19">
        <f>'F Plus CO2'!C1577</f>
        <v>393.44</v>
      </c>
      <c r="E639" s="19">
        <f t="shared" si="28"/>
        <v>0.64000000000000234</v>
      </c>
      <c r="F639" s="20">
        <f t="shared" si="29"/>
        <v>0.49071681287639107</v>
      </c>
    </row>
    <row r="640" spans="1:6" ht="15" customHeight="1">
      <c r="A640" s="18" t="str">
        <f>'F Plus CO2'!A1578</f>
        <v>5/2011</v>
      </c>
      <c r="B640" s="19">
        <f t="shared" si="27"/>
        <v>2011.375</v>
      </c>
      <c r="C640" s="20">
        <f>'F Plus CO2'!B1578</f>
        <v>58.153999999999996</v>
      </c>
      <c r="D640" s="19">
        <f>'F Plus CO2'!C1578</f>
        <v>394.41</v>
      </c>
      <c r="E640" s="19">
        <f t="shared" si="28"/>
        <v>0.52999999999999758</v>
      </c>
      <c r="F640" s="20">
        <f t="shared" si="29"/>
        <v>0.49426930357072107</v>
      </c>
    </row>
    <row r="641" spans="1:6" ht="15" customHeight="1">
      <c r="A641" s="18" t="str">
        <f>'F Plus CO2'!A1579</f>
        <v>6/2011</v>
      </c>
      <c r="B641" s="19">
        <f t="shared" si="27"/>
        <v>2011.4583333333333</v>
      </c>
      <c r="C641" s="20">
        <f>'F Plus CO2'!B1579</f>
        <v>58.316000000000003</v>
      </c>
      <c r="D641" s="19">
        <f>'F Plus CO2'!C1579</f>
        <v>393.95</v>
      </c>
      <c r="E641" s="19">
        <f t="shared" si="28"/>
        <v>0.62000000000000099</v>
      </c>
      <c r="F641" s="20">
        <f t="shared" si="29"/>
        <v>0.49258570776646082</v>
      </c>
    </row>
    <row r="642" spans="1:6" ht="15" customHeight="1">
      <c r="A642" s="18" t="str">
        <f>'F Plus CO2'!A1580</f>
        <v>7/2011</v>
      </c>
      <c r="B642" s="19">
        <f t="shared" ref="B642:B705" si="30">VALUE(RIGHT(A642,4))+(VALUE(LEFT(A642,FIND("/",A642)-1))-0.5)/12</f>
        <v>2011.5416666666667</v>
      </c>
      <c r="C642" s="20">
        <f>'F Plus CO2'!B1580</f>
        <v>58.478000000000002</v>
      </c>
      <c r="D642" s="19">
        <f>'F Plus CO2'!C1580</f>
        <v>392.72</v>
      </c>
      <c r="E642" s="19">
        <f t="shared" ref="E642:E705" si="31">(C642-32)*5/9-$I$3</f>
        <v>0.71000000000000085</v>
      </c>
      <c r="F642" s="20">
        <f t="shared" ref="F642:F705" si="32">LOG(D642/$I$4,2)</f>
        <v>0.48807424464635712</v>
      </c>
    </row>
    <row r="643" spans="1:6" ht="15" customHeight="1">
      <c r="A643" s="18" t="str">
        <f>'F Plus CO2'!A1581</f>
        <v>8/2011</v>
      </c>
      <c r="B643" s="19">
        <f t="shared" si="30"/>
        <v>2011.625</v>
      </c>
      <c r="C643" s="20">
        <f>'F Plus CO2'!B1581</f>
        <v>58.531999999999996</v>
      </c>
      <c r="D643" s="19">
        <f>'F Plus CO2'!C1581</f>
        <v>390.33</v>
      </c>
      <c r="E643" s="19">
        <f t="shared" si="31"/>
        <v>0.73999999999999666</v>
      </c>
      <c r="F643" s="20">
        <f t="shared" si="32"/>
        <v>0.47926752258572419</v>
      </c>
    </row>
    <row r="644" spans="1:6" ht="15" customHeight="1">
      <c r="A644" s="18" t="str">
        <f>'F Plus CO2'!A1582</f>
        <v>9/2011</v>
      </c>
      <c r="B644" s="19">
        <f t="shared" si="30"/>
        <v>2011.7083333333333</v>
      </c>
      <c r="C644" s="20">
        <f>'F Plus CO2'!B1582</f>
        <v>58.207999999999998</v>
      </c>
      <c r="D644" s="19">
        <f>'F Plus CO2'!C1582</f>
        <v>389.28</v>
      </c>
      <c r="E644" s="19">
        <f t="shared" si="31"/>
        <v>0.55999999999999872</v>
      </c>
      <c r="F644" s="20">
        <f t="shared" si="32"/>
        <v>0.47538139821873787</v>
      </c>
    </row>
    <row r="645" spans="1:6" ht="15" customHeight="1">
      <c r="A645" s="18" t="str">
        <f>'F Plus CO2'!A1583</f>
        <v>10/2011</v>
      </c>
      <c r="B645" s="19">
        <f t="shared" si="30"/>
        <v>2011.7916666666667</v>
      </c>
      <c r="C645" s="20">
        <f>'F Plus CO2'!B1583</f>
        <v>58.370000000000005</v>
      </c>
      <c r="D645" s="19">
        <f>'F Plus CO2'!C1583</f>
        <v>389.19</v>
      </c>
      <c r="E645" s="19">
        <f t="shared" si="31"/>
        <v>0.65000000000000213</v>
      </c>
      <c r="F645" s="20">
        <f t="shared" si="32"/>
        <v>0.47504781425465853</v>
      </c>
    </row>
    <row r="646" spans="1:6" ht="15" customHeight="1">
      <c r="A646" s="18" t="str">
        <f>'F Plus CO2'!A1584</f>
        <v>11/2011</v>
      </c>
      <c r="B646" s="19">
        <f t="shared" si="30"/>
        <v>2011.875</v>
      </c>
      <c r="C646" s="20">
        <f>'F Plus CO2'!B1584</f>
        <v>58.28</v>
      </c>
      <c r="D646" s="19">
        <f>'F Plus CO2'!C1584</f>
        <v>390.48</v>
      </c>
      <c r="E646" s="19">
        <f t="shared" si="31"/>
        <v>0.60000000000000142</v>
      </c>
      <c r="F646" s="20">
        <f t="shared" si="32"/>
        <v>0.47982182967399284</v>
      </c>
    </row>
    <row r="647" spans="1:6" ht="15" customHeight="1">
      <c r="A647" s="18" t="str">
        <f>'F Plus CO2'!A1585</f>
        <v>12/2011</v>
      </c>
      <c r="B647" s="19">
        <f t="shared" si="30"/>
        <v>2011.9583333333333</v>
      </c>
      <c r="C647" s="20">
        <f>'F Plus CO2'!B1585</f>
        <v>58.28</v>
      </c>
      <c r="D647" s="19">
        <f>'F Plus CO2'!C1585</f>
        <v>392.06</v>
      </c>
      <c r="E647" s="19">
        <f t="shared" si="31"/>
        <v>0.60000000000000142</v>
      </c>
      <c r="F647" s="20">
        <f t="shared" si="32"/>
        <v>0.48564763094194874</v>
      </c>
    </row>
    <row r="648" spans="1:6" ht="15" customHeight="1">
      <c r="A648" s="18" t="str">
        <f>'F Plus CO2'!A1586</f>
        <v>1/2012</v>
      </c>
      <c r="B648" s="19">
        <f t="shared" si="30"/>
        <v>2012.0416666666667</v>
      </c>
      <c r="C648" s="20">
        <f>'F Plus CO2'!B1586</f>
        <v>58.046000000000006</v>
      </c>
      <c r="D648" s="19">
        <f>'F Plus CO2'!C1586</f>
        <v>393.31</v>
      </c>
      <c r="E648" s="19">
        <f t="shared" si="31"/>
        <v>0.47000000000000242</v>
      </c>
      <c r="F648" s="20">
        <f t="shared" si="32"/>
        <v>0.4902400404403634</v>
      </c>
    </row>
    <row r="649" spans="1:6" ht="15" customHeight="1">
      <c r="A649" s="18" t="str">
        <f>'F Plus CO2'!A1587</f>
        <v>2/2012</v>
      </c>
      <c r="B649" s="19">
        <f t="shared" si="30"/>
        <v>2012.125</v>
      </c>
      <c r="C649" s="20">
        <f>'F Plus CO2'!B1587</f>
        <v>58.064</v>
      </c>
      <c r="D649" s="19">
        <f>'F Plus CO2'!C1587</f>
        <v>394.04</v>
      </c>
      <c r="E649" s="19">
        <f t="shared" si="31"/>
        <v>0.47999999999999865</v>
      </c>
      <c r="F649" s="20">
        <f t="shared" si="32"/>
        <v>0.49291526157867827</v>
      </c>
    </row>
    <row r="650" spans="1:6" ht="15" customHeight="1">
      <c r="A650" s="18" t="str">
        <f>'F Plus CO2'!A1588</f>
        <v>3/2012</v>
      </c>
      <c r="B650" s="19">
        <f t="shared" si="30"/>
        <v>2012.2083333333333</v>
      </c>
      <c r="C650" s="20">
        <f>'F Plus CO2'!B1588</f>
        <v>58.225999999999999</v>
      </c>
      <c r="D650" s="19">
        <f>'F Plus CO2'!C1588</f>
        <v>394.59</v>
      </c>
      <c r="E650" s="19">
        <f t="shared" si="31"/>
        <v>0.57000000000000028</v>
      </c>
      <c r="F650" s="20">
        <f t="shared" si="32"/>
        <v>0.49492756747912453</v>
      </c>
    </row>
    <row r="651" spans="1:6" ht="15" customHeight="1">
      <c r="A651" s="18" t="str">
        <f>'F Plus CO2'!A1589</f>
        <v>4/2012</v>
      </c>
      <c r="B651" s="19">
        <f t="shared" si="30"/>
        <v>2012.2916666666667</v>
      </c>
      <c r="C651" s="20">
        <f>'F Plus CO2'!B1589</f>
        <v>58.514000000000003</v>
      </c>
      <c r="D651" s="19">
        <f>'F Plus CO2'!C1589</f>
        <v>396.38</v>
      </c>
      <c r="E651" s="19">
        <f t="shared" si="31"/>
        <v>0.7300000000000022</v>
      </c>
      <c r="F651" s="20">
        <f t="shared" si="32"/>
        <v>0.50145734365703309</v>
      </c>
    </row>
    <row r="652" spans="1:6" ht="15" customHeight="1">
      <c r="A652" s="18" t="str">
        <f>'F Plus CO2'!A1590</f>
        <v>5/2012</v>
      </c>
      <c r="B652" s="19">
        <f t="shared" si="30"/>
        <v>2012.375</v>
      </c>
      <c r="C652" s="20">
        <f>'F Plus CO2'!B1590</f>
        <v>58.603999999999999</v>
      </c>
      <c r="D652" s="19">
        <f>'F Plus CO2'!C1590</f>
        <v>396.93</v>
      </c>
      <c r="E652" s="19">
        <f t="shared" si="31"/>
        <v>0.77999999999999758</v>
      </c>
      <c r="F652" s="20">
        <f t="shared" si="32"/>
        <v>0.50345777829071003</v>
      </c>
    </row>
    <row r="653" spans="1:6" ht="15" customHeight="1">
      <c r="A653" s="18" t="str">
        <f>'F Plus CO2'!A1591</f>
        <v>6/2012</v>
      </c>
      <c r="B653" s="19">
        <f t="shared" si="30"/>
        <v>2012.4583333333333</v>
      </c>
      <c r="C653" s="20">
        <f>'F Plus CO2'!B1591</f>
        <v>58.370000000000005</v>
      </c>
      <c r="D653" s="19">
        <f>'F Plus CO2'!C1591</f>
        <v>395.91</v>
      </c>
      <c r="E653" s="19">
        <f t="shared" si="31"/>
        <v>0.65000000000000213</v>
      </c>
      <c r="F653" s="20">
        <f t="shared" si="32"/>
        <v>0.49974568063274527</v>
      </c>
    </row>
    <row r="654" spans="1:6" ht="15" customHeight="1">
      <c r="A654" s="18" t="str">
        <f>'F Plus CO2'!A1592</f>
        <v>7/2012</v>
      </c>
      <c r="B654" s="19">
        <f t="shared" si="30"/>
        <v>2012.5416666666667</v>
      </c>
      <c r="C654" s="20">
        <f>'F Plus CO2'!B1592</f>
        <v>58.262</v>
      </c>
      <c r="D654" s="19">
        <f>'F Plus CO2'!C1592</f>
        <v>394.56</v>
      </c>
      <c r="E654" s="19">
        <f t="shared" si="31"/>
        <v>0.58999999999999986</v>
      </c>
      <c r="F654" s="20">
        <f t="shared" si="32"/>
        <v>0.49481787768314806</v>
      </c>
    </row>
    <row r="655" spans="1:6" ht="15" customHeight="1">
      <c r="A655" s="18" t="str">
        <f>'F Plus CO2'!A1593</f>
        <v>8/2012</v>
      </c>
      <c r="B655" s="19">
        <f t="shared" si="30"/>
        <v>2012.625</v>
      </c>
      <c r="C655" s="20">
        <f>'F Plus CO2'!B1593</f>
        <v>58.388000000000005</v>
      </c>
      <c r="D655" s="19">
        <f>'F Plus CO2'!C1593</f>
        <v>392.59</v>
      </c>
      <c r="E655" s="19">
        <f t="shared" si="31"/>
        <v>0.66000000000000369</v>
      </c>
      <c r="F655" s="20">
        <f t="shared" si="32"/>
        <v>0.48759659796662874</v>
      </c>
    </row>
    <row r="656" spans="1:6" ht="15" customHeight="1">
      <c r="A656" s="18" t="str">
        <f>'F Plus CO2'!A1594</f>
        <v>9/2012</v>
      </c>
      <c r="B656" s="19">
        <f t="shared" si="30"/>
        <v>2012.7083333333333</v>
      </c>
      <c r="C656" s="20">
        <f>'F Plus CO2'!B1594</f>
        <v>58.496000000000002</v>
      </c>
      <c r="D656" s="19">
        <f>'F Plus CO2'!C1594</f>
        <v>391.32</v>
      </c>
      <c r="E656" s="19">
        <f t="shared" si="31"/>
        <v>0.72000000000000242</v>
      </c>
      <c r="F656" s="20">
        <f t="shared" si="32"/>
        <v>0.48292201974993032</v>
      </c>
    </row>
    <row r="657" spans="1:6" ht="15" customHeight="1">
      <c r="A657" s="18" t="str">
        <f>'F Plus CO2'!A1595</f>
        <v>10/2012</v>
      </c>
      <c r="B657" s="19">
        <f t="shared" si="30"/>
        <v>2012.7916666666667</v>
      </c>
      <c r="C657" s="20">
        <f>'F Plus CO2'!B1595</f>
        <v>58.64</v>
      </c>
      <c r="D657" s="19">
        <f>'F Plus CO2'!C1595</f>
        <v>391.27</v>
      </c>
      <c r="E657" s="19">
        <f t="shared" si="31"/>
        <v>0.79999999999999893</v>
      </c>
      <c r="F657" s="20">
        <f t="shared" si="32"/>
        <v>0.48273767097945647</v>
      </c>
    </row>
    <row r="658" spans="1:6" ht="15" customHeight="1">
      <c r="A658" s="18" t="str">
        <f>'F Plus CO2'!A1596</f>
        <v>11/2012</v>
      </c>
      <c r="B658" s="19">
        <f t="shared" si="30"/>
        <v>2012.875</v>
      </c>
      <c r="C658" s="20">
        <f>'F Plus CO2'!B1596</f>
        <v>58.603999999999999</v>
      </c>
      <c r="D658" s="19">
        <f>'F Plus CO2'!C1596</f>
        <v>393.2</v>
      </c>
      <c r="E658" s="19">
        <f t="shared" si="31"/>
        <v>0.77999999999999758</v>
      </c>
      <c r="F658" s="20">
        <f t="shared" si="32"/>
        <v>0.48983649450825167</v>
      </c>
    </row>
    <row r="659" spans="1:6" ht="15" customHeight="1">
      <c r="A659" s="18" t="str">
        <f>'F Plus CO2'!A1597</f>
        <v>12/2012</v>
      </c>
      <c r="B659" s="19">
        <f t="shared" si="30"/>
        <v>2012.9583333333333</v>
      </c>
      <c r="C659" s="20">
        <f>'F Plus CO2'!B1597</f>
        <v>58.153999999999996</v>
      </c>
      <c r="D659" s="19">
        <f>'F Plus CO2'!C1597</f>
        <v>394.57</v>
      </c>
      <c r="E659" s="19">
        <f t="shared" si="31"/>
        <v>0.52999999999999758</v>
      </c>
      <c r="F659" s="20">
        <f t="shared" si="32"/>
        <v>0.49485444187513067</v>
      </c>
    </row>
    <row r="660" spans="1:6" ht="15" customHeight="1">
      <c r="A660" s="18" t="str">
        <f>'F Plus CO2'!A1598</f>
        <v>1/2013</v>
      </c>
      <c r="B660" s="19">
        <f t="shared" si="30"/>
        <v>2013.0416666666667</v>
      </c>
      <c r="C660" s="20">
        <f>'F Plus CO2'!B1598</f>
        <v>58.478000000000002</v>
      </c>
      <c r="D660" s="19">
        <f>'F Plus CO2'!C1598</f>
        <v>395.78</v>
      </c>
      <c r="E660" s="19">
        <f t="shared" si="31"/>
        <v>0.71000000000000085</v>
      </c>
      <c r="F660" s="20">
        <f t="shared" si="32"/>
        <v>0.49927188316908833</v>
      </c>
    </row>
    <row r="661" spans="1:6" ht="15" customHeight="1">
      <c r="A661" s="18" t="str">
        <f>'F Plus CO2'!A1599</f>
        <v>2/2013</v>
      </c>
      <c r="B661" s="19">
        <f t="shared" si="30"/>
        <v>2013.125</v>
      </c>
      <c r="C661" s="20">
        <f>'F Plus CO2'!B1599</f>
        <v>58.316000000000003</v>
      </c>
      <c r="D661" s="19">
        <f>'F Plus CO2'!C1599</f>
        <v>397.03</v>
      </c>
      <c r="E661" s="19">
        <f t="shared" si="31"/>
        <v>0.62000000000000099</v>
      </c>
      <c r="F661" s="20">
        <f t="shared" si="32"/>
        <v>0.50382119585545315</v>
      </c>
    </row>
    <row r="662" spans="1:6" ht="15" customHeight="1">
      <c r="A662" s="18" t="str">
        <f>'F Plus CO2'!A1600</f>
        <v>3/2013</v>
      </c>
      <c r="B662" s="19">
        <f t="shared" si="30"/>
        <v>2013.2083333333333</v>
      </c>
      <c r="C662" s="20">
        <f>'F Plus CO2'!B1600</f>
        <v>58.405999999999999</v>
      </c>
      <c r="D662" s="19">
        <f>'F Plus CO2'!C1600</f>
        <v>397.66</v>
      </c>
      <c r="E662" s="19">
        <f t="shared" si="31"/>
        <v>0.66999999999999993</v>
      </c>
      <c r="F662" s="20">
        <f t="shared" si="32"/>
        <v>0.50610862382400879</v>
      </c>
    </row>
    <row r="663" spans="1:6" ht="15" customHeight="1">
      <c r="A663" s="18" t="str">
        <f>'F Plus CO2'!A1601</f>
        <v>4/2013</v>
      </c>
      <c r="B663" s="19">
        <f t="shared" si="30"/>
        <v>2013.2916666666667</v>
      </c>
      <c r="C663" s="20">
        <f>'F Plus CO2'!B1601</f>
        <v>58.153999999999996</v>
      </c>
      <c r="D663" s="19">
        <f>'F Plus CO2'!C1601</f>
        <v>398.64</v>
      </c>
      <c r="E663" s="19">
        <f t="shared" si="31"/>
        <v>0.52999999999999758</v>
      </c>
      <c r="F663" s="20">
        <f t="shared" si="32"/>
        <v>0.50965965196384122</v>
      </c>
    </row>
    <row r="664" spans="1:6" ht="15" customHeight="1">
      <c r="A664" s="18" t="str">
        <f>'F Plus CO2'!A1602</f>
        <v>5/2013</v>
      </c>
      <c r="B664" s="19">
        <f t="shared" si="30"/>
        <v>2013.375</v>
      </c>
      <c r="C664" s="20">
        <f>'F Plus CO2'!B1602</f>
        <v>58.28</v>
      </c>
      <c r="D664" s="19">
        <f>'F Plus CO2'!C1602</f>
        <v>400.02</v>
      </c>
      <c r="E664" s="19">
        <f t="shared" si="31"/>
        <v>0.60000000000000142</v>
      </c>
      <c r="F664" s="20">
        <f t="shared" si="32"/>
        <v>0.51464530577849399</v>
      </c>
    </row>
    <row r="665" spans="1:6" ht="15" customHeight="1">
      <c r="A665" s="18" t="str">
        <f>'F Plus CO2'!A1603</f>
        <v>6/2013</v>
      </c>
      <c r="B665" s="19">
        <f t="shared" si="30"/>
        <v>2013.4583333333333</v>
      </c>
      <c r="C665" s="20">
        <f>'F Plus CO2'!B1603</f>
        <v>58.46</v>
      </c>
      <c r="D665" s="19">
        <f>'F Plus CO2'!C1603</f>
        <v>398.81</v>
      </c>
      <c r="E665" s="19">
        <f t="shared" si="31"/>
        <v>0.70000000000000107</v>
      </c>
      <c r="F665" s="20">
        <f t="shared" si="32"/>
        <v>0.5102747580160486</v>
      </c>
    </row>
    <row r="666" spans="1:6" ht="15" customHeight="1">
      <c r="A666" s="18" t="str">
        <f>'F Plus CO2'!A1604</f>
        <v>7/2013</v>
      </c>
      <c r="B666" s="19">
        <f t="shared" si="30"/>
        <v>2013.5416666666667</v>
      </c>
      <c r="C666" s="20">
        <f>'F Plus CO2'!B1604</f>
        <v>58.28</v>
      </c>
      <c r="D666" s="19">
        <f>'F Plus CO2'!C1604</f>
        <v>397.51</v>
      </c>
      <c r="E666" s="19">
        <f t="shared" si="31"/>
        <v>0.60000000000000142</v>
      </c>
      <c r="F666" s="20">
        <f t="shared" si="32"/>
        <v>0.50556432698509302</v>
      </c>
    </row>
    <row r="667" spans="1:6" ht="15" customHeight="1">
      <c r="A667" s="18" t="str">
        <f>'F Plus CO2'!A1605</f>
        <v>8/2013</v>
      </c>
      <c r="B667" s="19">
        <f t="shared" si="30"/>
        <v>2013.625</v>
      </c>
      <c r="C667" s="20">
        <f>'F Plus CO2'!B1605</f>
        <v>58.46</v>
      </c>
      <c r="D667" s="19">
        <f>'F Plus CO2'!C1605</f>
        <v>395.39</v>
      </c>
      <c r="E667" s="19">
        <f t="shared" si="31"/>
        <v>0.70000000000000107</v>
      </c>
      <c r="F667" s="20">
        <f t="shared" si="32"/>
        <v>0.49784955645922896</v>
      </c>
    </row>
    <row r="668" spans="1:6" ht="15" customHeight="1">
      <c r="A668" s="18" t="str">
        <f>'F Plus CO2'!A1606</f>
        <v>9/2013</v>
      </c>
      <c r="B668" s="19">
        <f t="shared" si="30"/>
        <v>2013.7083333333333</v>
      </c>
      <c r="C668" s="20">
        <f>'F Plus CO2'!B1606</f>
        <v>58.585999999999999</v>
      </c>
      <c r="D668" s="19">
        <f>'F Plus CO2'!C1606</f>
        <v>393.72</v>
      </c>
      <c r="E668" s="19">
        <f t="shared" si="31"/>
        <v>0.77000000000000135</v>
      </c>
      <c r="F668" s="20">
        <f t="shared" si="32"/>
        <v>0.49174317251988486</v>
      </c>
    </row>
    <row r="669" spans="1:6" ht="15" customHeight="1">
      <c r="A669" s="18" t="str">
        <f>'F Plus CO2'!A1607</f>
        <v>10/2013</v>
      </c>
      <c r="B669" s="19">
        <f t="shared" si="30"/>
        <v>2013.7916666666667</v>
      </c>
      <c r="C669" s="20">
        <f>'F Plus CO2'!B1607</f>
        <v>58.442</v>
      </c>
      <c r="D669" s="19">
        <f>'F Plus CO2'!C1607</f>
        <v>393.9</v>
      </c>
      <c r="E669" s="19">
        <f t="shared" si="31"/>
        <v>0.69000000000000128</v>
      </c>
      <c r="F669" s="20">
        <f t="shared" si="32"/>
        <v>0.49240258978171431</v>
      </c>
    </row>
    <row r="670" spans="1:6" ht="15" customHeight="1">
      <c r="A670" s="18" t="str">
        <f>'F Plus CO2'!A1608</f>
        <v>11/2013</v>
      </c>
      <c r="B670" s="19">
        <f t="shared" si="30"/>
        <v>2013.875</v>
      </c>
      <c r="C670" s="20">
        <f>'F Plus CO2'!B1608</f>
        <v>58.694000000000003</v>
      </c>
      <c r="D670" s="19">
        <f>'F Plus CO2'!C1608</f>
        <v>395.36</v>
      </c>
      <c r="E670" s="19">
        <f t="shared" si="31"/>
        <v>0.83000000000000362</v>
      </c>
      <c r="F670" s="20">
        <f t="shared" si="32"/>
        <v>0.49774008860909347</v>
      </c>
    </row>
    <row r="671" spans="1:6" ht="15" customHeight="1">
      <c r="A671" s="18" t="str">
        <f>'F Plus CO2'!A1609</f>
        <v>12/2013</v>
      </c>
      <c r="B671" s="19">
        <f t="shared" si="30"/>
        <v>2013.9583333333333</v>
      </c>
      <c r="C671" s="20">
        <f>'F Plus CO2'!B1609</f>
        <v>58.46</v>
      </c>
      <c r="D671" s="19">
        <f>'F Plus CO2'!C1609</f>
        <v>397.03</v>
      </c>
      <c r="E671" s="19">
        <f t="shared" si="31"/>
        <v>0.70000000000000107</v>
      </c>
      <c r="F671" s="20">
        <f t="shared" si="32"/>
        <v>0.50382119585545315</v>
      </c>
    </row>
    <row r="672" spans="1:6" ht="15" customHeight="1">
      <c r="A672" s="18" t="str">
        <f>'F Plus CO2'!A1610</f>
        <v>1/2014</v>
      </c>
      <c r="B672" s="19">
        <f t="shared" si="30"/>
        <v>2014.0416666666667</v>
      </c>
      <c r="C672" s="20">
        <f>'F Plus CO2'!B1610</f>
        <v>58.567999999999998</v>
      </c>
      <c r="D672" s="19">
        <f>'F Plus CO2'!C1610</f>
        <v>398.04</v>
      </c>
      <c r="E672" s="19">
        <f t="shared" si="31"/>
        <v>0.75999999999999801</v>
      </c>
      <c r="F672" s="20">
        <f t="shared" si="32"/>
        <v>0.50748659078948732</v>
      </c>
    </row>
    <row r="673" spans="1:6" ht="15" customHeight="1">
      <c r="A673" s="18" t="str">
        <f>'F Plus CO2'!A1611</f>
        <v>2/2014</v>
      </c>
      <c r="B673" s="19">
        <f t="shared" si="30"/>
        <v>2014.125</v>
      </c>
      <c r="C673" s="20">
        <f>'F Plus CO2'!B1611</f>
        <v>58.19</v>
      </c>
      <c r="D673" s="19">
        <f>'F Plus CO2'!C1611</f>
        <v>398.27</v>
      </c>
      <c r="E673" s="19">
        <f t="shared" si="31"/>
        <v>0.54999999999999893</v>
      </c>
      <c r="F673" s="20">
        <f t="shared" si="32"/>
        <v>0.50831998448950766</v>
      </c>
    </row>
    <row r="674" spans="1:6" ht="15" customHeight="1">
      <c r="A674" s="18" t="str">
        <f>'F Plus CO2'!A1612</f>
        <v>3/2014</v>
      </c>
      <c r="B674" s="19">
        <f t="shared" si="30"/>
        <v>2014.2083333333333</v>
      </c>
      <c r="C674" s="20">
        <f>'F Plus CO2'!B1612</f>
        <v>58.603999999999999</v>
      </c>
      <c r="D674" s="19">
        <f>'F Plus CO2'!C1612</f>
        <v>399.91</v>
      </c>
      <c r="E674" s="19">
        <f t="shared" si="31"/>
        <v>0.77999999999999758</v>
      </c>
      <c r="F674" s="20">
        <f t="shared" si="32"/>
        <v>0.51424852992186132</v>
      </c>
    </row>
    <row r="675" spans="1:6" ht="15" customHeight="1">
      <c r="A675" s="18" t="str">
        <f>'F Plus CO2'!A1613</f>
        <v>4/2014</v>
      </c>
      <c r="B675" s="19">
        <f t="shared" si="30"/>
        <v>2014.2916666666667</v>
      </c>
      <c r="C675" s="20">
        <f>'F Plus CO2'!B1613</f>
        <v>58.658000000000001</v>
      </c>
      <c r="D675" s="19">
        <f>'F Plus CO2'!C1613</f>
        <v>401.51</v>
      </c>
      <c r="E675" s="19">
        <f t="shared" si="31"/>
        <v>0.81000000000000227</v>
      </c>
      <c r="F675" s="20">
        <f t="shared" si="32"/>
        <v>0.52000909275354024</v>
      </c>
    </row>
    <row r="676" spans="1:6" ht="15" customHeight="1">
      <c r="A676" s="18" t="str">
        <f>'F Plus CO2'!A1614</f>
        <v>5/2014</v>
      </c>
      <c r="B676" s="19">
        <f t="shared" si="30"/>
        <v>2014.375</v>
      </c>
      <c r="C676" s="20">
        <f>'F Plus CO2'!B1614</f>
        <v>58.765999999999998</v>
      </c>
      <c r="D676" s="19">
        <f>'F Plus CO2'!C1614</f>
        <v>401.96</v>
      </c>
      <c r="E676" s="19">
        <f t="shared" si="31"/>
        <v>0.86999999999999744</v>
      </c>
      <c r="F676" s="20">
        <f t="shared" si="32"/>
        <v>0.52162511534624834</v>
      </c>
    </row>
    <row r="677" spans="1:6" ht="15" customHeight="1">
      <c r="A677" s="18" t="str">
        <f>'F Plus CO2'!A1615</f>
        <v>6/2014</v>
      </c>
      <c r="B677" s="19">
        <f t="shared" si="30"/>
        <v>2014.4583333333333</v>
      </c>
      <c r="C677" s="20">
        <f>'F Plus CO2'!B1615</f>
        <v>58.405999999999999</v>
      </c>
      <c r="D677" s="19">
        <f>'F Plus CO2'!C1615</f>
        <v>401.43</v>
      </c>
      <c r="E677" s="19">
        <f t="shared" si="31"/>
        <v>0.66999999999999993</v>
      </c>
      <c r="F677" s="20">
        <f t="shared" si="32"/>
        <v>0.5197216102426353</v>
      </c>
    </row>
    <row r="678" spans="1:6" ht="15" customHeight="1">
      <c r="A678" s="18" t="str">
        <f>'F Plus CO2'!A1616</f>
        <v>7/2014</v>
      </c>
      <c r="B678" s="19">
        <f t="shared" si="30"/>
        <v>2014.5416666666667</v>
      </c>
      <c r="C678" s="20">
        <f>'F Plus CO2'!B1616</f>
        <v>58.244</v>
      </c>
      <c r="D678" s="19">
        <f>'F Plus CO2'!C1616</f>
        <v>399.27</v>
      </c>
      <c r="E678" s="19">
        <f t="shared" si="31"/>
        <v>0.58000000000000007</v>
      </c>
      <c r="F678" s="20">
        <f t="shared" si="32"/>
        <v>0.51193784891495564</v>
      </c>
    </row>
    <row r="679" spans="1:6" ht="15" customHeight="1">
      <c r="A679" s="18" t="str">
        <f>'F Plus CO2'!A1617</f>
        <v>8/2014</v>
      </c>
      <c r="B679" s="19">
        <f t="shared" si="30"/>
        <v>2014.625</v>
      </c>
      <c r="C679" s="20">
        <f>'F Plus CO2'!B1617</f>
        <v>58.694000000000003</v>
      </c>
      <c r="D679" s="19">
        <f>'F Plus CO2'!C1617</f>
        <v>397.18</v>
      </c>
      <c r="E679" s="19">
        <f t="shared" si="31"/>
        <v>0.83000000000000362</v>
      </c>
      <c r="F679" s="20">
        <f t="shared" si="32"/>
        <v>0.50436615061227197</v>
      </c>
    </row>
    <row r="680" spans="1:6" ht="15" customHeight="1">
      <c r="A680" s="18" t="str">
        <f>'F Plus CO2'!A1618</f>
        <v>9/2014</v>
      </c>
      <c r="B680" s="19">
        <f t="shared" si="30"/>
        <v>2014.7083333333333</v>
      </c>
      <c r="C680" s="20">
        <f>'F Plus CO2'!B1618</f>
        <v>58.784000000000006</v>
      </c>
      <c r="D680" s="19">
        <f>'F Plus CO2'!C1618</f>
        <v>395.54</v>
      </c>
      <c r="E680" s="19">
        <f t="shared" si="31"/>
        <v>0.88000000000000256</v>
      </c>
      <c r="F680" s="20">
        <f t="shared" si="32"/>
        <v>0.49839677115263525</v>
      </c>
    </row>
    <row r="681" spans="1:6" ht="15" customHeight="1">
      <c r="A681" s="18" t="str">
        <f>'F Plus CO2'!A1619</f>
        <v>10/2014</v>
      </c>
      <c r="B681" s="19">
        <f t="shared" si="30"/>
        <v>2014.7916666666667</v>
      </c>
      <c r="C681" s="20">
        <f>'F Plus CO2'!B1619</f>
        <v>58.64</v>
      </c>
      <c r="D681" s="19">
        <f>'F Plus CO2'!C1619</f>
        <v>396.16</v>
      </c>
      <c r="E681" s="19">
        <f t="shared" si="31"/>
        <v>0.79999999999999893</v>
      </c>
      <c r="F681" s="20">
        <f t="shared" si="32"/>
        <v>0.50065639249457372</v>
      </c>
    </row>
    <row r="682" spans="1:6" ht="15" customHeight="1">
      <c r="A682" s="18" t="str">
        <f>'F Plus CO2'!A1620</f>
        <v>11/2014</v>
      </c>
      <c r="B682" s="19">
        <f t="shared" si="30"/>
        <v>2014.875</v>
      </c>
      <c r="C682" s="20">
        <f>'F Plus CO2'!B1620</f>
        <v>58.405999999999999</v>
      </c>
      <c r="D682" s="19">
        <f>'F Plus CO2'!C1620</f>
        <v>397.4</v>
      </c>
      <c r="E682" s="19">
        <f t="shared" si="31"/>
        <v>0.66999999999999993</v>
      </c>
      <c r="F682" s="20">
        <f t="shared" si="32"/>
        <v>0.50516504541734131</v>
      </c>
    </row>
    <row r="683" spans="1:6" ht="15" customHeight="1">
      <c r="A683" s="18" t="str">
        <f>'F Plus CO2'!A1621</f>
        <v>12/2014</v>
      </c>
      <c r="B683" s="19">
        <f t="shared" si="30"/>
        <v>2014.9583333333333</v>
      </c>
      <c r="C683" s="20">
        <f>'F Plus CO2'!B1621</f>
        <v>58.622</v>
      </c>
      <c r="D683" s="19">
        <f>'F Plus CO2'!C1621</f>
        <v>399.08</v>
      </c>
      <c r="E683" s="19">
        <f t="shared" si="31"/>
        <v>0.79000000000000092</v>
      </c>
      <c r="F683" s="20">
        <f t="shared" si="32"/>
        <v>0.51125115244612851</v>
      </c>
    </row>
    <row r="684" spans="1:6" ht="15" customHeight="1">
      <c r="A684" s="18" t="str">
        <f>'F Plus CO2'!A1622</f>
        <v>1/2015</v>
      </c>
      <c r="B684" s="19">
        <f t="shared" si="30"/>
        <v>2015.0416666666667</v>
      </c>
      <c r="C684" s="20">
        <f>'F Plus CO2'!B1622</f>
        <v>58.748000000000005</v>
      </c>
      <c r="D684" s="19">
        <f>'F Plus CO2'!C1622</f>
        <v>400.18</v>
      </c>
      <c r="E684" s="19">
        <f t="shared" si="31"/>
        <v>0.86000000000000121</v>
      </c>
      <c r="F684" s="20">
        <f t="shared" si="32"/>
        <v>0.51522223956909252</v>
      </c>
    </row>
    <row r="685" spans="1:6" ht="15" customHeight="1">
      <c r="A685" s="18" t="str">
        <f>'F Plus CO2'!A1623</f>
        <v>2/2015</v>
      </c>
      <c r="B685" s="19">
        <f t="shared" si="30"/>
        <v>2015.125</v>
      </c>
      <c r="C685" s="20">
        <f>'F Plus CO2'!B1623</f>
        <v>58.838000000000001</v>
      </c>
      <c r="D685" s="19">
        <f>'F Plus CO2'!C1623</f>
        <v>400.55</v>
      </c>
      <c r="E685" s="19">
        <f t="shared" si="31"/>
        <v>0.91000000000000014</v>
      </c>
      <c r="F685" s="20">
        <f t="shared" si="32"/>
        <v>0.51655551596218474</v>
      </c>
    </row>
    <row r="686" spans="1:6" ht="15" customHeight="1">
      <c r="A686" s="18" t="str">
        <f>'F Plus CO2'!A1624</f>
        <v>3/2015</v>
      </c>
      <c r="B686" s="19">
        <f t="shared" si="30"/>
        <v>2015.2083333333333</v>
      </c>
      <c r="C686" s="20">
        <f>'F Plus CO2'!B1624</f>
        <v>58.927999999999997</v>
      </c>
      <c r="D686" s="19">
        <f>'F Plus CO2'!C1624</f>
        <v>401.74</v>
      </c>
      <c r="E686" s="19">
        <f t="shared" si="31"/>
        <v>0.95999999999999908</v>
      </c>
      <c r="F686" s="20">
        <f t="shared" si="32"/>
        <v>0.52083528601459983</v>
      </c>
    </row>
    <row r="687" spans="1:6" ht="15" customHeight="1">
      <c r="A687" s="18" t="str">
        <f>'F Plus CO2'!A1625</f>
        <v>4/2015</v>
      </c>
      <c r="B687" s="19">
        <f t="shared" si="30"/>
        <v>2015.2916666666667</v>
      </c>
      <c r="C687" s="20">
        <f>'F Plus CO2'!B1625</f>
        <v>58.55</v>
      </c>
      <c r="D687" s="19">
        <f>'F Plus CO2'!C1625</f>
        <v>403.35</v>
      </c>
      <c r="E687" s="19">
        <f t="shared" si="31"/>
        <v>0.75</v>
      </c>
      <c r="F687" s="20">
        <f t="shared" si="32"/>
        <v>0.52660542876170069</v>
      </c>
    </row>
    <row r="688" spans="1:6" ht="15" customHeight="1">
      <c r="A688" s="18" t="str">
        <f>'F Plus CO2'!A1626</f>
        <v>5/2015</v>
      </c>
      <c r="B688" s="19">
        <f t="shared" si="30"/>
        <v>2015.375</v>
      </c>
      <c r="C688" s="20">
        <f>'F Plus CO2'!B1626</f>
        <v>58.64</v>
      </c>
      <c r="D688" s="19">
        <f>'F Plus CO2'!C1626</f>
        <v>404.15</v>
      </c>
      <c r="E688" s="19">
        <f t="shared" si="31"/>
        <v>0.79999999999999893</v>
      </c>
      <c r="F688" s="20">
        <f t="shared" si="32"/>
        <v>0.52946402049003916</v>
      </c>
    </row>
    <row r="689" spans="1:6" ht="15" customHeight="1">
      <c r="A689" s="18" t="str">
        <f>'F Plus CO2'!A1627</f>
        <v>6/2015</v>
      </c>
      <c r="B689" s="19">
        <f t="shared" si="30"/>
        <v>2015.4583333333333</v>
      </c>
      <c r="C689" s="20">
        <f>'F Plus CO2'!B1627</f>
        <v>58.676000000000002</v>
      </c>
      <c r="D689" s="19">
        <f>'F Plus CO2'!C1627</f>
        <v>402.97</v>
      </c>
      <c r="E689" s="19">
        <f t="shared" si="31"/>
        <v>0.82000000000000028</v>
      </c>
      <c r="F689" s="20">
        <f t="shared" si="32"/>
        <v>0.52524561093224054</v>
      </c>
    </row>
    <row r="690" spans="1:6" ht="15" customHeight="1">
      <c r="A690" s="18" t="str">
        <f>'F Plus CO2'!A1628</f>
        <v>7/2015</v>
      </c>
      <c r="B690" s="19">
        <f t="shared" si="30"/>
        <v>2015.5416666666667</v>
      </c>
      <c r="C690" s="20">
        <f>'F Plus CO2'!B1628</f>
        <v>58.514000000000003</v>
      </c>
      <c r="D690" s="19">
        <f>'F Plus CO2'!C1628</f>
        <v>401.46</v>
      </c>
      <c r="E690" s="19">
        <f t="shared" si="31"/>
        <v>0.7300000000000022</v>
      </c>
      <c r="F690" s="20">
        <f t="shared" si="32"/>
        <v>0.51982942289753653</v>
      </c>
    </row>
    <row r="691" spans="1:6" ht="15" customHeight="1">
      <c r="A691" s="18" t="str">
        <f>'F Plus CO2'!A1629</f>
        <v>8/2015</v>
      </c>
      <c r="B691" s="19">
        <f t="shared" si="30"/>
        <v>2015.625</v>
      </c>
      <c r="C691" s="20">
        <f>'F Plus CO2'!B1629</f>
        <v>58.64</v>
      </c>
      <c r="D691" s="19">
        <f>'F Plus CO2'!C1629</f>
        <v>399.11</v>
      </c>
      <c r="E691" s="19">
        <f t="shared" si="31"/>
        <v>0.79999999999999893</v>
      </c>
      <c r="F691" s="20">
        <f t="shared" si="32"/>
        <v>0.51135959993669367</v>
      </c>
    </row>
    <row r="692" spans="1:6" ht="15" customHeight="1">
      <c r="A692" s="18" t="str">
        <f>'F Plus CO2'!A1630</f>
        <v>9/2015</v>
      </c>
      <c r="B692" s="19">
        <f t="shared" si="30"/>
        <v>2015.7083333333333</v>
      </c>
      <c r="C692" s="20">
        <f>'F Plus CO2'!B1630</f>
        <v>58.712000000000003</v>
      </c>
      <c r="D692" s="19">
        <f>'F Plus CO2'!C1630</f>
        <v>397.82</v>
      </c>
      <c r="E692" s="19">
        <f t="shared" si="31"/>
        <v>0.83999999999999986</v>
      </c>
      <c r="F692" s="20">
        <f t="shared" si="32"/>
        <v>0.50668898086543035</v>
      </c>
    </row>
    <row r="693" spans="1:6" ht="15" customHeight="1">
      <c r="A693" s="18" t="str">
        <f>'F Plus CO2'!A1631</f>
        <v>10/2015</v>
      </c>
      <c r="B693" s="19">
        <f t="shared" si="30"/>
        <v>2015.7916666666667</v>
      </c>
      <c r="C693" s="20">
        <f>'F Plus CO2'!B1631</f>
        <v>59.144000000000005</v>
      </c>
      <c r="D693" s="19">
        <f>'F Plus CO2'!C1631</f>
        <v>398.49</v>
      </c>
      <c r="E693" s="19">
        <f t="shared" si="31"/>
        <v>1.0800000000000036</v>
      </c>
      <c r="F693" s="20">
        <f t="shared" si="32"/>
        <v>0.50911669345346611</v>
      </c>
    </row>
    <row r="694" spans="1:6" ht="15" customHeight="1">
      <c r="A694" s="18" t="str">
        <f>'F Plus CO2'!A1632</f>
        <v>11/2015</v>
      </c>
      <c r="B694" s="19">
        <f t="shared" si="30"/>
        <v>2015.875</v>
      </c>
      <c r="C694" s="20">
        <f>'F Plus CO2'!B1632</f>
        <v>59.108000000000004</v>
      </c>
      <c r="D694" s="19">
        <f>'F Plus CO2'!C1632</f>
        <v>400.27</v>
      </c>
      <c r="E694" s="19">
        <f t="shared" si="31"/>
        <v>1.0600000000000023</v>
      </c>
      <c r="F694" s="20">
        <f t="shared" si="32"/>
        <v>0.51554666346621814</v>
      </c>
    </row>
    <row r="695" spans="1:6" ht="15" customHeight="1">
      <c r="A695" s="18" t="str">
        <f>'F Plus CO2'!A1633</f>
        <v>12/2015</v>
      </c>
      <c r="B695" s="19">
        <f t="shared" si="30"/>
        <v>2015.9583333333333</v>
      </c>
      <c r="C695" s="20">
        <f>'F Plus CO2'!B1633</f>
        <v>59.305999999999997</v>
      </c>
      <c r="D695" s="19">
        <f>'F Plus CO2'!C1633</f>
        <v>402.06</v>
      </c>
      <c r="E695" s="19">
        <f t="shared" si="31"/>
        <v>1.1699999999999964</v>
      </c>
      <c r="F695" s="20">
        <f t="shared" si="32"/>
        <v>0.52198398578437877</v>
      </c>
    </row>
    <row r="696" spans="1:6" ht="15" customHeight="1">
      <c r="A696" s="18" t="str">
        <f>'F Plus CO2'!A1634</f>
        <v>1/2016</v>
      </c>
      <c r="B696" s="19">
        <f t="shared" si="30"/>
        <v>2016.0416666666667</v>
      </c>
      <c r="C696" s="20">
        <f>'F Plus CO2'!B1634</f>
        <v>59.323999999999998</v>
      </c>
      <c r="D696" s="19">
        <f>'F Plus CO2'!C1634</f>
        <v>402.73</v>
      </c>
      <c r="E696" s="19">
        <f t="shared" si="31"/>
        <v>1.1799999999999997</v>
      </c>
      <c r="F696" s="20">
        <f t="shared" si="32"/>
        <v>0.52438611777087951</v>
      </c>
    </row>
    <row r="697" spans="1:6" ht="15" customHeight="1">
      <c r="A697" s="18" t="str">
        <f>'F Plus CO2'!A1635</f>
        <v>2/2016</v>
      </c>
      <c r="B697" s="19">
        <f t="shared" si="30"/>
        <v>2016.125</v>
      </c>
      <c r="C697" s="20">
        <f>'F Plus CO2'!B1635</f>
        <v>59.666000000000004</v>
      </c>
      <c r="D697" s="19">
        <f>'F Plus CO2'!C1635</f>
        <v>404.25</v>
      </c>
      <c r="E697" s="19">
        <f t="shared" si="31"/>
        <v>1.370000000000001</v>
      </c>
      <c r="F697" s="20">
        <f t="shared" si="32"/>
        <v>0.52982094652869527</v>
      </c>
    </row>
    <row r="698" spans="1:6" ht="15" customHeight="1">
      <c r="A698" s="18" t="str">
        <f>'F Plus CO2'!A1636</f>
        <v>3/2016</v>
      </c>
      <c r="B698" s="19">
        <f t="shared" si="30"/>
        <v>2016.2083333333333</v>
      </c>
      <c r="C698" s="20">
        <f>'F Plus CO2'!B1636</f>
        <v>59.629999999999995</v>
      </c>
      <c r="D698" s="19">
        <f>'F Plus CO2'!C1636</f>
        <v>405.06</v>
      </c>
      <c r="E698" s="19">
        <f t="shared" si="31"/>
        <v>1.3499999999999979</v>
      </c>
      <c r="F698" s="20">
        <f t="shared" si="32"/>
        <v>0.53270879759518996</v>
      </c>
    </row>
    <row r="699" spans="1:6" ht="15" customHeight="1">
      <c r="A699" s="18" t="str">
        <f>'F Plus CO2'!A1637</f>
        <v>4/2016</v>
      </c>
      <c r="B699" s="19">
        <f t="shared" si="30"/>
        <v>2016.2916666666667</v>
      </c>
      <c r="C699" s="20">
        <f>'F Plus CO2'!B1637</f>
        <v>59.161999999999999</v>
      </c>
      <c r="D699" s="19">
        <f>'F Plus CO2'!C1637</f>
        <v>407.6</v>
      </c>
      <c r="E699" s="19">
        <f t="shared" si="31"/>
        <v>1.0899999999999999</v>
      </c>
      <c r="F699" s="20">
        <f t="shared" si="32"/>
        <v>0.54172722433348508</v>
      </c>
    </row>
    <row r="700" spans="1:6" ht="15" customHeight="1">
      <c r="A700" s="18" t="str">
        <f>'F Plus CO2'!A1638</f>
        <v>5/2016</v>
      </c>
      <c r="B700" s="19">
        <f t="shared" si="30"/>
        <v>2016.375</v>
      </c>
      <c r="C700" s="20">
        <f>'F Plus CO2'!B1638</f>
        <v>58.927999999999997</v>
      </c>
      <c r="D700" s="19">
        <f>'F Plus CO2'!C1638</f>
        <v>407.9</v>
      </c>
      <c r="E700" s="19">
        <f t="shared" si="31"/>
        <v>0.95999999999999908</v>
      </c>
      <c r="F700" s="20">
        <f t="shared" si="32"/>
        <v>0.5427886799601942</v>
      </c>
    </row>
    <row r="701" spans="1:6" ht="15" customHeight="1">
      <c r="A701" s="18" t="str">
        <f>'F Plus CO2'!A1639</f>
        <v>6/2016</v>
      </c>
      <c r="B701" s="19">
        <f t="shared" si="30"/>
        <v>2016.4583333333333</v>
      </c>
      <c r="C701" s="20">
        <f>'F Plus CO2'!B1639</f>
        <v>58.658000000000001</v>
      </c>
      <c r="D701" s="19">
        <f>'F Plus CO2'!C1639</f>
        <v>406.99</v>
      </c>
      <c r="E701" s="19">
        <f t="shared" si="31"/>
        <v>0.81000000000000227</v>
      </c>
      <c r="F701" s="20">
        <f t="shared" si="32"/>
        <v>0.53956651983320436</v>
      </c>
    </row>
    <row r="702" spans="1:6" ht="15" customHeight="1">
      <c r="A702" s="18" t="str">
        <f>'F Plus CO2'!A1640</f>
        <v>7/2016</v>
      </c>
      <c r="B702" s="19">
        <f t="shared" si="30"/>
        <v>2016.5416666666667</v>
      </c>
      <c r="C702" s="20">
        <f>'F Plus CO2'!B1640</f>
        <v>58.712000000000003</v>
      </c>
      <c r="D702" s="19">
        <f>'F Plus CO2'!C1640</f>
        <v>404.59</v>
      </c>
      <c r="E702" s="19">
        <f t="shared" si="31"/>
        <v>0.83999999999999986</v>
      </c>
      <c r="F702" s="20">
        <f t="shared" si="32"/>
        <v>0.53103383496841972</v>
      </c>
    </row>
    <row r="703" spans="1:6" ht="15" customHeight="1">
      <c r="A703" s="18" t="str">
        <f>'F Plus CO2'!A1641</f>
        <v>8/2016</v>
      </c>
      <c r="B703" s="19">
        <f t="shared" si="30"/>
        <v>2016.625</v>
      </c>
      <c r="C703" s="20">
        <f>'F Plus CO2'!B1641</f>
        <v>59.018000000000001</v>
      </c>
      <c r="D703" s="19">
        <f>'F Plus CO2'!C1641</f>
        <v>402.45</v>
      </c>
      <c r="E703" s="19">
        <f t="shared" si="31"/>
        <v>1.0099999999999998</v>
      </c>
      <c r="F703" s="20">
        <f t="shared" si="32"/>
        <v>0.52338272814934861</v>
      </c>
    </row>
    <row r="704" spans="1:6" ht="15" customHeight="1">
      <c r="A704" s="18" t="str">
        <f>'F Plus CO2'!A1642</f>
        <v>9/2016</v>
      </c>
      <c r="B704" s="19">
        <f t="shared" si="30"/>
        <v>2016.7083333333333</v>
      </c>
      <c r="C704" s="20">
        <f>'F Plus CO2'!B1642</f>
        <v>58.82</v>
      </c>
      <c r="D704" s="19">
        <f>'F Plus CO2'!C1642</f>
        <v>401.23</v>
      </c>
      <c r="E704" s="19">
        <f t="shared" si="31"/>
        <v>0.89999999999999858</v>
      </c>
      <c r="F704" s="20">
        <f t="shared" si="32"/>
        <v>0.51900265323929839</v>
      </c>
    </row>
    <row r="705" spans="1:6" ht="15" customHeight="1">
      <c r="A705" s="18" t="str">
        <f>'F Plus CO2'!A1643</f>
        <v>10/2016</v>
      </c>
      <c r="B705" s="19">
        <f t="shared" si="30"/>
        <v>2016.7916666666667</v>
      </c>
      <c r="C705" s="20">
        <f>'F Plus CO2'!B1643</f>
        <v>58.765999999999998</v>
      </c>
      <c r="D705" s="19">
        <f>'F Plus CO2'!C1643</f>
        <v>401.79</v>
      </c>
      <c r="E705" s="19">
        <f t="shared" si="31"/>
        <v>0.86999999999999744</v>
      </c>
      <c r="F705" s="20">
        <f t="shared" si="32"/>
        <v>0.52101483065422127</v>
      </c>
    </row>
    <row r="706" spans="1:6" ht="15" customHeight="1">
      <c r="A706" s="18" t="str">
        <f>'F Plus CO2'!A1644</f>
        <v>11/2016</v>
      </c>
      <c r="B706" s="19">
        <f t="shared" ref="B706:B769" si="33">VALUE(RIGHT(A706,4))+(VALUE(LEFT(A706,FIND("/",A706)-1))-0.5)/12</f>
        <v>2016.875</v>
      </c>
      <c r="C706" s="20">
        <f>'F Plus CO2'!B1644</f>
        <v>58.838000000000001</v>
      </c>
      <c r="D706" s="19">
        <f>'F Plus CO2'!C1644</f>
        <v>403.72</v>
      </c>
      <c r="E706" s="19">
        <f t="shared" ref="E706:E769" si="34">(C706-32)*5/9-$I$3</f>
        <v>0.91000000000000014</v>
      </c>
      <c r="F706" s="20">
        <f t="shared" ref="F706:F769" si="35">LOG(D706/$I$4,2)</f>
        <v>0.52792823149882584</v>
      </c>
    </row>
    <row r="707" spans="1:6" ht="15" customHeight="1">
      <c r="A707" s="18" t="str">
        <f>'F Plus CO2'!A1645</f>
        <v>12/2016</v>
      </c>
      <c r="B707" s="19">
        <f t="shared" si="33"/>
        <v>2016.9583333333333</v>
      </c>
      <c r="C707" s="20">
        <f>'F Plus CO2'!B1645</f>
        <v>58.748000000000005</v>
      </c>
      <c r="D707" s="19">
        <f>'F Plus CO2'!C1645</f>
        <v>404.64</v>
      </c>
      <c r="E707" s="19">
        <f t="shared" si="34"/>
        <v>0.86000000000000121</v>
      </c>
      <c r="F707" s="20">
        <f t="shared" si="35"/>
        <v>0.53121211494354725</v>
      </c>
    </row>
    <row r="708" spans="1:6" ht="15" customHeight="1">
      <c r="A708" s="18" t="str">
        <f>'F Plus CO2'!A1646</f>
        <v>1/2017</v>
      </c>
      <c r="B708" s="19">
        <f t="shared" si="33"/>
        <v>2017.0416666666667</v>
      </c>
      <c r="C708" s="20">
        <f>'F Plus CO2'!B1646</f>
        <v>59.036000000000001</v>
      </c>
      <c r="D708" s="19">
        <f>'F Plus CO2'!C1646</f>
        <v>406.36</v>
      </c>
      <c r="E708" s="19">
        <f t="shared" si="34"/>
        <v>1.0200000000000014</v>
      </c>
      <c r="F708" s="20">
        <f t="shared" si="35"/>
        <v>0.5373315704079159</v>
      </c>
    </row>
    <row r="709" spans="1:6" ht="15" customHeight="1">
      <c r="A709" s="18" t="str">
        <f>'F Plus CO2'!A1647</f>
        <v>2/2017</v>
      </c>
      <c r="B709" s="19">
        <f t="shared" si="33"/>
        <v>2017.125</v>
      </c>
      <c r="C709" s="20">
        <f>'F Plus CO2'!B1647</f>
        <v>59.233999999999995</v>
      </c>
      <c r="D709" s="19">
        <f>'F Plus CO2'!C1647</f>
        <v>406.66</v>
      </c>
      <c r="E709" s="19">
        <f t="shared" si="34"/>
        <v>1.1299999999999955</v>
      </c>
      <c r="F709" s="20">
        <f t="shared" si="35"/>
        <v>0.53839626385189021</v>
      </c>
    </row>
    <row r="710" spans="1:6" ht="15" customHeight="1">
      <c r="A710" s="18" t="str">
        <f>'F Plus CO2'!A1648</f>
        <v>3/2017</v>
      </c>
      <c r="B710" s="19">
        <f t="shared" si="33"/>
        <v>2017.2083333333333</v>
      </c>
      <c r="C710" s="20">
        <f>'F Plus CO2'!B1648</f>
        <v>59.287999999999997</v>
      </c>
      <c r="D710" s="19">
        <f>'F Plus CO2'!C1648</f>
        <v>407.54</v>
      </c>
      <c r="E710" s="19">
        <f t="shared" si="34"/>
        <v>1.1600000000000001</v>
      </c>
      <c r="F710" s="20">
        <f t="shared" si="35"/>
        <v>0.54151483946067869</v>
      </c>
    </row>
    <row r="711" spans="1:6" ht="15" customHeight="1">
      <c r="A711" s="18" t="str">
        <f>'F Plus CO2'!A1649</f>
        <v>4/2017</v>
      </c>
      <c r="B711" s="19">
        <f t="shared" si="33"/>
        <v>2017.2916666666667</v>
      </c>
      <c r="C711" s="20">
        <f>'F Plus CO2'!B1649</f>
        <v>58.891999999999996</v>
      </c>
      <c r="D711" s="19">
        <f>'F Plus CO2'!C1649</f>
        <v>409.22</v>
      </c>
      <c r="E711" s="19">
        <f t="shared" si="34"/>
        <v>0.93999999999999773</v>
      </c>
      <c r="F711" s="20">
        <f t="shared" si="35"/>
        <v>0.54744982914396567</v>
      </c>
    </row>
    <row r="712" spans="1:6" ht="15" customHeight="1">
      <c r="A712" s="18" t="str">
        <f>'F Plus CO2'!A1650</f>
        <v>5/2017</v>
      </c>
      <c r="B712" s="19">
        <f t="shared" si="33"/>
        <v>2017.375</v>
      </c>
      <c r="C712" s="20">
        <f>'F Plus CO2'!B1650</f>
        <v>58.838000000000001</v>
      </c>
      <c r="D712" s="19">
        <f>'F Plus CO2'!C1650</f>
        <v>409.89</v>
      </c>
      <c r="E712" s="19">
        <f t="shared" si="34"/>
        <v>0.91000000000000014</v>
      </c>
      <c r="F712" s="20">
        <f t="shared" si="35"/>
        <v>0.54980996610473554</v>
      </c>
    </row>
    <row r="713" spans="1:6" ht="15" customHeight="1">
      <c r="A713" s="18" t="str">
        <f>'F Plus CO2'!A1651</f>
        <v>6/2017</v>
      </c>
      <c r="B713" s="19">
        <f t="shared" si="33"/>
        <v>2017.4583333333333</v>
      </c>
      <c r="C713" s="20">
        <f>'F Plus CO2'!B1651</f>
        <v>58.478000000000002</v>
      </c>
      <c r="D713" s="19">
        <f>'F Plus CO2'!C1651</f>
        <v>409.08</v>
      </c>
      <c r="E713" s="19">
        <f t="shared" si="34"/>
        <v>0.71000000000000085</v>
      </c>
      <c r="F713" s="20">
        <f t="shared" si="35"/>
        <v>0.54695617814141118</v>
      </c>
    </row>
    <row r="714" spans="1:6" ht="15" customHeight="1">
      <c r="A714" s="18" t="str">
        <f>'F Plus CO2'!A1652</f>
        <v>7/2017</v>
      </c>
      <c r="B714" s="19">
        <f t="shared" si="33"/>
        <v>2017.5416666666667</v>
      </c>
      <c r="C714" s="20">
        <f>'F Plus CO2'!B1652</f>
        <v>58.676000000000002</v>
      </c>
      <c r="D714" s="19">
        <f>'F Plus CO2'!C1652</f>
        <v>407.33</v>
      </c>
      <c r="E714" s="19">
        <f t="shared" si="34"/>
        <v>0.82000000000000028</v>
      </c>
      <c r="F714" s="20">
        <f t="shared" si="35"/>
        <v>0.54077124608923599</v>
      </c>
    </row>
    <row r="715" spans="1:6" ht="15" customHeight="1">
      <c r="A715" s="18" t="str">
        <f>'F Plus CO2'!A1653</f>
        <v>8/2017</v>
      </c>
      <c r="B715" s="19">
        <f t="shared" si="33"/>
        <v>2017.625</v>
      </c>
      <c r="C715" s="20">
        <f>'F Plus CO2'!B1653</f>
        <v>58.765999999999998</v>
      </c>
      <c r="D715" s="19">
        <f>'F Plus CO2'!C1653</f>
        <v>405.32</v>
      </c>
      <c r="E715" s="19">
        <f t="shared" si="34"/>
        <v>0.86999999999999744</v>
      </c>
      <c r="F715" s="20">
        <f t="shared" si="35"/>
        <v>0.53363453792318827</v>
      </c>
    </row>
    <row r="716" spans="1:6" ht="15" customHeight="1">
      <c r="A716" s="18" t="str">
        <f>'F Plus CO2'!A1654</f>
        <v>9/2017</v>
      </c>
      <c r="B716" s="19">
        <f t="shared" si="33"/>
        <v>2017.7083333333333</v>
      </c>
      <c r="C716" s="20">
        <f>'F Plus CO2'!B1654</f>
        <v>58.531999999999996</v>
      </c>
      <c r="D716" s="19">
        <f>'F Plus CO2'!C1654</f>
        <v>403.57</v>
      </c>
      <c r="E716" s="19">
        <f t="shared" si="34"/>
        <v>0.73999999999999666</v>
      </c>
      <c r="F716" s="20">
        <f t="shared" si="35"/>
        <v>0.52739210629320266</v>
      </c>
    </row>
    <row r="717" spans="1:6" ht="15" customHeight="1">
      <c r="A717" s="18" t="str">
        <f>'F Plus CO2'!A1655</f>
        <v>10/2017</v>
      </c>
      <c r="B717" s="19">
        <f t="shared" si="33"/>
        <v>2017.7916666666667</v>
      </c>
      <c r="C717" s="20">
        <f>'F Plus CO2'!B1655</f>
        <v>58.784000000000006</v>
      </c>
      <c r="D717" s="19">
        <f>'F Plus CO2'!C1655</f>
        <v>403.82</v>
      </c>
      <c r="E717" s="19">
        <f t="shared" si="34"/>
        <v>0.88000000000000256</v>
      </c>
      <c r="F717" s="20">
        <f t="shared" si="35"/>
        <v>0.52828553765041275</v>
      </c>
    </row>
    <row r="718" spans="1:6" ht="15" customHeight="1">
      <c r="A718" s="18" t="str">
        <f>'F Plus CO2'!A1656</f>
        <v>11/2017</v>
      </c>
      <c r="B718" s="19">
        <f t="shared" si="33"/>
        <v>2017.875</v>
      </c>
      <c r="C718" s="20">
        <f>'F Plus CO2'!B1656</f>
        <v>58.765999999999998</v>
      </c>
      <c r="D718" s="19">
        <f>'F Plus CO2'!C1656</f>
        <v>405.31</v>
      </c>
      <c r="E718" s="19">
        <f t="shared" si="34"/>
        <v>0.86999999999999744</v>
      </c>
      <c r="F718" s="20">
        <f t="shared" si="35"/>
        <v>0.53359894350795678</v>
      </c>
    </row>
    <row r="719" spans="1:6" ht="15" customHeight="1">
      <c r="A719" s="18" t="str">
        <f>'F Plus CO2'!A1657</f>
        <v>12/2017</v>
      </c>
      <c r="B719" s="19">
        <f t="shared" si="33"/>
        <v>2017.9583333333333</v>
      </c>
      <c r="C719" s="20">
        <f>'F Plus CO2'!B1657</f>
        <v>58.873999999999995</v>
      </c>
      <c r="D719" s="19">
        <f>'F Plus CO2'!C1657</f>
        <v>407</v>
      </c>
      <c r="E719" s="19">
        <f t="shared" si="34"/>
        <v>0.92999999999999794</v>
      </c>
      <c r="F719" s="20">
        <f t="shared" si="35"/>
        <v>0.53960196732128063</v>
      </c>
    </row>
    <row r="720" spans="1:6" ht="15" customHeight="1">
      <c r="A720" s="18" t="str">
        <f>'F Plus CO2'!A1658</f>
        <v>1/2018</v>
      </c>
      <c r="B720" s="19">
        <f t="shared" si="33"/>
        <v>2018.0416666666667</v>
      </c>
      <c r="C720" s="20">
        <f>'F Plus CO2'!B1658</f>
        <v>58.676000000000002</v>
      </c>
      <c r="D720" s="19">
        <f>'F Plus CO2'!C1658</f>
        <v>408.15</v>
      </c>
      <c r="E720" s="19">
        <f t="shared" si="34"/>
        <v>0.82000000000000028</v>
      </c>
      <c r="F720" s="20">
        <f t="shared" si="35"/>
        <v>0.54367263013850597</v>
      </c>
    </row>
    <row r="721" spans="1:6" ht="15" customHeight="1">
      <c r="A721" s="18" t="str">
        <f>'F Plus CO2'!A1659</f>
        <v>2/2018</v>
      </c>
      <c r="B721" s="19">
        <f t="shared" si="33"/>
        <v>2018.125</v>
      </c>
      <c r="C721" s="20">
        <f>'F Plus CO2'!B1659</f>
        <v>58.730000000000004</v>
      </c>
      <c r="D721" s="19">
        <f>'F Plus CO2'!C1659</f>
        <v>408.52</v>
      </c>
      <c r="E721" s="19">
        <f t="shared" si="34"/>
        <v>0.8500000000000032</v>
      </c>
      <c r="F721" s="20">
        <f t="shared" si="35"/>
        <v>0.54497988325580371</v>
      </c>
    </row>
    <row r="722" spans="1:6" ht="15" customHeight="1">
      <c r="A722" s="18" t="str">
        <f>'F Plus CO2'!A1660</f>
        <v>3/2018</v>
      </c>
      <c r="B722" s="19">
        <f t="shared" si="33"/>
        <v>2018.2083333333333</v>
      </c>
      <c r="C722" s="20">
        <f>'F Plus CO2'!B1660</f>
        <v>58.784000000000006</v>
      </c>
      <c r="D722" s="19">
        <f>'F Plus CO2'!C1660</f>
        <v>409.59</v>
      </c>
      <c r="E722" s="19">
        <f t="shared" si="34"/>
        <v>0.88000000000000256</v>
      </c>
      <c r="F722" s="20">
        <f t="shared" si="35"/>
        <v>0.54875366569081085</v>
      </c>
    </row>
    <row r="723" spans="1:6" ht="15" customHeight="1">
      <c r="A723" s="18" t="str">
        <f>'F Plus CO2'!A1661</f>
        <v>4/2018</v>
      </c>
      <c r="B723" s="19">
        <f t="shared" si="33"/>
        <v>2018.2916666666667</v>
      </c>
      <c r="C723" s="20">
        <f>'F Plus CO2'!B1661</f>
        <v>58.784000000000006</v>
      </c>
      <c r="D723" s="19">
        <f>'F Plus CO2'!C1661</f>
        <v>410.45</v>
      </c>
      <c r="E723" s="19">
        <f t="shared" si="34"/>
        <v>0.88000000000000256</v>
      </c>
      <c r="F723" s="20">
        <f t="shared" si="35"/>
        <v>0.55177966000822387</v>
      </c>
    </row>
    <row r="724" spans="1:6" ht="15" customHeight="1">
      <c r="A724" s="18" t="str">
        <f>'F Plus CO2'!A1662</f>
        <v>5/2018</v>
      </c>
      <c r="B724" s="19">
        <f t="shared" si="33"/>
        <v>2018.375</v>
      </c>
      <c r="C724" s="20">
        <f>'F Plus CO2'!B1662</f>
        <v>58.658000000000001</v>
      </c>
      <c r="D724" s="19">
        <f>'F Plus CO2'!C1662</f>
        <v>411.44</v>
      </c>
      <c r="E724" s="19">
        <f t="shared" si="34"/>
        <v>0.81000000000000227</v>
      </c>
      <c r="F724" s="20">
        <f t="shared" si="35"/>
        <v>0.55525523163276624</v>
      </c>
    </row>
    <row r="725" spans="1:6" ht="15" customHeight="1">
      <c r="A725" s="18" t="str">
        <f>'F Plus CO2'!A1663</f>
        <v>6/2018</v>
      </c>
      <c r="B725" s="19">
        <f t="shared" si="33"/>
        <v>2018.4583333333333</v>
      </c>
      <c r="C725" s="20">
        <f>'F Plus CO2'!B1663</f>
        <v>58.585999999999999</v>
      </c>
      <c r="D725" s="19">
        <f>'F Plus CO2'!C1663</f>
        <v>410.99</v>
      </c>
      <c r="E725" s="19">
        <f t="shared" si="34"/>
        <v>0.77000000000000135</v>
      </c>
      <c r="F725" s="20">
        <f t="shared" si="35"/>
        <v>0.55367646424055572</v>
      </c>
    </row>
    <row r="726" spans="1:6" ht="15" customHeight="1">
      <c r="A726" s="18" t="str">
        <f>'F Plus CO2'!A1664</f>
        <v>7/2018</v>
      </c>
      <c r="B726" s="19">
        <f t="shared" si="33"/>
        <v>2018.5416666666667</v>
      </c>
      <c r="C726" s="20">
        <f>'F Plus CO2'!B1664</f>
        <v>58.712000000000003</v>
      </c>
      <c r="D726" s="19">
        <f>'F Plus CO2'!C1664</f>
        <v>408.9</v>
      </c>
      <c r="E726" s="19">
        <f t="shared" si="34"/>
        <v>0.83999999999999986</v>
      </c>
      <c r="F726" s="20">
        <f t="shared" si="35"/>
        <v>0.54632123569403679</v>
      </c>
    </row>
    <row r="727" spans="1:6" ht="15" customHeight="1">
      <c r="A727" s="18" t="str">
        <f>'F Plus CO2'!A1665</f>
        <v>8/2018</v>
      </c>
      <c r="B727" s="19">
        <f t="shared" si="33"/>
        <v>2018.625</v>
      </c>
      <c r="C727" s="20">
        <f>'F Plus CO2'!B1665</f>
        <v>58.603999999999999</v>
      </c>
      <c r="D727" s="19">
        <f>'F Plus CO2'!C1665</f>
        <v>407.16</v>
      </c>
      <c r="E727" s="19">
        <f t="shared" si="34"/>
        <v>0.77999999999999758</v>
      </c>
      <c r="F727" s="20">
        <f t="shared" si="35"/>
        <v>0.54016900871244178</v>
      </c>
    </row>
    <row r="728" spans="1:6" ht="15" customHeight="1">
      <c r="A728" s="18" t="str">
        <f>'F Plus CO2'!A1666</f>
        <v>9/2018</v>
      </c>
      <c r="B728" s="19">
        <f t="shared" si="33"/>
        <v>2018.7083333333333</v>
      </c>
      <c r="C728" s="20">
        <f>'F Plus CO2'!B1666</f>
        <v>58.64</v>
      </c>
      <c r="D728" s="19">
        <f>'F Plus CO2'!C1666</f>
        <v>405.71</v>
      </c>
      <c r="E728" s="19">
        <f t="shared" si="34"/>
        <v>0.79999999999999893</v>
      </c>
      <c r="F728" s="20">
        <f t="shared" si="35"/>
        <v>0.53502203557263439</v>
      </c>
    </row>
    <row r="729" spans="1:6" ht="15" customHeight="1">
      <c r="A729" s="18" t="str">
        <f>'F Plus CO2'!A1667</f>
        <v>10/2018</v>
      </c>
      <c r="B729" s="19">
        <f t="shared" si="33"/>
        <v>2018.7916666666667</v>
      </c>
      <c r="C729" s="20">
        <f>'F Plus CO2'!B1667</f>
        <v>59.036000000000001</v>
      </c>
      <c r="D729" s="19">
        <f>'F Plus CO2'!C1667</f>
        <v>406.19</v>
      </c>
      <c r="E729" s="19">
        <f t="shared" si="34"/>
        <v>1.0200000000000014</v>
      </c>
      <c r="F729" s="20">
        <f t="shared" si="35"/>
        <v>0.53672789516201203</v>
      </c>
    </row>
    <row r="730" spans="1:6" ht="15" customHeight="1">
      <c r="A730" s="18" t="str">
        <f>'F Plus CO2'!A1668</f>
        <v>11/2018</v>
      </c>
      <c r="B730" s="19">
        <f t="shared" si="33"/>
        <v>2018.875</v>
      </c>
      <c r="C730" s="20">
        <f>'F Plus CO2'!B1668</f>
        <v>58.694000000000003</v>
      </c>
      <c r="D730" s="19">
        <f>'F Plus CO2'!C1668</f>
        <v>408.21</v>
      </c>
      <c r="E730" s="19">
        <f t="shared" si="34"/>
        <v>0.83000000000000362</v>
      </c>
      <c r="F730" s="20">
        <f t="shared" si="35"/>
        <v>0.54388469761513192</v>
      </c>
    </row>
    <row r="731" spans="1:6" ht="15" customHeight="1">
      <c r="A731" s="18" t="str">
        <f>'F Plus CO2'!A1669</f>
        <v>12/2018</v>
      </c>
      <c r="B731" s="19">
        <f t="shared" si="33"/>
        <v>2018.9583333333333</v>
      </c>
      <c r="C731" s="20">
        <f>'F Plus CO2'!B1669</f>
        <v>58.873999999999995</v>
      </c>
      <c r="D731" s="19">
        <f>'F Plus CO2'!C1669</f>
        <v>409.27</v>
      </c>
      <c r="E731" s="19">
        <f t="shared" si="34"/>
        <v>0.92999999999999794</v>
      </c>
      <c r="F731" s="20">
        <f t="shared" si="35"/>
        <v>0.54762609214567415</v>
      </c>
    </row>
    <row r="732" spans="1:6" ht="15" customHeight="1">
      <c r="A732" s="18" t="str">
        <f>'F Plus CO2'!A1670</f>
        <v>1/2019</v>
      </c>
      <c r="B732" s="19">
        <f t="shared" si="33"/>
        <v>2019.0416666666667</v>
      </c>
      <c r="C732" s="20">
        <f>'F Plus CO2'!B1670</f>
        <v>58.873999999999995</v>
      </c>
      <c r="D732" s="19">
        <f>'F Plus CO2'!C1670</f>
        <v>411.03</v>
      </c>
      <c r="E732" s="19">
        <f t="shared" si="34"/>
        <v>0.92999999999999794</v>
      </c>
      <c r="F732" s="20">
        <f t="shared" si="35"/>
        <v>0.55381686910097527</v>
      </c>
    </row>
    <row r="733" spans="1:6" ht="15" customHeight="1">
      <c r="A733" s="18" t="str">
        <f>'F Plus CO2'!A1671</f>
        <v>2/2019</v>
      </c>
      <c r="B733" s="19">
        <f t="shared" si="33"/>
        <v>2019.125</v>
      </c>
      <c r="C733" s="20">
        <f>'F Plus CO2'!B1671</f>
        <v>58.927999999999997</v>
      </c>
      <c r="D733" s="19">
        <f>'F Plus CO2'!C1671</f>
        <v>411.96</v>
      </c>
      <c r="E733" s="19">
        <f t="shared" si="34"/>
        <v>0.95999999999999908</v>
      </c>
      <c r="F733" s="20">
        <f t="shared" si="35"/>
        <v>0.55707743595872172</v>
      </c>
    </row>
    <row r="734" spans="1:6" ht="15" customHeight="1">
      <c r="A734" s="18" t="str">
        <f>'F Plus CO2'!A1672</f>
        <v>3/2019</v>
      </c>
      <c r="B734" s="19">
        <f t="shared" si="33"/>
        <v>2019.2083333333333</v>
      </c>
      <c r="C734" s="20">
        <f>'F Plus CO2'!B1672</f>
        <v>59.305999999999997</v>
      </c>
      <c r="D734" s="19">
        <f>'F Plus CO2'!C1672</f>
        <v>412.18</v>
      </c>
      <c r="E734" s="19">
        <f t="shared" si="34"/>
        <v>1.1699999999999964</v>
      </c>
      <c r="F734" s="20">
        <f t="shared" si="35"/>
        <v>0.55784767624929055</v>
      </c>
    </row>
    <row r="735" spans="1:6" ht="15" customHeight="1">
      <c r="A735" s="18" t="str">
        <f>'F Plus CO2'!A1673</f>
        <v>4/2019</v>
      </c>
      <c r="B735" s="19">
        <f t="shared" si="33"/>
        <v>2019.2916666666667</v>
      </c>
      <c r="C735" s="20">
        <f>'F Plus CO2'!B1673</f>
        <v>59.018000000000001</v>
      </c>
      <c r="D735" s="19">
        <f>'F Plus CO2'!C1673</f>
        <v>413.54</v>
      </c>
      <c r="E735" s="19">
        <f t="shared" si="34"/>
        <v>1.0099999999999998</v>
      </c>
      <c r="F735" s="20">
        <f t="shared" si="35"/>
        <v>0.56260005485176923</v>
      </c>
    </row>
    <row r="736" spans="1:6" ht="15" customHeight="1">
      <c r="A736" s="18" t="str">
        <f>'F Plus CO2'!A1674</f>
        <v>5/2019</v>
      </c>
      <c r="B736" s="19">
        <f t="shared" si="33"/>
        <v>2019.375</v>
      </c>
      <c r="C736" s="20">
        <f>'F Plus CO2'!B1674</f>
        <v>58.748000000000005</v>
      </c>
      <c r="D736" s="19">
        <f>'F Plus CO2'!C1674</f>
        <v>414.86</v>
      </c>
      <c r="E736" s="19">
        <f t="shared" si="34"/>
        <v>0.86000000000000121</v>
      </c>
      <c r="F736" s="20">
        <f t="shared" si="35"/>
        <v>0.5671977348752254</v>
      </c>
    </row>
    <row r="737" spans="1:6" ht="15" customHeight="1">
      <c r="A737" s="18" t="str">
        <f>'F Plus CO2'!A1675</f>
        <v>6/2019</v>
      </c>
      <c r="B737" s="19">
        <f t="shared" si="33"/>
        <v>2019.4583333333333</v>
      </c>
      <c r="C737" s="20">
        <f>'F Plus CO2'!B1675</f>
        <v>58.82</v>
      </c>
      <c r="D737" s="19">
        <f>'F Plus CO2'!C1675</f>
        <v>414.15</v>
      </c>
      <c r="E737" s="19">
        <f t="shared" si="34"/>
        <v>0.89999999999999858</v>
      </c>
      <c r="F737" s="20">
        <f t="shared" si="35"/>
        <v>0.56472656147689648</v>
      </c>
    </row>
    <row r="738" spans="1:6" ht="15" customHeight="1">
      <c r="A738" s="18" t="str">
        <f>'F Plus CO2'!A1676</f>
        <v>7/2019</v>
      </c>
      <c r="B738" s="19">
        <f t="shared" si="33"/>
        <v>2019.5416666666667</v>
      </c>
      <c r="C738" s="20">
        <f>'F Plus CO2'!B1676</f>
        <v>58.891999999999996</v>
      </c>
      <c r="D738" s="19">
        <f>'F Plus CO2'!C1676</f>
        <v>411.96</v>
      </c>
      <c r="E738" s="19">
        <f t="shared" si="34"/>
        <v>0.93999999999999773</v>
      </c>
      <c r="F738" s="20">
        <f t="shared" si="35"/>
        <v>0.55707743595872172</v>
      </c>
    </row>
    <row r="739" spans="1:6" ht="15" customHeight="1">
      <c r="A739" s="18" t="str">
        <f>'F Plus CO2'!A1677</f>
        <v>8/2019</v>
      </c>
      <c r="B739" s="19">
        <f t="shared" si="33"/>
        <v>2019.625</v>
      </c>
      <c r="C739" s="20">
        <f>'F Plus CO2'!B1677</f>
        <v>58.91</v>
      </c>
      <c r="D739" s="19">
        <f>'F Plus CO2'!C1677</f>
        <v>410.17</v>
      </c>
      <c r="E739" s="19">
        <f t="shared" si="34"/>
        <v>0.94999999999999751</v>
      </c>
      <c r="F739" s="20">
        <f t="shared" si="35"/>
        <v>0.55079514920632977</v>
      </c>
    </row>
    <row r="740" spans="1:6" ht="15" customHeight="1">
      <c r="A740" s="18" t="str">
        <f>'F Plus CO2'!A1678</f>
        <v>9/2019</v>
      </c>
      <c r="B740" s="19">
        <f t="shared" si="33"/>
        <v>2019.7083333333333</v>
      </c>
      <c r="C740" s="20">
        <f>'F Plus CO2'!B1678</f>
        <v>58.873999999999995</v>
      </c>
      <c r="D740" s="19">
        <f>'F Plus CO2'!C1678</f>
        <v>408.76</v>
      </c>
      <c r="E740" s="19">
        <f t="shared" si="34"/>
        <v>0.92999999999999794</v>
      </c>
      <c r="F740" s="20">
        <f t="shared" si="35"/>
        <v>0.54582719830025894</v>
      </c>
    </row>
    <row r="741" spans="1:6" ht="15" customHeight="1">
      <c r="A741" s="18" t="str">
        <f>'F Plus CO2'!A1679</f>
        <v>10/2019</v>
      </c>
      <c r="B741" s="19">
        <f t="shared" si="33"/>
        <v>2019.7916666666667</v>
      </c>
      <c r="C741" s="20">
        <f>'F Plus CO2'!B1679</f>
        <v>59</v>
      </c>
      <c r="D741" s="19">
        <f>'F Plus CO2'!C1679</f>
        <v>408.74</v>
      </c>
      <c r="E741" s="19">
        <f t="shared" si="34"/>
        <v>1</v>
      </c>
      <c r="F741" s="20">
        <f t="shared" si="35"/>
        <v>0.54575660771720447</v>
      </c>
    </row>
    <row r="742" spans="1:6" ht="15" customHeight="1">
      <c r="A742" s="18" t="str">
        <f>'F Plus CO2'!A1680</f>
        <v>11/2019</v>
      </c>
      <c r="B742" s="19">
        <f t="shared" si="33"/>
        <v>2019.875</v>
      </c>
      <c r="C742" s="20">
        <f>'F Plus CO2'!B1680</f>
        <v>58.981999999999999</v>
      </c>
      <c r="D742" s="19">
        <f>'F Plus CO2'!C1680</f>
        <v>410.47</v>
      </c>
      <c r="E742" s="19">
        <f t="shared" si="34"/>
        <v>0.99000000000000021</v>
      </c>
      <c r="F742" s="20">
        <f t="shared" si="35"/>
        <v>0.55184995650684376</v>
      </c>
    </row>
    <row r="743" spans="1:6" ht="15" customHeight="1">
      <c r="A743" s="18" t="str">
        <f>'F Plus CO2'!A1681</f>
        <v>12/2019</v>
      </c>
      <c r="B743" s="19">
        <f t="shared" si="33"/>
        <v>2019.9583333333333</v>
      </c>
      <c r="C743" s="20">
        <f>'F Plus CO2'!B1681</f>
        <v>59.216000000000001</v>
      </c>
      <c r="D743" s="19">
        <f>'F Plus CO2'!C1681</f>
        <v>411.97</v>
      </c>
      <c r="E743" s="19">
        <f t="shared" si="34"/>
        <v>1.120000000000001</v>
      </c>
      <c r="F743" s="20">
        <f t="shared" si="35"/>
        <v>0.55711245580363478</v>
      </c>
    </row>
    <row r="744" spans="1:6" ht="15" customHeight="1">
      <c r="A744" s="18" t="str">
        <f>'F Plus CO2'!A1682</f>
        <v>1/2020</v>
      </c>
      <c r="B744" s="19">
        <f t="shared" si="33"/>
        <v>2020.0416666666667</v>
      </c>
      <c r="C744" s="20">
        <f>'F Plus CO2'!B1682</f>
        <v>59.323999999999998</v>
      </c>
      <c r="D744" s="19">
        <f>'F Plus CO2'!C1682</f>
        <v>413.59</v>
      </c>
      <c r="E744" s="19">
        <f t="shared" si="34"/>
        <v>1.1799999999999997</v>
      </c>
      <c r="F744" s="20">
        <f t="shared" si="35"/>
        <v>0.56277447665277325</v>
      </c>
    </row>
    <row r="745" spans="1:6" ht="15" customHeight="1">
      <c r="A745" s="18" t="str">
        <f>'F Plus CO2'!A1683</f>
        <v>2/2020</v>
      </c>
      <c r="B745" s="19">
        <f t="shared" si="33"/>
        <v>2020.125</v>
      </c>
      <c r="C745" s="20">
        <f>'F Plus CO2'!B1683</f>
        <v>59.432000000000002</v>
      </c>
      <c r="D745" s="19">
        <f>'F Plus CO2'!C1683</f>
        <v>414.32</v>
      </c>
      <c r="E745" s="19">
        <f t="shared" si="34"/>
        <v>1.240000000000002</v>
      </c>
      <c r="F745" s="20">
        <f t="shared" si="35"/>
        <v>0.5653186364111572</v>
      </c>
    </row>
    <row r="746" spans="1:6" ht="15" customHeight="1">
      <c r="A746" s="18" t="str">
        <f>'F Plus CO2'!A1684</f>
        <v>3/2020</v>
      </c>
      <c r="B746" s="19">
        <f t="shared" si="33"/>
        <v>2020.2083333333333</v>
      </c>
      <c r="C746" s="20">
        <f>'F Plus CO2'!B1684</f>
        <v>59.323999999999998</v>
      </c>
      <c r="D746" s="19">
        <f>'F Plus CO2'!C1684</f>
        <v>414.72</v>
      </c>
      <c r="E746" s="19">
        <f t="shared" si="34"/>
        <v>1.1799999999999997</v>
      </c>
      <c r="F746" s="20">
        <f t="shared" si="35"/>
        <v>0.56671079616493381</v>
      </c>
    </row>
    <row r="747" spans="1:6" ht="15" customHeight="1">
      <c r="A747" s="18" t="str">
        <f>'F Plus CO2'!A1685</f>
        <v>4/2020</v>
      </c>
      <c r="B747" s="19">
        <f t="shared" si="33"/>
        <v>2020.2916666666667</v>
      </c>
      <c r="C747" s="20">
        <f>'F Plus CO2'!B1685</f>
        <v>59.216000000000001</v>
      </c>
      <c r="D747" s="19">
        <f>'F Plus CO2'!C1685</f>
        <v>416.42</v>
      </c>
      <c r="E747" s="19">
        <f t="shared" si="34"/>
        <v>1.120000000000001</v>
      </c>
      <c r="F747" s="20">
        <f t="shared" si="35"/>
        <v>0.57261253351296471</v>
      </c>
    </row>
    <row r="748" spans="1:6" ht="15" customHeight="1">
      <c r="A748" s="18" t="str">
        <f>'F Plus CO2'!A1686</f>
        <v>5/2020</v>
      </c>
      <c r="B748" s="19">
        <f t="shared" si="33"/>
        <v>2020.375</v>
      </c>
      <c r="C748" s="20">
        <f>'F Plus CO2'!B1686</f>
        <v>58.981999999999999</v>
      </c>
      <c r="D748" s="19">
        <f>'F Plus CO2'!C1686</f>
        <v>417.28</v>
      </c>
      <c r="E748" s="19">
        <f t="shared" si="34"/>
        <v>0.99000000000000021</v>
      </c>
      <c r="F748" s="20">
        <f t="shared" si="35"/>
        <v>0.57558894751138634</v>
      </c>
    </row>
    <row r="749" spans="1:6" ht="15" customHeight="1">
      <c r="A749" s="18" t="str">
        <f>'F Plus CO2'!A1687</f>
        <v>6/2020</v>
      </c>
      <c r="B749" s="19">
        <f t="shared" si="33"/>
        <v>2020.4583333333333</v>
      </c>
      <c r="C749" s="20">
        <f>'F Plus CO2'!B1687</f>
        <v>58.838000000000001</v>
      </c>
      <c r="D749" s="19">
        <f>'F Plus CO2'!C1687</f>
        <v>416.58</v>
      </c>
      <c r="E749" s="19">
        <f t="shared" si="34"/>
        <v>0.91000000000000014</v>
      </c>
      <c r="F749" s="20">
        <f t="shared" si="35"/>
        <v>0.57316675010211449</v>
      </c>
    </row>
    <row r="750" spans="1:6" ht="15" customHeight="1">
      <c r="A750" s="18" t="str">
        <f>'F Plus CO2'!A1688</f>
        <v>7/2020</v>
      </c>
      <c r="B750" s="19">
        <f t="shared" si="33"/>
        <v>2020.5416666666667</v>
      </c>
      <c r="C750" s="20">
        <f>'F Plus CO2'!B1688</f>
        <v>58.802000000000007</v>
      </c>
      <c r="D750" s="19">
        <f>'F Plus CO2'!C1688</f>
        <v>414.58</v>
      </c>
      <c r="E750" s="19">
        <f t="shared" si="34"/>
        <v>0.8900000000000059</v>
      </c>
      <c r="F750" s="20">
        <f t="shared" si="35"/>
        <v>0.56622369304750153</v>
      </c>
    </row>
    <row r="751" spans="1:6" ht="15" customHeight="1">
      <c r="A751" s="18" t="str">
        <f>'F Plus CO2'!A1689</f>
        <v>8/2020</v>
      </c>
      <c r="B751" s="19">
        <f t="shared" si="33"/>
        <v>2020.625</v>
      </c>
      <c r="C751" s="20">
        <f>'F Plus CO2'!B1689</f>
        <v>58.748000000000005</v>
      </c>
      <c r="D751" s="19">
        <f>'F Plus CO2'!C1689</f>
        <v>412.75</v>
      </c>
      <c r="E751" s="19">
        <f t="shared" si="34"/>
        <v>0.86000000000000121</v>
      </c>
      <c r="F751" s="20">
        <f t="shared" si="35"/>
        <v>0.55984138796829153</v>
      </c>
    </row>
    <row r="752" spans="1:6" ht="15" customHeight="1">
      <c r="A752" s="18" t="str">
        <f>'F Plus CO2'!A1690</f>
        <v>9/2020</v>
      </c>
      <c r="B752" s="19">
        <f t="shared" si="33"/>
        <v>2020.7083333333333</v>
      </c>
      <c r="C752" s="20">
        <f>'F Plus CO2'!B1690</f>
        <v>58.927999999999997</v>
      </c>
      <c r="D752" s="19">
        <f>'F Plus CO2'!C1690</f>
        <v>411.5</v>
      </c>
      <c r="E752" s="19">
        <f t="shared" si="34"/>
        <v>0.95999999999999908</v>
      </c>
      <c r="F752" s="20">
        <f t="shared" si="35"/>
        <v>0.5554656034766593</v>
      </c>
    </row>
    <row r="753" spans="1:6" ht="15" customHeight="1">
      <c r="A753" s="18" t="str">
        <f>'F Plus CO2'!A1691</f>
        <v>10/2020</v>
      </c>
      <c r="B753" s="19">
        <f t="shared" si="33"/>
        <v>2020.7916666666667</v>
      </c>
      <c r="C753" s="20">
        <f>'F Plus CO2'!B1691</f>
        <v>58.765999999999998</v>
      </c>
      <c r="D753" s="19">
        <f>'F Plus CO2'!C1691</f>
        <v>411.49</v>
      </c>
      <c r="E753" s="19">
        <f t="shared" si="34"/>
        <v>0.86999999999999744</v>
      </c>
      <c r="F753" s="20">
        <f t="shared" si="35"/>
        <v>0.55543054363289546</v>
      </c>
    </row>
    <row r="754" spans="1:6" ht="15" customHeight="1">
      <c r="A754" s="18" t="str">
        <f>'F Plus CO2'!A1692</f>
        <v>11/2020</v>
      </c>
      <c r="B754" s="19">
        <f t="shared" si="33"/>
        <v>2020.875</v>
      </c>
      <c r="C754" s="20">
        <f>'F Plus CO2'!B1692</f>
        <v>59.161999999999999</v>
      </c>
      <c r="D754" s="19">
        <f>'F Plus CO2'!C1692</f>
        <v>413.1</v>
      </c>
      <c r="E754" s="19">
        <f t="shared" si="34"/>
        <v>1.0899999999999999</v>
      </c>
      <c r="F754" s="20">
        <f t="shared" si="35"/>
        <v>0.56106423302379171</v>
      </c>
    </row>
    <row r="755" spans="1:6" ht="15" customHeight="1">
      <c r="A755" s="18" t="str">
        <f>'F Plus CO2'!A1693</f>
        <v>12/2020</v>
      </c>
      <c r="B755" s="19">
        <f t="shared" si="33"/>
        <v>2020.9583333333333</v>
      </c>
      <c r="C755" s="20">
        <f>'F Plus CO2'!B1693</f>
        <v>58.64</v>
      </c>
      <c r="D755" s="19">
        <f>'F Plus CO2'!C1693</f>
        <v>414.23</v>
      </c>
      <c r="E755" s="19">
        <f t="shared" si="34"/>
        <v>0.79999999999999893</v>
      </c>
      <c r="F755" s="20">
        <f t="shared" si="35"/>
        <v>0.56500521524359781</v>
      </c>
    </row>
    <row r="756" spans="1:6" ht="15" customHeight="1">
      <c r="A756" s="18" t="str">
        <f>'F Plus CO2'!A1694</f>
        <v>1/2021</v>
      </c>
      <c r="B756" s="19">
        <f t="shared" si="33"/>
        <v>2021.0416666666667</v>
      </c>
      <c r="C756" s="20">
        <f>'F Plus CO2'!B1694</f>
        <v>58.676000000000002</v>
      </c>
      <c r="D756" s="19">
        <f>'F Plus CO2'!C1694</f>
        <v>415.49</v>
      </c>
      <c r="E756" s="19">
        <f t="shared" si="34"/>
        <v>0.82000000000000028</v>
      </c>
      <c r="F756" s="20">
        <f t="shared" si="35"/>
        <v>0.56938692750523079</v>
      </c>
    </row>
    <row r="757" spans="1:6" ht="15" customHeight="1">
      <c r="A757" s="18" t="str">
        <f>'F Plus CO2'!A1695</f>
        <v>2/2021</v>
      </c>
      <c r="B757" s="19">
        <f t="shared" si="33"/>
        <v>2021.125</v>
      </c>
      <c r="C757" s="20">
        <f>'F Plus CO2'!B1695</f>
        <v>58.352000000000004</v>
      </c>
      <c r="D757" s="19">
        <f>'F Plus CO2'!C1695</f>
        <v>416.72</v>
      </c>
      <c r="E757" s="19">
        <f t="shared" si="34"/>
        <v>0.64000000000000234</v>
      </c>
      <c r="F757" s="20">
        <f t="shared" si="35"/>
        <v>0.57365151503101131</v>
      </c>
    </row>
    <row r="758" spans="1:6" ht="15" customHeight="1">
      <c r="A758" s="18" t="str">
        <f>'F Plus CO2'!A1696</f>
        <v>3/2021</v>
      </c>
      <c r="B758" s="19">
        <f t="shared" si="33"/>
        <v>2021.2083333333333</v>
      </c>
      <c r="C758" s="20">
        <f>'F Plus CO2'!B1696</f>
        <v>58.802000000000007</v>
      </c>
      <c r="D758" s="19">
        <f>'F Plus CO2'!C1696</f>
        <v>417.61</v>
      </c>
      <c r="E758" s="19">
        <f t="shared" si="34"/>
        <v>0.8900000000000059</v>
      </c>
      <c r="F758" s="20">
        <f t="shared" si="35"/>
        <v>0.57672943161896173</v>
      </c>
    </row>
    <row r="759" spans="1:6" ht="15" customHeight="1">
      <c r="A759" s="18" t="str">
        <f>'F Plus CO2'!A1697</f>
        <v>4/2021</v>
      </c>
      <c r="B759" s="19">
        <f t="shared" si="33"/>
        <v>2021.2916666666667</v>
      </c>
      <c r="C759" s="20">
        <f>'F Plus CO2'!B1697</f>
        <v>58.567999999999998</v>
      </c>
      <c r="D759" s="19">
        <f>'F Plus CO2'!C1697</f>
        <v>419.01</v>
      </c>
      <c r="E759" s="19">
        <f t="shared" si="34"/>
        <v>0.75999999999999801</v>
      </c>
      <c r="F759" s="20">
        <f t="shared" si="35"/>
        <v>0.58155784820606116</v>
      </c>
    </row>
    <row r="760" spans="1:6" ht="15" customHeight="1">
      <c r="A760" s="18" t="str">
        <f>'F Plus CO2'!A1698</f>
        <v>5/2021</v>
      </c>
      <c r="B760" s="19">
        <f t="shared" si="33"/>
        <v>2021.375</v>
      </c>
      <c r="C760" s="20">
        <f>'F Plus CO2'!B1698</f>
        <v>58.622</v>
      </c>
      <c r="D760" s="19">
        <f>'F Plus CO2'!C1698</f>
        <v>419.09</v>
      </c>
      <c r="E760" s="19">
        <f t="shared" si="34"/>
        <v>0.79000000000000092</v>
      </c>
      <c r="F760" s="20">
        <f t="shared" si="35"/>
        <v>0.58183327024071485</v>
      </c>
    </row>
    <row r="761" spans="1:6" ht="15" customHeight="1">
      <c r="A761" s="18" t="str">
        <f>'F Plus CO2'!A1699</f>
        <v>6/2021</v>
      </c>
      <c r="B761" s="19">
        <f t="shared" si="33"/>
        <v>2021.4583333333333</v>
      </c>
      <c r="C761" s="20">
        <f>'F Plus CO2'!B1699</f>
        <v>58.730000000000004</v>
      </c>
      <c r="D761" s="19">
        <f>'F Plus CO2'!C1699</f>
        <v>418.93</v>
      </c>
      <c r="E761" s="19">
        <f t="shared" si="34"/>
        <v>0.8500000000000032</v>
      </c>
      <c r="F761" s="20">
        <f t="shared" si="35"/>
        <v>0.5812823735810958</v>
      </c>
    </row>
    <row r="762" spans="1:6" ht="15" customHeight="1">
      <c r="A762" s="18" t="str">
        <f>'F Plus CO2'!A1700</f>
        <v>7/2021</v>
      </c>
      <c r="B762" s="19">
        <f t="shared" si="33"/>
        <v>2021.5416666666667</v>
      </c>
      <c r="C762" s="20">
        <f>'F Plus CO2'!B1700</f>
        <v>58.856000000000002</v>
      </c>
      <c r="D762" s="19">
        <f>'F Plus CO2'!C1700</f>
        <v>416.9</v>
      </c>
      <c r="E762" s="19">
        <f t="shared" si="34"/>
        <v>0.91999999999999993</v>
      </c>
      <c r="F762" s="20">
        <f t="shared" si="35"/>
        <v>0.57427454497606012</v>
      </c>
    </row>
    <row r="763" spans="1:6" ht="15" customHeight="1">
      <c r="A763" s="18" t="str">
        <f>'F Plus CO2'!A1701</f>
        <v>8/2021</v>
      </c>
      <c r="B763" s="19">
        <f t="shared" si="33"/>
        <v>2021.625</v>
      </c>
      <c r="C763" s="20">
        <f>'F Plus CO2'!B1701</f>
        <v>58.658000000000001</v>
      </c>
      <c r="D763" s="19">
        <f>'F Plus CO2'!C1701</f>
        <v>414.42</v>
      </c>
      <c r="E763" s="19">
        <f t="shared" si="34"/>
        <v>0.81000000000000227</v>
      </c>
      <c r="F763" s="20">
        <f t="shared" si="35"/>
        <v>0.56566680231310262</v>
      </c>
    </row>
    <row r="764" spans="1:6" ht="15" customHeight="1">
      <c r="A764" s="18" t="str">
        <f>'F Plus CO2'!A1702</f>
        <v>9/2021</v>
      </c>
      <c r="B764" s="19">
        <f t="shared" si="33"/>
        <v>2021.7083333333333</v>
      </c>
      <c r="C764" s="20">
        <f>'F Plus CO2'!B1702</f>
        <v>58.856000000000002</v>
      </c>
      <c r="D764" s="19">
        <f>'F Plus CO2'!C1702</f>
        <v>413.26</v>
      </c>
      <c r="E764" s="19">
        <f t="shared" si="34"/>
        <v>0.91999999999999993</v>
      </c>
      <c r="F764" s="20">
        <f t="shared" si="35"/>
        <v>0.56162290287573691</v>
      </c>
    </row>
    <row r="765" spans="1:6" ht="15" customHeight="1">
      <c r="A765" s="18" t="str">
        <f>'F Plus CO2'!A1703</f>
        <v>10/2021</v>
      </c>
      <c r="B765" s="19">
        <f t="shared" si="33"/>
        <v>2021.7916666666667</v>
      </c>
      <c r="C765" s="20">
        <f>'F Plus CO2'!B1703</f>
        <v>58.963999999999999</v>
      </c>
      <c r="D765" s="19">
        <f>'F Plus CO2'!C1703</f>
        <v>413.9</v>
      </c>
      <c r="E765" s="19">
        <f t="shared" si="34"/>
        <v>0.97999999999999865</v>
      </c>
      <c r="F765" s="20">
        <f t="shared" si="35"/>
        <v>0.56385542139796185</v>
      </c>
    </row>
    <row r="766" spans="1:6" ht="15" customHeight="1">
      <c r="A766" s="18" t="str">
        <f>'F Plus CO2'!A1704</f>
        <v>11/2021</v>
      </c>
      <c r="B766" s="19">
        <f t="shared" si="33"/>
        <v>2021.875</v>
      </c>
      <c r="C766" s="20">
        <f>'F Plus CO2'!B1704</f>
        <v>58.873999999999995</v>
      </c>
      <c r="D766" s="19">
        <f>'F Plus CO2'!C1704</f>
        <v>414.97</v>
      </c>
      <c r="E766" s="19">
        <f t="shared" si="34"/>
        <v>0.92999999999999794</v>
      </c>
      <c r="F766" s="20">
        <f t="shared" si="35"/>
        <v>0.56758021431180217</v>
      </c>
    </row>
    <row r="767" spans="1:6" ht="15" customHeight="1">
      <c r="A767" s="18" t="str">
        <f>'F Plus CO2'!A1705</f>
        <v>12/2021</v>
      </c>
      <c r="B767" s="19">
        <f t="shared" si="33"/>
        <v>2021.9583333333333</v>
      </c>
      <c r="C767" s="20">
        <f>'F Plus CO2'!B1705</f>
        <v>58.784000000000006</v>
      </c>
      <c r="D767" s="19">
        <f>'F Plus CO2'!C1705</f>
        <v>416.67</v>
      </c>
      <c r="E767" s="19">
        <f t="shared" si="34"/>
        <v>0.88000000000000256</v>
      </c>
      <c r="F767" s="20">
        <f t="shared" si="35"/>
        <v>0.5734784033974879</v>
      </c>
    </row>
    <row r="768" spans="1:6" ht="15" customHeight="1">
      <c r="A768" s="18" t="str">
        <f>'F Plus CO2'!A1706</f>
        <v>1/2022</v>
      </c>
      <c r="B768" s="19">
        <f t="shared" si="33"/>
        <v>2022.0416666666667</v>
      </c>
      <c r="C768" s="20">
        <f>'F Plus CO2'!B1706</f>
        <v>58.838000000000001</v>
      </c>
      <c r="D768" s="19">
        <f>'F Plus CO2'!C1706</f>
        <v>418.13</v>
      </c>
      <c r="E768" s="19">
        <f t="shared" si="34"/>
        <v>0.91000000000000014</v>
      </c>
      <c r="F768" s="20">
        <f t="shared" si="35"/>
        <v>0.57852473043934227</v>
      </c>
    </row>
    <row r="769" spans="1:6" ht="15" customHeight="1">
      <c r="A769" s="18" t="str">
        <f>'F Plus CO2'!A1707</f>
        <v>2/2022</v>
      </c>
      <c r="B769" s="19">
        <f t="shared" si="33"/>
        <v>2022.125</v>
      </c>
      <c r="C769" s="20">
        <f>'F Plus CO2'!B1707</f>
        <v>58.802000000000007</v>
      </c>
      <c r="D769" s="19">
        <f>'F Plus CO2'!C1707</f>
        <v>419.24</v>
      </c>
      <c r="E769" s="19">
        <f t="shared" si="34"/>
        <v>0.8900000000000059</v>
      </c>
      <c r="F769" s="20">
        <f t="shared" si="35"/>
        <v>0.58234954487825097</v>
      </c>
    </row>
    <row r="770" spans="1:6" ht="15" customHeight="1">
      <c r="A770" s="18" t="str">
        <f>'F Plus CO2'!A1708</f>
        <v>3/2022</v>
      </c>
      <c r="B770" s="19">
        <f t="shared" ref="B770:B823" si="36">VALUE(RIGHT(A770,4))+(VALUE(LEFT(A770,FIND("/",A770)-1))-0.5)/12</f>
        <v>2022.2083333333333</v>
      </c>
      <c r="C770" s="20">
        <f>'F Plus CO2'!B1708</f>
        <v>59.09</v>
      </c>
      <c r="D770" s="19">
        <f>'F Plus CO2'!C1708</f>
        <v>418.76</v>
      </c>
      <c r="E770" s="19">
        <f t="shared" ref="E770:E823" si="37">(C770-32)*5/9-$I$3</f>
        <v>1.0500000000000025</v>
      </c>
      <c r="F770" s="20">
        <f t="shared" ref="F770:F823" si="38">LOG(D770/$I$4,2)</f>
        <v>0.5806968152950519</v>
      </c>
    </row>
    <row r="771" spans="1:6" ht="15" customHeight="1">
      <c r="A771" s="18" t="str">
        <f>'F Plus CO2'!A1709</f>
        <v>4/2022</v>
      </c>
      <c r="B771" s="19">
        <f t="shared" si="36"/>
        <v>2022.2916666666667</v>
      </c>
      <c r="C771" s="20">
        <f>'F Plus CO2'!B1709</f>
        <v>58.694000000000003</v>
      </c>
      <c r="D771" s="19">
        <f>'F Plus CO2'!C1709</f>
        <v>420.19</v>
      </c>
      <c r="E771" s="19">
        <f t="shared" si="37"/>
        <v>0.83000000000000362</v>
      </c>
      <c r="F771" s="20">
        <f t="shared" si="38"/>
        <v>0.5856150008995481</v>
      </c>
    </row>
    <row r="772" spans="1:6" ht="15" customHeight="1">
      <c r="A772" s="18" t="str">
        <f>'F Plus CO2'!A1710</f>
        <v>5/2022</v>
      </c>
      <c r="B772" s="19">
        <f t="shared" si="36"/>
        <v>2022.375</v>
      </c>
      <c r="C772" s="20">
        <f>'F Plus CO2'!B1710</f>
        <v>58.712000000000003</v>
      </c>
      <c r="D772" s="19">
        <f>'F Plus CO2'!C1710</f>
        <v>420.97</v>
      </c>
      <c r="E772" s="19">
        <f t="shared" si="37"/>
        <v>0.83999999999999986</v>
      </c>
      <c r="F772" s="20">
        <f t="shared" si="38"/>
        <v>0.58829059758610203</v>
      </c>
    </row>
    <row r="773" spans="1:6" ht="15" customHeight="1">
      <c r="A773" s="18" t="str">
        <f>'F Plus CO2'!A1711</f>
        <v>6/2022</v>
      </c>
      <c r="B773" s="19">
        <f t="shared" si="36"/>
        <v>2022.4583333333333</v>
      </c>
      <c r="C773" s="20">
        <f>'F Plus CO2'!B1711</f>
        <v>58.873999999999995</v>
      </c>
      <c r="D773" s="19">
        <f>'F Plus CO2'!C1711</f>
        <v>420.94</v>
      </c>
      <c r="E773" s="19">
        <f t="shared" si="37"/>
        <v>0.92999999999999794</v>
      </c>
      <c r="F773" s="20">
        <f t="shared" si="38"/>
        <v>0.58818778172396691</v>
      </c>
    </row>
    <row r="774" spans="1:6" ht="15" customHeight="1">
      <c r="A774" s="18" t="str">
        <f>'F Plus CO2'!A1712</f>
        <v>7/2022</v>
      </c>
      <c r="B774" s="19">
        <f t="shared" si="36"/>
        <v>2022.5416666666667</v>
      </c>
      <c r="C774" s="20">
        <f>'F Plus CO2'!B1712</f>
        <v>58.891999999999996</v>
      </c>
      <c r="D774" s="19">
        <f>'F Plus CO2'!C1712</f>
        <v>418.85</v>
      </c>
      <c r="E774" s="19">
        <f t="shared" si="37"/>
        <v>0.93999999999999773</v>
      </c>
      <c r="F774" s="20">
        <f t="shared" si="38"/>
        <v>0.58100684634573119</v>
      </c>
    </row>
    <row r="775" spans="1:6" ht="15" customHeight="1">
      <c r="A775" s="18" t="str">
        <f>'F Plus CO2'!A1713</f>
        <v>8/2022</v>
      </c>
      <c r="B775" s="19">
        <f t="shared" si="36"/>
        <v>2022.625</v>
      </c>
      <c r="C775" s="20">
        <f>'F Plus CO2'!B1713</f>
        <v>58.891999999999996</v>
      </c>
      <c r="D775" s="19">
        <f>'F Plus CO2'!C1713</f>
        <v>417.15</v>
      </c>
      <c r="E775" s="19">
        <f t="shared" si="37"/>
        <v>0.93999999999999773</v>
      </c>
      <c r="F775" s="20">
        <f t="shared" si="38"/>
        <v>0.57513941823551418</v>
      </c>
    </row>
    <row r="776" spans="1:6" ht="15" customHeight="1">
      <c r="A776" s="18" t="str">
        <f>'F Plus CO2'!A1714</f>
        <v>9/2022</v>
      </c>
      <c r="B776" s="19">
        <f t="shared" si="36"/>
        <v>2022.7083333333333</v>
      </c>
      <c r="C776" s="20">
        <f>'F Plus CO2'!B1714</f>
        <v>58.784000000000006</v>
      </c>
      <c r="D776" s="19">
        <f>'F Plus CO2'!C1714</f>
        <v>415.91</v>
      </c>
      <c r="E776" s="19">
        <f t="shared" si="37"/>
        <v>0.88000000000000256</v>
      </c>
      <c r="F776" s="20">
        <f t="shared" si="38"/>
        <v>0.57084454590484046</v>
      </c>
    </row>
    <row r="777" spans="1:6" ht="15" customHeight="1">
      <c r="A777" s="18" t="str">
        <f>'F Plus CO2'!A1715</f>
        <v>10/2022</v>
      </c>
      <c r="B777" s="19">
        <f t="shared" si="36"/>
        <v>2022.7916666666667</v>
      </c>
      <c r="C777" s="20">
        <f>'F Plus CO2'!B1715</f>
        <v>58.945999999999998</v>
      </c>
      <c r="D777" s="19">
        <f>'F Plus CO2'!C1715</f>
        <v>415.74</v>
      </c>
      <c r="E777" s="19">
        <f t="shared" si="37"/>
        <v>0.96999999999999886</v>
      </c>
      <c r="F777" s="20">
        <f t="shared" si="38"/>
        <v>0.57025473490173317</v>
      </c>
    </row>
    <row r="778" spans="1:6" ht="15" customHeight="1">
      <c r="A778" s="18" t="str">
        <f>'F Plus CO2'!A1716</f>
        <v>11/2022</v>
      </c>
      <c r="B778" s="19">
        <f t="shared" si="36"/>
        <v>2022.875</v>
      </c>
      <c r="C778" s="20">
        <f>'F Plus CO2'!B1716</f>
        <v>58.514000000000003</v>
      </c>
      <c r="D778" s="19">
        <f>'F Plus CO2'!C1716</f>
        <v>417.47</v>
      </c>
      <c r="E778" s="19">
        <f t="shared" si="37"/>
        <v>0.7300000000000022</v>
      </c>
      <c r="F778" s="20">
        <f t="shared" si="38"/>
        <v>0.57624569998219233</v>
      </c>
    </row>
    <row r="779" spans="1:6" ht="15" customHeight="1">
      <c r="A779" s="18" t="str">
        <f>'F Plus CO2'!A1717</f>
        <v>12/2022</v>
      </c>
      <c r="B779" s="19">
        <f t="shared" si="36"/>
        <v>2022.9583333333333</v>
      </c>
      <c r="C779" s="20">
        <f>'F Plus CO2'!B1717</f>
        <v>58.64</v>
      </c>
      <c r="D779" s="19">
        <f>'F Plus CO2'!C1717</f>
        <v>418.99</v>
      </c>
      <c r="E779" s="19">
        <f t="shared" si="37"/>
        <v>0.79999999999999893</v>
      </c>
      <c r="F779" s="20">
        <f t="shared" si="38"/>
        <v>0.5814889844809461</v>
      </c>
    </row>
    <row r="780" spans="1:6" ht="15" customHeight="1">
      <c r="A780" s="18" t="str">
        <f>'F Plus CO2'!A1718</f>
        <v>1/2023</v>
      </c>
      <c r="B780" s="19">
        <f t="shared" si="36"/>
        <v>2023.0416666666667</v>
      </c>
      <c r="C780" s="20">
        <f>'F Plus CO2'!B1718</f>
        <v>58.784000000000006</v>
      </c>
      <c r="D780" s="19">
        <f>'F Plus CO2'!C1718</f>
        <v>419.48</v>
      </c>
      <c r="E780" s="19">
        <f t="shared" si="37"/>
        <v>0.88000000000000256</v>
      </c>
      <c r="F780" s="20">
        <f t="shared" si="38"/>
        <v>0.58317520020842994</v>
      </c>
    </row>
    <row r="781" spans="1:6" ht="15" customHeight="1">
      <c r="A781" s="18" t="str">
        <f>'F Plus CO2'!A1719</f>
        <v>2/2023</v>
      </c>
      <c r="B781" s="19">
        <f t="shared" si="36"/>
        <v>2023.125</v>
      </c>
      <c r="C781" s="20">
        <f>'F Plus CO2'!B1719</f>
        <v>58.945999999999998</v>
      </c>
      <c r="D781" s="19">
        <f>'F Plus CO2'!C1719</f>
        <v>420.31</v>
      </c>
      <c r="E781" s="19">
        <f t="shared" si="37"/>
        <v>0.96999999999999886</v>
      </c>
      <c r="F781" s="20">
        <f t="shared" si="38"/>
        <v>0.58602695427511742</v>
      </c>
    </row>
    <row r="782" spans="1:6" ht="15" customHeight="1">
      <c r="A782" s="18" t="str">
        <f>'F Plus CO2'!A1720</f>
        <v>3/2023</v>
      </c>
      <c r="B782" s="19">
        <f t="shared" si="36"/>
        <v>2023.2083333333333</v>
      </c>
      <c r="C782" s="20">
        <f>'F Plus CO2'!B1720</f>
        <v>59.414000000000001</v>
      </c>
      <c r="D782" s="19">
        <f>'F Plus CO2'!C1720</f>
        <v>420.99</v>
      </c>
      <c r="E782" s="19">
        <f t="shared" si="37"/>
        <v>1.2299999999999986</v>
      </c>
      <c r="F782" s="20">
        <f t="shared" si="38"/>
        <v>0.58835913742367907</v>
      </c>
    </row>
    <row r="783" spans="1:6" ht="15" customHeight="1">
      <c r="A783" s="18" t="str">
        <f>'F Plus CO2'!A1721</f>
        <v>4/2023</v>
      </c>
      <c r="B783" s="19">
        <f t="shared" si="36"/>
        <v>2023.2916666666667</v>
      </c>
      <c r="C783" s="20">
        <f>'F Plus CO2'!B1721</f>
        <v>58.981999999999999</v>
      </c>
      <c r="D783" s="19">
        <f>'F Plus CO2'!C1721</f>
        <v>423.35</v>
      </c>
      <c r="E783" s="19">
        <f t="shared" si="37"/>
        <v>0.99000000000000021</v>
      </c>
      <c r="F783" s="20">
        <f t="shared" si="38"/>
        <v>0.59642406189270203</v>
      </c>
    </row>
    <row r="784" spans="1:6" ht="15" customHeight="1">
      <c r="A784" s="18" t="str">
        <f>'F Plus CO2'!A1722</f>
        <v>5/2023</v>
      </c>
      <c r="B784" s="19">
        <f t="shared" si="36"/>
        <v>2023.375</v>
      </c>
      <c r="C784" s="20">
        <f>'F Plus CO2'!B1722</f>
        <v>58.891999999999996</v>
      </c>
      <c r="D784" s="19">
        <f>'F Plus CO2'!C1722</f>
        <v>424</v>
      </c>
      <c r="E784" s="19">
        <f t="shared" si="37"/>
        <v>0.93999999999999773</v>
      </c>
      <c r="F784" s="20">
        <f t="shared" si="38"/>
        <v>0.59863743761823274</v>
      </c>
    </row>
    <row r="785" spans="1:6" ht="15" customHeight="1">
      <c r="A785" s="18" t="str">
        <f>'F Plus CO2'!A1723</f>
        <v>6/2023</v>
      </c>
      <c r="B785" s="19">
        <f t="shared" si="36"/>
        <v>2023.4583333333333</v>
      </c>
      <c r="C785" s="20">
        <f>'F Plus CO2'!B1723</f>
        <v>59.161999999999999</v>
      </c>
      <c r="D785" s="19">
        <f>'F Plus CO2'!C1723</f>
        <v>423.68</v>
      </c>
      <c r="E785" s="19">
        <f t="shared" si="37"/>
        <v>1.0899999999999999</v>
      </c>
      <c r="F785" s="20">
        <f t="shared" si="38"/>
        <v>0.59754820008752652</v>
      </c>
    </row>
    <row r="786" spans="1:6" ht="15" customHeight="1">
      <c r="A786" s="18" t="str">
        <f>'F Plus CO2'!A1724</f>
        <v>7/2023</v>
      </c>
      <c r="B786" s="19">
        <f t="shared" si="36"/>
        <v>2023.5416666666667</v>
      </c>
      <c r="C786" s="20">
        <f>'F Plus CO2'!B1724</f>
        <v>59.341999999999999</v>
      </c>
      <c r="D786" s="19">
        <f>'F Plus CO2'!C1724</f>
        <v>421.83</v>
      </c>
      <c r="E786" s="19">
        <f t="shared" si="37"/>
        <v>1.1899999999999977</v>
      </c>
      <c r="F786" s="20">
        <f t="shared" si="38"/>
        <v>0.59123487420164555</v>
      </c>
    </row>
    <row r="787" spans="1:6" ht="15" customHeight="1">
      <c r="A787" s="18" t="str">
        <f>'F Plus CO2'!A1725</f>
        <v>8/2023</v>
      </c>
      <c r="B787" s="19">
        <f t="shared" si="36"/>
        <v>2023.625</v>
      </c>
      <c r="C787" s="20">
        <f>'F Plus CO2'!B1725</f>
        <v>59.341999999999999</v>
      </c>
      <c r="D787" s="19">
        <f>'F Plus CO2'!C1725</f>
        <v>419.68</v>
      </c>
      <c r="E787" s="19">
        <f t="shared" si="37"/>
        <v>1.1899999999999977</v>
      </c>
      <c r="F787" s="20">
        <f t="shared" si="38"/>
        <v>0.58386288554529309</v>
      </c>
    </row>
    <row r="788" spans="1:6" ht="15" customHeight="1">
      <c r="A788" s="18" t="str">
        <f>'F Plus CO2'!A1726</f>
        <v>9/2023</v>
      </c>
      <c r="B788" s="19">
        <f t="shared" si="36"/>
        <v>2023.7083333333333</v>
      </c>
      <c r="C788" s="20">
        <f>'F Plus CO2'!B1726</f>
        <v>59.864000000000004</v>
      </c>
      <c r="D788" s="19">
        <f>'F Plus CO2'!C1726</f>
        <v>418.5</v>
      </c>
      <c r="E788" s="19">
        <f t="shared" si="37"/>
        <v>1.4800000000000022</v>
      </c>
      <c r="F788" s="20">
        <f t="shared" si="38"/>
        <v>0.57980079560537734</v>
      </c>
    </row>
    <row r="789" spans="1:6" ht="15" customHeight="1">
      <c r="A789" s="18" t="str">
        <f>'F Plus CO2'!A1727</f>
        <v>10/2023</v>
      </c>
      <c r="B789" s="19">
        <f t="shared" si="36"/>
        <v>2023.7916666666667</v>
      </c>
      <c r="C789" s="20">
        <f>'F Plus CO2'!B1727</f>
        <v>59.629999999999995</v>
      </c>
      <c r="D789" s="19">
        <f>'F Plus CO2'!C1727</f>
        <v>418.82</v>
      </c>
      <c r="E789" s="19">
        <f t="shared" si="37"/>
        <v>1.3499999999999979</v>
      </c>
      <c r="F789" s="20">
        <f t="shared" si="38"/>
        <v>0.58090351006474894</v>
      </c>
    </row>
    <row r="790" spans="1:6" ht="15" customHeight="1">
      <c r="A790" s="18" t="str">
        <f>'F Plus CO2'!A1728</f>
        <v>11/2023</v>
      </c>
      <c r="B790" s="19">
        <f t="shared" si="36"/>
        <v>2023.875</v>
      </c>
      <c r="C790" s="20">
        <f>'F Plus CO2'!B1728</f>
        <v>59.72</v>
      </c>
      <c r="D790" s="19">
        <f>'F Plus CO2'!C1728</f>
        <v>420.46</v>
      </c>
      <c r="E790" s="19">
        <f t="shared" si="37"/>
        <v>1.3999999999999986</v>
      </c>
      <c r="F790" s="20">
        <f t="shared" si="38"/>
        <v>0.58654173063114645</v>
      </c>
    </row>
    <row r="791" spans="1:6" ht="15" customHeight="1">
      <c r="A791" s="18" t="str">
        <f>'F Plus CO2'!A1729</f>
        <v>12/2023</v>
      </c>
      <c r="B791" s="19">
        <f t="shared" si="36"/>
        <v>2023.9583333333333</v>
      </c>
      <c r="C791" s="20">
        <f>'F Plus CO2'!B1729</f>
        <v>59.647999999999996</v>
      </c>
      <c r="D791" s="19">
        <f>'F Plus CO2'!C1729</f>
        <v>421.86</v>
      </c>
      <c r="E791" s="19">
        <f t="shared" si="37"/>
        <v>1.3599999999999977</v>
      </c>
      <c r="F791" s="20">
        <f t="shared" si="38"/>
        <v>0.59133747314496576</v>
      </c>
    </row>
    <row r="792" spans="1:6" ht="15" customHeight="1">
      <c r="A792" s="18" t="str">
        <f>'F Plus CO2'!A1730</f>
        <v>1/2024</v>
      </c>
      <c r="B792" s="19">
        <f t="shared" si="36"/>
        <v>2024.0416666666667</v>
      </c>
      <c r="C792" s="20">
        <f>'F Plus CO2'!B1730</f>
        <v>59.45</v>
      </c>
      <c r="D792" s="19">
        <f>'F Plus CO2'!C1730</f>
        <v>422.8</v>
      </c>
      <c r="E792" s="19">
        <f t="shared" si="37"/>
        <v>1.25</v>
      </c>
      <c r="F792" s="20">
        <f t="shared" si="38"/>
        <v>0.5945485495503543</v>
      </c>
    </row>
    <row r="793" spans="1:6" ht="15" customHeight="1">
      <c r="A793" s="18" t="str">
        <f>'F Plus CO2'!A1731</f>
        <v>2/2024</v>
      </c>
      <c r="B793" s="19">
        <f t="shared" si="36"/>
        <v>2024.125</v>
      </c>
      <c r="C793" s="20">
        <f>'F Plus CO2'!B1731</f>
        <v>59.792000000000002</v>
      </c>
      <c r="D793" s="19">
        <f>'F Plus CO2'!C1731</f>
        <v>424.55</v>
      </c>
      <c r="E793" s="19">
        <f t="shared" si="37"/>
        <v>1.4400000000000013</v>
      </c>
      <c r="F793" s="20">
        <f t="shared" si="38"/>
        <v>0.60050764534578571</v>
      </c>
    </row>
    <row r="794" spans="1:6" ht="15" customHeight="1">
      <c r="A794" s="18" t="str">
        <f>'F Plus CO2'!A1732</f>
        <v>3/2024</v>
      </c>
      <c r="B794" s="19">
        <f t="shared" si="36"/>
        <v>2024.2083333333333</v>
      </c>
      <c r="C794" s="20">
        <f>'F Plus CO2'!B1732</f>
        <v>59.72</v>
      </c>
      <c r="D794" s="19">
        <f>'F Plus CO2'!C1732</f>
        <v>425.38</v>
      </c>
      <c r="E794" s="19">
        <f t="shared" si="37"/>
        <v>1.3999999999999986</v>
      </c>
      <c r="F794" s="20">
        <f t="shared" si="38"/>
        <v>0.6033253768403416</v>
      </c>
    </row>
    <row r="795" spans="1:6" ht="15" customHeight="1">
      <c r="A795" s="18" t="str">
        <f>'F Plus CO2'!A1733</f>
        <v>4/2024</v>
      </c>
      <c r="B795" s="19">
        <f t="shared" si="36"/>
        <v>2024.2916666666667</v>
      </c>
      <c r="C795" s="20">
        <f>'F Plus CO2'!B1733</f>
        <v>59.576000000000001</v>
      </c>
      <c r="D795" s="19">
        <f>'F Plus CO2'!C1733</f>
        <v>426.51</v>
      </c>
      <c r="E795" s="19">
        <f t="shared" si="37"/>
        <v>1.3200000000000003</v>
      </c>
      <c r="F795" s="20">
        <f t="shared" si="38"/>
        <v>0.60715274035522215</v>
      </c>
    </row>
    <row r="796" spans="1:6" ht="15" customHeight="1">
      <c r="A796" s="18" t="str">
        <f>'F Plus CO2'!A1734</f>
        <v>5/2024</v>
      </c>
      <c r="B796" s="19">
        <f t="shared" si="36"/>
        <v>2024.375</v>
      </c>
      <c r="C796" s="20">
        <f>'F Plus CO2'!B1734</f>
        <v>59.287999999999997</v>
      </c>
      <c r="D796" s="19">
        <f>'F Plus CO2'!C1734</f>
        <v>426.9</v>
      </c>
      <c r="E796" s="19">
        <f t="shared" si="37"/>
        <v>1.1600000000000001</v>
      </c>
      <c r="F796" s="20">
        <f t="shared" si="38"/>
        <v>0.60847133541530962</v>
      </c>
    </row>
    <row r="797" spans="1:6" ht="15" customHeight="1">
      <c r="A797" s="18" t="str">
        <f>'F Plus CO2'!A1735</f>
        <v>6/2024</v>
      </c>
      <c r="B797" s="19">
        <f t="shared" si="36"/>
        <v>2024.4583333333333</v>
      </c>
      <c r="C797" s="20">
        <f>'F Plus CO2'!B1735</f>
        <v>59.414000000000001</v>
      </c>
      <c r="D797" s="19">
        <f>'F Plus CO2'!C1735</f>
        <v>426.91</v>
      </c>
      <c r="E797" s="19">
        <f t="shared" si="37"/>
        <v>1.2299999999999986</v>
      </c>
      <c r="F797" s="20">
        <f t="shared" si="38"/>
        <v>0.60850512970305437</v>
      </c>
    </row>
    <row r="798" spans="1:6" ht="15" customHeight="1">
      <c r="A798" s="18" t="str">
        <f>'F Plus CO2'!A1736</f>
        <v>7/2024</v>
      </c>
      <c r="B798" s="19">
        <f t="shared" si="36"/>
        <v>2024.5416666666667</v>
      </c>
      <c r="C798" s="20">
        <f>'F Plus CO2'!B1736</f>
        <v>59.36</v>
      </c>
      <c r="D798" s="19">
        <f>'F Plus CO2'!C1736</f>
        <v>425.55</v>
      </c>
      <c r="E798" s="19">
        <f t="shared" si="37"/>
        <v>1.2000000000000011</v>
      </c>
      <c r="F798" s="20">
        <f t="shared" si="38"/>
        <v>0.60390182416318638</v>
      </c>
    </row>
    <row r="799" spans="1:6" ht="15" customHeight="1">
      <c r="A799" s="18" t="str">
        <f>'F Plus CO2'!A1737</f>
        <v>8/2024</v>
      </c>
      <c r="B799" s="19">
        <f t="shared" si="36"/>
        <v>2024.625</v>
      </c>
      <c r="C799" s="20">
        <f>'F Plus CO2'!B1737</f>
        <v>59.540000000000006</v>
      </c>
      <c r="D799" s="19">
        <f>'F Plus CO2'!C1737</f>
        <v>422.99</v>
      </c>
      <c r="E799" s="19">
        <f t="shared" si="37"/>
        <v>1.3000000000000043</v>
      </c>
      <c r="F799" s="20">
        <f t="shared" si="38"/>
        <v>0.5951967295060876</v>
      </c>
    </row>
    <row r="800" spans="1:6" ht="15" customHeight="1">
      <c r="A800" s="18" t="str">
        <f>'F Plus CO2'!A1738</f>
        <v>9/2024</v>
      </c>
      <c r="B800" s="19">
        <f t="shared" si="36"/>
        <v>2024.7083333333333</v>
      </c>
      <c r="C800" s="20">
        <f>'F Plus CO2'!B1738</f>
        <v>59.378</v>
      </c>
      <c r="D800" s="19">
        <f>'F Plus CO2'!C1738</f>
        <v>422.03</v>
      </c>
      <c r="E800" s="19">
        <f t="shared" si="37"/>
        <v>1.2099999999999991</v>
      </c>
      <c r="F800" s="20">
        <f t="shared" si="38"/>
        <v>0.59191872937568002</v>
      </c>
    </row>
    <row r="801" spans="1:6" ht="15" customHeight="1">
      <c r="A801" s="18" t="str">
        <f>'F Plus CO2'!A1739</f>
        <v>10/2024</v>
      </c>
      <c r="B801" s="19">
        <f t="shared" si="36"/>
        <v>2024.7916666666667</v>
      </c>
      <c r="C801" s="20">
        <f>'F Plus CO2'!B1739</f>
        <v>59.629999999999995</v>
      </c>
      <c r="D801" s="19">
        <f>'F Plus CO2'!C1739</f>
        <v>422.38</v>
      </c>
      <c r="E801" s="19">
        <f t="shared" si="37"/>
        <v>1.3499999999999979</v>
      </c>
      <c r="F801" s="20">
        <f t="shared" si="38"/>
        <v>0.59311469648461523</v>
      </c>
    </row>
    <row r="802" spans="1:6" ht="15" customHeight="1">
      <c r="A802" s="18" t="str">
        <f>'F Plus CO2'!A1740</f>
        <v>11/2024</v>
      </c>
      <c r="B802" s="19">
        <f t="shared" si="36"/>
        <v>2024.875</v>
      </c>
      <c r="C802" s="20">
        <f>'F Plus CO2'!B1740</f>
        <v>59.540000000000006</v>
      </c>
      <c r="D802" s="19">
        <f>'F Plus CO2'!C1740</f>
        <v>423.85</v>
      </c>
      <c r="E802" s="19">
        <f t="shared" si="37"/>
        <v>1.3000000000000043</v>
      </c>
      <c r="F802" s="20">
        <f t="shared" si="38"/>
        <v>0.59812695991960418</v>
      </c>
    </row>
    <row r="803" spans="1:6" ht="15" customHeight="1">
      <c r="A803" s="18" t="str">
        <f>'F Plus CO2'!A1741</f>
        <v>12/2024</v>
      </c>
      <c r="B803" s="19">
        <f t="shared" si="36"/>
        <v>2024.9583333333333</v>
      </c>
      <c r="C803" s="20">
        <f>'F Plus CO2'!B1741</f>
        <v>59.486000000000004</v>
      </c>
      <c r="D803" s="19">
        <f>'F Plus CO2'!C1741</f>
        <v>425.4</v>
      </c>
      <c r="E803" s="19">
        <f t="shared" si="37"/>
        <v>1.2700000000000014</v>
      </c>
      <c r="F803" s="20">
        <f t="shared" si="38"/>
        <v>0.60339320612834335</v>
      </c>
    </row>
    <row r="804" spans="1:6" ht="15" customHeight="1">
      <c r="A804" s="18" t="str">
        <f>'F Plus CO2'!A1742</f>
        <v>1/2025</v>
      </c>
      <c r="B804" s="19">
        <f t="shared" si="36"/>
        <v>2025.0416666666667</v>
      </c>
      <c r="C804" s="20">
        <f>'F Plus CO2'!B1742</f>
        <v>59.683999999999997</v>
      </c>
      <c r="D804" s="19">
        <f>'F Plus CO2'!C1742</f>
        <v>426.65</v>
      </c>
      <c r="E804" s="19">
        <f t="shared" si="37"/>
        <v>1.379999999999999</v>
      </c>
      <c r="F804" s="20">
        <f t="shared" si="38"/>
        <v>0.60762622084548734</v>
      </c>
    </row>
    <row r="805" spans="1:6" ht="15" customHeight="1">
      <c r="A805" s="18" t="str">
        <f>'F Plus CO2'!A1743</f>
        <v>2/2025</v>
      </c>
      <c r="B805" s="19">
        <f t="shared" si="36"/>
        <v>2025.125</v>
      </c>
      <c r="C805" s="20">
        <f>'F Plus CO2'!B1743</f>
        <v>59.468000000000004</v>
      </c>
      <c r="D805" s="19">
        <f>'F Plus CO2'!C1743</f>
        <v>427.09</v>
      </c>
      <c r="E805" s="19">
        <f t="shared" si="37"/>
        <v>1.2600000000000033</v>
      </c>
      <c r="F805" s="20">
        <f t="shared" si="38"/>
        <v>0.60911329155599458</v>
      </c>
    </row>
    <row r="806" spans="1:6" ht="15" customHeight="1">
      <c r="A806" s="18" t="str">
        <f>'F Plus CO2'!A1744</f>
        <v>3/2025</v>
      </c>
      <c r="B806" s="19">
        <f t="shared" si="36"/>
        <v>2025.2083333333333</v>
      </c>
      <c r="C806" s="20">
        <f>'F Plus CO2'!B1744</f>
        <v>59.666000000000004</v>
      </c>
      <c r="D806" s="19">
        <f>'F Plus CO2'!C1744</f>
        <v>428.15</v>
      </c>
      <c r="E806" s="19">
        <f t="shared" si="37"/>
        <v>1.370000000000001</v>
      </c>
      <c r="F806" s="20">
        <f t="shared" si="38"/>
        <v>0.61268949829656494</v>
      </c>
    </row>
    <row r="807" spans="1:6" ht="15" customHeight="1">
      <c r="A807" s="18" t="str">
        <f>'F Plus CO2'!A1745</f>
        <v>4/2025</v>
      </c>
      <c r="B807" s="19">
        <f t="shared" si="36"/>
        <v>2025.2916666666667</v>
      </c>
      <c r="C807" s="20">
        <f>'F Plus CO2'!B1745</f>
        <v>59.45</v>
      </c>
      <c r="D807" s="19">
        <f>'F Plus CO2'!C1745</f>
        <v>429.64</v>
      </c>
      <c r="E807" s="19">
        <f t="shared" si="37"/>
        <v>1.25</v>
      </c>
      <c r="F807" s="20">
        <f t="shared" si="38"/>
        <v>0.61770148904698363</v>
      </c>
    </row>
    <row r="808" spans="1:6" ht="15" customHeight="1">
      <c r="A808" s="18" t="str">
        <f>'F Plus CO2'!A1746</f>
        <v>5/2025</v>
      </c>
      <c r="B808" s="19">
        <f t="shared" si="36"/>
        <v>2025.375</v>
      </c>
      <c r="C808" s="20">
        <f>'F Plus CO2'!B1746</f>
        <v>59.144000000000005</v>
      </c>
      <c r="D808" s="19">
        <f>'F Plus CO2'!C1746</f>
        <v>430.51</v>
      </c>
      <c r="E808" s="19">
        <f t="shared" si="37"/>
        <v>1.0800000000000036</v>
      </c>
      <c r="F808" s="20">
        <f t="shared" si="38"/>
        <v>0.62061992214258854</v>
      </c>
    </row>
    <row r="809" spans="1:6" ht="15" customHeight="1">
      <c r="A809" s="18" t="str">
        <f>'F Plus CO2'!A1747</f>
        <v>6/2025</v>
      </c>
      <c r="B809" s="19">
        <f t="shared" si="36"/>
        <v>2025.4583333333333</v>
      </c>
      <c r="C809" s="20">
        <f>'F Plus CO2'!B1747</f>
        <v>59.126000000000005</v>
      </c>
      <c r="D809" s="19">
        <f>'F Plus CO2'!C1747</f>
        <v>429.61</v>
      </c>
      <c r="E809" s="19">
        <f t="shared" si="37"/>
        <v>1.0700000000000021</v>
      </c>
      <c r="F809" s="20">
        <f t="shared" si="38"/>
        <v>0.61760074804903375</v>
      </c>
    </row>
    <row r="810" spans="1:6" ht="15" customHeight="1">
      <c r="A810" s="18" t="str">
        <f>'F Plus CO2'!A1748</f>
        <v>7/2025</v>
      </c>
      <c r="B810" s="19">
        <f t="shared" si="36"/>
        <v>2025.5416666666667</v>
      </c>
      <c r="C810" s="20">
        <f>'F Plus CO2'!B1748</f>
        <v>59.036000000000001</v>
      </c>
      <c r="D810" s="19">
        <f>'F Plus CO2'!C1748</f>
        <v>427.87</v>
      </c>
      <c r="E810" s="19">
        <f t="shared" si="37"/>
        <v>1.0200000000000014</v>
      </c>
      <c r="F810" s="20">
        <f t="shared" si="38"/>
        <v>0.61174570112861226</v>
      </c>
    </row>
    <row r="811" spans="1:6" ht="15" customHeight="1">
      <c r="A811" s="18" t="str">
        <f>'F Plus CO2'!A1749</f>
        <v>8/2025</v>
      </c>
      <c r="B811" s="19">
        <f t="shared" si="36"/>
        <v>2025.625</v>
      </c>
      <c r="C811" s="20">
        <f>'F Plus CO2'!B1749</f>
        <v>59.323999999999998</v>
      </c>
      <c r="D811" s="19">
        <f>'F Plus CO2'!C1749</f>
        <v>425.48</v>
      </c>
      <c r="E811" s="19">
        <f t="shared" si="37"/>
        <v>1.1799999999999997</v>
      </c>
      <c r="F811" s="20">
        <f t="shared" si="38"/>
        <v>0.60366449139444733</v>
      </c>
    </row>
    <row r="812" spans="1:6" ht="15" customHeight="1">
      <c r="A812" s="18" t="str">
        <f>'F Plus CO2'!A1750</f>
        <v>9/2025</v>
      </c>
      <c r="B812" s="19">
        <f t="shared" si="36"/>
        <v>2025.7083333333333</v>
      </c>
      <c r="C812" s="20">
        <f>'F Plus CO2'!B1750</f>
        <v>59.45</v>
      </c>
      <c r="D812" s="19">
        <f>'F Plus CO2'!C1750</f>
        <v>424.37</v>
      </c>
      <c r="E812" s="19">
        <f t="shared" si="37"/>
        <v>1.25</v>
      </c>
      <c r="F812" s="20">
        <f t="shared" si="38"/>
        <v>0.59989584420727626</v>
      </c>
    </row>
    <row r="813" spans="1:6" ht="15" customHeight="1">
      <c r="A813" s="18" t="str">
        <f>'F Plus CO2'!A1751</f>
        <v>10/2025</v>
      </c>
      <c r="B813" s="19">
        <f t="shared" si="36"/>
        <v>2025.7916666666667</v>
      </c>
      <c r="C813" s="20">
        <f>'F Plus CO2'!B1751</f>
        <v>59.341999999999999</v>
      </c>
      <c r="D813" s="19">
        <f>'F Plus CO2'!C1751</f>
        <v>424.87</v>
      </c>
      <c r="E813" s="19">
        <f t="shared" si="37"/>
        <v>1.1899999999999977</v>
      </c>
      <c r="F813" s="20">
        <f t="shared" si="38"/>
        <v>0.60159465162047843</v>
      </c>
    </row>
    <row r="814" spans="1:6" ht="15" customHeight="1">
      <c r="A814" s="18" t="str">
        <f>'F Plus CO2'!A1752</f>
        <v>11/2025</v>
      </c>
      <c r="B814" s="19">
        <f t="shared" si="36"/>
        <v>2025.875</v>
      </c>
      <c r="C814" s="20">
        <f>'F Plus CO2'!B1752</f>
        <v>59.378</v>
      </c>
      <c r="D814" s="19">
        <f>'F Plus CO2'!C1752</f>
        <v>426.46</v>
      </c>
      <c r="E814" s="19">
        <f t="shared" si="37"/>
        <v>1.2099999999999991</v>
      </c>
      <c r="F814" s="20">
        <f t="shared" si="38"/>
        <v>0.60698360251420269</v>
      </c>
    </row>
    <row r="815" spans="1:6" ht="15" customHeight="1">
      <c r="A815" s="18" t="str">
        <f>'F Plus CO2'!A1753</f>
        <v>12/2025</v>
      </c>
      <c r="B815" s="19">
        <f t="shared" si="36"/>
        <v>2025.9583333333333</v>
      </c>
      <c r="C815" s="20">
        <f>'F Plus CO2'!B1753</f>
        <v>59.108000000000004</v>
      </c>
      <c r="D815" s="19">
        <f>'F Plus CO2'!C1753</f>
        <v>427.49</v>
      </c>
      <c r="E815" s="19">
        <f t="shared" si="37"/>
        <v>1.0600000000000023</v>
      </c>
      <c r="F815" s="20">
        <f t="shared" si="38"/>
        <v>0.61046384518116448</v>
      </c>
    </row>
    <row r="816" spans="1:6" ht="15" customHeight="1">
      <c r="A816" s="18" t="str">
        <f>'F Plus CO2'!A1754</f>
        <v>1/2026</v>
      </c>
      <c r="B816" s="19">
        <f t="shared" si="36"/>
        <v>2026.0416666666667</v>
      </c>
      <c r="C816" s="20">
        <f>'F Plus CO2'!B1754</f>
        <v>59.161999999999999</v>
      </c>
      <c r="D816" s="19">
        <f>'F Plus CO2'!C1754</f>
        <v>428.62</v>
      </c>
      <c r="E816" s="19">
        <f t="shared" si="37"/>
        <v>1.0899999999999999</v>
      </c>
      <c r="F816" s="20">
        <f t="shared" si="38"/>
        <v>0.61427234255403185</v>
      </c>
    </row>
    <row r="817" spans="1:6" ht="15" customHeight="1">
      <c r="A817" s="18" t="str">
        <f>'F Plus CO2'!A1755</f>
        <v>2/2026</v>
      </c>
      <c r="B817" s="19">
        <f t="shared" si="36"/>
        <v>2026.125</v>
      </c>
      <c r="C817" s="20">
        <f>'F Plus CO2'!B1755</f>
        <v>59.45</v>
      </c>
      <c r="D817" s="19">
        <f>'F Plus CO2'!C1755</f>
        <v>429.35</v>
      </c>
      <c r="E817" s="19">
        <f t="shared" si="37"/>
        <v>1.25</v>
      </c>
      <c r="F817" s="20">
        <f t="shared" si="38"/>
        <v>0.61672736460373478</v>
      </c>
    </row>
    <row r="818" spans="1:6" ht="15" customHeight="1">
      <c r="A818" s="18" t="str">
        <f>'F Plus CO2'!A1756</f>
        <v>3/2026</v>
      </c>
      <c r="B818" s="19">
        <f t="shared" si="36"/>
        <v>2026.2083333333333</v>
      </c>
      <c r="C818" s="20">
        <f>'F Plus CO2'!B1756</f>
        <v>59.576000000000001</v>
      </c>
      <c r="D818" s="19">
        <f>'F Plus CO2'!C1756</f>
        <v>430.15</v>
      </c>
      <c r="E818" s="19">
        <f t="shared" si="37"/>
        <v>1.3200000000000003</v>
      </c>
      <c r="F818" s="20">
        <f t="shared" si="38"/>
        <v>0.61941301059793685</v>
      </c>
    </row>
    <row r="819" spans="1:6" ht="15" customHeight="1">
      <c r="A819" s="18" t="str">
        <f>'F Plus CO2'!A1757</f>
        <v>4/2026</v>
      </c>
      <c r="B819" s="19">
        <f t="shared" si="36"/>
        <v>2026.2916666666667</v>
      </c>
      <c r="C819" s="20">
        <f>'F Plus CO2'!B1757</f>
        <v>59.305999999999997</v>
      </c>
      <c r="D819" s="19">
        <f>'F Plus CO2'!C1757</f>
        <v>431.12</v>
      </c>
      <c r="E819" s="19">
        <f t="shared" si="37"/>
        <v>1.1699999999999964</v>
      </c>
      <c r="F819" s="20">
        <f t="shared" si="38"/>
        <v>0.6226626646700556</v>
      </c>
    </row>
    <row r="820" spans="1:6" ht="15" customHeight="1">
      <c r="A820" s="18" t="str">
        <f>'F Plus CO2'!A1758</f>
        <v>5/2026</v>
      </c>
      <c r="B820" s="19">
        <f t="shared" si="36"/>
        <v>2026.375</v>
      </c>
      <c r="C820" s="20">
        <f>'F Plus CO2'!B1758</f>
        <v>59.233999999999995</v>
      </c>
      <c r="D820" s="19">
        <f>'F Plus CO2'!C1758</f>
        <v>432.34</v>
      </c>
      <c r="E820" s="19">
        <f t="shared" si="37"/>
        <v>1.1299999999999955</v>
      </c>
      <c r="F820" s="20">
        <f t="shared" si="38"/>
        <v>0.62673949306079169</v>
      </c>
    </row>
    <row r="821" spans="1:6" ht="15" customHeight="1">
      <c r="A821" s="18" t="str">
        <f>'F Plus CO2'!A1759</f>
        <v>6/2026</v>
      </c>
      <c r="B821" s="19">
        <f t="shared" si="36"/>
        <v>2026.4583333333333</v>
      </c>
      <c r="C821" s="20">
        <f>'F Plus CO2'!B1759</f>
        <v>59.323999999999998</v>
      </c>
      <c r="D821" s="19">
        <f>'F Plus CO2'!C1759</f>
        <v>431.43</v>
      </c>
      <c r="E821" s="19">
        <f t="shared" si="37"/>
        <v>1.1799999999999997</v>
      </c>
      <c r="F821" s="20">
        <f t="shared" si="38"/>
        <v>0.6236996723378585</v>
      </c>
    </row>
    <row r="822" spans="1:6" ht="15" customHeight="1">
      <c r="A822" s="18" t="str">
        <f>'F Plus CO2'!A1760</f>
        <v>7/2026</v>
      </c>
      <c r="B822" s="19">
        <f t="shared" si="36"/>
        <v>2026.5416666666667</v>
      </c>
      <c r="C822" s="20">
        <f>'F Plus CO2'!B1760</f>
        <v>59.45</v>
      </c>
      <c r="D822" s="19">
        <f>'F Plus CO2'!C1760</f>
        <v>429.13</v>
      </c>
      <c r="E822" s="19">
        <f t="shared" si="37"/>
        <v>1.25</v>
      </c>
      <c r="F822" s="20">
        <f t="shared" si="38"/>
        <v>0.61598793464393697</v>
      </c>
    </row>
    <row r="823" spans="1:6" ht="15" customHeight="1">
      <c r="A823" s="18" t="str">
        <f>'F Plus CO2'!A1761</f>
        <v>8/2026</v>
      </c>
      <c r="B823" s="19">
        <f t="shared" si="36"/>
        <v>2026.625</v>
      </c>
      <c r="C823" s="20">
        <f>'F Plus CO2'!B1761</f>
        <v>59.72</v>
      </c>
      <c r="D823" s="19">
        <f>'F Plus CO2'!C1761</f>
        <v>427.55</v>
      </c>
      <c r="E823" s="19">
        <f t="shared" si="37"/>
        <v>1.3999999999999986</v>
      </c>
      <c r="F823" s="20">
        <f t="shared" si="38"/>
        <v>0.61066631922353776</v>
      </c>
    </row>
  </sheetData>
  <pageMargins left="0.75" right="0.75" top="1" bottom="1"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E63F-1C92-47DC-A6D7-D7582EC4DF38}">
  <dimension ref="A1:L68"/>
  <sheetViews>
    <sheetView zoomScaleNormal="100" workbookViewId="0">
      <pane ySplit="1" topLeftCell="A2" activePane="bottomLeft" state="frozen"/>
      <selection pane="bottomLeft"/>
    </sheetView>
  </sheetViews>
  <sheetFormatPr defaultColWidth="8.5703125" defaultRowHeight="15"/>
  <cols>
    <col min="1" max="1" width="7" customWidth="1"/>
    <col min="2" max="2" width="8" customWidth="1"/>
    <col min="3" max="3" width="14" customWidth="1"/>
    <col min="4" max="4" width="16" customWidth="1"/>
    <col min="5" max="5" width="17" customWidth="1"/>
    <col min="6" max="8" width="22" customWidth="1"/>
    <col min="9" max="9" width="3" customWidth="1"/>
    <col min="10" max="10" width="40" customWidth="1"/>
    <col min="11" max="12" width="18" customWidth="1"/>
  </cols>
  <sheetData>
    <row r="1" spans="1:11" ht="15" customHeight="1">
      <c r="A1" s="17" t="s">
        <v>49</v>
      </c>
      <c r="B1" s="17" t="s">
        <v>10</v>
      </c>
      <c r="C1" s="17" t="s">
        <v>1854</v>
      </c>
      <c r="D1" s="17" t="s">
        <v>1855</v>
      </c>
      <c r="E1" s="17" t="s">
        <v>1856</v>
      </c>
      <c r="F1" s="17" t="s">
        <v>1857</v>
      </c>
      <c r="G1" s="17" t="s">
        <v>1858</v>
      </c>
      <c r="H1" s="17" t="s">
        <v>1859</v>
      </c>
    </row>
    <row r="2" spans="1:11" ht="15" customHeight="1">
      <c r="A2" s="24">
        <v>1959</v>
      </c>
      <c r="B2" s="22">
        <f>COUNTIFS(Analysis!$B$2:$B$823,"&gt;="&amp;A2,Analysis!$B$2:$B$823,"&lt;"&amp;(A2+1))</f>
        <v>12</v>
      </c>
      <c r="C2" s="19">
        <f>AVERAGEIFS(Analysis!$D$2:$D$823,Analysis!$B$2:$B$823,"&gt;="&amp;A2,Analysis!$B$2:$B$823,"&lt;"&amp;(A2+1))</f>
        <v>315.98166666666668</v>
      </c>
      <c r="D2" s="20">
        <f>AVERAGEIFS(Analysis!$E$2:$E$823,Analysis!$B$2:$B$823,"&gt;="&amp;A2,Analysis!$B$2:$B$823,"&lt;"&amp;(A2+1))</f>
        <v>3.0833333333332824E-2</v>
      </c>
      <c r="E2" s="25">
        <f>AVERAGEIFS(Analysis!$F$2:$F$823,Analysis!$B$2:$B$823,"&gt;="&amp;A2,Analysis!$B$2:$B$823,"&lt;"&amp;(A2+1))</f>
        <v>0.17439669687104098</v>
      </c>
      <c r="F2" s="20">
        <f t="shared" ref="F2:F33" si="0">D2-($K$8+$K$9*A2)</f>
        <v>0.22531826163301272</v>
      </c>
      <c r="G2" s="25">
        <f t="shared" ref="G2:G33" si="1">E2-($K$10+$K$11*A2)</f>
        <v>3.1613392516851468E-2</v>
      </c>
      <c r="H2" s="20">
        <f t="shared" ref="H2:H33" si="2">D2-($K$5+$K$4*E2)</f>
        <v>0.14510475874037193</v>
      </c>
      <c r="J2" s="17" t="s">
        <v>1860</v>
      </c>
    </row>
    <row r="3" spans="1:11" ht="15" customHeight="1">
      <c r="A3" s="24">
        <v>1960</v>
      </c>
      <c r="B3" s="22">
        <f>COUNTIFS(Analysis!$B$2:$B$823,"&gt;="&amp;A3,Analysis!$B$2:$B$823,"&lt;"&amp;(A3+1))</f>
        <v>12</v>
      </c>
      <c r="C3" s="19">
        <f>AVERAGEIFS(Analysis!$D$2:$D$823,Analysis!$B$2:$B$823,"&gt;="&amp;A3,Analysis!$B$2:$B$823,"&lt;"&amp;(A3+1))</f>
        <v>316.90833333333336</v>
      </c>
      <c r="D3" s="20">
        <f>AVERAGEIFS(Analysis!$E$2:$E$823,Analysis!$B$2:$B$823,"&gt;="&amp;A3,Analysis!$B$2:$B$823,"&lt;"&amp;(A3+1))</f>
        <v>-2.4999999999999616E-2</v>
      </c>
      <c r="E3" s="25">
        <f>AVERAGEIFS(Analysis!$F$2:$F$823,Analysis!$B$2:$B$823,"&gt;="&amp;A3,Analysis!$B$2:$B$823,"&lt;"&amp;(A3+1))</f>
        <v>0.17861133837791365</v>
      </c>
      <c r="F3" s="20">
        <f t="shared" si="0"/>
        <v>0.15148455583047746</v>
      </c>
      <c r="G3" s="25">
        <f t="shared" si="1"/>
        <v>2.9192643763129467E-2</v>
      </c>
      <c r="H3" s="20">
        <f t="shared" si="2"/>
        <v>7.7713240994949487E-2</v>
      </c>
      <c r="J3" s="18" t="s">
        <v>1861</v>
      </c>
      <c r="K3" s="22">
        <f>COUNT($D$2:$D$68)</f>
        <v>67</v>
      </c>
    </row>
    <row r="4" spans="1:11" ht="15" customHeight="1">
      <c r="A4" s="24">
        <v>1961</v>
      </c>
      <c r="B4" s="22">
        <f>COUNTIFS(Analysis!$B$2:$B$823,"&gt;="&amp;A4,Analysis!$B$2:$B$823,"&lt;"&amp;(A4+1))</f>
        <v>12</v>
      </c>
      <c r="C4" s="19">
        <f>AVERAGEIFS(Analysis!$D$2:$D$823,Analysis!$B$2:$B$823,"&gt;="&amp;A4,Analysis!$B$2:$B$823,"&lt;"&amp;(A4+1))</f>
        <v>317.64333333333337</v>
      </c>
      <c r="D4" s="20">
        <f>AVERAGEIFS(Analysis!$E$2:$E$823,Analysis!$B$2:$B$823,"&gt;="&amp;A4,Analysis!$B$2:$B$823,"&lt;"&amp;(A4+1))</f>
        <v>5.6666666666666345E-2</v>
      </c>
      <c r="E4" s="25">
        <f>AVERAGEIFS(Analysis!$F$2:$F$823,Analysis!$B$2:$B$823,"&gt;="&amp;A4,Analysis!$B$2:$B$823,"&lt;"&amp;(A4+1))</f>
        <v>0.18196022855888627</v>
      </c>
      <c r="F4" s="20">
        <f t="shared" si="0"/>
        <v>0.21515085002794057</v>
      </c>
      <c r="G4" s="25">
        <f t="shared" si="1"/>
        <v>2.590614368350741E-2</v>
      </c>
      <c r="H4" s="20">
        <f t="shared" si="2"/>
        <v>0.15019594973200259</v>
      </c>
      <c r="J4" s="18" t="s">
        <v>1843</v>
      </c>
      <c r="K4" s="20">
        <f>SLOPE($D$2:$D$68,$E$2:$E$68)</f>
        <v>2.7423885028518846</v>
      </c>
    </row>
    <row r="5" spans="1:11" ht="15" customHeight="1">
      <c r="A5" s="24">
        <v>1962</v>
      </c>
      <c r="B5" s="22">
        <f>COUNTIFS(Analysis!$B$2:$B$823,"&gt;="&amp;A5,Analysis!$B$2:$B$823,"&lt;"&amp;(A5+1))</f>
        <v>12</v>
      </c>
      <c r="C5" s="19">
        <f>AVERAGEIFS(Analysis!$D$2:$D$823,Analysis!$B$2:$B$823,"&gt;="&amp;A5,Analysis!$B$2:$B$823,"&lt;"&amp;(A5+1))</f>
        <v>318.45333333333332</v>
      </c>
      <c r="D5" s="20">
        <f>AVERAGEIFS(Analysis!$E$2:$E$823,Analysis!$B$2:$B$823,"&gt;="&amp;A5,Analysis!$B$2:$B$823,"&lt;"&amp;(A5+1))</f>
        <v>3.0833333333334007E-2</v>
      </c>
      <c r="E5" s="25">
        <f>AVERAGEIFS(Analysis!$F$2:$F$823,Analysis!$B$2:$B$823,"&gt;="&amp;A5,Analysis!$B$2:$B$823,"&lt;"&amp;(A5+1))</f>
        <v>0.18563275308825636</v>
      </c>
      <c r="F5" s="20">
        <f t="shared" si="0"/>
        <v>0.17131714422540542</v>
      </c>
      <c r="G5" s="25">
        <f t="shared" si="1"/>
        <v>2.294327795228282E-2</v>
      </c>
      <c r="H5" s="20">
        <f t="shared" si="2"/>
        <v>0.11429112735288423</v>
      </c>
      <c r="J5" s="18" t="s">
        <v>1862</v>
      </c>
      <c r="K5" s="20">
        <f>INTERCEPT($D$2:$D$68,$E$2:$E$68)</f>
        <v>-0.59253492184152712</v>
      </c>
    </row>
    <row r="6" spans="1:11" ht="15" customHeight="1">
      <c r="A6" s="24">
        <v>1963</v>
      </c>
      <c r="B6" s="22">
        <f>COUNTIFS(Analysis!$B$2:$B$823,"&gt;="&amp;A6,Analysis!$B$2:$B$823,"&lt;"&amp;(A6+1))</f>
        <v>12</v>
      </c>
      <c r="C6" s="19">
        <f>AVERAGEIFS(Analysis!$D$2:$D$823,Analysis!$B$2:$B$823,"&gt;="&amp;A6,Analysis!$B$2:$B$823,"&lt;"&amp;(A6+1))</f>
        <v>318.99250000000001</v>
      </c>
      <c r="D6" s="20">
        <f>AVERAGEIFS(Analysis!$E$2:$E$823,Analysis!$B$2:$B$823,"&gt;="&amp;A6,Analysis!$B$2:$B$823,"&lt;"&amp;(A6+1))</f>
        <v>5.4166666666666995E-2</v>
      </c>
      <c r="E6" s="25">
        <f>AVERAGEIFS(Analysis!$F$2:$F$823,Analysis!$B$2:$B$823,"&gt;="&amp;A6,Analysis!$B$2:$B$823,"&lt;"&amp;(A6+1))</f>
        <v>0.18806837681949565</v>
      </c>
      <c r="F6" s="20">
        <f t="shared" si="0"/>
        <v>0.17665010508952847</v>
      </c>
      <c r="G6" s="25">
        <f t="shared" si="1"/>
        <v>1.8743511422927434E-2</v>
      </c>
      <c r="H6" s="20">
        <f t="shared" si="2"/>
        <v>0.1309450341683934</v>
      </c>
      <c r="J6" s="18" t="s">
        <v>1863</v>
      </c>
      <c r="K6" s="20">
        <f>RSQ($D$2:$D$68,$E$2:$E$68)</f>
        <v>0.93091854237560612</v>
      </c>
    </row>
    <row r="7" spans="1:11" ht="15" customHeight="1">
      <c r="A7" s="24">
        <v>1964</v>
      </c>
      <c r="B7" s="22">
        <f>COUNTIFS(Analysis!$B$2:$B$823,"&gt;="&amp;A7,Analysis!$B$2:$B$823,"&lt;"&amp;(A7+1))</f>
        <v>12</v>
      </c>
      <c r="C7" s="19">
        <f>AVERAGEIFS(Analysis!$D$2:$D$823,Analysis!$B$2:$B$823,"&gt;="&amp;A7,Analysis!$B$2:$B$823,"&lt;"&amp;(A7+1))</f>
        <v>319.62</v>
      </c>
      <c r="D7" s="20">
        <f>AVERAGEIFS(Analysis!$E$2:$E$823,Analysis!$B$2:$B$823,"&gt;="&amp;A7,Analysis!$B$2:$B$823,"&lt;"&amp;(A7+1))</f>
        <v>-0.1991666666666673</v>
      </c>
      <c r="E7" s="25">
        <f>AVERAGEIFS(Analysis!$F$2:$F$823,Analysis!$B$2:$B$823,"&gt;="&amp;A7,Analysis!$B$2:$B$823,"&lt;"&amp;(A7+1))</f>
        <v>0.19090694656901711</v>
      </c>
      <c r="F7" s="20">
        <f t="shared" si="0"/>
        <v>-9.4683600713008659E-2</v>
      </c>
      <c r="G7" s="25">
        <f t="shared" si="1"/>
        <v>1.4946690911854216E-2</v>
      </c>
      <c r="H7" s="20">
        <f t="shared" si="2"/>
        <v>-0.1301727602105717</v>
      </c>
      <c r="J7" s="18" t="s">
        <v>1864</v>
      </c>
      <c r="K7" s="19">
        <f>CORREL($H$2:$H$67,$H$3:$H$68)</f>
        <v>0.2535671357608254</v>
      </c>
    </row>
    <row r="8" spans="1:11" ht="15" customHeight="1">
      <c r="A8" s="24">
        <v>1965</v>
      </c>
      <c r="B8" s="22">
        <f>COUNTIFS(Analysis!$B$2:$B$823,"&gt;="&amp;A8,Analysis!$B$2:$B$823,"&lt;"&amp;(A8+1))</f>
        <v>12</v>
      </c>
      <c r="C8" s="19">
        <f>AVERAGEIFS(Analysis!$D$2:$D$823,Analysis!$B$2:$B$823,"&gt;="&amp;A8,Analysis!$B$2:$B$823,"&lt;"&amp;(A8+1))</f>
        <v>320.03666666666669</v>
      </c>
      <c r="D8" s="20">
        <f>AVERAGEIFS(Analysis!$E$2:$E$823,Analysis!$B$2:$B$823,"&gt;="&amp;A8,Analysis!$B$2:$B$823,"&lt;"&amp;(A8+1))</f>
        <v>-0.10666666666666676</v>
      </c>
      <c r="E8" s="25">
        <f>AVERAGEIFS(Analysis!$F$2:$F$823,Analysis!$B$2:$B$823,"&gt;="&amp;A8,Analysis!$B$2:$B$823,"&lt;"&amp;(A8+1))</f>
        <v>0.19279248762081727</v>
      </c>
      <c r="F8" s="20">
        <f t="shared" si="0"/>
        <v>-2.0183973182210949E-2</v>
      </c>
      <c r="G8" s="25">
        <f t="shared" si="1"/>
        <v>1.0196841703059706E-2</v>
      </c>
      <c r="H8" s="20">
        <f t="shared" si="2"/>
        <v>-4.2843646312683184E-2</v>
      </c>
      <c r="J8" s="18" t="s">
        <v>1865</v>
      </c>
      <c r="K8" s="20">
        <f>INTERCEPT($D$2:$D$68,$A$2:$A$68)</f>
        <v>-35.457214595471847</v>
      </c>
    </row>
    <row r="9" spans="1:11" ht="15" customHeight="1">
      <c r="A9" s="24">
        <v>1966</v>
      </c>
      <c r="B9" s="22">
        <f>COUNTIFS(Analysis!$B$2:$B$823,"&gt;="&amp;A9,Analysis!$B$2:$B$823,"&lt;"&amp;(A9+1))</f>
        <v>12</v>
      </c>
      <c r="C9" s="19">
        <f>AVERAGEIFS(Analysis!$D$2:$D$823,Analysis!$B$2:$B$823,"&gt;="&amp;A9,Analysis!$B$2:$B$823,"&lt;"&amp;(A9+1))</f>
        <v>321.36749999999995</v>
      </c>
      <c r="D9" s="20">
        <f>AVERAGEIFS(Analysis!$E$2:$E$823,Analysis!$B$2:$B$823,"&gt;="&amp;A9,Analysis!$B$2:$B$823,"&lt;"&amp;(A9+1))</f>
        <v>-5.7499999999999364E-2</v>
      </c>
      <c r="E9" s="25">
        <f>AVERAGEIFS(Analysis!$F$2:$F$823,Analysis!$B$2:$B$823,"&gt;="&amp;A9,Analysis!$B$2:$B$823,"&lt;"&amp;(A9+1))</f>
        <v>0.19877221770103162</v>
      </c>
      <c r="F9" s="20">
        <f t="shared" si="0"/>
        <v>1.0982321015253614E-2</v>
      </c>
      <c r="G9" s="25">
        <f t="shared" si="1"/>
        <v>9.5411815226793817E-3</v>
      </c>
      <c r="H9" s="20">
        <f t="shared" si="2"/>
        <v>-1.0075722668153188E-2</v>
      </c>
      <c r="J9" s="18" t="s">
        <v>1866</v>
      </c>
      <c r="K9" s="25">
        <f>SLOPE($D$2:$D$68,$A$2:$A$68)</f>
        <v>1.800037246920478E-2</v>
      </c>
    </row>
    <row r="10" spans="1:11" ht="15" customHeight="1">
      <c r="A10" s="24">
        <v>1967</v>
      </c>
      <c r="B10" s="22">
        <f>COUNTIFS(Analysis!$B$2:$B$823,"&gt;="&amp;A10,Analysis!$B$2:$B$823,"&lt;"&amp;(A10+1))</f>
        <v>12</v>
      </c>
      <c r="C10" s="19">
        <f>AVERAGEIFS(Analysis!$D$2:$D$823,Analysis!$B$2:$B$823,"&gt;="&amp;A10,Analysis!$B$2:$B$823,"&lt;"&amp;(A10+1))</f>
        <v>322.17916666666667</v>
      </c>
      <c r="D10" s="20">
        <f>AVERAGEIFS(Analysis!$E$2:$E$823,Analysis!$B$2:$B$823,"&gt;="&amp;A10,Analysis!$B$2:$B$823,"&lt;"&amp;(A10+1))</f>
        <v>-2.4166666666666597E-2</v>
      </c>
      <c r="E10" s="25">
        <f>AVERAGEIFS(Analysis!$F$2:$F$823,Analysis!$B$2:$B$823,"&gt;="&amp;A10,Analysis!$B$2:$B$823,"&lt;"&amp;(A10+1))</f>
        <v>0.20241455784943219</v>
      </c>
      <c r="F10" s="20">
        <f t="shared" si="0"/>
        <v>2.6315281879376446E-2</v>
      </c>
      <c r="G10" s="25">
        <f t="shared" si="1"/>
        <v>6.5481314104852695E-3</v>
      </c>
      <c r="H10" s="20">
        <f t="shared" si="2"/>
        <v>1.3268898918730027E-2</v>
      </c>
      <c r="J10" s="18" t="s">
        <v>1867</v>
      </c>
      <c r="K10" s="20">
        <f>INTERCEPT($E$2:$E$68,$A$2:$A$68)</f>
        <v>-12.855946216150791</v>
      </c>
    </row>
    <row r="11" spans="1:11" ht="15" customHeight="1">
      <c r="A11" s="24">
        <v>1968</v>
      </c>
      <c r="B11" s="22">
        <f>COUNTIFS(Analysis!$B$2:$B$823,"&gt;="&amp;A11,Analysis!$B$2:$B$823,"&lt;"&amp;(A11+1))</f>
        <v>12</v>
      </c>
      <c r="C11" s="19">
        <f>AVERAGEIFS(Analysis!$D$2:$D$823,Analysis!$B$2:$B$823,"&gt;="&amp;A11,Analysis!$B$2:$B$823,"&lt;"&amp;(A11+1))</f>
        <v>323.05</v>
      </c>
      <c r="D11" s="20">
        <f>AVERAGEIFS(Analysis!$E$2:$E$823,Analysis!$B$2:$B$823,"&gt;="&amp;A11,Analysis!$B$2:$B$823,"&lt;"&amp;(A11+1))</f>
        <v>-8.2500000000000018E-2</v>
      </c>
      <c r="E11" s="25">
        <f>AVERAGEIFS(Analysis!$F$2:$F$823,Analysis!$B$2:$B$823,"&gt;="&amp;A11,Analysis!$B$2:$B$823,"&lt;"&amp;(A11+1))</f>
        <v>0.20630941394392599</v>
      </c>
      <c r="F11" s="20">
        <f t="shared" si="0"/>
        <v>-5.0018423923159805E-2</v>
      </c>
      <c r="G11" s="25">
        <f t="shared" si="1"/>
        <v>3.8075972443843975E-3</v>
      </c>
      <c r="H11" s="20">
        <f t="shared" si="2"/>
        <v>-5.5745642988405786E-2</v>
      </c>
      <c r="J11" s="18" t="s">
        <v>1868</v>
      </c>
      <c r="K11" s="26">
        <f>SLOPE($E$2:$E$68,$A$2:$A$68)</f>
        <v>6.6353902605946809E-3</v>
      </c>
    </row>
    <row r="12" spans="1:11" ht="15" customHeight="1">
      <c r="A12" s="24">
        <v>1969</v>
      </c>
      <c r="B12" s="22">
        <f>COUNTIFS(Analysis!$B$2:$B$823,"&gt;="&amp;A12,Analysis!$B$2:$B$823,"&lt;"&amp;(A12+1))</f>
        <v>12</v>
      </c>
      <c r="C12" s="19">
        <f>AVERAGEIFS(Analysis!$D$2:$D$823,Analysis!$B$2:$B$823,"&gt;="&amp;A12,Analysis!$B$2:$B$823,"&lt;"&amp;(A12+1))</f>
        <v>324.62083333333334</v>
      </c>
      <c r="D12" s="20">
        <f>AVERAGEIFS(Analysis!$E$2:$E$823,Analysis!$B$2:$B$823,"&gt;="&amp;A12,Analysis!$B$2:$B$823,"&lt;"&amp;(A12+1))</f>
        <v>5.2500000000000213E-2</v>
      </c>
      <c r="E12" s="25">
        <f>AVERAGEIFS(Analysis!$F$2:$F$823,Analysis!$B$2:$B$823,"&gt;="&amp;A12,Analysis!$B$2:$B$823,"&lt;"&amp;(A12+1))</f>
        <v>0.21330789689493801</v>
      </c>
      <c r="F12" s="20">
        <f t="shared" si="0"/>
        <v>6.6981203607637596E-2</v>
      </c>
      <c r="G12" s="25">
        <f t="shared" si="1"/>
        <v>4.1706899348017412E-3</v>
      </c>
      <c r="H12" s="20">
        <f t="shared" si="2"/>
        <v>6.0061797829334074E-2</v>
      </c>
    </row>
    <row r="13" spans="1:11" ht="15" customHeight="1">
      <c r="A13" s="24">
        <v>1970</v>
      </c>
      <c r="B13" s="22">
        <f>COUNTIFS(Analysis!$B$2:$B$823,"&gt;="&amp;A13,Analysis!$B$2:$B$823,"&lt;"&amp;(A13+1))</f>
        <v>12</v>
      </c>
      <c r="C13" s="19">
        <f>AVERAGEIFS(Analysis!$D$2:$D$823,Analysis!$B$2:$B$823,"&gt;="&amp;A13,Analysis!$B$2:$B$823,"&lt;"&amp;(A13+1))</f>
        <v>325.68166666666667</v>
      </c>
      <c r="D13" s="20">
        <f>AVERAGEIFS(Analysis!$E$2:$E$823,Analysis!$B$2:$B$823,"&gt;="&amp;A13,Analysis!$B$2:$B$823,"&lt;"&amp;(A13+1))</f>
        <v>2.7500000000000746E-2</v>
      </c>
      <c r="E13" s="25">
        <f>AVERAGEIFS(Analysis!$F$2:$F$823,Analysis!$B$2:$B$823,"&gt;="&amp;A13,Analysis!$B$2:$B$823,"&lt;"&amp;(A13+1))</f>
        <v>0.21801538220265768</v>
      </c>
      <c r="F13" s="20">
        <f t="shared" si="0"/>
        <v>2.3980831138428194E-2</v>
      </c>
      <c r="G13" s="25">
        <f t="shared" si="1"/>
        <v>2.242784981926732E-3</v>
      </c>
      <c r="H13" s="20">
        <f t="shared" si="2"/>
        <v>2.2152044244100111E-2</v>
      </c>
      <c r="J13" s="17" t="s">
        <v>1869</v>
      </c>
      <c r="K13" s="20">
        <f>CORREL($F$2:$F$68,$G$2:$G$68)</f>
        <v>0.6358713141370349</v>
      </c>
    </row>
    <row r="14" spans="1:11" ht="15" customHeight="1">
      <c r="A14" s="24">
        <v>1971</v>
      </c>
      <c r="B14" s="22">
        <f>COUNTIFS(Analysis!$B$2:$B$823,"&gt;="&amp;A14,Analysis!$B$2:$B$823,"&lt;"&amp;(A14+1))</f>
        <v>12</v>
      </c>
      <c r="C14" s="19">
        <f>AVERAGEIFS(Analysis!$D$2:$D$823,Analysis!$B$2:$B$823,"&gt;="&amp;A14,Analysis!$B$2:$B$823,"&lt;"&amp;(A14+1))</f>
        <v>326.32</v>
      </c>
      <c r="D14" s="20">
        <f>AVERAGEIFS(Analysis!$E$2:$E$823,Analysis!$B$2:$B$823,"&gt;="&amp;A14,Analysis!$B$2:$B$823,"&lt;"&amp;(A14+1))</f>
        <v>-7.9166666666666455E-2</v>
      </c>
      <c r="E14" s="25">
        <f>AVERAGEIFS(Analysis!$F$2:$F$823,Analysis!$B$2:$B$823,"&gt;="&amp;A14,Analysis!$B$2:$B$823,"&lt;"&amp;(A14+1))</f>
        <v>0.22084048798225211</v>
      </c>
      <c r="F14" s="20">
        <f t="shared" si="0"/>
        <v>-0.10068620799744184</v>
      </c>
      <c r="G14" s="25">
        <f t="shared" si="1"/>
        <v>-1.5674994990735047E-3</v>
      </c>
      <c r="H14" s="20">
        <f t="shared" si="2"/>
        <v>-9.2262160031867338E-2</v>
      </c>
    </row>
    <row r="15" spans="1:11" ht="15" customHeight="1">
      <c r="A15" s="24">
        <v>1972</v>
      </c>
      <c r="B15" s="22">
        <f>COUNTIFS(Analysis!$B$2:$B$823,"&gt;="&amp;A15,Analysis!$B$2:$B$823,"&lt;"&amp;(A15+1))</f>
        <v>12</v>
      </c>
      <c r="C15" s="19">
        <f>AVERAGEIFS(Analysis!$D$2:$D$823,Analysis!$B$2:$B$823,"&gt;="&amp;A15,Analysis!$B$2:$B$823,"&lt;"&amp;(A15+1))</f>
        <v>327.45666666666665</v>
      </c>
      <c r="D15" s="20">
        <f>AVERAGEIFS(Analysis!$E$2:$E$823,Analysis!$B$2:$B$823,"&gt;="&amp;A15,Analysis!$B$2:$B$823,"&lt;"&amp;(A15+1))</f>
        <v>9.1666666666673589E-3</v>
      </c>
      <c r="E15" s="25">
        <f>AVERAGEIFS(Analysis!$F$2:$F$823,Analysis!$B$2:$B$823,"&gt;="&amp;A15,Analysis!$B$2:$B$823,"&lt;"&amp;(A15+1))</f>
        <v>0.22586052597671843</v>
      </c>
      <c r="F15" s="20">
        <f t="shared" si="0"/>
        <v>-3.0353247133310855E-2</v>
      </c>
      <c r="G15" s="25">
        <f t="shared" si="1"/>
        <v>-3.1828517652018606E-3</v>
      </c>
      <c r="H15" s="20">
        <f t="shared" si="2"/>
        <v>-1.7695721178437616E-2</v>
      </c>
      <c r="J15" s="18" t="s">
        <v>1870</v>
      </c>
      <c r="K15" s="20">
        <f>RSQ($F$2:$F$68,$G$2:$G$68)</f>
        <v>0.4043323281423597</v>
      </c>
    </row>
    <row r="16" spans="1:11" ht="15" customHeight="1">
      <c r="A16" s="24">
        <v>1973</v>
      </c>
      <c r="B16" s="22">
        <f>COUNTIFS(Analysis!$B$2:$B$823,"&gt;="&amp;A16,Analysis!$B$2:$B$823,"&lt;"&amp;(A16+1))</f>
        <v>12</v>
      </c>
      <c r="C16" s="19">
        <f>AVERAGEIFS(Analysis!$D$2:$D$823,Analysis!$B$2:$B$823,"&gt;="&amp;A16,Analysis!$B$2:$B$823,"&lt;"&amp;(A16+1))</f>
        <v>329.68166666666667</v>
      </c>
      <c r="D16" s="20">
        <f>AVERAGEIFS(Analysis!$E$2:$E$823,Analysis!$B$2:$B$823,"&gt;="&amp;A16,Analysis!$B$2:$B$823,"&lt;"&amp;(A16+1))</f>
        <v>0.16083333333333302</v>
      </c>
      <c r="E16" s="25">
        <f>AVERAGEIFS(Analysis!$F$2:$F$823,Analysis!$B$2:$B$823,"&gt;="&amp;A16,Analysis!$B$2:$B$823,"&lt;"&amp;(A16+1))</f>
        <v>0.23562787907160213</v>
      </c>
      <c r="F16" s="20">
        <f t="shared" si="0"/>
        <v>0.10331304706415198</v>
      </c>
      <c r="G16" s="25">
        <f t="shared" si="1"/>
        <v>-5.0888930912845742E-5</v>
      </c>
      <c r="H16" s="20">
        <f t="shared" si="2"/>
        <v>0.10718506865752428</v>
      </c>
    </row>
    <row r="17" spans="1:12" ht="15" customHeight="1">
      <c r="A17" s="24">
        <v>1974</v>
      </c>
      <c r="B17" s="22">
        <f>COUNTIFS(Analysis!$B$2:$B$823,"&gt;="&amp;A17,Analysis!$B$2:$B$823,"&lt;"&amp;(A17+1))</f>
        <v>12</v>
      </c>
      <c r="C17" s="19">
        <f>AVERAGEIFS(Analysis!$D$2:$D$823,Analysis!$B$2:$B$823,"&gt;="&amp;A17,Analysis!$B$2:$B$823,"&lt;"&amp;(A17+1))</f>
        <v>330.19333333333333</v>
      </c>
      <c r="D17" s="20">
        <f>AVERAGEIFS(Analysis!$E$2:$E$823,Analysis!$B$2:$B$823,"&gt;="&amp;A17,Analysis!$B$2:$B$823,"&lt;"&amp;(A17+1))</f>
        <v>-7.1666666666667364E-2</v>
      </c>
      <c r="E17" s="25">
        <f>AVERAGEIFS(Analysis!$F$2:$F$823,Analysis!$B$2:$B$823,"&gt;="&amp;A17,Analysis!$B$2:$B$823,"&lt;"&amp;(A17+1))</f>
        <v>0.23785981722471297</v>
      </c>
      <c r="F17" s="20">
        <f t="shared" si="0"/>
        <v>-0.14718732540505836</v>
      </c>
      <c r="G17" s="25">
        <f t="shared" si="1"/>
        <v>-4.4543410383966753E-3</v>
      </c>
      <c r="H17" s="20">
        <f t="shared" si="2"/>
        <v>-0.1314357728726438</v>
      </c>
      <c r="J17" s="18" t="s">
        <v>1871</v>
      </c>
      <c r="K17" s="20">
        <f>INDEX(LINEST($D$2:$D$68,$E$2:$E$68,TRUE(),TRUE()),2,1)</f>
        <v>9.2661047855178563E-2</v>
      </c>
    </row>
    <row r="18" spans="1:12" ht="15" customHeight="1">
      <c r="A18" s="24">
        <v>1975</v>
      </c>
      <c r="B18" s="22">
        <f>COUNTIFS(Analysis!$B$2:$B$823,"&gt;="&amp;A18,Analysis!$B$2:$B$823,"&lt;"&amp;(A18+1))</f>
        <v>12</v>
      </c>
      <c r="C18" s="19">
        <f>AVERAGEIFS(Analysis!$D$2:$D$823,Analysis!$B$2:$B$823,"&gt;="&amp;A18,Analysis!$B$2:$B$823,"&lt;"&amp;(A18+1))</f>
        <v>331.12750000000005</v>
      </c>
      <c r="D18" s="20">
        <f>AVERAGEIFS(Analysis!$E$2:$E$823,Analysis!$B$2:$B$823,"&gt;="&amp;A18,Analysis!$B$2:$B$823,"&lt;"&amp;(A18+1))</f>
        <v>-1.3333333333332309E-2</v>
      </c>
      <c r="E18" s="25">
        <f>AVERAGEIFS(Analysis!$F$2:$F$823,Analysis!$B$2:$B$823,"&gt;="&amp;A18,Analysis!$B$2:$B$823,"&lt;"&amp;(A18+1))</f>
        <v>0.24193918054612207</v>
      </c>
      <c r="F18" s="20">
        <f t="shared" si="0"/>
        <v>-0.10685436454092612</v>
      </c>
      <c r="G18" s="25">
        <f t="shared" si="1"/>
        <v>-7.0103679775822547E-3</v>
      </c>
      <c r="H18" s="20">
        <f t="shared" si="2"/>
        <v>-8.4289638610896667E-2</v>
      </c>
      <c r="J18" s="18" t="s">
        <v>1872</v>
      </c>
      <c r="K18" s="19">
        <f>SQRT((1+K7)/(1-K7))</f>
        <v>1.2959206872616238</v>
      </c>
    </row>
    <row r="19" spans="1:12" ht="15" customHeight="1">
      <c r="A19" s="24">
        <v>1976</v>
      </c>
      <c r="B19" s="22">
        <f>COUNTIFS(Analysis!$B$2:$B$823,"&gt;="&amp;A19,Analysis!$B$2:$B$823,"&lt;"&amp;(A19+1))</f>
        <v>12</v>
      </c>
      <c r="C19" s="19">
        <f>AVERAGEIFS(Analysis!$D$2:$D$823,Analysis!$B$2:$B$823,"&gt;="&amp;A19,Analysis!$B$2:$B$823,"&lt;"&amp;(A19+1))</f>
        <v>332.02583333333331</v>
      </c>
      <c r="D19" s="20">
        <f>AVERAGEIFS(Analysis!$E$2:$E$823,Analysis!$B$2:$B$823,"&gt;="&amp;A19,Analysis!$B$2:$B$823,"&lt;"&amp;(A19+1))</f>
        <v>-9.7499999999999698E-2</v>
      </c>
      <c r="E19" s="25">
        <f>AVERAGEIFS(Analysis!$F$2:$F$823,Analysis!$B$2:$B$823,"&gt;="&amp;A19,Analysis!$B$2:$B$823,"&lt;"&amp;(A19+1))</f>
        <v>0.24584257261243991</v>
      </c>
      <c r="F19" s="20">
        <f t="shared" si="0"/>
        <v>-0.20902140367679634</v>
      </c>
      <c r="G19" s="25">
        <f t="shared" si="1"/>
        <v>-9.7423661718590848E-3</v>
      </c>
      <c r="H19" s="20">
        <f t="shared" si="2"/>
        <v>-0.1791609228023574</v>
      </c>
      <c r="J19" s="18" t="s">
        <v>1873</v>
      </c>
      <c r="K19" s="20">
        <f>K17*K18</f>
        <v>0.12008136881886522</v>
      </c>
    </row>
    <row r="20" spans="1:12" ht="15" customHeight="1">
      <c r="A20" s="24">
        <v>1977</v>
      </c>
      <c r="B20" s="22">
        <f>COUNTIFS(Analysis!$B$2:$B$823,"&gt;="&amp;A20,Analysis!$B$2:$B$823,"&lt;"&amp;(A20+1))</f>
        <v>12</v>
      </c>
      <c r="C20" s="19">
        <f>AVERAGEIFS(Analysis!$D$2:$D$823,Analysis!$B$2:$B$823,"&gt;="&amp;A20,Analysis!$B$2:$B$823,"&lt;"&amp;(A20+1))</f>
        <v>333.84416666666664</v>
      </c>
      <c r="D20" s="20">
        <f>AVERAGEIFS(Analysis!$E$2:$E$823,Analysis!$B$2:$B$823,"&gt;="&amp;A20,Analysis!$B$2:$B$823,"&lt;"&amp;(A20+1))</f>
        <v>0.17833333333333354</v>
      </c>
      <c r="E20" s="25">
        <f>AVERAGEIFS(Analysis!$F$2:$F$823,Analysis!$B$2:$B$823,"&gt;="&amp;A20,Analysis!$B$2:$B$823,"&lt;"&amp;(A20+1))</f>
        <v>0.25372586794152979</v>
      </c>
      <c r="F20" s="20">
        <f t="shared" si="0"/>
        <v>4.8811557187326965E-2</v>
      </c>
      <c r="G20" s="25">
        <f t="shared" si="1"/>
        <v>-8.4944611033638817E-3</v>
      </c>
      <c r="H20" s="20">
        <f t="shared" si="2"/>
        <v>7.5053352055893779E-2</v>
      </c>
      <c r="J20" s="18" t="s">
        <v>1874</v>
      </c>
      <c r="K20" s="19">
        <f>K4-1.96*K19</f>
        <v>2.5070290199669087</v>
      </c>
      <c r="L20" s="19">
        <f>K4+1.96*K19</f>
        <v>2.9777479857368605</v>
      </c>
    </row>
    <row r="21" spans="1:12" ht="15" customHeight="1">
      <c r="A21" s="24">
        <v>1978</v>
      </c>
      <c r="B21" s="22">
        <f>COUNTIFS(Analysis!$B$2:$B$823,"&gt;="&amp;A21,Analysis!$B$2:$B$823,"&lt;"&amp;(A21+1))</f>
        <v>12</v>
      </c>
      <c r="C21" s="19">
        <f>AVERAGEIFS(Analysis!$D$2:$D$823,Analysis!$B$2:$B$823,"&gt;="&amp;A21,Analysis!$B$2:$B$823,"&lt;"&amp;(A21+1))</f>
        <v>335.41499999999996</v>
      </c>
      <c r="D21" s="20">
        <f>AVERAGEIFS(Analysis!$E$2:$E$823,Analysis!$B$2:$B$823,"&gt;="&amp;A21,Analysis!$B$2:$B$823,"&lt;"&amp;(A21+1))</f>
        <v>6.6666666666666277E-2</v>
      </c>
      <c r="E21" s="25">
        <f>AVERAGEIFS(Analysis!$F$2:$F$823,Analysis!$B$2:$B$823,"&gt;="&amp;A21,Analysis!$B$2:$B$823,"&lt;"&amp;(A21+1))</f>
        <v>0.26049697715420922</v>
      </c>
      <c r="F21" s="20">
        <f t="shared" si="0"/>
        <v>-8.0855481948543126E-2</v>
      </c>
      <c r="G21" s="25">
        <f t="shared" si="1"/>
        <v>-8.3587421512791305E-3</v>
      </c>
      <c r="H21" s="20">
        <f t="shared" si="2"/>
        <v>-5.5182326667179968E-2</v>
      </c>
      <c r="J21" s="18" t="s">
        <v>1875</v>
      </c>
      <c r="K21" s="19">
        <f>SLOPE($D$2:$D$34,$E$2:$E$34)</f>
        <v>2.5735989822796288</v>
      </c>
      <c r="L21" s="19">
        <f>SLOPE($D$35:$D$68,$E$35:$E$68)</f>
        <v>3.1905041525717839</v>
      </c>
    </row>
    <row r="22" spans="1:12" ht="15" customHeight="1">
      <c r="A22" s="24">
        <v>1979</v>
      </c>
      <c r="B22" s="22">
        <f>COUNTIFS(Analysis!$B$2:$B$823,"&gt;="&amp;A22,Analysis!$B$2:$B$823,"&lt;"&amp;(A22+1))</f>
        <v>12</v>
      </c>
      <c r="C22" s="19">
        <f>AVERAGEIFS(Analysis!$D$2:$D$823,Analysis!$B$2:$B$823,"&gt;="&amp;A22,Analysis!$B$2:$B$823,"&lt;"&amp;(A22+1))</f>
        <v>336.83500000000004</v>
      </c>
      <c r="D22" s="20">
        <f>AVERAGEIFS(Analysis!$E$2:$E$823,Analysis!$B$2:$B$823,"&gt;="&amp;A22,Analysis!$B$2:$B$823,"&lt;"&amp;(A22+1))</f>
        <v>0.16416666666666671</v>
      </c>
      <c r="E22" s="25">
        <f>AVERAGEIFS(Analysis!$F$2:$F$823,Analysis!$B$2:$B$823,"&gt;="&amp;A22,Analysis!$B$2:$B$823,"&lt;"&amp;(A22+1))</f>
        <v>0.26659553851729739</v>
      </c>
      <c r="F22" s="20">
        <f t="shared" si="0"/>
        <v>-1.3558544177455223E-3</v>
      </c>
      <c r="G22" s="25">
        <f t="shared" si="1"/>
        <v>-8.8955710487856332E-3</v>
      </c>
      <c r="H22" s="20">
        <f t="shared" si="2"/>
        <v>2.5593048766750642E-2</v>
      </c>
      <c r="J22" s="18" t="s">
        <v>1876</v>
      </c>
      <c r="K22" s="27">
        <f>(L21-K21)/SQRT((INDEX(LINEST($D$2:$D$34,$E$2:$E$34,TRUE(),TRUE()),2,1)*K18)^2+(INDEX(LINEST($D$35:$D$68,$E$35:$E$68,TRUE(),TRUE()),2,1)*K18)^2)</f>
        <v>1.2570079530902762</v>
      </c>
    </row>
    <row r="23" spans="1:12" ht="15" customHeight="1">
      <c r="A23" s="24">
        <v>1980</v>
      </c>
      <c r="B23" s="22">
        <f>COUNTIFS(Analysis!$B$2:$B$823,"&gt;="&amp;A23,Analysis!$B$2:$B$823,"&lt;"&amp;(A23+1))</f>
        <v>12</v>
      </c>
      <c r="C23" s="19">
        <f>AVERAGEIFS(Analysis!$D$2:$D$823,Analysis!$B$2:$B$823,"&gt;="&amp;A23,Analysis!$B$2:$B$823,"&lt;"&amp;(A23+1))</f>
        <v>338.76249999999999</v>
      </c>
      <c r="D23" s="20">
        <f>AVERAGEIFS(Analysis!$E$2:$E$823,Analysis!$B$2:$B$823,"&gt;="&amp;A23,Analysis!$B$2:$B$823,"&lt;"&amp;(A23+1))</f>
        <v>0.25583333333333363</v>
      </c>
      <c r="E23" s="25">
        <f>AVERAGEIFS(Analysis!$F$2:$F$823,Analysis!$B$2:$B$823,"&gt;="&amp;A23,Analysis!$B$2:$B$823,"&lt;"&amp;(A23+1))</f>
        <v>0.27482718847371568</v>
      </c>
      <c r="F23" s="20">
        <f t="shared" si="0"/>
        <v>7.2310439779718572E-2</v>
      </c>
      <c r="G23" s="25">
        <f t="shared" si="1"/>
        <v>-7.2993113529620235E-3</v>
      </c>
      <c r="H23" s="20">
        <f t="shared" si="2"/>
        <v>9.4685333233434921E-2</v>
      </c>
      <c r="J23" s="4" t="s">
        <v>1877</v>
      </c>
    </row>
    <row r="24" spans="1:12" ht="30" customHeight="1">
      <c r="A24" s="24">
        <v>1981</v>
      </c>
      <c r="B24" s="22">
        <f>COUNTIFS(Analysis!$B$2:$B$823,"&gt;="&amp;A24,Analysis!$B$2:$B$823,"&lt;"&amp;(A24+1))</f>
        <v>12</v>
      </c>
      <c r="C24" s="19">
        <f>AVERAGEIFS(Analysis!$D$2:$D$823,Analysis!$B$2:$B$823,"&gt;="&amp;A24,Analysis!$B$2:$B$823,"&lt;"&amp;(A24+1))</f>
        <v>340.12</v>
      </c>
      <c r="D24" s="20">
        <f>AVERAGEIFS(Analysis!$E$2:$E$823,Analysis!$B$2:$B$823,"&gt;="&amp;A24,Analysis!$B$2:$B$823,"&lt;"&amp;(A24+1))</f>
        <v>0.32333333333333264</v>
      </c>
      <c r="E24" s="25">
        <f>AVERAGEIFS(Analysis!$F$2:$F$823,Analysis!$B$2:$B$823,"&gt;="&amp;A24,Analysis!$B$2:$B$823,"&lt;"&amp;(A24+1))</f>
        <v>0.28059166813261399</v>
      </c>
      <c r="F24" s="20">
        <f t="shared" si="0"/>
        <v>0.12181006731050764</v>
      </c>
      <c r="G24" s="25">
        <f t="shared" si="1"/>
        <v>-8.1702219546583854E-3</v>
      </c>
      <c r="H24" s="20">
        <f t="shared" si="2"/>
        <v>0.14637689049194763</v>
      </c>
      <c r="J24" s="2" t="s">
        <v>1878</v>
      </c>
      <c r="K24" s="2" t="s">
        <v>1879</v>
      </c>
      <c r="L24" s="2" t="s">
        <v>1880</v>
      </c>
    </row>
    <row r="25" spans="1:12" ht="19.5" customHeight="1">
      <c r="A25" s="24">
        <v>1982</v>
      </c>
      <c r="B25" s="22">
        <f>COUNTIFS(Analysis!$B$2:$B$823,"&gt;="&amp;A25,Analysis!$B$2:$B$823,"&lt;"&amp;(A25+1))</f>
        <v>12</v>
      </c>
      <c r="C25" s="19">
        <f>AVERAGEIFS(Analysis!$D$2:$D$823,Analysis!$B$2:$B$823,"&gt;="&amp;A25,Analysis!$B$2:$B$823,"&lt;"&amp;(A25+1))</f>
        <v>341.4783333333333</v>
      </c>
      <c r="D25" s="20">
        <f>AVERAGEIFS(Analysis!$E$2:$E$823,Analysis!$B$2:$B$823,"&gt;="&amp;A25,Analysis!$B$2:$B$823,"&lt;"&amp;(A25+1))</f>
        <v>0.13916666666666591</v>
      </c>
      <c r="E25" s="25">
        <f>AVERAGEIFS(Analysis!$F$2:$F$823,Analysis!$B$2:$B$823,"&gt;="&amp;A25,Analysis!$B$2:$B$823,"&lt;"&amp;(A25+1))</f>
        <v>0.2863409347995432</v>
      </c>
      <c r="F25" s="20">
        <f t="shared" si="0"/>
        <v>-8.0356971825361917E-2</v>
      </c>
      <c r="G25" s="25">
        <f t="shared" si="1"/>
        <v>-9.056345548323852E-3</v>
      </c>
      <c r="H25" s="20">
        <f t="shared" si="2"/>
        <v>-5.3556498981935347E-2</v>
      </c>
      <c r="J25" s="28">
        <f>Analysis!I11</f>
        <v>2.7335713488112736</v>
      </c>
      <c r="K25" s="28">
        <f>K4</f>
        <v>2.7423885028518846</v>
      </c>
      <c r="L25" s="28">
        <f>K13</f>
        <v>0.6358713141370349</v>
      </c>
    </row>
    <row r="26" spans="1:12" ht="27.75" customHeight="1">
      <c r="A26" s="24">
        <v>1983</v>
      </c>
      <c r="B26" s="22">
        <f>COUNTIFS(Analysis!$B$2:$B$823,"&gt;="&amp;A26,Analysis!$B$2:$B$823,"&lt;"&amp;(A26+1))</f>
        <v>12</v>
      </c>
      <c r="C26" s="19">
        <f>AVERAGEIFS(Analysis!$D$2:$D$823,Analysis!$B$2:$B$823,"&gt;="&amp;A26,Analysis!$B$2:$B$823,"&lt;"&amp;(A26+1))</f>
        <v>343.15249999999992</v>
      </c>
      <c r="D26" s="20">
        <f>AVERAGEIFS(Analysis!$E$2:$E$823,Analysis!$B$2:$B$823,"&gt;="&amp;A26,Analysis!$B$2:$B$823,"&lt;"&amp;(A26+1))</f>
        <v>0.31500000000000039</v>
      </c>
      <c r="E26" s="25">
        <f>AVERAGEIFS(Analysis!$F$2:$F$823,Analysis!$B$2:$B$823,"&gt;="&amp;A26,Analysis!$B$2:$B$823,"&lt;"&amp;(A26+1))</f>
        <v>0.29340200418028634</v>
      </c>
      <c r="F26" s="20">
        <f t="shared" si="0"/>
        <v>7.7475989038769733E-2</v>
      </c>
      <c r="G26" s="25">
        <f t="shared" si="1"/>
        <v>-8.6306664281753931E-3</v>
      </c>
      <c r="H26" s="20">
        <f t="shared" si="2"/>
        <v>0.10291263886380964</v>
      </c>
      <c r="J26" s="1" t="s">
        <v>1881</v>
      </c>
      <c r="K26" s="1" t="s">
        <v>1882</v>
      </c>
      <c r="L26" s="1" t="s">
        <v>1883</v>
      </c>
    </row>
    <row r="27" spans="1:12" ht="30" customHeight="1">
      <c r="A27" s="24">
        <v>1984</v>
      </c>
      <c r="B27" s="22">
        <f>COUNTIFS(Analysis!$B$2:$B$823,"&gt;="&amp;A27,Analysis!$B$2:$B$823,"&lt;"&amp;(A27+1))</f>
        <v>12</v>
      </c>
      <c r="C27" s="19">
        <f>AVERAGEIFS(Analysis!$D$2:$D$823,Analysis!$B$2:$B$823,"&gt;="&amp;A27,Analysis!$B$2:$B$823,"&lt;"&amp;(A27+1))</f>
        <v>344.86666666666662</v>
      </c>
      <c r="D27" s="20">
        <f>AVERAGEIFS(Analysis!$E$2:$E$823,Analysis!$B$2:$B$823,"&gt;="&amp;A27,Analysis!$B$2:$B$823,"&lt;"&amp;(A27+1))</f>
        <v>0.15500000000000011</v>
      </c>
      <c r="E27" s="25">
        <f>AVERAGEIFS(Analysis!$F$2:$F$823,Analysis!$B$2:$B$823,"&gt;="&amp;A27,Analysis!$B$2:$B$823,"&lt;"&amp;(A27+1))</f>
        <v>0.3005889072552464</v>
      </c>
      <c r="F27" s="20">
        <f t="shared" si="0"/>
        <v>-0.10052438343043338</v>
      </c>
      <c r="G27" s="25">
        <f t="shared" si="1"/>
        <v>-8.0791536138100084E-3</v>
      </c>
      <c r="H27" s="20">
        <f t="shared" si="2"/>
        <v>-7.6796641500071955E-2</v>
      </c>
      <c r="J27" s="60" t="s">
        <v>1884</v>
      </c>
      <c r="K27" s="60"/>
      <c r="L27" s="60"/>
    </row>
    <row r="28" spans="1:12" ht="15" customHeight="1">
      <c r="A28" s="24">
        <v>1985</v>
      </c>
      <c r="B28" s="22">
        <f>COUNTIFS(Analysis!$B$2:$B$823,"&gt;="&amp;A28,Analysis!$B$2:$B$823,"&lt;"&amp;(A28+1))</f>
        <v>12</v>
      </c>
      <c r="C28" s="19">
        <f>AVERAGEIFS(Analysis!$D$2:$D$823,Analysis!$B$2:$B$823,"&gt;="&amp;A28,Analysis!$B$2:$B$823,"&lt;"&amp;(A28+1))</f>
        <v>346.35166666666669</v>
      </c>
      <c r="D28" s="20">
        <f>AVERAGEIFS(Analysis!$E$2:$E$823,Analysis!$B$2:$B$823,"&gt;="&amp;A28,Analysis!$B$2:$B$823,"&lt;"&amp;(A28+1))</f>
        <v>0.11833333333333303</v>
      </c>
      <c r="E28" s="25">
        <f>AVERAGEIFS(Analysis!$F$2:$F$823,Analysis!$B$2:$B$823,"&gt;="&amp;A28,Analysis!$B$2:$B$823,"&lt;"&amp;(A28+1))</f>
        <v>0.30678880266607567</v>
      </c>
      <c r="F28" s="20">
        <f t="shared" si="0"/>
        <v>-0.15519142256631041</v>
      </c>
      <c r="G28" s="25">
        <f t="shared" si="1"/>
        <v>-8.5146484635754138E-3</v>
      </c>
      <c r="H28" s="20">
        <f t="shared" si="2"/>
        <v>-0.1304658300602814</v>
      </c>
      <c r="J28" s="23" t="s">
        <v>1885</v>
      </c>
    </row>
    <row r="29" spans="1:12" ht="15" customHeight="1">
      <c r="A29" s="24">
        <v>1986</v>
      </c>
      <c r="B29" s="22">
        <f>COUNTIFS(Analysis!$B$2:$B$823,"&gt;="&amp;A29,Analysis!$B$2:$B$823,"&lt;"&amp;(A29+1))</f>
        <v>12</v>
      </c>
      <c r="C29" s="19">
        <f>AVERAGEIFS(Analysis!$D$2:$D$823,Analysis!$B$2:$B$823,"&gt;="&amp;A29,Analysis!$B$2:$B$823,"&lt;"&amp;(A29+1))</f>
        <v>347.60750000000007</v>
      </c>
      <c r="D29" s="20">
        <f>AVERAGEIFS(Analysis!$E$2:$E$823,Analysis!$B$2:$B$823,"&gt;="&amp;A29,Analysis!$B$2:$B$823,"&lt;"&amp;(A29+1))</f>
        <v>0.17999999999999927</v>
      </c>
      <c r="E29" s="25">
        <f>AVERAGEIFS(Analysis!$F$2:$F$823,Analysis!$B$2:$B$823,"&gt;="&amp;A29,Analysis!$B$2:$B$823,"&lt;"&amp;(A29+1))</f>
        <v>0.31201397935412778</v>
      </c>
      <c r="F29" s="20">
        <f t="shared" si="0"/>
        <v>-0.11152512836884698</v>
      </c>
      <c r="G29" s="25">
        <f t="shared" si="1"/>
        <v>-9.9248620361179762E-3</v>
      </c>
      <c r="H29" s="20">
        <f t="shared" si="2"/>
        <v>-8.3128627868298888E-2</v>
      </c>
    </row>
    <row r="30" spans="1:12" ht="15" customHeight="1">
      <c r="A30" s="24">
        <v>1987</v>
      </c>
      <c r="B30" s="22">
        <f>COUNTIFS(Analysis!$B$2:$B$823,"&gt;="&amp;A30,Analysis!$B$2:$B$823,"&lt;"&amp;(A30+1))</f>
        <v>12</v>
      </c>
      <c r="C30" s="19">
        <f>AVERAGEIFS(Analysis!$D$2:$D$823,Analysis!$B$2:$B$823,"&gt;="&amp;A30,Analysis!$B$2:$B$823,"&lt;"&amp;(A30+1))</f>
        <v>349.31166666666667</v>
      </c>
      <c r="D30" s="20">
        <f>AVERAGEIFS(Analysis!$E$2:$E$823,Analysis!$B$2:$B$823,"&gt;="&amp;A30,Analysis!$B$2:$B$823,"&lt;"&amp;(A30+1))</f>
        <v>0.3216666666666666</v>
      </c>
      <c r="E30" s="25">
        <f>AVERAGEIFS(Analysis!$F$2:$F$823,Analysis!$B$2:$B$823,"&gt;="&amp;A30,Analysis!$B$2:$B$823,"&lt;"&amp;(A30+1))</f>
        <v>0.31907046120568344</v>
      </c>
      <c r="F30" s="20">
        <f t="shared" si="0"/>
        <v>1.2141165828617517E-2</v>
      </c>
      <c r="G30" s="25">
        <f t="shared" si="1"/>
        <v>-9.5037704451569893E-3</v>
      </c>
      <c r="H30" s="20">
        <f t="shared" si="2"/>
        <v>3.9186424098079209E-2</v>
      </c>
      <c r="J30" s="17" t="s">
        <v>1886</v>
      </c>
    </row>
    <row r="31" spans="1:12" ht="15" customHeight="1">
      <c r="A31" s="24">
        <v>1988</v>
      </c>
      <c r="B31" s="22">
        <f>COUNTIFS(Analysis!$B$2:$B$823,"&gt;="&amp;A31,Analysis!$B$2:$B$823,"&lt;"&amp;(A31+1))</f>
        <v>12</v>
      </c>
      <c r="C31" s="19">
        <f>AVERAGEIFS(Analysis!$D$2:$D$823,Analysis!$B$2:$B$823,"&gt;="&amp;A31,Analysis!$B$2:$B$823,"&lt;"&amp;(A31+1))</f>
        <v>351.69000000000005</v>
      </c>
      <c r="D31" s="20">
        <f>AVERAGEIFS(Analysis!$E$2:$E$823,Analysis!$B$2:$B$823,"&gt;="&amp;A31,Analysis!$B$2:$B$823,"&lt;"&amp;(A31+1))</f>
        <v>0.38999999999999985</v>
      </c>
      <c r="E31" s="25">
        <f>AVERAGEIFS(Analysis!$F$2:$F$823,Analysis!$B$2:$B$823,"&gt;="&amp;A31,Analysis!$B$2:$B$823,"&lt;"&amp;(A31+1))</f>
        <v>0.32886051990619497</v>
      </c>
      <c r="F31" s="20">
        <f t="shared" si="0"/>
        <v>6.2474126692740828E-2</v>
      </c>
      <c r="G31" s="25">
        <f t="shared" si="1"/>
        <v>-6.349102005240137E-3</v>
      </c>
      <c r="H31" s="20">
        <f t="shared" si="2"/>
        <v>8.0671613008884535E-2</v>
      </c>
      <c r="J31" s="29" t="s">
        <v>1887</v>
      </c>
    </row>
    <row r="32" spans="1:12" ht="15" customHeight="1">
      <c r="A32" s="24">
        <v>1989</v>
      </c>
      <c r="B32" s="22">
        <f>COUNTIFS(Analysis!$B$2:$B$823,"&gt;="&amp;A32,Analysis!$B$2:$B$823,"&lt;"&amp;(A32+1))</f>
        <v>12</v>
      </c>
      <c r="C32" s="19">
        <f>AVERAGEIFS(Analysis!$D$2:$D$823,Analysis!$B$2:$B$823,"&gt;="&amp;A32,Analysis!$B$2:$B$823,"&lt;"&amp;(A32+1))</f>
        <v>353.2050000000001</v>
      </c>
      <c r="D32" s="20">
        <f>AVERAGEIFS(Analysis!$E$2:$E$823,Analysis!$B$2:$B$823,"&gt;="&amp;A32,Analysis!$B$2:$B$823,"&lt;"&amp;(A32+1))</f>
        <v>0.27416666666666512</v>
      </c>
      <c r="E32" s="25">
        <f>AVERAGEIFS(Analysis!$F$2:$F$823,Analysis!$B$2:$B$823,"&gt;="&amp;A32,Analysis!$B$2:$B$823,"&lt;"&amp;(A32+1))</f>
        <v>0.3350581779738751</v>
      </c>
      <c r="F32" s="20">
        <f t="shared" si="0"/>
        <v>-7.1359579109796734E-2</v>
      </c>
      <c r="G32" s="25">
        <f t="shared" si="1"/>
        <v>-6.7868341981546787E-3</v>
      </c>
      <c r="H32" s="20">
        <f t="shared" si="2"/>
        <v>-5.2158106553863437E-2</v>
      </c>
      <c r="J32" s="29" t="s">
        <v>1888</v>
      </c>
    </row>
    <row r="33" spans="1:10" ht="15" customHeight="1">
      <c r="A33" s="24">
        <v>1990</v>
      </c>
      <c r="B33" s="22">
        <f>COUNTIFS(Analysis!$B$2:$B$823,"&gt;="&amp;A33,Analysis!$B$2:$B$823,"&lt;"&amp;(A33+1))</f>
        <v>12</v>
      </c>
      <c r="C33" s="19">
        <f>AVERAGEIFS(Analysis!$D$2:$D$823,Analysis!$B$2:$B$823,"&gt;="&amp;A33,Analysis!$B$2:$B$823,"&lt;"&amp;(A33+1))</f>
        <v>354.45250000000004</v>
      </c>
      <c r="D33" s="20">
        <f>AVERAGEIFS(Analysis!$E$2:$E$823,Analysis!$B$2:$B$823,"&gt;="&amp;A33,Analysis!$B$2:$B$823,"&lt;"&amp;(A33+1))</f>
        <v>0.44916666666666821</v>
      </c>
      <c r="E33" s="25">
        <f>AVERAGEIFS(Analysis!$F$2:$F$823,Analysis!$B$2:$B$823,"&gt;="&amp;A33,Analysis!$B$2:$B$823,"&lt;"&amp;(A33+1))</f>
        <v>0.34014660517272827</v>
      </c>
      <c r="F33" s="20">
        <f t="shared" si="0"/>
        <v>8.5640048421003534E-2</v>
      </c>
      <c r="G33" s="25">
        <f t="shared" si="1"/>
        <v>-8.3337972598961918E-3</v>
      </c>
      <c r="H33" s="20">
        <f t="shared" si="2"/>
        <v>0.10888744919840593</v>
      </c>
      <c r="J33" s="29" t="s">
        <v>1889</v>
      </c>
    </row>
    <row r="34" spans="1:10" ht="15" customHeight="1">
      <c r="A34" s="24">
        <v>1991</v>
      </c>
      <c r="B34" s="22">
        <f>COUNTIFS(Analysis!$B$2:$B$823,"&gt;="&amp;A34,Analysis!$B$2:$B$823,"&lt;"&amp;(A34+1))</f>
        <v>12</v>
      </c>
      <c r="C34" s="19">
        <f>AVERAGEIFS(Analysis!$D$2:$D$823,Analysis!$B$2:$B$823,"&gt;="&amp;A34,Analysis!$B$2:$B$823,"&lt;"&amp;(A34+1))</f>
        <v>355.70416666666665</v>
      </c>
      <c r="D34" s="20">
        <f>AVERAGEIFS(Analysis!$E$2:$E$823,Analysis!$B$2:$B$823,"&gt;="&amp;A34,Analysis!$B$2:$B$823,"&lt;"&amp;(A34+1))</f>
        <v>0.40749999999999975</v>
      </c>
      <c r="E34" s="25">
        <f>AVERAGEIFS(Analysis!$F$2:$F$823,Analysis!$B$2:$B$823,"&gt;="&amp;A34,Analysis!$B$2:$B$823,"&lt;"&amp;(A34+1))</f>
        <v>0.34522235607120461</v>
      </c>
      <c r="F34" s="20">
        <f t="shared" ref="F34:F68" si="3">D34-($K$8+$K$9*A34)</f>
        <v>2.5973009285132242E-2</v>
      </c>
      <c r="G34" s="25">
        <f t="shared" ref="G34:G68" si="4">E34-($K$10+$K$11*A34)</f>
        <v>-9.8934366220145287E-3</v>
      </c>
      <c r="H34" s="20">
        <f t="shared" ref="H34:H68" si="5">D34-($K$5+$K$4*E34)</f>
        <v>5.3301101624415814E-2</v>
      </c>
      <c r="J34" s="29" t="s">
        <v>1890</v>
      </c>
    </row>
    <row r="35" spans="1:10" ht="15" customHeight="1">
      <c r="A35" s="24">
        <v>1992</v>
      </c>
      <c r="B35" s="22">
        <f>COUNTIFS(Analysis!$B$2:$B$823,"&gt;="&amp;A35,Analysis!$B$2:$B$823,"&lt;"&amp;(A35+1))</f>
        <v>12</v>
      </c>
      <c r="C35" s="19">
        <f>AVERAGEIFS(Analysis!$D$2:$D$823,Analysis!$B$2:$B$823,"&gt;="&amp;A35,Analysis!$B$2:$B$823,"&lt;"&amp;(A35+1))</f>
        <v>356.54500000000002</v>
      </c>
      <c r="D35" s="20">
        <f>AVERAGEIFS(Analysis!$E$2:$E$823,Analysis!$B$2:$B$823,"&gt;="&amp;A35,Analysis!$B$2:$B$823,"&lt;"&amp;(A35+1))</f>
        <v>0.22416666666666707</v>
      </c>
      <c r="E35" s="25">
        <f>AVERAGEIFS(Analysis!$F$2:$F$823,Analysis!$B$2:$B$823,"&gt;="&amp;A35,Analysis!$B$2:$B$823,"&lt;"&amp;(A35+1))</f>
        <v>0.34862967062131672</v>
      </c>
      <c r="F35" s="20">
        <f t="shared" si="3"/>
        <v>-0.17536069651741037</v>
      </c>
      <c r="G35" s="25">
        <f t="shared" si="4"/>
        <v>-1.3121512332497087E-2</v>
      </c>
      <c r="H35" s="20">
        <f t="shared" si="5"/>
        <v>-0.13937641195674422</v>
      </c>
      <c r="J35" s="29" t="s">
        <v>1891</v>
      </c>
    </row>
    <row r="36" spans="1:10" ht="15" customHeight="1">
      <c r="A36" s="24">
        <v>1993</v>
      </c>
      <c r="B36" s="22">
        <f>COUNTIFS(Analysis!$B$2:$B$823,"&gt;="&amp;A36,Analysis!$B$2:$B$823,"&lt;"&amp;(A36+1))</f>
        <v>12</v>
      </c>
      <c r="C36" s="19">
        <f>AVERAGEIFS(Analysis!$D$2:$D$823,Analysis!$B$2:$B$823,"&gt;="&amp;A36,Analysis!$B$2:$B$823,"&lt;"&amp;(A36+1))</f>
        <v>357.21499999999992</v>
      </c>
      <c r="D36" s="20">
        <f>AVERAGEIFS(Analysis!$E$2:$E$823,Analysis!$B$2:$B$823,"&gt;="&amp;A36,Analysis!$B$2:$B$823,"&lt;"&amp;(A36+1))</f>
        <v>0.23333333333333339</v>
      </c>
      <c r="E36" s="25">
        <f>AVERAGEIFS(Analysis!$F$2:$F$823,Analysis!$B$2:$B$823,"&gt;="&amp;A36,Analysis!$B$2:$B$823,"&lt;"&amp;(A36+1))</f>
        <v>0.35134440078007922</v>
      </c>
      <c r="F36" s="20">
        <f t="shared" si="3"/>
        <v>-0.18419440231994688</v>
      </c>
      <c r="G36" s="25">
        <f t="shared" si="4"/>
        <v>-1.7042172434329261E-2</v>
      </c>
      <c r="H36" s="20">
        <f t="shared" si="5"/>
        <v>-0.13765459006581349</v>
      </c>
    </row>
    <row r="37" spans="1:10" ht="15" customHeight="1">
      <c r="A37" s="24">
        <v>1994</v>
      </c>
      <c r="B37" s="22">
        <f>COUNTIFS(Analysis!$B$2:$B$823,"&gt;="&amp;A37,Analysis!$B$2:$B$823,"&lt;"&amp;(A37+1))</f>
        <v>12</v>
      </c>
      <c r="C37" s="19">
        <f>AVERAGEIFS(Analysis!$D$2:$D$823,Analysis!$B$2:$B$823,"&gt;="&amp;A37,Analysis!$B$2:$B$823,"&lt;"&amp;(A37+1))</f>
        <v>358.95916666666676</v>
      </c>
      <c r="D37" s="20">
        <f>AVERAGEIFS(Analysis!$E$2:$E$823,Analysis!$B$2:$B$823,"&gt;="&amp;A37,Analysis!$B$2:$B$823,"&lt;"&amp;(A37+1))</f>
        <v>0.31583333333333358</v>
      </c>
      <c r="E37" s="25">
        <f>AVERAGEIFS(Analysis!$F$2:$F$823,Analysis!$B$2:$B$823,"&gt;="&amp;A37,Analysis!$B$2:$B$823,"&lt;"&amp;(A37+1))</f>
        <v>0.35837405183815102</v>
      </c>
      <c r="F37" s="20">
        <f t="shared" si="3"/>
        <v>-0.11969477478914953</v>
      </c>
      <c r="G37" s="25">
        <f t="shared" si="4"/>
        <v>-1.6647911636852142E-2</v>
      </c>
      <c r="H37" s="20">
        <f t="shared" si="5"/>
        <v>-7.4432624306530026E-2</v>
      </c>
    </row>
    <row r="38" spans="1:10" ht="15" customHeight="1">
      <c r="A38" s="24">
        <v>1995</v>
      </c>
      <c r="B38" s="22">
        <f>COUNTIFS(Analysis!$B$2:$B$823,"&gt;="&amp;A38,Analysis!$B$2:$B$823,"&lt;"&amp;(A38+1))</f>
        <v>12</v>
      </c>
      <c r="C38" s="19">
        <f>AVERAGEIFS(Analysis!$D$2:$D$823,Analysis!$B$2:$B$823,"&gt;="&amp;A38,Analysis!$B$2:$B$823,"&lt;"&amp;(A38+1))</f>
        <v>360.96833333333331</v>
      </c>
      <c r="D38" s="20">
        <f>AVERAGEIFS(Analysis!$E$2:$E$823,Analysis!$B$2:$B$823,"&gt;="&amp;A38,Analysis!$B$2:$B$823,"&lt;"&amp;(A38+1))</f>
        <v>0.4475000000000004</v>
      </c>
      <c r="E38" s="25">
        <f>AVERAGEIFS(Analysis!$F$2:$F$823,Analysis!$B$2:$B$823,"&gt;="&amp;A38,Analysis!$B$2:$B$823,"&lt;"&amp;(A38+1))</f>
        <v>0.36642608584109237</v>
      </c>
      <c r="F38" s="20">
        <f t="shared" si="3"/>
        <v>-6.0284805916855366E-3</v>
      </c>
      <c r="G38" s="25">
        <f t="shared" si="4"/>
        <v>-1.5231267894505462E-2</v>
      </c>
      <c r="H38" s="20">
        <f t="shared" si="5"/>
        <v>3.5152236885898136E-2</v>
      </c>
    </row>
    <row r="39" spans="1:10" ht="15" customHeight="1">
      <c r="A39" s="24">
        <v>1996</v>
      </c>
      <c r="B39" s="22">
        <f>COUNTIFS(Analysis!$B$2:$B$823,"&gt;="&amp;A39,Analysis!$B$2:$B$823,"&lt;"&amp;(A39+1))</f>
        <v>12</v>
      </c>
      <c r="C39" s="19">
        <f>AVERAGEIFS(Analysis!$D$2:$D$823,Analysis!$B$2:$B$823,"&gt;="&amp;A39,Analysis!$B$2:$B$823,"&lt;"&amp;(A39+1))</f>
        <v>362.7433333333334</v>
      </c>
      <c r="D39" s="20">
        <f>AVERAGEIFS(Analysis!$E$2:$E$823,Analysis!$B$2:$B$823,"&gt;="&amp;A39,Analysis!$B$2:$B$823,"&lt;"&amp;(A39+1))</f>
        <v>0.33416666666666667</v>
      </c>
      <c r="E39" s="25">
        <f>AVERAGEIFS(Analysis!$F$2:$F$823,Analysis!$B$2:$B$823,"&gt;="&amp;A39,Analysis!$B$2:$B$823,"&lt;"&amp;(A39+1))</f>
        <v>0.37350293517077987</v>
      </c>
      <c r="F39" s="20">
        <f t="shared" si="3"/>
        <v>-0.1373621863942292</v>
      </c>
      <c r="G39" s="25">
        <f t="shared" si="4"/>
        <v>-1.4789808825412643E-2</v>
      </c>
      <c r="H39" s="20">
        <f t="shared" si="5"/>
        <v>-9.7588566685585743E-2</v>
      </c>
    </row>
    <row r="40" spans="1:10" ht="15" customHeight="1">
      <c r="A40" s="24">
        <v>1997</v>
      </c>
      <c r="B40" s="22">
        <f>COUNTIFS(Analysis!$B$2:$B$823,"&gt;="&amp;A40,Analysis!$B$2:$B$823,"&lt;"&amp;(A40+1))</f>
        <v>12</v>
      </c>
      <c r="C40" s="19">
        <f>AVERAGEIFS(Analysis!$D$2:$D$823,Analysis!$B$2:$B$823,"&gt;="&amp;A40,Analysis!$B$2:$B$823,"&lt;"&amp;(A40+1))</f>
        <v>363.87666666666672</v>
      </c>
      <c r="D40" s="20">
        <f>AVERAGEIFS(Analysis!$E$2:$E$823,Analysis!$B$2:$B$823,"&gt;="&amp;A40,Analysis!$B$2:$B$823,"&lt;"&amp;(A40+1))</f>
        <v>0.46749999999999964</v>
      </c>
      <c r="E40" s="25">
        <f>AVERAGEIFS(Analysis!$F$2:$F$823,Analysis!$B$2:$B$823,"&gt;="&amp;A40,Analysis!$B$2:$B$823,"&lt;"&amp;(A40+1))</f>
        <v>0.37800252302471615</v>
      </c>
      <c r="F40" s="20">
        <f t="shared" si="3"/>
        <v>-2.2029225530099061E-2</v>
      </c>
      <c r="G40" s="25">
        <f t="shared" si="4"/>
        <v>-1.6925611232071036E-2</v>
      </c>
      <c r="H40" s="20">
        <f t="shared" si="5"/>
        <v>2.3405148649540297E-2</v>
      </c>
    </row>
    <row r="41" spans="1:10" ht="15" customHeight="1">
      <c r="A41" s="24">
        <v>1998</v>
      </c>
      <c r="B41" s="22">
        <f>COUNTIFS(Analysis!$B$2:$B$823,"&gt;="&amp;A41,Analysis!$B$2:$B$823,"&lt;"&amp;(A41+1))</f>
        <v>12</v>
      </c>
      <c r="C41" s="19">
        <f>AVERAGEIFS(Analysis!$D$2:$D$823,Analysis!$B$2:$B$823,"&gt;="&amp;A41,Analysis!$B$2:$B$823,"&lt;"&amp;(A41+1))</f>
        <v>366.84</v>
      </c>
      <c r="D41" s="20">
        <f>AVERAGEIFS(Analysis!$E$2:$E$823,Analysis!$B$2:$B$823,"&gt;="&amp;A41,Analysis!$B$2:$B$823,"&lt;"&amp;(A41+1))</f>
        <v>0.6091666666666683</v>
      </c>
      <c r="E41" s="25">
        <f>AVERAGEIFS(Analysis!$F$2:$F$823,Analysis!$B$2:$B$823,"&gt;="&amp;A41,Analysis!$B$2:$B$823,"&lt;"&amp;(A41+1))</f>
        <v>0.3897083812206969</v>
      </c>
      <c r="F41" s="20">
        <f t="shared" si="3"/>
        <v>0.10163706866736677</v>
      </c>
      <c r="G41" s="25">
        <f t="shared" si="4"/>
        <v>-1.1855143296684967E-2</v>
      </c>
      <c r="H41" s="20">
        <f t="shared" si="5"/>
        <v>0.132969804383537</v>
      </c>
    </row>
    <row r="42" spans="1:10" ht="15" customHeight="1">
      <c r="A42" s="24">
        <v>1999</v>
      </c>
      <c r="B42" s="22">
        <f>COUNTIFS(Analysis!$B$2:$B$823,"&gt;="&amp;A42,Analysis!$B$2:$B$823,"&lt;"&amp;(A42+1))</f>
        <v>12</v>
      </c>
      <c r="C42" s="19">
        <f>AVERAGEIFS(Analysis!$D$2:$D$823,Analysis!$B$2:$B$823,"&gt;="&amp;A42,Analysis!$B$2:$B$823,"&lt;"&amp;(A42+1))</f>
        <v>368.53999999999996</v>
      </c>
      <c r="D42" s="20">
        <f>AVERAGEIFS(Analysis!$E$2:$E$823,Analysis!$B$2:$B$823,"&gt;="&amp;A42,Analysis!$B$2:$B$823,"&lt;"&amp;(A42+1))</f>
        <v>0.38249999999999984</v>
      </c>
      <c r="E42" s="25">
        <f>AVERAGEIFS(Analysis!$F$2:$F$823,Analysis!$B$2:$B$823,"&gt;="&amp;A42,Analysis!$B$2:$B$823,"&lt;"&amp;(A42+1))</f>
        <v>0.3963732865394658</v>
      </c>
      <c r="F42" s="20">
        <f t="shared" si="3"/>
        <v>-0.14302997046851162</v>
      </c>
      <c r="G42" s="25">
        <f t="shared" si="4"/>
        <v>-1.1825628238510744E-2</v>
      </c>
      <c r="H42" s="20">
        <f t="shared" si="5"/>
        <v>-0.11197462200191965</v>
      </c>
    </row>
    <row r="43" spans="1:10" ht="15" customHeight="1">
      <c r="A43" s="24">
        <v>2000</v>
      </c>
      <c r="B43" s="22">
        <f>COUNTIFS(Analysis!$B$2:$B$823,"&gt;="&amp;A43,Analysis!$B$2:$B$823,"&lt;"&amp;(A43+1))</f>
        <v>12</v>
      </c>
      <c r="C43" s="19">
        <f>AVERAGEIFS(Analysis!$D$2:$D$823,Analysis!$B$2:$B$823,"&gt;="&amp;A43,Analysis!$B$2:$B$823,"&lt;"&amp;(A43+1))</f>
        <v>369.70749999999998</v>
      </c>
      <c r="D43" s="20">
        <f>AVERAGEIFS(Analysis!$E$2:$E$823,Analysis!$B$2:$B$823,"&gt;="&amp;A43,Analysis!$B$2:$B$823,"&lt;"&amp;(A43+1))</f>
        <v>0.39333333333333381</v>
      </c>
      <c r="E43" s="25">
        <f>AVERAGEIFS(Analysis!$F$2:$F$823,Analysis!$B$2:$B$823,"&gt;="&amp;A43,Analysis!$B$2:$B$823,"&lt;"&amp;(A43+1))</f>
        <v>0.400943554731721</v>
      </c>
      <c r="F43" s="20">
        <f t="shared" si="3"/>
        <v>-0.15019700960438048</v>
      </c>
      <c r="G43" s="25">
        <f t="shared" si="4"/>
        <v>-1.3890750306850219E-2</v>
      </c>
      <c r="H43" s="20">
        <f t="shared" si="5"/>
        <v>-0.11367473961397617</v>
      </c>
    </row>
    <row r="44" spans="1:10" ht="15" customHeight="1">
      <c r="A44" s="24">
        <v>2001</v>
      </c>
      <c r="B44" s="22">
        <f>COUNTIFS(Analysis!$B$2:$B$823,"&gt;="&amp;A44,Analysis!$B$2:$B$823,"&lt;"&amp;(A44+1))</f>
        <v>12</v>
      </c>
      <c r="C44" s="19">
        <f>AVERAGEIFS(Analysis!$D$2:$D$823,Analysis!$B$2:$B$823,"&gt;="&amp;A44,Analysis!$B$2:$B$823,"&lt;"&amp;(A44+1))</f>
        <v>371.31916666666666</v>
      </c>
      <c r="D44" s="20">
        <f>AVERAGEIFS(Analysis!$E$2:$E$823,Analysis!$B$2:$B$823,"&gt;="&amp;A44,Analysis!$B$2:$B$823,"&lt;"&amp;(A44+1))</f>
        <v>0.5333333333333331</v>
      </c>
      <c r="E44" s="25">
        <f>AVERAGEIFS(Analysis!$F$2:$F$823,Analysis!$B$2:$B$823,"&gt;="&amp;A44,Analysis!$B$2:$B$823,"&lt;"&amp;(A44+1))</f>
        <v>0.40721575059890908</v>
      </c>
      <c r="F44" s="20">
        <f t="shared" si="3"/>
        <v>-2.8197382073584021E-2</v>
      </c>
      <c r="G44" s="25">
        <f t="shared" si="4"/>
        <v>-1.4253944700256815E-2</v>
      </c>
      <c r="H44" s="20">
        <f t="shared" si="5"/>
        <v>9.1244625522115541E-3</v>
      </c>
    </row>
    <row r="45" spans="1:10" ht="15" customHeight="1">
      <c r="A45" s="24">
        <v>2002</v>
      </c>
      <c r="B45" s="22">
        <f>COUNTIFS(Analysis!$B$2:$B$823,"&gt;="&amp;A45,Analysis!$B$2:$B$823,"&lt;"&amp;(A45+1))</f>
        <v>12</v>
      </c>
      <c r="C45" s="19">
        <f>AVERAGEIFS(Analysis!$D$2:$D$823,Analysis!$B$2:$B$823,"&gt;="&amp;A45,Analysis!$B$2:$B$823,"&lt;"&amp;(A45+1))</f>
        <v>373.45250000000004</v>
      </c>
      <c r="D45" s="20">
        <f>AVERAGEIFS(Analysis!$E$2:$E$823,Analysis!$B$2:$B$823,"&gt;="&amp;A45,Analysis!$B$2:$B$823,"&lt;"&amp;(A45+1))</f>
        <v>0.6275000000000005</v>
      </c>
      <c r="E45" s="25">
        <f>AVERAGEIFS(Analysis!$F$2:$F$823,Analysis!$B$2:$B$823,"&gt;="&amp;A45,Analysis!$B$2:$B$823,"&lt;"&amp;(A45+1))</f>
        <v>0.41548364377270341</v>
      </c>
      <c r="F45" s="20">
        <f t="shared" si="3"/>
        <v>4.7968912123880547E-2</v>
      </c>
      <c r="G45" s="25">
        <f t="shared" si="4"/>
        <v>-1.2621441787057153E-2</v>
      </c>
      <c r="H45" s="20">
        <f t="shared" si="5"/>
        <v>8.0617354036257804E-2</v>
      </c>
    </row>
    <row r="46" spans="1:10" ht="15" customHeight="1">
      <c r="A46" s="24">
        <v>2003</v>
      </c>
      <c r="B46" s="22">
        <f>COUNTIFS(Analysis!$B$2:$B$823,"&gt;="&amp;A46,Analysis!$B$2:$B$823,"&lt;"&amp;(A46+1))</f>
        <v>12</v>
      </c>
      <c r="C46" s="19">
        <f>AVERAGEIFS(Analysis!$D$2:$D$823,Analysis!$B$2:$B$823,"&gt;="&amp;A46,Analysis!$B$2:$B$823,"&lt;"&amp;(A46+1))</f>
        <v>375.98333333333335</v>
      </c>
      <c r="D46" s="20">
        <f>AVERAGEIFS(Analysis!$E$2:$E$823,Analysis!$B$2:$B$823,"&gt;="&amp;A46,Analysis!$B$2:$B$823,"&lt;"&amp;(A46+1))</f>
        <v>0.61666666666666703</v>
      </c>
      <c r="E46" s="25">
        <f>AVERAGEIFS(Analysis!$F$2:$F$823,Analysis!$B$2:$B$823,"&gt;="&amp;A46,Analysis!$B$2:$B$823,"&lt;"&amp;(A46+1))</f>
        <v>0.42522603502993445</v>
      </c>
      <c r="F46" s="20">
        <f t="shared" si="3"/>
        <v>1.9135206321337139E-2</v>
      </c>
      <c r="G46" s="25">
        <f t="shared" si="4"/>
        <v>-9.5144407904207973E-3</v>
      </c>
      <c r="H46" s="20">
        <f t="shared" si="5"/>
        <v>4.3066598928809263E-2</v>
      </c>
    </row>
    <row r="47" spans="1:10" ht="15" customHeight="1">
      <c r="A47" s="24">
        <v>2004</v>
      </c>
      <c r="B47" s="22">
        <f>COUNTIFS(Analysis!$B$2:$B$823,"&gt;="&amp;A47,Analysis!$B$2:$B$823,"&lt;"&amp;(A47+1))</f>
        <v>12</v>
      </c>
      <c r="C47" s="19">
        <f>AVERAGEIFS(Analysis!$D$2:$D$823,Analysis!$B$2:$B$823,"&gt;="&amp;A47,Analysis!$B$2:$B$823,"&lt;"&amp;(A47+1))</f>
        <v>377.69833333333332</v>
      </c>
      <c r="D47" s="20">
        <f>AVERAGEIFS(Analysis!$E$2:$E$823,Analysis!$B$2:$B$823,"&gt;="&amp;A47,Analysis!$B$2:$B$823,"&lt;"&amp;(A47+1))</f>
        <v>0.53416666666666723</v>
      </c>
      <c r="E47" s="25">
        <f>AVERAGEIFS(Analysis!$F$2:$F$823,Analysis!$B$2:$B$823,"&gt;="&amp;A47,Analysis!$B$2:$B$823,"&lt;"&amp;(A47+1))</f>
        <v>0.43178694907654275</v>
      </c>
      <c r="F47" s="20">
        <f t="shared" si="3"/>
        <v>-8.1365166147865486E-2</v>
      </c>
      <c r="G47" s="25">
        <f t="shared" si="4"/>
        <v>-9.5889170044071714E-3</v>
      </c>
      <c r="H47" s="20">
        <f t="shared" si="5"/>
        <v>-5.7425976320808703E-2</v>
      </c>
    </row>
    <row r="48" spans="1:10" ht="15" customHeight="1">
      <c r="A48" s="24">
        <v>2005</v>
      </c>
      <c r="B48" s="22">
        <f>COUNTIFS(Analysis!$B$2:$B$823,"&gt;="&amp;A48,Analysis!$B$2:$B$823,"&lt;"&amp;(A48+1))</f>
        <v>12</v>
      </c>
      <c r="C48" s="19">
        <f>AVERAGEIFS(Analysis!$D$2:$D$823,Analysis!$B$2:$B$823,"&gt;="&amp;A48,Analysis!$B$2:$B$823,"&lt;"&amp;(A48+1))</f>
        <v>379.98333333333335</v>
      </c>
      <c r="D48" s="20">
        <f>AVERAGEIFS(Analysis!$E$2:$E$823,Analysis!$B$2:$B$823,"&gt;="&amp;A48,Analysis!$B$2:$B$823,"&lt;"&amp;(A48+1))</f>
        <v>0.67916666666666681</v>
      </c>
      <c r="E48" s="25">
        <f>AVERAGEIFS(Analysis!$F$2:$F$823,Analysis!$B$2:$B$823,"&gt;="&amp;A48,Analysis!$B$2:$B$823,"&lt;"&amp;(A48+1))</f>
        <v>0.44049121010051245</v>
      </c>
      <c r="F48" s="20">
        <f t="shared" si="3"/>
        <v>4.5634461382931257E-2</v>
      </c>
      <c r="G48" s="25">
        <f t="shared" si="4"/>
        <v>-7.5200462410321411E-3</v>
      </c>
      <c r="H48" s="20">
        <f t="shared" si="5"/>
        <v>6.3703558321234643E-2</v>
      </c>
    </row>
    <row r="49" spans="1:8" ht="15" customHeight="1">
      <c r="A49" s="24">
        <v>2006</v>
      </c>
      <c r="B49" s="22">
        <f>COUNTIFS(Analysis!$B$2:$B$823,"&gt;="&amp;A49,Analysis!$B$2:$B$823,"&lt;"&amp;(A49+1))</f>
        <v>12</v>
      </c>
      <c r="C49" s="19">
        <f>AVERAGEIFS(Analysis!$D$2:$D$823,Analysis!$B$2:$B$823,"&gt;="&amp;A49,Analysis!$B$2:$B$823,"&lt;"&amp;(A49+1))</f>
        <v>382.09083333333336</v>
      </c>
      <c r="D49" s="20">
        <f>AVERAGEIFS(Analysis!$E$2:$E$823,Analysis!$B$2:$B$823,"&gt;="&amp;A49,Analysis!$B$2:$B$823,"&lt;"&amp;(A49+1))</f>
        <v>0.64083333333333392</v>
      </c>
      <c r="E49" s="25">
        <f>AVERAGEIFS(Analysis!$F$2:$F$823,Analysis!$B$2:$B$823,"&gt;="&amp;A49,Analysis!$B$2:$B$823,"&lt;"&amp;(A49+1))</f>
        <v>0.44847021068533954</v>
      </c>
      <c r="F49" s="20">
        <f t="shared" si="3"/>
        <v>-1.0699244419604459E-2</v>
      </c>
      <c r="G49" s="25">
        <f t="shared" si="4"/>
        <v>-6.1764359167997274E-3</v>
      </c>
      <c r="H49" s="20">
        <f t="shared" si="5"/>
        <v>3.4887055198233874E-3</v>
      </c>
    </row>
    <row r="50" spans="1:8" ht="15" customHeight="1">
      <c r="A50" s="24">
        <v>2007</v>
      </c>
      <c r="B50" s="22">
        <f>COUNTIFS(Analysis!$B$2:$B$823,"&gt;="&amp;A50,Analysis!$B$2:$B$823,"&lt;"&amp;(A50+1))</f>
        <v>12</v>
      </c>
      <c r="C50" s="19">
        <f>AVERAGEIFS(Analysis!$D$2:$D$823,Analysis!$B$2:$B$823,"&gt;="&amp;A50,Analysis!$B$2:$B$823,"&lt;"&amp;(A50+1))</f>
        <v>384.02499999999992</v>
      </c>
      <c r="D50" s="20">
        <f>AVERAGEIFS(Analysis!$E$2:$E$823,Analysis!$B$2:$B$823,"&gt;="&amp;A50,Analysis!$B$2:$B$823,"&lt;"&amp;(A50+1))</f>
        <v>0.66416666666666746</v>
      </c>
      <c r="E50" s="25">
        <f>AVERAGEIFS(Analysis!$F$2:$F$823,Analysis!$B$2:$B$823,"&gt;="&amp;A50,Analysis!$B$2:$B$823,"&lt;"&amp;(A50+1))</f>
        <v>0.45575620866675709</v>
      </c>
      <c r="F50" s="20">
        <f t="shared" si="3"/>
        <v>-5.3662835554808552E-3</v>
      </c>
      <c r="G50" s="25">
        <f t="shared" si="4"/>
        <v>-5.5258281959768563E-3</v>
      </c>
      <c r="H50" s="20">
        <f t="shared" si="5"/>
        <v>6.8410017571155501E-3</v>
      </c>
    </row>
    <row r="51" spans="1:8" ht="15" customHeight="1">
      <c r="A51" s="24">
        <v>2008</v>
      </c>
      <c r="B51" s="22">
        <f>COUNTIFS(Analysis!$B$2:$B$823,"&gt;="&amp;A51,Analysis!$B$2:$B$823,"&lt;"&amp;(A51+1))</f>
        <v>12</v>
      </c>
      <c r="C51" s="19">
        <f>AVERAGEIFS(Analysis!$D$2:$D$823,Analysis!$B$2:$B$823,"&gt;="&amp;A51,Analysis!$B$2:$B$823,"&lt;"&amp;(A51+1))</f>
        <v>385.83249999999998</v>
      </c>
      <c r="D51" s="20">
        <f>AVERAGEIFS(Analysis!$E$2:$E$823,Analysis!$B$2:$B$823,"&gt;="&amp;A51,Analysis!$B$2:$B$823,"&lt;"&amp;(A51+1))</f>
        <v>0.54333333333333378</v>
      </c>
      <c r="E51" s="25">
        <f>AVERAGEIFS(Analysis!$F$2:$F$823,Analysis!$B$2:$B$823,"&gt;="&amp;A51,Analysis!$B$2:$B$823,"&lt;"&amp;(A51+1))</f>
        <v>0.46253433128659666</v>
      </c>
      <c r="F51" s="20">
        <f t="shared" si="3"/>
        <v>-0.14419998935801737</v>
      </c>
      <c r="G51" s="25">
        <f t="shared" si="4"/>
        <v>-5.3830958367319659E-3</v>
      </c>
      <c r="H51" s="20">
        <f t="shared" si="5"/>
        <v>-0.13258057711978655</v>
      </c>
    </row>
    <row r="52" spans="1:8" ht="15" customHeight="1">
      <c r="A52" s="24">
        <v>2009</v>
      </c>
      <c r="B52" s="22">
        <f>COUNTIFS(Analysis!$B$2:$B$823,"&gt;="&amp;A52,Analysis!$B$2:$B$823,"&lt;"&amp;(A52+1))</f>
        <v>12</v>
      </c>
      <c r="C52" s="19">
        <f>AVERAGEIFS(Analysis!$D$2:$D$823,Analysis!$B$2:$B$823,"&gt;="&amp;A52,Analysis!$B$2:$B$823,"&lt;"&amp;(A52+1))</f>
        <v>387.64249999999998</v>
      </c>
      <c r="D52" s="20">
        <f>AVERAGEIFS(Analysis!$E$2:$E$823,Analysis!$B$2:$B$823,"&gt;="&amp;A52,Analysis!$B$2:$B$823,"&lt;"&amp;(A52+1))</f>
        <v>0.65583333333333371</v>
      </c>
      <c r="E52" s="25">
        <f>AVERAGEIFS(Analysis!$F$2:$F$823,Analysis!$B$2:$B$823,"&gt;="&amp;A52,Analysis!$B$2:$B$823,"&lt;"&amp;(A52+1))</f>
        <v>0.46928442493460149</v>
      </c>
      <c r="F52" s="20">
        <f t="shared" si="3"/>
        <v>-4.9700361827220263E-2</v>
      </c>
      <c r="G52" s="25">
        <f t="shared" si="4"/>
        <v>-5.2683924493218126E-3</v>
      </c>
      <c r="H52" s="20">
        <f t="shared" si="5"/>
        <v>-3.8591956333248523E-2</v>
      </c>
    </row>
    <row r="53" spans="1:8" ht="15" customHeight="1">
      <c r="A53" s="24">
        <v>2010</v>
      </c>
      <c r="B53" s="22">
        <f>COUNTIFS(Analysis!$B$2:$B$823,"&gt;="&amp;A53,Analysis!$B$2:$B$823,"&lt;"&amp;(A53+1))</f>
        <v>12</v>
      </c>
      <c r="C53" s="19">
        <f>AVERAGEIFS(Analysis!$D$2:$D$823,Analysis!$B$2:$B$823,"&gt;="&amp;A53,Analysis!$B$2:$B$823,"&lt;"&amp;(A53+1))</f>
        <v>390.10166666666669</v>
      </c>
      <c r="D53" s="20">
        <f>AVERAGEIFS(Analysis!$E$2:$E$823,Analysis!$B$2:$B$823,"&gt;="&amp;A53,Analysis!$B$2:$B$823,"&lt;"&amp;(A53+1))</f>
        <v>0.7241666666666674</v>
      </c>
      <c r="E53" s="25">
        <f>AVERAGEIFS(Analysis!$F$2:$F$823,Analysis!$B$2:$B$823,"&gt;="&amp;A53,Analysis!$B$2:$B$823,"&lt;"&amp;(A53+1))</f>
        <v>0.47840548027096802</v>
      </c>
      <c r="F53" s="20">
        <f t="shared" si="3"/>
        <v>6.3259903690349173E-4</v>
      </c>
      <c r="G53" s="25">
        <f t="shared" si="4"/>
        <v>-2.7827273735499536E-3</v>
      </c>
      <c r="H53" s="20">
        <f t="shared" si="5"/>
        <v>4.7278997117576882E-3</v>
      </c>
    </row>
    <row r="54" spans="1:8" ht="15" customHeight="1">
      <c r="A54" s="24">
        <v>2011</v>
      </c>
      <c r="B54" s="22">
        <f>COUNTIFS(Analysis!$B$2:$B$823,"&gt;="&amp;A54,Analysis!$B$2:$B$823,"&lt;"&amp;(A54+1))</f>
        <v>12</v>
      </c>
      <c r="C54" s="19">
        <f>AVERAGEIFS(Analysis!$D$2:$D$823,Analysis!$B$2:$B$823,"&gt;="&amp;A54,Analysis!$B$2:$B$823,"&lt;"&amp;(A54+1))</f>
        <v>391.85083333333336</v>
      </c>
      <c r="D54" s="20">
        <f>AVERAGEIFS(Analysis!$E$2:$E$823,Analysis!$B$2:$B$823,"&gt;="&amp;A54,Analysis!$B$2:$B$823,"&lt;"&amp;(A54+1))</f>
        <v>0.60750000000000037</v>
      </c>
      <c r="E54" s="25">
        <f>AVERAGEIFS(Analysis!$F$2:$F$823,Analysis!$B$2:$B$823,"&gt;="&amp;A54,Analysis!$B$2:$B$823,"&lt;"&amp;(A54+1))</f>
        <v>0.48486472333529007</v>
      </c>
      <c r="F54" s="20">
        <f t="shared" si="3"/>
        <v>-0.13403444009896637</v>
      </c>
      <c r="G54" s="25">
        <f t="shared" si="4"/>
        <v>-2.9588745698225782E-3</v>
      </c>
      <c r="H54" s="20">
        <f t="shared" si="5"/>
        <v>-0.12965252087163182</v>
      </c>
    </row>
    <row r="55" spans="1:8" ht="15" customHeight="1">
      <c r="A55" s="24">
        <v>2012</v>
      </c>
      <c r="B55" s="22">
        <f>COUNTIFS(Analysis!$B$2:$B$823,"&gt;="&amp;A55,Analysis!$B$2:$B$823,"&lt;"&amp;(A55+1))</f>
        <v>12</v>
      </c>
      <c r="C55" s="19">
        <f>AVERAGEIFS(Analysis!$D$2:$D$823,Analysis!$B$2:$B$823,"&gt;="&amp;A55,Analysis!$B$2:$B$823,"&lt;"&amp;(A55+1))</f>
        <v>394.05583333333334</v>
      </c>
      <c r="D55" s="20">
        <f>AVERAGEIFS(Analysis!$E$2:$E$823,Analysis!$B$2:$B$823,"&gt;="&amp;A55,Analysis!$B$2:$B$823,"&lt;"&amp;(A55+1))</f>
        <v>0.64666666666666694</v>
      </c>
      <c r="E55" s="25">
        <f>AVERAGEIFS(Analysis!$F$2:$F$823,Analysis!$B$2:$B$823,"&gt;="&amp;A55,Analysis!$B$2:$B$823,"&lt;"&amp;(A55+1))</f>
        <v>0.49295906457010003</v>
      </c>
      <c r="F55" s="20">
        <f t="shared" si="3"/>
        <v>-0.11286814590150263</v>
      </c>
      <c r="G55" s="25">
        <f t="shared" si="4"/>
        <v>-1.4999235956072998E-3</v>
      </c>
      <c r="H55" s="20">
        <f t="shared" si="5"/>
        <v>-0.11268368254546812</v>
      </c>
    </row>
    <row r="56" spans="1:8" ht="15" customHeight="1">
      <c r="A56" s="24">
        <v>2013</v>
      </c>
      <c r="B56" s="22">
        <f>COUNTIFS(Analysis!$B$2:$B$823,"&gt;="&amp;A56,Analysis!$B$2:$B$823,"&lt;"&amp;(A56+1))</f>
        <v>12</v>
      </c>
      <c r="C56" s="19">
        <f>AVERAGEIFS(Analysis!$D$2:$D$823,Analysis!$B$2:$B$823,"&gt;="&amp;A56,Analysis!$B$2:$B$823,"&lt;"&amp;(A56+1))</f>
        <v>396.73749999999995</v>
      </c>
      <c r="D56" s="20">
        <f>AVERAGEIFS(Analysis!$E$2:$E$823,Analysis!$B$2:$B$823,"&gt;="&amp;A56,Analysis!$B$2:$B$823,"&lt;"&amp;(A56+1))</f>
        <v>0.67666666666666764</v>
      </c>
      <c r="E56" s="25">
        <f>AVERAGEIFS(Analysis!$F$2:$F$823,Analysis!$B$2:$B$823,"&gt;="&amp;A56,Analysis!$B$2:$B$823,"&lt;"&amp;(A56+1))</f>
        <v>0.50274186240145013</v>
      </c>
      <c r="F56" s="20">
        <f t="shared" si="3"/>
        <v>-0.10086851837070476</v>
      </c>
      <c r="G56" s="25">
        <f t="shared" si="4"/>
        <v>1.647483975148134E-3</v>
      </c>
      <c r="H56" s="20">
        <f t="shared" si="5"/>
        <v>-0.10951191484388623</v>
      </c>
    </row>
    <row r="57" spans="1:8" ht="15" customHeight="1">
      <c r="A57" s="24">
        <v>2014</v>
      </c>
      <c r="B57" s="22">
        <f>COUNTIFS(Analysis!$B$2:$B$823,"&gt;="&amp;A57,Analysis!$B$2:$B$823,"&lt;"&amp;(A57+1))</f>
        <v>12</v>
      </c>
      <c r="C57" s="19">
        <f>AVERAGEIFS(Analysis!$D$2:$D$823,Analysis!$B$2:$B$823,"&gt;="&amp;A57,Analysis!$B$2:$B$823,"&lt;"&amp;(A57+1))</f>
        <v>398.81249999999994</v>
      </c>
      <c r="D57" s="20">
        <f>AVERAGEIFS(Analysis!$E$2:$E$823,Analysis!$B$2:$B$823,"&gt;="&amp;A57,Analysis!$B$2:$B$823,"&lt;"&amp;(A57+1))</f>
        <v>0.74916666666666665</v>
      </c>
      <c r="E57" s="25">
        <f>AVERAGEIFS(Analysis!$F$2:$F$823,Analysis!$B$2:$B$823,"&gt;="&amp;A57,Analysis!$B$2:$B$823,"&lt;"&amp;(A57+1))</f>
        <v>0.51026535704843223</v>
      </c>
      <c r="F57" s="20">
        <f t="shared" si="3"/>
        <v>-4.6368890839915688E-2</v>
      </c>
      <c r="G57" s="25">
        <f t="shared" si="4"/>
        <v>2.5355883615355568E-3</v>
      </c>
      <c r="H57" s="20">
        <f t="shared" si="5"/>
        <v>-5.7644260065038644E-2</v>
      </c>
    </row>
    <row r="58" spans="1:8" ht="15" customHeight="1">
      <c r="A58" s="24">
        <v>2015</v>
      </c>
      <c r="B58" s="22">
        <f>COUNTIFS(Analysis!$B$2:$B$823,"&gt;="&amp;A58,Analysis!$B$2:$B$823,"&lt;"&amp;(A58+1))</f>
        <v>12</v>
      </c>
      <c r="C58" s="19">
        <f>AVERAGEIFS(Analysis!$D$2:$D$823,Analysis!$B$2:$B$823,"&gt;="&amp;A58,Analysis!$B$2:$B$823,"&lt;"&amp;(A58+1))</f>
        <v>401.01250000000005</v>
      </c>
      <c r="D58" s="20">
        <f>AVERAGEIFS(Analysis!$E$2:$E$823,Analysis!$B$2:$B$823,"&gt;="&amp;A58,Analysis!$B$2:$B$823,"&lt;"&amp;(A58+1))</f>
        <v>0.89833333333333354</v>
      </c>
      <c r="E58" s="25">
        <f>AVERAGEIFS(Analysis!$F$2:$F$823,Analysis!$B$2:$B$823,"&gt;="&amp;A58,Analysis!$B$2:$B$823,"&lt;"&amp;(A58+1))</f>
        <v>0.5182044540111318</v>
      </c>
      <c r="F58" s="20">
        <f t="shared" si="3"/>
        <v>8.4797403357548373E-2</v>
      </c>
      <c r="G58" s="25">
        <f t="shared" si="4"/>
        <v>3.8392950636404466E-3</v>
      </c>
      <c r="H58" s="20">
        <f t="shared" si="5"/>
        <v>6.9750318368094533E-2</v>
      </c>
    </row>
    <row r="59" spans="1:8" ht="15" customHeight="1">
      <c r="A59" s="24">
        <v>2016</v>
      </c>
      <c r="B59" s="22">
        <f>COUNTIFS(Analysis!$B$2:$B$823,"&gt;="&amp;A59,Analysis!$B$2:$B$823,"&lt;"&amp;(A59+1))</f>
        <v>12</v>
      </c>
      <c r="C59" s="19">
        <f>AVERAGEIFS(Analysis!$D$2:$D$823,Analysis!$B$2:$B$823,"&gt;="&amp;A59,Analysis!$B$2:$B$823,"&lt;"&amp;(A59+1))</f>
        <v>404.41249999999997</v>
      </c>
      <c r="D59" s="20">
        <f>AVERAGEIFS(Analysis!$E$2:$E$823,Analysis!$B$2:$B$823,"&gt;="&amp;A59,Analysis!$B$2:$B$823,"&lt;"&amp;(A59+1))</f>
        <v>1.0124999999999997</v>
      </c>
      <c r="E59" s="25">
        <f>AVERAGEIFS(Analysis!$F$2:$F$823,Analysis!$B$2:$B$823,"&gt;="&amp;A59,Analysis!$B$2:$B$823,"&lt;"&amp;(A59+1))</f>
        <v>0.53038105662294244</v>
      </c>
      <c r="F59" s="20">
        <f t="shared" si="3"/>
        <v>0.18096369755501174</v>
      </c>
      <c r="G59" s="25">
        <f t="shared" si="4"/>
        <v>9.3805074148564094E-3</v>
      </c>
      <c r="H59" s="20">
        <f t="shared" si="5"/>
        <v>0.15052401002833504</v>
      </c>
    </row>
    <row r="60" spans="1:8" ht="15" customHeight="1">
      <c r="A60" s="24">
        <v>2017</v>
      </c>
      <c r="B60" s="22">
        <f>COUNTIFS(Analysis!$B$2:$B$823,"&gt;="&amp;A60,Analysis!$B$2:$B$823,"&lt;"&amp;(A60+1))</f>
        <v>12</v>
      </c>
      <c r="C60" s="19">
        <f>AVERAGEIFS(Analysis!$D$2:$D$823,Analysis!$B$2:$B$823,"&gt;="&amp;A60,Analysis!$B$2:$B$823,"&lt;"&amp;(A60+1))</f>
        <v>406.75833333333338</v>
      </c>
      <c r="D60" s="20">
        <f>AVERAGEIFS(Analysis!$E$2:$E$823,Analysis!$B$2:$B$823,"&gt;="&amp;A60,Analysis!$B$2:$B$823,"&lt;"&amp;(A60+1))</f>
        <v>0.91499999999999904</v>
      </c>
      <c r="E60" s="25">
        <f>AVERAGEIFS(Analysis!$F$2:$F$823,Analysis!$B$2:$B$823,"&gt;="&amp;A60,Analysis!$B$2:$B$823,"&lt;"&amp;(A60+1))</f>
        <v>0.53872858215798958</v>
      </c>
      <c r="F60" s="20">
        <f t="shared" si="3"/>
        <v>6.5463325085808211E-2</v>
      </c>
      <c r="G60" s="25">
        <f t="shared" si="4"/>
        <v>1.1092642689308874E-2</v>
      </c>
      <c r="H60" s="20">
        <f t="shared" si="5"/>
        <v>3.0131851973758561E-2</v>
      </c>
    </row>
    <row r="61" spans="1:8" ht="15" customHeight="1">
      <c r="A61" s="24">
        <v>2018</v>
      </c>
      <c r="B61" s="22">
        <f>COUNTIFS(Analysis!$B$2:$B$823,"&gt;="&amp;A61,Analysis!$B$2:$B$823,"&lt;"&amp;(A61+1))</f>
        <v>12</v>
      </c>
      <c r="C61" s="19">
        <f>AVERAGEIFS(Analysis!$D$2:$D$823,Analysis!$B$2:$B$823,"&gt;="&amp;A61,Analysis!$B$2:$B$823,"&lt;"&amp;(A61+1))</f>
        <v>408.71499999999997</v>
      </c>
      <c r="D61" s="20">
        <f>AVERAGEIFS(Analysis!$E$2:$E$823,Analysis!$B$2:$B$823,"&gt;="&amp;A61,Analysis!$B$2:$B$823,"&lt;"&amp;(A61+1))</f>
        <v>0.85083333333333433</v>
      </c>
      <c r="E61" s="25">
        <f>AVERAGEIFS(Analysis!$F$2:$F$823,Analysis!$B$2:$B$823,"&gt;="&amp;A61,Analysis!$B$2:$B$823,"&lt;"&amp;(A61+1))</f>
        <v>0.54565570832238308</v>
      </c>
      <c r="F61" s="20">
        <f t="shared" si="3"/>
        <v>-1.6703714050066432E-2</v>
      </c>
      <c r="G61" s="25">
        <f t="shared" si="4"/>
        <v>1.1384378593107702E-2</v>
      </c>
      <c r="H61" s="20">
        <f t="shared" si="5"/>
        <v>-5.3031685843943244E-2</v>
      </c>
    </row>
    <row r="62" spans="1:8" ht="15" customHeight="1">
      <c r="A62" s="24">
        <v>2019</v>
      </c>
      <c r="B62" s="22">
        <f>COUNTIFS(Analysis!$B$2:$B$823,"&gt;="&amp;A62,Analysis!$B$2:$B$823,"&lt;"&amp;(A62+1))</f>
        <v>12</v>
      </c>
      <c r="C62" s="19">
        <f>AVERAGEIFS(Analysis!$D$2:$D$823,Analysis!$B$2:$B$823,"&gt;="&amp;A62,Analysis!$B$2:$B$823,"&lt;"&amp;(A62+1))</f>
        <v>411.64916666666676</v>
      </c>
      <c r="D62" s="20">
        <f>AVERAGEIFS(Analysis!$E$2:$E$823,Analysis!$B$2:$B$823,"&gt;="&amp;A62,Analysis!$B$2:$B$823,"&lt;"&amp;(A62+1))</f>
        <v>0.97999999999999898</v>
      </c>
      <c r="E62" s="25">
        <f>AVERAGEIFS(Analysis!$F$2:$F$823,Analysis!$B$2:$B$823,"&gt;="&amp;A62,Analysis!$B$2:$B$823,"&lt;"&amp;(A62+1))</f>
        <v>0.55597376133382259</v>
      </c>
      <c r="F62" s="20">
        <f t="shared" si="3"/>
        <v>9.4462580147395392E-2</v>
      </c>
      <c r="G62" s="25">
        <f t="shared" si="4"/>
        <v>1.5067041343952536E-2</v>
      </c>
      <c r="H62" s="20">
        <f t="shared" si="5"/>
        <v>4.7838870872333406E-2</v>
      </c>
    </row>
    <row r="63" spans="1:8" ht="15" customHeight="1">
      <c r="A63" s="24">
        <v>2020</v>
      </c>
      <c r="B63" s="22">
        <f>COUNTIFS(Analysis!$B$2:$B$823,"&gt;="&amp;A63,Analysis!$B$2:$B$823,"&lt;"&amp;(A63+1))</f>
        <v>12</v>
      </c>
      <c r="C63" s="19">
        <f>AVERAGEIFS(Analysis!$D$2:$D$823,Analysis!$B$2:$B$823,"&gt;="&amp;A63,Analysis!$B$2:$B$823,"&lt;"&amp;(A63+1))</f>
        <v>414.21333333333331</v>
      </c>
      <c r="D63" s="20">
        <f>AVERAGEIFS(Analysis!$E$2:$E$823,Analysis!$B$2:$B$823,"&gt;="&amp;A63,Analysis!$B$2:$B$823,"&lt;"&amp;(A63+1))</f>
        <v>1.0075000000000005</v>
      </c>
      <c r="E63" s="25">
        <f>AVERAGEIFS(Analysis!$F$2:$F$823,Analysis!$B$2:$B$823,"&gt;="&amp;A63,Analysis!$B$2:$B$823,"&lt;"&amp;(A63+1))</f>
        <v>0.56493356806233885</v>
      </c>
      <c r="F63" s="20">
        <f t="shared" si="3"/>
        <v>0.10396220767819409</v>
      </c>
      <c r="G63" s="25">
        <f t="shared" si="4"/>
        <v>1.7391457811874123E-2</v>
      </c>
      <c r="H63" s="20">
        <f t="shared" si="5"/>
        <v>5.0767599912276862E-2</v>
      </c>
    </row>
    <row r="64" spans="1:8" ht="15" customHeight="1">
      <c r="A64" s="24">
        <v>2021</v>
      </c>
      <c r="B64" s="22">
        <f>COUNTIFS(Analysis!$B$2:$B$823,"&gt;="&amp;A64,Analysis!$B$2:$B$823,"&lt;"&amp;(A64+1))</f>
        <v>12</v>
      </c>
      <c r="C64" s="19">
        <f>AVERAGEIFS(Analysis!$D$2:$D$823,Analysis!$B$2:$B$823,"&gt;="&amp;A64,Analysis!$B$2:$B$823,"&lt;"&amp;(A64+1))</f>
        <v>416.41416666666669</v>
      </c>
      <c r="D64" s="20">
        <f>AVERAGEIFS(Analysis!$E$2:$E$823,Analysis!$B$2:$B$823,"&gt;="&amp;A64,Analysis!$B$2:$B$823,"&lt;"&amp;(A64+1))</f>
        <v>0.84916666666666762</v>
      </c>
      <c r="E64" s="25">
        <f>AVERAGEIFS(Analysis!$F$2:$F$823,Analysis!$B$2:$B$823,"&gt;="&amp;A64,Analysis!$B$2:$B$823,"&lt;"&amp;(A64+1))</f>
        <v>0.57257663795460223</v>
      </c>
      <c r="F64" s="20">
        <f t="shared" si="3"/>
        <v>-7.2371498124348732E-2</v>
      </c>
      <c r="G64" s="25">
        <f t="shared" si="4"/>
        <v>1.8399137443542823E-2</v>
      </c>
      <c r="H64" s="20">
        <f t="shared" si="5"/>
        <v>-0.12852600042009255</v>
      </c>
    </row>
    <row r="65" spans="1:8" ht="15" customHeight="1">
      <c r="A65" s="24">
        <v>2022</v>
      </c>
      <c r="B65" s="22">
        <f>COUNTIFS(Analysis!$B$2:$B$823,"&gt;="&amp;A65,Analysis!$B$2:$B$823,"&lt;"&amp;(A65+1))</f>
        <v>12</v>
      </c>
      <c r="C65" s="19">
        <f>AVERAGEIFS(Analysis!$D$2:$D$823,Analysis!$B$2:$B$823,"&gt;="&amp;A65,Analysis!$B$2:$B$823,"&lt;"&amp;(A65+1))</f>
        <v>418.52833333333336</v>
      </c>
      <c r="D65" s="20">
        <f>AVERAGEIFS(Analysis!$E$2:$E$823,Analysis!$B$2:$B$823,"&gt;="&amp;A65,Analysis!$B$2:$B$823,"&lt;"&amp;(A65+1))</f>
        <v>0.89250000000000063</v>
      </c>
      <c r="E65" s="25">
        <f>AVERAGEIFS(Analysis!$F$2:$F$823,Analysis!$B$2:$B$823,"&gt;="&amp;A65,Analysis!$B$2:$B$823,"&lt;"&amp;(A65+1))</f>
        <v>0.579887058389435</v>
      </c>
      <c r="F65" s="20">
        <f t="shared" si="3"/>
        <v>-4.703853726021856E-2</v>
      </c>
      <c r="G65" s="25">
        <f t="shared" si="4"/>
        <v>1.9074167617780913E-2</v>
      </c>
      <c r="H65" s="20">
        <f t="shared" si="5"/>
        <v>-0.10524068003825837</v>
      </c>
    </row>
    <row r="66" spans="1:8" ht="15" customHeight="1">
      <c r="A66" s="24">
        <v>2023</v>
      </c>
      <c r="B66" s="22">
        <f>COUNTIFS(Analysis!$B$2:$B$823,"&gt;="&amp;A66,Analysis!$B$2:$B$823,"&lt;"&amp;(A66+1))</f>
        <v>12</v>
      </c>
      <c r="C66" s="19">
        <f>AVERAGEIFS(Analysis!$D$2:$D$823,Analysis!$B$2:$B$823,"&gt;="&amp;A66,Analysis!$B$2:$B$823,"&lt;"&amp;(A66+1))</f>
        <v>421.07999999999993</v>
      </c>
      <c r="D66" s="20">
        <f>AVERAGEIFS(Analysis!$E$2:$E$823,Analysis!$B$2:$B$823,"&gt;="&amp;A66,Analysis!$B$2:$B$823,"&lt;"&amp;(A66+1))</f>
        <v>1.1724999999999992</v>
      </c>
      <c r="E66" s="25">
        <f>AVERAGEIFS(Analysis!$F$2:$F$823,Analysis!$B$2:$B$823,"&gt;="&amp;A66,Analysis!$B$2:$B$823,"&lt;"&amp;(A66+1))</f>
        <v>0.58865435505823871</v>
      </c>
      <c r="F66" s="20">
        <f t="shared" si="3"/>
        <v>0.21496109027057719</v>
      </c>
      <c r="G66" s="25">
        <f t="shared" si="4"/>
        <v>2.1206074025989952E-2</v>
      </c>
      <c r="H66" s="20">
        <f t="shared" si="5"/>
        <v>0.15071598637612138</v>
      </c>
    </row>
    <row r="67" spans="1:8" ht="15" customHeight="1">
      <c r="A67" s="24">
        <v>2024</v>
      </c>
      <c r="B67" s="22">
        <f>COUNTIFS(Analysis!$B$2:$B$823,"&gt;="&amp;A67,Analysis!$B$2:$B$823,"&lt;"&amp;(A67+1))</f>
        <v>12</v>
      </c>
      <c r="C67" s="19">
        <f>AVERAGEIFS(Analysis!$D$2:$D$823,Analysis!$B$2:$B$823,"&gt;="&amp;A67,Analysis!$B$2:$B$823,"&lt;"&amp;(A67+1))</f>
        <v>424.60416666666669</v>
      </c>
      <c r="D67" s="20">
        <f>AVERAGEIFS(Analysis!$E$2:$E$823,Analysis!$B$2:$B$823,"&gt;="&amp;A67,Analysis!$B$2:$B$823,"&lt;"&amp;(A67+1))</f>
        <v>1.2858333333333338</v>
      </c>
      <c r="E67" s="25">
        <f>AVERAGEIFS(Analysis!$F$2:$F$823,Analysis!$B$2:$B$823,"&gt;="&amp;A67,Analysis!$B$2:$B$823,"&lt;"&amp;(A67+1))</f>
        <v>0.6006802435656321</v>
      </c>
      <c r="F67" s="20">
        <f t="shared" si="3"/>
        <v>0.31029405113470898</v>
      </c>
      <c r="G67" s="25">
        <f t="shared" si="4"/>
        <v>2.6596572272788666E-2</v>
      </c>
      <c r="H67" s="20">
        <f t="shared" si="5"/>
        <v>0.23106966133020168</v>
      </c>
    </row>
    <row r="68" spans="1:8" ht="15" customHeight="1">
      <c r="A68" s="24">
        <v>2025</v>
      </c>
      <c r="B68" s="22">
        <f>COUNTIFS(Analysis!$B$2:$B$823,"&gt;="&amp;A68,Analysis!$B$2:$B$823,"&lt;"&amp;(A68+1))</f>
        <v>12</v>
      </c>
      <c r="C68" s="19">
        <f>AVERAGEIFS(Analysis!$D$2:$D$823,Analysis!$B$2:$B$823,"&gt;="&amp;A68,Analysis!$B$2:$B$823,"&lt;"&amp;(A68+1))</f>
        <v>427.34916666666663</v>
      </c>
      <c r="D68" s="20">
        <f>AVERAGEIFS(Analysis!$E$2:$E$823,Analysis!$B$2:$B$823,"&gt;="&amp;A68,Analysis!$B$2:$B$823,"&lt;"&amp;(A68+1))</f>
        <v>1.193333333333334</v>
      </c>
      <c r="E68" s="25">
        <f>AVERAGEIFS(Analysis!$F$2:$F$823,Analysis!$B$2:$B$823,"&gt;="&amp;A68,Analysis!$B$2:$B$823,"&lt;"&amp;(A68+1))</f>
        <v>0.60997494216523618</v>
      </c>
      <c r="F68" s="20">
        <f t="shared" si="3"/>
        <v>0.19979367866549924</v>
      </c>
      <c r="G68" s="25">
        <f t="shared" si="4"/>
        <v>2.9255880611798069E-2</v>
      </c>
      <c r="H68" s="20">
        <f t="shared" si="5"/>
        <v>0.11307998675317399</v>
      </c>
    </row>
  </sheetData>
  <mergeCells count="1">
    <mergeCell ref="J27:L27"/>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92C53-6779-44F6-A578-7C3ABA143026}">
  <dimension ref="A1:O791"/>
  <sheetViews>
    <sheetView zoomScaleNormal="100" workbookViewId="0">
      <pane ySplit="1" topLeftCell="A2" activePane="bottomLeft" state="frozen"/>
      <selection pane="bottomLeft"/>
    </sheetView>
  </sheetViews>
  <sheetFormatPr defaultColWidth="8.5703125" defaultRowHeight="15"/>
  <cols>
    <col min="1" max="1" width="11" customWidth="1"/>
    <col min="2" max="2" width="12" customWidth="1"/>
    <col min="3" max="3" width="14" customWidth="1"/>
    <col min="4" max="4" width="18" customWidth="1"/>
    <col min="5" max="5" width="3" customWidth="1"/>
    <col min="6" max="6" width="7" customWidth="1"/>
    <col min="7" max="7" width="16" customWidth="1"/>
    <col min="8" max="8" width="17" customWidth="1"/>
    <col min="9" max="9" width="15" customWidth="1"/>
    <col min="10" max="11" width="22" customWidth="1"/>
    <col min="12" max="13" width="3" customWidth="1"/>
    <col min="14" max="14" width="44" customWidth="1"/>
    <col min="15" max="15" width="12" customWidth="1"/>
  </cols>
  <sheetData>
    <row r="1" spans="1:15" ht="15" customHeight="1">
      <c r="A1" s="17" t="s">
        <v>63</v>
      </c>
      <c r="B1" s="17" t="s">
        <v>1892</v>
      </c>
      <c r="C1" s="17" t="s">
        <v>1893</v>
      </c>
      <c r="D1" s="17" t="s">
        <v>1894</v>
      </c>
      <c r="F1" s="17" t="s">
        <v>49</v>
      </c>
      <c r="G1" s="17" t="s">
        <v>1855</v>
      </c>
      <c r="H1" s="17" t="s">
        <v>1856</v>
      </c>
      <c r="I1" s="17" t="s">
        <v>1895</v>
      </c>
      <c r="J1" s="17" t="s">
        <v>1896</v>
      </c>
      <c r="K1" s="17" t="s">
        <v>1897</v>
      </c>
    </row>
    <row r="2" spans="1:15" ht="15" customHeight="1">
      <c r="A2" s="18" t="str">
        <f>Analysis!A2</f>
        <v>3/1958</v>
      </c>
      <c r="B2" s="19">
        <f>Analysis!E2</f>
        <v>8.0000000000000071E-2</v>
      </c>
      <c r="C2" s="20">
        <f>Analysis!F2</f>
        <v>0.17317313104772078</v>
      </c>
      <c r="D2" s="30">
        <v>1361.03</v>
      </c>
      <c r="F2" s="24">
        <v>1959</v>
      </c>
      <c r="G2" s="20">
        <f>AVERAGEIFS(Analysis!$E$2:$E$823,Analysis!$B$2:$B$823,"&gt;="&amp;F2,Analysis!$B$2:$B$823,"&lt;"&amp;(F2+1))</f>
        <v>3.0833333333332824E-2</v>
      </c>
      <c r="H2" s="25">
        <f>AVERAGEIFS(Analysis!$F$2:$F$823,Analysis!$B$2:$B$823,"&gt;="&amp;F2,Analysis!$B$2:$B$823,"&lt;"&amp;(F2+1))</f>
        <v>0.17439669687104098</v>
      </c>
      <c r="I2" s="19">
        <f>AVERAGEIFS($D$2:$D$791,Analysis!$B$2:$B$791,"&gt;="&amp;F2,Analysis!$B$2:$B$791,"&lt;"&amp;(F2+1))</f>
        <v>1361.5649999999998</v>
      </c>
      <c r="J2" s="20">
        <f>Annual!H2</f>
        <v>0.14510475874037193</v>
      </c>
      <c r="K2" s="20">
        <f t="shared" ref="K2:K33" si="0">$O$16+$O$17*H2+$O$18*I2</f>
        <v>-7.2108867342350891E-2</v>
      </c>
      <c r="N2" s="17" t="s">
        <v>1898</v>
      </c>
    </row>
    <row r="3" spans="1:15" ht="15" customHeight="1">
      <c r="A3" s="18" t="str">
        <f>Analysis!A3</f>
        <v>4/1958</v>
      </c>
      <c r="B3" s="19">
        <f>Analysis!E3</f>
        <v>1.0000000000001563E-2</v>
      </c>
      <c r="C3" s="20">
        <f>Analysis!F3</f>
        <v>0.1811025507537978</v>
      </c>
      <c r="D3" s="30">
        <v>1361.85</v>
      </c>
      <c r="F3" s="24">
        <v>1960</v>
      </c>
      <c r="G3" s="20">
        <f>AVERAGEIFS(Analysis!$E$2:$E$823,Analysis!$B$2:$B$823,"&gt;="&amp;F3,Analysis!$B$2:$B$823,"&lt;"&amp;(F3+1))</f>
        <v>-2.4999999999999616E-2</v>
      </c>
      <c r="H3" s="25">
        <f>AVERAGEIFS(Analysis!$F$2:$F$823,Analysis!$B$2:$B$823,"&gt;="&amp;F3,Analysis!$B$2:$B$823,"&lt;"&amp;(F3+1))</f>
        <v>0.17861133837791365</v>
      </c>
      <c r="I3" s="19">
        <f>AVERAGEIFS($D$2:$D$791,Analysis!$B$2:$B$791,"&gt;="&amp;F3,Analysis!$B$2:$B$791,"&lt;"&amp;(F3+1))</f>
        <v>1361.4283333333335</v>
      </c>
      <c r="J3" s="20">
        <f>Annual!H3</f>
        <v>7.7713240994949487E-2</v>
      </c>
      <c r="K3" s="20">
        <f t="shared" si="0"/>
        <v>-7.0102138190463847E-2</v>
      </c>
      <c r="N3" t="s">
        <v>1899</v>
      </c>
      <c r="O3" s="21">
        <v>0.3</v>
      </c>
    </row>
    <row r="4" spans="1:15" ht="15" customHeight="1">
      <c r="A4" s="18" t="str">
        <f>Analysis!A4</f>
        <v>5/1958</v>
      </c>
      <c r="B4" s="19">
        <f>Analysis!E4</f>
        <v>5.9999999999998721E-2</v>
      </c>
      <c r="C4" s="20">
        <f>Analysis!F4</f>
        <v>0.18137520321288492</v>
      </c>
      <c r="D4" s="30">
        <v>1362.07</v>
      </c>
      <c r="F4" s="24">
        <v>1961</v>
      </c>
      <c r="G4" s="20">
        <f>AVERAGEIFS(Analysis!$E$2:$E$823,Analysis!$B$2:$B$823,"&gt;="&amp;F4,Analysis!$B$2:$B$823,"&lt;"&amp;(F4+1))</f>
        <v>5.6666666666666345E-2</v>
      </c>
      <c r="H4" s="25">
        <f>AVERAGEIFS(Analysis!$F$2:$F$823,Analysis!$B$2:$B$823,"&gt;="&amp;F4,Analysis!$B$2:$B$823,"&lt;"&amp;(F4+1))</f>
        <v>0.18196022855888627</v>
      </c>
      <c r="I4" s="19">
        <f>AVERAGEIFS($D$2:$D$791,Analysis!$B$2:$B$791,"&gt;="&amp;F4,Analysis!$B$2:$B$791,"&lt;"&amp;(F4+1))</f>
        <v>1360.9950000000001</v>
      </c>
      <c r="J4" s="20">
        <f>Annual!H4</f>
        <v>0.15019594973200259</v>
      </c>
      <c r="K4" s="20">
        <f t="shared" si="0"/>
        <v>-9.0402124616417723E-2</v>
      </c>
      <c r="N4" t="s">
        <v>1900</v>
      </c>
      <c r="O4" s="21">
        <v>5.35</v>
      </c>
    </row>
    <row r="5" spans="1:15" ht="15" customHeight="1">
      <c r="A5" s="18" t="str">
        <f>Analysis!A5</f>
        <v>6/1958</v>
      </c>
      <c r="B5" s="19">
        <f>Analysis!E5</f>
        <v>-9.0000000000001634E-2</v>
      </c>
      <c r="C5" s="20">
        <f>Analysis!F5</f>
        <v>0.1802842840714132</v>
      </c>
      <c r="D5" s="30">
        <v>1362.08</v>
      </c>
      <c r="F5" s="24">
        <v>1962</v>
      </c>
      <c r="G5" s="20">
        <f>AVERAGEIFS(Analysis!$E$2:$E$823,Analysis!$B$2:$B$823,"&gt;="&amp;F5,Analysis!$B$2:$B$823,"&lt;"&amp;(F5+1))</f>
        <v>3.0833333333334007E-2</v>
      </c>
      <c r="H5" s="25">
        <f>AVERAGEIFS(Analysis!$F$2:$F$823,Analysis!$B$2:$B$823,"&gt;="&amp;F5,Analysis!$B$2:$B$823,"&lt;"&amp;(F5+1))</f>
        <v>0.18563275308825636</v>
      </c>
      <c r="I5" s="19">
        <f>AVERAGEIFS($D$2:$D$791,Analysis!$B$2:$B$791,"&gt;="&amp;F5,Analysis!$B$2:$B$791,"&lt;"&amp;(F5+1))</f>
        <v>1360.7974999999999</v>
      </c>
      <c r="J5" s="20">
        <f>Annual!H5</f>
        <v>0.11429112735288423</v>
      </c>
      <c r="K5" s="20">
        <f t="shared" si="0"/>
        <v>-9.3940204149319584E-2</v>
      </c>
    </row>
    <row r="6" spans="1:15" ht="15" customHeight="1">
      <c r="A6" s="18" t="str">
        <f>Analysis!A6</f>
        <v>7/1958</v>
      </c>
      <c r="B6" s="19">
        <f>Analysis!E6</f>
        <v>5.0000000000004263E-2</v>
      </c>
      <c r="C6" s="20">
        <f>Analysis!F6</f>
        <v>0.17390409533246803</v>
      </c>
      <c r="D6" s="30">
        <v>1361.68</v>
      </c>
      <c r="F6" s="24">
        <v>1963</v>
      </c>
      <c r="G6" s="20">
        <f>AVERAGEIFS(Analysis!$E$2:$E$823,Analysis!$B$2:$B$823,"&gt;="&amp;F6,Analysis!$B$2:$B$823,"&lt;"&amp;(F6+1))</f>
        <v>5.4166666666666995E-2</v>
      </c>
      <c r="H6" s="25">
        <f>AVERAGEIFS(Analysis!$F$2:$F$823,Analysis!$B$2:$B$823,"&gt;="&amp;F6,Analysis!$B$2:$B$823,"&lt;"&amp;(F6+1))</f>
        <v>0.18806837681949565</v>
      </c>
      <c r="I6" s="19">
        <f>AVERAGEIFS($D$2:$D$791,Analysis!$B$2:$B$791,"&gt;="&amp;F6,Analysis!$B$2:$B$791,"&lt;"&amp;(F6+1))</f>
        <v>1360.7333333333333</v>
      </c>
      <c r="J6" s="20">
        <f>Annual!H6</f>
        <v>0.1309450341683934</v>
      </c>
      <c r="K6" s="20">
        <f t="shared" si="0"/>
        <v>-9.1781845712091581E-2</v>
      </c>
      <c r="N6" s="17" t="s">
        <v>1901</v>
      </c>
    </row>
    <row r="7" spans="1:15" ht="15" customHeight="1">
      <c r="A7" s="18" t="str">
        <f>Analysis!A7</f>
        <v>8/1958</v>
      </c>
      <c r="B7" s="19">
        <f>Analysis!E7</f>
        <v>-5.0000000000000711E-2</v>
      </c>
      <c r="C7" s="20">
        <f>Analysis!F7</f>
        <v>0.16960436691695893</v>
      </c>
      <c r="D7" s="30">
        <v>1361.92</v>
      </c>
      <c r="F7" s="24">
        <v>1964</v>
      </c>
      <c r="G7" s="20">
        <f>AVERAGEIFS(Analysis!$E$2:$E$823,Analysis!$B$2:$B$823,"&gt;="&amp;F7,Analysis!$B$2:$B$823,"&lt;"&amp;(F7+1))</f>
        <v>-0.1991666666666673</v>
      </c>
      <c r="H7" s="25">
        <f>AVERAGEIFS(Analysis!$F$2:$F$823,Analysis!$B$2:$B$823,"&gt;="&amp;F7,Analysis!$B$2:$B$823,"&lt;"&amp;(F7+1))</f>
        <v>0.19090694656901711</v>
      </c>
      <c r="I7" s="19">
        <f>AVERAGEIFS($D$2:$D$791,Analysis!$B$2:$B$791,"&gt;="&amp;F7,Analysis!$B$2:$B$791,"&lt;"&amp;(F7+1))</f>
        <v>1360.7283333333332</v>
      </c>
      <c r="J7" s="20">
        <f>Annual!H7</f>
        <v>-0.1301727602105717</v>
      </c>
      <c r="K7" s="20">
        <f t="shared" si="0"/>
        <v>-8.45615752755009E-2</v>
      </c>
      <c r="N7" s="18" t="s">
        <v>1861</v>
      </c>
      <c r="O7" s="22">
        <f>COUNT($G$2:$G$66)</f>
        <v>65</v>
      </c>
    </row>
    <row r="8" spans="1:15" ht="15" customHeight="1">
      <c r="A8" s="18" t="str">
        <f>Analysis!A8</f>
        <v>9/1958</v>
      </c>
      <c r="B8" s="19">
        <f>Analysis!E8</f>
        <v>-2.9999999999999361E-2</v>
      </c>
      <c r="C8" s="20">
        <f>Analysis!F8</f>
        <v>0.1617034477834195</v>
      </c>
      <c r="D8" s="30">
        <v>1362.04</v>
      </c>
      <c r="F8" s="24">
        <v>1965</v>
      </c>
      <c r="G8" s="20">
        <f>AVERAGEIFS(Analysis!$E$2:$E$823,Analysis!$B$2:$B$823,"&gt;="&amp;F8,Analysis!$B$2:$B$823,"&lt;"&amp;(F8+1))</f>
        <v>-0.10666666666666676</v>
      </c>
      <c r="H8" s="25">
        <f>AVERAGEIFS(Analysis!$F$2:$F$823,Analysis!$B$2:$B$823,"&gt;="&amp;F8,Analysis!$B$2:$B$823,"&lt;"&amp;(F8+1))</f>
        <v>0.19279248762081727</v>
      </c>
      <c r="I8" s="19">
        <f>AVERAGEIFS($D$2:$D$791,Analysis!$B$2:$B$791,"&gt;="&amp;F8,Analysis!$B$2:$B$791,"&lt;"&amp;(F8+1))</f>
        <v>1360.7724999999998</v>
      </c>
      <c r="J8" s="20">
        <f>Annual!H8</f>
        <v>-4.2843646312683184E-2</v>
      </c>
      <c r="K8" s="20">
        <f t="shared" si="0"/>
        <v>-7.6563742042040417E-2</v>
      </c>
      <c r="N8" s="18" t="s">
        <v>1902</v>
      </c>
      <c r="O8" s="19">
        <f>AVERAGE($I$2:$I$66)</f>
        <v>1361.0745256410253</v>
      </c>
    </row>
    <row r="9" spans="1:15" ht="15" customHeight="1">
      <c r="A9" s="18" t="str">
        <f>Analysis!A9</f>
        <v>10/1958</v>
      </c>
      <c r="B9" s="19">
        <f>Analysis!E9</f>
        <v>3.9999999999999147E-2</v>
      </c>
      <c r="C9" s="20">
        <f>Analysis!F9</f>
        <v>0.1580599853917147</v>
      </c>
      <c r="D9" s="30">
        <v>1361.99</v>
      </c>
      <c r="F9" s="24">
        <v>1966</v>
      </c>
      <c r="G9" s="20">
        <f>AVERAGEIFS(Analysis!$E$2:$E$823,Analysis!$B$2:$B$823,"&gt;="&amp;F9,Analysis!$B$2:$B$823,"&lt;"&amp;(F9+1))</f>
        <v>-5.7499999999999364E-2</v>
      </c>
      <c r="H9" s="25">
        <f>AVERAGEIFS(Analysis!$F$2:$F$823,Analysis!$B$2:$B$823,"&gt;="&amp;F9,Analysis!$B$2:$B$823,"&lt;"&amp;(F9+1))</f>
        <v>0.19877221770103162</v>
      </c>
      <c r="I9" s="19">
        <f>AVERAGEIFS($D$2:$D$791,Analysis!$B$2:$B$791,"&gt;="&amp;F9,Analysis!$B$2:$B$791,"&lt;"&amp;(F9+1))</f>
        <v>1361.0008333333333</v>
      </c>
      <c r="J9" s="20">
        <f>Annual!H9</f>
        <v>-1.0075722668153188E-2</v>
      </c>
      <c r="K9" s="20">
        <f t="shared" si="0"/>
        <v>-4.5248766924217421E-2</v>
      </c>
      <c r="N9" s="18" t="s">
        <v>1903</v>
      </c>
      <c r="O9" s="19">
        <f>MAX($I$2:$I$66)-MIN($I$2:$I$66)</f>
        <v>1.3983333333333121</v>
      </c>
    </row>
    <row r="10" spans="1:15" ht="15" customHeight="1">
      <c r="A10" s="18" t="str">
        <f>Analysis!A10</f>
        <v>11/1958</v>
      </c>
      <c r="B10" s="19">
        <f>Analysis!E10</f>
        <v>2.0000000000003126E-2</v>
      </c>
      <c r="C10" s="20">
        <f>Analysis!F10</f>
        <v>0.16225608099765507</v>
      </c>
      <c r="D10" s="30">
        <v>1362.07</v>
      </c>
      <c r="F10" s="24">
        <v>1967</v>
      </c>
      <c r="G10" s="20">
        <f>AVERAGEIFS(Analysis!$E$2:$E$823,Analysis!$B$2:$B$823,"&gt;="&amp;F10,Analysis!$B$2:$B$823,"&lt;"&amp;(F10+1))</f>
        <v>-2.4166666666666597E-2</v>
      </c>
      <c r="H10" s="25">
        <f>AVERAGEIFS(Analysis!$F$2:$F$823,Analysis!$B$2:$B$823,"&gt;="&amp;F10,Analysis!$B$2:$B$823,"&lt;"&amp;(F10+1))</f>
        <v>0.20241455784943219</v>
      </c>
      <c r="I10" s="19">
        <f>AVERAGEIFS($D$2:$D$791,Analysis!$B$2:$B$791,"&gt;="&amp;F10,Analysis!$B$2:$B$791,"&lt;"&amp;(F10+1))</f>
        <v>1361.2249999999999</v>
      </c>
      <c r="J10" s="20">
        <f>Annual!H10</f>
        <v>1.3268898918730027E-2</v>
      </c>
      <c r="K10" s="20">
        <f t="shared" si="0"/>
        <v>-2.0437757860662487E-2</v>
      </c>
      <c r="N10" s="18" t="s">
        <v>1904</v>
      </c>
      <c r="O10" s="20">
        <f>SLOPE($I$2:$I$66,$F$2:$F$66)*10</f>
        <v>-6.9777097902137299E-3</v>
      </c>
    </row>
    <row r="11" spans="1:15" ht="15" customHeight="1">
      <c r="A11" s="18" t="str">
        <f>Analysis!A11</f>
        <v>12/1958</v>
      </c>
      <c r="B11" s="19">
        <f>Analysis!E11</f>
        <v>1.0000000000001563E-2</v>
      </c>
      <c r="C11" s="20">
        <f>Analysis!F11</f>
        <v>0.16841281440122227</v>
      </c>
      <c r="D11" s="30">
        <v>1361.54</v>
      </c>
      <c r="F11" s="24">
        <v>1968</v>
      </c>
      <c r="G11" s="20">
        <f>AVERAGEIFS(Analysis!$E$2:$E$823,Analysis!$B$2:$B$823,"&gt;="&amp;F11,Analysis!$B$2:$B$823,"&lt;"&amp;(F11+1))</f>
        <v>-8.2500000000000018E-2</v>
      </c>
      <c r="H11" s="25">
        <f>AVERAGEIFS(Analysis!$F$2:$F$823,Analysis!$B$2:$B$823,"&gt;="&amp;F11,Analysis!$B$2:$B$823,"&lt;"&amp;(F11+1))</f>
        <v>0.20630941394392599</v>
      </c>
      <c r="I11" s="19">
        <f>AVERAGEIFS($D$2:$D$791,Analysis!$B$2:$B$791,"&gt;="&amp;F11,Analysis!$B$2:$B$791,"&lt;"&amp;(F11+1))</f>
        <v>1361.3041666666668</v>
      </c>
      <c r="J11" s="20">
        <f>Annual!H11</f>
        <v>-5.5745642988405786E-2</v>
      </c>
      <c r="K11" s="20">
        <f t="shared" si="0"/>
        <v>-4.7305883561108431E-3</v>
      </c>
      <c r="N11" s="18" t="s">
        <v>1905</v>
      </c>
      <c r="O11" s="20">
        <f>RSQ($G$2:$G$66,$I$2:$I$66)</f>
        <v>1.5483770983728141E-3</v>
      </c>
    </row>
    <row r="12" spans="1:15" ht="15" customHeight="1">
      <c r="A12" s="18" t="str">
        <f>Analysis!A12</f>
        <v>1/1959</v>
      </c>
      <c r="B12" s="19">
        <f>Analysis!E12</f>
        <v>8.0000000000000071E-2</v>
      </c>
      <c r="C12" s="20">
        <f>Analysis!F12</f>
        <v>0.17257894974287927</v>
      </c>
      <c r="D12" s="30">
        <v>1361.36</v>
      </c>
      <c r="F12" s="24">
        <v>1969</v>
      </c>
      <c r="G12" s="20">
        <f>AVERAGEIFS(Analysis!$E$2:$E$823,Analysis!$B$2:$B$823,"&gt;="&amp;F12,Analysis!$B$2:$B$823,"&lt;"&amp;(F12+1))</f>
        <v>5.2500000000000213E-2</v>
      </c>
      <c r="H12" s="25">
        <f>AVERAGEIFS(Analysis!$F$2:$F$823,Analysis!$B$2:$B$823,"&gt;="&amp;F12,Analysis!$B$2:$B$823,"&lt;"&amp;(F12+1))</f>
        <v>0.21330789689493801</v>
      </c>
      <c r="I12" s="19">
        <f>AVERAGEIFS($D$2:$D$791,Analysis!$B$2:$B$791,"&gt;="&amp;F12,Analysis!$B$2:$B$791,"&lt;"&amp;(F12+1))</f>
        <v>1361.3766666666668</v>
      </c>
      <c r="J12" s="20">
        <f>Annual!H12</f>
        <v>6.0061797829334074E-2</v>
      </c>
      <c r="K12" s="20">
        <f t="shared" si="0"/>
        <v>1.879016749533946E-2</v>
      </c>
      <c r="N12" s="18" t="s">
        <v>1906</v>
      </c>
      <c r="O12" s="20">
        <f>CORREL($J$2:$J$66,$I$2:$I$66)</f>
        <v>0.26682412931971194</v>
      </c>
    </row>
    <row r="13" spans="1:15" ht="15" customHeight="1">
      <c r="A13" s="18" t="str">
        <f>Analysis!A13</f>
        <v>2/1959</v>
      </c>
      <c r="B13" s="19">
        <f>Analysis!E13</f>
        <v>7.0000000000000284E-2</v>
      </c>
      <c r="C13" s="20">
        <f>Analysis!F13</f>
        <v>0.17673308898155007</v>
      </c>
      <c r="D13" s="30">
        <v>1361.98</v>
      </c>
      <c r="F13" s="24">
        <v>1970</v>
      </c>
      <c r="G13" s="20">
        <f>AVERAGEIFS(Analysis!$E$2:$E$823,Analysis!$B$2:$B$823,"&gt;="&amp;F13,Analysis!$B$2:$B$823,"&lt;"&amp;(F13+1))</f>
        <v>2.7500000000000746E-2</v>
      </c>
      <c r="H13" s="25">
        <f>AVERAGEIFS(Analysis!$F$2:$F$823,Analysis!$B$2:$B$823,"&gt;="&amp;F13,Analysis!$B$2:$B$823,"&lt;"&amp;(F13+1))</f>
        <v>0.21801538220265768</v>
      </c>
      <c r="I13" s="19">
        <f>AVERAGEIFS($D$2:$D$791,Analysis!$B$2:$B$791,"&gt;="&amp;F13,Analysis!$B$2:$B$791,"&lt;"&amp;(F13+1))</f>
        <v>1361.3741666666665</v>
      </c>
      <c r="J13" s="20">
        <f>Annual!H13</f>
        <v>2.2152044244100111E-2</v>
      </c>
      <c r="K13" s="20">
        <f t="shared" si="0"/>
        <v>3.1154773318135653E-2</v>
      </c>
      <c r="N13" s="18" t="s">
        <v>1907</v>
      </c>
      <c r="O13" s="20">
        <f>RSQ($G$2:$G$66,$H$2:$H$66)</f>
        <v>0.92755729813757681</v>
      </c>
    </row>
    <row r="14" spans="1:15" ht="15" customHeight="1">
      <c r="A14" s="18" t="str">
        <f>Analysis!A14</f>
        <v>3/1959</v>
      </c>
      <c r="B14" s="19">
        <f>Analysis!E14</f>
        <v>0.17999999999999972</v>
      </c>
      <c r="C14" s="20">
        <f>Analysis!F14</f>
        <v>0.17746225223598333</v>
      </c>
      <c r="D14" s="30">
        <v>1361.39</v>
      </c>
      <c r="F14" s="24">
        <v>1971</v>
      </c>
      <c r="G14" s="20">
        <f>AVERAGEIFS(Analysis!$E$2:$E$823,Analysis!$B$2:$B$823,"&gt;="&amp;F14,Analysis!$B$2:$B$823,"&lt;"&amp;(F14+1))</f>
        <v>-7.9166666666666455E-2</v>
      </c>
      <c r="H14" s="25">
        <f>AVERAGEIFS(Analysis!$F$2:$F$823,Analysis!$B$2:$B$823,"&gt;="&amp;F14,Analysis!$B$2:$B$823,"&lt;"&amp;(F14+1))</f>
        <v>0.22084048798225211</v>
      </c>
      <c r="I14" s="19">
        <f>AVERAGEIFS($D$2:$D$791,Analysis!$B$2:$B$791,"&gt;="&amp;F14,Analysis!$B$2:$B$791,"&lt;"&amp;(F14+1))</f>
        <v>1361.04</v>
      </c>
      <c r="J14" s="20">
        <f>Annual!H14</f>
        <v>-9.2262160031867338E-2</v>
      </c>
      <c r="K14" s="20">
        <f t="shared" si="0"/>
        <v>1.6146246402840347E-2</v>
      </c>
    </row>
    <row r="15" spans="1:15" ht="15" customHeight="1">
      <c r="A15" s="18" t="str">
        <f>Analysis!A15</f>
        <v>4/1959</v>
      </c>
      <c r="B15" s="19">
        <f>Analysis!E15</f>
        <v>0.16000000000000014</v>
      </c>
      <c r="C15" s="20">
        <f>Analysis!F15</f>
        <v>0.18232908124013067</v>
      </c>
      <c r="D15" s="30">
        <v>1361.71</v>
      </c>
      <c r="F15" s="24">
        <v>1972</v>
      </c>
      <c r="G15" s="20">
        <f>AVERAGEIFS(Analysis!$E$2:$E$823,Analysis!$B$2:$B$823,"&gt;="&amp;F15,Analysis!$B$2:$B$823,"&lt;"&amp;(F15+1))</f>
        <v>9.1666666666673589E-3</v>
      </c>
      <c r="H15" s="25">
        <f>AVERAGEIFS(Analysis!$F$2:$F$823,Analysis!$B$2:$B$823,"&gt;="&amp;F15,Analysis!$B$2:$B$823,"&lt;"&amp;(F15+1))</f>
        <v>0.22586052597671843</v>
      </c>
      <c r="I15" s="19">
        <f>AVERAGEIFS($D$2:$D$791,Analysis!$B$2:$B$791,"&gt;="&amp;F15,Analysis!$B$2:$B$791,"&lt;"&amp;(F15+1))</f>
        <v>1361.1008333333336</v>
      </c>
      <c r="J15" s="20">
        <f>Annual!H15</f>
        <v>-1.7695721178437616E-2</v>
      </c>
      <c r="K15" s="20">
        <f t="shared" si="0"/>
        <v>3.3613025390735629E-2</v>
      </c>
      <c r="N15" s="17" t="s">
        <v>1908</v>
      </c>
    </row>
    <row r="16" spans="1:15" ht="15" customHeight="1">
      <c r="A16" s="18" t="str">
        <f>Analysis!A16</f>
        <v>5/1959</v>
      </c>
      <c r="B16" s="19">
        <f>Analysis!E16</f>
        <v>3.9999999999999147E-2</v>
      </c>
      <c r="C16" s="20">
        <f>Analysis!F16</f>
        <v>0.18491500408245293</v>
      </c>
      <c r="D16" s="30">
        <v>1361.74</v>
      </c>
      <c r="F16" s="24">
        <v>1973</v>
      </c>
      <c r="G16" s="20">
        <f>AVERAGEIFS(Analysis!$E$2:$E$823,Analysis!$B$2:$B$823,"&gt;="&amp;F16,Analysis!$B$2:$B$823,"&lt;"&amp;(F16+1))</f>
        <v>0.16083333333333302</v>
      </c>
      <c r="H16" s="25">
        <f>AVERAGEIFS(Analysis!$F$2:$F$823,Analysis!$B$2:$B$823,"&gt;="&amp;F16,Analysis!$B$2:$B$823,"&lt;"&amp;(F16+1))</f>
        <v>0.23562787907160213</v>
      </c>
      <c r="I16" s="19">
        <f>AVERAGEIFS($D$2:$D$791,Analysis!$B$2:$B$791,"&gt;="&amp;F16,Analysis!$B$2:$B$791,"&lt;"&amp;(F16+1))</f>
        <v>1360.865</v>
      </c>
      <c r="J16" s="20">
        <f>Annual!H16</f>
        <v>0.10718506865752428</v>
      </c>
      <c r="K16" s="20">
        <f t="shared" si="0"/>
        <v>4.3717258425502337E-2</v>
      </c>
      <c r="N16" s="18" t="s">
        <v>1909</v>
      </c>
      <c r="O16" s="19">
        <f>INDEX(LINEST($G$2:$G$66,$H$2:$H$66:$I$2:$I$66),1,3)</f>
        <v>-92.335343410642551</v>
      </c>
    </row>
    <row r="17" spans="1:15" ht="15" customHeight="1">
      <c r="A17" s="18" t="str">
        <f>Analysis!A17</f>
        <v>6/1959</v>
      </c>
      <c r="B17" s="19">
        <f>Analysis!E17</f>
        <v>2.9999999999997584E-2</v>
      </c>
      <c r="C17" s="20">
        <f>Analysis!F17</f>
        <v>0.1842802944193824</v>
      </c>
      <c r="D17" s="30">
        <v>1361.6</v>
      </c>
      <c r="F17" s="24">
        <v>1974</v>
      </c>
      <c r="G17" s="20">
        <f>AVERAGEIFS(Analysis!$E$2:$E$823,Analysis!$B$2:$B$823,"&gt;="&amp;F17,Analysis!$B$2:$B$823,"&lt;"&amp;(F17+1))</f>
        <v>-7.1666666666667364E-2</v>
      </c>
      <c r="H17" s="25">
        <f>AVERAGEIFS(Analysis!$F$2:$F$823,Analysis!$B$2:$B$823,"&gt;="&amp;F17,Analysis!$B$2:$B$823,"&lt;"&amp;(F17+1))</f>
        <v>0.23785981722471297</v>
      </c>
      <c r="I17" s="19">
        <f>AVERAGEIFS($D$2:$D$791,Analysis!$B$2:$B$791,"&gt;="&amp;F17,Analysis!$B$2:$B$791,"&lt;"&amp;(F17+1))</f>
        <v>1360.7716666666668</v>
      </c>
      <c r="J17" s="20">
        <f>Annual!H17</f>
        <v>-0.1314357728726438</v>
      </c>
      <c r="K17" s="20">
        <f t="shared" si="0"/>
        <v>4.3366862485456181E-2</v>
      </c>
      <c r="N17" s="18" t="s">
        <v>1910</v>
      </c>
      <c r="O17" s="19">
        <f>INDEX(LINEST($G$2:$G$66,$H$2:$H$66:$I$2:$I$66),1,2)</f>
        <v>2.6623895906012924</v>
      </c>
    </row>
    <row r="18" spans="1:15" ht="15" customHeight="1">
      <c r="A18" s="18" t="str">
        <f>Analysis!A18</f>
        <v>7/1959</v>
      </c>
      <c r="B18" s="19">
        <f>Analysis!E18</f>
        <v>2.9999999999997584E-2</v>
      </c>
      <c r="C18" s="20">
        <f>Analysis!F18</f>
        <v>0.17696099208944205</v>
      </c>
      <c r="D18" s="30">
        <v>1361.81</v>
      </c>
      <c r="F18" s="24">
        <v>1975</v>
      </c>
      <c r="G18" s="20">
        <f>AVERAGEIFS(Analysis!$E$2:$E$823,Analysis!$B$2:$B$823,"&gt;="&amp;F18,Analysis!$B$2:$B$823,"&lt;"&amp;(F18+1))</f>
        <v>-1.3333333333332309E-2</v>
      </c>
      <c r="H18" s="25">
        <f>AVERAGEIFS(Analysis!$F$2:$F$823,Analysis!$B$2:$B$823,"&gt;="&amp;F18,Analysis!$B$2:$B$823,"&lt;"&amp;(F18+1))</f>
        <v>0.24193918054612207</v>
      </c>
      <c r="I18" s="19">
        <f>AVERAGEIFS($D$2:$D$791,Analysis!$B$2:$B$791,"&gt;="&amp;F18,Analysis!$B$2:$B$791,"&lt;"&amp;(F18+1))</f>
        <v>1360.7150000000001</v>
      </c>
      <c r="J18" s="20">
        <f>Annual!H18</f>
        <v>-8.4289638610896667E-2</v>
      </c>
      <c r="K18" s="20">
        <f t="shared" si="0"/>
        <v>5.040715827232134E-2</v>
      </c>
      <c r="N18" s="18" t="s">
        <v>1911</v>
      </c>
      <c r="O18" s="20">
        <f>INDEX(LINEST($G$2:$G$66,$H$2:$H$66:$I$2:$I$66),1,1)</f>
        <v>6.7421623347335966E-2</v>
      </c>
    </row>
    <row r="19" spans="1:15" ht="15" customHeight="1">
      <c r="A19" s="18" t="str">
        <f>Analysis!A19</f>
        <v>8/1959</v>
      </c>
      <c r="B19" s="19">
        <f>Analysis!E19</f>
        <v>-9.9999999999980105E-3</v>
      </c>
      <c r="C19" s="20">
        <f>Analysis!F19</f>
        <v>0.16900871367515766</v>
      </c>
      <c r="D19" s="30">
        <v>1361.19</v>
      </c>
      <c r="F19" s="24">
        <v>1976</v>
      </c>
      <c r="G19" s="20">
        <f>AVERAGEIFS(Analysis!$E$2:$E$823,Analysis!$B$2:$B$823,"&gt;="&amp;F19,Analysis!$B$2:$B$823,"&lt;"&amp;(F19+1))</f>
        <v>-9.7499999999999698E-2</v>
      </c>
      <c r="H19" s="25">
        <f>AVERAGEIFS(Analysis!$F$2:$F$823,Analysis!$B$2:$B$823,"&gt;="&amp;F19,Analysis!$B$2:$B$823,"&lt;"&amp;(F19+1))</f>
        <v>0.24584257261243991</v>
      </c>
      <c r="I19" s="19">
        <f>AVERAGEIFS($D$2:$D$791,Analysis!$B$2:$B$791,"&gt;="&amp;F19,Analysis!$B$2:$B$791,"&lt;"&amp;(F19+1))</f>
        <v>1360.6941666666667</v>
      </c>
      <c r="J19" s="20">
        <f>Annual!H19</f>
        <v>-0.1791609228023574</v>
      </c>
      <c r="K19" s="20">
        <f t="shared" si="0"/>
        <v>5.9394891524647164E-2</v>
      </c>
      <c r="N19" s="18" t="s">
        <v>1912</v>
      </c>
      <c r="O19" s="20">
        <f>INDEX(LINEST($G$2:$G$66,$H$2:$H$66:$I$2:$I$66,TRUE(),TRUE()),3,1)</f>
        <v>0.93264127352945736</v>
      </c>
    </row>
    <row r="20" spans="1:15" ht="15" customHeight="1">
      <c r="A20" s="18" t="str">
        <f>Analysis!A20</f>
        <v>9/1959</v>
      </c>
      <c r="B20" s="19">
        <f>Analysis!E20</f>
        <v>-6.0000000000000497E-2</v>
      </c>
      <c r="C20" s="20">
        <f>Analysis!F20</f>
        <v>0.16460241335740428</v>
      </c>
      <c r="D20" s="30">
        <v>1361.64</v>
      </c>
      <c r="F20" s="24">
        <v>1977</v>
      </c>
      <c r="G20" s="20">
        <f>AVERAGEIFS(Analysis!$E$2:$E$823,Analysis!$B$2:$B$823,"&gt;="&amp;F20,Analysis!$B$2:$B$823,"&lt;"&amp;(F20+1))</f>
        <v>0.17833333333333354</v>
      </c>
      <c r="H20" s="25">
        <f>AVERAGEIFS(Analysis!$F$2:$F$823,Analysis!$B$2:$B$823,"&gt;="&amp;F20,Analysis!$B$2:$B$823,"&lt;"&amp;(F20+1))</f>
        <v>0.25372586794152979</v>
      </c>
      <c r="I20" s="19">
        <f>AVERAGEIFS($D$2:$D$791,Analysis!$B$2:$B$791,"&gt;="&amp;F20,Analysis!$B$2:$B$791,"&lt;"&amp;(F20+1))</f>
        <v>1360.8891666666666</v>
      </c>
      <c r="J20" s="20">
        <f>Annual!H20</f>
        <v>7.5053352055893779E-2</v>
      </c>
      <c r="K20" s="20">
        <f t="shared" si="0"/>
        <v>9.3530511501171532E-2</v>
      </c>
      <c r="N20" s="18" t="s">
        <v>1913</v>
      </c>
      <c r="O20" s="19">
        <f>O18/((1-O3)/4)</f>
        <v>0.3852664191276341</v>
      </c>
    </row>
    <row r="21" spans="1:15" ht="15" customHeight="1">
      <c r="A21" s="18" t="str">
        <f>Analysis!A21</f>
        <v>10/1959</v>
      </c>
      <c r="B21" s="19">
        <f>Analysis!E21</f>
        <v>-7.0000000000000284E-2</v>
      </c>
      <c r="C21" s="20">
        <f>Analysis!F21</f>
        <v>0.16225608099765507</v>
      </c>
      <c r="D21" s="30">
        <v>1361.6</v>
      </c>
      <c r="F21" s="24">
        <v>1978</v>
      </c>
      <c r="G21" s="20">
        <f>AVERAGEIFS(Analysis!$E$2:$E$823,Analysis!$B$2:$B$823,"&gt;="&amp;F21,Analysis!$B$2:$B$823,"&lt;"&amp;(F21+1))</f>
        <v>6.6666666666666277E-2</v>
      </c>
      <c r="H21" s="25">
        <f>AVERAGEIFS(Analysis!$F$2:$F$823,Analysis!$B$2:$B$823,"&gt;="&amp;F21,Analysis!$B$2:$B$823,"&lt;"&amp;(F21+1))</f>
        <v>0.26049697715420922</v>
      </c>
      <c r="I21" s="19">
        <f>AVERAGEIFS($D$2:$D$791,Analysis!$B$2:$B$791,"&gt;="&amp;F21,Analysis!$B$2:$B$791,"&lt;"&amp;(F21+1))</f>
        <v>1361.2133333333331</v>
      </c>
      <c r="J21" s="20">
        <f>Annual!H21</f>
        <v>-5.5182326667179968E-2</v>
      </c>
      <c r="K21" s="20">
        <f t="shared" si="0"/>
        <v>0.13341368508757512</v>
      </c>
    </row>
    <row r="22" spans="1:15" ht="15" customHeight="1">
      <c r="A22" s="18" t="str">
        <f>Analysis!A22</f>
        <v>11/1959</v>
      </c>
      <c r="B22" s="19">
        <f>Analysis!E22</f>
        <v>-8.0000000000001847E-2</v>
      </c>
      <c r="C22" s="20">
        <f>Analysis!F22</f>
        <v>0.16905454188757499</v>
      </c>
      <c r="D22" s="30">
        <v>1361.37</v>
      </c>
      <c r="F22" s="24">
        <v>1979</v>
      </c>
      <c r="G22" s="20">
        <f>AVERAGEIFS(Analysis!$E$2:$E$823,Analysis!$B$2:$B$823,"&gt;="&amp;F22,Analysis!$B$2:$B$823,"&lt;"&amp;(F22+1))</f>
        <v>0.16416666666666671</v>
      </c>
      <c r="H22" s="25">
        <f>AVERAGEIFS(Analysis!$F$2:$F$823,Analysis!$B$2:$B$823,"&gt;="&amp;F22,Analysis!$B$2:$B$823,"&lt;"&amp;(F22+1))</f>
        <v>0.26659553851729739</v>
      </c>
      <c r="I22" s="19">
        <f>AVERAGEIFS($D$2:$D$791,Analysis!$B$2:$B$791,"&gt;="&amp;F22,Analysis!$B$2:$B$791,"&lt;"&amp;(F22+1))</f>
        <v>1361.6000000000001</v>
      </c>
      <c r="J22" s="20">
        <f>Annual!H22</f>
        <v>2.5593048766750642E-2</v>
      </c>
      <c r="K22" s="20">
        <f t="shared" si="0"/>
        <v>0.17572012573930351</v>
      </c>
      <c r="N22" s="17" t="s">
        <v>1914</v>
      </c>
    </row>
    <row r="23" spans="1:15" ht="15" customHeight="1">
      <c r="A23" s="18" t="str">
        <f>Analysis!A23</f>
        <v>12/1959</v>
      </c>
      <c r="B23" s="19">
        <f>Analysis!E23</f>
        <v>0</v>
      </c>
      <c r="C23" s="20">
        <f>Analysis!F23</f>
        <v>0.17257894974287927</v>
      </c>
      <c r="D23" s="30">
        <v>1361.39</v>
      </c>
      <c r="F23" s="24">
        <v>1980</v>
      </c>
      <c r="G23" s="20">
        <f>AVERAGEIFS(Analysis!$E$2:$E$823,Analysis!$B$2:$B$823,"&gt;="&amp;F23,Analysis!$B$2:$B$823,"&lt;"&amp;(F23+1))</f>
        <v>0.25583333333333363</v>
      </c>
      <c r="H23" s="25">
        <f>AVERAGEIFS(Analysis!$F$2:$F$823,Analysis!$B$2:$B$823,"&gt;="&amp;F23,Analysis!$B$2:$B$823,"&lt;"&amp;(F23+1))</f>
        <v>0.27482718847371568</v>
      </c>
      <c r="I23" s="19">
        <f>AVERAGEIFS($D$2:$D$791,Analysis!$B$2:$B$791,"&gt;="&amp;F23,Analysis!$B$2:$B$791,"&lt;"&amp;(F23+1))</f>
        <v>1361.6375</v>
      </c>
      <c r="J23" s="20">
        <f>Annual!H23</f>
        <v>9.4685333233434921E-2</v>
      </c>
      <c r="K23" s="20">
        <f t="shared" si="0"/>
        <v>0.20016429577226802</v>
      </c>
      <c r="N23" s="18" t="s">
        <v>1915</v>
      </c>
      <c r="O23" s="19">
        <f>O9*(1-O3)/4</f>
        <v>0.24470833333332961</v>
      </c>
    </row>
    <row r="24" spans="1:15" ht="15" customHeight="1">
      <c r="A24" s="18" t="str">
        <f>Analysis!A24</f>
        <v>1/1960</v>
      </c>
      <c r="B24" s="19">
        <f>Analysis!E24</f>
        <v>0</v>
      </c>
      <c r="C24" s="20">
        <f>Analysis!F24</f>
        <v>0.17645955772100325</v>
      </c>
      <c r="D24" s="30">
        <v>1361.48</v>
      </c>
      <c r="F24" s="24">
        <v>1981</v>
      </c>
      <c r="G24" s="20">
        <f>AVERAGEIFS(Analysis!$E$2:$E$823,Analysis!$B$2:$B$823,"&gt;="&amp;F24,Analysis!$B$2:$B$823,"&lt;"&amp;(F24+1))</f>
        <v>0.32333333333333264</v>
      </c>
      <c r="H24" s="25">
        <f>AVERAGEIFS(Analysis!$F$2:$F$823,Analysis!$B$2:$B$823,"&gt;="&amp;F24,Analysis!$B$2:$B$823,"&lt;"&amp;(F24+1))</f>
        <v>0.28059166813261399</v>
      </c>
      <c r="I24" s="19">
        <f>AVERAGEIFS($D$2:$D$791,Analysis!$B$2:$B$791,"&gt;="&amp;F24,Analysis!$B$2:$B$791,"&lt;"&amp;(F24+1))</f>
        <v>1361.6849999999999</v>
      </c>
      <c r="J24" s="20">
        <f>Annual!H24</f>
        <v>0.14637689049194763</v>
      </c>
      <c r="K24" s="20">
        <f t="shared" si="0"/>
        <v>0.21871411352034897</v>
      </c>
      <c r="N24" s="18" t="s">
        <v>1916</v>
      </c>
      <c r="O24" s="19">
        <f>O4*LN(Analysis!D791/Analysis!D2)</f>
        <v>1.550694475834443</v>
      </c>
    </row>
    <row r="25" spans="1:15" ht="15" customHeight="1">
      <c r="A25" s="18" t="str">
        <f>Analysis!A25</f>
        <v>2/1960</v>
      </c>
      <c r="B25" s="19">
        <f>Analysis!E25</f>
        <v>0.12999999999999901</v>
      </c>
      <c r="C25" s="20">
        <f>Analysis!F25</f>
        <v>0.17896498855382964</v>
      </c>
      <c r="D25" s="30">
        <v>1361.54</v>
      </c>
      <c r="F25" s="24">
        <v>1982</v>
      </c>
      <c r="G25" s="20">
        <f>AVERAGEIFS(Analysis!$E$2:$E$823,Analysis!$B$2:$B$823,"&gt;="&amp;F25,Analysis!$B$2:$B$823,"&lt;"&amp;(F25+1))</f>
        <v>0.13916666666666591</v>
      </c>
      <c r="H25" s="25">
        <f>AVERAGEIFS(Analysis!$F$2:$F$823,Analysis!$B$2:$B$823,"&gt;="&amp;F25,Analysis!$B$2:$B$823,"&lt;"&amp;(F25+1))</f>
        <v>0.2863409347995432</v>
      </c>
      <c r="I25" s="19">
        <f>AVERAGEIFS($D$2:$D$791,Analysis!$B$2:$B$791,"&gt;="&amp;F25,Analysis!$B$2:$B$791,"&lt;"&amp;(F25+1))</f>
        <v>1361.2258333333332</v>
      </c>
      <c r="J25" s="20">
        <f>Annual!H25</f>
        <v>-5.3556498981935347E-2</v>
      </c>
      <c r="K25" s="20">
        <f t="shared" si="0"/>
        <v>0.20306313919431318</v>
      </c>
      <c r="N25" s="18" t="s">
        <v>1917</v>
      </c>
      <c r="O25" s="27">
        <f>O24/O23</f>
        <v>6.3369091469482717</v>
      </c>
    </row>
    <row r="26" spans="1:15" ht="15" customHeight="1">
      <c r="A26" s="18" t="str">
        <f>Analysis!A26</f>
        <v>3/1960</v>
      </c>
      <c r="B26" s="19">
        <f>Analysis!E26</f>
        <v>-0.35000000000000142</v>
      </c>
      <c r="C26" s="20">
        <f>Analysis!F26</f>
        <v>0.1816932326363403</v>
      </c>
      <c r="D26" s="30">
        <v>1361.63</v>
      </c>
      <c r="F26" s="24">
        <v>1983</v>
      </c>
      <c r="G26" s="20">
        <f>AVERAGEIFS(Analysis!$E$2:$E$823,Analysis!$B$2:$B$823,"&gt;="&amp;F26,Analysis!$B$2:$B$823,"&lt;"&amp;(F26+1))</f>
        <v>0.31500000000000039</v>
      </c>
      <c r="H26" s="25">
        <f>AVERAGEIFS(Analysis!$F$2:$F$823,Analysis!$B$2:$B$823,"&gt;="&amp;F26,Analysis!$B$2:$B$823,"&lt;"&amp;(F26+1))</f>
        <v>0.29340200418028634</v>
      </c>
      <c r="I26" s="19">
        <f>AVERAGEIFS($D$2:$D$791,Analysis!$B$2:$B$791,"&gt;="&amp;F26,Analysis!$B$2:$B$791,"&lt;"&amp;(F26+1))</f>
        <v>1361.2141666666666</v>
      </c>
      <c r="J26" s="20">
        <f>Annual!H26</f>
        <v>0.10291263886380964</v>
      </c>
      <c r="K26" s="20">
        <f t="shared" si="0"/>
        <v>0.22107587120640915</v>
      </c>
      <c r="N26" s="18" t="s">
        <v>1918</v>
      </c>
      <c r="O26" s="19">
        <f>O23*O20</f>
        <v>9.4277903314023359E-2</v>
      </c>
    </row>
    <row r="27" spans="1:15" ht="15" customHeight="1">
      <c r="A27" s="18" t="str">
        <f>Analysis!A27</f>
        <v>4/1960</v>
      </c>
      <c r="B27" s="19">
        <f>Analysis!E27</f>
        <v>-0.14999999999999858</v>
      </c>
      <c r="C27" s="20">
        <f>Analysis!F27</f>
        <v>0.18826526709013644</v>
      </c>
      <c r="D27" s="30">
        <v>1361.28</v>
      </c>
      <c r="F27" s="24">
        <v>1984</v>
      </c>
      <c r="G27" s="20">
        <f>AVERAGEIFS(Analysis!$E$2:$E$823,Analysis!$B$2:$B$823,"&gt;="&amp;F27,Analysis!$B$2:$B$823,"&lt;"&amp;(F27+1))</f>
        <v>0.15500000000000011</v>
      </c>
      <c r="H27" s="25">
        <f>AVERAGEIFS(Analysis!$F$2:$F$823,Analysis!$B$2:$B$823,"&gt;="&amp;F27,Analysis!$B$2:$B$823,"&lt;"&amp;(F27+1))</f>
        <v>0.3005889072552464</v>
      </c>
      <c r="I27" s="19">
        <f>AVERAGEIFS($D$2:$D$791,Analysis!$B$2:$B$791,"&gt;="&amp;F27,Analysis!$B$2:$B$791,"&lt;"&amp;(F27+1))</f>
        <v>1360.7891666666665</v>
      </c>
      <c r="J27" s="20">
        <f>Annual!H27</f>
        <v>-7.6796641500071955E-2</v>
      </c>
      <c r="K27" s="20">
        <f t="shared" si="0"/>
        <v>0.21155601721920902</v>
      </c>
    </row>
    <row r="28" spans="1:15" ht="15" customHeight="1">
      <c r="A28" s="18" t="str">
        <f>Analysis!A28</f>
        <v>5/1960</v>
      </c>
      <c r="B28" s="19">
        <f>Analysis!E28</f>
        <v>-8.0000000000001847E-2</v>
      </c>
      <c r="C28" s="20">
        <f>Analysis!F28</f>
        <v>0.19278032426290692</v>
      </c>
      <c r="D28" s="30">
        <v>1361.33</v>
      </c>
      <c r="F28" s="24">
        <v>1985</v>
      </c>
      <c r="G28" s="20">
        <f>AVERAGEIFS(Analysis!$E$2:$E$823,Analysis!$B$2:$B$823,"&gt;="&amp;F28,Analysis!$B$2:$B$823,"&lt;"&amp;(F28+1))</f>
        <v>0.11833333333333303</v>
      </c>
      <c r="H28" s="25">
        <f>AVERAGEIFS(Analysis!$F$2:$F$823,Analysis!$B$2:$B$823,"&gt;="&amp;F28,Analysis!$B$2:$B$823,"&lt;"&amp;(F28+1))</f>
        <v>0.30678880266607567</v>
      </c>
      <c r="I28" s="19">
        <f>AVERAGEIFS($D$2:$D$791,Analysis!$B$2:$B$791,"&gt;="&amp;F28,Analysis!$B$2:$B$791,"&lt;"&amp;(F28+1))</f>
        <v>1360.6325000000002</v>
      </c>
      <c r="J28" s="20">
        <f>Annual!H28</f>
        <v>-0.1304658300602814</v>
      </c>
      <c r="K28" s="20">
        <f t="shared" si="0"/>
        <v>0.21749983323275046</v>
      </c>
      <c r="N28" s="17" t="s">
        <v>1886</v>
      </c>
    </row>
    <row r="29" spans="1:15" ht="15" customHeight="1">
      <c r="A29" s="18" t="str">
        <f>Analysis!A29</f>
        <v>6/1960</v>
      </c>
      <c r="B29" s="19">
        <f>Analysis!E29</f>
        <v>-3.9999999999999147E-2</v>
      </c>
      <c r="C29" s="20">
        <f>Analysis!F29</f>
        <v>0.19075029697903845</v>
      </c>
      <c r="D29" s="30">
        <v>1361.56</v>
      </c>
      <c r="F29" s="24">
        <v>1986</v>
      </c>
      <c r="G29" s="20">
        <f>AVERAGEIFS(Analysis!$E$2:$E$823,Analysis!$B$2:$B$823,"&gt;="&amp;F29,Analysis!$B$2:$B$823,"&lt;"&amp;(F29+1))</f>
        <v>0.17999999999999927</v>
      </c>
      <c r="H29" s="25">
        <f>AVERAGEIFS(Analysis!$F$2:$F$823,Analysis!$B$2:$B$823,"&gt;="&amp;F29,Analysis!$B$2:$B$823,"&lt;"&amp;(F29+1))</f>
        <v>0.31201397935412778</v>
      </c>
      <c r="I29" s="19">
        <f>AVERAGEIFS($D$2:$D$791,Analysis!$B$2:$B$791,"&gt;="&amp;F29,Analysis!$B$2:$B$791,"&lt;"&amp;(F29+1))</f>
        <v>1360.6416666666667</v>
      </c>
      <c r="J29" s="20">
        <f>Annual!H29</f>
        <v>-8.3128627868298888E-2</v>
      </c>
      <c r="K29" s="20">
        <f t="shared" si="0"/>
        <v>0.23202932080342009</v>
      </c>
      <c r="N29" s="29" t="s">
        <v>1919</v>
      </c>
    </row>
    <row r="30" spans="1:15" ht="15" customHeight="1">
      <c r="A30" s="18" t="str">
        <f>Analysis!A30</f>
        <v>7/1960</v>
      </c>
      <c r="B30" s="19">
        <f>Analysis!E30</f>
        <v>-3.9999999999999147E-2</v>
      </c>
      <c r="C30" s="20">
        <f>Analysis!F30</f>
        <v>0.1844163271422109</v>
      </c>
      <c r="D30" s="30">
        <v>1361.34</v>
      </c>
      <c r="F30" s="24">
        <v>1987</v>
      </c>
      <c r="G30" s="20">
        <f>AVERAGEIFS(Analysis!$E$2:$E$823,Analysis!$B$2:$B$823,"&gt;="&amp;F30,Analysis!$B$2:$B$823,"&lt;"&amp;(F30+1))</f>
        <v>0.3216666666666666</v>
      </c>
      <c r="H30" s="25">
        <f>AVERAGEIFS(Analysis!$F$2:$F$823,Analysis!$B$2:$B$823,"&gt;="&amp;F30,Analysis!$B$2:$B$823,"&lt;"&amp;(F30+1))</f>
        <v>0.31907046120568344</v>
      </c>
      <c r="I30" s="19">
        <f>AVERAGEIFS($D$2:$D$791,Analysis!$B$2:$B$791,"&gt;="&amp;F30,Analysis!$B$2:$B$791,"&lt;"&amp;(F30+1))</f>
        <v>1360.7825</v>
      </c>
      <c r="J30" s="20">
        <f>Annual!H30</f>
        <v>3.9186424098079209E-2</v>
      </c>
      <c r="K30" s="20">
        <f t="shared" si="0"/>
        <v>0.26031163658601031</v>
      </c>
      <c r="N30" s="29" t="s">
        <v>1920</v>
      </c>
    </row>
    <row r="31" spans="1:15" ht="15" customHeight="1">
      <c r="A31" s="18" t="str">
        <f>Analysis!A31</f>
        <v>8/1960</v>
      </c>
      <c r="B31" s="19">
        <f>Analysis!E31</f>
        <v>2.0000000000003126E-2</v>
      </c>
      <c r="C31" s="20">
        <f>Analysis!F31</f>
        <v>0.17404110991454413</v>
      </c>
      <c r="D31" s="30">
        <v>1361.38</v>
      </c>
      <c r="F31" s="24">
        <v>1988</v>
      </c>
      <c r="G31" s="20">
        <f>AVERAGEIFS(Analysis!$E$2:$E$823,Analysis!$B$2:$B$823,"&gt;="&amp;F31,Analysis!$B$2:$B$823,"&lt;"&amp;(F31+1))</f>
        <v>0.38999999999999985</v>
      </c>
      <c r="H31" s="25">
        <f>AVERAGEIFS(Analysis!$F$2:$F$823,Analysis!$B$2:$B$823,"&gt;="&amp;F31,Analysis!$B$2:$B$823,"&lt;"&amp;(F31+1))</f>
        <v>0.32886051990619497</v>
      </c>
      <c r="I31" s="19">
        <f>AVERAGEIFS($D$2:$D$791,Analysis!$B$2:$B$791,"&gt;="&amp;F31,Analysis!$B$2:$B$791,"&lt;"&amp;(F31+1))</f>
        <v>1361.1225000000002</v>
      </c>
      <c r="J31" s="20">
        <f>Annual!H31</f>
        <v>8.0671613008884535E-2</v>
      </c>
      <c r="K31" s="20">
        <f t="shared" si="0"/>
        <v>0.30929993889974128</v>
      </c>
      <c r="N31" s="29" t="s">
        <v>2608</v>
      </c>
    </row>
    <row r="32" spans="1:15" ht="15" customHeight="1">
      <c r="A32" s="18" t="str">
        <f>Analysis!A32</f>
        <v>9/1960</v>
      </c>
      <c r="B32" s="19">
        <f>Analysis!E32</f>
        <v>7.0000000000000284E-2</v>
      </c>
      <c r="C32" s="20">
        <f>Analysis!F32</f>
        <v>0.16611859751788685</v>
      </c>
      <c r="D32" s="30">
        <v>1361.59</v>
      </c>
      <c r="F32" s="24">
        <v>1989</v>
      </c>
      <c r="G32" s="20">
        <f>AVERAGEIFS(Analysis!$E$2:$E$823,Analysis!$B$2:$B$823,"&gt;="&amp;F32,Analysis!$B$2:$B$823,"&lt;"&amp;(F32+1))</f>
        <v>0.27416666666666512</v>
      </c>
      <c r="H32" s="25">
        <f>AVERAGEIFS(Analysis!$F$2:$F$823,Analysis!$B$2:$B$823,"&gt;="&amp;F32,Analysis!$B$2:$B$823,"&lt;"&amp;(F32+1))</f>
        <v>0.3350581779738751</v>
      </c>
      <c r="I32" s="19">
        <f>AVERAGEIFS($D$2:$D$791,Analysis!$B$2:$B$791,"&gt;="&amp;F32,Analysis!$B$2:$B$791,"&lt;"&amp;(F32+1))</f>
        <v>1361.64</v>
      </c>
      <c r="J32" s="20">
        <f>Annual!H32</f>
        <v>-5.2158106553863437E-2</v>
      </c>
      <c r="K32" s="20">
        <f t="shared" si="0"/>
        <v>0.36069120930748966</v>
      </c>
      <c r="N32" s="29" t="s">
        <v>1921</v>
      </c>
    </row>
    <row r="33" spans="1:14" ht="15" customHeight="1">
      <c r="A33" s="18" t="str">
        <f>Analysis!A33</f>
        <v>10/1960</v>
      </c>
      <c r="B33" s="19">
        <f>Analysis!E33</f>
        <v>5.9999999999998721E-2</v>
      </c>
      <c r="C33" s="20">
        <f>Analysis!F33</f>
        <v>0.16455644349932552</v>
      </c>
      <c r="D33" s="30">
        <v>1361.44</v>
      </c>
      <c r="F33" s="24">
        <v>1990</v>
      </c>
      <c r="G33" s="20">
        <f>AVERAGEIFS(Analysis!$E$2:$E$823,Analysis!$B$2:$B$823,"&gt;="&amp;F33,Analysis!$B$2:$B$823,"&lt;"&amp;(F33+1))</f>
        <v>0.44916666666666821</v>
      </c>
      <c r="H33" s="25">
        <f>AVERAGEIFS(Analysis!$F$2:$F$823,Analysis!$B$2:$B$823,"&gt;="&amp;F33,Analysis!$B$2:$B$823,"&lt;"&amp;(F33+1))</f>
        <v>0.34014660517272827</v>
      </c>
      <c r="I33" s="19">
        <f>AVERAGEIFS($D$2:$D$791,Analysis!$B$2:$B$791,"&gt;="&amp;F33,Analysis!$B$2:$B$791,"&lt;"&amp;(F33+1))</f>
        <v>1361.5533333333335</v>
      </c>
      <c r="J33" s="20">
        <f>Annual!H33</f>
        <v>0.10888744919840593</v>
      </c>
      <c r="K33" s="20">
        <f t="shared" si="0"/>
        <v>0.36839537755747642</v>
      </c>
      <c r="N33" s="29" t="s">
        <v>1922</v>
      </c>
    </row>
    <row r="34" spans="1:14" ht="15" customHeight="1">
      <c r="A34" s="18" t="str">
        <f>Analysis!A34</f>
        <v>11/1960</v>
      </c>
      <c r="B34" s="19">
        <f>Analysis!E34</f>
        <v>-0.10999999999999766</v>
      </c>
      <c r="C34" s="20">
        <f>Analysis!F34</f>
        <v>0.16992500144231237</v>
      </c>
      <c r="D34" s="30">
        <v>1361.23</v>
      </c>
      <c r="F34" s="24">
        <v>1991</v>
      </c>
      <c r="G34" s="20">
        <f>AVERAGEIFS(Analysis!$E$2:$E$823,Analysis!$B$2:$B$823,"&gt;="&amp;F34,Analysis!$B$2:$B$823,"&lt;"&amp;(F34+1))</f>
        <v>0.40749999999999975</v>
      </c>
      <c r="H34" s="25">
        <f>AVERAGEIFS(Analysis!$F$2:$F$823,Analysis!$B$2:$B$823,"&gt;="&amp;F34,Analysis!$B$2:$B$823,"&lt;"&amp;(F34+1))</f>
        <v>0.34522235607120461</v>
      </c>
      <c r="I34" s="19">
        <f>AVERAGEIFS($D$2:$D$791,Analysis!$B$2:$B$791,"&gt;="&amp;F34,Analysis!$B$2:$B$791,"&lt;"&amp;(F34+1))</f>
        <v>1361.5208333333333</v>
      </c>
      <c r="J34" s="20">
        <f>Annual!H34</f>
        <v>5.3301101624415814E-2</v>
      </c>
      <c r="K34" s="20">
        <f t="shared" ref="K34:K66" si="1">$O$16+$O$17*H34+$O$18*I34</f>
        <v>0.37971780115526599</v>
      </c>
    </row>
    <row r="35" spans="1:14" ht="15" customHeight="1">
      <c r="A35" s="18" t="str">
        <f>Analysis!A35</f>
        <v>12/1960</v>
      </c>
      <c r="B35" s="19">
        <f>Analysis!E35</f>
        <v>0.19000000000000128</v>
      </c>
      <c r="C35" s="20">
        <f>Analysis!F35</f>
        <v>0.17536491377542907</v>
      </c>
      <c r="D35" s="30">
        <v>1361.34</v>
      </c>
      <c r="F35" s="24">
        <v>1992</v>
      </c>
      <c r="G35" s="20">
        <f>AVERAGEIFS(Analysis!$E$2:$E$823,Analysis!$B$2:$B$823,"&gt;="&amp;F35,Analysis!$B$2:$B$823,"&lt;"&amp;(F35+1))</f>
        <v>0.22416666666666707</v>
      </c>
      <c r="H35" s="25">
        <f>AVERAGEIFS(Analysis!$F$2:$F$823,Analysis!$B$2:$B$823,"&gt;="&amp;F35,Analysis!$B$2:$B$823,"&lt;"&amp;(F35+1))</f>
        <v>0.34862967062131672</v>
      </c>
      <c r="I35" s="19">
        <f>AVERAGEIFS($D$2:$D$791,Analysis!$B$2:$B$791,"&gt;="&amp;F35,Analysis!$B$2:$B$791,"&lt;"&amp;(F35+1))</f>
        <v>1361.3091666666667</v>
      </c>
      <c r="J35" s="20">
        <f>Annual!H35</f>
        <v>-0.13937641195674422</v>
      </c>
      <c r="K35" s="20">
        <f t="shared" si="1"/>
        <v>0.3745184896701943</v>
      </c>
    </row>
    <row r="36" spans="1:14" ht="15" customHeight="1">
      <c r="A36" s="18" t="str">
        <f>Analysis!A36</f>
        <v>1/1961</v>
      </c>
      <c r="B36" s="19">
        <f>Analysis!E36</f>
        <v>7.0000000000000284E-2</v>
      </c>
      <c r="C36" s="20">
        <f>Analysis!F36</f>
        <v>0.17855530658575247</v>
      </c>
      <c r="D36" s="30">
        <v>1361.24</v>
      </c>
      <c r="F36" s="24">
        <v>1993</v>
      </c>
      <c r="G36" s="20">
        <f>AVERAGEIFS(Analysis!$E$2:$E$823,Analysis!$B$2:$B$823,"&gt;="&amp;F36,Analysis!$B$2:$B$823,"&lt;"&amp;(F36+1))</f>
        <v>0.23333333333333339</v>
      </c>
      <c r="H36" s="25">
        <f>AVERAGEIFS(Analysis!$F$2:$F$823,Analysis!$B$2:$B$823,"&gt;="&amp;F36,Analysis!$B$2:$B$823,"&lt;"&amp;(F36+1))</f>
        <v>0.35134440078007922</v>
      </c>
      <c r="I36" s="19">
        <f>AVERAGEIFS($D$2:$D$791,Analysis!$B$2:$B$791,"&gt;="&amp;F36,Analysis!$B$2:$B$791,"&lt;"&amp;(F36+1))</f>
        <v>1360.9408333333333</v>
      </c>
      <c r="J36" s="20">
        <f>Annual!H36</f>
        <v>-0.13765459006581349</v>
      </c>
      <c r="K36" s="20">
        <f t="shared" si="1"/>
        <v>0.35691252771991344</v>
      </c>
    </row>
    <row r="37" spans="1:14" ht="15" customHeight="1">
      <c r="A37" s="18" t="str">
        <f>Analysis!A37</f>
        <v>2/1961</v>
      </c>
      <c r="B37" s="19">
        <f>Analysis!E37</f>
        <v>0.19000000000000128</v>
      </c>
      <c r="C37" s="20">
        <f>Analysis!F37</f>
        <v>0.18223826288116377</v>
      </c>
      <c r="D37" s="30">
        <v>1361.13</v>
      </c>
      <c r="F37" s="24">
        <v>1994</v>
      </c>
      <c r="G37" s="20">
        <f>AVERAGEIFS(Analysis!$E$2:$E$823,Analysis!$B$2:$B$823,"&gt;="&amp;F37,Analysis!$B$2:$B$823,"&lt;"&amp;(F37+1))</f>
        <v>0.31583333333333358</v>
      </c>
      <c r="H37" s="25">
        <f>AVERAGEIFS(Analysis!$F$2:$F$823,Analysis!$B$2:$B$823,"&gt;="&amp;F37,Analysis!$B$2:$B$823,"&lt;"&amp;(F37+1))</f>
        <v>0.35837405183815102</v>
      </c>
      <c r="I37" s="19">
        <f>AVERAGEIFS($D$2:$D$791,Analysis!$B$2:$B$791,"&gt;="&amp;F37,Analysis!$B$2:$B$791,"&lt;"&amp;(F37+1))</f>
        <v>1360.7441666666666</v>
      </c>
      <c r="J37" s="20">
        <f>Annual!H37</f>
        <v>-7.4432624306530026E-2</v>
      </c>
      <c r="K37" s="20">
        <f t="shared" si="1"/>
        <v>0.36236861159750333</v>
      </c>
    </row>
    <row r="38" spans="1:14" ht="15" customHeight="1">
      <c r="A38" s="18" t="str">
        <f>Analysis!A38</f>
        <v>3/1961</v>
      </c>
      <c r="B38" s="19">
        <f>Analysis!E38</f>
        <v>8.9999999999999858E-2</v>
      </c>
      <c r="C38" s="20">
        <f>Analysis!F38</f>
        <v>0.18604772012519621</v>
      </c>
      <c r="D38" s="30">
        <v>1361.04</v>
      </c>
      <c r="F38" s="24">
        <v>1995</v>
      </c>
      <c r="G38" s="20">
        <f>AVERAGEIFS(Analysis!$E$2:$E$823,Analysis!$B$2:$B$823,"&gt;="&amp;F38,Analysis!$B$2:$B$823,"&lt;"&amp;(F38+1))</f>
        <v>0.4475000000000004</v>
      </c>
      <c r="H38" s="25">
        <f>AVERAGEIFS(Analysis!$F$2:$F$823,Analysis!$B$2:$B$823,"&gt;="&amp;F38,Analysis!$B$2:$B$823,"&lt;"&amp;(F38+1))</f>
        <v>0.36642608584109237</v>
      </c>
      <c r="I38" s="19">
        <f>AVERAGEIFS($D$2:$D$791,Analysis!$B$2:$B$791,"&gt;="&amp;F38,Analysis!$B$2:$B$791,"&lt;"&amp;(F38+1))</f>
        <v>1360.7325000000001</v>
      </c>
      <c r="J38" s="20">
        <f>Annual!H38</f>
        <v>3.5152236885898136E-2</v>
      </c>
      <c r="K38" s="20">
        <f t="shared" si="1"/>
        <v>0.38301967750439303</v>
      </c>
    </row>
    <row r="39" spans="1:14" ht="15" customHeight="1">
      <c r="A39" s="18" t="str">
        <f>Analysis!A39</f>
        <v>4/1961</v>
      </c>
      <c r="B39" s="19">
        <f>Analysis!E39</f>
        <v>0.12999999999999901</v>
      </c>
      <c r="C39" s="20">
        <f>Analysis!F39</f>
        <v>0.19029879162659466</v>
      </c>
      <c r="D39" s="30">
        <v>1360.93</v>
      </c>
      <c r="F39" s="24">
        <v>1996</v>
      </c>
      <c r="G39" s="20">
        <f>AVERAGEIFS(Analysis!$E$2:$E$823,Analysis!$B$2:$B$823,"&gt;="&amp;F39,Analysis!$B$2:$B$823,"&lt;"&amp;(F39+1))</f>
        <v>0.33416666666666667</v>
      </c>
      <c r="H39" s="25">
        <f>AVERAGEIFS(Analysis!$F$2:$F$823,Analysis!$B$2:$B$823,"&gt;="&amp;F39,Analysis!$B$2:$B$823,"&lt;"&amp;(F39+1))</f>
        <v>0.37350293517077987</v>
      </c>
      <c r="I39" s="19">
        <f>AVERAGEIFS($D$2:$D$791,Analysis!$B$2:$B$791,"&gt;="&amp;F39,Analysis!$B$2:$B$791,"&lt;"&amp;(F39+1))</f>
        <v>1360.6758333333335</v>
      </c>
      <c r="J39" s="20">
        <f>Annual!H39</f>
        <v>-9.7588566685585743E-2</v>
      </c>
      <c r="K39" s="20">
        <f t="shared" si="1"/>
        <v>0.3980404488376621</v>
      </c>
    </row>
    <row r="40" spans="1:14" ht="15" customHeight="1">
      <c r="A40" s="18" t="str">
        <f>Analysis!A40</f>
        <v>5/1961</v>
      </c>
      <c r="B40" s="19">
        <f>Analysis!E40</f>
        <v>0.11999999999999744</v>
      </c>
      <c r="C40" s="20">
        <f>Analysis!F40</f>
        <v>0.1952575958242399</v>
      </c>
      <c r="D40" s="30">
        <v>1361.01</v>
      </c>
      <c r="F40" s="24">
        <v>1997</v>
      </c>
      <c r="G40" s="20">
        <f>AVERAGEIFS(Analysis!$E$2:$E$823,Analysis!$B$2:$B$823,"&gt;="&amp;F40,Analysis!$B$2:$B$823,"&lt;"&amp;(F40+1))</f>
        <v>0.46749999999999964</v>
      </c>
      <c r="H40" s="25">
        <f>AVERAGEIFS(Analysis!$F$2:$F$823,Analysis!$B$2:$B$823,"&gt;="&amp;F40,Analysis!$B$2:$B$823,"&lt;"&amp;(F40+1))</f>
        <v>0.37800252302471615</v>
      </c>
      <c r="I40" s="19">
        <f>AVERAGEIFS($D$2:$D$791,Analysis!$B$2:$B$791,"&gt;="&amp;F40,Analysis!$B$2:$B$791,"&lt;"&amp;(F40+1))</f>
        <v>1360.8066666666666</v>
      </c>
      <c r="J40" s="20">
        <f>Annual!H40</f>
        <v>2.3405148649540297E-2</v>
      </c>
      <c r="K40" s="20">
        <f t="shared" si="1"/>
        <v>0.41884110042323641</v>
      </c>
    </row>
    <row r="41" spans="1:14" ht="15" customHeight="1">
      <c r="A41" s="18" t="str">
        <f>Analysis!A41</f>
        <v>6/1961</v>
      </c>
      <c r="B41" s="19">
        <f>Analysis!E41</f>
        <v>0.10999999999999766</v>
      </c>
      <c r="C41" s="20">
        <f>Analysis!F41</f>
        <v>0.19160776805384336</v>
      </c>
      <c r="D41" s="30">
        <v>1360.82</v>
      </c>
      <c r="F41" s="24">
        <v>1998</v>
      </c>
      <c r="G41" s="20">
        <f>AVERAGEIFS(Analysis!$E$2:$E$823,Analysis!$B$2:$B$823,"&gt;="&amp;F41,Analysis!$B$2:$B$823,"&lt;"&amp;(F41+1))</f>
        <v>0.6091666666666683</v>
      </c>
      <c r="H41" s="25">
        <f>AVERAGEIFS(Analysis!$F$2:$F$823,Analysis!$B$2:$B$823,"&gt;="&amp;F41,Analysis!$B$2:$B$823,"&lt;"&amp;(F41+1))</f>
        <v>0.3897083812206969</v>
      </c>
      <c r="I41" s="19">
        <f>AVERAGEIFS($D$2:$D$791,Analysis!$B$2:$B$791,"&gt;="&amp;F41,Analysis!$B$2:$B$791,"&lt;"&amp;(F41+1))</f>
        <v>1361.1741666666667</v>
      </c>
      <c r="J41" s="20">
        <f>Annual!H41</f>
        <v>0.132969804383537</v>
      </c>
      <c r="K41" s="20">
        <f t="shared" si="1"/>
        <v>0.47478410201341603</v>
      </c>
    </row>
    <row r="42" spans="1:14" ht="15" customHeight="1">
      <c r="A42" s="18" t="str">
        <f>Analysis!A42</f>
        <v>7/1961</v>
      </c>
      <c r="B42" s="19">
        <f>Analysis!E42</f>
        <v>1.0000000000001563E-2</v>
      </c>
      <c r="C42" s="20">
        <f>Analysis!F42</f>
        <v>0.18613829900081141</v>
      </c>
      <c r="D42" s="30">
        <v>1360.94</v>
      </c>
      <c r="F42" s="24">
        <v>1999</v>
      </c>
      <c r="G42" s="20">
        <f>AVERAGEIFS(Analysis!$E$2:$E$823,Analysis!$B$2:$B$823,"&gt;="&amp;F42,Analysis!$B$2:$B$823,"&lt;"&amp;(F42+1))</f>
        <v>0.38249999999999984</v>
      </c>
      <c r="H42" s="25">
        <f>AVERAGEIFS(Analysis!$F$2:$F$823,Analysis!$B$2:$B$823,"&gt;="&amp;F42,Analysis!$B$2:$B$823,"&lt;"&amp;(F42+1))</f>
        <v>0.3963732865394658</v>
      </c>
      <c r="I42" s="19">
        <f>AVERAGEIFS($D$2:$D$791,Analysis!$B$2:$B$791,"&gt;="&amp;F42,Analysis!$B$2:$B$791,"&lt;"&amp;(F42+1))</f>
        <v>1361.4808333333333</v>
      </c>
      <c r="J42" s="20">
        <f>Annual!H42</f>
        <v>-0.11197462200191965</v>
      </c>
      <c r="K42" s="20">
        <f t="shared" si="1"/>
        <v>0.51320464104964003</v>
      </c>
    </row>
    <row r="43" spans="1:14" ht="15" customHeight="1">
      <c r="A43" s="18" t="str">
        <f>Analysis!A43</f>
        <v>8/1961</v>
      </c>
      <c r="B43" s="19">
        <f>Analysis!E43</f>
        <v>1.0000000000001563E-2</v>
      </c>
      <c r="C43" s="20">
        <f>Analysis!F43</f>
        <v>0.17809996791233229</v>
      </c>
      <c r="D43" s="30">
        <v>1361.23</v>
      </c>
      <c r="F43" s="24">
        <v>2000</v>
      </c>
      <c r="G43" s="20">
        <f>AVERAGEIFS(Analysis!$E$2:$E$823,Analysis!$B$2:$B$823,"&gt;="&amp;F43,Analysis!$B$2:$B$823,"&lt;"&amp;(F43+1))</f>
        <v>0.39333333333333381</v>
      </c>
      <c r="H43" s="25">
        <f>AVERAGEIFS(Analysis!$F$2:$F$823,Analysis!$B$2:$B$823,"&gt;="&amp;F43,Analysis!$B$2:$B$823,"&lt;"&amp;(F43+1))</f>
        <v>0.400943554731721</v>
      </c>
      <c r="I43" s="19">
        <f>AVERAGEIFS($D$2:$D$791,Analysis!$B$2:$B$791,"&gt;="&amp;F43,Analysis!$B$2:$B$791,"&lt;"&amp;(F43+1))</f>
        <v>1361.6591666666666</v>
      </c>
      <c r="J43" s="20">
        <f>Annual!H43</f>
        <v>-0.11367473961397617</v>
      </c>
      <c r="K43" s="20">
        <f t="shared" si="1"/>
        <v>0.53739599834122487</v>
      </c>
    </row>
    <row r="44" spans="1:14" ht="15" customHeight="1">
      <c r="A44" s="18" t="str">
        <f>Analysis!A44</f>
        <v>9/1961</v>
      </c>
      <c r="B44" s="19">
        <f>Analysis!E44</f>
        <v>8.0000000000000071E-2</v>
      </c>
      <c r="C44" s="20">
        <f>Analysis!F44</f>
        <v>0.16987920087274735</v>
      </c>
      <c r="D44" s="30">
        <v>1360.78</v>
      </c>
      <c r="F44" s="24">
        <v>2001</v>
      </c>
      <c r="G44" s="20">
        <f>AVERAGEIFS(Analysis!$E$2:$E$823,Analysis!$B$2:$B$823,"&gt;="&amp;F44,Analysis!$B$2:$B$823,"&lt;"&amp;(F44+1))</f>
        <v>0.5333333333333331</v>
      </c>
      <c r="H44" s="25">
        <f>AVERAGEIFS(Analysis!$F$2:$F$823,Analysis!$B$2:$B$823,"&gt;="&amp;F44,Analysis!$B$2:$B$823,"&lt;"&amp;(F44+1))</f>
        <v>0.40721575059890908</v>
      </c>
      <c r="I44" s="19">
        <f>AVERAGEIFS($D$2:$D$791,Analysis!$B$2:$B$791,"&gt;="&amp;F44,Analysis!$B$2:$B$791,"&lt;"&amp;(F44+1))</f>
        <v>1361.5691666666667</v>
      </c>
      <c r="J44" s="20">
        <f>Annual!H44</f>
        <v>9.1244625522115541E-3</v>
      </c>
      <c r="K44" s="20">
        <f t="shared" si="1"/>
        <v>0.54802708122699073</v>
      </c>
    </row>
    <row r="45" spans="1:14" ht="15" customHeight="1">
      <c r="A45" s="18" t="str">
        <f>Analysis!A45</f>
        <v>10/1961</v>
      </c>
      <c r="B45" s="19">
        <f>Analysis!E45</f>
        <v>0</v>
      </c>
      <c r="C45" s="20">
        <f>Analysis!F45</f>
        <v>0.17134409839059492</v>
      </c>
      <c r="D45" s="30">
        <v>1361.02</v>
      </c>
      <c r="F45" s="24">
        <v>2002</v>
      </c>
      <c r="G45" s="20">
        <f>AVERAGEIFS(Analysis!$E$2:$E$823,Analysis!$B$2:$B$823,"&gt;="&amp;F45,Analysis!$B$2:$B$823,"&lt;"&amp;(F45+1))</f>
        <v>0.6275000000000005</v>
      </c>
      <c r="H45" s="25">
        <f>AVERAGEIFS(Analysis!$F$2:$F$823,Analysis!$B$2:$B$823,"&gt;="&amp;F45,Analysis!$B$2:$B$823,"&lt;"&amp;(F45+1))</f>
        <v>0.41548364377270341</v>
      </c>
      <c r="I45" s="19">
        <f>AVERAGEIFS($D$2:$D$791,Analysis!$B$2:$B$791,"&gt;="&amp;F45,Analysis!$B$2:$B$791,"&lt;"&amp;(F45+1))</f>
        <v>1361.6366666666665</v>
      </c>
      <c r="J45" s="20">
        <f>Annual!H45</f>
        <v>8.0617354036257804E-2</v>
      </c>
      <c r="K45" s="20">
        <f t="shared" si="1"/>
        <v>0.57459039352504249</v>
      </c>
    </row>
    <row r="46" spans="1:14" ht="15" customHeight="1">
      <c r="A46" s="18" t="str">
        <f>Analysis!A46</f>
        <v>11/1961</v>
      </c>
      <c r="B46" s="19">
        <f>Analysis!E46</f>
        <v>2.9999999999997584E-2</v>
      </c>
      <c r="C46" s="20">
        <f>Analysis!F46</f>
        <v>0.17495420807216977</v>
      </c>
      <c r="D46" s="30">
        <v>1360.89</v>
      </c>
      <c r="F46" s="24">
        <v>2003</v>
      </c>
      <c r="G46" s="20">
        <f>AVERAGEIFS(Analysis!$E$2:$E$823,Analysis!$B$2:$B$823,"&gt;="&amp;F46,Analysis!$B$2:$B$823,"&lt;"&amp;(F46+1))</f>
        <v>0.61666666666666703</v>
      </c>
      <c r="H46" s="25">
        <f>AVERAGEIFS(Analysis!$F$2:$F$823,Analysis!$B$2:$B$823,"&gt;="&amp;F46,Analysis!$B$2:$B$823,"&lt;"&amp;(F46+1))</f>
        <v>0.42522603502993445</v>
      </c>
      <c r="I46" s="19">
        <f>AVERAGEIFS($D$2:$D$791,Analysis!$B$2:$B$791,"&gt;="&amp;F46,Analysis!$B$2:$B$791,"&lt;"&amp;(F46+1))</f>
        <v>1361.1324999999999</v>
      </c>
      <c r="J46" s="20">
        <f>Annual!H46</f>
        <v>4.3066598928809263E-2</v>
      </c>
      <c r="K46" s="20">
        <f t="shared" si="1"/>
        <v>0.56653669949157859</v>
      </c>
    </row>
    <row r="47" spans="1:14" ht="15" customHeight="1">
      <c r="A47" s="18" t="str">
        <f>Analysis!A47</f>
        <v>12/1961</v>
      </c>
      <c r="B47" s="19">
        <f>Analysis!E47</f>
        <v>-0.16000000000000014</v>
      </c>
      <c r="C47" s="20">
        <f>Analysis!F47</f>
        <v>0.17910152336118931</v>
      </c>
      <c r="D47" s="30">
        <v>1360.91</v>
      </c>
      <c r="F47" s="24">
        <v>2004</v>
      </c>
      <c r="G47" s="20">
        <f>AVERAGEIFS(Analysis!$E$2:$E$823,Analysis!$B$2:$B$823,"&gt;="&amp;F47,Analysis!$B$2:$B$823,"&lt;"&amp;(F47+1))</f>
        <v>0.53416666666666723</v>
      </c>
      <c r="H47" s="25">
        <f>AVERAGEIFS(Analysis!$F$2:$F$823,Analysis!$B$2:$B$823,"&gt;="&amp;F47,Analysis!$B$2:$B$823,"&lt;"&amp;(F47+1))</f>
        <v>0.43178694907654275</v>
      </c>
      <c r="I47" s="19">
        <f>AVERAGEIFS($D$2:$D$791,Analysis!$B$2:$B$791,"&gt;="&amp;F47,Analysis!$B$2:$B$791,"&lt;"&amp;(F47+1))</f>
        <v>1360.9191666666666</v>
      </c>
      <c r="J47" s="20">
        <f>Annual!H47</f>
        <v>-5.7425976320808703E-2</v>
      </c>
      <c r="K47" s="20">
        <f t="shared" si="1"/>
        <v>0.56962112910666463</v>
      </c>
    </row>
    <row r="48" spans="1:14" ht="15" customHeight="1">
      <c r="A48" s="18" t="str">
        <f>Analysis!A48</f>
        <v>1/1962</v>
      </c>
      <c r="B48" s="19">
        <f>Analysis!E48</f>
        <v>5.0000000000004263E-2</v>
      </c>
      <c r="C48" s="20">
        <f>Analysis!F48</f>
        <v>0.18332770604480075</v>
      </c>
      <c r="D48" s="30">
        <v>1360.76</v>
      </c>
      <c r="F48" s="24">
        <v>2005</v>
      </c>
      <c r="G48" s="20">
        <f>AVERAGEIFS(Analysis!$E$2:$E$823,Analysis!$B$2:$B$823,"&gt;="&amp;F48,Analysis!$B$2:$B$823,"&lt;"&amp;(F48+1))</f>
        <v>0.67916666666666681</v>
      </c>
      <c r="H48" s="25">
        <f>AVERAGEIFS(Analysis!$F$2:$F$823,Analysis!$B$2:$B$823,"&gt;="&amp;F48,Analysis!$B$2:$B$823,"&lt;"&amp;(F48+1))</f>
        <v>0.44049121010051245</v>
      </c>
      <c r="I48" s="19">
        <f>AVERAGEIFS($D$2:$D$791,Analysis!$B$2:$B$791,"&gt;="&amp;F48,Analysis!$B$2:$B$791,"&lt;"&amp;(F48+1))</f>
        <v>1360.7025000000001</v>
      </c>
      <c r="J48" s="20">
        <f>Annual!H48</f>
        <v>6.3703558321234643E-2</v>
      </c>
      <c r="K48" s="20">
        <f t="shared" si="1"/>
        <v>0.57818724465884941</v>
      </c>
    </row>
    <row r="49" spans="1:11" ht="15" customHeight="1">
      <c r="A49" s="18" t="str">
        <f>Analysis!A49</f>
        <v>2/1962</v>
      </c>
      <c r="B49" s="19">
        <f>Analysis!E49</f>
        <v>0.14999999999999858</v>
      </c>
      <c r="C49" s="20">
        <f>Analysis!F49</f>
        <v>0.18609301027387254</v>
      </c>
      <c r="D49" s="30">
        <v>1360.67</v>
      </c>
      <c r="F49" s="24">
        <v>2006</v>
      </c>
      <c r="G49" s="20">
        <f>AVERAGEIFS(Analysis!$E$2:$E$823,Analysis!$B$2:$B$823,"&gt;="&amp;F49,Analysis!$B$2:$B$823,"&lt;"&amp;(F49+1))</f>
        <v>0.64083333333333392</v>
      </c>
      <c r="H49" s="25">
        <f>AVERAGEIFS(Analysis!$F$2:$F$823,Analysis!$B$2:$B$823,"&gt;="&amp;F49,Analysis!$B$2:$B$823,"&lt;"&amp;(F49+1))</f>
        <v>0.44847021068533954</v>
      </c>
      <c r="I49" s="19">
        <f>AVERAGEIFS($D$2:$D$791,Analysis!$B$2:$B$791,"&gt;="&amp;F49,Analysis!$B$2:$B$791,"&lt;"&amp;(F49+1))</f>
        <v>1360.6791666666666</v>
      </c>
      <c r="J49" s="20">
        <f>Annual!H49</f>
        <v>3.4887055198233874E-3</v>
      </c>
      <c r="K49" s="20">
        <f t="shared" si="1"/>
        <v>0.59785728154784579</v>
      </c>
    </row>
    <row r="50" spans="1:11" ht="15" customHeight="1">
      <c r="A50" s="18" t="str">
        <f>Analysis!A50</f>
        <v>3/1962</v>
      </c>
      <c r="B50" s="19">
        <f>Analysis!E50</f>
        <v>9.9999999999997868E-2</v>
      </c>
      <c r="C50" s="20">
        <f>Analysis!F50</f>
        <v>0.19120166107272715</v>
      </c>
      <c r="D50" s="30">
        <v>1360.96</v>
      </c>
      <c r="F50" s="24">
        <v>2007</v>
      </c>
      <c r="G50" s="20">
        <f>AVERAGEIFS(Analysis!$E$2:$E$823,Analysis!$B$2:$B$823,"&gt;="&amp;F50,Analysis!$B$2:$B$823,"&lt;"&amp;(F50+1))</f>
        <v>0.66416666666666746</v>
      </c>
      <c r="H50" s="25">
        <f>AVERAGEIFS(Analysis!$F$2:$F$823,Analysis!$B$2:$B$823,"&gt;="&amp;F50,Analysis!$B$2:$B$823,"&lt;"&amp;(F50+1))</f>
        <v>0.45575620866675709</v>
      </c>
      <c r="I50" s="19">
        <f>AVERAGEIFS($D$2:$D$791,Analysis!$B$2:$B$791,"&gt;="&amp;F50,Analysis!$B$2:$B$791,"&lt;"&amp;(F50+1))</f>
        <v>1360.6041666666667</v>
      </c>
      <c r="J50" s="20">
        <f>Annual!H50</f>
        <v>6.8410017571155501E-3</v>
      </c>
      <c r="K50" s="20">
        <f t="shared" si="1"/>
        <v>0.61219882497967149</v>
      </c>
    </row>
    <row r="51" spans="1:11" ht="15" customHeight="1">
      <c r="A51" s="18" t="str">
        <f>Analysis!A51</f>
        <v>4/1962</v>
      </c>
      <c r="B51" s="19">
        <f>Analysis!E51</f>
        <v>5.0000000000004263E-2</v>
      </c>
      <c r="C51" s="20">
        <f>Analysis!F51</f>
        <v>0.19521259246961153</v>
      </c>
      <c r="D51" s="30">
        <v>1360.85</v>
      </c>
      <c r="F51" s="24">
        <v>2008</v>
      </c>
      <c r="G51" s="20">
        <f>AVERAGEIFS(Analysis!$E$2:$E$823,Analysis!$B$2:$B$823,"&gt;="&amp;F51,Analysis!$B$2:$B$823,"&lt;"&amp;(F51+1))</f>
        <v>0.54333333333333378</v>
      </c>
      <c r="H51" s="25">
        <f>AVERAGEIFS(Analysis!$F$2:$F$823,Analysis!$B$2:$B$823,"&gt;="&amp;F51,Analysis!$B$2:$B$823,"&lt;"&amp;(F51+1))</f>
        <v>0.46253433128659666</v>
      </c>
      <c r="I51" s="19">
        <f>AVERAGEIFS($D$2:$D$791,Analysis!$B$2:$B$791,"&gt;="&amp;F51,Analysis!$B$2:$B$791,"&lt;"&amp;(F51+1))</f>
        <v>1360.6100000000001</v>
      </c>
      <c r="J51" s="20">
        <f>Annual!H51</f>
        <v>-0.13258057711978655</v>
      </c>
      <c r="K51" s="20">
        <f t="shared" si="1"/>
        <v>0.63063812088940097</v>
      </c>
    </row>
    <row r="52" spans="1:11" ht="15" customHeight="1">
      <c r="A52" s="18" t="str">
        <f>Analysis!A52</f>
        <v>5/1962</v>
      </c>
      <c r="B52" s="19">
        <f>Analysis!E52</f>
        <v>-6.0000000000000497E-2</v>
      </c>
      <c r="C52" s="20">
        <f>Analysis!F52</f>
        <v>0.19723635491870628</v>
      </c>
      <c r="D52" s="30">
        <v>1360.84</v>
      </c>
      <c r="F52" s="24">
        <v>2009</v>
      </c>
      <c r="G52" s="20">
        <f>AVERAGEIFS(Analysis!$E$2:$E$823,Analysis!$B$2:$B$823,"&gt;="&amp;F52,Analysis!$B$2:$B$823,"&lt;"&amp;(F52+1))</f>
        <v>0.65583333333333371</v>
      </c>
      <c r="H52" s="25">
        <f>AVERAGEIFS(Analysis!$F$2:$F$823,Analysis!$B$2:$B$823,"&gt;="&amp;F52,Analysis!$B$2:$B$823,"&lt;"&amp;(F52+1))</f>
        <v>0.46928442493460149</v>
      </c>
      <c r="I52" s="19">
        <f>AVERAGEIFS($D$2:$D$791,Analysis!$B$2:$B$791,"&gt;="&amp;F52,Analysis!$B$2:$B$791,"&lt;"&amp;(F52+1))</f>
        <v>1360.6075000000001</v>
      </c>
      <c r="J52" s="20">
        <f>Annual!H52</f>
        <v>-3.8591956333248523E-2</v>
      </c>
      <c r="K52" s="20">
        <f t="shared" si="1"/>
        <v>0.64844094589507506</v>
      </c>
    </row>
    <row r="53" spans="1:11" ht="15" customHeight="1">
      <c r="A53" s="18" t="str">
        <f>Analysis!A53</f>
        <v>6/1962</v>
      </c>
      <c r="B53" s="19">
        <f>Analysis!E53</f>
        <v>2.9999999999997584E-2</v>
      </c>
      <c r="C53" s="20">
        <f>Analysis!F53</f>
        <v>0.19543759520574477</v>
      </c>
      <c r="D53" s="30">
        <v>1360.93</v>
      </c>
      <c r="F53" s="24">
        <v>2010</v>
      </c>
      <c r="G53" s="20">
        <f>AVERAGEIFS(Analysis!$E$2:$E$823,Analysis!$B$2:$B$823,"&gt;="&amp;F53,Analysis!$B$2:$B$823,"&lt;"&amp;(F53+1))</f>
        <v>0.7241666666666674</v>
      </c>
      <c r="H53" s="25">
        <f>AVERAGEIFS(Analysis!$F$2:$F$823,Analysis!$B$2:$B$823,"&gt;="&amp;F53,Analysis!$B$2:$B$823,"&lt;"&amp;(F53+1))</f>
        <v>0.47840548027096802</v>
      </c>
      <c r="I53" s="19">
        <f>AVERAGEIFS($D$2:$D$791,Analysis!$B$2:$B$791,"&gt;="&amp;F53,Analysis!$B$2:$B$791,"&lt;"&amp;(F53+1))</f>
        <v>1360.7858333333334</v>
      </c>
      <c r="J53" s="20">
        <f>Annual!H53</f>
        <v>4.7278997117576882E-3</v>
      </c>
      <c r="K53" s="20">
        <f t="shared" si="1"/>
        <v>0.68474827150818385</v>
      </c>
    </row>
    <row r="54" spans="1:11" ht="15" customHeight="1">
      <c r="A54" s="18" t="str">
        <f>Analysis!A54</f>
        <v>7/1962</v>
      </c>
      <c r="B54" s="19">
        <f>Analysis!E54</f>
        <v>2.0000000000003126E-2</v>
      </c>
      <c r="C54" s="20">
        <f>Analysis!F54</f>
        <v>0.19088572103529255</v>
      </c>
      <c r="D54" s="30">
        <v>1360.8</v>
      </c>
      <c r="F54" s="24">
        <v>2011</v>
      </c>
      <c r="G54" s="20">
        <f>AVERAGEIFS(Analysis!$E$2:$E$823,Analysis!$B$2:$B$823,"&gt;="&amp;F54,Analysis!$B$2:$B$823,"&lt;"&amp;(F54+1))</f>
        <v>0.60750000000000037</v>
      </c>
      <c r="H54" s="25">
        <f>AVERAGEIFS(Analysis!$F$2:$F$823,Analysis!$B$2:$B$823,"&gt;="&amp;F54,Analysis!$B$2:$B$823,"&lt;"&amp;(F54+1))</f>
        <v>0.48486472333529007</v>
      </c>
      <c r="I54" s="19">
        <f>AVERAGEIFS($D$2:$D$791,Analysis!$B$2:$B$791,"&gt;="&amp;F54,Analysis!$B$2:$B$791,"&lt;"&amp;(F54+1))</f>
        <v>1361.0666666666666</v>
      </c>
      <c r="J54" s="20">
        <f>Annual!H54</f>
        <v>-0.12965252087163182</v>
      </c>
      <c r="K54" s="20">
        <f t="shared" si="1"/>
        <v>0.72087953222916212</v>
      </c>
    </row>
    <row r="55" spans="1:11" ht="15" customHeight="1">
      <c r="A55" s="18" t="str">
        <f>Analysis!A55</f>
        <v>8/1962</v>
      </c>
      <c r="B55" s="19">
        <f>Analysis!E55</f>
        <v>-9.9999999999980105E-3</v>
      </c>
      <c r="C55" s="20">
        <f>Analysis!F55</f>
        <v>0.18087530100285296</v>
      </c>
      <c r="D55" s="30">
        <v>1360.76</v>
      </c>
      <c r="F55" s="24">
        <v>2012</v>
      </c>
      <c r="G55" s="20">
        <f>AVERAGEIFS(Analysis!$E$2:$E$823,Analysis!$B$2:$B$823,"&gt;="&amp;F55,Analysis!$B$2:$B$823,"&lt;"&amp;(F55+1))</f>
        <v>0.64666666666666694</v>
      </c>
      <c r="H55" s="25">
        <f>AVERAGEIFS(Analysis!$F$2:$F$823,Analysis!$B$2:$B$823,"&gt;="&amp;F55,Analysis!$B$2:$B$823,"&lt;"&amp;(F55+1))</f>
        <v>0.49295906457010003</v>
      </c>
      <c r="I55" s="19">
        <f>AVERAGEIFS($D$2:$D$791,Analysis!$B$2:$B$791,"&gt;="&amp;F55,Analysis!$B$2:$B$791,"&lt;"&amp;(F55+1))</f>
        <v>1361.1933333333332</v>
      </c>
      <c r="J55" s="20">
        <f>Annual!H55</f>
        <v>-0.11268368254546812</v>
      </c>
      <c r="K55" s="20">
        <f t="shared" si="1"/>
        <v>0.75096989436615047</v>
      </c>
    </row>
    <row r="56" spans="1:11" ht="15" customHeight="1">
      <c r="A56" s="18" t="str">
        <f>Analysis!A56</f>
        <v>9/1962</v>
      </c>
      <c r="B56" s="19">
        <f>Analysis!E56</f>
        <v>0</v>
      </c>
      <c r="C56" s="20">
        <f>Analysis!F56</f>
        <v>0.17559303309992255</v>
      </c>
      <c r="D56" s="30">
        <v>1360.64</v>
      </c>
      <c r="F56" s="24">
        <v>2013</v>
      </c>
      <c r="G56" s="20">
        <f>AVERAGEIFS(Analysis!$E$2:$E$823,Analysis!$B$2:$B$823,"&gt;="&amp;F56,Analysis!$B$2:$B$823,"&lt;"&amp;(F56+1))</f>
        <v>0.67666666666666764</v>
      </c>
      <c r="H56" s="25">
        <f>AVERAGEIFS(Analysis!$F$2:$F$823,Analysis!$B$2:$B$823,"&gt;="&amp;F56,Analysis!$B$2:$B$823,"&lt;"&amp;(F56+1))</f>
        <v>0.50274186240145013</v>
      </c>
      <c r="I56" s="19">
        <f>AVERAGEIFS($D$2:$D$791,Analysis!$B$2:$B$791,"&gt;="&amp;F56,Analysis!$B$2:$B$791,"&lt;"&amp;(F56+1))</f>
        <v>1361.2625</v>
      </c>
      <c r="J56" s="20">
        <f>Annual!H56</f>
        <v>-0.10951191484388623</v>
      </c>
      <c r="K56" s="20">
        <f t="shared" si="1"/>
        <v>0.78167884242751029</v>
      </c>
    </row>
    <row r="57" spans="1:11" ht="15" customHeight="1">
      <c r="A57" s="18" t="str">
        <f>Analysis!A57</f>
        <v>10/1962</v>
      </c>
      <c r="B57" s="19">
        <f>Analysis!E57</f>
        <v>1.0000000000001563E-2</v>
      </c>
      <c r="C57" s="20">
        <f>Analysis!F57</f>
        <v>0.17184731357334099</v>
      </c>
      <c r="D57" s="30">
        <v>1360.8</v>
      </c>
      <c r="F57" s="24">
        <v>2014</v>
      </c>
      <c r="G57" s="20">
        <f>AVERAGEIFS(Analysis!$E$2:$E$823,Analysis!$B$2:$B$823,"&gt;="&amp;F57,Analysis!$B$2:$B$823,"&lt;"&amp;(F57+1))</f>
        <v>0.74916666666666665</v>
      </c>
      <c r="H57" s="25">
        <f>AVERAGEIFS(Analysis!$F$2:$F$823,Analysis!$B$2:$B$823,"&gt;="&amp;F57,Analysis!$B$2:$B$823,"&lt;"&amp;(F57+1))</f>
        <v>0.51026535704843223</v>
      </c>
      <c r="I57" s="19">
        <f>AVERAGEIFS($D$2:$D$791,Analysis!$B$2:$B$791,"&gt;="&amp;F57,Analysis!$B$2:$B$791,"&lt;"&amp;(F57+1))</f>
        <v>1361.3833333333332</v>
      </c>
      <c r="J57" s="20">
        <f>Annual!H57</f>
        <v>-5.7644260065038644E-2</v>
      </c>
      <c r="K57" s="20">
        <f t="shared" si="1"/>
        <v>0.8098560957483727</v>
      </c>
    </row>
    <row r="58" spans="1:11" ht="15" customHeight="1">
      <c r="A58" s="18" t="str">
        <f>Analysis!A58</f>
        <v>11/1962</v>
      </c>
      <c r="B58" s="19">
        <f>Analysis!E58</f>
        <v>5.9999999999998721E-2</v>
      </c>
      <c r="C58" s="20">
        <f>Analysis!F58</f>
        <v>0.17764448548104073</v>
      </c>
      <c r="D58" s="30">
        <v>1360.76</v>
      </c>
      <c r="F58" s="24">
        <v>2015</v>
      </c>
      <c r="G58" s="20">
        <f>AVERAGEIFS(Analysis!$E$2:$E$823,Analysis!$B$2:$B$823,"&gt;="&amp;F58,Analysis!$B$2:$B$823,"&lt;"&amp;(F58+1))</f>
        <v>0.89833333333333354</v>
      </c>
      <c r="H58" s="25">
        <f>AVERAGEIFS(Analysis!$F$2:$F$823,Analysis!$B$2:$B$823,"&gt;="&amp;F58,Analysis!$B$2:$B$823,"&lt;"&amp;(F58+1))</f>
        <v>0.5182044540111318</v>
      </c>
      <c r="I58" s="19">
        <f>AVERAGEIFS($D$2:$D$791,Analysis!$B$2:$B$791,"&gt;="&amp;F58,Analysis!$B$2:$B$791,"&lt;"&amp;(F58+1))</f>
        <v>1361.4133333333332</v>
      </c>
      <c r="J58" s="20">
        <f>Annual!H58</f>
        <v>6.9750318368094533E-2</v>
      </c>
      <c r="K58" s="20">
        <f t="shared" si="1"/>
        <v>0.83301571356105342</v>
      </c>
    </row>
    <row r="59" spans="1:11" ht="15" customHeight="1">
      <c r="A59" s="18" t="str">
        <f>Analysis!A59</f>
        <v>12/1962</v>
      </c>
      <c r="B59" s="19">
        <f>Analysis!E59</f>
        <v>-2.9999999999999361E-2</v>
      </c>
      <c r="C59" s="20">
        <f>Analysis!F59</f>
        <v>0.18223826288116377</v>
      </c>
      <c r="D59" s="30">
        <v>1360.8</v>
      </c>
      <c r="F59" s="24">
        <v>2016</v>
      </c>
      <c r="G59" s="20">
        <f>AVERAGEIFS(Analysis!$E$2:$E$823,Analysis!$B$2:$B$823,"&gt;="&amp;F59,Analysis!$B$2:$B$823,"&lt;"&amp;(F59+1))</f>
        <v>1.0124999999999997</v>
      </c>
      <c r="H59" s="25">
        <f>AVERAGEIFS(Analysis!$F$2:$F$823,Analysis!$B$2:$B$823,"&gt;="&amp;F59,Analysis!$B$2:$B$823,"&lt;"&amp;(F59+1))</f>
        <v>0.53038105662294244</v>
      </c>
      <c r="I59" s="19">
        <f>AVERAGEIFS($D$2:$D$791,Analysis!$B$2:$B$791,"&gt;="&amp;F59,Analysis!$B$2:$B$791,"&lt;"&amp;(F59+1))</f>
        <v>1360.9541666666667</v>
      </c>
      <c r="J59" s="20">
        <f>Annual!H59</f>
        <v>0.15052401002833504</v>
      </c>
      <c r="K59" s="20">
        <f t="shared" si="1"/>
        <v>0.83447681154997611</v>
      </c>
    </row>
    <row r="60" spans="1:11" ht="15" customHeight="1">
      <c r="A60" s="18" t="str">
        <f>Analysis!A60</f>
        <v>1/1963</v>
      </c>
      <c r="B60" s="19">
        <f>Analysis!E60</f>
        <v>-2.9999999999999361E-2</v>
      </c>
      <c r="C60" s="20">
        <f>Analysis!F60</f>
        <v>0.18695325307037156</v>
      </c>
      <c r="D60" s="30">
        <v>1360.71</v>
      </c>
      <c r="F60" s="24">
        <v>2017</v>
      </c>
      <c r="G60" s="20">
        <f>AVERAGEIFS(Analysis!$E$2:$E$823,Analysis!$B$2:$B$823,"&gt;="&amp;F60,Analysis!$B$2:$B$823,"&lt;"&amp;(F60+1))</f>
        <v>0.91499999999999904</v>
      </c>
      <c r="H60" s="25">
        <f>AVERAGEIFS(Analysis!$F$2:$F$823,Analysis!$B$2:$B$823,"&gt;="&amp;F60,Analysis!$B$2:$B$823,"&lt;"&amp;(F60+1))</f>
        <v>0.53872858215798958</v>
      </c>
      <c r="I60" s="19">
        <f>AVERAGEIFS($D$2:$D$791,Analysis!$B$2:$B$791,"&gt;="&amp;F60,Analysis!$B$2:$B$791,"&lt;"&amp;(F60+1))</f>
        <v>1360.6599999999999</v>
      </c>
      <c r="J60" s="20">
        <f>Annual!H60</f>
        <v>3.0131851973758561E-2</v>
      </c>
      <c r="K60" s="20">
        <f t="shared" si="1"/>
        <v>0.83686798244040972</v>
      </c>
    </row>
    <row r="61" spans="1:11" ht="15" customHeight="1">
      <c r="A61" s="18" t="str">
        <f>Analysis!A61</f>
        <v>2/1963</v>
      </c>
      <c r="B61" s="19">
        <f>Analysis!E61</f>
        <v>0.17999999999999972</v>
      </c>
      <c r="C61" s="20">
        <f>Analysis!F61</f>
        <v>0.18844614093972484</v>
      </c>
      <c r="D61" s="30">
        <v>1360.8</v>
      </c>
      <c r="F61" s="24">
        <v>2018</v>
      </c>
      <c r="G61" s="20">
        <f>AVERAGEIFS(Analysis!$E$2:$E$823,Analysis!$B$2:$B$823,"&gt;="&amp;F61,Analysis!$B$2:$B$823,"&lt;"&amp;(F61+1))</f>
        <v>0.85083333333333433</v>
      </c>
      <c r="H61" s="25">
        <f>AVERAGEIFS(Analysis!$F$2:$F$823,Analysis!$B$2:$B$823,"&gt;="&amp;F61,Analysis!$B$2:$B$823,"&lt;"&amp;(F61+1))</f>
        <v>0.54565570832238308</v>
      </c>
      <c r="I61" s="19">
        <f>AVERAGEIFS($D$2:$D$791,Analysis!$B$2:$B$791,"&gt;="&amp;F61,Analysis!$B$2:$B$791,"&lt;"&amp;(F61+1))</f>
        <v>1360.6391666666666</v>
      </c>
      <c r="J61" s="20">
        <f>Annual!H61</f>
        <v>-5.3031685843943244E-2</v>
      </c>
      <c r="K61" s="20">
        <f t="shared" si="1"/>
        <v>0.85390607388022488</v>
      </c>
    </row>
    <row r="62" spans="1:11" ht="15" customHeight="1">
      <c r="A62" s="18" t="str">
        <f>Analysis!A62</f>
        <v>3/1963</v>
      </c>
      <c r="B62" s="19">
        <f>Analysis!E62</f>
        <v>-0.13999999999999879</v>
      </c>
      <c r="C62" s="20">
        <f>Analysis!F62</f>
        <v>0.19201376075129936</v>
      </c>
      <c r="D62" s="30">
        <v>1360.78</v>
      </c>
      <c r="F62" s="24">
        <v>2019</v>
      </c>
      <c r="G62" s="20">
        <f>AVERAGEIFS(Analysis!$E$2:$E$823,Analysis!$B$2:$B$823,"&gt;="&amp;F62,Analysis!$B$2:$B$823,"&lt;"&amp;(F62+1))</f>
        <v>0.97999999999999898</v>
      </c>
      <c r="H62" s="25">
        <f>AVERAGEIFS(Analysis!$F$2:$F$823,Analysis!$B$2:$B$823,"&gt;="&amp;F62,Analysis!$B$2:$B$823,"&lt;"&amp;(F62+1))</f>
        <v>0.55597376133382259</v>
      </c>
      <c r="I62" s="19">
        <f>AVERAGEIFS($D$2:$D$791,Analysis!$B$2:$B$791,"&gt;="&amp;F62,Analysis!$B$2:$B$791,"&lt;"&amp;(F62+1))</f>
        <v>1360.6483333333333</v>
      </c>
      <c r="J62" s="20">
        <f>Annual!H62</f>
        <v>4.7838870872333406E-2</v>
      </c>
      <c r="K62" s="20">
        <f t="shared" si="1"/>
        <v>0.88199478236049345</v>
      </c>
    </row>
    <row r="63" spans="1:11" ht="15" customHeight="1">
      <c r="A63" s="18" t="str">
        <f>Analysis!A63</f>
        <v>4/1963</v>
      </c>
      <c r="B63" s="19">
        <f>Analysis!E63</f>
        <v>-7.0000000000000284E-2</v>
      </c>
      <c r="C63" s="20">
        <f>Analysis!F63</f>
        <v>0.198853323377887</v>
      </c>
      <c r="D63" s="30">
        <v>1360.67</v>
      </c>
      <c r="F63" s="24">
        <v>2020</v>
      </c>
      <c r="G63" s="20">
        <f>AVERAGEIFS(Analysis!$E$2:$E$823,Analysis!$B$2:$B$823,"&gt;="&amp;F63,Analysis!$B$2:$B$823,"&lt;"&amp;(F63+1))</f>
        <v>1.0075000000000005</v>
      </c>
      <c r="H63" s="25">
        <f>AVERAGEIFS(Analysis!$F$2:$F$823,Analysis!$B$2:$B$823,"&gt;="&amp;F63,Analysis!$B$2:$B$823,"&lt;"&amp;(F63+1))</f>
        <v>0.56493356806233885</v>
      </c>
      <c r="I63" s="19">
        <f>AVERAGEIFS($D$2:$D$791,Analysis!$B$2:$B$791,"&gt;="&amp;F63,Analysis!$B$2:$B$791,"&lt;"&amp;(F63+1))</f>
        <v>1360.7483333333332</v>
      </c>
      <c r="J63" s="20">
        <f>Annual!H63</f>
        <v>5.0767599912276862E-2</v>
      </c>
      <c r="K63" s="20">
        <f t="shared" si="1"/>
        <v>0.91259144086302513</v>
      </c>
    </row>
    <row r="64" spans="1:11" ht="15" customHeight="1">
      <c r="A64" s="18" t="str">
        <f>Analysis!A64</f>
        <v>5/1963</v>
      </c>
      <c r="B64" s="19">
        <f>Analysis!E64</f>
        <v>-6.0000000000000497E-2</v>
      </c>
      <c r="C64" s="20">
        <f>Analysis!F64</f>
        <v>0.20270876128709345</v>
      </c>
      <c r="D64" s="30">
        <v>1360.71</v>
      </c>
      <c r="F64" s="24">
        <v>2021</v>
      </c>
      <c r="G64" s="20">
        <f>AVERAGEIFS(Analysis!$E$2:$E$823,Analysis!$B$2:$B$823,"&gt;="&amp;F64,Analysis!$B$2:$B$823,"&lt;"&amp;(F64+1))</f>
        <v>0.84916666666666762</v>
      </c>
      <c r="H64" s="25">
        <f>AVERAGEIFS(Analysis!$F$2:$F$823,Analysis!$B$2:$B$823,"&gt;="&amp;F64,Analysis!$B$2:$B$823,"&lt;"&amp;(F64+1))</f>
        <v>0.57257663795460223</v>
      </c>
      <c r="I64" s="19">
        <f>AVERAGEIFS($D$2:$D$791,Analysis!$B$2:$B$791,"&gt;="&amp;F64,Analysis!$B$2:$B$791,"&lt;"&amp;(F64+1))</f>
        <v>1360.9741666666666</v>
      </c>
      <c r="J64" s="20">
        <f>Annual!H64</f>
        <v>-0.12852600042009255</v>
      </c>
      <c r="K64" s="20">
        <f t="shared" si="1"/>
        <v>0.94816632052371119</v>
      </c>
    </row>
    <row r="65" spans="1:11" ht="15" customHeight="1">
      <c r="A65" s="18" t="str">
        <f>Analysis!A65</f>
        <v>6/1963</v>
      </c>
      <c r="B65" s="19">
        <f>Analysis!E65</f>
        <v>5.0000000000004263E-2</v>
      </c>
      <c r="C65" s="20">
        <f>Analysis!F65</f>
        <v>0.19934703581133892</v>
      </c>
      <c r="D65" s="30">
        <v>1360.76</v>
      </c>
      <c r="F65" s="24">
        <v>2022</v>
      </c>
      <c r="G65" s="20">
        <f>AVERAGEIFS(Analysis!$E$2:$E$823,Analysis!$B$2:$B$823,"&gt;="&amp;F65,Analysis!$B$2:$B$823,"&lt;"&amp;(F65+1))</f>
        <v>0.89250000000000063</v>
      </c>
      <c r="H65" s="25">
        <f>AVERAGEIFS(Analysis!$F$2:$F$823,Analysis!$B$2:$B$823,"&gt;="&amp;F65,Analysis!$B$2:$B$823,"&lt;"&amp;(F65+1))</f>
        <v>0.579887058389435</v>
      </c>
      <c r="I65" s="19">
        <f>AVERAGEIFS($D$2:$D$791,Analysis!$B$2:$B$791,"&gt;="&amp;F65,Analysis!$B$2:$B$791,"&lt;"&amp;(F65+1))</f>
        <v>1361.4933333333336</v>
      </c>
      <c r="J65" s="20">
        <f>Annual!H65</f>
        <v>-0.10524068003825837</v>
      </c>
      <c r="K65" s="20">
        <f t="shared" si="1"/>
        <v>1.0026325672468346</v>
      </c>
    </row>
    <row r="66" spans="1:11" ht="15" customHeight="1">
      <c r="A66" s="18" t="str">
        <f>Analysis!A66</f>
        <v>7/1963</v>
      </c>
      <c r="B66" s="19">
        <f>Analysis!E66</f>
        <v>5.9999999999998721E-2</v>
      </c>
      <c r="C66" s="20">
        <f>Analysis!F66</f>
        <v>0.19147241176149948</v>
      </c>
      <c r="D66" s="30">
        <v>1360.76</v>
      </c>
      <c r="F66" s="24">
        <v>2023</v>
      </c>
      <c r="G66" s="20">
        <f>AVERAGEIFS(Analysis!$E$2:$E$823,Analysis!$B$2:$B$823,"&gt;="&amp;F66,Analysis!$B$2:$B$823,"&lt;"&amp;(F66+1))</f>
        <v>1.1724999999999992</v>
      </c>
      <c r="H66" s="25">
        <f>AVERAGEIFS(Analysis!$F$2:$F$823,Analysis!$B$2:$B$823,"&gt;="&amp;F66,Analysis!$B$2:$B$823,"&lt;"&amp;(F66+1))</f>
        <v>0.58865435505823871</v>
      </c>
      <c r="I66" s="19">
        <f>AVERAGEIFS($D$2:$D$791,Analysis!$B$2:$B$791,"&gt;="&amp;F66,Analysis!$B$2:$B$791,"&lt;"&amp;(F66+1))</f>
        <v>1362.0025000000001</v>
      </c>
      <c r="J66" s="20">
        <f>Annual!H66</f>
        <v>0.15071598637612138</v>
      </c>
      <c r="K66" s="20">
        <f t="shared" si="1"/>
        <v>1.0603033698565838</v>
      </c>
    </row>
    <row r="67" spans="1:11" ht="15" customHeight="1">
      <c r="A67" s="18" t="str">
        <f>Analysis!A67</f>
        <v>8/1963</v>
      </c>
      <c r="B67" s="19">
        <f>Analysis!E67</f>
        <v>0.22000000000000242</v>
      </c>
      <c r="C67" s="20">
        <f>Analysis!F67</f>
        <v>0.18255610212855772</v>
      </c>
      <c r="D67" s="30">
        <v>1360.72</v>
      </c>
    </row>
    <row r="68" spans="1:11" ht="15" customHeight="1">
      <c r="A68" s="18" t="str">
        <f>Analysis!A68</f>
        <v>9/1963</v>
      </c>
      <c r="B68" s="19">
        <f>Analysis!E68</f>
        <v>0.16999999999999993</v>
      </c>
      <c r="C68" s="20">
        <f>Analysis!F68</f>
        <v>0.17545616583370666</v>
      </c>
      <c r="D68" s="30">
        <v>1360.57</v>
      </c>
    </row>
    <row r="69" spans="1:11" ht="15" customHeight="1">
      <c r="A69" s="18" t="str">
        <f>Analysis!A69</f>
        <v>10/1963</v>
      </c>
      <c r="B69" s="19">
        <f>Analysis!E69</f>
        <v>0.14999999999999858</v>
      </c>
      <c r="C69" s="20">
        <f>Analysis!F69</f>
        <v>0.17445207560337639</v>
      </c>
      <c r="D69" s="30">
        <v>1360.7</v>
      </c>
    </row>
    <row r="70" spans="1:11" ht="15" customHeight="1">
      <c r="A70" s="18" t="str">
        <f>Analysis!A70</f>
        <v>11/1963</v>
      </c>
      <c r="B70" s="19">
        <f>Analysis!E70</f>
        <v>0.14999999999999858</v>
      </c>
      <c r="C70" s="20">
        <f>Analysis!F70</f>
        <v>0.179374554217585</v>
      </c>
      <c r="D70" s="30">
        <v>1360.84</v>
      </c>
    </row>
    <row r="71" spans="1:11" ht="15" customHeight="1">
      <c r="A71" s="18" t="str">
        <f>Analysis!A71</f>
        <v>12/1963</v>
      </c>
      <c r="B71" s="19">
        <f>Analysis!E71</f>
        <v>-2.9999999999999361E-2</v>
      </c>
      <c r="C71" s="20">
        <f>Analysis!F71</f>
        <v>0.18518693705150802</v>
      </c>
      <c r="D71" s="30">
        <v>1360.78</v>
      </c>
    </row>
    <row r="72" spans="1:11" ht="15" customHeight="1">
      <c r="A72" s="18" t="str">
        <f>Analysis!A72</f>
        <v>1/1964</v>
      </c>
      <c r="B72" s="19">
        <f>Analysis!E72</f>
        <v>-9.0000000000001634E-2</v>
      </c>
      <c r="C72" s="20">
        <f>Analysis!F72</f>
        <v>0.1907051528018969</v>
      </c>
      <c r="D72" s="30">
        <v>1360.71</v>
      </c>
    </row>
    <row r="73" spans="1:11" ht="15" customHeight="1">
      <c r="A73" s="18" t="str">
        <f>Analysis!A73</f>
        <v>2/1964</v>
      </c>
      <c r="B73" s="19">
        <f>Analysis!E73</f>
        <v>-0.10000000000000142</v>
      </c>
      <c r="C73" s="20">
        <f>Analysis!F73</f>
        <v>0.19282540355239119</v>
      </c>
      <c r="D73" s="30">
        <v>1360.74</v>
      </c>
    </row>
    <row r="74" spans="1:11" ht="15" customHeight="1">
      <c r="A74" s="18" t="str">
        <f>Analysis!A74</f>
        <v>3/1964</v>
      </c>
      <c r="B74" s="19">
        <f>Analysis!E74</f>
        <v>-0.20999999999999908</v>
      </c>
      <c r="C74" s="20">
        <f>Analysis!F74</f>
        <v>0.19602243814471609</v>
      </c>
      <c r="D74" s="30">
        <v>1360.71</v>
      </c>
    </row>
    <row r="75" spans="1:11" ht="15" customHeight="1">
      <c r="A75" s="18" t="str">
        <f>Analysis!A75</f>
        <v>4/1964</v>
      </c>
      <c r="B75" s="19">
        <f>Analysis!E75</f>
        <v>-0.32000000000000206</v>
      </c>
      <c r="C75" s="20">
        <f>Analysis!F75</f>
        <v>0.20091681590593874</v>
      </c>
      <c r="D75" s="30">
        <v>1360.78</v>
      </c>
    </row>
    <row r="76" spans="1:11" ht="15" customHeight="1">
      <c r="A76" s="18" t="str">
        <f>Analysis!A76</f>
        <v>5/1964</v>
      </c>
      <c r="B76" s="19">
        <f>Analysis!E76</f>
        <v>-0.25</v>
      </c>
      <c r="C76" s="20">
        <f>Analysis!F76</f>
        <v>0.20275353141668456</v>
      </c>
      <c r="D76" s="30">
        <v>1360.71</v>
      </c>
    </row>
    <row r="77" spans="1:11" ht="15" customHeight="1">
      <c r="A77" s="18" t="str">
        <f>Analysis!A77</f>
        <v>6/1964</v>
      </c>
      <c r="B77" s="19">
        <f>Analysis!E77</f>
        <v>-3.9999999999999147E-2</v>
      </c>
      <c r="C77" s="20">
        <f>Analysis!F77</f>
        <v>0.20114093083670029</v>
      </c>
      <c r="D77" s="30">
        <v>1360.73</v>
      </c>
    </row>
    <row r="78" spans="1:11" ht="15" customHeight="1">
      <c r="A78" s="18" t="str">
        <f>Analysis!A78</f>
        <v>7/1964</v>
      </c>
      <c r="B78" s="19">
        <f>Analysis!E78</f>
        <v>-3.9999999999999147E-2</v>
      </c>
      <c r="C78" s="20">
        <f>Analysis!F78</f>
        <v>0.19462742107482237</v>
      </c>
      <c r="D78" s="30">
        <v>1360.7</v>
      </c>
    </row>
    <row r="79" spans="1:11" ht="15" customHeight="1">
      <c r="A79" s="18" t="str">
        <f>Analysis!A79</f>
        <v>8/1964</v>
      </c>
      <c r="B79" s="19">
        <f>Analysis!E79</f>
        <v>-0.21999999999999886</v>
      </c>
      <c r="C79" s="20">
        <f>Analysis!F79</f>
        <v>0.18672692311353747</v>
      </c>
      <c r="D79" s="30">
        <v>1360.71</v>
      </c>
    </row>
    <row r="80" spans="1:11" ht="15" customHeight="1">
      <c r="A80" s="18" t="str">
        <f>Analysis!A80</f>
        <v>9/1964</v>
      </c>
      <c r="B80" s="19">
        <f>Analysis!E80</f>
        <v>-0.30000000000000249</v>
      </c>
      <c r="C80" s="20">
        <f>Analysis!F80</f>
        <v>0.17773559347228587</v>
      </c>
      <c r="D80" s="30">
        <v>1360.71</v>
      </c>
    </row>
    <row r="81" spans="1:4" ht="15" customHeight="1">
      <c r="A81" s="18" t="str">
        <f>Analysis!A81</f>
        <v>10/1964</v>
      </c>
      <c r="B81" s="19">
        <f>Analysis!E81</f>
        <v>-0.31000000000000227</v>
      </c>
      <c r="C81" s="20">
        <f>Analysis!F81</f>
        <v>0.17846425034734256</v>
      </c>
      <c r="D81" s="30">
        <v>1360.75</v>
      </c>
    </row>
    <row r="82" spans="1:4" ht="15" customHeight="1">
      <c r="A82" s="18" t="str">
        <f>Analysis!A82</f>
        <v>11/1964</v>
      </c>
      <c r="B82" s="19">
        <f>Analysis!E82</f>
        <v>-0.20999999999999908</v>
      </c>
      <c r="C82" s="20">
        <f>Analysis!F82</f>
        <v>0.18214743880477707</v>
      </c>
      <c r="D82" s="30">
        <v>1360.73</v>
      </c>
    </row>
    <row r="83" spans="1:4" ht="15" customHeight="1">
      <c r="A83" s="18" t="str">
        <f>Analysis!A83</f>
        <v>12/1964</v>
      </c>
      <c r="B83" s="19">
        <f>Analysis!E83</f>
        <v>-0.30000000000000249</v>
      </c>
      <c r="C83" s="20">
        <f>Analysis!F83</f>
        <v>0.18681745935711205</v>
      </c>
      <c r="D83" s="30">
        <v>1360.76</v>
      </c>
    </row>
    <row r="84" spans="1:4" ht="15" customHeight="1">
      <c r="A84" s="18" t="str">
        <f>Analysis!A84</f>
        <v>1/1965</v>
      </c>
      <c r="B84" s="19">
        <f>Analysis!E84</f>
        <v>-8.0000000000001847E-2</v>
      </c>
      <c r="C84" s="20">
        <f>Analysis!F84</f>
        <v>0.19011814991335674</v>
      </c>
      <c r="D84" s="30">
        <v>1360.72</v>
      </c>
    </row>
    <row r="85" spans="1:4" ht="15" customHeight="1">
      <c r="A85" s="18" t="str">
        <f>Analysis!A85</f>
        <v>2/1965</v>
      </c>
      <c r="B85" s="19">
        <f>Analysis!E85</f>
        <v>-0.16999999999999638</v>
      </c>
      <c r="C85" s="20">
        <f>Analysis!F85</f>
        <v>0.19462742107482237</v>
      </c>
      <c r="D85" s="30">
        <v>1360.73</v>
      </c>
    </row>
    <row r="86" spans="1:4" ht="15" customHeight="1">
      <c r="A86" s="18" t="str">
        <f>Analysis!A86</f>
        <v>3/1965</v>
      </c>
      <c r="B86" s="19">
        <f>Analysis!E86</f>
        <v>-0.13000000000000256</v>
      </c>
      <c r="C86" s="20">
        <f>Analysis!F86</f>
        <v>0.19665200397268703</v>
      </c>
      <c r="D86" s="30">
        <v>1360.75</v>
      </c>
    </row>
    <row r="87" spans="1:4" ht="15" customHeight="1">
      <c r="A87" s="18" t="str">
        <f>Analysis!A87</f>
        <v>4/1965</v>
      </c>
      <c r="B87" s="19">
        <f>Analysis!E87</f>
        <v>-0.18999999999999773</v>
      </c>
      <c r="C87" s="20">
        <f>Analysis!F87</f>
        <v>0.20226098356200239</v>
      </c>
      <c r="D87" s="30">
        <v>1360.77</v>
      </c>
    </row>
    <row r="88" spans="1:4" ht="15" customHeight="1">
      <c r="A88" s="18" t="str">
        <f>Analysis!A88</f>
        <v>5/1965</v>
      </c>
      <c r="B88" s="19">
        <f>Analysis!E88</f>
        <v>-0.11999999999999744</v>
      </c>
      <c r="C88" s="20">
        <f>Analysis!F88</f>
        <v>0.20239533147297081</v>
      </c>
      <c r="D88" s="30">
        <v>1360.76</v>
      </c>
    </row>
    <row r="89" spans="1:4" ht="15" customHeight="1">
      <c r="A89" s="18" t="str">
        <f>Analysis!A89</f>
        <v>6/1965</v>
      </c>
      <c r="B89" s="19">
        <f>Analysis!E89</f>
        <v>-8.0000000000001847E-2</v>
      </c>
      <c r="C89" s="20">
        <f>Analysis!F89</f>
        <v>0.20105128904215877</v>
      </c>
      <c r="D89" s="30">
        <v>1360.83</v>
      </c>
    </row>
    <row r="90" spans="1:4" ht="15" customHeight="1">
      <c r="A90" s="18" t="str">
        <f>Analysis!A90</f>
        <v>7/1965</v>
      </c>
      <c r="B90" s="19">
        <f>Analysis!E90</f>
        <v>-0.13000000000000256</v>
      </c>
      <c r="C90" s="20">
        <f>Analysis!F90</f>
        <v>0.19808998077164383</v>
      </c>
      <c r="D90" s="30">
        <v>1360.82</v>
      </c>
    </row>
    <row r="91" spans="1:4" ht="15" customHeight="1">
      <c r="A91" s="18" t="str">
        <f>Analysis!A91</f>
        <v>8/1965</v>
      </c>
      <c r="B91" s="19">
        <f>Analysis!E91</f>
        <v>-3.9999999999999147E-2</v>
      </c>
      <c r="C91" s="20">
        <f>Analysis!F91</f>
        <v>0.18754154484093474</v>
      </c>
      <c r="D91" s="30">
        <v>1360.83</v>
      </c>
    </row>
    <row r="92" spans="1:4" ht="15" customHeight="1">
      <c r="A92" s="18" t="str">
        <f>Analysis!A92</f>
        <v>9/1965</v>
      </c>
      <c r="B92" s="19">
        <f>Analysis!E92</f>
        <v>-0.14999999999999858</v>
      </c>
      <c r="C92" s="20">
        <f>Analysis!F92</f>
        <v>0.18278308729885059</v>
      </c>
      <c r="D92" s="30">
        <v>1360.75</v>
      </c>
    </row>
    <row r="93" spans="1:4" ht="15" customHeight="1">
      <c r="A93" s="18" t="str">
        <f>Analysis!A93</f>
        <v>10/1965</v>
      </c>
      <c r="B93" s="19">
        <f>Analysis!E93</f>
        <v>-5.0000000000000711E-2</v>
      </c>
      <c r="C93" s="20">
        <f>Analysis!F93</f>
        <v>0.18042069408530895</v>
      </c>
      <c r="D93" s="30">
        <v>1360.8</v>
      </c>
    </row>
    <row r="94" spans="1:4" ht="15" customHeight="1">
      <c r="A94" s="18" t="str">
        <f>Analysis!A94</f>
        <v>11/1965</v>
      </c>
      <c r="B94" s="19">
        <f>Analysis!E94</f>
        <v>-6.0000000000000497E-2</v>
      </c>
      <c r="C94" s="20">
        <f>Analysis!F94</f>
        <v>0.18754154484093474</v>
      </c>
      <c r="D94" s="30">
        <v>1360.76</v>
      </c>
    </row>
    <row r="95" spans="1:4" ht="15" customHeight="1">
      <c r="A95" s="18" t="str">
        <f>Analysis!A95</f>
        <v>12/1965</v>
      </c>
      <c r="B95" s="19">
        <f>Analysis!E95</f>
        <v>-8.0000000000001847E-2</v>
      </c>
      <c r="C95" s="20">
        <f>Analysis!F95</f>
        <v>0.19002782057413631</v>
      </c>
      <c r="D95" s="30">
        <v>1360.75</v>
      </c>
    </row>
    <row r="96" spans="1:4" ht="15" customHeight="1">
      <c r="A96" s="18" t="str">
        <f>Analysis!A96</f>
        <v>1/1966</v>
      </c>
      <c r="B96" s="19">
        <f>Analysis!E96</f>
        <v>-0.18999999999999773</v>
      </c>
      <c r="C96" s="20">
        <f>Analysis!F96</f>
        <v>0.19543759520574477</v>
      </c>
      <c r="D96" s="30">
        <v>1360.83</v>
      </c>
    </row>
    <row r="97" spans="1:4" ht="15" customHeight="1">
      <c r="A97" s="18" t="str">
        <f>Analysis!A97</f>
        <v>2/1966</v>
      </c>
      <c r="B97" s="19">
        <f>Analysis!E97</f>
        <v>-3.9999999999999147E-2</v>
      </c>
      <c r="C97" s="20">
        <f>Analysis!F97</f>
        <v>0.19984057934659985</v>
      </c>
      <c r="D97" s="30">
        <v>1360.87</v>
      </c>
    </row>
    <row r="98" spans="1:4" ht="15" customHeight="1">
      <c r="A98" s="18" t="str">
        <f>Analysis!A98</f>
        <v>3/1966</v>
      </c>
      <c r="B98" s="19">
        <f>Analysis!E98</f>
        <v>2.9999999999997584E-2</v>
      </c>
      <c r="C98" s="20">
        <f>Analysis!F98</f>
        <v>0.20338016739614553</v>
      </c>
      <c r="D98" s="30">
        <v>1360.78</v>
      </c>
    </row>
    <row r="99" spans="1:4" ht="15" customHeight="1">
      <c r="A99" s="18" t="str">
        <f>Analysis!A99</f>
        <v>4/1966</v>
      </c>
      <c r="B99" s="19">
        <f>Analysis!E99</f>
        <v>-0.13000000000000256</v>
      </c>
      <c r="C99" s="20">
        <f>Analysis!F99</f>
        <v>0.20923053837684438</v>
      </c>
      <c r="D99" s="30">
        <v>1360.76</v>
      </c>
    </row>
    <row r="100" spans="1:4" ht="15" customHeight="1">
      <c r="A100" s="18" t="str">
        <f>Analysis!A100</f>
        <v>5/1966</v>
      </c>
      <c r="B100" s="19">
        <f>Analysis!E100</f>
        <v>-0.11999999999999744</v>
      </c>
      <c r="C100" s="20">
        <f>Analysis!F100</f>
        <v>0.21092316296674554</v>
      </c>
      <c r="D100" s="30">
        <v>1361.12</v>
      </c>
    </row>
    <row r="101" spans="1:4" ht="15" customHeight="1">
      <c r="A101" s="18" t="str">
        <f>Analysis!A101</f>
        <v>6/1966</v>
      </c>
      <c r="B101" s="19">
        <f>Analysis!E101</f>
        <v>1.0000000000001563E-2</v>
      </c>
      <c r="C101" s="20">
        <f>Analysis!F101</f>
        <v>0.20945336562894978</v>
      </c>
      <c r="D101" s="30">
        <v>1361.08</v>
      </c>
    </row>
    <row r="102" spans="1:4" ht="15" customHeight="1">
      <c r="A102" s="18" t="str">
        <f>Analysis!A102</f>
        <v>7/1966</v>
      </c>
      <c r="B102" s="19">
        <f>Analysis!E102</f>
        <v>8.0000000000000071E-2</v>
      </c>
      <c r="C102" s="20">
        <f>Analysis!F102</f>
        <v>0.20329066463286302</v>
      </c>
      <c r="D102" s="30">
        <v>1361</v>
      </c>
    </row>
    <row r="103" spans="1:4" ht="15" customHeight="1">
      <c r="A103" s="18" t="str">
        <f>Analysis!A103</f>
        <v>8/1966</v>
      </c>
      <c r="B103" s="19">
        <f>Analysis!E103</f>
        <v>-9.0000000000001634E-2</v>
      </c>
      <c r="C103" s="20">
        <f>Analysis!F103</f>
        <v>0.19426719759207978</v>
      </c>
      <c r="D103" s="30">
        <v>1361.19</v>
      </c>
    </row>
    <row r="104" spans="1:4" ht="15" customHeight="1">
      <c r="A104" s="18" t="str">
        <f>Analysis!A104</f>
        <v>9/1966</v>
      </c>
      <c r="B104" s="19">
        <f>Analysis!E104</f>
        <v>-2.9999999999999361E-2</v>
      </c>
      <c r="C104" s="20">
        <f>Analysis!F104</f>
        <v>0.18650055764449477</v>
      </c>
      <c r="D104" s="30">
        <v>1360.94</v>
      </c>
    </row>
    <row r="105" spans="1:4" ht="15" customHeight="1">
      <c r="A105" s="18" t="str">
        <f>Analysis!A105</f>
        <v>10/1966</v>
      </c>
      <c r="B105" s="19">
        <f>Analysis!E105</f>
        <v>-0.16999999999999638</v>
      </c>
      <c r="C105" s="20">
        <f>Analysis!F105</f>
        <v>0.18405354470718463</v>
      </c>
      <c r="D105" s="30">
        <v>1361.12</v>
      </c>
    </row>
    <row r="106" spans="1:4" ht="15" customHeight="1">
      <c r="A106" s="18" t="str">
        <f>Analysis!A106</f>
        <v>11/1966</v>
      </c>
      <c r="B106" s="19">
        <f>Analysis!E106</f>
        <v>-9.9999999999980105E-3</v>
      </c>
      <c r="C106" s="20">
        <f>Analysis!F106</f>
        <v>0.19165288399602148</v>
      </c>
      <c r="D106" s="30">
        <v>1361.18</v>
      </c>
    </row>
    <row r="107" spans="1:4" ht="15" customHeight="1">
      <c r="A107" s="18" t="str">
        <f>Analysis!A107</f>
        <v>12/1966</v>
      </c>
      <c r="B107" s="19">
        <f>Analysis!E107</f>
        <v>-2.9999999999999361E-2</v>
      </c>
      <c r="C107" s="20">
        <f>Analysis!F107</f>
        <v>0.19723635491870628</v>
      </c>
      <c r="D107" s="30">
        <v>1361.14</v>
      </c>
    </row>
    <row r="108" spans="1:4" ht="15" customHeight="1">
      <c r="A108" s="18" t="str">
        <f>Analysis!A108</f>
        <v>1/1967</v>
      </c>
      <c r="B108" s="19">
        <f>Analysis!E108</f>
        <v>-8.0000000000001847E-2</v>
      </c>
      <c r="C108" s="20">
        <f>Analysis!F108</f>
        <v>0.20311164244670007</v>
      </c>
      <c r="D108" s="30">
        <v>1360.94</v>
      </c>
    </row>
    <row r="109" spans="1:4" ht="15" customHeight="1">
      <c r="A109" s="18" t="str">
        <f>Analysis!A109</f>
        <v>2/1967</v>
      </c>
      <c r="B109" s="19">
        <f>Analysis!E109</f>
        <v>-0.20999999999999908</v>
      </c>
      <c r="C109" s="20">
        <f>Analysis!F109</f>
        <v>0.20387233336564989</v>
      </c>
      <c r="D109" s="30">
        <v>1361.28</v>
      </c>
    </row>
    <row r="110" spans="1:4" ht="15" customHeight="1">
      <c r="A110" s="18" t="str">
        <f>Analysis!A110</f>
        <v>3/1967</v>
      </c>
      <c r="B110" s="19">
        <f>Analysis!E110</f>
        <v>5.0000000000004263E-2</v>
      </c>
      <c r="C110" s="20">
        <f>Analysis!F110</f>
        <v>0.20624132797002478</v>
      </c>
      <c r="D110" s="30">
        <v>1361.04</v>
      </c>
    </row>
    <row r="111" spans="1:4" ht="15" customHeight="1">
      <c r="A111" s="18" t="str">
        <f>Analysis!A111</f>
        <v>4/1967</v>
      </c>
      <c r="B111" s="19">
        <f>Analysis!E111</f>
        <v>-5.0000000000000711E-2</v>
      </c>
      <c r="C111" s="20">
        <f>Analysis!F111</f>
        <v>0.21239146441962328</v>
      </c>
      <c r="D111" s="30">
        <v>1361.6</v>
      </c>
    </row>
    <row r="112" spans="1:4" ht="15" customHeight="1">
      <c r="A112" s="18" t="str">
        <f>Analysis!A112</f>
        <v>5/1967</v>
      </c>
      <c r="B112" s="19">
        <f>Analysis!E112</f>
        <v>0.11999999999999744</v>
      </c>
      <c r="C112" s="20">
        <f>Analysis!F112</f>
        <v>0.21501289097085052</v>
      </c>
      <c r="D112" s="30">
        <v>1360.99</v>
      </c>
    </row>
    <row r="113" spans="1:4" ht="15" customHeight="1">
      <c r="A113" s="18" t="str">
        <f>Analysis!A113</f>
        <v>6/1967</v>
      </c>
      <c r="B113" s="19">
        <f>Analysis!E113</f>
        <v>-8.0000000000001847E-2</v>
      </c>
      <c r="C113" s="20">
        <f>Analysis!F113</f>
        <v>0.21096767891290158</v>
      </c>
      <c r="D113" s="30">
        <v>1361.25</v>
      </c>
    </row>
    <row r="114" spans="1:4" ht="15" customHeight="1">
      <c r="A114" s="18" t="str">
        <f>Analysis!A114</f>
        <v>7/1967</v>
      </c>
      <c r="B114" s="19">
        <f>Analysis!E114</f>
        <v>2.0000000000003126E-2</v>
      </c>
      <c r="C114" s="20">
        <f>Analysis!F114</f>
        <v>0.20405126118938038</v>
      </c>
      <c r="D114" s="30">
        <v>1361.11</v>
      </c>
    </row>
    <row r="115" spans="1:4" ht="15" customHeight="1">
      <c r="A115" s="18" t="str">
        <f>Analysis!A115</f>
        <v>8/1967</v>
      </c>
      <c r="B115" s="19">
        <f>Analysis!E115</f>
        <v>1.0000000000001563E-2</v>
      </c>
      <c r="C115" s="20">
        <f>Analysis!F115</f>
        <v>0.1967868752001786</v>
      </c>
      <c r="D115" s="30">
        <v>1361.17</v>
      </c>
    </row>
    <row r="116" spans="1:4" ht="15" customHeight="1">
      <c r="A116" s="18" t="str">
        <f>Analysis!A116</f>
        <v>9/1967</v>
      </c>
      <c r="B116" s="19">
        <f>Analysis!E116</f>
        <v>-6.0000000000000497E-2</v>
      </c>
      <c r="C116" s="20">
        <f>Analysis!F116</f>
        <v>0.18925979275775742</v>
      </c>
      <c r="D116" s="30">
        <v>1361.5</v>
      </c>
    </row>
    <row r="117" spans="1:4" ht="15" customHeight="1">
      <c r="A117" s="18" t="str">
        <f>Analysis!A117</f>
        <v>10/1967</v>
      </c>
      <c r="B117" s="19">
        <f>Analysis!E117</f>
        <v>8.9999999999999858E-2</v>
      </c>
      <c r="C117" s="20">
        <f>Analysis!F117</f>
        <v>0.18989231596006176</v>
      </c>
      <c r="D117" s="30">
        <v>1361.37</v>
      </c>
    </row>
    <row r="118" spans="1:4" ht="15" customHeight="1">
      <c r="A118" s="18" t="str">
        <f>Analysis!A118</f>
        <v>11/1967</v>
      </c>
      <c r="B118" s="19">
        <f>Analysis!E118</f>
        <v>-5.0000000000000711E-2</v>
      </c>
      <c r="C118" s="20">
        <f>Analysis!F118</f>
        <v>0.19593247773807179</v>
      </c>
      <c r="D118" s="30">
        <v>1361.23</v>
      </c>
    </row>
    <row r="119" spans="1:4" ht="15" customHeight="1">
      <c r="A119" s="18" t="str">
        <f>Analysis!A119</f>
        <v>12/1967</v>
      </c>
      <c r="B119" s="19">
        <f>Analysis!E119</f>
        <v>-5.0000000000000711E-2</v>
      </c>
      <c r="C119" s="20">
        <f>Analysis!F119</f>
        <v>0.20145463326198595</v>
      </c>
      <c r="D119" s="30">
        <v>1361.22</v>
      </c>
    </row>
    <row r="120" spans="1:4" ht="15" customHeight="1">
      <c r="A120" s="18" t="str">
        <f>Analysis!A120</f>
        <v>1/1968</v>
      </c>
      <c r="B120" s="19">
        <f>Analysis!E120</f>
        <v>-0.25999999999999979</v>
      </c>
      <c r="C120" s="20">
        <f>Analysis!F120</f>
        <v>0.20418544249569365</v>
      </c>
      <c r="D120" s="30">
        <v>1361.36</v>
      </c>
    </row>
    <row r="121" spans="1:4" ht="15" customHeight="1">
      <c r="A121" s="18" t="str">
        <f>Analysis!A121</f>
        <v>2/1968</v>
      </c>
      <c r="B121" s="19">
        <f>Analysis!E121</f>
        <v>-0.13999999999999879</v>
      </c>
      <c r="C121" s="20">
        <f>Analysis!F121</f>
        <v>0.20677716444561006</v>
      </c>
      <c r="D121" s="30">
        <v>1361.48</v>
      </c>
    </row>
    <row r="122" spans="1:4" ht="15" customHeight="1">
      <c r="A122" s="18" t="str">
        <f>Analysis!A122</f>
        <v>3/1968</v>
      </c>
      <c r="B122" s="19">
        <f>Analysis!E122</f>
        <v>0.20000000000000107</v>
      </c>
      <c r="C122" s="20">
        <f>Analysis!F122</f>
        <v>0.21007709890320869</v>
      </c>
      <c r="D122" s="30">
        <v>1361.47</v>
      </c>
    </row>
    <row r="123" spans="1:4" ht="15" customHeight="1">
      <c r="A123" s="18" t="str">
        <f>Analysis!A123</f>
        <v>4/1968</v>
      </c>
      <c r="B123" s="19">
        <f>Analysis!E123</f>
        <v>-6.0000000000000497E-2</v>
      </c>
      <c r="C123" s="20">
        <f>Analysis!F123</f>
        <v>0.21510166947251774</v>
      </c>
      <c r="D123" s="30">
        <v>1361.48</v>
      </c>
    </row>
    <row r="124" spans="1:4" ht="15" customHeight="1">
      <c r="A124" s="18" t="str">
        <f>Analysis!A124</f>
        <v>5/1968</v>
      </c>
      <c r="B124" s="19">
        <f>Analysis!E124</f>
        <v>-0.13999999999999879</v>
      </c>
      <c r="C124" s="20">
        <f>Analysis!F124</f>
        <v>0.21754093986252426</v>
      </c>
      <c r="D124" s="30">
        <v>1361.15</v>
      </c>
    </row>
    <row r="125" spans="1:4" ht="15" customHeight="1">
      <c r="A125" s="18" t="str">
        <f>Analysis!A125</f>
        <v>6/1968</v>
      </c>
      <c r="B125" s="19">
        <f>Analysis!E125</f>
        <v>-9.0000000000001634E-2</v>
      </c>
      <c r="C125" s="20">
        <f>Analysis!F125</f>
        <v>0.21661006874244201</v>
      </c>
      <c r="D125" s="30">
        <v>1361.12</v>
      </c>
    </row>
    <row r="126" spans="1:4" ht="15" customHeight="1">
      <c r="A126" s="18" t="str">
        <f>Analysis!A126</f>
        <v>7/1968</v>
      </c>
      <c r="B126" s="19">
        <f>Analysis!E126</f>
        <v>-0.13000000000000256</v>
      </c>
      <c r="C126" s="20">
        <f>Analysis!F126</f>
        <v>0.21119023804218459</v>
      </c>
      <c r="D126" s="30">
        <v>1361.32</v>
      </c>
    </row>
    <row r="127" spans="1:4" ht="15" customHeight="1">
      <c r="A127" s="18" t="str">
        <f>Analysis!A127</f>
        <v>8/1968</v>
      </c>
      <c r="B127" s="19">
        <f>Analysis!E127</f>
        <v>-8.0000000000001847E-2</v>
      </c>
      <c r="C127" s="20">
        <f>Analysis!F127</f>
        <v>0.20212662313900553</v>
      </c>
      <c r="D127" s="30">
        <v>1361.19</v>
      </c>
    </row>
    <row r="128" spans="1:4" ht="15" customHeight="1">
      <c r="A128" s="18" t="str">
        <f>Analysis!A128</f>
        <v>9/1968</v>
      </c>
      <c r="B128" s="19">
        <f>Analysis!E128</f>
        <v>-0.18999999999999773</v>
      </c>
      <c r="C128" s="20">
        <f>Analysis!F128</f>
        <v>0.19413209059412975</v>
      </c>
      <c r="D128" s="30">
        <v>1361.33</v>
      </c>
    </row>
    <row r="129" spans="1:4" ht="15" customHeight="1">
      <c r="A129" s="18" t="str">
        <f>Analysis!A129</f>
        <v>10/1968</v>
      </c>
      <c r="B129" s="19">
        <f>Analysis!E129</f>
        <v>8.9999999999999858E-2</v>
      </c>
      <c r="C129" s="20">
        <f>Analysis!F129</f>
        <v>0.19377174339668018</v>
      </c>
      <c r="D129" s="30">
        <v>1361.27</v>
      </c>
    </row>
    <row r="130" spans="1:4" ht="15" customHeight="1">
      <c r="A130" s="18" t="str">
        <f>Analysis!A130</f>
        <v>11/1968</v>
      </c>
      <c r="B130" s="19">
        <f>Analysis!E130</f>
        <v>-5.0000000000000711E-2</v>
      </c>
      <c r="C130" s="20">
        <f>Analysis!F130</f>
        <v>0.19858395445706917</v>
      </c>
      <c r="D130" s="30">
        <v>1361.4</v>
      </c>
    </row>
    <row r="131" spans="1:4" ht="15" customHeight="1">
      <c r="A131" s="18" t="str">
        <f>Analysis!A131</f>
        <v>12/1968</v>
      </c>
      <c r="B131" s="19">
        <f>Analysis!E131</f>
        <v>-0.13999999999999879</v>
      </c>
      <c r="C131" s="20">
        <f>Analysis!F131</f>
        <v>0.20561593377604628</v>
      </c>
      <c r="D131" s="30">
        <v>1361.08</v>
      </c>
    </row>
    <row r="132" spans="1:4" ht="15" customHeight="1">
      <c r="A132" s="18" t="str">
        <f>Analysis!A132</f>
        <v>1/1969</v>
      </c>
      <c r="B132" s="19">
        <f>Analysis!E132</f>
        <v>-0.10999999999999766</v>
      </c>
      <c r="C132" s="20">
        <f>Analysis!F132</f>
        <v>0.21056698593965839</v>
      </c>
      <c r="D132" s="30">
        <v>1361.27</v>
      </c>
    </row>
    <row r="133" spans="1:4" ht="15" customHeight="1">
      <c r="A133" s="18" t="str">
        <f>Analysis!A133</f>
        <v>2/1969</v>
      </c>
      <c r="B133" s="19">
        <f>Analysis!E133</f>
        <v>-0.17999999999999794</v>
      </c>
      <c r="C133" s="20">
        <f>Analysis!F133</f>
        <v>0.21239146441962328</v>
      </c>
      <c r="D133" s="30">
        <v>1361.47</v>
      </c>
    </row>
    <row r="134" spans="1:4" ht="15" customHeight="1">
      <c r="A134" s="18" t="str">
        <f>Analysis!A134</f>
        <v>3/1969</v>
      </c>
      <c r="B134" s="19">
        <f>Analysis!E134</f>
        <v>1.0000000000001563E-2</v>
      </c>
      <c r="C134" s="20">
        <f>Analysis!F134</f>
        <v>0.21780679275778927</v>
      </c>
      <c r="D134" s="30">
        <v>1361.33</v>
      </c>
    </row>
    <row r="135" spans="1:4" ht="15" customHeight="1">
      <c r="A135" s="18" t="str">
        <f>Analysis!A135</f>
        <v>4/1969</v>
      </c>
      <c r="B135" s="19">
        <f>Analysis!E135</f>
        <v>0.16999999999999993</v>
      </c>
      <c r="C135" s="20">
        <f>Analysis!F135</f>
        <v>0.22236297828007129</v>
      </c>
      <c r="D135" s="30">
        <v>1361.38</v>
      </c>
    </row>
    <row r="136" spans="1:4" ht="15" customHeight="1">
      <c r="A136" s="18" t="str">
        <f>Analysis!A136</f>
        <v>5/1969</v>
      </c>
      <c r="B136" s="19">
        <f>Analysis!E136</f>
        <v>0.17999999999999972</v>
      </c>
      <c r="C136" s="20">
        <f>Analysis!F136</f>
        <v>0.22553936152588727</v>
      </c>
      <c r="D136" s="30">
        <v>1361.6</v>
      </c>
    </row>
    <row r="137" spans="1:4" ht="15" customHeight="1">
      <c r="A137" s="18" t="str">
        <f>Analysis!A137</f>
        <v>6/1969</v>
      </c>
      <c r="B137" s="19">
        <f>Analysis!E137</f>
        <v>2.9999999999997584E-2</v>
      </c>
      <c r="C137" s="20">
        <f>Analysis!F137</f>
        <v>0.22258378655772451</v>
      </c>
      <c r="D137" s="30">
        <v>1361.16</v>
      </c>
    </row>
    <row r="138" spans="1:4" ht="15" customHeight="1">
      <c r="A138" s="18" t="str">
        <f>Analysis!A138</f>
        <v>7/1969</v>
      </c>
      <c r="B138" s="19">
        <f>Analysis!E138</f>
        <v>-3.9999999999999147E-2</v>
      </c>
      <c r="C138" s="20">
        <f>Analysis!F138</f>
        <v>0.21891398613294744</v>
      </c>
      <c r="D138" s="30">
        <v>1361.54</v>
      </c>
    </row>
    <row r="139" spans="1:4" ht="15" customHeight="1">
      <c r="A139" s="18" t="str">
        <f>Analysis!A139</f>
        <v>8/1969</v>
      </c>
      <c r="B139" s="19">
        <f>Analysis!E139</f>
        <v>3.9999999999999147E-2</v>
      </c>
      <c r="C139" s="20">
        <f>Analysis!F139</f>
        <v>0.20905225179222678</v>
      </c>
      <c r="D139" s="30">
        <v>1361.3</v>
      </c>
    </row>
    <row r="140" spans="1:4" ht="15" customHeight="1">
      <c r="A140" s="18" t="str">
        <f>Analysis!A140</f>
        <v>9/1969</v>
      </c>
      <c r="B140" s="19">
        <f>Analysis!E140</f>
        <v>8.0000000000000071E-2</v>
      </c>
      <c r="C140" s="20">
        <f>Analysis!F140</f>
        <v>0.20333541670858227</v>
      </c>
      <c r="D140" s="30">
        <v>1361.6</v>
      </c>
    </row>
    <row r="141" spans="1:4" ht="15" customHeight="1">
      <c r="A141" s="18" t="str">
        <f>Analysis!A141</f>
        <v>10/1969</v>
      </c>
      <c r="B141" s="19">
        <f>Analysis!E141</f>
        <v>8.9999999999999858E-2</v>
      </c>
      <c r="C141" s="20">
        <f>Analysis!F141</f>
        <v>0.20064783202506462</v>
      </c>
      <c r="D141" s="30">
        <v>1361.28</v>
      </c>
    </row>
    <row r="142" spans="1:4" ht="15" customHeight="1">
      <c r="A142" s="18" t="str">
        <f>Analysis!A142</f>
        <v>11/1969</v>
      </c>
      <c r="B142" s="19">
        <f>Analysis!E142</f>
        <v>0.11999999999999744</v>
      </c>
      <c r="C142" s="20">
        <f>Analysis!F142</f>
        <v>0.2054371999150208</v>
      </c>
      <c r="D142" s="30">
        <v>1361.17</v>
      </c>
    </row>
    <row r="143" spans="1:4" ht="15" customHeight="1">
      <c r="A143" s="18" t="str">
        <f>Analysis!A143</f>
        <v>12/1969</v>
      </c>
      <c r="B143" s="19">
        <f>Analysis!E143</f>
        <v>0.24000000000000199</v>
      </c>
      <c r="C143" s="20">
        <f>Analysis!F143</f>
        <v>0.21105670668466028</v>
      </c>
      <c r="D143" s="30">
        <v>1361.42</v>
      </c>
    </row>
    <row r="144" spans="1:4" ht="15" customHeight="1">
      <c r="A144" s="18" t="str">
        <f>Analysis!A144</f>
        <v>1/1970</v>
      </c>
      <c r="B144" s="19">
        <f>Analysis!E144</f>
        <v>8.0000000000000071E-2</v>
      </c>
      <c r="C144" s="20">
        <f>Analysis!F144</f>
        <v>0.21527921008816014</v>
      </c>
      <c r="D144" s="30">
        <v>1361.36</v>
      </c>
    </row>
    <row r="145" spans="1:4" ht="15" customHeight="1">
      <c r="A145" s="18" t="str">
        <f>Analysis!A145</f>
        <v>2/1970</v>
      </c>
      <c r="B145" s="19">
        <f>Analysis!E145</f>
        <v>0.22000000000000242</v>
      </c>
      <c r="C145" s="20">
        <f>Analysis!F145</f>
        <v>0.21940088215824097</v>
      </c>
      <c r="D145" s="30">
        <v>1361.09</v>
      </c>
    </row>
    <row r="146" spans="1:4" ht="15" customHeight="1">
      <c r="A146" s="18" t="str">
        <f>Analysis!A146</f>
        <v>3/1970</v>
      </c>
      <c r="B146" s="19">
        <f>Analysis!E146</f>
        <v>5.9999999999998721E-2</v>
      </c>
      <c r="C146" s="20">
        <f>Analysis!F146</f>
        <v>0.22355494169199039</v>
      </c>
      <c r="D146" s="30">
        <v>1361.64</v>
      </c>
    </row>
    <row r="147" spans="1:4" ht="15" customHeight="1">
      <c r="A147" s="18" t="str">
        <f>Analysis!A147</f>
        <v>4/1970</v>
      </c>
      <c r="B147" s="19">
        <f>Analysis!E147</f>
        <v>5.0000000000004263E-2</v>
      </c>
      <c r="C147" s="20">
        <f>Analysis!F147</f>
        <v>0.22884067425281851</v>
      </c>
      <c r="D147" s="30">
        <v>1361.35</v>
      </c>
    </row>
    <row r="148" spans="1:4" ht="15" customHeight="1">
      <c r="A148" s="18" t="str">
        <f>Analysis!A148</f>
        <v>5/1970</v>
      </c>
      <c r="B148" s="19">
        <f>Analysis!E148</f>
        <v>-2.9999999999999361E-2</v>
      </c>
      <c r="C148" s="20">
        <f>Analysis!F148</f>
        <v>0.22862082160752503</v>
      </c>
      <c r="D148" s="30">
        <v>1361.24</v>
      </c>
    </row>
    <row r="149" spans="1:4" ht="15" customHeight="1">
      <c r="A149" s="18" t="str">
        <f>Analysis!A149</f>
        <v>6/1970</v>
      </c>
      <c r="B149" s="19">
        <f>Analysis!E149</f>
        <v>-1.9999999999999574E-2</v>
      </c>
      <c r="C149" s="20">
        <f>Analysis!F149</f>
        <v>0.22681676504986711</v>
      </c>
      <c r="D149" s="30">
        <v>1361.54</v>
      </c>
    </row>
    <row r="150" spans="1:4" ht="15" customHeight="1">
      <c r="A150" s="18" t="str">
        <f>Analysis!A150</f>
        <v>7/1970</v>
      </c>
      <c r="B150" s="19">
        <f>Analysis!E150</f>
        <v>2.0000000000003126E-2</v>
      </c>
      <c r="C150" s="20">
        <f>Analysis!F150</f>
        <v>0.2209490044667792</v>
      </c>
      <c r="D150" s="30">
        <v>1361.33</v>
      </c>
    </row>
    <row r="151" spans="1:4" ht="15" customHeight="1">
      <c r="A151" s="18" t="str">
        <f>Analysis!A151</f>
        <v>8/1970</v>
      </c>
      <c r="B151" s="19">
        <f>Analysis!E151</f>
        <v>-0.10000000000000142</v>
      </c>
      <c r="C151" s="20">
        <f>Analysis!F151</f>
        <v>0.21359169145595572</v>
      </c>
      <c r="D151" s="30">
        <v>1361.3</v>
      </c>
    </row>
    <row r="152" spans="1:4" ht="15" customHeight="1">
      <c r="A152" s="18" t="str">
        <f>Analysis!A152</f>
        <v>9/1970</v>
      </c>
      <c r="B152" s="19">
        <f>Analysis!E152</f>
        <v>0.11999999999999744</v>
      </c>
      <c r="C152" s="20">
        <f>Analysis!F152</f>
        <v>0.20655392343303489</v>
      </c>
      <c r="D152" s="30">
        <v>1361.34</v>
      </c>
    </row>
    <row r="153" spans="1:4" ht="15" customHeight="1">
      <c r="A153" s="18" t="str">
        <f>Analysis!A153</f>
        <v>10/1970</v>
      </c>
      <c r="B153" s="19">
        <f>Analysis!E153</f>
        <v>2.9999999999997584E-2</v>
      </c>
      <c r="C153" s="20">
        <f>Analysis!F153</f>
        <v>0.20637530574791263</v>
      </c>
      <c r="D153" s="30">
        <v>1361.39</v>
      </c>
    </row>
    <row r="154" spans="1:4" ht="15" customHeight="1">
      <c r="A154" s="18" t="str">
        <f>Analysis!A154</f>
        <v>11/1970</v>
      </c>
      <c r="B154" s="19">
        <f>Analysis!E154</f>
        <v>2.0000000000003126E-2</v>
      </c>
      <c r="C154" s="20">
        <f>Analysis!F154</f>
        <v>0.21061151287723645</v>
      </c>
      <c r="D154" s="30">
        <v>1361.37</v>
      </c>
    </row>
    <row r="155" spans="1:4" ht="15" customHeight="1">
      <c r="A155" s="18" t="str">
        <f>Analysis!A155</f>
        <v>12/1970</v>
      </c>
      <c r="B155" s="19">
        <f>Analysis!E155</f>
        <v>-0.11999999999999744</v>
      </c>
      <c r="C155" s="20">
        <f>Analysis!F155</f>
        <v>0.21558985360237096</v>
      </c>
      <c r="D155" s="30">
        <v>1361.54</v>
      </c>
    </row>
    <row r="156" spans="1:4" ht="15" customHeight="1">
      <c r="A156" s="18" t="str">
        <f>Analysis!A156</f>
        <v>1/1971</v>
      </c>
      <c r="B156" s="19">
        <f>Analysis!E156</f>
        <v>-1.9999999999999574E-2</v>
      </c>
      <c r="C156" s="20">
        <f>Analysis!F156</f>
        <v>0.22019726683057364</v>
      </c>
      <c r="D156" s="30">
        <v>1361.07</v>
      </c>
    </row>
    <row r="157" spans="1:4" ht="15" customHeight="1">
      <c r="A157" s="18" t="str">
        <f>Analysis!A157</f>
        <v>2/1971</v>
      </c>
      <c r="B157" s="19">
        <f>Analysis!E157</f>
        <v>-0.14999999999999858</v>
      </c>
      <c r="C157" s="20">
        <f>Analysis!F157</f>
        <v>0.22249546730205641</v>
      </c>
      <c r="D157" s="30">
        <v>1361.08</v>
      </c>
    </row>
    <row r="158" spans="1:4" ht="15" customHeight="1">
      <c r="A158" s="18" t="str">
        <f>Analysis!A158</f>
        <v>3/1971</v>
      </c>
      <c r="B158" s="19">
        <f>Analysis!E158</f>
        <v>-0.17999999999999794</v>
      </c>
      <c r="C158" s="20">
        <f>Analysis!F158</f>
        <v>0.22465773412073844</v>
      </c>
      <c r="D158" s="30">
        <v>1361.33</v>
      </c>
    </row>
    <row r="159" spans="1:4" ht="15" customHeight="1">
      <c r="A159" s="18" t="str">
        <f>Analysis!A159</f>
        <v>4/1971</v>
      </c>
      <c r="B159" s="19">
        <f>Analysis!E159</f>
        <v>-7.0000000000000284E-2</v>
      </c>
      <c r="C159" s="20">
        <f>Analysis!F159</f>
        <v>0.22730100169945941</v>
      </c>
      <c r="D159" s="30">
        <v>1361.09</v>
      </c>
    </row>
    <row r="160" spans="1:4" ht="15" customHeight="1">
      <c r="A160" s="18" t="str">
        <f>Analysis!A160</f>
        <v>5/1971</v>
      </c>
      <c r="B160" s="19">
        <f>Analysis!E160</f>
        <v>-5.0000000000000711E-2</v>
      </c>
      <c r="C160" s="20">
        <f>Analysis!F160</f>
        <v>0.23235376773902855</v>
      </c>
      <c r="D160" s="30">
        <v>1361.07</v>
      </c>
    </row>
    <row r="161" spans="1:4" ht="15" customHeight="1">
      <c r="A161" s="18" t="str">
        <f>Analysis!A161</f>
        <v>6/1971</v>
      </c>
      <c r="B161" s="19">
        <f>Analysis!E161</f>
        <v>-0.16000000000000014</v>
      </c>
      <c r="C161" s="20">
        <f>Analysis!F161</f>
        <v>0.23077393422839654</v>
      </c>
      <c r="D161" s="30">
        <v>1361.14</v>
      </c>
    </row>
    <row r="162" spans="1:4" ht="15" customHeight="1">
      <c r="A162" s="18" t="str">
        <f>Analysis!A162</f>
        <v>7/1971</v>
      </c>
      <c r="B162" s="19">
        <f>Analysis!E162</f>
        <v>-7.0000000000000284E-2</v>
      </c>
      <c r="C162" s="20">
        <f>Analysis!F162</f>
        <v>0.22545122302563764</v>
      </c>
      <c r="D162" s="30">
        <v>1360.92</v>
      </c>
    </row>
    <row r="163" spans="1:4" ht="15" customHeight="1">
      <c r="A163" s="18" t="str">
        <f>Analysis!A163</f>
        <v>8/1971</v>
      </c>
      <c r="B163" s="19">
        <f>Analysis!E163</f>
        <v>-9.9999999999980105E-3</v>
      </c>
      <c r="C163" s="20">
        <f>Analysis!F163</f>
        <v>0.21692042585687715</v>
      </c>
      <c r="D163" s="30">
        <v>1360.89</v>
      </c>
    </row>
    <row r="164" spans="1:4" ht="15" customHeight="1">
      <c r="A164" s="18" t="str">
        <f>Analysis!A164</f>
        <v>9/1971</v>
      </c>
      <c r="B164" s="19">
        <f>Analysis!E164</f>
        <v>-5.0000000000000711E-2</v>
      </c>
      <c r="C164" s="20">
        <f>Analysis!F164</f>
        <v>0.2077143996600441</v>
      </c>
      <c r="D164" s="30">
        <v>1361.09</v>
      </c>
    </row>
    <row r="165" spans="1:4" ht="15" customHeight="1">
      <c r="A165" s="18" t="str">
        <f>Analysis!A165</f>
        <v>10/1971</v>
      </c>
      <c r="B165" s="19">
        <f>Analysis!E165</f>
        <v>-3.9999999999999147E-2</v>
      </c>
      <c r="C165" s="20">
        <f>Analysis!F165</f>
        <v>0.20860643891488381</v>
      </c>
      <c r="D165" s="30">
        <v>1360.84</v>
      </c>
    </row>
    <row r="166" spans="1:4" ht="15" customHeight="1">
      <c r="A166" s="18" t="str">
        <f>Analysis!A166</f>
        <v>11/1971</v>
      </c>
      <c r="B166" s="19">
        <f>Analysis!E166</f>
        <v>-7.0000000000000284E-2</v>
      </c>
      <c r="C166" s="20">
        <f>Analysis!F166</f>
        <v>0.21412480535284761</v>
      </c>
      <c r="D166" s="30">
        <v>1360.99</v>
      </c>
    </row>
    <row r="167" spans="1:4" ht="15" customHeight="1">
      <c r="A167" s="18" t="str">
        <f>Analysis!A167</f>
        <v>12/1971</v>
      </c>
      <c r="B167" s="19">
        <f>Analysis!E167</f>
        <v>-8.0000000000001847E-2</v>
      </c>
      <c r="C167" s="20">
        <f>Analysis!F167</f>
        <v>0.21948939105648271</v>
      </c>
      <c r="D167" s="30">
        <v>1360.97</v>
      </c>
    </row>
    <row r="168" spans="1:4" ht="15" customHeight="1">
      <c r="A168" s="18" t="str">
        <f>Analysis!A168</f>
        <v>1/1972</v>
      </c>
      <c r="B168" s="19">
        <f>Analysis!E168</f>
        <v>-0.21999999999999886</v>
      </c>
      <c r="C168" s="20">
        <f>Analysis!F168</f>
        <v>0.22284871188886418</v>
      </c>
      <c r="D168" s="30">
        <v>1361.26</v>
      </c>
    </row>
    <row r="169" spans="1:4" ht="15" customHeight="1">
      <c r="A169" s="18" t="str">
        <f>Analysis!A169</f>
        <v>2/1972</v>
      </c>
      <c r="B169" s="19">
        <f>Analysis!E169</f>
        <v>-0.17999999999999794</v>
      </c>
      <c r="C169" s="20">
        <f>Analysis!F169</f>
        <v>0.22664063869031495</v>
      </c>
      <c r="D169" s="30">
        <v>1361.02</v>
      </c>
    </row>
    <row r="170" spans="1:4" ht="15" customHeight="1">
      <c r="A170" s="18" t="str">
        <f>Analysis!A170</f>
        <v>3/1972</v>
      </c>
      <c r="B170" s="19">
        <f>Analysis!E170</f>
        <v>2.9999999999997584E-2</v>
      </c>
      <c r="C170" s="20">
        <f>Analysis!F170</f>
        <v>0.22716895327678804</v>
      </c>
      <c r="D170" s="30">
        <v>1361.06</v>
      </c>
    </row>
    <row r="171" spans="1:4" ht="15" customHeight="1">
      <c r="A171" s="18" t="str">
        <f>Analysis!A171</f>
        <v>4/1972</v>
      </c>
      <c r="B171" s="19">
        <f>Analysis!E171</f>
        <v>0</v>
      </c>
      <c r="C171" s="20">
        <f>Analysis!F171</f>
        <v>0.23581457280650558</v>
      </c>
      <c r="D171" s="30">
        <v>1361.41</v>
      </c>
    </row>
    <row r="172" spans="1:4" ht="15" customHeight="1">
      <c r="A172" s="18" t="str">
        <f>Analysis!A172</f>
        <v>5/1972</v>
      </c>
      <c r="B172" s="19">
        <f>Analysis!E172</f>
        <v>-2.9999999999999361E-2</v>
      </c>
      <c r="C172" s="20">
        <f>Analysis!F172</f>
        <v>0.23734519106890656</v>
      </c>
      <c r="D172" s="30">
        <v>1360.91</v>
      </c>
    </row>
    <row r="173" spans="1:4" ht="15" customHeight="1">
      <c r="A173" s="18" t="str">
        <f>Analysis!A173</f>
        <v>6/1972</v>
      </c>
      <c r="B173" s="19">
        <f>Analysis!E173</f>
        <v>3.9999999999999147E-2</v>
      </c>
      <c r="C173" s="20">
        <f>Analysis!F173</f>
        <v>0.23305536103738234</v>
      </c>
      <c r="D173" s="30">
        <v>1361.13</v>
      </c>
    </row>
    <row r="174" spans="1:4" ht="15" customHeight="1">
      <c r="A174" s="18" t="str">
        <f>Analysis!A174</f>
        <v>7/1972</v>
      </c>
      <c r="B174" s="19">
        <f>Analysis!E174</f>
        <v>1.0000000000001563E-2</v>
      </c>
      <c r="C174" s="20">
        <f>Analysis!F174</f>
        <v>0.2284449153656577</v>
      </c>
      <c r="D174" s="30">
        <v>1361.25</v>
      </c>
    </row>
    <row r="175" spans="1:4" ht="15" customHeight="1">
      <c r="A175" s="18" t="str">
        <f>Analysis!A175</f>
        <v>8/1972</v>
      </c>
      <c r="B175" s="19">
        <f>Analysis!E175</f>
        <v>0.16000000000000014</v>
      </c>
      <c r="C175" s="20">
        <f>Analysis!F175</f>
        <v>0.22086058507283202</v>
      </c>
      <c r="D175" s="30">
        <v>1361.11</v>
      </c>
    </row>
    <row r="176" spans="1:4" ht="15" customHeight="1">
      <c r="A176" s="18" t="str">
        <f>Analysis!A176</f>
        <v>9/1972</v>
      </c>
      <c r="B176" s="19">
        <f>Analysis!E176</f>
        <v>2.0000000000003126E-2</v>
      </c>
      <c r="C176" s="20">
        <f>Analysis!F176</f>
        <v>0.21430246621642873</v>
      </c>
      <c r="D176" s="30">
        <v>1361.28</v>
      </c>
    </row>
    <row r="177" spans="1:4" ht="15" customHeight="1">
      <c r="A177" s="18" t="str">
        <f>Analysis!A177</f>
        <v>10/1972</v>
      </c>
      <c r="B177" s="19">
        <f>Analysis!E177</f>
        <v>8.0000000000000071E-2</v>
      </c>
      <c r="C177" s="20">
        <f>Analysis!F177</f>
        <v>0.21590043024269898</v>
      </c>
      <c r="D177" s="30">
        <v>1360.9</v>
      </c>
    </row>
    <row r="178" spans="1:4" ht="15" customHeight="1">
      <c r="A178" s="18" t="str">
        <f>Analysis!A178</f>
        <v>11/1972</v>
      </c>
      <c r="B178" s="19">
        <f>Analysis!E178</f>
        <v>2.0000000000003126E-2</v>
      </c>
      <c r="C178" s="20">
        <f>Analysis!F178</f>
        <v>0.22165616460146442</v>
      </c>
      <c r="D178" s="30">
        <v>1361.03</v>
      </c>
    </row>
    <row r="179" spans="1:4" ht="15" customHeight="1">
      <c r="A179" s="18" t="str">
        <f>Analysis!A179</f>
        <v>12/1972</v>
      </c>
      <c r="B179" s="19">
        <f>Analysis!E179</f>
        <v>0.17999999999999972</v>
      </c>
      <c r="C179" s="20">
        <f>Analysis!F179</f>
        <v>0.22628832145277814</v>
      </c>
      <c r="D179" s="30">
        <v>1360.85</v>
      </c>
    </row>
    <row r="180" spans="1:4" ht="15" customHeight="1">
      <c r="A180" s="18" t="str">
        <f>Analysis!A180</f>
        <v>1/1973</v>
      </c>
      <c r="B180" s="19">
        <f>Analysis!E180</f>
        <v>0.28999999999999559</v>
      </c>
      <c r="C180" s="20">
        <f>Analysis!F180</f>
        <v>0.23068611495390581</v>
      </c>
      <c r="D180" s="30">
        <v>1360.99</v>
      </c>
    </row>
    <row r="181" spans="1:4" ht="15" customHeight="1">
      <c r="A181" s="18" t="str">
        <f>Analysis!A181</f>
        <v>2/1973</v>
      </c>
      <c r="B181" s="19">
        <f>Analysis!E181</f>
        <v>0.32000000000000028</v>
      </c>
      <c r="C181" s="20">
        <f>Analysis!F181</f>
        <v>0.23515809611228167</v>
      </c>
      <c r="D181" s="30">
        <v>1360.99</v>
      </c>
    </row>
    <row r="182" spans="1:4" ht="15" customHeight="1">
      <c r="A182" s="18" t="str">
        <f>Analysis!A182</f>
        <v>3/1973</v>
      </c>
      <c r="B182" s="19">
        <f>Analysis!E182</f>
        <v>0.28999999999999559</v>
      </c>
      <c r="C182" s="20">
        <f>Analysis!F182</f>
        <v>0.23835014245319641</v>
      </c>
      <c r="D182" s="30">
        <v>1360.78</v>
      </c>
    </row>
    <row r="183" spans="1:4" ht="15" customHeight="1">
      <c r="A183" s="18" t="str">
        <f>Analysis!A183</f>
        <v>4/1973</v>
      </c>
      <c r="B183" s="19">
        <f>Analysis!E183</f>
        <v>0.27000000000000135</v>
      </c>
      <c r="C183" s="20">
        <f>Analysis!F183</f>
        <v>0.24358204316762133</v>
      </c>
      <c r="D183" s="30">
        <v>1360.89</v>
      </c>
    </row>
    <row r="184" spans="1:4" ht="15" customHeight="1">
      <c r="A184" s="18" t="str">
        <f>Analysis!A184</f>
        <v>5/1973</v>
      </c>
      <c r="B184" s="19">
        <f>Analysis!E184</f>
        <v>0.2300000000000022</v>
      </c>
      <c r="C184" s="20">
        <f>Analysis!F184</f>
        <v>0.24784073218452071</v>
      </c>
      <c r="D184" s="30">
        <v>1361</v>
      </c>
    </row>
    <row r="185" spans="1:4" ht="15" customHeight="1">
      <c r="A185" s="18" t="str">
        <f>Analysis!A185</f>
        <v>6/1973</v>
      </c>
      <c r="B185" s="19">
        <f>Analysis!E185</f>
        <v>0.19000000000000128</v>
      </c>
      <c r="C185" s="20">
        <f>Analysis!F185</f>
        <v>0.24606056502835677</v>
      </c>
      <c r="D185" s="30">
        <v>1360.93</v>
      </c>
    </row>
    <row r="186" spans="1:4" ht="15" customHeight="1">
      <c r="A186" s="18" t="str">
        <f>Analysis!A186</f>
        <v>7/1973</v>
      </c>
      <c r="B186" s="19">
        <f>Analysis!E186</f>
        <v>0.12999999999999901</v>
      </c>
      <c r="C186" s="20">
        <f>Analysis!F186</f>
        <v>0.24083766117617278</v>
      </c>
      <c r="D186" s="30">
        <v>1360.85</v>
      </c>
    </row>
    <row r="187" spans="1:4" ht="15" customHeight="1">
      <c r="A187" s="18" t="str">
        <f>Analysis!A187</f>
        <v>8/1973</v>
      </c>
      <c r="B187" s="19">
        <f>Analysis!E187</f>
        <v>5.0000000000004263E-2</v>
      </c>
      <c r="C187" s="20">
        <f>Analysis!F187</f>
        <v>0.23401949506170835</v>
      </c>
      <c r="D187" s="30">
        <v>1360.85</v>
      </c>
    </row>
    <row r="188" spans="1:4" ht="15" customHeight="1">
      <c r="A188" s="18" t="str">
        <f>Analysis!A188</f>
        <v>9/1973</v>
      </c>
      <c r="B188" s="19">
        <f>Analysis!E188</f>
        <v>8.9999999999999858E-2</v>
      </c>
      <c r="C188" s="20">
        <f>Analysis!F188</f>
        <v>0.22615618030371948</v>
      </c>
      <c r="D188" s="30">
        <v>1360.68</v>
      </c>
    </row>
    <row r="189" spans="1:4" ht="15" customHeight="1">
      <c r="A189" s="18" t="str">
        <f>Analysis!A189</f>
        <v>10/1973</v>
      </c>
      <c r="B189" s="19">
        <f>Analysis!E189</f>
        <v>9.9999999999997868E-2</v>
      </c>
      <c r="C189" s="20">
        <f>Analysis!F189</f>
        <v>0.22470182828890004</v>
      </c>
      <c r="D189" s="30">
        <v>1360.84</v>
      </c>
    </row>
    <row r="190" spans="1:4" ht="15" customHeight="1">
      <c r="A190" s="18" t="str">
        <f>Analysis!A190</f>
        <v>11/1973</v>
      </c>
      <c r="B190" s="19">
        <f>Analysis!E190</f>
        <v>3.9999999999999147E-2</v>
      </c>
      <c r="C190" s="20">
        <f>Analysis!F190</f>
        <v>0.22901653224979263</v>
      </c>
      <c r="D190" s="30">
        <v>1360.78</v>
      </c>
    </row>
    <row r="191" spans="1:4" ht="15" customHeight="1">
      <c r="A191" s="18" t="str">
        <f>Analysis!A191</f>
        <v>12/1973</v>
      </c>
      <c r="B191" s="19">
        <f>Analysis!E191</f>
        <v>-7.0000000000000284E-2</v>
      </c>
      <c r="C191" s="20">
        <f>Analysis!F191</f>
        <v>0.23112515787904964</v>
      </c>
      <c r="D191" s="30">
        <v>1360.8</v>
      </c>
    </row>
    <row r="192" spans="1:4" ht="15" customHeight="1">
      <c r="A192" s="18" t="str">
        <f>Analysis!A192</f>
        <v>1/1974</v>
      </c>
      <c r="B192" s="19">
        <f>Analysis!E192</f>
        <v>-0.10000000000000142</v>
      </c>
      <c r="C192" s="20">
        <f>Analysis!F192</f>
        <v>0.23423852660157829</v>
      </c>
      <c r="D192" s="30">
        <v>1360.77</v>
      </c>
    </row>
    <row r="193" spans="1:4" ht="15" customHeight="1">
      <c r="A193" s="18" t="str">
        <f>Analysis!A193</f>
        <v>2/1974</v>
      </c>
      <c r="B193" s="19">
        <f>Analysis!E193</f>
        <v>-0.27000000000000135</v>
      </c>
      <c r="C193" s="20">
        <f>Analysis!F193</f>
        <v>0.24013984319182427</v>
      </c>
      <c r="D193" s="30">
        <v>1360.73</v>
      </c>
    </row>
    <row r="194" spans="1:4" ht="15" customHeight="1">
      <c r="A194" s="18" t="str">
        <f>Analysis!A194</f>
        <v>3/1974</v>
      </c>
      <c r="B194" s="19">
        <f>Analysis!E194</f>
        <v>-5.0000000000000711E-2</v>
      </c>
      <c r="C194" s="20">
        <f>Analysis!F194</f>
        <v>0.24353852229879974</v>
      </c>
      <c r="D194" s="30">
        <v>1360.85</v>
      </c>
    </row>
    <row r="195" spans="1:4" ht="15" customHeight="1">
      <c r="A195" s="18" t="str">
        <f>Analysis!A195</f>
        <v>4/1974</v>
      </c>
      <c r="B195" s="19">
        <f>Analysis!E195</f>
        <v>-0.11999999999999744</v>
      </c>
      <c r="C195" s="20">
        <f>Analysis!F195</f>
        <v>0.24857820654980772</v>
      </c>
      <c r="D195" s="30">
        <v>1360.69</v>
      </c>
    </row>
    <row r="196" spans="1:4" ht="15" customHeight="1">
      <c r="A196" s="18" t="str">
        <f>Analysis!A196</f>
        <v>5/1974</v>
      </c>
      <c r="B196" s="19">
        <f>Analysis!E196</f>
        <v>-3.9999999999999147E-2</v>
      </c>
      <c r="C196" s="20">
        <f>Analysis!F196</f>
        <v>0.25091827471297862</v>
      </c>
      <c r="D196" s="30">
        <v>1360.9</v>
      </c>
    </row>
    <row r="197" spans="1:4" ht="15" customHeight="1">
      <c r="A197" s="18" t="str">
        <f>Analysis!A197</f>
        <v>6/1974</v>
      </c>
      <c r="B197" s="19">
        <f>Analysis!E197</f>
        <v>-5.0000000000000711E-2</v>
      </c>
      <c r="C197" s="20">
        <f>Analysis!F197</f>
        <v>0.24662524613004733</v>
      </c>
      <c r="D197" s="30">
        <v>1360.94</v>
      </c>
    </row>
    <row r="198" spans="1:4" ht="15" customHeight="1">
      <c r="A198" s="18" t="str">
        <f>Analysis!A198</f>
        <v>7/1974</v>
      </c>
      <c r="B198" s="19">
        <f>Analysis!E198</f>
        <v>-2.9999999999999361E-2</v>
      </c>
      <c r="C198" s="20">
        <f>Analysis!F198</f>
        <v>0.24170945927557155</v>
      </c>
      <c r="D198" s="30">
        <v>1360.62</v>
      </c>
    </row>
    <row r="199" spans="1:4" ht="15" customHeight="1">
      <c r="A199" s="18" t="str">
        <f>Analysis!A199</f>
        <v>8/1974</v>
      </c>
      <c r="B199" s="19">
        <f>Analysis!E199</f>
        <v>9.9999999999997868E-2</v>
      </c>
      <c r="C199" s="20">
        <f>Analysis!F199</f>
        <v>0.23331837058615809</v>
      </c>
      <c r="D199" s="30">
        <v>1360.8</v>
      </c>
    </row>
    <row r="200" spans="1:4" ht="15" customHeight="1">
      <c r="A200" s="18" t="str">
        <f>Analysis!A200</f>
        <v>9/1974</v>
      </c>
      <c r="B200" s="19">
        <f>Analysis!E200</f>
        <v>-8.0000000000001847E-2</v>
      </c>
      <c r="C200" s="20">
        <f>Analysis!F200</f>
        <v>0.22531900517823794</v>
      </c>
      <c r="D200" s="30">
        <v>1360.7</v>
      </c>
    </row>
    <row r="201" spans="1:4" ht="15" customHeight="1">
      <c r="A201" s="18" t="str">
        <f>Analysis!A201</f>
        <v>10/1974</v>
      </c>
      <c r="B201" s="19">
        <f>Analysis!E201</f>
        <v>-6.0000000000000497E-2</v>
      </c>
      <c r="C201" s="20">
        <f>Analysis!F201</f>
        <v>0.22509861516835514</v>
      </c>
      <c r="D201" s="30">
        <v>1360.7</v>
      </c>
    </row>
    <row r="202" spans="1:4" ht="15" customHeight="1">
      <c r="A202" s="18" t="str">
        <f>Analysis!A202</f>
        <v>11/1974</v>
      </c>
      <c r="B202" s="19">
        <f>Analysis!E202</f>
        <v>-8.0000000000001847E-2</v>
      </c>
      <c r="C202" s="20">
        <f>Analysis!F202</f>
        <v>0.22963186648323872</v>
      </c>
      <c r="D202" s="30">
        <v>1360.85</v>
      </c>
    </row>
    <row r="203" spans="1:4" ht="15" customHeight="1">
      <c r="A203" s="18" t="str">
        <f>Analysis!A203</f>
        <v>12/1974</v>
      </c>
      <c r="B203" s="19">
        <f>Analysis!E203</f>
        <v>-8.0000000000001847E-2</v>
      </c>
      <c r="C203" s="20">
        <f>Analysis!F203</f>
        <v>0.23520187051995831</v>
      </c>
      <c r="D203" s="30">
        <v>1360.71</v>
      </c>
    </row>
    <row r="204" spans="1:4" ht="15" customHeight="1">
      <c r="A204" s="18" t="str">
        <f>Analysis!A204</f>
        <v>1/1975</v>
      </c>
      <c r="B204" s="19">
        <f>Analysis!E204</f>
        <v>9.9999999999997868E-2</v>
      </c>
      <c r="C204" s="20">
        <f>Analysis!F204</f>
        <v>0.24022708890066147</v>
      </c>
      <c r="D204" s="30">
        <v>1360.66</v>
      </c>
    </row>
    <row r="205" spans="1:4" ht="15" customHeight="1">
      <c r="A205" s="18" t="str">
        <f>Analysis!A205</f>
        <v>2/1975</v>
      </c>
      <c r="B205" s="19">
        <f>Analysis!E205</f>
        <v>8.0000000000000071E-2</v>
      </c>
      <c r="C205" s="20">
        <f>Analysis!F205</f>
        <v>0.24340795181458158</v>
      </c>
      <c r="D205" s="30">
        <v>1360.64</v>
      </c>
    </row>
    <row r="206" spans="1:4" ht="15" customHeight="1">
      <c r="A206" s="18" t="str">
        <f>Analysis!A206</f>
        <v>3/1975</v>
      </c>
      <c r="B206" s="19">
        <f>Analysis!E206</f>
        <v>0.11999999999999744</v>
      </c>
      <c r="C206" s="20">
        <f>Analysis!F206</f>
        <v>0.24549566281992086</v>
      </c>
      <c r="D206" s="30">
        <v>1360.71</v>
      </c>
    </row>
    <row r="207" spans="1:4" ht="15" customHeight="1">
      <c r="A207" s="18" t="str">
        <f>Analysis!A207</f>
        <v>4/1975</v>
      </c>
      <c r="B207" s="19">
        <f>Analysis!E207</f>
        <v>3.9999999999999147E-2</v>
      </c>
      <c r="C207" s="20">
        <f>Analysis!F207</f>
        <v>0.25057183736095789</v>
      </c>
      <c r="D207" s="30">
        <v>1360.8</v>
      </c>
    </row>
    <row r="208" spans="1:4" ht="15" customHeight="1">
      <c r="A208" s="18" t="str">
        <f>Analysis!A208</f>
        <v>5/1975</v>
      </c>
      <c r="B208" s="19">
        <f>Analysis!E208</f>
        <v>0.16000000000000014</v>
      </c>
      <c r="C208" s="20">
        <f>Analysis!F208</f>
        <v>0.25420528705036982</v>
      </c>
      <c r="D208" s="30">
        <v>1360.79</v>
      </c>
    </row>
    <row r="209" spans="1:4" ht="15" customHeight="1">
      <c r="A209" s="18" t="str">
        <f>Analysis!A209</f>
        <v>6/1975</v>
      </c>
      <c r="B209" s="19">
        <f>Analysis!E209</f>
        <v>-9.9999999999980105E-3</v>
      </c>
      <c r="C209" s="20">
        <f>Analysis!F209</f>
        <v>0.25191381895195386</v>
      </c>
      <c r="D209" s="30">
        <v>1360.7</v>
      </c>
    </row>
    <row r="210" spans="1:4" ht="15" customHeight="1">
      <c r="A210" s="18" t="str">
        <f>Analysis!A210</f>
        <v>7/1975</v>
      </c>
      <c r="B210" s="19">
        <f>Analysis!E210</f>
        <v>-9.9999999999980105E-3</v>
      </c>
      <c r="C210" s="20">
        <f>Analysis!F210</f>
        <v>0.24562604450194436</v>
      </c>
      <c r="D210" s="30">
        <v>1360.65</v>
      </c>
    </row>
    <row r="211" spans="1:4" ht="15" customHeight="1">
      <c r="A211" s="18" t="str">
        <f>Analysis!A211</f>
        <v>8/1975</v>
      </c>
      <c r="B211" s="19">
        <f>Analysis!E211</f>
        <v>-0.16999999999999638</v>
      </c>
      <c r="C211" s="20">
        <f>Analysis!F211</f>
        <v>0.23682059058160543</v>
      </c>
      <c r="D211" s="30">
        <v>1360.51</v>
      </c>
    </row>
    <row r="212" spans="1:4" ht="15" customHeight="1">
      <c r="A212" s="18" t="str">
        <f>Analysis!A212</f>
        <v>9/1975</v>
      </c>
      <c r="B212" s="19">
        <f>Analysis!E212</f>
        <v>-1.9999999999999574E-2</v>
      </c>
      <c r="C212" s="20">
        <f>Analysis!F212</f>
        <v>0.23042262505163516</v>
      </c>
      <c r="D212" s="30">
        <v>1360.84</v>
      </c>
    </row>
    <row r="213" spans="1:4" ht="15" customHeight="1">
      <c r="A213" s="18" t="str">
        <f>Analysis!A213</f>
        <v>10/1975</v>
      </c>
      <c r="B213" s="19">
        <f>Analysis!E213</f>
        <v>-0.10999999999999766</v>
      </c>
      <c r="C213" s="20">
        <f>Analysis!F213</f>
        <v>0.22985156512086161</v>
      </c>
      <c r="D213" s="30">
        <v>1360.77</v>
      </c>
    </row>
    <row r="214" spans="1:4" ht="15" customHeight="1">
      <c r="A214" s="18" t="str">
        <f>Analysis!A214</f>
        <v>11/1975</v>
      </c>
      <c r="B214" s="19">
        <f>Analysis!E214</f>
        <v>-0.16999999999999638</v>
      </c>
      <c r="C214" s="20">
        <f>Analysis!F214</f>
        <v>0.2343261299073639</v>
      </c>
      <c r="D214" s="30">
        <v>1360.77</v>
      </c>
    </row>
    <row r="215" spans="1:4" ht="15" customHeight="1">
      <c r="A215" s="18" t="str">
        <f>Analysis!A215</f>
        <v>12/1975</v>
      </c>
      <c r="B215" s="19">
        <f>Analysis!E215</f>
        <v>-0.16999999999999638</v>
      </c>
      <c r="C215" s="20">
        <f>Analysis!F215</f>
        <v>0.24040156449160882</v>
      </c>
      <c r="D215" s="30">
        <v>1360.74</v>
      </c>
    </row>
    <row r="216" spans="1:4" ht="15" customHeight="1">
      <c r="A216" s="18" t="str">
        <f>Analysis!A216</f>
        <v>1/1976</v>
      </c>
      <c r="B216" s="19">
        <f>Analysis!E216</f>
        <v>-2.9999999999999361E-2</v>
      </c>
      <c r="C216" s="20">
        <f>Analysis!F216</f>
        <v>0.2438431408139568</v>
      </c>
      <c r="D216" s="30">
        <v>1360.71</v>
      </c>
    </row>
    <row r="217" spans="1:4" ht="15" customHeight="1">
      <c r="A217" s="18" t="str">
        <f>Analysis!A217</f>
        <v>2/1976</v>
      </c>
      <c r="B217" s="19">
        <f>Analysis!E217</f>
        <v>-6.0000000000000497E-2</v>
      </c>
      <c r="C217" s="20">
        <f>Analysis!F217</f>
        <v>0.24896848158992504</v>
      </c>
      <c r="D217" s="30">
        <v>1360.71</v>
      </c>
    </row>
    <row r="218" spans="1:4" ht="15" customHeight="1">
      <c r="A218" s="18" t="str">
        <f>Analysis!A218</f>
        <v>3/1976</v>
      </c>
      <c r="B218" s="19">
        <f>Analysis!E218</f>
        <v>-0.21999999999999886</v>
      </c>
      <c r="C218" s="20">
        <f>Analysis!F218</f>
        <v>0.25165417798285766</v>
      </c>
      <c r="D218" s="30">
        <v>1360.57</v>
      </c>
    </row>
    <row r="219" spans="1:4" ht="15" customHeight="1">
      <c r="A219" s="18" t="str">
        <f>Analysis!A219</f>
        <v>4/1976</v>
      </c>
      <c r="B219" s="19">
        <f>Analysis!E219</f>
        <v>-7.0000000000000284E-2</v>
      </c>
      <c r="C219" s="20">
        <f>Analysis!F219</f>
        <v>0.25761413004954092</v>
      </c>
      <c r="D219" s="30">
        <v>1360.63</v>
      </c>
    </row>
    <row r="220" spans="1:4" ht="15" customHeight="1">
      <c r="A220" s="18" t="str">
        <f>Analysis!A220</f>
        <v>5/1976</v>
      </c>
      <c r="B220" s="19">
        <f>Analysis!E220</f>
        <v>-0.19999999999999751</v>
      </c>
      <c r="C220" s="20">
        <f>Analysis!F220</f>
        <v>0.25752792952725034</v>
      </c>
      <c r="D220" s="30">
        <v>1360.76</v>
      </c>
    </row>
    <row r="221" spans="1:4" ht="15" customHeight="1">
      <c r="A221" s="18" t="str">
        <f>Analysis!A221</f>
        <v>6/1976</v>
      </c>
      <c r="B221" s="19">
        <f>Analysis!E221</f>
        <v>-0.11999999999999744</v>
      </c>
      <c r="C221" s="20">
        <f>Analysis!F221</f>
        <v>0.25429168632221816</v>
      </c>
      <c r="D221" s="30">
        <v>1360.71</v>
      </c>
    </row>
    <row r="222" spans="1:4" ht="15" customHeight="1">
      <c r="A222" s="18" t="str">
        <f>Analysis!A222</f>
        <v>7/1976</v>
      </c>
      <c r="B222" s="19">
        <f>Analysis!E222</f>
        <v>-0.10000000000000142</v>
      </c>
      <c r="C222" s="20">
        <f>Analysis!F222</f>
        <v>0.2504419019033377</v>
      </c>
      <c r="D222" s="30">
        <v>1360.68</v>
      </c>
    </row>
    <row r="223" spans="1:4" ht="15" customHeight="1">
      <c r="A223" s="18" t="str">
        <f>Analysis!A223</f>
        <v>8/1976</v>
      </c>
      <c r="B223" s="19">
        <f>Analysis!E223</f>
        <v>-0.11999999999999744</v>
      </c>
      <c r="C223" s="20">
        <f>Analysis!F223</f>
        <v>0.24000896473507025</v>
      </c>
      <c r="D223" s="30">
        <v>1360.67</v>
      </c>
    </row>
    <row r="224" spans="1:4" ht="15" customHeight="1">
      <c r="A224" s="18" t="str">
        <f>Analysis!A224</f>
        <v>9/1976</v>
      </c>
      <c r="B224" s="19">
        <f>Analysis!E224</f>
        <v>-6.0000000000000497E-2</v>
      </c>
      <c r="C224" s="20">
        <f>Analysis!F224</f>
        <v>0.23248534247418692</v>
      </c>
      <c r="D224" s="30">
        <v>1360.72</v>
      </c>
    </row>
    <row r="225" spans="1:4" ht="15" customHeight="1">
      <c r="A225" s="18" t="str">
        <f>Analysis!A225</f>
        <v>10/1976</v>
      </c>
      <c r="B225" s="19">
        <f>Analysis!E225</f>
        <v>-0.24000000000000021</v>
      </c>
      <c r="C225" s="20">
        <f>Analysis!F225</f>
        <v>0.23143240844796537</v>
      </c>
      <c r="D225" s="30">
        <v>1360.79</v>
      </c>
    </row>
    <row r="226" spans="1:4" ht="15" customHeight="1">
      <c r="A226" s="18" t="str">
        <f>Analysis!A226</f>
        <v>11/1976</v>
      </c>
      <c r="B226" s="19">
        <f>Analysis!E226</f>
        <v>-6.0000000000000497E-2</v>
      </c>
      <c r="C226" s="20">
        <f>Analysis!F226</f>
        <v>0.23773851628734363</v>
      </c>
      <c r="D226" s="30">
        <v>1360.71</v>
      </c>
    </row>
    <row r="227" spans="1:4" ht="15" customHeight="1">
      <c r="A227" s="18" t="str">
        <f>Analysis!A227</f>
        <v>12/1976</v>
      </c>
      <c r="B227" s="19">
        <f>Analysis!E227</f>
        <v>0.10999999999999766</v>
      </c>
      <c r="C227" s="20">
        <f>Analysis!F227</f>
        <v>0.24410419121562613</v>
      </c>
      <c r="D227" s="30">
        <v>1360.67</v>
      </c>
    </row>
    <row r="228" spans="1:4" ht="15" customHeight="1">
      <c r="A228" s="18" t="str">
        <f>Analysis!A228</f>
        <v>1/1977</v>
      </c>
      <c r="B228" s="19">
        <f>Analysis!E228</f>
        <v>0.19000000000000128</v>
      </c>
      <c r="C228" s="20">
        <f>Analysis!F228</f>
        <v>0.248708309960915</v>
      </c>
      <c r="D228" s="30">
        <v>1360.76</v>
      </c>
    </row>
    <row r="229" spans="1:4" ht="15" customHeight="1">
      <c r="A229" s="18" t="str">
        <f>Analysis!A229</f>
        <v>2/1977</v>
      </c>
      <c r="B229" s="19">
        <f>Analysis!E229</f>
        <v>0.2300000000000022</v>
      </c>
      <c r="C229" s="20">
        <f>Analysis!F229</f>
        <v>0.25083167317379135</v>
      </c>
      <c r="D229" s="30">
        <v>1360.86</v>
      </c>
    </row>
    <row r="230" spans="1:4" ht="15" customHeight="1">
      <c r="A230" s="18" t="str">
        <f>Analysis!A230</f>
        <v>3/1977</v>
      </c>
      <c r="B230" s="19">
        <f>Analysis!E230</f>
        <v>0.24000000000000199</v>
      </c>
      <c r="C230" s="20">
        <f>Analysis!F230</f>
        <v>0.25856199602061081</v>
      </c>
      <c r="D230" s="30">
        <v>1360.75</v>
      </c>
    </row>
    <row r="231" spans="1:4" ht="15" customHeight="1">
      <c r="A231" s="18" t="str">
        <f>Analysis!A231</f>
        <v>4/1977</v>
      </c>
      <c r="B231" s="19">
        <f>Analysis!E231</f>
        <v>0.25999999999999979</v>
      </c>
      <c r="C231" s="20">
        <f>Analysis!F231</f>
        <v>0.26363540356832926</v>
      </c>
      <c r="D231" s="30">
        <v>1360.82</v>
      </c>
    </row>
    <row r="232" spans="1:4" ht="15" customHeight="1">
      <c r="A232" s="18" t="str">
        <f>Analysis!A232</f>
        <v>5/1977</v>
      </c>
      <c r="B232" s="19">
        <f>Analysis!E232</f>
        <v>0.32999999999999652</v>
      </c>
      <c r="C232" s="20">
        <f>Analysis!F232</f>
        <v>0.26702206351656388</v>
      </c>
      <c r="D232" s="30">
        <v>1360.91</v>
      </c>
    </row>
    <row r="233" spans="1:4" ht="15" customHeight="1">
      <c r="A233" s="18" t="str">
        <f>Analysis!A233</f>
        <v>6/1977</v>
      </c>
      <c r="B233" s="19">
        <f>Analysis!E233</f>
        <v>0.27000000000000135</v>
      </c>
      <c r="C233" s="20">
        <f>Analysis!F233</f>
        <v>0.26376415623080784</v>
      </c>
      <c r="D233" s="30">
        <v>1360.71</v>
      </c>
    </row>
    <row r="234" spans="1:4" ht="15" customHeight="1">
      <c r="A234" s="18" t="str">
        <f>Analysis!A234</f>
        <v>7/1977</v>
      </c>
      <c r="B234" s="19">
        <f>Analysis!E234</f>
        <v>0.20000000000000107</v>
      </c>
      <c r="C234" s="20">
        <f>Analysis!F234</f>
        <v>0.25826046984839379</v>
      </c>
      <c r="D234" s="30">
        <v>1360.9</v>
      </c>
    </row>
    <row r="235" spans="1:4" ht="15" customHeight="1">
      <c r="A235" s="18" t="str">
        <f>Analysis!A235</f>
        <v>8/1977</v>
      </c>
      <c r="B235" s="19">
        <f>Analysis!E235</f>
        <v>0.17999999999999972</v>
      </c>
      <c r="C235" s="20">
        <f>Analysis!F235</f>
        <v>0.2481878259046813</v>
      </c>
      <c r="D235" s="30">
        <v>1360.93</v>
      </c>
    </row>
    <row r="236" spans="1:4" ht="15" customHeight="1">
      <c r="A236" s="18" t="str">
        <f>Analysis!A236</f>
        <v>9/1977</v>
      </c>
      <c r="B236" s="19">
        <f>Analysis!E236</f>
        <v>2.0000000000003126E-2</v>
      </c>
      <c r="C236" s="20">
        <f>Analysis!F236</f>
        <v>0.24266782910668239</v>
      </c>
      <c r="D236" s="30">
        <v>1360.66</v>
      </c>
    </row>
    <row r="237" spans="1:4" ht="15" customHeight="1">
      <c r="A237" s="18" t="str">
        <f>Analysis!A237</f>
        <v>10/1977</v>
      </c>
      <c r="B237" s="19">
        <f>Analysis!E237</f>
        <v>2.9999999999997584E-2</v>
      </c>
      <c r="C237" s="20">
        <f>Analysis!F237</f>
        <v>0.24262428065018715</v>
      </c>
      <c r="D237" s="30">
        <v>1360.9</v>
      </c>
    </row>
    <row r="238" spans="1:4" ht="15" customHeight="1">
      <c r="A238" s="18" t="str">
        <f>Analysis!A238</f>
        <v>11/1977</v>
      </c>
      <c r="B238" s="19">
        <f>Analysis!E238</f>
        <v>0.16000000000000014</v>
      </c>
      <c r="C238" s="20">
        <f>Analysis!F238</f>
        <v>0.24775394570505929</v>
      </c>
      <c r="D238" s="30">
        <v>1361.29</v>
      </c>
    </row>
    <row r="239" spans="1:4" ht="15" customHeight="1">
      <c r="A239" s="18" t="str">
        <f>Analysis!A239</f>
        <v>12/1977</v>
      </c>
      <c r="B239" s="19">
        <f>Analysis!E239</f>
        <v>2.9999999999997584E-2</v>
      </c>
      <c r="C239" s="20">
        <f>Analysis!F239</f>
        <v>0.25269246161233488</v>
      </c>
      <c r="D239" s="30">
        <v>1361.18</v>
      </c>
    </row>
    <row r="240" spans="1:4" ht="15" customHeight="1">
      <c r="A240" s="18" t="str">
        <f>Analysis!A240</f>
        <v>1/1978</v>
      </c>
      <c r="B240" s="19">
        <f>Analysis!E240</f>
        <v>5.9999999999998721E-2</v>
      </c>
      <c r="C240" s="20">
        <f>Analysis!F240</f>
        <v>0.25847585211606888</v>
      </c>
      <c r="D240" s="30">
        <v>1361.27</v>
      </c>
    </row>
    <row r="241" spans="1:4" ht="15" customHeight="1">
      <c r="A241" s="18" t="str">
        <f>Analysis!A241</f>
        <v>2/1978</v>
      </c>
      <c r="B241" s="19">
        <f>Analysis!E241</f>
        <v>9.9999999999997868E-2</v>
      </c>
      <c r="C241" s="20">
        <f>Analysis!F241</f>
        <v>0.25985353772683362</v>
      </c>
      <c r="D241" s="30">
        <v>1360.8</v>
      </c>
    </row>
    <row r="242" spans="1:4" ht="15" customHeight="1">
      <c r="A242" s="18" t="str">
        <f>Analysis!A242</f>
        <v>3/1978</v>
      </c>
      <c r="B242" s="19">
        <f>Analysis!E242</f>
        <v>0.19000000000000128</v>
      </c>
      <c r="C242" s="20">
        <f>Analysis!F242</f>
        <v>0.26586549147154565</v>
      </c>
      <c r="D242" s="30">
        <v>1361.11</v>
      </c>
    </row>
    <row r="243" spans="1:4" ht="15" customHeight="1">
      <c r="A243" s="18" t="str">
        <f>Analysis!A243</f>
        <v>4/1978</v>
      </c>
      <c r="B243" s="19">
        <f>Analysis!E243</f>
        <v>0.16999999999999993</v>
      </c>
      <c r="C243" s="20">
        <f>Analysis!F243</f>
        <v>0.27027263033914217</v>
      </c>
      <c r="D243" s="30">
        <v>1361.07</v>
      </c>
    </row>
    <row r="244" spans="1:4" ht="15" customHeight="1">
      <c r="A244" s="18" t="str">
        <f>Analysis!A244</f>
        <v>5/1978</v>
      </c>
      <c r="B244" s="19">
        <f>Analysis!E244</f>
        <v>8.9999999999999858E-2</v>
      </c>
      <c r="C244" s="20">
        <f>Analysis!F244</f>
        <v>0.27168178338214594</v>
      </c>
      <c r="D244" s="30">
        <v>1361.24</v>
      </c>
    </row>
    <row r="245" spans="1:4" ht="15" customHeight="1">
      <c r="A245" s="18" t="str">
        <f>Analysis!A245</f>
        <v>6/1978</v>
      </c>
      <c r="B245" s="19">
        <f>Analysis!E245</f>
        <v>-9.9999999999980105E-3</v>
      </c>
      <c r="C245" s="20">
        <f>Analysis!F245</f>
        <v>0.27163910199105418</v>
      </c>
      <c r="D245" s="30">
        <v>1361.42</v>
      </c>
    </row>
    <row r="246" spans="1:4" ht="15" customHeight="1">
      <c r="A246" s="18" t="str">
        <f>Analysis!A246</f>
        <v>7/1978</v>
      </c>
      <c r="B246" s="19">
        <f>Analysis!E246</f>
        <v>3.9999999999999147E-2</v>
      </c>
      <c r="C246" s="20">
        <f>Analysis!F246</f>
        <v>0.26517967766535055</v>
      </c>
      <c r="D246" s="30">
        <v>1361.45</v>
      </c>
    </row>
    <row r="247" spans="1:4" ht="15" customHeight="1">
      <c r="A247" s="18" t="str">
        <f>Analysis!A247</f>
        <v>8/1978</v>
      </c>
      <c r="B247" s="19">
        <f>Analysis!E247</f>
        <v>-0.13999999999999879</v>
      </c>
      <c r="C247" s="20">
        <f>Analysis!F247</f>
        <v>0.25623430325691615</v>
      </c>
      <c r="D247" s="30">
        <v>1361.54</v>
      </c>
    </row>
    <row r="248" spans="1:4" ht="15" customHeight="1">
      <c r="A248" s="18" t="str">
        <f>Analysis!A248</f>
        <v>9/1978</v>
      </c>
      <c r="B248" s="19">
        <f>Analysis!E248</f>
        <v>5.9999999999998721E-2</v>
      </c>
      <c r="C248" s="20">
        <f>Analysis!F248</f>
        <v>0.24731993497981972</v>
      </c>
      <c r="D248" s="30">
        <v>1361.12</v>
      </c>
    </row>
    <row r="249" spans="1:4" ht="15" customHeight="1">
      <c r="A249" s="18" t="str">
        <f>Analysis!A249</f>
        <v>10/1978</v>
      </c>
      <c r="B249" s="19">
        <f>Analysis!E249</f>
        <v>2.9999999999997584E-2</v>
      </c>
      <c r="C249" s="20">
        <f>Analysis!F249</f>
        <v>0.24771055050748395</v>
      </c>
      <c r="D249" s="30">
        <v>1361.54</v>
      </c>
    </row>
    <row r="250" spans="1:4" ht="15" customHeight="1">
      <c r="A250" s="18" t="str">
        <f>Analysis!A250</f>
        <v>11/1978</v>
      </c>
      <c r="B250" s="19">
        <f>Analysis!E250</f>
        <v>0.12999999999999901</v>
      </c>
      <c r="C250" s="20">
        <f>Analysis!F250</f>
        <v>0.25338423580007446</v>
      </c>
      <c r="D250" s="30">
        <v>1361.28</v>
      </c>
    </row>
    <row r="251" spans="1:4" ht="15" customHeight="1">
      <c r="A251" s="18" t="str">
        <f>Analysis!A251</f>
        <v>12/1978</v>
      </c>
      <c r="B251" s="19">
        <f>Analysis!E251</f>
        <v>8.0000000000000071E-2</v>
      </c>
      <c r="C251" s="20">
        <f>Analysis!F251</f>
        <v>0.25834662661407437</v>
      </c>
      <c r="D251" s="30">
        <v>1360.72</v>
      </c>
    </row>
    <row r="252" spans="1:4" ht="15" customHeight="1">
      <c r="A252" s="18" t="str">
        <f>Analysis!A252</f>
        <v>1/1979</v>
      </c>
      <c r="B252" s="19">
        <f>Analysis!E252</f>
        <v>8.9999999999999858E-2</v>
      </c>
      <c r="C252" s="20">
        <f>Analysis!F252</f>
        <v>0.26363540356832926</v>
      </c>
      <c r="D252" s="30">
        <v>1361.31</v>
      </c>
    </row>
    <row r="253" spans="1:4" ht="15" customHeight="1">
      <c r="A253" s="18" t="str">
        <f>Analysis!A253</f>
        <v>2/1979</v>
      </c>
      <c r="B253" s="19">
        <f>Analysis!E253</f>
        <v>-0.10000000000000142</v>
      </c>
      <c r="C253" s="20">
        <f>Analysis!F253</f>
        <v>0.2659940452734475</v>
      </c>
      <c r="D253" s="30">
        <v>1361.73</v>
      </c>
    </row>
    <row r="254" spans="1:4" ht="15" customHeight="1">
      <c r="A254" s="18" t="str">
        <f>Analysis!A254</f>
        <v>3/1979</v>
      </c>
      <c r="B254" s="19">
        <f>Analysis!E254</f>
        <v>0.19000000000000128</v>
      </c>
      <c r="C254" s="20">
        <f>Analysis!F254</f>
        <v>0.27274840798594358</v>
      </c>
      <c r="D254" s="30">
        <v>1362.18</v>
      </c>
    </row>
    <row r="255" spans="1:4" ht="15" customHeight="1">
      <c r="A255" s="18" t="str">
        <f>Analysis!A255</f>
        <v>4/1979</v>
      </c>
      <c r="B255" s="19">
        <f>Analysis!E255</f>
        <v>0.14999999999999858</v>
      </c>
      <c r="C255" s="20">
        <f>Analysis!F255</f>
        <v>0.27509220998275441</v>
      </c>
      <c r="D255" s="30">
        <v>1361.65</v>
      </c>
    </row>
    <row r="256" spans="1:4" ht="15" customHeight="1">
      <c r="A256" s="18" t="str">
        <f>Analysis!A256</f>
        <v>5/1979</v>
      </c>
      <c r="B256" s="19">
        <f>Analysis!E256</f>
        <v>2.9999999999997584E-2</v>
      </c>
      <c r="C256" s="20">
        <f>Analysis!F256</f>
        <v>0.27687946183264034</v>
      </c>
      <c r="D256" s="30">
        <v>1361.77</v>
      </c>
    </row>
    <row r="257" spans="1:4" ht="15" customHeight="1">
      <c r="A257" s="18" t="str">
        <f>Analysis!A257</f>
        <v>6/1979</v>
      </c>
      <c r="B257" s="19">
        <f>Analysis!E257</f>
        <v>0.13999999999999879</v>
      </c>
      <c r="C257" s="20">
        <f>Analysis!F257</f>
        <v>0.27696451386160453</v>
      </c>
      <c r="D257" s="30">
        <v>1361.03</v>
      </c>
    </row>
    <row r="258" spans="1:4" ht="15" customHeight="1">
      <c r="A258" s="18" t="str">
        <f>Analysis!A258</f>
        <v>7/1979</v>
      </c>
      <c r="B258" s="19">
        <f>Analysis!E258</f>
        <v>3.9999999999999147E-2</v>
      </c>
      <c r="C258" s="20">
        <f>Analysis!F258</f>
        <v>0.26963165094043912</v>
      </c>
      <c r="D258" s="30">
        <v>1361.55</v>
      </c>
    </row>
    <row r="259" spans="1:4" ht="15" customHeight="1">
      <c r="A259" s="18" t="str">
        <f>Analysis!A259</f>
        <v>8/1979</v>
      </c>
      <c r="B259" s="19">
        <f>Analysis!E259</f>
        <v>0.16999999999999993</v>
      </c>
      <c r="C259" s="20">
        <f>Analysis!F259</f>
        <v>0.26183165875213665</v>
      </c>
      <c r="D259" s="30">
        <v>1361.52</v>
      </c>
    </row>
    <row r="260" spans="1:4" ht="15" customHeight="1">
      <c r="A260" s="18" t="str">
        <f>Analysis!A260</f>
        <v>9/1979</v>
      </c>
      <c r="B260" s="19">
        <f>Analysis!E260</f>
        <v>0.25000000000000355</v>
      </c>
      <c r="C260" s="20">
        <f>Analysis!F260</f>
        <v>0.25429168632221816</v>
      </c>
      <c r="D260" s="30">
        <v>1361.51</v>
      </c>
    </row>
    <row r="261" spans="1:4" ht="15" customHeight="1">
      <c r="A261" s="18" t="str">
        <f>Analysis!A261</f>
        <v>10/1979</v>
      </c>
      <c r="B261" s="19">
        <f>Analysis!E261</f>
        <v>0.25999999999999979</v>
      </c>
      <c r="C261" s="20">
        <f>Analysis!F261</f>
        <v>0.25545757034741712</v>
      </c>
      <c r="D261" s="30">
        <v>1361.54</v>
      </c>
    </row>
    <row r="262" spans="1:4" ht="15" customHeight="1">
      <c r="A262" s="18" t="str">
        <f>Analysis!A262</f>
        <v>11/1979</v>
      </c>
      <c r="B262" s="19">
        <f>Analysis!E262</f>
        <v>0.28000000000000114</v>
      </c>
      <c r="C262" s="20">
        <f>Analysis!F262</f>
        <v>0.26011170737902828</v>
      </c>
      <c r="D262" s="30">
        <v>1361.46</v>
      </c>
    </row>
    <row r="263" spans="1:4" ht="15" customHeight="1">
      <c r="A263" s="18" t="str">
        <f>Analysis!A263</f>
        <v>12/1979</v>
      </c>
      <c r="B263" s="19">
        <f>Analysis!E263</f>
        <v>0.47000000000000242</v>
      </c>
      <c r="C263" s="20">
        <f>Analysis!F263</f>
        <v>0.26650814596160988</v>
      </c>
      <c r="D263" s="30">
        <v>1361.95</v>
      </c>
    </row>
    <row r="264" spans="1:4" ht="15" customHeight="1">
      <c r="A264" s="18" t="str">
        <f>Analysis!A264</f>
        <v>1/1980</v>
      </c>
      <c r="B264" s="19">
        <f>Analysis!E264</f>
        <v>0.30000000000000249</v>
      </c>
      <c r="C264" s="20">
        <f>Analysis!F264</f>
        <v>0.2711695233314726</v>
      </c>
      <c r="D264" s="30">
        <v>1361.91</v>
      </c>
    </row>
    <row r="265" spans="1:4" ht="15" customHeight="1">
      <c r="A265" s="18" t="str">
        <f>Analysis!A265</f>
        <v>2/1980</v>
      </c>
      <c r="B265" s="19">
        <f>Analysis!E265</f>
        <v>0.38999999999999879</v>
      </c>
      <c r="C265" s="20">
        <f>Analysis!F265</f>
        <v>0.27304692161483607</v>
      </c>
      <c r="D265" s="30">
        <v>1361.63</v>
      </c>
    </row>
    <row r="266" spans="1:4" ht="15" customHeight="1">
      <c r="A266" s="18" t="str">
        <f>Analysis!A266</f>
        <v>3/1980</v>
      </c>
      <c r="B266" s="19">
        <f>Analysis!E266</f>
        <v>0.28999999999999559</v>
      </c>
      <c r="C266" s="20">
        <f>Analysis!F266</f>
        <v>0.28040491407037693</v>
      </c>
      <c r="D266" s="30">
        <v>1362.07</v>
      </c>
    </row>
    <row r="267" spans="1:4" ht="15" customHeight="1">
      <c r="A267" s="18" t="str">
        <f>Analysis!A267</f>
        <v>4/1980</v>
      </c>
      <c r="B267" s="19">
        <f>Analysis!E267</f>
        <v>0.30000000000000249</v>
      </c>
      <c r="C267" s="20">
        <f>Analysis!F267</f>
        <v>0.28404872727074498</v>
      </c>
      <c r="D267" s="30">
        <v>1361.27</v>
      </c>
    </row>
    <row r="268" spans="1:4" ht="15" customHeight="1">
      <c r="A268" s="18" t="str">
        <f>Analysis!A268</f>
        <v>5/1980</v>
      </c>
      <c r="B268" s="19">
        <f>Analysis!E268</f>
        <v>0.34999999999999787</v>
      </c>
      <c r="C268" s="20">
        <f>Analysis!F268</f>
        <v>0.28624750673812982</v>
      </c>
      <c r="D268" s="30">
        <v>1361.42</v>
      </c>
    </row>
    <row r="269" spans="1:4" ht="15" customHeight="1">
      <c r="A269" s="18" t="str">
        <f>Analysis!A269</f>
        <v>6/1980</v>
      </c>
      <c r="B269" s="19">
        <f>Analysis!E269</f>
        <v>0.20000000000000107</v>
      </c>
      <c r="C269" s="20">
        <f>Analysis!F269</f>
        <v>0.28586718848142018</v>
      </c>
      <c r="D269" s="30">
        <v>1361.8</v>
      </c>
    </row>
    <row r="270" spans="1:4" ht="15" customHeight="1">
      <c r="A270" s="18" t="str">
        <f>Analysis!A270</f>
        <v>7/1980</v>
      </c>
      <c r="B270" s="19">
        <f>Analysis!E270</f>
        <v>0.22000000000000242</v>
      </c>
      <c r="C270" s="20">
        <f>Analysis!F270</f>
        <v>0.27777225815571982</v>
      </c>
      <c r="D270" s="30">
        <v>1361.71</v>
      </c>
    </row>
    <row r="271" spans="1:4" ht="15" customHeight="1">
      <c r="A271" s="18" t="str">
        <f>Analysis!A271</f>
        <v>8/1980</v>
      </c>
      <c r="B271" s="19">
        <f>Analysis!E271</f>
        <v>0.17999999999999972</v>
      </c>
      <c r="C271" s="20">
        <f>Analysis!F271</f>
        <v>0.2701871828716399</v>
      </c>
      <c r="D271" s="30">
        <v>1361.71</v>
      </c>
    </row>
    <row r="272" spans="1:4" ht="15" customHeight="1">
      <c r="A272" s="18" t="str">
        <f>Analysis!A272</f>
        <v>9/1980</v>
      </c>
      <c r="B272" s="19">
        <f>Analysis!E272</f>
        <v>0.20000000000000107</v>
      </c>
      <c r="C272" s="20">
        <f>Analysis!F272</f>
        <v>0.26410744049902013</v>
      </c>
      <c r="D272" s="30">
        <v>1361.59</v>
      </c>
    </row>
    <row r="273" spans="1:4" ht="15" customHeight="1">
      <c r="A273" s="18" t="str">
        <f>Analysis!A273</f>
        <v>10/1980</v>
      </c>
      <c r="B273" s="19">
        <f>Analysis!E273</f>
        <v>0.12999999999999901</v>
      </c>
      <c r="C273" s="20">
        <f>Analysis!F273</f>
        <v>0.26363540356832926</v>
      </c>
      <c r="D273" s="30">
        <v>1361.54</v>
      </c>
    </row>
    <row r="274" spans="1:4" ht="15" customHeight="1">
      <c r="A274" s="18" t="str">
        <f>Analysis!A274</f>
        <v>11/1980</v>
      </c>
      <c r="B274" s="19">
        <f>Analysis!E274</f>
        <v>0.30000000000000249</v>
      </c>
      <c r="C274" s="20">
        <f>Analysis!F274</f>
        <v>0.26860549118579774</v>
      </c>
      <c r="D274" s="30">
        <v>1361</v>
      </c>
    </row>
    <row r="275" spans="1:4" ht="15" customHeight="1">
      <c r="A275" s="18" t="str">
        <f>Analysis!A275</f>
        <v>12/1980</v>
      </c>
      <c r="B275" s="19">
        <f>Analysis!E275</f>
        <v>0.21000000000000085</v>
      </c>
      <c r="C275" s="20">
        <f>Analysis!F275</f>
        <v>0.27283370389710077</v>
      </c>
      <c r="D275" s="30">
        <v>1362</v>
      </c>
    </row>
    <row r="276" spans="1:4" ht="15" customHeight="1">
      <c r="A276" s="18" t="str">
        <f>Analysis!A276</f>
        <v>1/1981</v>
      </c>
      <c r="B276" s="19">
        <f>Analysis!E276</f>
        <v>0.52999999999999758</v>
      </c>
      <c r="C276" s="20">
        <f>Analysis!F276</f>
        <v>0.27709208250431316</v>
      </c>
      <c r="D276" s="30">
        <v>1362.1</v>
      </c>
    </row>
    <row r="277" spans="1:4" ht="15" customHeight="1">
      <c r="A277" s="18" t="str">
        <f>Analysis!A277</f>
        <v>2/1981</v>
      </c>
      <c r="B277" s="19">
        <f>Analysis!E277</f>
        <v>0.42000000000000348</v>
      </c>
      <c r="C277" s="20">
        <f>Analysis!F277</f>
        <v>0.28243980500638693</v>
      </c>
      <c r="D277" s="30">
        <v>1361.57</v>
      </c>
    </row>
    <row r="278" spans="1:4" ht="15" customHeight="1">
      <c r="A278" s="18" t="str">
        <f>Analysis!A278</f>
        <v>3/1981</v>
      </c>
      <c r="B278" s="19">
        <f>Analysis!E278</f>
        <v>0.47999999999999865</v>
      </c>
      <c r="C278" s="20">
        <f>Analysis!F278</f>
        <v>0.28700784260909884</v>
      </c>
      <c r="D278" s="30">
        <v>1361.77</v>
      </c>
    </row>
    <row r="279" spans="1:4" ht="15" customHeight="1">
      <c r="A279" s="18" t="str">
        <f>Analysis!A279</f>
        <v>4/1981</v>
      </c>
      <c r="B279" s="19">
        <f>Analysis!E279</f>
        <v>0.32000000000000028</v>
      </c>
      <c r="C279" s="20">
        <f>Analysis!F279</f>
        <v>0.29109832425167037</v>
      </c>
      <c r="D279" s="30">
        <v>1362.12</v>
      </c>
    </row>
    <row r="280" spans="1:4" ht="15" customHeight="1">
      <c r="A280" s="18" t="str">
        <f>Analysis!A280</f>
        <v>5/1981</v>
      </c>
      <c r="B280" s="19">
        <f>Analysis!E280</f>
        <v>0.25000000000000355</v>
      </c>
      <c r="C280" s="20">
        <f>Analysis!F280</f>
        <v>0.29294998373808151</v>
      </c>
      <c r="D280" s="30">
        <v>1361.72</v>
      </c>
    </row>
    <row r="281" spans="1:4" ht="15" customHeight="1">
      <c r="A281" s="18" t="str">
        <f>Analysis!A281</f>
        <v>6/1981</v>
      </c>
      <c r="B281" s="19">
        <f>Analysis!E281</f>
        <v>0.28999999999999559</v>
      </c>
      <c r="C281" s="20">
        <f>Analysis!F281</f>
        <v>0.29084564099664334</v>
      </c>
      <c r="D281" s="30">
        <v>1361.58</v>
      </c>
    </row>
    <row r="282" spans="1:4" ht="15" customHeight="1">
      <c r="A282" s="18" t="str">
        <f>Analysis!A282</f>
        <v>7/1981</v>
      </c>
      <c r="B282" s="19">
        <f>Analysis!E282</f>
        <v>0.32999999999999652</v>
      </c>
      <c r="C282" s="20">
        <f>Analysis!F282</f>
        <v>0.28358317111122905</v>
      </c>
      <c r="D282" s="30">
        <v>1360.72</v>
      </c>
    </row>
    <row r="283" spans="1:4" ht="15" customHeight="1">
      <c r="A283" s="18" t="str">
        <f>Analysis!A283</f>
        <v>8/1981</v>
      </c>
      <c r="B283" s="19">
        <f>Analysis!E283</f>
        <v>0.34999999999999787</v>
      </c>
      <c r="C283" s="20">
        <f>Analysis!F283</f>
        <v>0.27364376363665927</v>
      </c>
      <c r="D283" s="30">
        <v>1362.15</v>
      </c>
    </row>
    <row r="284" spans="1:4" ht="15" customHeight="1">
      <c r="A284" s="18" t="str">
        <f>Analysis!A284</f>
        <v>9/1981</v>
      </c>
      <c r="B284" s="19">
        <f>Analysis!E284</f>
        <v>0.14999999999999858</v>
      </c>
      <c r="C284" s="20">
        <f>Analysis!F284</f>
        <v>0.26710769864693196</v>
      </c>
      <c r="D284" s="30">
        <v>1361.73</v>
      </c>
    </row>
    <row r="285" spans="1:4" ht="15" customHeight="1">
      <c r="A285" s="18" t="str">
        <f>Analysis!A285</f>
        <v>10/1981</v>
      </c>
      <c r="B285" s="19">
        <f>Analysis!E285</f>
        <v>0.11999999999999744</v>
      </c>
      <c r="C285" s="20">
        <f>Analysis!F285</f>
        <v>0.26753579806873473</v>
      </c>
      <c r="D285" s="30">
        <v>1361.42</v>
      </c>
    </row>
    <row r="286" spans="1:4" ht="15" customHeight="1">
      <c r="A286" s="18" t="str">
        <f>Analysis!A286</f>
        <v>11/1981</v>
      </c>
      <c r="B286" s="19">
        <f>Analysis!E286</f>
        <v>0.2300000000000022</v>
      </c>
      <c r="C286" s="20">
        <f>Analysis!F286</f>
        <v>0.27406992824581616</v>
      </c>
      <c r="D286" s="30">
        <v>1361.75</v>
      </c>
    </row>
    <row r="287" spans="1:4" ht="15" customHeight="1">
      <c r="A287" s="18" t="str">
        <f>Analysis!A287</f>
        <v>12/1981</v>
      </c>
      <c r="B287" s="19">
        <f>Analysis!E287</f>
        <v>0.41000000000000014</v>
      </c>
      <c r="C287" s="20">
        <f>Analysis!F287</f>
        <v>0.27972597877580269</v>
      </c>
      <c r="D287" s="30">
        <v>1361.59</v>
      </c>
    </row>
    <row r="288" spans="1:4" ht="15" customHeight="1">
      <c r="A288" s="18" t="str">
        <f>Analysis!A288</f>
        <v>1/1982</v>
      </c>
      <c r="B288" s="19">
        <f>Analysis!E288</f>
        <v>5.0000000000004263E-2</v>
      </c>
      <c r="C288" s="20">
        <f>Analysis!F288</f>
        <v>0.28404872727074498</v>
      </c>
      <c r="D288" s="30">
        <v>1361.88</v>
      </c>
    </row>
    <row r="289" spans="1:4" ht="15" customHeight="1">
      <c r="A289" s="18" t="str">
        <f>Analysis!A289</f>
        <v>2/1982</v>
      </c>
      <c r="B289" s="19">
        <f>Analysis!E289</f>
        <v>0.14999999999999858</v>
      </c>
      <c r="C289" s="20">
        <f>Analysis!F289</f>
        <v>0.28755672496786289</v>
      </c>
      <c r="D289" s="30">
        <v>1360.75</v>
      </c>
    </row>
    <row r="290" spans="1:4" ht="15" customHeight="1">
      <c r="A290" s="18" t="str">
        <f>Analysis!A290</f>
        <v>3/1982</v>
      </c>
      <c r="B290" s="19">
        <f>Analysis!E290</f>
        <v>2.9999999999997584E-2</v>
      </c>
      <c r="C290" s="20">
        <f>Analysis!F290</f>
        <v>0.29185610858541344</v>
      </c>
      <c r="D290" s="30">
        <v>1360.76</v>
      </c>
    </row>
    <row r="291" spans="1:4" ht="15" customHeight="1">
      <c r="A291" s="18" t="str">
        <f>Analysis!A291</f>
        <v>4/1982</v>
      </c>
      <c r="B291" s="19">
        <f>Analysis!E291</f>
        <v>0.14999999999999858</v>
      </c>
      <c r="C291" s="20">
        <f>Analysis!F291</f>
        <v>0.2968139727658512</v>
      </c>
      <c r="D291" s="30">
        <v>1361.42</v>
      </c>
    </row>
    <row r="292" spans="1:4" ht="15" customHeight="1">
      <c r="A292" s="18" t="str">
        <f>Analysis!A292</f>
        <v>5/1982</v>
      </c>
      <c r="B292" s="19">
        <f>Analysis!E292</f>
        <v>0.17999999999999972</v>
      </c>
      <c r="C292" s="20">
        <f>Analysis!F292</f>
        <v>0.30020741728518119</v>
      </c>
      <c r="D292" s="30">
        <v>1361.37</v>
      </c>
    </row>
    <row r="293" spans="1:4" ht="15" customHeight="1">
      <c r="A293" s="18" t="str">
        <f>Analysis!A293</f>
        <v>6/1982</v>
      </c>
      <c r="B293" s="19">
        <f>Analysis!E293</f>
        <v>5.9999999999998721E-2</v>
      </c>
      <c r="C293" s="20">
        <f>Analysis!F293</f>
        <v>0.29647838424587125</v>
      </c>
      <c r="D293" s="30">
        <v>1360.46</v>
      </c>
    </row>
    <row r="294" spans="1:4" ht="15" customHeight="1">
      <c r="A294" s="18" t="str">
        <f>Analysis!A294</f>
        <v>7/1982</v>
      </c>
      <c r="B294" s="19">
        <f>Analysis!E294</f>
        <v>0.13999999999999879</v>
      </c>
      <c r="C294" s="20">
        <f>Analysis!F294</f>
        <v>0.29034014167791555</v>
      </c>
      <c r="D294" s="30">
        <v>1361.11</v>
      </c>
    </row>
    <row r="295" spans="1:4" ht="15" customHeight="1">
      <c r="A295" s="18" t="str">
        <f>Analysis!A295</f>
        <v>8/1982</v>
      </c>
      <c r="B295" s="19">
        <f>Analysis!E295</f>
        <v>2.9999999999997584E-2</v>
      </c>
      <c r="C295" s="20">
        <f>Analysis!F295</f>
        <v>0.28112593290607241</v>
      </c>
      <c r="D295" s="30">
        <v>1361.19</v>
      </c>
    </row>
    <row r="296" spans="1:4" ht="15" customHeight="1">
      <c r="A296" s="18" t="str">
        <f>Analysis!A296</f>
        <v>9/1982</v>
      </c>
      <c r="B296" s="19">
        <f>Analysis!E296</f>
        <v>0.13999999999999879</v>
      </c>
      <c r="C296" s="20">
        <f>Analysis!F296</f>
        <v>0.2731748371214936</v>
      </c>
      <c r="D296" s="30">
        <v>1361.48</v>
      </c>
    </row>
    <row r="297" spans="1:4" ht="15" customHeight="1">
      <c r="A297" s="18" t="str">
        <f>Analysis!A297</f>
        <v>10/1982</v>
      </c>
      <c r="B297" s="19">
        <f>Analysis!E297</f>
        <v>0.12999999999999901</v>
      </c>
      <c r="C297" s="20">
        <f>Analysis!F297</f>
        <v>0.27334537348989335</v>
      </c>
      <c r="D297" s="30">
        <v>1361.64</v>
      </c>
    </row>
    <row r="298" spans="1:4" ht="15" customHeight="1">
      <c r="A298" s="18" t="str">
        <f>Analysis!A298</f>
        <v>11/1982</v>
      </c>
      <c r="B298" s="19">
        <f>Analysis!E298</f>
        <v>0.17999999999999972</v>
      </c>
      <c r="C298" s="20">
        <f>Analysis!F298</f>
        <v>0.27772975657104493</v>
      </c>
      <c r="D298" s="30">
        <v>1361.41</v>
      </c>
    </row>
    <row r="299" spans="1:4" ht="15" customHeight="1">
      <c r="A299" s="18" t="str">
        <f>Analysis!A299</f>
        <v>12/1982</v>
      </c>
      <c r="B299" s="19">
        <f>Analysis!E299</f>
        <v>0.42999999999999972</v>
      </c>
      <c r="C299" s="20">
        <f>Analysis!F299</f>
        <v>0.28341384070717457</v>
      </c>
      <c r="D299" s="30">
        <v>1361.24</v>
      </c>
    </row>
    <row r="300" spans="1:4" ht="15" customHeight="1">
      <c r="A300" s="18" t="str">
        <f>Analysis!A300</f>
        <v>1/1983</v>
      </c>
      <c r="B300" s="19">
        <f>Analysis!E300</f>
        <v>0.52999999999999758</v>
      </c>
      <c r="C300" s="20">
        <f>Analysis!F300</f>
        <v>0.28675444184014132</v>
      </c>
      <c r="D300" s="30">
        <v>1361.42</v>
      </c>
    </row>
    <row r="301" spans="1:4" ht="15" customHeight="1">
      <c r="A301" s="18" t="str">
        <f>Analysis!A301</f>
        <v>2/1983</v>
      </c>
      <c r="B301" s="19">
        <f>Analysis!E301</f>
        <v>0.42999999999999972</v>
      </c>
      <c r="C301" s="20">
        <f>Analysis!F301</f>
        <v>0.29185610858541344</v>
      </c>
      <c r="D301" s="30">
        <v>1361.25</v>
      </c>
    </row>
    <row r="302" spans="1:4" ht="15" customHeight="1">
      <c r="A302" s="18" t="str">
        <f>Analysis!A302</f>
        <v>3/1983</v>
      </c>
      <c r="B302" s="19">
        <f>Analysis!E302</f>
        <v>0.42000000000000348</v>
      </c>
      <c r="C302" s="20">
        <f>Analysis!F302</f>
        <v>0.29433717040544699</v>
      </c>
      <c r="D302" s="30">
        <v>1361.23</v>
      </c>
    </row>
    <row r="303" spans="1:4" ht="15" customHeight="1">
      <c r="A303" s="18" t="str">
        <f>Analysis!A303</f>
        <v>4/1983</v>
      </c>
      <c r="B303" s="19">
        <f>Analysis!E303</f>
        <v>0.28000000000000114</v>
      </c>
      <c r="C303" s="20">
        <f>Analysis!F303</f>
        <v>0.30284125569659542</v>
      </c>
      <c r="D303" s="30">
        <v>1361.2</v>
      </c>
    </row>
    <row r="304" spans="1:4" ht="15" customHeight="1">
      <c r="A304" s="18" t="str">
        <f>Analysis!A304</f>
        <v>5/1983</v>
      </c>
      <c r="B304" s="19">
        <f>Analysis!E304</f>
        <v>0.33999999999999986</v>
      </c>
      <c r="C304" s="20">
        <f>Analysis!F304</f>
        <v>0.30592884206251841</v>
      </c>
      <c r="D304" s="30">
        <v>1361.09</v>
      </c>
    </row>
    <row r="305" spans="1:4" ht="15" customHeight="1">
      <c r="A305" s="18" t="str">
        <f>Analysis!A305</f>
        <v>6/1983</v>
      </c>
      <c r="B305" s="19">
        <f>Analysis!E305</f>
        <v>0.2300000000000022</v>
      </c>
      <c r="C305" s="20">
        <f>Analysis!F305</f>
        <v>0.30434415013981614</v>
      </c>
      <c r="D305" s="30">
        <v>1361.08</v>
      </c>
    </row>
    <row r="306" spans="1:4" ht="15" customHeight="1">
      <c r="A306" s="18" t="str">
        <f>Analysis!A306</f>
        <v>7/1983</v>
      </c>
      <c r="B306" s="19">
        <f>Analysis!E306</f>
        <v>0.17999999999999972</v>
      </c>
      <c r="C306" s="20">
        <f>Analysis!F306</f>
        <v>0.29832315583693308</v>
      </c>
      <c r="D306" s="30">
        <v>1361.29</v>
      </c>
    </row>
    <row r="307" spans="1:4" ht="15" customHeight="1">
      <c r="A307" s="18" t="str">
        <f>Analysis!A307</f>
        <v>8/1983</v>
      </c>
      <c r="B307" s="19">
        <f>Analysis!E307</f>
        <v>0.36000000000000121</v>
      </c>
      <c r="C307" s="20">
        <f>Analysis!F307</f>
        <v>0.29071928277095344</v>
      </c>
      <c r="D307" s="30">
        <v>1361.46</v>
      </c>
    </row>
    <row r="308" spans="1:4" ht="15" customHeight="1">
      <c r="A308" s="18" t="str">
        <f>Analysis!A308</f>
        <v>9/1983</v>
      </c>
      <c r="B308" s="19">
        <f>Analysis!E308</f>
        <v>0.36999999999999744</v>
      </c>
      <c r="C308" s="20">
        <f>Analysis!F308</f>
        <v>0.28205848151793295</v>
      </c>
      <c r="D308" s="30">
        <v>1361.27</v>
      </c>
    </row>
    <row r="309" spans="1:4" ht="15" customHeight="1">
      <c r="A309" s="18" t="str">
        <f>Analysis!A309</f>
        <v>10/1983</v>
      </c>
      <c r="B309" s="19">
        <f>Analysis!E309</f>
        <v>0.16999999999999993</v>
      </c>
      <c r="C309" s="20">
        <f>Analysis!F309</f>
        <v>0.28235507516311997</v>
      </c>
      <c r="D309" s="30">
        <v>1361.05</v>
      </c>
    </row>
    <row r="310" spans="1:4" ht="15" customHeight="1">
      <c r="A310" s="18" t="str">
        <f>Analysis!A310</f>
        <v>11/1983</v>
      </c>
      <c r="B310" s="19">
        <f>Analysis!E310</f>
        <v>0.30000000000000249</v>
      </c>
      <c r="C310" s="20">
        <f>Analysis!F310</f>
        <v>0.28768336047734855</v>
      </c>
      <c r="D310" s="30">
        <v>1361.15</v>
      </c>
    </row>
    <row r="311" spans="1:4" ht="15" customHeight="1">
      <c r="A311" s="18" t="str">
        <f>Analysis!A311</f>
        <v>12/1983</v>
      </c>
      <c r="B311" s="19">
        <f>Analysis!E311</f>
        <v>0.16999999999999993</v>
      </c>
      <c r="C311" s="20">
        <f>Analysis!F311</f>
        <v>0.29362272566721687</v>
      </c>
      <c r="D311" s="30">
        <v>1361.08</v>
      </c>
    </row>
    <row r="312" spans="1:4" ht="15" customHeight="1">
      <c r="A312" s="18" t="str">
        <f>Analysis!A312</f>
        <v>1/1984</v>
      </c>
      <c r="B312" s="19">
        <f>Analysis!E312</f>
        <v>0.31000000000000227</v>
      </c>
      <c r="C312" s="20">
        <f>Analysis!F312</f>
        <v>0.29786218403948628</v>
      </c>
      <c r="D312" s="30">
        <v>1360.3</v>
      </c>
    </row>
    <row r="313" spans="1:4" ht="15" customHeight="1">
      <c r="A313" s="18" t="str">
        <f>Analysis!A313</f>
        <v>2/1984</v>
      </c>
      <c r="B313" s="19">
        <f>Analysis!E313</f>
        <v>0.13999999999999879</v>
      </c>
      <c r="C313" s="20">
        <f>Analysis!F313</f>
        <v>0.30083495794705978</v>
      </c>
      <c r="D313" s="30">
        <v>1360.56</v>
      </c>
    </row>
    <row r="314" spans="1:4" ht="15" customHeight="1">
      <c r="A314" s="18" t="str">
        <f>Analysis!A314</f>
        <v>3/1984</v>
      </c>
      <c r="B314" s="19">
        <f>Analysis!E314</f>
        <v>0.25999999999999979</v>
      </c>
      <c r="C314" s="20">
        <f>Analysis!F314</f>
        <v>0.30401030887004266</v>
      </c>
      <c r="D314" s="30">
        <v>1361.18</v>
      </c>
    </row>
    <row r="315" spans="1:4" ht="15" customHeight="1">
      <c r="A315" s="18" t="str">
        <f>Analysis!A315</f>
        <v>4/1984</v>
      </c>
      <c r="B315" s="19">
        <f>Analysis!E315</f>
        <v>5.9999999999998721E-2</v>
      </c>
      <c r="C315" s="20">
        <f>Analysis!F315</f>
        <v>0.31104633643445362</v>
      </c>
      <c r="D315" s="30">
        <v>1360.44</v>
      </c>
    </row>
    <row r="316" spans="1:4" ht="15" customHeight="1">
      <c r="A316" s="18" t="str">
        <f>Analysis!A316</f>
        <v>5/1984</v>
      </c>
      <c r="B316" s="19">
        <f>Analysis!E316</f>
        <v>0.32999999999999652</v>
      </c>
      <c r="C316" s="20">
        <f>Analysis!F316</f>
        <v>0.31270665832658501</v>
      </c>
      <c r="D316" s="30">
        <v>1360.71</v>
      </c>
    </row>
    <row r="317" spans="1:4" ht="15" customHeight="1">
      <c r="A317" s="18" t="str">
        <f>Analysis!A317</f>
        <v>6/1984</v>
      </c>
      <c r="B317" s="19">
        <f>Analysis!E317</f>
        <v>2.0000000000003126E-2</v>
      </c>
      <c r="C317" s="20">
        <f>Analysis!F317</f>
        <v>0.31017390193106481</v>
      </c>
      <c r="D317" s="30">
        <v>1361.11</v>
      </c>
    </row>
    <row r="318" spans="1:4" ht="15" customHeight="1">
      <c r="A318" s="18" t="str">
        <f>Analysis!A318</f>
        <v>7/1984</v>
      </c>
      <c r="B318" s="19">
        <f>Analysis!E318</f>
        <v>0.19000000000000128</v>
      </c>
      <c r="C318" s="20">
        <f>Analysis!F318</f>
        <v>0.30446932070233174</v>
      </c>
      <c r="D318" s="30">
        <v>1361.15</v>
      </c>
    </row>
    <row r="319" spans="1:4" ht="15" customHeight="1">
      <c r="A319" s="18" t="str">
        <f>Analysis!A319</f>
        <v>8/1984</v>
      </c>
      <c r="B319" s="19">
        <f>Analysis!E319</f>
        <v>0.19000000000000128</v>
      </c>
      <c r="C319" s="20">
        <f>Analysis!F319</f>
        <v>0.29589091643366305</v>
      </c>
      <c r="D319" s="30">
        <v>1361.01</v>
      </c>
    </row>
    <row r="320" spans="1:4" ht="15" customHeight="1">
      <c r="A320" s="18" t="str">
        <f>Analysis!A320</f>
        <v>9/1984</v>
      </c>
      <c r="B320" s="19">
        <f>Analysis!E320</f>
        <v>0.21000000000000085</v>
      </c>
      <c r="C320" s="20">
        <f>Analysis!F320</f>
        <v>0.28683891370859382</v>
      </c>
      <c r="D320" s="30">
        <v>1360.9</v>
      </c>
    </row>
    <row r="321" spans="1:4" ht="15" customHeight="1">
      <c r="A321" s="18" t="str">
        <f>Analysis!A321</f>
        <v>10/1984</v>
      </c>
      <c r="B321" s="19">
        <f>Analysis!E321</f>
        <v>0.12999999999999901</v>
      </c>
      <c r="C321" s="20">
        <f>Analysis!F321</f>
        <v>0.28797880011229388</v>
      </c>
      <c r="D321" s="30">
        <v>1360.76</v>
      </c>
    </row>
    <row r="322" spans="1:4" ht="15" customHeight="1">
      <c r="A322" s="18" t="str">
        <f>Analysis!A322</f>
        <v>11/1984</v>
      </c>
      <c r="B322" s="19">
        <f>Analysis!E322</f>
        <v>5.9999999999998721E-2</v>
      </c>
      <c r="C322" s="20">
        <f>Analysis!F322</f>
        <v>0.29408505383681638</v>
      </c>
      <c r="D322" s="30">
        <v>1360.62</v>
      </c>
    </row>
    <row r="323" spans="1:4" ht="15" customHeight="1">
      <c r="A323" s="18" t="str">
        <f>Analysis!A323</f>
        <v>12/1984</v>
      </c>
      <c r="B323" s="19">
        <f>Analysis!E323</f>
        <v>-3.9999999999999147E-2</v>
      </c>
      <c r="C323" s="20">
        <f>Analysis!F323</f>
        <v>0.30116953472056501</v>
      </c>
      <c r="D323" s="30">
        <v>1360.73</v>
      </c>
    </row>
    <row r="324" spans="1:4" ht="15" customHeight="1">
      <c r="A324" s="18" t="str">
        <f>Analysis!A324</f>
        <v>1/1985</v>
      </c>
      <c r="B324" s="19">
        <f>Analysis!E324</f>
        <v>0.22000000000000242</v>
      </c>
      <c r="C324" s="20">
        <f>Analysis!F324</f>
        <v>0.30317536756489971</v>
      </c>
      <c r="D324" s="30">
        <v>1360.62</v>
      </c>
    </row>
    <row r="325" spans="1:4" ht="15" customHeight="1">
      <c r="A325" s="18" t="str">
        <f>Analysis!A325</f>
        <v>2/1985</v>
      </c>
      <c r="B325" s="19">
        <f>Analysis!E325</f>
        <v>-3.9999999999999147E-2</v>
      </c>
      <c r="C325" s="20">
        <f>Analysis!F325</f>
        <v>0.30705375053345996</v>
      </c>
      <c r="D325" s="30">
        <v>1360.68</v>
      </c>
    </row>
    <row r="326" spans="1:4" ht="15" customHeight="1">
      <c r="A326" s="18" t="str">
        <f>Analysis!A326</f>
        <v>3/1985</v>
      </c>
      <c r="B326" s="19">
        <f>Analysis!E326</f>
        <v>0.16999999999999993</v>
      </c>
      <c r="C326" s="20">
        <f>Analysis!F326</f>
        <v>0.31328731986192054</v>
      </c>
      <c r="D326" s="30">
        <v>1360.64</v>
      </c>
    </row>
    <row r="327" spans="1:4" ht="15" customHeight="1">
      <c r="A327" s="18" t="str">
        <f>Analysis!A327</f>
        <v>4/1985</v>
      </c>
      <c r="B327" s="19">
        <f>Analysis!E327</f>
        <v>0.11999999999999744</v>
      </c>
      <c r="C327" s="20">
        <f>Analysis!F327</f>
        <v>0.31639403332587512</v>
      </c>
      <c r="D327" s="30">
        <v>1360.51</v>
      </c>
    </row>
    <row r="328" spans="1:4" ht="15" customHeight="1">
      <c r="A328" s="18" t="str">
        <f>Analysis!A328</f>
        <v>5/1985</v>
      </c>
      <c r="B328" s="19">
        <f>Analysis!E328</f>
        <v>0.14999999999999858</v>
      </c>
      <c r="C328" s="20">
        <f>Analysis!F328</f>
        <v>0.3189572082710998</v>
      </c>
      <c r="D328" s="30">
        <v>1360.61</v>
      </c>
    </row>
    <row r="329" spans="1:4" ht="15" customHeight="1">
      <c r="A329" s="18" t="str">
        <f>Analysis!A329</f>
        <v>6/1985</v>
      </c>
      <c r="B329" s="19">
        <f>Analysis!E329</f>
        <v>0.14999999999999858</v>
      </c>
      <c r="C329" s="20">
        <f>Analysis!F329</f>
        <v>0.31635265445446925</v>
      </c>
      <c r="D329" s="30">
        <v>1360.68</v>
      </c>
    </row>
    <row r="330" spans="1:4" ht="15" customHeight="1">
      <c r="A330" s="18" t="str">
        <f>Analysis!A330</f>
        <v>7/1985</v>
      </c>
      <c r="B330" s="19">
        <f>Analysis!E330</f>
        <v>3.9999999999999147E-2</v>
      </c>
      <c r="C330" s="20">
        <f>Analysis!F330</f>
        <v>0.30909301345405343</v>
      </c>
      <c r="D330" s="30">
        <v>1360.63</v>
      </c>
    </row>
    <row r="331" spans="1:4" ht="15" customHeight="1">
      <c r="A331" s="18" t="str">
        <f>Analysis!A331</f>
        <v>8/1985</v>
      </c>
      <c r="B331" s="19">
        <f>Analysis!E331</f>
        <v>0.16999999999999993</v>
      </c>
      <c r="C331" s="20">
        <f>Analysis!F331</f>
        <v>0.30225637367507746</v>
      </c>
      <c r="D331" s="30">
        <v>1360.77</v>
      </c>
    </row>
    <row r="332" spans="1:4" ht="15" customHeight="1">
      <c r="A332" s="18" t="str">
        <f>Analysis!A332</f>
        <v>9/1985</v>
      </c>
      <c r="B332" s="19">
        <f>Analysis!E332</f>
        <v>0.12999999999999901</v>
      </c>
      <c r="C332" s="20">
        <f>Analysis!F332</f>
        <v>0.29475726680375902</v>
      </c>
      <c r="D332" s="30">
        <v>1360.65</v>
      </c>
    </row>
    <row r="333" spans="1:4" ht="15" customHeight="1">
      <c r="A333" s="18" t="str">
        <f>Analysis!A333</f>
        <v>10/1985</v>
      </c>
      <c r="B333" s="19">
        <f>Analysis!E333</f>
        <v>0.11999999999999744</v>
      </c>
      <c r="C333" s="20">
        <f>Analysis!F333</f>
        <v>0.29425313644451412</v>
      </c>
      <c r="D333" s="30">
        <v>1360.54</v>
      </c>
    </row>
    <row r="334" spans="1:4" ht="15" customHeight="1">
      <c r="A334" s="18" t="str">
        <f>Analysis!A334</f>
        <v>11/1985</v>
      </c>
      <c r="B334" s="19">
        <f>Analysis!E334</f>
        <v>5.0000000000004263E-2</v>
      </c>
      <c r="C334" s="20">
        <f>Analysis!F334</f>
        <v>0.30004002699743576</v>
      </c>
      <c r="D334" s="30">
        <v>1360.61</v>
      </c>
    </row>
    <row r="335" spans="1:4" ht="15" customHeight="1">
      <c r="A335" s="18" t="str">
        <f>Analysis!A335</f>
        <v>12/1985</v>
      </c>
      <c r="B335" s="19">
        <f>Analysis!E335</f>
        <v>0.13999999999999879</v>
      </c>
      <c r="C335" s="20">
        <f>Analysis!F335</f>
        <v>0.30584548060634364</v>
      </c>
      <c r="D335" s="30">
        <v>1360.65</v>
      </c>
    </row>
    <row r="336" spans="1:4" ht="15" customHeight="1">
      <c r="A336" s="18" t="str">
        <f>Analysis!A336</f>
        <v>1/1986</v>
      </c>
      <c r="B336" s="19">
        <f>Analysis!E336</f>
        <v>0.25999999999999979</v>
      </c>
      <c r="C336" s="20">
        <f>Analysis!F336</f>
        <v>0.30859386858427595</v>
      </c>
      <c r="D336" s="30">
        <v>1360.67</v>
      </c>
    </row>
    <row r="337" spans="1:4" ht="15" customHeight="1">
      <c r="A337" s="18" t="str">
        <f>Analysis!A337</f>
        <v>2/1986</v>
      </c>
      <c r="B337" s="19">
        <f>Analysis!E337</f>
        <v>0.36999999999999744</v>
      </c>
      <c r="C337" s="20">
        <f>Analysis!F337</f>
        <v>0.31150311546826975</v>
      </c>
      <c r="D337" s="30">
        <v>1360.54</v>
      </c>
    </row>
    <row r="338" spans="1:4" ht="15" customHeight="1">
      <c r="A338" s="18" t="str">
        <f>Analysis!A338</f>
        <v>3/1986</v>
      </c>
      <c r="B338" s="19">
        <f>Analysis!E338</f>
        <v>0.30000000000000249</v>
      </c>
      <c r="C338" s="20">
        <f>Analysis!F338</f>
        <v>0.31469652565628642</v>
      </c>
      <c r="D338" s="30">
        <v>1360.69</v>
      </c>
    </row>
    <row r="339" spans="1:4" ht="15" customHeight="1">
      <c r="A339" s="18" t="str">
        <f>Analysis!A339</f>
        <v>4/1986</v>
      </c>
      <c r="B339" s="19">
        <f>Analysis!E339</f>
        <v>0.22000000000000242</v>
      </c>
      <c r="C339" s="20">
        <f>Analysis!F339</f>
        <v>0.32135090142461681</v>
      </c>
      <c r="D339" s="30">
        <v>1360.65</v>
      </c>
    </row>
    <row r="340" spans="1:4" ht="15" customHeight="1">
      <c r="A340" s="18" t="str">
        <f>Analysis!A340</f>
        <v>5/1986</v>
      </c>
      <c r="B340" s="19">
        <f>Analysis!E340</f>
        <v>0.21000000000000085</v>
      </c>
      <c r="C340" s="20">
        <f>Analysis!F340</f>
        <v>0.32406993683064367</v>
      </c>
      <c r="D340" s="30">
        <v>1360.73</v>
      </c>
    </row>
    <row r="341" spans="1:4" ht="15" customHeight="1">
      <c r="A341" s="18" t="str">
        <f>Analysis!A341</f>
        <v>6/1986</v>
      </c>
      <c r="B341" s="19">
        <f>Analysis!E341</f>
        <v>0.11999999999999744</v>
      </c>
      <c r="C341" s="20">
        <f>Analysis!F341</f>
        <v>0.32184565281522998</v>
      </c>
      <c r="D341" s="30">
        <v>1360.65</v>
      </c>
    </row>
    <row r="342" spans="1:4" ht="15" customHeight="1">
      <c r="A342" s="18" t="str">
        <f>Analysis!A342</f>
        <v>7/1986</v>
      </c>
      <c r="B342" s="19">
        <f>Analysis!E342</f>
        <v>0.10999999999999766</v>
      </c>
      <c r="C342" s="20">
        <f>Analysis!F342</f>
        <v>0.31469652565628642</v>
      </c>
      <c r="D342" s="30">
        <v>1360.63</v>
      </c>
    </row>
    <row r="343" spans="1:4" ht="15" customHeight="1">
      <c r="A343" s="18" t="str">
        <f>Analysis!A343</f>
        <v>8/1986</v>
      </c>
      <c r="B343" s="19">
        <f>Analysis!E343</f>
        <v>0.16000000000000014</v>
      </c>
      <c r="C343" s="20">
        <f>Analysis!F343</f>
        <v>0.30605387521602989</v>
      </c>
      <c r="D343" s="30">
        <v>1360.58</v>
      </c>
    </row>
    <row r="344" spans="1:4" ht="15" customHeight="1">
      <c r="A344" s="18" t="str">
        <f>Analysis!A344</f>
        <v>9/1986</v>
      </c>
      <c r="B344" s="19">
        <f>Analysis!E344</f>
        <v>2.9999999999997584E-2</v>
      </c>
      <c r="C344" s="20">
        <f>Analysis!F344</f>
        <v>0.30317536756489971</v>
      </c>
      <c r="D344" s="30">
        <v>1360.58</v>
      </c>
    </row>
    <row r="345" spans="1:4" ht="15" customHeight="1">
      <c r="A345" s="18" t="str">
        <f>Analysis!A345</f>
        <v>10/1986</v>
      </c>
      <c r="B345" s="19">
        <f>Analysis!E345</f>
        <v>0.14999999999999858</v>
      </c>
      <c r="C345" s="20">
        <f>Analysis!F345</f>
        <v>0.30041662783687401</v>
      </c>
      <c r="D345" s="30">
        <v>1360.61</v>
      </c>
    </row>
    <row r="346" spans="1:4" ht="15" customHeight="1">
      <c r="A346" s="18" t="str">
        <f>Analysis!A346</f>
        <v>11/1986</v>
      </c>
      <c r="B346" s="19">
        <f>Analysis!E346</f>
        <v>9.9999999999997868E-2</v>
      </c>
      <c r="C346" s="20">
        <f>Analysis!F346</f>
        <v>0.30626223972785099</v>
      </c>
      <c r="D346" s="30">
        <v>1360.71</v>
      </c>
    </row>
    <row r="347" spans="1:4" ht="15" customHeight="1">
      <c r="A347" s="18" t="str">
        <f>Analysis!A347</f>
        <v>12/1986</v>
      </c>
      <c r="B347" s="19">
        <f>Analysis!E347</f>
        <v>0.12999999999999901</v>
      </c>
      <c r="C347" s="20">
        <f>Analysis!F347</f>
        <v>0.31150311546826975</v>
      </c>
      <c r="D347" s="30">
        <v>1360.66</v>
      </c>
    </row>
    <row r="348" spans="1:4" ht="15" customHeight="1">
      <c r="A348" s="18" t="str">
        <f>Analysis!A348</f>
        <v>1/1987</v>
      </c>
      <c r="B348" s="19">
        <f>Analysis!E348</f>
        <v>0.32000000000000028</v>
      </c>
      <c r="C348" s="20">
        <f>Analysis!F348</f>
        <v>0.31668365219967981</v>
      </c>
      <c r="D348" s="30">
        <v>1360.65</v>
      </c>
    </row>
    <row r="349" spans="1:4" ht="15" customHeight="1">
      <c r="A349" s="18" t="str">
        <f>Analysis!A349</f>
        <v>2/1987</v>
      </c>
      <c r="B349" s="19">
        <f>Analysis!E349</f>
        <v>0.42999999999999972</v>
      </c>
      <c r="C349" s="20">
        <f>Analysis!F349</f>
        <v>0.31746946762158468</v>
      </c>
      <c r="D349" s="30">
        <v>1360.64</v>
      </c>
    </row>
    <row r="350" spans="1:4" ht="15" customHeight="1">
      <c r="A350" s="18" t="str">
        <f>Analysis!A350</f>
        <v>3/1987</v>
      </c>
      <c r="B350" s="19">
        <f>Analysis!E350</f>
        <v>0.17999999999999972</v>
      </c>
      <c r="C350" s="20">
        <f>Analysis!F350</f>
        <v>0.32114470492578934</v>
      </c>
      <c r="D350" s="30">
        <v>1360.65</v>
      </c>
    </row>
    <row r="351" spans="1:4" ht="15" customHeight="1">
      <c r="A351" s="18" t="str">
        <f>Analysis!A351</f>
        <v>4/1987</v>
      </c>
      <c r="B351" s="19">
        <f>Analysis!E351</f>
        <v>0.24000000000000199</v>
      </c>
      <c r="C351" s="20">
        <f>Analysis!F351</f>
        <v>0.32768736417604716</v>
      </c>
      <c r="D351" s="30">
        <v>1360.58</v>
      </c>
    </row>
    <row r="352" spans="1:4" ht="15" customHeight="1">
      <c r="A352" s="18" t="str">
        <f>Analysis!A352</f>
        <v>5/1987</v>
      </c>
      <c r="B352" s="19">
        <f>Analysis!E352</f>
        <v>0.25999999999999979</v>
      </c>
      <c r="C352" s="20">
        <f>Analysis!F352</f>
        <v>0.33076325555700942</v>
      </c>
      <c r="D352" s="30">
        <v>1360.72</v>
      </c>
    </row>
    <row r="353" spans="1:4" ht="15" customHeight="1">
      <c r="A353" s="18" t="str">
        <f>Analysis!A353</f>
        <v>6/1987</v>
      </c>
      <c r="B353" s="19">
        <f>Analysis!E353</f>
        <v>0.34999999999999787</v>
      </c>
      <c r="C353" s="20">
        <f>Analysis!F353</f>
        <v>0.32842617641262656</v>
      </c>
      <c r="D353" s="30">
        <v>1360.86</v>
      </c>
    </row>
    <row r="354" spans="1:4" ht="15" customHeight="1">
      <c r="A354" s="18" t="str">
        <f>Analysis!A354</f>
        <v>7/1987</v>
      </c>
      <c r="B354" s="19">
        <f>Analysis!E354</f>
        <v>0.40000000000000213</v>
      </c>
      <c r="C354" s="20">
        <f>Analysis!F354</f>
        <v>0.32279345233061574</v>
      </c>
      <c r="D354" s="30">
        <v>1360.86</v>
      </c>
    </row>
    <row r="355" spans="1:4" ht="15" customHeight="1">
      <c r="A355" s="18" t="str">
        <f>Analysis!A355</f>
        <v>8/1987</v>
      </c>
      <c r="B355" s="19">
        <f>Analysis!E355</f>
        <v>0.25000000000000355</v>
      </c>
      <c r="C355" s="20">
        <f>Analysis!F355</f>
        <v>0.31448937581877229</v>
      </c>
      <c r="D355" s="30">
        <v>1360.76</v>
      </c>
    </row>
    <row r="356" spans="1:4" ht="15" customHeight="1">
      <c r="A356" s="18" t="str">
        <f>Analysis!A356</f>
        <v>9/1987</v>
      </c>
      <c r="B356" s="19">
        <f>Analysis!E356</f>
        <v>0.34999999999999787</v>
      </c>
      <c r="C356" s="20">
        <f>Analysis!F356</f>
        <v>0.30809455096015637</v>
      </c>
      <c r="D356" s="30">
        <v>1360.85</v>
      </c>
    </row>
    <row r="357" spans="1:4" ht="15" customHeight="1">
      <c r="A357" s="18" t="str">
        <f>Analysis!A357</f>
        <v>10/1987</v>
      </c>
      <c r="B357" s="19">
        <f>Analysis!E357</f>
        <v>0.32999999999999652</v>
      </c>
      <c r="C357" s="20">
        <f>Analysis!F357</f>
        <v>0.30834423137398254</v>
      </c>
      <c r="D357" s="30">
        <v>1360.82</v>
      </c>
    </row>
    <row r="358" spans="1:4" ht="15" customHeight="1">
      <c r="A358" s="18" t="str">
        <f>Analysis!A358</f>
        <v>11/1987</v>
      </c>
      <c r="B358" s="19">
        <f>Analysis!E358</f>
        <v>0.28999999999999559</v>
      </c>
      <c r="C358" s="20">
        <f>Analysis!F358</f>
        <v>0.31399209482083829</v>
      </c>
      <c r="D358" s="30">
        <v>1360.99</v>
      </c>
    </row>
    <row r="359" spans="1:4" ht="15" customHeight="1">
      <c r="A359" s="18" t="str">
        <f>Analysis!A359</f>
        <v>12/1987</v>
      </c>
      <c r="B359" s="19">
        <f>Analysis!E359</f>
        <v>0.46000000000000441</v>
      </c>
      <c r="C359" s="20">
        <f>Analysis!F359</f>
        <v>0.3189572082710998</v>
      </c>
      <c r="D359" s="30">
        <v>1361.01</v>
      </c>
    </row>
    <row r="360" spans="1:4" ht="15" customHeight="1">
      <c r="A360" s="18" t="str">
        <f>Analysis!A360</f>
        <v>1/1988</v>
      </c>
      <c r="B360" s="19">
        <f>Analysis!E360</f>
        <v>0.57000000000000028</v>
      </c>
      <c r="C360" s="20">
        <f>Analysis!F360</f>
        <v>0.32402877753529308</v>
      </c>
      <c r="D360" s="30">
        <v>1361.07</v>
      </c>
    </row>
    <row r="361" spans="1:4" ht="15" customHeight="1">
      <c r="A361" s="18" t="str">
        <f>Analysis!A361</f>
        <v>2/1988</v>
      </c>
      <c r="B361" s="19">
        <f>Analysis!E361</f>
        <v>0.44000000000000483</v>
      </c>
      <c r="C361" s="20">
        <f>Analysis!F361</f>
        <v>0.32891850779297804</v>
      </c>
      <c r="D361" s="30">
        <v>1361.14</v>
      </c>
    </row>
    <row r="362" spans="1:4" ht="15" customHeight="1">
      <c r="A362" s="18" t="str">
        <f>Analysis!A362</f>
        <v>3/1988</v>
      </c>
      <c r="B362" s="19">
        <f>Analysis!E362</f>
        <v>0.5199999999999978</v>
      </c>
      <c r="C362" s="20">
        <f>Analysis!F362</f>
        <v>0.3321964303411894</v>
      </c>
      <c r="D362" s="30">
        <v>1360.92</v>
      </c>
    </row>
    <row r="363" spans="1:4" ht="15" customHeight="1">
      <c r="A363" s="18" t="str">
        <f>Analysis!A363</f>
        <v>4/1988</v>
      </c>
      <c r="B363" s="19">
        <f>Analysis!E363</f>
        <v>0.42999999999999972</v>
      </c>
      <c r="C363" s="20">
        <f>Analysis!F363</f>
        <v>0.33697702068730562</v>
      </c>
      <c r="D363" s="30">
        <v>1361.04</v>
      </c>
    </row>
    <row r="364" spans="1:4" ht="15" customHeight="1">
      <c r="A364" s="18" t="str">
        <f>Analysis!A364</f>
        <v>5/1988</v>
      </c>
      <c r="B364" s="19">
        <f>Analysis!E364</f>
        <v>0.44000000000000483</v>
      </c>
      <c r="C364" s="20">
        <f>Analysis!F364</f>
        <v>0.33974822186649467</v>
      </c>
      <c r="D364" s="30">
        <v>1361.36</v>
      </c>
    </row>
    <row r="365" spans="1:4" ht="15" customHeight="1">
      <c r="A365" s="18" t="str">
        <f>Analysis!A365</f>
        <v>6/1988</v>
      </c>
      <c r="B365" s="19">
        <f>Analysis!E365</f>
        <v>0.40000000000000213</v>
      </c>
      <c r="C365" s="20">
        <f>Analysis!F365</f>
        <v>0.33783340106320175</v>
      </c>
      <c r="D365" s="30">
        <v>1360.97</v>
      </c>
    </row>
    <row r="366" spans="1:4" ht="15" customHeight="1">
      <c r="A366" s="18" t="str">
        <f>Analysis!A366</f>
        <v>7/1988</v>
      </c>
      <c r="B366" s="19">
        <f>Analysis!E366</f>
        <v>0.32999999999999652</v>
      </c>
      <c r="C366" s="20">
        <f>Analysis!F366</f>
        <v>0.3334237337251918</v>
      </c>
      <c r="D366" s="30">
        <v>1360.73</v>
      </c>
    </row>
    <row r="367" spans="1:4" ht="15" customHeight="1">
      <c r="A367" s="18" t="str">
        <f>Analysis!A367</f>
        <v>8/1988</v>
      </c>
      <c r="B367" s="19">
        <f>Analysis!E367</f>
        <v>0.38999999999999879</v>
      </c>
      <c r="C367" s="20">
        <f>Analysis!F367</f>
        <v>0.32394645542166806</v>
      </c>
      <c r="D367" s="30">
        <v>1361.11</v>
      </c>
    </row>
    <row r="368" spans="1:4" ht="15" customHeight="1">
      <c r="A368" s="18" t="str">
        <f>Analysis!A368</f>
        <v>9/1988</v>
      </c>
      <c r="B368" s="19">
        <f>Analysis!E368</f>
        <v>0.36999999999999744</v>
      </c>
      <c r="C368" s="20">
        <f>Analysis!F368</f>
        <v>0.31767619003390707</v>
      </c>
      <c r="D368" s="30">
        <v>1361.5</v>
      </c>
    </row>
    <row r="369" spans="1:4" ht="15" customHeight="1">
      <c r="A369" s="18" t="str">
        <f>Analysis!A369</f>
        <v>10/1988</v>
      </c>
      <c r="B369" s="19">
        <f>Analysis!E369</f>
        <v>0.38000000000000256</v>
      </c>
      <c r="C369" s="20">
        <f>Analysis!F369</f>
        <v>0.3193289038394051</v>
      </c>
      <c r="D369" s="30">
        <v>1361.18</v>
      </c>
    </row>
    <row r="370" spans="1:4" ht="15" customHeight="1">
      <c r="A370" s="18" t="str">
        <f>Analysis!A370</f>
        <v>11/1988</v>
      </c>
      <c r="B370" s="19">
        <f>Analysis!E370</f>
        <v>0.11999999999999744</v>
      </c>
      <c r="C370" s="20">
        <f>Analysis!F370</f>
        <v>0.32365829102624488</v>
      </c>
      <c r="D370" s="30">
        <v>1361.27</v>
      </c>
    </row>
    <row r="371" spans="1:4" ht="15" customHeight="1">
      <c r="A371" s="18" t="str">
        <f>Analysis!A371</f>
        <v>12/1988</v>
      </c>
      <c r="B371" s="19">
        <f>Analysis!E371</f>
        <v>0.28999999999999559</v>
      </c>
      <c r="C371" s="20">
        <f>Analysis!F371</f>
        <v>0.32859030554145996</v>
      </c>
      <c r="D371" s="30">
        <v>1361.18</v>
      </c>
    </row>
    <row r="372" spans="1:4" ht="15" customHeight="1">
      <c r="A372" s="18" t="str">
        <f>Analysis!A372</f>
        <v>1/1989</v>
      </c>
      <c r="B372" s="19">
        <f>Analysis!E372</f>
        <v>0.11999999999999744</v>
      </c>
      <c r="C372" s="20">
        <f>Analysis!F372</f>
        <v>0.33452741479971682</v>
      </c>
      <c r="D372" s="30">
        <v>1361.42</v>
      </c>
    </row>
    <row r="373" spans="1:4" ht="15" customHeight="1">
      <c r="A373" s="18" t="str">
        <f>Analysis!A373</f>
        <v>2/1989</v>
      </c>
      <c r="B373" s="19">
        <f>Analysis!E373</f>
        <v>0.30000000000000249</v>
      </c>
      <c r="C373" s="20">
        <f>Analysis!F373</f>
        <v>0.33599767738901826</v>
      </c>
      <c r="D373" s="30">
        <v>1361.62</v>
      </c>
    </row>
    <row r="374" spans="1:4" ht="15" customHeight="1">
      <c r="A374" s="18" t="str">
        <f>Analysis!A374</f>
        <v>3/1989</v>
      </c>
      <c r="B374" s="19">
        <f>Analysis!E374</f>
        <v>0.36000000000000121</v>
      </c>
      <c r="C374" s="20">
        <f>Analysis!F374</f>
        <v>0.33864852908132032</v>
      </c>
      <c r="D374" s="30">
        <v>1361.37</v>
      </c>
    </row>
    <row r="375" spans="1:4" ht="15" customHeight="1">
      <c r="A375" s="18" t="str">
        <f>Analysis!A375</f>
        <v>4/1989</v>
      </c>
      <c r="B375" s="19">
        <f>Analysis!E375</f>
        <v>0.28999999999999559</v>
      </c>
      <c r="C375" s="20">
        <f>Analysis!F375</f>
        <v>0.3453152635906736</v>
      </c>
      <c r="D375" s="30">
        <v>1361.61</v>
      </c>
    </row>
    <row r="376" spans="1:4" ht="15" customHeight="1">
      <c r="A376" s="18" t="str">
        <f>Analysis!A376</f>
        <v>5/1989</v>
      </c>
      <c r="B376" s="19">
        <f>Analysis!E376</f>
        <v>0.17999999999999972</v>
      </c>
      <c r="C376" s="20">
        <f>Analysis!F376</f>
        <v>0.34624777408277535</v>
      </c>
      <c r="D376" s="30">
        <v>1361.83</v>
      </c>
    </row>
    <row r="377" spans="1:4" ht="15" customHeight="1">
      <c r="A377" s="18" t="str">
        <f>Analysis!A377</f>
        <v>6/1989</v>
      </c>
      <c r="B377" s="19">
        <f>Analysis!E377</f>
        <v>0.14999999999999858</v>
      </c>
      <c r="C377" s="20">
        <f>Analysis!F377</f>
        <v>0.3441792192903127</v>
      </c>
      <c r="D377" s="30">
        <v>1361.23</v>
      </c>
    </row>
    <row r="378" spans="1:4" ht="15" customHeight="1">
      <c r="A378" s="18" t="str">
        <f>Analysis!A378</f>
        <v>7/1989</v>
      </c>
      <c r="B378" s="19">
        <f>Analysis!E378</f>
        <v>0.34999999999999787</v>
      </c>
      <c r="C378" s="20">
        <f>Analysis!F378</f>
        <v>0.33852628923481626</v>
      </c>
      <c r="D378" s="30">
        <v>1362.18</v>
      </c>
    </row>
    <row r="379" spans="1:4" ht="15" customHeight="1">
      <c r="A379" s="18" t="str">
        <f>Analysis!A379</f>
        <v>8/1989</v>
      </c>
      <c r="B379" s="19">
        <f>Analysis!E379</f>
        <v>0.32999999999999652</v>
      </c>
      <c r="C379" s="20">
        <f>Analysis!F379</f>
        <v>0.32949268213527677</v>
      </c>
      <c r="D379" s="30">
        <v>1361.48</v>
      </c>
    </row>
    <row r="380" spans="1:4" ht="15" customHeight="1">
      <c r="A380" s="18" t="str">
        <f>Analysis!A380</f>
        <v>9/1989</v>
      </c>
      <c r="B380" s="19">
        <f>Analysis!E380</f>
        <v>0.34999999999999787</v>
      </c>
      <c r="C380" s="20">
        <f>Analysis!F380</f>
        <v>0.32229902592307286</v>
      </c>
      <c r="D380" s="30">
        <v>1361.19</v>
      </c>
    </row>
    <row r="381" spans="1:4" ht="15" customHeight="1">
      <c r="A381" s="18" t="str">
        <f>Analysis!A381</f>
        <v>10/1989</v>
      </c>
      <c r="B381" s="19">
        <f>Analysis!E381</f>
        <v>0.28999999999999559</v>
      </c>
      <c r="C381" s="20">
        <f>Analysis!F381</f>
        <v>0.32328770935119977</v>
      </c>
      <c r="D381" s="30">
        <v>1362.03</v>
      </c>
    </row>
    <row r="382" spans="1:4" ht="15" customHeight="1">
      <c r="A382" s="18" t="str">
        <f>Analysis!A382</f>
        <v>11/1989</v>
      </c>
      <c r="B382" s="19">
        <f>Analysis!E382</f>
        <v>0.20000000000000107</v>
      </c>
      <c r="C382" s="20">
        <f>Analysis!F382</f>
        <v>0.32830306731117204</v>
      </c>
      <c r="D382" s="30">
        <v>1361.84</v>
      </c>
    </row>
    <row r="383" spans="1:4" ht="15" customHeight="1">
      <c r="A383" s="18" t="str">
        <f>Analysis!A383</f>
        <v>12/1989</v>
      </c>
      <c r="B383" s="19">
        <f>Analysis!E383</f>
        <v>0.36999999999999744</v>
      </c>
      <c r="C383" s="20">
        <f>Analysis!F383</f>
        <v>0.33387348349714652</v>
      </c>
      <c r="D383" s="30">
        <v>1361.88</v>
      </c>
    </row>
    <row r="384" spans="1:4" ht="15" customHeight="1">
      <c r="A384" s="18" t="str">
        <f>Analysis!A384</f>
        <v>1/1990</v>
      </c>
      <c r="B384" s="19">
        <f>Analysis!E384</f>
        <v>0.42000000000000348</v>
      </c>
      <c r="C384" s="20">
        <f>Analysis!F384</f>
        <v>0.33775186292539572</v>
      </c>
      <c r="D384" s="30">
        <v>1361.9</v>
      </c>
    </row>
    <row r="385" spans="1:4" ht="15" customHeight="1">
      <c r="A385" s="18" t="str">
        <f>Analysis!A385</f>
        <v>2/1990</v>
      </c>
      <c r="B385" s="19">
        <f>Analysis!E385</f>
        <v>0.44000000000000483</v>
      </c>
      <c r="C385" s="20">
        <f>Analysis!F385</f>
        <v>0.34279853318864284</v>
      </c>
      <c r="D385" s="30">
        <v>1361.67</v>
      </c>
    </row>
    <row r="386" spans="1:4" ht="15" customHeight="1">
      <c r="A386" s="18" t="str">
        <f>Analysis!A386</f>
        <v>3/1990</v>
      </c>
      <c r="B386" s="19">
        <f>Analysis!E386</f>
        <v>0.79999999999999893</v>
      </c>
      <c r="C386" s="20">
        <f>Analysis!F386</f>
        <v>0.34543692958151601</v>
      </c>
      <c r="D386" s="30">
        <v>1361.67</v>
      </c>
    </row>
    <row r="387" spans="1:4" ht="15" customHeight="1">
      <c r="A387" s="18" t="str">
        <f>Analysis!A387</f>
        <v>4/1990</v>
      </c>
      <c r="B387" s="19">
        <f>Analysis!E387</f>
        <v>0.55999999999999872</v>
      </c>
      <c r="C387" s="20">
        <f>Analysis!F387</f>
        <v>0.34798954810025179</v>
      </c>
      <c r="D387" s="30">
        <v>1361.95</v>
      </c>
    </row>
    <row r="388" spans="1:4" ht="15" customHeight="1">
      <c r="A388" s="18" t="str">
        <f>Analysis!A388</f>
        <v>5/1990</v>
      </c>
      <c r="B388" s="19">
        <f>Analysis!E388</f>
        <v>0.46000000000000441</v>
      </c>
      <c r="C388" s="20">
        <f>Analysis!F388</f>
        <v>0.35203207215550791</v>
      </c>
      <c r="D388" s="30">
        <v>1361.55</v>
      </c>
    </row>
    <row r="389" spans="1:4" ht="15" customHeight="1">
      <c r="A389" s="18" t="str">
        <f>Analysis!A389</f>
        <v>6/1990</v>
      </c>
      <c r="B389" s="19">
        <f>Analysis!E389</f>
        <v>0.36999999999999744</v>
      </c>
      <c r="C389" s="20">
        <f>Analysis!F389</f>
        <v>0.34803002946285083</v>
      </c>
      <c r="D389" s="30">
        <v>1361.85</v>
      </c>
    </row>
    <row r="390" spans="1:4" ht="15" customHeight="1">
      <c r="A390" s="18" t="str">
        <f>Analysis!A390</f>
        <v>7/1990</v>
      </c>
      <c r="B390" s="19">
        <f>Analysis!E390</f>
        <v>0.46000000000000441</v>
      </c>
      <c r="C390" s="20">
        <f>Analysis!F390</f>
        <v>0.34194509590805666</v>
      </c>
      <c r="D390" s="30">
        <v>1361.44</v>
      </c>
    </row>
    <row r="391" spans="1:4" ht="15" customHeight="1">
      <c r="A391" s="18" t="str">
        <f>Analysis!A391</f>
        <v>8/1990</v>
      </c>
      <c r="B391" s="19">
        <f>Analysis!E391</f>
        <v>0.33999999999999986</v>
      </c>
      <c r="C391" s="20">
        <f>Analysis!F391</f>
        <v>0.3344865527759821</v>
      </c>
      <c r="D391" s="30">
        <v>1361.04</v>
      </c>
    </row>
    <row r="392" spans="1:4" ht="15" customHeight="1">
      <c r="A392" s="18" t="str">
        <f>Analysis!A392</f>
        <v>9/1990</v>
      </c>
      <c r="B392" s="19">
        <f>Analysis!E392</f>
        <v>0.2300000000000022</v>
      </c>
      <c r="C392" s="20">
        <f>Analysis!F392</f>
        <v>0.32760525056773293</v>
      </c>
      <c r="D392" s="30">
        <v>1361.86</v>
      </c>
    </row>
    <row r="393" spans="1:4" ht="15" customHeight="1">
      <c r="A393" s="18" t="str">
        <f>Analysis!A393</f>
        <v>10/1990</v>
      </c>
      <c r="B393" s="19">
        <f>Analysis!E393</f>
        <v>0.44999999999999751</v>
      </c>
      <c r="C393" s="20">
        <f>Analysis!F393</f>
        <v>0.32887748659446853</v>
      </c>
      <c r="D393" s="30">
        <v>1361.63</v>
      </c>
    </row>
    <row r="394" spans="1:4" ht="15" customHeight="1">
      <c r="A394" s="18" t="str">
        <f>Analysis!A394</f>
        <v>11/1990</v>
      </c>
      <c r="B394" s="19">
        <f>Analysis!E394</f>
        <v>0.46000000000000441</v>
      </c>
      <c r="C394" s="20">
        <f>Analysis!F394</f>
        <v>0.33481341656461083</v>
      </c>
      <c r="D394" s="30">
        <v>1360.75</v>
      </c>
    </row>
    <row r="395" spans="1:4" ht="15" customHeight="1">
      <c r="A395" s="18" t="str">
        <f>Analysis!A395</f>
        <v>12/1990</v>
      </c>
      <c r="B395" s="19">
        <f>Analysis!E395</f>
        <v>0.40000000000000213</v>
      </c>
      <c r="C395" s="20">
        <f>Analysis!F395</f>
        <v>0.33999248424772416</v>
      </c>
      <c r="D395" s="30">
        <v>1361.33</v>
      </c>
    </row>
    <row r="396" spans="1:4" ht="15" customHeight="1">
      <c r="A396" s="18" t="str">
        <f>Analysis!A396</f>
        <v>1/1991</v>
      </c>
      <c r="B396" s="19">
        <f>Analysis!E396</f>
        <v>0.42999999999999972</v>
      </c>
      <c r="C396" s="20">
        <f>Analysis!F396</f>
        <v>0.3421076943180667</v>
      </c>
      <c r="D396" s="30">
        <v>1360.94</v>
      </c>
    </row>
    <row r="397" spans="1:4" ht="15" customHeight="1">
      <c r="A397" s="18" t="str">
        <f>Analysis!A397</f>
        <v>2/1991</v>
      </c>
      <c r="B397" s="19">
        <f>Analysis!E397</f>
        <v>0.5</v>
      </c>
      <c r="C397" s="20">
        <f>Analysis!F397</f>
        <v>0.34572077699832093</v>
      </c>
      <c r="D397" s="30">
        <v>1361.29</v>
      </c>
    </row>
    <row r="398" spans="1:4" ht="15" customHeight="1">
      <c r="A398" s="18" t="str">
        <f>Analysis!A398</f>
        <v>3/1991</v>
      </c>
      <c r="B398" s="19">
        <f>Analysis!E398</f>
        <v>0.36000000000000121</v>
      </c>
      <c r="C398" s="20">
        <f>Analysis!F398</f>
        <v>0.35183021475275128</v>
      </c>
      <c r="D398" s="30">
        <v>1362.25</v>
      </c>
    </row>
    <row r="399" spans="1:4" ht="15" customHeight="1">
      <c r="A399" s="18" t="str">
        <f>Analysis!A399</f>
        <v>4/1991</v>
      </c>
      <c r="B399" s="19">
        <f>Analysis!E399</f>
        <v>0.50999999999999801</v>
      </c>
      <c r="C399" s="20">
        <f>Analysis!F399</f>
        <v>0.35763243136807038</v>
      </c>
      <c r="D399" s="30">
        <v>1362.18</v>
      </c>
    </row>
    <row r="400" spans="1:4" ht="15" customHeight="1">
      <c r="A400" s="18" t="str">
        <f>Analysis!A400</f>
        <v>5/1991</v>
      </c>
      <c r="B400" s="19">
        <f>Analysis!E400</f>
        <v>0.33999999999999986</v>
      </c>
      <c r="C400" s="20">
        <f>Analysis!F400</f>
        <v>0.3594810102249153</v>
      </c>
      <c r="D400" s="30">
        <v>1361.41</v>
      </c>
    </row>
    <row r="401" spans="1:4" ht="15" customHeight="1">
      <c r="A401" s="18" t="str">
        <f>Analysis!A401</f>
        <v>6/1991</v>
      </c>
      <c r="B401" s="19">
        <f>Analysis!E401</f>
        <v>0.52999999999999758</v>
      </c>
      <c r="C401" s="20">
        <f>Analysis!F401</f>
        <v>0.35545933382447809</v>
      </c>
      <c r="D401" s="30">
        <v>1361.4</v>
      </c>
    </row>
    <row r="402" spans="1:4" ht="15" customHeight="1">
      <c r="A402" s="18" t="str">
        <f>Analysis!A402</f>
        <v>7/1991</v>
      </c>
      <c r="B402" s="19">
        <f>Analysis!E402</f>
        <v>0.47999999999999865</v>
      </c>
      <c r="C402" s="20">
        <f>Analysis!F402</f>
        <v>0.34766565630097057</v>
      </c>
      <c r="D402" s="30">
        <v>1361.66</v>
      </c>
    </row>
    <row r="403" spans="1:4" ht="15" customHeight="1">
      <c r="A403" s="18" t="str">
        <f>Analysis!A403</f>
        <v>8/1991</v>
      </c>
      <c r="B403" s="19">
        <f>Analysis!E403</f>
        <v>0.38999999999999879</v>
      </c>
      <c r="C403" s="20">
        <f>Analysis!F403</f>
        <v>0.33820026566553218</v>
      </c>
      <c r="D403" s="30">
        <v>1361.59</v>
      </c>
    </row>
    <row r="404" spans="1:4" ht="15" customHeight="1">
      <c r="A404" s="18" t="str">
        <f>Analysis!A404</f>
        <v>9/1991</v>
      </c>
      <c r="B404" s="19">
        <f>Analysis!E404</f>
        <v>0.44000000000000483</v>
      </c>
      <c r="C404" s="20">
        <f>Analysis!F404</f>
        <v>0.33154144137771635</v>
      </c>
      <c r="D404" s="30">
        <v>1361.97</v>
      </c>
    </row>
    <row r="405" spans="1:4" ht="15" customHeight="1">
      <c r="A405" s="18" t="str">
        <f>Analysis!A405</f>
        <v>10/1991</v>
      </c>
      <c r="B405" s="19">
        <f>Analysis!E405</f>
        <v>0.28999999999999559</v>
      </c>
      <c r="C405" s="20">
        <f>Analysis!F405</f>
        <v>0.3319099092591129</v>
      </c>
      <c r="D405" s="30">
        <v>1361.06</v>
      </c>
    </row>
    <row r="406" spans="1:4" ht="15" customHeight="1">
      <c r="A406" s="18" t="str">
        <f>Analysis!A406</f>
        <v>11/1991</v>
      </c>
      <c r="B406" s="19">
        <f>Analysis!E406</f>
        <v>0.30000000000000249</v>
      </c>
      <c r="C406" s="20">
        <f>Analysis!F406</f>
        <v>0.3378741684040325</v>
      </c>
      <c r="D406" s="30">
        <v>1361.67</v>
      </c>
    </row>
    <row r="407" spans="1:4" ht="15" customHeight="1">
      <c r="A407" s="18" t="str">
        <f>Analysis!A407</f>
        <v>12/1991</v>
      </c>
      <c r="B407" s="19">
        <f>Analysis!E407</f>
        <v>0.32000000000000028</v>
      </c>
      <c r="C407" s="20">
        <f>Analysis!F407</f>
        <v>0.34324537036048725</v>
      </c>
      <c r="D407" s="30">
        <v>1360.83</v>
      </c>
    </row>
    <row r="408" spans="1:4" ht="15" customHeight="1">
      <c r="A408" s="18" t="str">
        <f>Analysis!A408</f>
        <v>1/1992</v>
      </c>
      <c r="B408" s="19">
        <f>Analysis!E408</f>
        <v>0.47999999999999865</v>
      </c>
      <c r="C408" s="20">
        <f>Analysis!F408</f>
        <v>0.34782761129001444</v>
      </c>
      <c r="D408" s="30">
        <v>1361.54</v>
      </c>
    </row>
    <row r="409" spans="1:4" ht="15" customHeight="1">
      <c r="A409" s="18" t="str">
        <f>Analysis!A409</f>
        <v>2/1992</v>
      </c>
      <c r="B409" s="19">
        <f>Analysis!E409</f>
        <v>0.40000000000000213</v>
      </c>
      <c r="C409" s="20">
        <f>Analysis!F409</f>
        <v>0.35134564172245408</v>
      </c>
      <c r="D409" s="30">
        <v>1361.48</v>
      </c>
    </row>
    <row r="410" spans="1:4" ht="15" customHeight="1">
      <c r="A410" s="18" t="str">
        <f>Analysis!A410</f>
        <v>3/1992</v>
      </c>
      <c r="B410" s="19">
        <f>Analysis!E410</f>
        <v>0.47999999999999865</v>
      </c>
      <c r="C410" s="20">
        <f>Analysis!F410</f>
        <v>0.35441185902104577</v>
      </c>
      <c r="D410" s="30">
        <v>1361.9</v>
      </c>
    </row>
    <row r="411" spans="1:4" ht="15" customHeight="1">
      <c r="A411" s="18" t="str">
        <f>Analysis!A411</f>
        <v>4/1992</v>
      </c>
      <c r="B411" s="19">
        <f>Analysis!E411</f>
        <v>0.28000000000000114</v>
      </c>
      <c r="C411" s="20">
        <f>Analysis!F411</f>
        <v>0.35944084890426714</v>
      </c>
      <c r="D411" s="30">
        <v>1361.66</v>
      </c>
    </row>
    <row r="412" spans="1:4" ht="15" customHeight="1">
      <c r="A412" s="18" t="str">
        <f>Analysis!A412</f>
        <v>5/1992</v>
      </c>
      <c r="B412" s="19">
        <f>Analysis!E412</f>
        <v>0.31000000000000227</v>
      </c>
      <c r="C412" s="20">
        <f>Analysis!F412</f>
        <v>0.36140744003135555</v>
      </c>
      <c r="D412" s="30">
        <v>1361.49</v>
      </c>
    </row>
    <row r="413" spans="1:4" ht="15" customHeight="1">
      <c r="A413" s="18" t="str">
        <f>Analysis!A413</f>
        <v>6/1992</v>
      </c>
      <c r="B413" s="19">
        <f>Analysis!E413</f>
        <v>0.25999999999999979</v>
      </c>
      <c r="C413" s="20">
        <f>Analysis!F413</f>
        <v>0.36032413980374728</v>
      </c>
      <c r="D413" s="30">
        <v>1361.33</v>
      </c>
    </row>
    <row r="414" spans="1:4" ht="15" customHeight="1">
      <c r="A414" s="18" t="str">
        <f>Analysis!A414</f>
        <v>7/1992</v>
      </c>
      <c r="B414" s="19">
        <f>Analysis!E414</f>
        <v>8.9999999999999858E-2</v>
      </c>
      <c r="C414" s="20">
        <f>Analysis!F414</f>
        <v>0.35110329415916136</v>
      </c>
      <c r="D414" s="30">
        <v>1361.02</v>
      </c>
    </row>
    <row r="415" spans="1:4" ht="15" customHeight="1">
      <c r="A415" s="18" t="str">
        <f>Analysis!A415</f>
        <v>8/1992</v>
      </c>
      <c r="B415" s="19">
        <f>Analysis!E415</f>
        <v>8.0000000000000071E-2</v>
      </c>
      <c r="C415" s="20">
        <f>Analysis!F415</f>
        <v>0.34235155757775643</v>
      </c>
      <c r="D415" s="30">
        <v>1360.98</v>
      </c>
    </row>
    <row r="416" spans="1:4" ht="15" customHeight="1">
      <c r="A416" s="18" t="str">
        <f>Analysis!A416</f>
        <v>9/1992</v>
      </c>
      <c r="B416" s="19">
        <f>Analysis!E416</f>
        <v>-9.9999999999980105E-3</v>
      </c>
      <c r="C416" s="20">
        <f>Analysis!F416</f>
        <v>0.3342822252952366</v>
      </c>
      <c r="D416" s="30">
        <v>1361.15</v>
      </c>
    </row>
    <row r="417" spans="1:4" ht="15" customHeight="1">
      <c r="A417" s="18" t="str">
        <f>Analysis!A417</f>
        <v>10/1992</v>
      </c>
      <c r="B417" s="19">
        <f>Analysis!E417</f>
        <v>7.0000000000000284E-2</v>
      </c>
      <c r="C417" s="20">
        <f>Analysis!F417</f>
        <v>0.33587521271928794</v>
      </c>
      <c r="D417" s="30">
        <v>1360.84</v>
      </c>
    </row>
    <row r="418" spans="1:4" ht="15" customHeight="1">
      <c r="A418" s="18" t="str">
        <f>Analysis!A418</f>
        <v>11/1992</v>
      </c>
      <c r="B418" s="19">
        <f>Analysis!E418</f>
        <v>2.9999999999997584E-2</v>
      </c>
      <c r="C418" s="20">
        <f>Analysis!F418</f>
        <v>0.34003319062417492</v>
      </c>
      <c r="D418" s="30">
        <v>1361.03</v>
      </c>
    </row>
    <row r="419" spans="1:4" ht="15" customHeight="1">
      <c r="A419" s="18" t="str">
        <f>Analysis!A419</f>
        <v>12/1992</v>
      </c>
      <c r="B419" s="19">
        <f>Analysis!E419</f>
        <v>0.22000000000000242</v>
      </c>
      <c r="C419" s="20">
        <f>Analysis!F419</f>
        <v>0.34515302630729883</v>
      </c>
      <c r="D419" s="30">
        <v>1361.29</v>
      </c>
    </row>
    <row r="420" spans="1:4" ht="15" customHeight="1">
      <c r="A420" s="18" t="str">
        <f>Analysis!A420</f>
        <v>1/1993</v>
      </c>
      <c r="B420" s="19">
        <f>Analysis!E420</f>
        <v>0.34999999999999787</v>
      </c>
      <c r="C420" s="20">
        <f>Analysis!F420</f>
        <v>0.35090130675373682</v>
      </c>
      <c r="D420" s="30">
        <v>1361.26</v>
      </c>
    </row>
    <row r="421" spans="1:4" ht="15" customHeight="1">
      <c r="A421" s="18" t="str">
        <f>Analysis!A421</f>
        <v>2/1993</v>
      </c>
      <c r="B421" s="19">
        <f>Analysis!E421</f>
        <v>0.36999999999999744</v>
      </c>
      <c r="C421" s="20">
        <f>Analysis!F421</f>
        <v>0.35219353774503176</v>
      </c>
      <c r="D421" s="30">
        <v>1360.72</v>
      </c>
    </row>
    <row r="422" spans="1:4" ht="15" customHeight="1">
      <c r="A422" s="18" t="str">
        <f>Analysis!A422</f>
        <v>3/1993</v>
      </c>
      <c r="B422" s="19">
        <f>Analysis!E422</f>
        <v>0.36000000000000121</v>
      </c>
      <c r="C422" s="20">
        <f>Analysis!F422</f>
        <v>0.3569084291577157</v>
      </c>
      <c r="D422" s="30">
        <v>1361.14</v>
      </c>
    </row>
    <row r="423" spans="1:4" ht="15" customHeight="1">
      <c r="A423" s="18" t="str">
        <f>Analysis!A423</f>
        <v>4/1993</v>
      </c>
      <c r="B423" s="19">
        <f>Analysis!E423</f>
        <v>0.28000000000000114</v>
      </c>
      <c r="C423" s="20">
        <f>Analysis!F423</f>
        <v>0.36012343935395846</v>
      </c>
      <c r="D423" s="30">
        <v>1361.11</v>
      </c>
    </row>
    <row r="424" spans="1:4" ht="15" customHeight="1">
      <c r="A424" s="18" t="str">
        <f>Analysis!A424</f>
        <v>5/1993</v>
      </c>
      <c r="B424" s="19">
        <f>Analysis!E424</f>
        <v>0.28000000000000114</v>
      </c>
      <c r="C424" s="20">
        <f>Analysis!F424</f>
        <v>0.36377182459446167</v>
      </c>
      <c r="D424" s="30">
        <v>1361.08</v>
      </c>
    </row>
    <row r="425" spans="1:4" ht="15" customHeight="1">
      <c r="A425" s="18" t="str">
        <f>Analysis!A425</f>
        <v>6/1993</v>
      </c>
      <c r="B425" s="19">
        <f>Analysis!E425</f>
        <v>0.2300000000000022</v>
      </c>
      <c r="C425" s="20">
        <f>Analysis!F425</f>
        <v>0.36112666251503961</v>
      </c>
      <c r="D425" s="30">
        <v>1361.1</v>
      </c>
    </row>
    <row r="426" spans="1:4" ht="15" customHeight="1">
      <c r="A426" s="18" t="str">
        <f>Analysis!A426</f>
        <v>7/1993</v>
      </c>
      <c r="B426" s="19">
        <f>Analysis!E426</f>
        <v>0.25000000000000355</v>
      </c>
      <c r="C426" s="20">
        <f>Analysis!F426</f>
        <v>0.35231462507909828</v>
      </c>
      <c r="D426" s="30">
        <v>1361</v>
      </c>
    </row>
    <row r="427" spans="1:4" ht="15" customHeight="1">
      <c r="A427" s="18" t="str">
        <f>Analysis!A427</f>
        <v>8/1993</v>
      </c>
      <c r="B427" s="19">
        <f>Analysis!E427</f>
        <v>0.10999999999999766</v>
      </c>
      <c r="C427" s="20">
        <f>Analysis!F427</f>
        <v>0.34547748263181688</v>
      </c>
      <c r="D427" s="30">
        <v>1361</v>
      </c>
    </row>
    <row r="428" spans="1:4" ht="15" customHeight="1">
      <c r="A428" s="18" t="str">
        <f>Analysis!A428</f>
        <v>9/1993</v>
      </c>
      <c r="B428" s="19">
        <f>Analysis!E428</f>
        <v>0.10999999999999766</v>
      </c>
      <c r="C428" s="20">
        <f>Analysis!F428</f>
        <v>0.33889297770649457</v>
      </c>
      <c r="D428" s="30">
        <v>1360.84</v>
      </c>
    </row>
    <row r="429" spans="1:4" ht="15" customHeight="1">
      <c r="A429" s="18" t="str">
        <f>Analysis!A429</f>
        <v>10/1993</v>
      </c>
      <c r="B429" s="19">
        <f>Analysis!E429</f>
        <v>0.24000000000000199</v>
      </c>
      <c r="C429" s="20">
        <f>Analysis!F429</f>
        <v>0.33925957300098403</v>
      </c>
      <c r="D429" s="30">
        <v>1360.6</v>
      </c>
    </row>
    <row r="430" spans="1:4" ht="15" customHeight="1">
      <c r="A430" s="18" t="str">
        <f>Analysis!A430</f>
        <v>11/1993</v>
      </c>
      <c r="B430" s="19">
        <f>Analysis!E430</f>
        <v>3.9999999999999147E-2</v>
      </c>
      <c r="C430" s="20">
        <f>Analysis!F430</f>
        <v>0.34454447395471077</v>
      </c>
      <c r="D430" s="30">
        <v>1360.64</v>
      </c>
    </row>
    <row r="431" spans="1:4" ht="15" customHeight="1">
      <c r="A431" s="18" t="str">
        <f>Analysis!A431</f>
        <v>12/1993</v>
      </c>
      <c r="B431" s="19">
        <f>Analysis!E431</f>
        <v>0.17999999999999972</v>
      </c>
      <c r="C431" s="20">
        <f>Analysis!F431</f>
        <v>0.35061847686790176</v>
      </c>
      <c r="D431" s="30">
        <v>1360.8</v>
      </c>
    </row>
    <row r="432" spans="1:4" ht="15" customHeight="1">
      <c r="A432" s="18" t="str">
        <f>Analysis!A432</f>
        <v>1/1994</v>
      </c>
      <c r="B432" s="19">
        <f>Analysis!E432</f>
        <v>0.25999999999999979</v>
      </c>
      <c r="C432" s="20">
        <f>Analysis!F432</f>
        <v>0.35598278616786283</v>
      </c>
      <c r="D432" s="30">
        <v>1360.55</v>
      </c>
    </row>
    <row r="433" spans="1:4" ht="15" customHeight="1">
      <c r="A433" s="18" t="str">
        <f>Analysis!A433</f>
        <v>2/1994</v>
      </c>
      <c r="B433" s="19">
        <f>Analysis!E433</f>
        <v>2.0000000000003126E-2</v>
      </c>
      <c r="C433" s="20">
        <f>Analysis!F433</f>
        <v>0.35871775388910165</v>
      </c>
      <c r="D433" s="30">
        <v>1360.94</v>
      </c>
    </row>
    <row r="434" spans="1:4" ht="15" customHeight="1">
      <c r="A434" s="18" t="str">
        <f>Analysis!A434</f>
        <v>3/1994</v>
      </c>
      <c r="B434" s="19">
        <f>Analysis!E434</f>
        <v>0.28999999999999559</v>
      </c>
      <c r="C434" s="20">
        <f>Analysis!F434</f>
        <v>0.36301083553510793</v>
      </c>
      <c r="D434" s="30">
        <v>1360.99</v>
      </c>
    </row>
    <row r="435" spans="1:4" ht="15" customHeight="1">
      <c r="A435" s="18" t="str">
        <f>Analysis!A435</f>
        <v>4/1994</v>
      </c>
      <c r="B435" s="19">
        <f>Analysis!E435</f>
        <v>0.41000000000000014</v>
      </c>
      <c r="C435" s="20">
        <f>Analysis!F435</f>
        <v>0.36800999171782506</v>
      </c>
      <c r="D435" s="30">
        <v>1360.82</v>
      </c>
    </row>
    <row r="436" spans="1:4" ht="15" customHeight="1">
      <c r="A436" s="18" t="str">
        <f>Analysis!A436</f>
        <v>5/1994</v>
      </c>
      <c r="B436" s="19">
        <f>Analysis!E436</f>
        <v>0.28000000000000114</v>
      </c>
      <c r="C436" s="20">
        <f>Analysis!F436</f>
        <v>0.36968582761490204</v>
      </c>
      <c r="D436" s="30">
        <v>1360.74</v>
      </c>
    </row>
    <row r="437" spans="1:4" ht="15" customHeight="1">
      <c r="A437" s="18" t="str">
        <f>Analysis!A437</f>
        <v>6/1994</v>
      </c>
      <c r="B437" s="19">
        <f>Analysis!E437</f>
        <v>0.42999999999999972</v>
      </c>
      <c r="C437" s="20">
        <f>Analysis!F437</f>
        <v>0.36633220690413326</v>
      </c>
      <c r="D437" s="30">
        <v>1360.75</v>
      </c>
    </row>
    <row r="438" spans="1:4" ht="15" customHeight="1">
      <c r="A438" s="18" t="str">
        <f>Analysis!A438</f>
        <v>7/1994</v>
      </c>
      <c r="B438" s="19">
        <f>Analysis!E438</f>
        <v>0.30000000000000249</v>
      </c>
      <c r="C438" s="20">
        <f>Analysis!F438</f>
        <v>0.36060507353538723</v>
      </c>
      <c r="D438" s="30">
        <v>1360.7</v>
      </c>
    </row>
    <row r="439" spans="1:4" ht="15" customHeight="1">
      <c r="A439" s="18" t="str">
        <f>Analysis!A439</f>
        <v>8/1994</v>
      </c>
      <c r="B439" s="19">
        <f>Analysis!E439</f>
        <v>0.22000000000000242</v>
      </c>
      <c r="C439" s="20">
        <f>Analysis!F439</f>
        <v>0.35287956496583295</v>
      </c>
      <c r="D439" s="30">
        <v>1360.71</v>
      </c>
    </row>
    <row r="440" spans="1:4" ht="15" customHeight="1">
      <c r="A440" s="18" t="str">
        <f>Analysis!A440</f>
        <v>9/1994</v>
      </c>
      <c r="B440" s="19">
        <f>Analysis!E440</f>
        <v>0.31000000000000227</v>
      </c>
      <c r="C440" s="20">
        <f>Analysis!F440</f>
        <v>0.34588295045182915</v>
      </c>
      <c r="D440" s="30">
        <v>1360.57</v>
      </c>
    </row>
    <row r="441" spans="1:4" ht="15" customHeight="1">
      <c r="A441" s="18" t="str">
        <f>Analysis!A441</f>
        <v>10/1994</v>
      </c>
      <c r="B441" s="19">
        <f>Analysis!E441</f>
        <v>0.42999999999999972</v>
      </c>
      <c r="C441" s="20">
        <f>Analysis!F441</f>
        <v>0.34730119108821406</v>
      </c>
      <c r="D441" s="30">
        <v>1360.66</v>
      </c>
    </row>
    <row r="442" spans="1:4" ht="15" customHeight="1">
      <c r="A442" s="18" t="str">
        <f>Analysis!A442</f>
        <v>11/1994</v>
      </c>
      <c r="B442" s="19">
        <f>Analysis!E442</f>
        <v>0.44999999999999751</v>
      </c>
      <c r="C442" s="20">
        <f>Analysis!F442</f>
        <v>0.35312161435528655</v>
      </c>
      <c r="D442" s="30">
        <v>1360.79</v>
      </c>
    </row>
    <row r="443" spans="1:4" ht="15" customHeight="1">
      <c r="A443" s="18" t="str">
        <f>Analysis!A443</f>
        <v>12/1994</v>
      </c>
      <c r="B443" s="19">
        <f>Analysis!E443</f>
        <v>0.38999999999999879</v>
      </c>
      <c r="C443" s="20">
        <f>Analysis!F443</f>
        <v>0.35895882583232935</v>
      </c>
      <c r="D443" s="30">
        <v>1360.71</v>
      </c>
    </row>
    <row r="444" spans="1:4" ht="15" customHeight="1">
      <c r="A444" s="18" t="str">
        <f>Analysis!A444</f>
        <v>1/1995</v>
      </c>
      <c r="B444" s="19">
        <f>Analysis!E444</f>
        <v>0.52999999999999758</v>
      </c>
      <c r="C444" s="20">
        <f>Analysis!F444</f>
        <v>0.36273036992883079</v>
      </c>
      <c r="D444" s="30">
        <v>1360.77</v>
      </c>
    </row>
    <row r="445" spans="1:4" ht="15" customHeight="1">
      <c r="A445" s="18" t="str">
        <f>Analysis!A445</f>
        <v>2/1995</v>
      </c>
      <c r="B445" s="19">
        <f>Analysis!E445</f>
        <v>0.79000000000000092</v>
      </c>
      <c r="C445" s="20">
        <f>Analysis!F445</f>
        <v>0.36657200994220462</v>
      </c>
      <c r="D445" s="30">
        <v>1360.86</v>
      </c>
    </row>
    <row r="446" spans="1:4" ht="15" customHeight="1">
      <c r="A446" s="18" t="str">
        <f>Analysis!A446</f>
        <v>3/1995</v>
      </c>
      <c r="B446" s="19">
        <f>Analysis!E446</f>
        <v>0.47000000000000242</v>
      </c>
      <c r="C446" s="20">
        <f>Analysis!F446</f>
        <v>0.3704831610279733</v>
      </c>
      <c r="D446" s="30">
        <v>1360.71</v>
      </c>
    </row>
    <row r="447" spans="1:4" ht="15" customHeight="1">
      <c r="A447" s="18" t="str">
        <f>Analysis!A447</f>
        <v>4/1995</v>
      </c>
      <c r="B447" s="19">
        <f>Analysis!E447</f>
        <v>0.47000000000000242</v>
      </c>
      <c r="C447" s="20">
        <f>Analysis!F447</f>
        <v>0.37629038333705156</v>
      </c>
      <c r="D447" s="30">
        <v>1360.68</v>
      </c>
    </row>
    <row r="448" spans="1:4" ht="15" customHeight="1">
      <c r="A448" s="18" t="str">
        <f>Analysis!A448</f>
        <v>5/1995</v>
      </c>
      <c r="B448" s="19">
        <f>Analysis!E448</f>
        <v>0.27000000000000135</v>
      </c>
      <c r="C448" s="20">
        <f>Analysis!F448</f>
        <v>0.37783767971908239</v>
      </c>
      <c r="D448" s="30">
        <v>1360.68</v>
      </c>
    </row>
    <row r="449" spans="1:4" ht="15" customHeight="1">
      <c r="A449" s="18" t="str">
        <f>Analysis!A449</f>
        <v>6/1995</v>
      </c>
      <c r="B449" s="19">
        <f>Analysis!E449</f>
        <v>0.42999999999999972</v>
      </c>
      <c r="C449" s="20">
        <f>Analysis!F449</f>
        <v>0.37585366620313115</v>
      </c>
      <c r="D449" s="30">
        <v>1360.73</v>
      </c>
    </row>
    <row r="450" spans="1:4" ht="15" customHeight="1">
      <c r="A450" s="18" t="str">
        <f>Analysis!A450</f>
        <v>7/1995</v>
      </c>
      <c r="B450" s="19">
        <f>Analysis!E450</f>
        <v>0.46000000000000441</v>
      </c>
      <c r="C450" s="20">
        <f>Analysis!F450</f>
        <v>0.36968582761490204</v>
      </c>
      <c r="D450" s="30">
        <v>1360.73</v>
      </c>
    </row>
    <row r="451" spans="1:4" ht="15" customHeight="1">
      <c r="A451" s="18" t="str">
        <f>Analysis!A451</f>
        <v>8/1995</v>
      </c>
      <c r="B451" s="19">
        <f>Analysis!E451</f>
        <v>0.44999999999999751</v>
      </c>
      <c r="C451" s="20">
        <f>Analysis!F451</f>
        <v>0.35988256195342855</v>
      </c>
      <c r="D451" s="30">
        <v>1360.77</v>
      </c>
    </row>
    <row r="452" spans="1:4" ht="15" customHeight="1">
      <c r="A452" s="18" t="str">
        <f>Analysis!A452</f>
        <v>9/1995</v>
      </c>
      <c r="B452" s="19">
        <f>Analysis!E452</f>
        <v>0.32999999999999652</v>
      </c>
      <c r="C452" s="20">
        <f>Analysis!F452</f>
        <v>0.35582174413600615</v>
      </c>
      <c r="D452" s="30">
        <v>1360.75</v>
      </c>
    </row>
    <row r="453" spans="1:4" ht="15" customHeight="1">
      <c r="A453" s="18" t="str">
        <f>Analysis!A453</f>
        <v>10/1995</v>
      </c>
      <c r="B453" s="19">
        <f>Analysis!E453</f>
        <v>0.46000000000000441</v>
      </c>
      <c r="C453" s="20">
        <f>Analysis!F453</f>
        <v>0.35509683245126811</v>
      </c>
      <c r="D453" s="30">
        <v>1360.68</v>
      </c>
    </row>
    <row r="454" spans="1:4" ht="15" customHeight="1">
      <c r="A454" s="18" t="str">
        <f>Analysis!A454</f>
        <v>11/1995</v>
      </c>
      <c r="B454" s="19">
        <f>Analysis!E454</f>
        <v>0.44999999999999751</v>
      </c>
      <c r="C454" s="20">
        <f>Analysis!F454</f>
        <v>0.36100631256369653</v>
      </c>
      <c r="D454" s="30">
        <v>1360.73</v>
      </c>
    </row>
    <row r="455" spans="1:4" ht="15" customHeight="1">
      <c r="A455" s="18" t="str">
        <f>Analysis!A455</f>
        <v>12/1995</v>
      </c>
      <c r="B455" s="19">
        <f>Analysis!E455</f>
        <v>0.25999999999999979</v>
      </c>
      <c r="C455" s="20">
        <f>Analysis!F455</f>
        <v>0.36585248121553354</v>
      </c>
      <c r="D455" s="30">
        <v>1360.7</v>
      </c>
    </row>
    <row r="456" spans="1:4" ht="15" customHeight="1">
      <c r="A456" s="18" t="str">
        <f>Analysis!A456</f>
        <v>1/1996</v>
      </c>
      <c r="B456" s="19">
        <f>Analysis!E456</f>
        <v>0.24000000000000199</v>
      </c>
      <c r="C456" s="20">
        <f>Analysis!F456</f>
        <v>0.37135971911783916</v>
      </c>
      <c r="D456" s="30">
        <v>1360.7</v>
      </c>
    </row>
    <row r="457" spans="1:4" ht="15" customHeight="1">
      <c r="A457" s="18" t="str">
        <f>Analysis!A457</f>
        <v>2/1996</v>
      </c>
      <c r="B457" s="19">
        <f>Analysis!E457</f>
        <v>0.46000000000000441</v>
      </c>
      <c r="C457" s="20">
        <f>Analysis!F457</f>
        <v>0.37597278398719675</v>
      </c>
      <c r="D457" s="30">
        <v>1360.68</v>
      </c>
    </row>
    <row r="458" spans="1:4" ht="15" customHeight="1">
      <c r="A458" s="18" t="str">
        <f>Analysis!A458</f>
        <v>3/1996</v>
      </c>
      <c r="B458" s="19">
        <f>Analysis!E458</f>
        <v>0.32999999999999652</v>
      </c>
      <c r="C458" s="20">
        <f>Analysis!F458</f>
        <v>0.37962096205570828</v>
      </c>
      <c r="D458" s="30">
        <v>1360.62</v>
      </c>
    </row>
    <row r="459" spans="1:4" ht="15" customHeight="1">
      <c r="A459" s="18" t="str">
        <f>Analysis!A459</f>
        <v>4/1996</v>
      </c>
      <c r="B459" s="19">
        <f>Analysis!E459</f>
        <v>0.32999999999999652</v>
      </c>
      <c r="C459" s="20">
        <f>Analysis!F459</f>
        <v>0.3812438135561429</v>
      </c>
      <c r="D459" s="30">
        <v>1360.65</v>
      </c>
    </row>
    <row r="460" spans="1:4" ht="15" customHeight="1">
      <c r="A460" s="18" t="str">
        <f>Analysis!A460</f>
        <v>5/1996</v>
      </c>
      <c r="B460" s="19">
        <f>Analysis!E460</f>
        <v>0.27000000000000135</v>
      </c>
      <c r="C460" s="20">
        <f>Analysis!F460</f>
        <v>0.38345744585853175</v>
      </c>
      <c r="D460" s="30">
        <v>1360.67</v>
      </c>
    </row>
    <row r="461" spans="1:4" ht="15" customHeight="1">
      <c r="A461" s="18" t="str">
        <f>Analysis!A461</f>
        <v>6/1996</v>
      </c>
      <c r="B461" s="19">
        <f>Analysis!E461</f>
        <v>0.25999999999999979</v>
      </c>
      <c r="C461" s="20">
        <f>Analysis!F461</f>
        <v>0.38270677268151582</v>
      </c>
      <c r="D461" s="30">
        <v>1360.67</v>
      </c>
    </row>
    <row r="462" spans="1:4" ht="15" customHeight="1">
      <c r="A462" s="18" t="str">
        <f>Analysis!A462</f>
        <v>7/1996</v>
      </c>
      <c r="B462" s="19">
        <f>Analysis!E462</f>
        <v>0.36999999999999744</v>
      </c>
      <c r="C462" s="20">
        <f>Analysis!F462</f>
        <v>0.37728243090608043</v>
      </c>
      <c r="D462" s="30">
        <v>1360.66</v>
      </c>
    </row>
    <row r="463" spans="1:4" ht="15" customHeight="1">
      <c r="A463" s="18" t="str">
        <f>Analysis!A463</f>
        <v>8/1996</v>
      </c>
      <c r="B463" s="19">
        <f>Analysis!E463</f>
        <v>0.47999999999999865</v>
      </c>
      <c r="C463" s="20">
        <f>Analysis!F463</f>
        <v>0.36876834909033485</v>
      </c>
      <c r="D463" s="30">
        <v>1360.68</v>
      </c>
    </row>
    <row r="464" spans="1:4" ht="15" customHeight="1">
      <c r="A464" s="18" t="str">
        <f>Analysis!A464</f>
        <v>9/1996</v>
      </c>
      <c r="B464" s="19">
        <f>Analysis!E464</f>
        <v>0.25999999999999979</v>
      </c>
      <c r="C464" s="20">
        <f>Analysis!F464</f>
        <v>0.36132722345969809</v>
      </c>
      <c r="D464" s="30">
        <v>1360.74</v>
      </c>
    </row>
    <row r="465" spans="1:4" ht="15" customHeight="1">
      <c r="A465" s="18" t="str">
        <f>Analysis!A465</f>
        <v>10/1996</v>
      </c>
      <c r="B465" s="19">
        <f>Analysis!E465</f>
        <v>0.22000000000000242</v>
      </c>
      <c r="C465" s="20">
        <f>Analysis!F465</f>
        <v>0.36144754664467421</v>
      </c>
      <c r="D465" s="30">
        <v>1360.69</v>
      </c>
    </row>
    <row r="466" spans="1:4" ht="15" customHeight="1">
      <c r="A466" s="18" t="str">
        <f>Analysis!A466</f>
        <v>11/1996</v>
      </c>
      <c r="B466" s="19">
        <f>Analysis!E466</f>
        <v>0.42000000000000348</v>
      </c>
      <c r="C466" s="20">
        <f>Analysis!F466</f>
        <v>0.36673185649279633</v>
      </c>
      <c r="D466" s="30">
        <v>1360.56</v>
      </c>
    </row>
    <row r="467" spans="1:4" ht="15" customHeight="1">
      <c r="A467" s="18" t="str">
        <f>Analysis!A467</f>
        <v>12/1996</v>
      </c>
      <c r="B467" s="19">
        <f>Analysis!E467</f>
        <v>0.36999999999999744</v>
      </c>
      <c r="C467" s="20">
        <f>Analysis!F467</f>
        <v>0.37211631819884028</v>
      </c>
      <c r="D467" s="30">
        <v>1360.79</v>
      </c>
    </row>
    <row r="468" spans="1:4" ht="15" customHeight="1">
      <c r="A468" s="18" t="str">
        <f>Analysis!A468</f>
        <v>1/1997</v>
      </c>
      <c r="B468" s="19">
        <f>Analysis!E468</f>
        <v>0.32000000000000028</v>
      </c>
      <c r="C468" s="20">
        <f>Analysis!F468</f>
        <v>0.37549625382897855</v>
      </c>
      <c r="D468" s="30">
        <v>1360.75</v>
      </c>
    </row>
    <row r="469" spans="1:4" ht="15" customHeight="1">
      <c r="A469" s="18" t="str">
        <f>Analysis!A469</f>
        <v>2/1997</v>
      </c>
      <c r="B469" s="19">
        <f>Analysis!E469</f>
        <v>0.41000000000000014</v>
      </c>
      <c r="C469" s="20">
        <f>Analysis!F469</f>
        <v>0.37934370731460526</v>
      </c>
      <c r="D469" s="30">
        <v>1360.76</v>
      </c>
    </row>
    <row r="470" spans="1:4" ht="15" customHeight="1">
      <c r="A470" s="18" t="str">
        <f>Analysis!A470</f>
        <v>3/1997</v>
      </c>
      <c r="B470" s="19">
        <f>Analysis!E470</f>
        <v>0.5199999999999978</v>
      </c>
      <c r="C470" s="20">
        <f>Analysis!F470</f>
        <v>0.38108556691755607</v>
      </c>
      <c r="D470" s="30">
        <v>1360.76</v>
      </c>
    </row>
    <row r="471" spans="1:4" ht="15" customHeight="1">
      <c r="A471" s="18" t="str">
        <f>Analysis!A471</f>
        <v>4/1997</v>
      </c>
      <c r="B471" s="19">
        <f>Analysis!E471</f>
        <v>0.33999999999999986</v>
      </c>
      <c r="C471" s="20">
        <f>Analysis!F471</f>
        <v>0.38834700653063781</v>
      </c>
      <c r="D471" s="30">
        <v>1360.75</v>
      </c>
    </row>
    <row r="472" spans="1:4" ht="15" customHeight="1">
      <c r="A472" s="18" t="str">
        <f>Analysis!A472</f>
        <v>5/1997</v>
      </c>
      <c r="B472" s="19">
        <f>Analysis!E472</f>
        <v>0.34999999999999787</v>
      </c>
      <c r="C472" s="20">
        <f>Analysis!F472</f>
        <v>0.3894488111595088</v>
      </c>
      <c r="D472" s="30">
        <v>1360.78</v>
      </c>
    </row>
    <row r="473" spans="1:4" ht="15" customHeight="1">
      <c r="A473" s="18" t="str">
        <f>Analysis!A473</f>
        <v>6/1997</v>
      </c>
      <c r="B473" s="19">
        <f>Analysis!E473</f>
        <v>0.54999999999999893</v>
      </c>
      <c r="C473" s="20">
        <f>Analysis!F473</f>
        <v>0.38535214535553447</v>
      </c>
      <c r="D473" s="30">
        <v>1360.77</v>
      </c>
    </row>
    <row r="474" spans="1:4" ht="15" customHeight="1">
      <c r="A474" s="18" t="str">
        <f>Analysis!A474</f>
        <v>7/1997</v>
      </c>
      <c r="B474" s="19">
        <f>Analysis!E474</f>
        <v>0.33999999999999986</v>
      </c>
      <c r="C474" s="20">
        <f>Analysis!F474</f>
        <v>0.38033365825089765</v>
      </c>
      <c r="D474" s="30">
        <v>1360.79</v>
      </c>
    </row>
    <row r="475" spans="1:4" ht="15" customHeight="1">
      <c r="A475" s="18" t="str">
        <f>Analysis!A475</f>
        <v>8/1997</v>
      </c>
      <c r="B475" s="19">
        <f>Analysis!E475</f>
        <v>0.41000000000000014</v>
      </c>
      <c r="C475" s="20">
        <f>Analysis!F475</f>
        <v>0.37215612821390631</v>
      </c>
      <c r="D475" s="30">
        <v>1360.85</v>
      </c>
    </row>
    <row r="476" spans="1:4" ht="15" customHeight="1">
      <c r="A476" s="18" t="str">
        <f>Analysis!A476</f>
        <v>9/1997</v>
      </c>
      <c r="B476" s="19">
        <f>Analysis!E476</f>
        <v>0.5199999999999978</v>
      </c>
      <c r="C476" s="20">
        <f>Analysis!F476</f>
        <v>0.36433229663226918</v>
      </c>
      <c r="D476" s="30">
        <v>1360.66</v>
      </c>
    </row>
    <row r="477" spans="1:4" ht="15" customHeight="1">
      <c r="A477" s="18" t="str">
        <f>Analysis!A477</f>
        <v>10/1997</v>
      </c>
      <c r="B477" s="19">
        <f>Analysis!E477</f>
        <v>0.61000000000000121</v>
      </c>
      <c r="C477" s="20">
        <f>Analysis!F477</f>
        <v>0.36645211340564054</v>
      </c>
      <c r="D477" s="30">
        <v>1361.01</v>
      </c>
    </row>
    <row r="478" spans="1:4" ht="15" customHeight="1">
      <c r="A478" s="18" t="str">
        <f>Analysis!A478</f>
        <v>11/1997</v>
      </c>
      <c r="B478" s="19">
        <f>Analysis!E478</f>
        <v>0.65000000000000213</v>
      </c>
      <c r="C478" s="20">
        <f>Analysis!F478</f>
        <v>0.37315102173715475</v>
      </c>
      <c r="D478" s="30">
        <v>1360.89</v>
      </c>
    </row>
    <row r="479" spans="1:4" ht="15" customHeight="1">
      <c r="A479" s="18" t="str">
        <f>Analysis!A479</f>
        <v>12/1997</v>
      </c>
      <c r="B479" s="19">
        <f>Analysis!E479</f>
        <v>0.58999999999999986</v>
      </c>
      <c r="C479" s="20">
        <f>Analysis!F479</f>
        <v>0.38053156694990453</v>
      </c>
      <c r="D479" s="30">
        <v>1360.91</v>
      </c>
    </row>
    <row r="480" spans="1:4" ht="15" customHeight="1">
      <c r="A480" s="18" t="str">
        <f>Analysis!A480</f>
        <v>1/1998</v>
      </c>
      <c r="B480" s="19">
        <f>Analysis!E480</f>
        <v>0.58000000000000007</v>
      </c>
      <c r="C480" s="20">
        <f>Analysis!F480</f>
        <v>0.38401032363198068</v>
      </c>
      <c r="D480" s="30">
        <v>1361.05</v>
      </c>
    </row>
    <row r="481" spans="1:4" ht="15" customHeight="1">
      <c r="A481" s="18" t="str">
        <f>Analysis!A481</f>
        <v>2/1998</v>
      </c>
      <c r="B481" s="19">
        <f>Analysis!E481</f>
        <v>0.88000000000000256</v>
      </c>
      <c r="C481" s="20">
        <f>Analysis!F481</f>
        <v>0.38681094647221681</v>
      </c>
      <c r="D481" s="30">
        <v>1360.95</v>
      </c>
    </row>
    <row r="482" spans="1:4" ht="15" customHeight="1">
      <c r="A482" s="18" t="str">
        <f>Analysis!A482</f>
        <v>3/1998</v>
      </c>
      <c r="B482" s="19">
        <f>Analysis!E482</f>
        <v>0.63000000000000256</v>
      </c>
      <c r="C482" s="20">
        <f>Analysis!F482</f>
        <v>0.39176771995599674</v>
      </c>
      <c r="D482" s="30">
        <v>1360.84</v>
      </c>
    </row>
    <row r="483" spans="1:4" ht="15" customHeight="1">
      <c r="A483" s="18" t="str">
        <f>Analysis!A483</f>
        <v>4/1998</v>
      </c>
      <c r="B483" s="19">
        <f>Analysis!E483</f>
        <v>0.64000000000000234</v>
      </c>
      <c r="C483" s="20">
        <f>Analysis!F483</f>
        <v>0.39737270943755826</v>
      </c>
      <c r="D483" s="30">
        <v>1361.16</v>
      </c>
    </row>
    <row r="484" spans="1:4" ht="15" customHeight="1">
      <c r="A484" s="18" t="str">
        <f>Analysis!A484</f>
        <v>5/1998</v>
      </c>
      <c r="B484" s="19">
        <f>Analysis!E484</f>
        <v>0.67999999999999972</v>
      </c>
      <c r="C484" s="20">
        <f>Analysis!F484</f>
        <v>0.40038178530727464</v>
      </c>
      <c r="D484" s="30">
        <v>1361.07</v>
      </c>
    </row>
    <row r="485" spans="1:4" ht="15" customHeight="1">
      <c r="A485" s="18" t="str">
        <f>Analysis!A485</f>
        <v>6/1998</v>
      </c>
      <c r="B485" s="19">
        <f>Analysis!E485</f>
        <v>0.77000000000000135</v>
      </c>
      <c r="C485" s="20">
        <f>Analysis!F485</f>
        <v>0.39870216614997578</v>
      </c>
      <c r="D485" s="30">
        <v>1361.1</v>
      </c>
    </row>
    <row r="486" spans="1:4" ht="15" customHeight="1">
      <c r="A486" s="18" t="str">
        <f>Analysis!A486</f>
        <v>7/1998</v>
      </c>
      <c r="B486" s="19">
        <f>Analysis!E486</f>
        <v>0.66000000000000369</v>
      </c>
      <c r="C486" s="20">
        <f>Analysis!F486</f>
        <v>0.39420052964215635</v>
      </c>
      <c r="D486" s="30">
        <v>1361.34</v>
      </c>
    </row>
    <row r="487" spans="1:4" ht="15" customHeight="1">
      <c r="A487" s="18" t="str">
        <f>Analysis!A487</f>
        <v>8/1998</v>
      </c>
      <c r="B487" s="19">
        <f>Analysis!E487</f>
        <v>0.65000000000000213</v>
      </c>
      <c r="C487" s="20">
        <f>Analysis!F487</f>
        <v>0.38681094647221681</v>
      </c>
      <c r="D487" s="30">
        <v>1361.15</v>
      </c>
    </row>
    <row r="488" spans="1:4" ht="15" customHeight="1">
      <c r="A488" s="18" t="str">
        <f>Analysis!A488</f>
        <v>9/1998</v>
      </c>
      <c r="B488" s="19">
        <f>Analysis!E488</f>
        <v>0.42000000000000348</v>
      </c>
      <c r="C488" s="20">
        <f>Analysis!F488</f>
        <v>0.37914563558689091</v>
      </c>
      <c r="D488" s="30">
        <v>1361.11</v>
      </c>
    </row>
    <row r="489" spans="1:4" ht="15" customHeight="1">
      <c r="A489" s="18" t="str">
        <f>Analysis!A489</f>
        <v>10/1998</v>
      </c>
      <c r="B489" s="19">
        <f>Analysis!E489</f>
        <v>0.42000000000000348</v>
      </c>
      <c r="C489" s="20">
        <f>Analysis!F489</f>
        <v>0.38065029913905807</v>
      </c>
      <c r="D489" s="30">
        <v>1361.49</v>
      </c>
    </row>
    <row r="490" spans="1:4" ht="15" customHeight="1">
      <c r="A490" s="18" t="str">
        <f>Analysis!A490</f>
        <v>11/1998</v>
      </c>
      <c r="B490" s="19">
        <f>Analysis!E490</f>
        <v>0.42999999999999972</v>
      </c>
      <c r="C490" s="20">
        <f>Analysis!F490</f>
        <v>0.38511544395370917</v>
      </c>
      <c r="D490" s="30">
        <v>1361.35</v>
      </c>
    </row>
    <row r="491" spans="1:4" ht="15" customHeight="1">
      <c r="A491" s="18" t="str">
        <f>Analysis!A491</f>
        <v>12/1998</v>
      </c>
      <c r="B491" s="19">
        <f>Analysis!E491</f>
        <v>0.54999999999999893</v>
      </c>
      <c r="C491" s="20">
        <f>Analysis!F491</f>
        <v>0.3915320688993289</v>
      </c>
      <c r="D491" s="30">
        <v>1361.48</v>
      </c>
    </row>
    <row r="492" spans="1:4" ht="15" customHeight="1">
      <c r="A492" s="18" t="str">
        <f>Analysis!A492</f>
        <v>1/1999</v>
      </c>
      <c r="B492" s="19">
        <f>Analysis!E492</f>
        <v>0.47999999999999865</v>
      </c>
      <c r="C492" s="20">
        <f>Analysis!F492</f>
        <v>0.39565041545437801</v>
      </c>
      <c r="D492" s="30">
        <v>1361.69</v>
      </c>
    </row>
    <row r="493" spans="1:4" ht="15" customHeight="1">
      <c r="A493" s="18" t="str">
        <f>Analysis!A493</f>
        <v>2/1999</v>
      </c>
      <c r="B493" s="19">
        <f>Analysis!E493</f>
        <v>0.64000000000000234</v>
      </c>
      <c r="C493" s="20">
        <f>Analysis!F493</f>
        <v>0.39928830192579123</v>
      </c>
      <c r="D493" s="30">
        <v>1361.41</v>
      </c>
    </row>
    <row r="494" spans="1:4" ht="15" customHeight="1">
      <c r="A494" s="18" t="str">
        <f>Analysis!A494</f>
        <v>3/1999</v>
      </c>
      <c r="B494" s="19">
        <f>Analysis!E494</f>
        <v>0.32999999999999652</v>
      </c>
      <c r="C494" s="20">
        <f>Analysis!F494</f>
        <v>0.40147444051625025</v>
      </c>
      <c r="D494" s="30">
        <v>1361.45</v>
      </c>
    </row>
    <row r="495" spans="1:4" ht="15" customHeight="1">
      <c r="A495" s="18" t="str">
        <f>Analysis!A495</f>
        <v>4/1999</v>
      </c>
      <c r="B495" s="19">
        <f>Analysis!E495</f>
        <v>0.32000000000000028</v>
      </c>
      <c r="C495" s="20">
        <f>Analysis!F495</f>
        <v>0.40657554167160614</v>
      </c>
      <c r="D495" s="30">
        <v>1361.36</v>
      </c>
    </row>
    <row r="496" spans="1:4" ht="15" customHeight="1">
      <c r="A496" s="18" t="str">
        <f>Analysis!A496</f>
        <v>5/1999</v>
      </c>
      <c r="B496" s="19">
        <f>Analysis!E496</f>
        <v>0.25999999999999979</v>
      </c>
      <c r="C496" s="20">
        <f>Analysis!F496</f>
        <v>0.40645892413014484</v>
      </c>
      <c r="D496" s="30">
        <v>1361.53</v>
      </c>
    </row>
    <row r="497" spans="1:4" ht="15" customHeight="1">
      <c r="A497" s="18" t="str">
        <f>Analysis!A497</f>
        <v>6/1999</v>
      </c>
      <c r="B497" s="19">
        <f>Analysis!E497</f>
        <v>0.36000000000000121</v>
      </c>
      <c r="C497" s="20">
        <f>Analysis!F497</f>
        <v>0.40389095040272749</v>
      </c>
      <c r="D497" s="30">
        <v>1361.42</v>
      </c>
    </row>
    <row r="498" spans="1:4" ht="15" customHeight="1">
      <c r="A498" s="18" t="str">
        <f>Analysis!A498</f>
        <v>7/1999</v>
      </c>
      <c r="B498" s="19">
        <f>Analysis!E498</f>
        <v>0.38999999999999879</v>
      </c>
      <c r="C498" s="20">
        <f>Analysis!F498</f>
        <v>0.40057696301241569</v>
      </c>
      <c r="D498" s="30">
        <v>1361.54</v>
      </c>
    </row>
    <row r="499" spans="1:4" ht="15" customHeight="1">
      <c r="A499" s="18" t="str">
        <f>Analysis!A499</f>
        <v>8/1999</v>
      </c>
      <c r="B499" s="19">
        <f>Analysis!E499</f>
        <v>0.31000000000000227</v>
      </c>
      <c r="C499" s="20">
        <f>Analysis!F499</f>
        <v>0.39058907956946148</v>
      </c>
      <c r="D499" s="30">
        <v>1361.59</v>
      </c>
    </row>
    <row r="500" spans="1:4" ht="15" customHeight="1">
      <c r="A500" s="18" t="str">
        <f>Analysis!A500</f>
        <v>9/1999</v>
      </c>
      <c r="B500" s="19">
        <f>Analysis!E500</f>
        <v>0.38999999999999879</v>
      </c>
      <c r="C500" s="20">
        <f>Analysis!F500</f>
        <v>0.38227199382725641</v>
      </c>
      <c r="D500" s="30">
        <v>1361.7</v>
      </c>
    </row>
    <row r="501" spans="1:4" ht="15" customHeight="1">
      <c r="A501" s="18" t="str">
        <f>Analysis!A501</f>
        <v>10/1999</v>
      </c>
      <c r="B501" s="19">
        <f>Analysis!E501</f>
        <v>0.33999999999999986</v>
      </c>
      <c r="C501" s="20">
        <f>Analysis!F501</f>
        <v>0.38452352048875721</v>
      </c>
      <c r="D501" s="30">
        <v>1361.23</v>
      </c>
    </row>
    <row r="502" spans="1:4" ht="15" customHeight="1">
      <c r="A502" s="18" t="str">
        <f>Analysis!A502</f>
        <v>11/1999</v>
      </c>
      <c r="B502" s="19">
        <f>Analysis!E502</f>
        <v>0.36999999999999744</v>
      </c>
      <c r="C502" s="20">
        <f>Analysis!F502</f>
        <v>0.38988143286110233</v>
      </c>
      <c r="D502" s="30">
        <v>1361.37</v>
      </c>
    </row>
    <row r="503" spans="1:4" ht="15" customHeight="1">
      <c r="A503" s="18" t="str">
        <f>Analysis!A503</f>
        <v>12/1999</v>
      </c>
      <c r="B503" s="19">
        <f>Analysis!E503</f>
        <v>0.40000000000000213</v>
      </c>
      <c r="C503" s="20">
        <f>Analysis!F503</f>
        <v>0.3952978746136992</v>
      </c>
      <c r="D503" s="30">
        <v>1361.48</v>
      </c>
    </row>
    <row r="504" spans="1:4" ht="15" customHeight="1">
      <c r="A504" s="18" t="str">
        <f>Analysis!A504</f>
        <v>1/2000</v>
      </c>
      <c r="B504" s="19">
        <f>Analysis!E504</f>
        <v>0.25000000000000355</v>
      </c>
      <c r="C504" s="20">
        <f>Analysis!F504</f>
        <v>0.39995230138778842</v>
      </c>
      <c r="D504" s="30">
        <v>1361.77</v>
      </c>
    </row>
    <row r="505" spans="1:4" ht="15" customHeight="1">
      <c r="A505" s="18" t="str">
        <f>Analysis!A505</f>
        <v>2/2000</v>
      </c>
      <c r="B505" s="19">
        <f>Analysis!E505</f>
        <v>0.55999999999999872</v>
      </c>
      <c r="C505" s="20">
        <f>Analysis!F505</f>
        <v>0.40096723922560795</v>
      </c>
      <c r="D505" s="30">
        <v>1361.6</v>
      </c>
    </row>
    <row r="506" spans="1:4" ht="15" customHeight="1">
      <c r="A506" s="18" t="str">
        <f>Analysis!A506</f>
        <v>3/2000</v>
      </c>
      <c r="B506" s="19">
        <f>Analysis!E506</f>
        <v>0.54999999999999893</v>
      </c>
      <c r="C506" s="20">
        <f>Analysis!F506</f>
        <v>0.40501986550966412</v>
      </c>
      <c r="D506" s="30">
        <v>1361.39</v>
      </c>
    </row>
    <row r="507" spans="1:4" ht="15" customHeight="1">
      <c r="A507" s="18" t="str">
        <f>Analysis!A507</f>
        <v>4/2000</v>
      </c>
      <c r="B507" s="19">
        <f>Analysis!E507</f>
        <v>0.55999999999999872</v>
      </c>
      <c r="C507" s="20">
        <f>Analysis!F507</f>
        <v>0.40979822782841963</v>
      </c>
      <c r="D507" s="30">
        <v>1361.63</v>
      </c>
    </row>
    <row r="508" spans="1:4" ht="15" customHeight="1">
      <c r="A508" s="18" t="str">
        <f>Analysis!A508</f>
        <v>5/2000</v>
      </c>
      <c r="B508" s="19">
        <f>Analysis!E508</f>
        <v>0.34999999999999787</v>
      </c>
      <c r="C508" s="20">
        <f>Analysis!F508</f>
        <v>0.40890591510745228</v>
      </c>
      <c r="D508" s="30">
        <v>1361.28</v>
      </c>
    </row>
    <row r="509" spans="1:4" ht="15" customHeight="1">
      <c r="A509" s="18" t="str">
        <f>Analysis!A509</f>
        <v>6/2000</v>
      </c>
      <c r="B509" s="19">
        <f>Analysis!E509</f>
        <v>0.40000000000000213</v>
      </c>
      <c r="C509" s="20">
        <f>Analysis!F509</f>
        <v>0.40937153842691504</v>
      </c>
      <c r="D509" s="30">
        <v>1361.39</v>
      </c>
    </row>
    <row r="510" spans="1:4" ht="15" customHeight="1">
      <c r="A510" s="18" t="str">
        <f>Analysis!A510</f>
        <v>7/2000</v>
      </c>
      <c r="B510" s="19">
        <f>Analysis!E510</f>
        <v>0.38999999999999879</v>
      </c>
      <c r="C510" s="20">
        <f>Analysis!F510</f>
        <v>0.40217642497948264</v>
      </c>
      <c r="D510" s="30">
        <v>1361.51</v>
      </c>
    </row>
    <row r="511" spans="1:4" ht="15" customHeight="1">
      <c r="A511" s="18" t="str">
        <f>Analysis!A511</f>
        <v>8/2000</v>
      </c>
      <c r="B511" s="19">
        <f>Analysis!E511</f>
        <v>0.42000000000000348</v>
      </c>
      <c r="C511" s="20">
        <f>Analysis!F511</f>
        <v>0.39533705007270242</v>
      </c>
      <c r="D511" s="30">
        <v>1362.02</v>
      </c>
    </row>
    <row r="512" spans="1:4" ht="15" customHeight="1">
      <c r="A512" s="18" t="str">
        <f>Analysis!A512</f>
        <v>9/2000</v>
      </c>
      <c r="B512" s="19">
        <f>Analysis!E512</f>
        <v>0.38999999999999879</v>
      </c>
      <c r="C512" s="20">
        <f>Analysis!F512</f>
        <v>0.39094277280254291</v>
      </c>
      <c r="D512" s="30">
        <v>1361.41</v>
      </c>
    </row>
    <row r="513" spans="1:4" ht="15" customHeight="1">
      <c r="A513" s="18" t="str">
        <f>Analysis!A513</f>
        <v>10/2000</v>
      </c>
      <c r="B513" s="19">
        <f>Analysis!E513</f>
        <v>0.27000000000000135</v>
      </c>
      <c r="C513" s="20">
        <f>Analysis!F513</f>
        <v>0.39106065128020484</v>
      </c>
      <c r="D513" s="30">
        <v>1362.03</v>
      </c>
    </row>
    <row r="514" spans="1:4" ht="15" customHeight="1">
      <c r="A514" s="18" t="str">
        <f>Analysis!A514</f>
        <v>11/2000</v>
      </c>
      <c r="B514" s="19">
        <f>Analysis!E514</f>
        <v>0.30000000000000249</v>
      </c>
      <c r="C514" s="20">
        <f>Analysis!F514</f>
        <v>0.39635523879745971</v>
      </c>
      <c r="D514" s="30">
        <v>1361.89</v>
      </c>
    </row>
    <row r="515" spans="1:4" ht="15" customHeight="1">
      <c r="A515" s="18" t="str">
        <f>Analysis!A515</f>
        <v>12/2000</v>
      </c>
      <c r="B515" s="19">
        <f>Analysis!E515</f>
        <v>0.28000000000000114</v>
      </c>
      <c r="C515" s="20">
        <f>Analysis!F515</f>
        <v>0.40143543136241211</v>
      </c>
      <c r="D515" s="30">
        <v>1361.99</v>
      </c>
    </row>
    <row r="516" spans="1:4" ht="15" customHeight="1">
      <c r="A516" s="18" t="str">
        <f>Analysis!A516</f>
        <v>1/2001</v>
      </c>
      <c r="B516" s="19">
        <f>Analysis!E516</f>
        <v>0.44999999999999751</v>
      </c>
      <c r="C516" s="20">
        <f>Analysis!F516</f>
        <v>0.40505877786528899</v>
      </c>
      <c r="D516" s="30">
        <v>1361.81</v>
      </c>
    </row>
    <row r="517" spans="1:4" ht="15" customHeight="1">
      <c r="A517" s="18" t="str">
        <f>Analysis!A517</f>
        <v>2/2001</v>
      </c>
      <c r="B517" s="19">
        <f>Analysis!E517</f>
        <v>0.44000000000000483</v>
      </c>
      <c r="C517" s="20">
        <f>Analysis!F517</f>
        <v>0.40867304708140773</v>
      </c>
      <c r="D517" s="30">
        <v>1361.84</v>
      </c>
    </row>
    <row r="518" spans="1:4" ht="15" customHeight="1">
      <c r="A518" s="18" t="str">
        <f>Analysis!A518</f>
        <v>3/2001</v>
      </c>
      <c r="B518" s="19">
        <f>Analysis!E518</f>
        <v>0.54999999999999893</v>
      </c>
      <c r="C518" s="20">
        <f>Analysis!F518</f>
        <v>0.4123170014542763</v>
      </c>
      <c r="D518" s="30">
        <v>1361.37</v>
      </c>
    </row>
    <row r="519" spans="1:4" ht="15" customHeight="1">
      <c r="A519" s="18" t="str">
        <f>Analysis!A519</f>
        <v>4/2001</v>
      </c>
      <c r="B519" s="19">
        <f>Analysis!E519</f>
        <v>0.5</v>
      </c>
      <c r="C519" s="20">
        <f>Analysis!F519</f>
        <v>0.41587453478450814</v>
      </c>
      <c r="D519" s="30">
        <v>1361.33</v>
      </c>
    </row>
    <row r="520" spans="1:4" ht="15" customHeight="1">
      <c r="A520" s="18" t="str">
        <f>Analysis!A520</f>
        <v>5/2001</v>
      </c>
      <c r="B520" s="19">
        <f>Analysis!E520</f>
        <v>0.57000000000000028</v>
      </c>
      <c r="C520" s="20">
        <f>Analysis!F520</f>
        <v>0.41772716250271424</v>
      </c>
      <c r="D520" s="30">
        <v>1361.59</v>
      </c>
    </row>
    <row r="521" spans="1:4" ht="15" customHeight="1">
      <c r="A521" s="18" t="str">
        <f>Analysis!A521</f>
        <v>6/2001</v>
      </c>
      <c r="B521" s="19">
        <f>Analysis!E521</f>
        <v>0.52999999999999758</v>
      </c>
      <c r="C521" s="20">
        <f>Analysis!F521</f>
        <v>0.41529510039387307</v>
      </c>
      <c r="D521" s="30">
        <v>1361.49</v>
      </c>
    </row>
    <row r="522" spans="1:4" ht="15" customHeight="1">
      <c r="A522" s="18" t="str">
        <f>Analysis!A522</f>
        <v>7/2001</v>
      </c>
      <c r="B522" s="19">
        <f>Analysis!E522</f>
        <v>0.58999999999999986</v>
      </c>
      <c r="C522" s="20">
        <f>Analysis!F522</f>
        <v>0.40863423208911642</v>
      </c>
      <c r="D522" s="30">
        <v>1361.72</v>
      </c>
    </row>
    <row r="523" spans="1:4" ht="15" customHeight="1">
      <c r="A523" s="18" t="str">
        <f>Analysis!A523</f>
        <v>8/2001</v>
      </c>
      <c r="B523" s="19">
        <f>Analysis!E523</f>
        <v>0.47999999999999865</v>
      </c>
      <c r="C523" s="20">
        <f>Analysis!F523</f>
        <v>0.40124036977007455</v>
      </c>
      <c r="D523" s="30">
        <v>1361.42</v>
      </c>
    </row>
    <row r="524" spans="1:4" ht="15" customHeight="1">
      <c r="A524" s="18" t="str">
        <f>Analysis!A524</f>
        <v>9/2001</v>
      </c>
      <c r="B524" s="19">
        <f>Analysis!E524</f>
        <v>0.5199999999999978</v>
      </c>
      <c r="C524" s="20">
        <f>Analysis!F524</f>
        <v>0.39561124850380214</v>
      </c>
      <c r="D524" s="30">
        <v>1361.16</v>
      </c>
    </row>
    <row r="525" spans="1:4" ht="15" customHeight="1">
      <c r="A525" s="18" t="str">
        <f>Analysis!A525</f>
        <v>10/2001</v>
      </c>
      <c r="B525" s="19">
        <f>Analysis!E525</f>
        <v>0.5</v>
      </c>
      <c r="C525" s="20">
        <f>Analysis!F525</f>
        <v>0.39666838312207731</v>
      </c>
      <c r="D525" s="30">
        <v>1361.78</v>
      </c>
    </row>
    <row r="526" spans="1:4" ht="15" customHeight="1">
      <c r="A526" s="18" t="str">
        <f>Analysis!A526</f>
        <v>11/2001</v>
      </c>
      <c r="B526" s="19">
        <f>Analysis!E526</f>
        <v>0.72000000000000242</v>
      </c>
      <c r="C526" s="20">
        <f>Analysis!F526</f>
        <v>0.40186447405316023</v>
      </c>
      <c r="D526" s="30">
        <v>1361.43</v>
      </c>
    </row>
    <row r="527" spans="1:4" ht="15" customHeight="1">
      <c r="A527" s="18" t="str">
        <f>Analysis!A527</f>
        <v>12/2001</v>
      </c>
      <c r="B527" s="19">
        <f>Analysis!E527</f>
        <v>0.54999999999999893</v>
      </c>
      <c r="C527" s="20">
        <f>Analysis!F527</f>
        <v>0.40762467556660881</v>
      </c>
      <c r="D527" s="30">
        <v>1361.89</v>
      </c>
    </row>
    <row r="528" spans="1:4" ht="15" customHeight="1">
      <c r="A528" s="18" t="str">
        <f>Analysis!A528</f>
        <v>1/2002</v>
      </c>
      <c r="B528" s="19">
        <f>Analysis!E528</f>
        <v>0.77000000000000135</v>
      </c>
      <c r="C528" s="20">
        <f>Analysis!F528</f>
        <v>0.4125879918965209</v>
      </c>
      <c r="D528" s="30">
        <v>1362.43</v>
      </c>
    </row>
    <row r="529" spans="1:4" ht="15" customHeight="1">
      <c r="A529" s="18" t="str">
        <f>Analysis!A529</f>
        <v>2/2002</v>
      </c>
      <c r="B529" s="19">
        <f>Analysis!E529</f>
        <v>0.77999999999999758</v>
      </c>
      <c r="C529" s="20">
        <f>Analysis!F529</f>
        <v>0.41517918558409256</v>
      </c>
      <c r="D529" s="30">
        <v>1362.26</v>
      </c>
    </row>
    <row r="530" spans="1:4" ht="15" customHeight="1">
      <c r="A530" s="18" t="str">
        <f>Analysis!A530</f>
        <v>3/2002</v>
      </c>
      <c r="B530" s="19">
        <f>Analysis!E530</f>
        <v>0.88000000000000256</v>
      </c>
      <c r="C530" s="20">
        <f>Analysis!F530</f>
        <v>0.41876822106763295</v>
      </c>
      <c r="D530" s="30">
        <v>1362.05</v>
      </c>
    </row>
    <row r="531" spans="1:4" ht="15" customHeight="1">
      <c r="A531" s="18" t="str">
        <f>Analysis!A531</f>
        <v>4/2002</v>
      </c>
      <c r="B531" s="19">
        <f>Analysis!E531</f>
        <v>0.58000000000000007</v>
      </c>
      <c r="C531" s="20">
        <f>Analysis!F531</f>
        <v>0.4221945488102623</v>
      </c>
      <c r="D531" s="30">
        <v>1361.52</v>
      </c>
    </row>
    <row r="532" spans="1:4" ht="15" customHeight="1">
      <c r="A532" s="18" t="str">
        <f>Analysis!A532</f>
        <v>5/2002</v>
      </c>
      <c r="B532" s="19">
        <f>Analysis!E532</f>
        <v>0.64000000000000234</v>
      </c>
      <c r="C532" s="20">
        <f>Analysis!F532</f>
        <v>0.42503722288541401</v>
      </c>
      <c r="D532" s="30">
        <v>1361.57</v>
      </c>
    </row>
    <row r="533" spans="1:4" ht="15" customHeight="1">
      <c r="A533" s="18" t="str">
        <f>Analysis!A533</f>
        <v>6/2002</v>
      </c>
      <c r="B533" s="19">
        <f>Analysis!E533</f>
        <v>0.52999999999999758</v>
      </c>
      <c r="C533" s="20">
        <f>Analysis!F533</f>
        <v>0.42411588811097739</v>
      </c>
      <c r="D533" s="30">
        <v>1361.63</v>
      </c>
    </row>
    <row r="534" spans="1:4" ht="15" customHeight="1">
      <c r="A534" s="18" t="str">
        <f>Analysis!A534</f>
        <v>7/2002</v>
      </c>
      <c r="B534" s="19">
        <f>Analysis!E534</f>
        <v>0.61000000000000121</v>
      </c>
      <c r="C534" s="20">
        <f>Analysis!F534</f>
        <v>0.41822850669924977</v>
      </c>
      <c r="D534" s="30">
        <v>1361.01</v>
      </c>
    </row>
    <row r="535" spans="1:4" ht="15" customHeight="1">
      <c r="A535" s="18" t="str">
        <f>Analysis!A535</f>
        <v>8/2002</v>
      </c>
      <c r="B535" s="19">
        <f>Analysis!E535</f>
        <v>0.52999999999999758</v>
      </c>
      <c r="C535" s="20">
        <f>Analysis!F535</f>
        <v>0.40999213584619632</v>
      </c>
      <c r="D535" s="30">
        <v>1361.19</v>
      </c>
    </row>
    <row r="536" spans="1:4" ht="15" customHeight="1">
      <c r="A536" s="18" t="str">
        <f>Analysis!A536</f>
        <v>9/2002</v>
      </c>
      <c r="B536" s="19">
        <f>Analysis!E536</f>
        <v>0.64000000000000234</v>
      </c>
      <c r="C536" s="20">
        <f>Analysis!F536</f>
        <v>0.40568123285968838</v>
      </c>
      <c r="D536" s="30">
        <v>1361.35</v>
      </c>
    </row>
    <row r="537" spans="1:4" ht="15" customHeight="1">
      <c r="A537" s="18" t="str">
        <f>Analysis!A537</f>
        <v>10/2002</v>
      </c>
      <c r="B537" s="19">
        <f>Analysis!E537</f>
        <v>0.53999999999999915</v>
      </c>
      <c r="C537" s="20">
        <f>Analysis!F537</f>
        <v>0.40494203764964165</v>
      </c>
      <c r="D537" s="30">
        <v>1361.46</v>
      </c>
    </row>
    <row r="538" spans="1:4" ht="15" customHeight="1">
      <c r="A538" s="18" t="str">
        <f>Analysis!A538</f>
        <v>11/2002</v>
      </c>
      <c r="B538" s="19">
        <f>Analysis!E538</f>
        <v>0.58999999999999986</v>
      </c>
      <c r="C538" s="20">
        <f>Analysis!F538</f>
        <v>0.41154246245041559</v>
      </c>
      <c r="D538" s="30">
        <v>1361.37</v>
      </c>
    </row>
    <row r="539" spans="1:4" ht="15" customHeight="1">
      <c r="A539" s="18" t="str">
        <f>Analysis!A539</f>
        <v>12/2002</v>
      </c>
      <c r="B539" s="19">
        <f>Analysis!E539</f>
        <v>0.44000000000000483</v>
      </c>
      <c r="C539" s="20">
        <f>Analysis!F539</f>
        <v>0.41753429141234943</v>
      </c>
      <c r="D539" s="30">
        <v>1361.8</v>
      </c>
    </row>
    <row r="540" spans="1:4" ht="15" customHeight="1">
      <c r="A540" s="18" t="str">
        <f>Analysis!A540</f>
        <v>1/2003</v>
      </c>
      <c r="B540" s="19">
        <f>Analysis!E540</f>
        <v>0.75</v>
      </c>
      <c r="C540" s="20">
        <f>Analysis!F540</f>
        <v>0.42173304638074988</v>
      </c>
      <c r="D540" s="30">
        <v>1361.63</v>
      </c>
    </row>
    <row r="541" spans="1:4" ht="15" customHeight="1">
      <c r="A541" s="18" t="str">
        <f>Analysis!A541</f>
        <v>2/2003</v>
      </c>
      <c r="B541" s="19">
        <f>Analysis!E541</f>
        <v>0.58000000000000007</v>
      </c>
      <c r="C541" s="20">
        <f>Analysis!F541</f>
        <v>0.42461501748300506</v>
      </c>
      <c r="D541" s="30">
        <v>1361.59</v>
      </c>
    </row>
    <row r="542" spans="1:4" ht="15" customHeight="1">
      <c r="A542" s="18" t="str">
        <f>Analysis!A542</f>
        <v>3/2003</v>
      </c>
      <c r="B542" s="19">
        <f>Analysis!E542</f>
        <v>0.60000000000000142</v>
      </c>
      <c r="C542" s="20">
        <f>Analysis!F542</f>
        <v>0.42775939831875309</v>
      </c>
      <c r="D542" s="30">
        <v>1361.13</v>
      </c>
    </row>
    <row r="543" spans="1:4" ht="15" customHeight="1">
      <c r="A543" s="18" t="str">
        <f>Analysis!A543</f>
        <v>4/2003</v>
      </c>
      <c r="B543" s="19">
        <f>Analysis!E543</f>
        <v>0.54999999999999893</v>
      </c>
      <c r="C543" s="20">
        <f>Analysis!F543</f>
        <v>0.43265404267746627</v>
      </c>
      <c r="D543" s="30">
        <v>1361.11</v>
      </c>
    </row>
    <row r="544" spans="1:4" ht="15" customHeight="1">
      <c r="A544" s="18" t="str">
        <f>Analysis!A544</f>
        <v>5/2003</v>
      </c>
      <c r="B544" s="19">
        <f>Analysis!E544</f>
        <v>0.60000000000000142</v>
      </c>
      <c r="C544" s="20">
        <f>Analysis!F544</f>
        <v>0.43593332976445326</v>
      </c>
      <c r="D544" s="30">
        <v>1361.08</v>
      </c>
    </row>
    <row r="545" spans="1:4" ht="15" customHeight="1">
      <c r="A545" s="18" t="str">
        <f>Analysis!A545</f>
        <v>6/2003</v>
      </c>
      <c r="B545" s="19">
        <f>Analysis!E545</f>
        <v>0.47999999999999865</v>
      </c>
      <c r="C545" s="20">
        <f>Analysis!F545</f>
        <v>0.43471400051463627</v>
      </c>
      <c r="D545" s="30">
        <v>1360.95</v>
      </c>
    </row>
    <row r="546" spans="1:4" ht="15" customHeight="1">
      <c r="A546" s="18" t="str">
        <f>Analysis!A546</f>
        <v>7/2003</v>
      </c>
      <c r="B546" s="19">
        <f>Analysis!E546</f>
        <v>0.58000000000000007</v>
      </c>
      <c r="C546" s="20">
        <f>Analysis!F546</f>
        <v>0.42867840994823009</v>
      </c>
      <c r="D546" s="30">
        <v>1361.1</v>
      </c>
    </row>
    <row r="547" spans="1:4" ht="15" customHeight="1">
      <c r="A547" s="18" t="str">
        <f>Analysis!A547</f>
        <v>8/2003</v>
      </c>
      <c r="B547" s="19">
        <f>Analysis!E547</f>
        <v>0.64000000000000234</v>
      </c>
      <c r="C547" s="20">
        <f>Analysis!F547</f>
        <v>0.41980852893927539</v>
      </c>
      <c r="D547" s="30">
        <v>1361.17</v>
      </c>
    </row>
    <row r="548" spans="1:4" ht="15" customHeight="1">
      <c r="A548" s="18" t="str">
        <f>Analysis!A548</f>
        <v>9/2003</v>
      </c>
      <c r="B548" s="19">
        <f>Analysis!E548</f>
        <v>0.62000000000000099</v>
      </c>
      <c r="C548" s="20">
        <f>Analysis!F548</f>
        <v>0.41506326146026928</v>
      </c>
      <c r="D548" s="30">
        <v>1361.28</v>
      </c>
    </row>
    <row r="549" spans="1:4" ht="15" customHeight="1">
      <c r="A549" s="18" t="str">
        <f>Analysis!A549</f>
        <v>10/2003</v>
      </c>
      <c r="B549" s="19">
        <f>Analysis!E549</f>
        <v>0.72000000000000242</v>
      </c>
      <c r="C549" s="20">
        <f>Analysis!F549</f>
        <v>0.41494732802090711</v>
      </c>
      <c r="D549" s="30">
        <v>1360.31</v>
      </c>
    </row>
    <row r="550" spans="1:4" ht="15" customHeight="1">
      <c r="A550" s="18" t="str">
        <f>Analysis!A550</f>
        <v>11/2003</v>
      </c>
      <c r="B550" s="19">
        <f>Analysis!E550</f>
        <v>0.52999999999999758</v>
      </c>
      <c r="C550" s="20">
        <f>Analysis!F550</f>
        <v>0.42084808719949091</v>
      </c>
      <c r="D550" s="30">
        <v>1361.06</v>
      </c>
    </row>
    <row r="551" spans="1:4" ht="15" customHeight="1">
      <c r="A551" s="18" t="str">
        <f>Analysis!A551</f>
        <v>12/2003</v>
      </c>
      <c r="B551" s="19">
        <f>Analysis!E551</f>
        <v>0.75</v>
      </c>
      <c r="C551" s="20">
        <f>Analysis!F551</f>
        <v>0.42595796965197702</v>
      </c>
      <c r="D551" s="30">
        <v>1361.18</v>
      </c>
    </row>
    <row r="552" spans="1:4" ht="15" customHeight="1">
      <c r="A552" s="18" t="str">
        <f>Analysis!A552</f>
        <v>1/2004</v>
      </c>
      <c r="B552" s="19">
        <f>Analysis!E552</f>
        <v>0.58000000000000007</v>
      </c>
      <c r="C552" s="20">
        <f>Analysis!F552</f>
        <v>0.42978810183201854</v>
      </c>
      <c r="D552" s="30">
        <v>1360.99</v>
      </c>
    </row>
    <row r="553" spans="1:4" ht="15" customHeight="1">
      <c r="A553" s="18" t="str">
        <f>Analysis!A553</f>
        <v>2/2004</v>
      </c>
      <c r="B553" s="19">
        <f>Analysis!E553</f>
        <v>0.72000000000000242</v>
      </c>
      <c r="C553" s="20">
        <f>Analysis!F553</f>
        <v>0.43315022733337655</v>
      </c>
      <c r="D553" s="30">
        <v>1360.99</v>
      </c>
    </row>
    <row r="554" spans="1:4" ht="15" customHeight="1">
      <c r="A554" s="18" t="str">
        <f>Analysis!A554</f>
        <v>3/2004</v>
      </c>
      <c r="B554" s="19">
        <f>Analysis!E554</f>
        <v>0.63000000000000256</v>
      </c>
      <c r="C554" s="20">
        <f>Analysis!F554</f>
        <v>0.4369993981425544</v>
      </c>
      <c r="D554" s="30">
        <v>1361.02</v>
      </c>
    </row>
    <row r="555" spans="1:4" ht="15" customHeight="1">
      <c r="A555" s="18" t="str">
        <f>Analysis!A555</f>
        <v>4/2004</v>
      </c>
      <c r="B555" s="19">
        <f>Analysis!E555</f>
        <v>0.61000000000000121</v>
      </c>
      <c r="C555" s="20">
        <f>Analysis!F555</f>
        <v>0.44262128166655951</v>
      </c>
      <c r="D555" s="30">
        <v>1361.06</v>
      </c>
    </row>
    <row r="556" spans="1:4" ht="15" customHeight="1">
      <c r="A556" s="18" t="str">
        <f>Analysis!A556</f>
        <v>5/2004</v>
      </c>
      <c r="B556" s="19">
        <f>Analysis!E556</f>
        <v>0.36999999999999744</v>
      </c>
      <c r="C556" s="20">
        <f>Analysis!F556</f>
        <v>0.44360665147561484</v>
      </c>
      <c r="D556" s="30">
        <v>1360.9</v>
      </c>
    </row>
    <row r="557" spans="1:4" ht="15" customHeight="1">
      <c r="A557" s="18" t="str">
        <f>Analysis!A557</f>
        <v>6/2004</v>
      </c>
      <c r="B557" s="19">
        <f>Analysis!E557</f>
        <v>0.44000000000000483</v>
      </c>
      <c r="C557" s="20">
        <f>Analysis!F557</f>
        <v>0.44007895337646558</v>
      </c>
      <c r="D557" s="30">
        <v>1360.93</v>
      </c>
    </row>
    <row r="558" spans="1:4" ht="15" customHeight="1">
      <c r="A558" s="18" t="str">
        <f>Analysis!A558</f>
        <v>7/2004</v>
      </c>
      <c r="B558" s="19">
        <f>Analysis!E558</f>
        <v>0.25999999999999979</v>
      </c>
      <c r="C558" s="20">
        <f>Analysis!F558</f>
        <v>0.43162295971329212</v>
      </c>
      <c r="D558" s="30">
        <v>1360.53</v>
      </c>
    </row>
    <row r="559" spans="1:4" ht="15" customHeight="1">
      <c r="A559" s="18" t="str">
        <f>Analysis!A559</f>
        <v>8/2004</v>
      </c>
      <c r="B559" s="19">
        <f>Analysis!E559</f>
        <v>0.44999999999999751</v>
      </c>
      <c r="C559" s="20">
        <f>Analysis!F559</f>
        <v>0.42595796965197702</v>
      </c>
      <c r="D559" s="30">
        <v>1360.71</v>
      </c>
    </row>
    <row r="560" spans="1:4" ht="15" customHeight="1">
      <c r="A560" s="18" t="str">
        <f>Analysis!A560</f>
        <v>9/2004</v>
      </c>
      <c r="B560" s="19">
        <f>Analysis!E560</f>
        <v>0.5</v>
      </c>
      <c r="C560" s="20">
        <f>Analysis!F560</f>
        <v>0.41926920368406412</v>
      </c>
      <c r="D560" s="30">
        <v>1360.98</v>
      </c>
    </row>
    <row r="561" spans="1:4" ht="15" customHeight="1">
      <c r="A561" s="18" t="str">
        <f>Analysis!A561</f>
        <v>10/2004</v>
      </c>
      <c r="B561" s="19">
        <f>Analysis!E561</f>
        <v>0.61000000000000121</v>
      </c>
      <c r="C561" s="20">
        <f>Analysis!F561</f>
        <v>0.42003960662918038</v>
      </c>
      <c r="D561" s="30">
        <v>1360.97</v>
      </c>
    </row>
    <row r="562" spans="1:4" ht="15" customHeight="1">
      <c r="A562" s="18" t="str">
        <f>Analysis!A562</f>
        <v>11/2004</v>
      </c>
      <c r="B562" s="19">
        <f>Analysis!E562</f>
        <v>0.7300000000000022</v>
      </c>
      <c r="C562" s="20">
        <f>Analysis!F562</f>
        <v>0.42657147452910854</v>
      </c>
      <c r="D562" s="30">
        <v>1360.88</v>
      </c>
    </row>
    <row r="563" spans="1:4" ht="15" customHeight="1">
      <c r="A563" s="18" t="str">
        <f>Analysis!A563</f>
        <v>12/2004</v>
      </c>
      <c r="B563" s="19">
        <f>Analysis!E563</f>
        <v>0.50999999999999801</v>
      </c>
      <c r="C563" s="20">
        <f>Analysis!F563</f>
        <v>0.43173756088430215</v>
      </c>
      <c r="D563" s="30">
        <v>1361.07</v>
      </c>
    </row>
    <row r="564" spans="1:4" ht="15" customHeight="1">
      <c r="A564" s="18" t="str">
        <f>Analysis!A564</f>
        <v>1/2005</v>
      </c>
      <c r="B564" s="19">
        <f>Analysis!E564</f>
        <v>0.75</v>
      </c>
      <c r="C564" s="20">
        <f>Analysis!F564</f>
        <v>0.43536189749141069</v>
      </c>
      <c r="D564" s="30">
        <v>1360.62</v>
      </c>
    </row>
    <row r="565" spans="1:4" ht="15" customHeight="1">
      <c r="A565" s="18" t="str">
        <f>Analysis!A565</f>
        <v>2/2005</v>
      </c>
      <c r="B565" s="19">
        <f>Analysis!E565</f>
        <v>0.60000000000000142</v>
      </c>
      <c r="C565" s="20">
        <f>Analysis!F565</f>
        <v>0.4402308599854548</v>
      </c>
      <c r="D565" s="30">
        <v>1360.8</v>
      </c>
    </row>
    <row r="566" spans="1:4" ht="15" customHeight="1">
      <c r="A566" s="18" t="str">
        <f>Analysis!A566</f>
        <v>3/2005</v>
      </c>
      <c r="B566" s="19">
        <f>Analysis!E566</f>
        <v>0.73999999999999666</v>
      </c>
      <c r="C566" s="20">
        <f>Analysis!F566</f>
        <v>0.44417482806617692</v>
      </c>
      <c r="D566" s="30">
        <v>1360.75</v>
      </c>
    </row>
    <row r="567" spans="1:4" ht="15" customHeight="1">
      <c r="A567" s="18" t="str">
        <f>Analysis!A567</f>
        <v>4/2005</v>
      </c>
      <c r="B567" s="19">
        <f>Analysis!E567</f>
        <v>0.66999999999999993</v>
      </c>
      <c r="C567" s="20">
        <f>Analysis!F567</f>
        <v>0.44995748362800358</v>
      </c>
      <c r="D567" s="30">
        <v>1360.72</v>
      </c>
    </row>
    <row r="568" spans="1:4" ht="15" customHeight="1">
      <c r="A568" s="18" t="str">
        <f>Analysis!A568</f>
        <v>5/2005</v>
      </c>
      <c r="B568" s="19">
        <f>Analysis!E568</f>
        <v>0.63000000000000256</v>
      </c>
      <c r="C568" s="20">
        <f>Analysis!F568</f>
        <v>0.45056086926661437</v>
      </c>
      <c r="D568" s="30">
        <v>1360.66</v>
      </c>
    </row>
    <row r="569" spans="1:4" ht="15" customHeight="1">
      <c r="A569" s="18" t="str">
        <f>Analysis!A569</f>
        <v>6/2005</v>
      </c>
      <c r="B569" s="19">
        <f>Analysis!E569</f>
        <v>0.65000000000000213</v>
      </c>
      <c r="C569" s="20">
        <f>Analysis!F569</f>
        <v>0.44965569614841971</v>
      </c>
      <c r="D569" s="30">
        <v>1360.64</v>
      </c>
    </row>
    <row r="570" spans="1:4" ht="15" customHeight="1">
      <c r="A570" s="18" t="str">
        <f>Analysis!A570</f>
        <v>7/2005</v>
      </c>
      <c r="B570" s="19">
        <f>Analysis!E570</f>
        <v>0.61000000000000121</v>
      </c>
      <c r="C570" s="20">
        <f>Analysis!F570</f>
        <v>0.44409908411483445</v>
      </c>
      <c r="D570" s="30">
        <v>1360.7</v>
      </c>
    </row>
    <row r="571" spans="1:4" ht="15" customHeight="1">
      <c r="A571" s="18" t="str">
        <f>Analysis!A571</f>
        <v>8/2005</v>
      </c>
      <c r="B571" s="19">
        <f>Analysis!E571</f>
        <v>0.60000000000000142</v>
      </c>
      <c r="C571" s="20">
        <f>Analysis!F571</f>
        <v>0.43650453579040066</v>
      </c>
      <c r="D571" s="30">
        <v>1360.78</v>
      </c>
    </row>
    <row r="572" spans="1:4" ht="15" customHeight="1">
      <c r="A572" s="18" t="str">
        <f>Analysis!A572</f>
        <v>9/2005</v>
      </c>
      <c r="B572" s="19">
        <f>Analysis!E572</f>
        <v>0.72000000000000242</v>
      </c>
      <c r="C572" s="20">
        <f>Analysis!F572</f>
        <v>0.42871668939795532</v>
      </c>
      <c r="D572" s="30">
        <v>1360.64</v>
      </c>
    </row>
    <row r="573" spans="1:4" ht="15" customHeight="1">
      <c r="A573" s="18" t="str">
        <f>Analysis!A573</f>
        <v>10/2005</v>
      </c>
      <c r="B573" s="19">
        <f>Analysis!E573</f>
        <v>0.75999999999999801</v>
      </c>
      <c r="C573" s="20">
        <f>Analysis!F573</f>
        <v>0.42986460085324052</v>
      </c>
      <c r="D573" s="30">
        <v>1360.78</v>
      </c>
    </row>
    <row r="574" spans="1:4" ht="15" customHeight="1">
      <c r="A574" s="18" t="str">
        <f>Analysis!A574</f>
        <v>11/2005</v>
      </c>
      <c r="B574" s="19">
        <f>Analysis!E574</f>
        <v>0.73999999999999666</v>
      </c>
      <c r="C574" s="20">
        <f>Analysis!F574</f>
        <v>0.43501892945440074</v>
      </c>
      <c r="D574" s="30">
        <v>1360.62</v>
      </c>
    </row>
    <row r="575" spans="1:4" ht="15" customHeight="1">
      <c r="A575" s="18" t="str">
        <f>Analysis!A575</f>
        <v>12/2005</v>
      </c>
      <c r="B575" s="19">
        <f>Analysis!E575</f>
        <v>0.67999999999999972</v>
      </c>
      <c r="C575" s="20">
        <f>Analysis!F575</f>
        <v>0.44174904700923706</v>
      </c>
      <c r="D575" s="30">
        <v>1360.72</v>
      </c>
    </row>
    <row r="576" spans="1:4" ht="15" customHeight="1">
      <c r="A576" s="18" t="str">
        <f>Analysis!A576</f>
        <v>1/2006</v>
      </c>
      <c r="B576" s="19">
        <f>Analysis!E576</f>
        <v>0.55999999999999872</v>
      </c>
      <c r="C576" s="20">
        <f>Analysis!F576</f>
        <v>0.44655872924400647</v>
      </c>
      <c r="D576" s="30">
        <v>1360.77</v>
      </c>
    </row>
    <row r="577" spans="1:4" ht="15" customHeight="1">
      <c r="A577" s="18" t="str">
        <f>Analysis!A577</f>
        <v>2/2006</v>
      </c>
      <c r="B577" s="19">
        <f>Analysis!E577</f>
        <v>0.73999999999999666</v>
      </c>
      <c r="C577" s="20">
        <f>Analysis!F577</f>
        <v>0.44965569614841971</v>
      </c>
      <c r="D577" s="30">
        <v>1360.74</v>
      </c>
    </row>
    <row r="578" spans="1:4" ht="15" customHeight="1">
      <c r="A578" s="18" t="str">
        <f>Analysis!A578</f>
        <v>3/2006</v>
      </c>
      <c r="B578" s="19">
        <f>Analysis!E578</f>
        <v>0.63000000000000256</v>
      </c>
      <c r="C578" s="20">
        <f>Analysis!F578</f>
        <v>0.4513901126832936</v>
      </c>
      <c r="D578" s="30">
        <v>1360.68</v>
      </c>
    </row>
    <row r="579" spans="1:4" ht="15" customHeight="1">
      <c r="A579" s="18" t="str">
        <f>Analysis!A579</f>
        <v>4/2006</v>
      </c>
      <c r="B579" s="19">
        <f>Analysis!E579</f>
        <v>0.47000000000000242</v>
      </c>
      <c r="C579" s="20">
        <f>Analysis!F579</f>
        <v>0.45868197193771321</v>
      </c>
      <c r="D579" s="30">
        <v>1360.65</v>
      </c>
    </row>
    <row r="580" spans="1:4" ht="15" customHeight="1">
      <c r="A580" s="18" t="str">
        <f>Analysis!A580</f>
        <v>5/2006</v>
      </c>
      <c r="B580" s="19">
        <f>Analysis!E580</f>
        <v>0.47999999999999865</v>
      </c>
      <c r="C580" s="20">
        <f>Analysis!F580</f>
        <v>0.46025578035116405</v>
      </c>
      <c r="D580" s="30">
        <v>1360.84</v>
      </c>
    </row>
    <row r="581" spans="1:4" ht="15" customHeight="1">
      <c r="A581" s="18" t="str">
        <f>Analysis!A581</f>
        <v>6/2006</v>
      </c>
      <c r="B581" s="19">
        <f>Analysis!E581</f>
        <v>0.66999999999999993</v>
      </c>
      <c r="C581" s="20">
        <f>Analysis!F581</f>
        <v>0.45658088651772205</v>
      </c>
      <c r="D581" s="30">
        <v>1360.71</v>
      </c>
    </row>
    <row r="582" spans="1:4" ht="15" customHeight="1">
      <c r="A582" s="18" t="str">
        <f>Analysis!A582</f>
        <v>7/2006</v>
      </c>
      <c r="B582" s="19">
        <f>Analysis!E582</f>
        <v>0.53999999999999915</v>
      </c>
      <c r="C582" s="20">
        <f>Analysis!F582</f>
        <v>0.45059857249129948</v>
      </c>
      <c r="D582" s="30">
        <v>1360.68</v>
      </c>
    </row>
    <row r="583" spans="1:4" ht="15" customHeight="1">
      <c r="A583" s="18" t="str">
        <f>Analysis!A583</f>
        <v>8/2006</v>
      </c>
      <c r="B583" s="19">
        <f>Analysis!E583</f>
        <v>0.71000000000000085</v>
      </c>
      <c r="C583" s="20">
        <f>Analysis!F583</f>
        <v>0.44284873444169331</v>
      </c>
      <c r="D583" s="30">
        <v>1360.54</v>
      </c>
    </row>
    <row r="584" spans="1:4" ht="15" customHeight="1">
      <c r="A584" s="18" t="str">
        <f>Analysis!A584</f>
        <v>9/2006</v>
      </c>
      <c r="B584" s="19">
        <f>Analysis!E584</f>
        <v>0.66000000000000369</v>
      </c>
      <c r="C584" s="20">
        <f>Analysis!F584</f>
        <v>0.4369232765205403</v>
      </c>
      <c r="D584" s="30">
        <v>1360.72</v>
      </c>
    </row>
    <row r="585" spans="1:4" ht="15" customHeight="1">
      <c r="A585" s="18" t="str">
        <f>Analysis!A585</f>
        <v>10/2006</v>
      </c>
      <c r="B585" s="19">
        <f>Analysis!E585</f>
        <v>0.71000000000000085</v>
      </c>
      <c r="C585" s="20">
        <f>Analysis!F585</f>
        <v>0.43802664712394201</v>
      </c>
      <c r="D585" s="30">
        <v>1360.74</v>
      </c>
    </row>
    <row r="586" spans="1:4" ht="15" customHeight="1">
      <c r="A586" s="18" t="str">
        <f>Analysis!A586</f>
        <v>11/2006</v>
      </c>
      <c r="B586" s="19">
        <f>Analysis!E586</f>
        <v>0.7300000000000022</v>
      </c>
      <c r="C586" s="20">
        <f>Analysis!F586</f>
        <v>0.44190077787897852</v>
      </c>
      <c r="D586" s="30">
        <v>1360.53</v>
      </c>
    </row>
    <row r="587" spans="1:4" ht="15" customHeight="1">
      <c r="A587" s="18" t="str">
        <f>Analysis!A587</f>
        <v>12/2006</v>
      </c>
      <c r="B587" s="19">
        <f>Analysis!E587</f>
        <v>0.79000000000000092</v>
      </c>
      <c r="C587" s="20">
        <f>Analysis!F587</f>
        <v>0.44822134288530163</v>
      </c>
      <c r="D587" s="30">
        <v>1360.55</v>
      </c>
    </row>
    <row r="588" spans="1:4" ht="15" customHeight="1">
      <c r="A588" s="18" t="str">
        <f>Analysis!A588</f>
        <v>1/2007</v>
      </c>
      <c r="B588" s="19">
        <f>Analysis!E588</f>
        <v>1.0099999999999998</v>
      </c>
      <c r="C588" s="20">
        <f>Analysis!F588</f>
        <v>0.45229419859155129</v>
      </c>
      <c r="D588" s="30">
        <v>1360.53</v>
      </c>
    </row>
    <row r="589" spans="1:4" ht="15" customHeight="1">
      <c r="A589" s="18" t="str">
        <f>Analysis!A589</f>
        <v>2/2007</v>
      </c>
      <c r="B589" s="19">
        <f>Analysis!E589</f>
        <v>0.70000000000000107</v>
      </c>
      <c r="C589" s="20">
        <f>Analysis!F589</f>
        <v>0.45613025554704617</v>
      </c>
      <c r="D589" s="30">
        <v>1360.59</v>
      </c>
    </row>
    <row r="590" spans="1:4" ht="15" customHeight="1">
      <c r="A590" s="18" t="str">
        <f>Analysis!A590</f>
        <v>3/2007</v>
      </c>
      <c r="B590" s="19">
        <f>Analysis!E590</f>
        <v>0.71000000000000085</v>
      </c>
      <c r="C590" s="20">
        <f>Analysis!F590</f>
        <v>0.45871946352542553</v>
      </c>
      <c r="D590" s="30">
        <v>1360.66</v>
      </c>
    </row>
    <row r="591" spans="1:4" ht="15" customHeight="1">
      <c r="A591" s="18" t="str">
        <f>Analysis!A591</f>
        <v>4/2007</v>
      </c>
      <c r="B591" s="19">
        <f>Analysis!E591</f>
        <v>0.77000000000000135</v>
      </c>
      <c r="C591" s="20">
        <f>Analysis!F591</f>
        <v>0.46589985649655991</v>
      </c>
      <c r="D591" s="30">
        <v>1360.59</v>
      </c>
    </row>
    <row r="592" spans="1:4" ht="15" customHeight="1">
      <c r="A592" s="18" t="str">
        <f>Analysis!A592</f>
        <v>5/2007</v>
      </c>
      <c r="B592" s="19">
        <f>Analysis!E592</f>
        <v>0.69000000000000128</v>
      </c>
      <c r="C592" s="20">
        <f>Analysis!F592</f>
        <v>0.46608636928151376</v>
      </c>
      <c r="D592" s="30">
        <v>1360.57</v>
      </c>
    </row>
    <row r="593" spans="1:4" ht="15" customHeight="1">
      <c r="A593" s="18" t="str">
        <f>Analysis!A593</f>
        <v>6/2007</v>
      </c>
      <c r="B593" s="19">
        <f>Analysis!E593</f>
        <v>0.61000000000000121</v>
      </c>
      <c r="C593" s="20">
        <f>Analysis!F593</f>
        <v>0.4644068855296089</v>
      </c>
      <c r="D593" s="30">
        <v>1360.65</v>
      </c>
    </row>
    <row r="594" spans="1:4" ht="15" customHeight="1">
      <c r="A594" s="18" t="str">
        <f>Analysis!A594</f>
        <v>7/2007</v>
      </c>
      <c r="B594" s="19">
        <f>Analysis!E594</f>
        <v>0.60000000000000142</v>
      </c>
      <c r="C594" s="20">
        <f>Analysis!F594</f>
        <v>0.45841950353975386</v>
      </c>
      <c r="D594" s="30">
        <v>1360.61</v>
      </c>
    </row>
    <row r="595" spans="1:4" ht="15" customHeight="1">
      <c r="A595" s="18" t="str">
        <f>Analysis!A595</f>
        <v>8/2007</v>
      </c>
      <c r="B595" s="19">
        <f>Analysis!E595</f>
        <v>0.60000000000000142</v>
      </c>
      <c r="C595" s="20">
        <f>Analysis!F595</f>
        <v>0.44905193173664115</v>
      </c>
      <c r="D595" s="30">
        <v>1360.66</v>
      </c>
    </row>
    <row r="596" spans="1:4" ht="15" customHeight="1">
      <c r="A596" s="18" t="str">
        <f>Analysis!A596</f>
        <v>9/2007</v>
      </c>
      <c r="B596" s="19">
        <f>Analysis!E596</f>
        <v>0.60000000000000142</v>
      </c>
      <c r="C596" s="20">
        <f>Analysis!F596</f>
        <v>0.44512129207761308</v>
      </c>
      <c r="D596" s="30">
        <v>1360.6</v>
      </c>
    </row>
    <row r="597" spans="1:4" ht="15" customHeight="1">
      <c r="A597" s="18" t="str">
        <f>Analysis!A597</f>
        <v>10/2007</v>
      </c>
      <c r="B597" s="19">
        <f>Analysis!E597</f>
        <v>0.58999999999999986</v>
      </c>
      <c r="C597" s="20">
        <f>Analysis!F597</f>
        <v>0.44576453312043945</v>
      </c>
      <c r="D597" s="30">
        <v>1360.6</v>
      </c>
    </row>
    <row r="598" spans="1:4" ht="15" customHeight="1">
      <c r="A598" s="18" t="str">
        <f>Analysis!A598</f>
        <v>11/2007</v>
      </c>
      <c r="B598" s="19">
        <f>Analysis!E598</f>
        <v>0.58999999999999986</v>
      </c>
      <c r="C598" s="20">
        <f>Analysis!F598</f>
        <v>0.4507870738361669</v>
      </c>
      <c r="D598" s="30">
        <v>1360.59</v>
      </c>
    </row>
    <row r="599" spans="1:4" ht="15" customHeight="1">
      <c r="A599" s="18" t="str">
        <f>Analysis!A599</f>
        <v>12/2007</v>
      </c>
      <c r="B599" s="19">
        <f>Analysis!E599</f>
        <v>0.5</v>
      </c>
      <c r="C599" s="20">
        <f>Analysis!F599</f>
        <v>0.45639314071876497</v>
      </c>
      <c r="D599" s="30">
        <v>1360.6</v>
      </c>
    </row>
    <row r="600" spans="1:4" ht="15" customHeight="1">
      <c r="A600" s="18" t="str">
        <f>Analysis!A600</f>
        <v>1/2008</v>
      </c>
      <c r="B600" s="19">
        <f>Analysis!E600</f>
        <v>0.30000000000000249</v>
      </c>
      <c r="C600" s="20">
        <f>Analysis!F600</f>
        <v>0.46235152448856948</v>
      </c>
      <c r="D600" s="30">
        <v>1360.69</v>
      </c>
    </row>
    <row r="601" spans="1:4" ht="15" customHeight="1">
      <c r="A601" s="18" t="str">
        <f>Analysis!A601</f>
        <v>2/2008</v>
      </c>
      <c r="B601" s="19">
        <f>Analysis!E601</f>
        <v>0.38000000000000256</v>
      </c>
      <c r="C601" s="20">
        <f>Analysis!F601</f>
        <v>0.46339825601108536</v>
      </c>
      <c r="D601" s="30">
        <v>1360.63</v>
      </c>
    </row>
    <row r="602" spans="1:4" ht="15" customHeight="1">
      <c r="A602" s="18" t="str">
        <f>Analysis!A602</f>
        <v>3/2008</v>
      </c>
      <c r="B602" s="19">
        <f>Analysis!E602</f>
        <v>0.75</v>
      </c>
      <c r="C602" s="20">
        <f>Analysis!F602</f>
        <v>0.46422015547914297</v>
      </c>
      <c r="D602" s="30">
        <v>1360.57</v>
      </c>
    </row>
    <row r="603" spans="1:4" ht="15" customHeight="1">
      <c r="A603" s="18" t="str">
        <f>Analysis!A603</f>
        <v>4/2008</v>
      </c>
      <c r="B603" s="19">
        <f>Analysis!E603</f>
        <v>0.53999999999999915</v>
      </c>
      <c r="C603" s="20">
        <f>Analysis!F603</f>
        <v>0.46813642006500927</v>
      </c>
      <c r="D603" s="30">
        <v>1360.66</v>
      </c>
    </row>
    <row r="604" spans="1:4" ht="15" customHeight="1">
      <c r="A604" s="18" t="str">
        <f>Analysis!A604</f>
        <v>5/2008</v>
      </c>
      <c r="B604" s="19">
        <f>Analysis!E604</f>
        <v>0.5</v>
      </c>
      <c r="C604" s="20">
        <f>Analysis!F604</f>
        <v>0.47352717715675879</v>
      </c>
      <c r="D604" s="30">
        <v>1360.64</v>
      </c>
    </row>
    <row r="605" spans="1:4" ht="15" customHeight="1">
      <c r="A605" s="18" t="str">
        <f>Analysis!A605</f>
        <v>6/2008</v>
      </c>
      <c r="B605" s="19">
        <f>Analysis!E605</f>
        <v>0.5</v>
      </c>
      <c r="C605" s="20">
        <f>Analysis!F605</f>
        <v>0.47059264190111394</v>
      </c>
      <c r="D605" s="30">
        <v>1360.6</v>
      </c>
    </row>
    <row r="606" spans="1:4" ht="15" customHeight="1">
      <c r="A606" s="18" t="str">
        <f>Analysis!A606</f>
        <v>7/2008</v>
      </c>
      <c r="B606" s="19">
        <f>Analysis!E606</f>
        <v>0.60000000000000142</v>
      </c>
      <c r="C606" s="20">
        <f>Analysis!F606</f>
        <v>0.46548944347381965</v>
      </c>
      <c r="D606" s="30">
        <v>1360.6</v>
      </c>
    </row>
    <row r="607" spans="1:4" ht="15" customHeight="1">
      <c r="A607" s="18" t="str">
        <f>Analysis!A607</f>
        <v>8/2008</v>
      </c>
      <c r="B607" s="19">
        <f>Analysis!E607</f>
        <v>0.44999999999999751</v>
      </c>
      <c r="C607" s="20">
        <f>Analysis!F607</f>
        <v>0.45688122898594291</v>
      </c>
      <c r="D607" s="30">
        <v>1360.59</v>
      </c>
    </row>
    <row r="608" spans="1:4" ht="15" customHeight="1">
      <c r="A608" s="18" t="str">
        <f>Analysis!A608</f>
        <v>9/2008</v>
      </c>
      <c r="B608" s="19">
        <f>Analysis!E608</f>
        <v>0.60000000000000142</v>
      </c>
      <c r="C608" s="20">
        <f>Analysis!F608</f>
        <v>0.45346113832373852</v>
      </c>
      <c r="D608" s="30">
        <v>1360.58</v>
      </c>
    </row>
    <row r="609" spans="1:4" ht="15" customHeight="1">
      <c r="A609" s="18" t="str">
        <f>Analysis!A609</f>
        <v>10/2008</v>
      </c>
      <c r="B609" s="19">
        <f>Analysis!E609</f>
        <v>0.66999999999999993</v>
      </c>
      <c r="C609" s="20">
        <f>Analysis!F609</f>
        <v>0.45274602917491535</v>
      </c>
      <c r="D609" s="30">
        <v>1360.6</v>
      </c>
    </row>
    <row r="610" spans="1:4" ht="15" customHeight="1">
      <c r="A610" s="18" t="str">
        <f>Analysis!A610</f>
        <v>11/2008</v>
      </c>
      <c r="B610" s="19">
        <f>Analysis!E610</f>
        <v>0.69000000000000128</v>
      </c>
      <c r="C610" s="20">
        <f>Analysis!F610</f>
        <v>0.45721903954172527</v>
      </c>
      <c r="D610" s="30">
        <v>1360.59</v>
      </c>
    </row>
    <row r="611" spans="1:4" ht="15" customHeight="1">
      <c r="A611" s="18" t="str">
        <f>Analysis!A611</f>
        <v>12/2008</v>
      </c>
      <c r="B611" s="19">
        <f>Analysis!E611</f>
        <v>0.53999999999999915</v>
      </c>
      <c r="C611" s="20">
        <f>Analysis!F611</f>
        <v>0.4623889208373384</v>
      </c>
      <c r="D611" s="30">
        <v>1360.57</v>
      </c>
    </row>
    <row r="612" spans="1:4" ht="15" customHeight="1">
      <c r="A612" s="18" t="str">
        <f>Analysis!A612</f>
        <v>1/2009</v>
      </c>
      <c r="B612" s="19">
        <f>Analysis!E612</f>
        <v>0.65000000000000213</v>
      </c>
      <c r="C612" s="20">
        <f>Analysis!F612</f>
        <v>0.46754034205383838</v>
      </c>
      <c r="D612" s="30">
        <v>1360.56</v>
      </c>
    </row>
    <row r="613" spans="1:4" ht="15" customHeight="1">
      <c r="A613" s="18" t="str">
        <f>Analysis!A613</f>
        <v>2/2009</v>
      </c>
      <c r="B613" s="19">
        <f>Analysis!E613</f>
        <v>0.52999999999999758</v>
      </c>
      <c r="C613" s="20">
        <f>Analysis!F613</f>
        <v>0.46951390791885167</v>
      </c>
      <c r="D613" s="30">
        <v>1360.58</v>
      </c>
    </row>
    <row r="614" spans="1:4" ht="15" customHeight="1">
      <c r="A614" s="18" t="str">
        <f>Analysis!A614</f>
        <v>3/2009</v>
      </c>
      <c r="B614" s="19">
        <f>Analysis!E614</f>
        <v>0.52999999999999758</v>
      </c>
      <c r="C614" s="20">
        <f>Analysis!F614</f>
        <v>0.47449166951900662</v>
      </c>
      <c r="D614" s="30">
        <v>1360.59</v>
      </c>
    </row>
    <row r="615" spans="1:4" ht="15" customHeight="1">
      <c r="A615" s="18" t="str">
        <f>Analysis!A615</f>
        <v>4/2009</v>
      </c>
      <c r="B615" s="19">
        <f>Analysis!E615</f>
        <v>0.61000000000000121</v>
      </c>
      <c r="C615" s="20">
        <f>Analysis!F615</f>
        <v>0.47715921118664112</v>
      </c>
      <c r="D615" s="30">
        <v>1360.58</v>
      </c>
    </row>
    <row r="616" spans="1:4" ht="15" customHeight="1">
      <c r="A616" s="18" t="str">
        <f>Analysis!A616</f>
        <v>5/2009</v>
      </c>
      <c r="B616" s="19">
        <f>Analysis!E616</f>
        <v>0.65000000000000213</v>
      </c>
      <c r="C616" s="20">
        <f>Analysis!F616</f>
        <v>0.47937840104259694</v>
      </c>
      <c r="D616" s="30">
        <v>1360.64</v>
      </c>
    </row>
    <row r="617" spans="1:4" ht="15" customHeight="1">
      <c r="A617" s="18" t="str">
        <f>Analysis!A617</f>
        <v>6/2009</v>
      </c>
      <c r="B617" s="19">
        <f>Analysis!E617</f>
        <v>0.63000000000000256</v>
      </c>
      <c r="C617" s="20">
        <f>Analysis!F617</f>
        <v>0.47693710433670838</v>
      </c>
      <c r="D617" s="30">
        <v>1360.62</v>
      </c>
    </row>
    <row r="618" spans="1:4" ht="15" customHeight="1">
      <c r="A618" s="18" t="str">
        <f>Analysis!A618</f>
        <v>7/2009</v>
      </c>
      <c r="B618" s="19">
        <f>Analysis!E618</f>
        <v>0.73999999999999666</v>
      </c>
      <c r="C618" s="20">
        <f>Analysis!F618</f>
        <v>0.47152193804450682</v>
      </c>
      <c r="D618" s="30">
        <v>1360.59</v>
      </c>
    </row>
    <row r="619" spans="1:4" ht="15" customHeight="1">
      <c r="A619" s="18" t="str">
        <f>Analysis!A619</f>
        <v>8/2009</v>
      </c>
      <c r="B619" s="19">
        <f>Analysis!E619</f>
        <v>0.69000000000000128</v>
      </c>
      <c r="C619" s="20">
        <f>Analysis!F619</f>
        <v>0.46425750342278521</v>
      </c>
      <c r="D619" s="30">
        <v>1360.59</v>
      </c>
    </row>
    <row r="620" spans="1:4" ht="15" customHeight="1">
      <c r="A620" s="18" t="str">
        <f>Analysis!A620</f>
        <v>9/2009</v>
      </c>
      <c r="B620" s="19">
        <f>Analysis!E620</f>
        <v>0.72000000000000242</v>
      </c>
      <c r="C620" s="20">
        <f>Analysis!F620</f>
        <v>0.45924424347749254</v>
      </c>
      <c r="D620" s="30">
        <v>1360.59</v>
      </c>
    </row>
    <row r="621" spans="1:4" ht="15" customHeight="1">
      <c r="A621" s="18" t="str">
        <f>Analysis!A621</f>
        <v>10/2009</v>
      </c>
      <c r="B621" s="19">
        <f>Analysis!E621</f>
        <v>0.65000000000000213</v>
      </c>
      <c r="C621" s="20">
        <f>Analysis!F621</f>
        <v>0.45808197399149425</v>
      </c>
      <c r="D621" s="30">
        <v>1360.6</v>
      </c>
    </row>
    <row r="622" spans="1:4" ht="15" customHeight="1">
      <c r="A622" s="18" t="str">
        <f>Analysis!A622</f>
        <v>11/2009</v>
      </c>
      <c r="B622" s="19">
        <f>Analysis!E622</f>
        <v>0.79999999999999893</v>
      </c>
      <c r="C622" s="20">
        <f>Analysis!F622</f>
        <v>0.46403340125681564</v>
      </c>
      <c r="D622" s="30">
        <v>1360.68</v>
      </c>
    </row>
    <row r="623" spans="1:4" ht="15" customHeight="1">
      <c r="A623" s="18" t="str">
        <f>Analysis!A623</f>
        <v>12/2009</v>
      </c>
      <c r="B623" s="19">
        <f>Analysis!E623</f>
        <v>0.66999999999999993</v>
      </c>
      <c r="C623" s="20">
        <f>Analysis!F623</f>
        <v>0.46925340296447982</v>
      </c>
      <c r="D623" s="30">
        <v>1360.67</v>
      </c>
    </row>
    <row r="624" spans="1:4" ht="15" customHeight="1">
      <c r="A624" s="18" t="str">
        <f>Analysis!A624</f>
        <v>1/2010</v>
      </c>
      <c r="B624" s="19">
        <f>Analysis!E624</f>
        <v>0.75</v>
      </c>
      <c r="C624" s="20">
        <f>Analysis!F624</f>
        <v>0.47400950393751357</v>
      </c>
      <c r="D624" s="30">
        <v>1360.69</v>
      </c>
    </row>
    <row r="625" spans="1:4" ht="15" customHeight="1">
      <c r="A625" s="18" t="str">
        <f>Analysis!A625</f>
        <v>2/2010</v>
      </c>
      <c r="B625" s="19">
        <f>Analysis!E625</f>
        <v>0.83999999999999986</v>
      </c>
      <c r="C625" s="20">
        <f>Analysis!F625</f>
        <v>0.47956317953598965</v>
      </c>
      <c r="D625" s="30">
        <v>1360.8</v>
      </c>
    </row>
    <row r="626" spans="1:4" ht="15" customHeight="1">
      <c r="A626" s="18" t="str">
        <f>Analysis!A626</f>
        <v>3/2010</v>
      </c>
      <c r="B626" s="19">
        <f>Analysis!E626</f>
        <v>0.91999999999999993</v>
      </c>
      <c r="C626" s="20">
        <f>Analysis!F626</f>
        <v>0.48310634496717497</v>
      </c>
      <c r="D626" s="30">
        <v>1360.76</v>
      </c>
    </row>
    <row r="627" spans="1:4" ht="15" customHeight="1">
      <c r="A627" s="18" t="str">
        <f>Analysis!A627</f>
        <v>4/2010</v>
      </c>
      <c r="B627" s="19">
        <f>Analysis!E627</f>
        <v>0.8500000000000032</v>
      </c>
      <c r="C627" s="20">
        <f>Analysis!F627</f>
        <v>0.4878905530991211</v>
      </c>
      <c r="D627" s="30">
        <v>1360.83</v>
      </c>
    </row>
    <row r="628" spans="1:4" ht="15" customHeight="1">
      <c r="A628" s="18" t="str">
        <f>Analysis!A628</f>
        <v>5/2010</v>
      </c>
      <c r="B628" s="19">
        <f>Analysis!E628</f>
        <v>0.75</v>
      </c>
      <c r="C628" s="20">
        <f>Analysis!F628</f>
        <v>0.4898731851668387</v>
      </c>
      <c r="D628" s="30">
        <v>1360.8</v>
      </c>
    </row>
    <row r="629" spans="1:4" ht="15" customHeight="1">
      <c r="A629" s="18" t="str">
        <f>Analysis!A629</f>
        <v>6/2010</v>
      </c>
      <c r="B629" s="19">
        <f>Analysis!E629</f>
        <v>0.67999999999999972</v>
      </c>
      <c r="C629" s="20">
        <f>Analysis!F629</f>
        <v>0.4868246806556118</v>
      </c>
      <c r="D629" s="30">
        <v>1360.76</v>
      </c>
    </row>
    <row r="630" spans="1:4" ht="15" customHeight="1">
      <c r="A630" s="18" t="str">
        <f>Analysis!A630</f>
        <v>7/2010</v>
      </c>
      <c r="B630" s="19">
        <f>Analysis!E630</f>
        <v>0.63000000000000256</v>
      </c>
      <c r="C630" s="20">
        <f>Analysis!F630</f>
        <v>0.47956317953598965</v>
      </c>
      <c r="D630" s="30">
        <v>1360.86</v>
      </c>
    </row>
    <row r="631" spans="1:4" ht="15" customHeight="1">
      <c r="A631" s="18" t="str">
        <f>Analysis!A631</f>
        <v>8/2010</v>
      </c>
      <c r="B631" s="19">
        <f>Analysis!E631</f>
        <v>0.66999999999999993</v>
      </c>
      <c r="C631" s="20">
        <f>Analysis!F631</f>
        <v>0.47263630384637006</v>
      </c>
      <c r="D631" s="30">
        <v>1360.82</v>
      </c>
    </row>
    <row r="632" spans="1:4" ht="15" customHeight="1">
      <c r="A632" s="18" t="str">
        <f>Analysis!A632</f>
        <v>9/2010</v>
      </c>
      <c r="B632" s="19">
        <f>Analysis!E632</f>
        <v>0.63000000000000256</v>
      </c>
      <c r="C632" s="20">
        <f>Analysis!F632</f>
        <v>0.46701857168978234</v>
      </c>
      <c r="D632" s="30">
        <v>1360.81</v>
      </c>
    </row>
    <row r="633" spans="1:4" ht="15" customHeight="1">
      <c r="A633" s="18" t="str">
        <f>Analysis!A633</f>
        <v>10/2010</v>
      </c>
      <c r="B633" s="19">
        <f>Analysis!E633</f>
        <v>0.71000000000000085</v>
      </c>
      <c r="C633" s="20">
        <f>Analysis!F633</f>
        <v>0.46850884379594554</v>
      </c>
      <c r="D633" s="30">
        <v>1360.71</v>
      </c>
    </row>
    <row r="634" spans="1:4" ht="15" customHeight="1">
      <c r="A634" s="18" t="str">
        <f>Analysis!A634</f>
        <v>11/2010</v>
      </c>
      <c r="B634" s="19">
        <f>Analysis!E634</f>
        <v>0.81000000000000227</v>
      </c>
      <c r="C634" s="20">
        <f>Analysis!F634</f>
        <v>0.47386111287143712</v>
      </c>
      <c r="D634" s="30">
        <v>1360.82</v>
      </c>
    </row>
    <row r="635" spans="1:4" ht="15" customHeight="1">
      <c r="A635" s="18" t="str">
        <f>Analysis!A635</f>
        <v>12/2010</v>
      </c>
      <c r="B635" s="19">
        <f>Analysis!E635</f>
        <v>0.44999999999999751</v>
      </c>
      <c r="C635" s="20">
        <f>Analysis!F635</f>
        <v>0.47801030414984191</v>
      </c>
      <c r="D635" s="30">
        <v>1360.77</v>
      </c>
    </row>
    <row r="636" spans="1:4" ht="15" customHeight="1">
      <c r="A636" s="18" t="str">
        <f>Analysis!A636</f>
        <v>1/2011</v>
      </c>
      <c r="B636" s="19">
        <f>Analysis!E636</f>
        <v>0.5199999999999978</v>
      </c>
      <c r="C636" s="20">
        <f>Analysis!F636</f>
        <v>0.48358548034607413</v>
      </c>
      <c r="D636" s="30">
        <v>1360.79</v>
      </c>
    </row>
    <row r="637" spans="1:4" ht="15" customHeight="1">
      <c r="A637" s="18" t="str">
        <f>Analysis!A637</f>
        <v>2/2011</v>
      </c>
      <c r="B637" s="19">
        <f>Analysis!E637</f>
        <v>0.47000000000000242</v>
      </c>
      <c r="C637" s="20">
        <f>Analysis!F637</f>
        <v>0.48561083266005051</v>
      </c>
      <c r="D637" s="30">
        <v>1360.82</v>
      </c>
    </row>
    <row r="638" spans="1:4" ht="15" customHeight="1">
      <c r="A638" s="18" t="str">
        <f>Analysis!A638</f>
        <v>3/2011</v>
      </c>
      <c r="B638" s="19">
        <f>Analysis!E638</f>
        <v>0.65000000000000213</v>
      </c>
      <c r="C638" s="20">
        <f>Analysis!F638</f>
        <v>0.48836810248236423</v>
      </c>
      <c r="D638" s="30">
        <v>1360.82</v>
      </c>
    </row>
    <row r="639" spans="1:4" ht="15" customHeight="1">
      <c r="A639" s="18" t="str">
        <f>Analysis!A639</f>
        <v>4/2011</v>
      </c>
      <c r="B639" s="19">
        <f>Analysis!E639</f>
        <v>0.64000000000000234</v>
      </c>
      <c r="C639" s="20">
        <f>Analysis!F639</f>
        <v>0.49071681287639107</v>
      </c>
      <c r="D639" s="30">
        <v>1361.19</v>
      </c>
    </row>
    <row r="640" spans="1:4" ht="15" customHeight="1">
      <c r="A640" s="18" t="str">
        <f>Analysis!A640</f>
        <v>5/2011</v>
      </c>
      <c r="B640" s="19">
        <f>Analysis!E640</f>
        <v>0.52999999999999758</v>
      </c>
      <c r="C640" s="20">
        <f>Analysis!F640</f>
        <v>0.49426930357072107</v>
      </c>
      <c r="D640" s="30">
        <v>1361.17</v>
      </c>
    </row>
    <row r="641" spans="1:4" ht="15" customHeight="1">
      <c r="A641" s="18" t="str">
        <f>Analysis!A641</f>
        <v>6/2011</v>
      </c>
      <c r="B641" s="19">
        <f>Analysis!E641</f>
        <v>0.62000000000000099</v>
      </c>
      <c r="C641" s="20">
        <f>Analysis!F641</f>
        <v>0.49258570776646082</v>
      </c>
      <c r="D641" s="30">
        <v>1361.08</v>
      </c>
    </row>
    <row r="642" spans="1:4" ht="15" customHeight="1">
      <c r="A642" s="18" t="str">
        <f>Analysis!A642</f>
        <v>7/2011</v>
      </c>
      <c r="B642" s="19">
        <f>Analysis!E642</f>
        <v>0.71000000000000085</v>
      </c>
      <c r="C642" s="20">
        <f>Analysis!F642</f>
        <v>0.48807424464635712</v>
      </c>
      <c r="D642" s="30">
        <v>1361.04</v>
      </c>
    </row>
    <row r="643" spans="1:4" ht="15" customHeight="1">
      <c r="A643" s="18" t="str">
        <f>Analysis!A643</f>
        <v>8/2011</v>
      </c>
      <c r="B643" s="19">
        <f>Analysis!E643</f>
        <v>0.73999999999999666</v>
      </c>
      <c r="C643" s="20">
        <f>Analysis!F643</f>
        <v>0.47926752258572419</v>
      </c>
      <c r="D643" s="30">
        <v>1360.98</v>
      </c>
    </row>
    <row r="644" spans="1:4" ht="15" customHeight="1">
      <c r="A644" s="18" t="str">
        <f>Analysis!A644</f>
        <v>9/2011</v>
      </c>
      <c r="B644" s="19">
        <f>Analysis!E644</f>
        <v>0.55999999999999872</v>
      </c>
      <c r="C644" s="20">
        <f>Analysis!F644</f>
        <v>0.47538139821873787</v>
      </c>
      <c r="D644" s="30">
        <v>1361</v>
      </c>
    </row>
    <row r="645" spans="1:4" ht="15" customHeight="1">
      <c r="A645" s="18" t="str">
        <f>Analysis!A645</f>
        <v>10/2011</v>
      </c>
      <c r="B645" s="19">
        <f>Analysis!E645</f>
        <v>0.65000000000000213</v>
      </c>
      <c r="C645" s="20">
        <f>Analysis!F645</f>
        <v>0.47504781425465853</v>
      </c>
      <c r="D645" s="30">
        <v>1361.16</v>
      </c>
    </row>
    <row r="646" spans="1:4" ht="15" customHeight="1">
      <c r="A646" s="18" t="str">
        <f>Analysis!A646</f>
        <v>11/2011</v>
      </c>
      <c r="B646" s="19">
        <f>Analysis!E646</f>
        <v>0.60000000000000142</v>
      </c>
      <c r="C646" s="20">
        <f>Analysis!F646</f>
        <v>0.47982182967399284</v>
      </c>
      <c r="D646" s="30">
        <v>1361.28</v>
      </c>
    </row>
    <row r="647" spans="1:4" ht="15" customHeight="1">
      <c r="A647" s="18" t="str">
        <f>Analysis!A647</f>
        <v>12/2011</v>
      </c>
      <c r="B647" s="19">
        <f>Analysis!E647</f>
        <v>0.60000000000000142</v>
      </c>
      <c r="C647" s="20">
        <f>Analysis!F647</f>
        <v>0.48564763094194874</v>
      </c>
      <c r="D647" s="30">
        <v>1361.47</v>
      </c>
    </row>
    <row r="648" spans="1:4" ht="15" customHeight="1">
      <c r="A648" s="18" t="str">
        <f>Analysis!A648</f>
        <v>1/2012</v>
      </c>
      <c r="B648" s="19">
        <f>Analysis!E648</f>
        <v>0.47000000000000242</v>
      </c>
      <c r="C648" s="20">
        <f>Analysis!F648</f>
        <v>0.4902400404403634</v>
      </c>
      <c r="D648" s="30">
        <v>1361.26</v>
      </c>
    </row>
    <row r="649" spans="1:4" ht="15" customHeight="1">
      <c r="A649" s="18" t="str">
        <f>Analysis!A649</f>
        <v>2/2012</v>
      </c>
      <c r="B649" s="19">
        <f>Analysis!E649</f>
        <v>0.47999999999999865</v>
      </c>
      <c r="C649" s="20">
        <f>Analysis!F649</f>
        <v>0.49291526157867827</v>
      </c>
      <c r="D649" s="30">
        <v>1361.24</v>
      </c>
    </row>
    <row r="650" spans="1:4" ht="15" customHeight="1">
      <c r="A650" s="18" t="str">
        <f>Analysis!A650</f>
        <v>3/2012</v>
      </c>
      <c r="B650" s="19">
        <f>Analysis!E650</f>
        <v>0.57000000000000028</v>
      </c>
      <c r="C650" s="20">
        <f>Analysis!F650</f>
        <v>0.49492756747912453</v>
      </c>
      <c r="D650" s="30">
        <v>1361.01</v>
      </c>
    </row>
    <row r="651" spans="1:4" ht="15" customHeight="1">
      <c r="A651" s="18" t="str">
        <f>Analysis!A651</f>
        <v>4/2012</v>
      </c>
      <c r="B651" s="19">
        <f>Analysis!E651</f>
        <v>0.7300000000000022</v>
      </c>
      <c r="C651" s="20">
        <f>Analysis!F651</f>
        <v>0.50145734365703309</v>
      </c>
      <c r="D651" s="30">
        <v>1361.13</v>
      </c>
    </row>
    <row r="652" spans="1:4" ht="15" customHeight="1">
      <c r="A652" s="18" t="str">
        <f>Analysis!A652</f>
        <v>5/2012</v>
      </c>
      <c r="B652" s="19">
        <f>Analysis!E652</f>
        <v>0.77999999999999758</v>
      </c>
      <c r="C652" s="20">
        <f>Analysis!F652</f>
        <v>0.50345777829071003</v>
      </c>
      <c r="D652" s="30">
        <v>1361.05</v>
      </c>
    </row>
    <row r="653" spans="1:4" ht="15" customHeight="1">
      <c r="A653" s="18" t="str">
        <f>Analysis!A653</f>
        <v>6/2012</v>
      </c>
      <c r="B653" s="19">
        <f>Analysis!E653</f>
        <v>0.65000000000000213</v>
      </c>
      <c r="C653" s="20">
        <f>Analysis!F653</f>
        <v>0.49974568063274527</v>
      </c>
      <c r="D653" s="30">
        <v>1361.19</v>
      </c>
    </row>
    <row r="654" spans="1:4" ht="15" customHeight="1">
      <c r="A654" s="18" t="str">
        <f>Analysis!A654</f>
        <v>7/2012</v>
      </c>
      <c r="B654" s="19">
        <f>Analysis!E654</f>
        <v>0.58999999999999986</v>
      </c>
      <c r="C654" s="20">
        <f>Analysis!F654</f>
        <v>0.49481787768314806</v>
      </c>
      <c r="D654" s="30">
        <v>1360.96</v>
      </c>
    </row>
    <row r="655" spans="1:4" ht="15" customHeight="1">
      <c r="A655" s="18" t="str">
        <f>Analysis!A655</f>
        <v>8/2012</v>
      </c>
      <c r="B655" s="19">
        <f>Analysis!E655</f>
        <v>0.66000000000000369</v>
      </c>
      <c r="C655" s="20">
        <f>Analysis!F655</f>
        <v>0.48759659796662874</v>
      </c>
      <c r="D655" s="30">
        <v>1361.32</v>
      </c>
    </row>
    <row r="656" spans="1:4" ht="15" customHeight="1">
      <c r="A656" s="18" t="str">
        <f>Analysis!A656</f>
        <v>9/2012</v>
      </c>
      <c r="B656" s="19">
        <f>Analysis!E656</f>
        <v>0.72000000000000242</v>
      </c>
      <c r="C656" s="20">
        <f>Analysis!F656</f>
        <v>0.48292201974993032</v>
      </c>
      <c r="D656" s="30">
        <v>1361.46</v>
      </c>
    </row>
    <row r="657" spans="1:4" ht="15" customHeight="1">
      <c r="A657" s="18" t="str">
        <f>Analysis!A657</f>
        <v>10/2012</v>
      </c>
      <c r="B657" s="19">
        <f>Analysis!E657</f>
        <v>0.79999999999999893</v>
      </c>
      <c r="C657" s="20">
        <f>Analysis!F657</f>
        <v>0.48273767097945647</v>
      </c>
      <c r="D657" s="30">
        <v>1361.25</v>
      </c>
    </row>
    <row r="658" spans="1:4" ht="15" customHeight="1">
      <c r="A658" s="18" t="str">
        <f>Analysis!A658</f>
        <v>11/2012</v>
      </c>
      <c r="B658" s="19">
        <f>Analysis!E658</f>
        <v>0.77999999999999758</v>
      </c>
      <c r="C658" s="20">
        <f>Analysis!F658</f>
        <v>0.48983649450825167</v>
      </c>
      <c r="D658" s="30">
        <v>1361.23</v>
      </c>
    </row>
    <row r="659" spans="1:4" ht="15" customHeight="1">
      <c r="A659" s="18" t="str">
        <f>Analysis!A659</f>
        <v>12/2012</v>
      </c>
      <c r="B659" s="19">
        <f>Analysis!E659</f>
        <v>0.52999999999999758</v>
      </c>
      <c r="C659" s="20">
        <f>Analysis!F659</f>
        <v>0.49485444187513067</v>
      </c>
      <c r="D659" s="30">
        <v>1361.22</v>
      </c>
    </row>
    <row r="660" spans="1:4" ht="15" customHeight="1">
      <c r="A660" s="18" t="str">
        <f>Analysis!A660</f>
        <v>1/2013</v>
      </c>
      <c r="B660" s="19">
        <f>Analysis!E660</f>
        <v>0.71000000000000085</v>
      </c>
      <c r="C660" s="20">
        <f>Analysis!F660</f>
        <v>0.49927188316908833</v>
      </c>
      <c r="D660" s="30">
        <v>1361.16</v>
      </c>
    </row>
    <row r="661" spans="1:4" ht="15" customHeight="1">
      <c r="A661" s="18" t="str">
        <f>Analysis!A661</f>
        <v>2/2013</v>
      </c>
      <c r="B661" s="19">
        <f>Analysis!E661</f>
        <v>0.62000000000000099</v>
      </c>
      <c r="C661" s="20">
        <f>Analysis!F661</f>
        <v>0.50382119585545315</v>
      </c>
      <c r="D661" s="30">
        <v>1361.2</v>
      </c>
    </row>
    <row r="662" spans="1:4" ht="15" customHeight="1">
      <c r="A662" s="18" t="str">
        <f>Analysis!A662</f>
        <v>3/2013</v>
      </c>
      <c r="B662" s="19">
        <f>Analysis!E662</f>
        <v>0.66999999999999993</v>
      </c>
      <c r="C662" s="20">
        <f>Analysis!F662</f>
        <v>0.50610862382400879</v>
      </c>
      <c r="D662" s="30">
        <v>1361.25</v>
      </c>
    </row>
    <row r="663" spans="1:4" ht="15" customHeight="1">
      <c r="A663" s="18" t="str">
        <f>Analysis!A663</f>
        <v>4/2013</v>
      </c>
      <c r="B663" s="19">
        <f>Analysis!E663</f>
        <v>0.52999999999999758</v>
      </c>
      <c r="C663" s="20">
        <f>Analysis!F663</f>
        <v>0.50965965196384122</v>
      </c>
      <c r="D663" s="30">
        <v>1361.09</v>
      </c>
    </row>
    <row r="664" spans="1:4" ht="15" customHeight="1">
      <c r="A664" s="18" t="str">
        <f>Analysis!A664</f>
        <v>5/2013</v>
      </c>
      <c r="B664" s="19">
        <f>Analysis!E664</f>
        <v>0.60000000000000142</v>
      </c>
      <c r="C664" s="20">
        <f>Analysis!F664</f>
        <v>0.51464530577849399</v>
      </c>
      <c r="D664" s="30">
        <v>1361.33</v>
      </c>
    </row>
    <row r="665" spans="1:4" ht="15" customHeight="1">
      <c r="A665" s="18" t="str">
        <f>Analysis!A665</f>
        <v>6/2013</v>
      </c>
      <c r="B665" s="19">
        <f>Analysis!E665</f>
        <v>0.70000000000000107</v>
      </c>
      <c r="C665" s="20">
        <f>Analysis!F665</f>
        <v>0.5102747580160486</v>
      </c>
      <c r="D665" s="30">
        <v>1361.32</v>
      </c>
    </row>
    <row r="666" spans="1:4" ht="15" customHeight="1">
      <c r="A666" s="18" t="str">
        <f>Analysis!A666</f>
        <v>7/2013</v>
      </c>
      <c r="B666" s="19">
        <f>Analysis!E666</f>
        <v>0.60000000000000142</v>
      </c>
      <c r="C666" s="20">
        <f>Analysis!F666</f>
        <v>0.50556432698509302</v>
      </c>
      <c r="D666" s="30">
        <v>1361.36</v>
      </c>
    </row>
    <row r="667" spans="1:4" ht="15" customHeight="1">
      <c r="A667" s="18" t="str">
        <f>Analysis!A667</f>
        <v>8/2013</v>
      </c>
      <c r="B667" s="19">
        <f>Analysis!E667</f>
        <v>0.70000000000000107</v>
      </c>
      <c r="C667" s="20">
        <f>Analysis!F667</f>
        <v>0.49784955645922896</v>
      </c>
      <c r="D667" s="30">
        <v>1361.42</v>
      </c>
    </row>
    <row r="668" spans="1:4" ht="15" customHeight="1">
      <c r="A668" s="18" t="str">
        <f>Analysis!A668</f>
        <v>9/2013</v>
      </c>
      <c r="B668" s="19">
        <f>Analysis!E668</f>
        <v>0.77000000000000135</v>
      </c>
      <c r="C668" s="20">
        <f>Analysis!F668</f>
        <v>0.49174317251988486</v>
      </c>
      <c r="D668" s="30">
        <v>1361.39</v>
      </c>
    </row>
    <row r="669" spans="1:4" ht="15" customHeight="1">
      <c r="A669" s="18" t="str">
        <f>Analysis!A669</f>
        <v>10/2013</v>
      </c>
      <c r="B669" s="19">
        <f>Analysis!E669</f>
        <v>0.69000000000000128</v>
      </c>
      <c r="C669" s="20">
        <f>Analysis!F669</f>
        <v>0.49240258978171431</v>
      </c>
      <c r="D669" s="30">
        <v>1361.09</v>
      </c>
    </row>
    <row r="670" spans="1:4" ht="15" customHeight="1">
      <c r="A670" s="18" t="str">
        <f>Analysis!A670</f>
        <v>11/2013</v>
      </c>
      <c r="B670" s="19">
        <f>Analysis!E670</f>
        <v>0.83000000000000362</v>
      </c>
      <c r="C670" s="20">
        <f>Analysis!F670</f>
        <v>0.49774008860909347</v>
      </c>
      <c r="D670" s="30">
        <v>1361.09</v>
      </c>
    </row>
    <row r="671" spans="1:4" ht="15" customHeight="1">
      <c r="A671" s="18" t="str">
        <f>Analysis!A671</f>
        <v>12/2013</v>
      </c>
      <c r="B671" s="19">
        <f>Analysis!E671</f>
        <v>0.70000000000000107</v>
      </c>
      <c r="C671" s="20">
        <f>Analysis!F671</f>
        <v>0.50382119585545315</v>
      </c>
      <c r="D671" s="30">
        <v>1361.45</v>
      </c>
    </row>
    <row r="672" spans="1:4" ht="15" customHeight="1">
      <c r="A672" s="18" t="str">
        <f>Analysis!A672</f>
        <v>1/2014</v>
      </c>
      <c r="B672" s="19">
        <f>Analysis!E672</f>
        <v>0.75999999999999801</v>
      </c>
      <c r="C672" s="20">
        <f>Analysis!F672</f>
        <v>0.50748659078948732</v>
      </c>
      <c r="D672" s="30">
        <v>1361.27</v>
      </c>
    </row>
    <row r="673" spans="1:4" ht="15" customHeight="1">
      <c r="A673" s="18" t="str">
        <f>Analysis!A673</f>
        <v>2/2014</v>
      </c>
      <c r="B673" s="19">
        <f>Analysis!E673</f>
        <v>0.54999999999999893</v>
      </c>
      <c r="C673" s="20">
        <f>Analysis!F673</f>
        <v>0.50831998448950766</v>
      </c>
      <c r="D673" s="30">
        <v>1361.01</v>
      </c>
    </row>
    <row r="674" spans="1:4" ht="15" customHeight="1">
      <c r="A674" s="18" t="str">
        <f>Analysis!A674</f>
        <v>3/2014</v>
      </c>
      <c r="B674" s="19">
        <f>Analysis!E674</f>
        <v>0.77999999999999758</v>
      </c>
      <c r="C674" s="20">
        <f>Analysis!F674</f>
        <v>0.51424852992186132</v>
      </c>
      <c r="D674" s="30">
        <v>1361.77</v>
      </c>
    </row>
    <row r="675" spans="1:4" ht="15" customHeight="1">
      <c r="A675" s="18" t="str">
        <f>Analysis!A675</f>
        <v>4/2014</v>
      </c>
      <c r="B675" s="19">
        <f>Analysis!E675</f>
        <v>0.81000000000000227</v>
      </c>
      <c r="C675" s="20">
        <f>Analysis!F675</f>
        <v>0.52000909275354024</v>
      </c>
      <c r="D675" s="30">
        <v>1361.49</v>
      </c>
    </row>
    <row r="676" spans="1:4" ht="15" customHeight="1">
      <c r="A676" s="18" t="str">
        <f>Analysis!A676</f>
        <v>5/2014</v>
      </c>
      <c r="B676" s="19">
        <f>Analysis!E676</f>
        <v>0.86999999999999744</v>
      </c>
      <c r="C676" s="20">
        <f>Analysis!F676</f>
        <v>0.52162511534624834</v>
      </c>
      <c r="D676" s="30">
        <v>1361.38</v>
      </c>
    </row>
    <row r="677" spans="1:4" ht="15" customHeight="1">
      <c r="A677" s="18" t="str">
        <f>Analysis!A677</f>
        <v>6/2014</v>
      </c>
      <c r="B677" s="19">
        <f>Analysis!E677</f>
        <v>0.66999999999999993</v>
      </c>
      <c r="C677" s="20">
        <f>Analysis!F677</f>
        <v>0.5197216102426353</v>
      </c>
      <c r="D677" s="30">
        <v>1361.24</v>
      </c>
    </row>
    <row r="678" spans="1:4" ht="15" customHeight="1">
      <c r="A678" s="18" t="str">
        <f>Analysis!A678</f>
        <v>7/2014</v>
      </c>
      <c r="B678" s="19">
        <f>Analysis!E678</f>
        <v>0.58000000000000007</v>
      </c>
      <c r="C678" s="20">
        <f>Analysis!F678</f>
        <v>0.51193784891495564</v>
      </c>
      <c r="D678" s="30">
        <v>1361.27</v>
      </c>
    </row>
    <row r="679" spans="1:4" ht="15" customHeight="1">
      <c r="A679" s="18" t="str">
        <f>Analysis!A679</f>
        <v>8/2014</v>
      </c>
      <c r="B679" s="19">
        <f>Analysis!E679</f>
        <v>0.83000000000000362</v>
      </c>
      <c r="C679" s="20">
        <f>Analysis!F679</f>
        <v>0.50436615061227197</v>
      </c>
      <c r="D679" s="30">
        <v>1361.49</v>
      </c>
    </row>
    <row r="680" spans="1:4" ht="15" customHeight="1">
      <c r="A680" s="18" t="str">
        <f>Analysis!A680</f>
        <v>9/2014</v>
      </c>
      <c r="B680" s="19">
        <f>Analysis!E680</f>
        <v>0.88000000000000256</v>
      </c>
      <c r="C680" s="20">
        <f>Analysis!F680</f>
        <v>0.49839677115263525</v>
      </c>
      <c r="D680" s="30">
        <v>1361.51</v>
      </c>
    </row>
    <row r="681" spans="1:4" ht="15" customHeight="1">
      <c r="A681" s="18" t="str">
        <f>Analysis!A681</f>
        <v>10/2014</v>
      </c>
      <c r="B681" s="19">
        <f>Analysis!E681</f>
        <v>0.79999999999999893</v>
      </c>
      <c r="C681" s="20">
        <f>Analysis!F681</f>
        <v>0.50065639249457372</v>
      </c>
      <c r="D681" s="30">
        <v>1361.14</v>
      </c>
    </row>
    <row r="682" spans="1:4" ht="15" customHeight="1">
      <c r="A682" s="18" t="str">
        <f>Analysis!A682</f>
        <v>11/2014</v>
      </c>
      <c r="B682" s="19">
        <f>Analysis!E682</f>
        <v>0.66999999999999993</v>
      </c>
      <c r="C682" s="20">
        <f>Analysis!F682</f>
        <v>0.50516504541734131</v>
      </c>
      <c r="D682" s="30">
        <v>1361.55</v>
      </c>
    </row>
    <row r="683" spans="1:4" ht="15" customHeight="1">
      <c r="A683" s="18" t="str">
        <f>Analysis!A683</f>
        <v>12/2014</v>
      </c>
      <c r="B683" s="19">
        <f>Analysis!E683</f>
        <v>0.79000000000000092</v>
      </c>
      <c r="C683" s="20">
        <f>Analysis!F683</f>
        <v>0.51125115244612851</v>
      </c>
      <c r="D683" s="30">
        <v>1361.48</v>
      </c>
    </row>
    <row r="684" spans="1:4" ht="15" customHeight="1">
      <c r="A684" s="18" t="str">
        <f>Analysis!A684</f>
        <v>1/2015</v>
      </c>
      <c r="B684" s="19">
        <f>Analysis!E684</f>
        <v>0.86000000000000121</v>
      </c>
      <c r="C684" s="20">
        <f>Analysis!F684</f>
        <v>0.51522223956909252</v>
      </c>
      <c r="D684" s="30">
        <v>1361.52</v>
      </c>
    </row>
    <row r="685" spans="1:4" ht="15" customHeight="1">
      <c r="A685" s="18" t="str">
        <f>Analysis!A685</f>
        <v>2/2015</v>
      </c>
      <c r="B685" s="19">
        <f>Analysis!E685</f>
        <v>0.91000000000000014</v>
      </c>
      <c r="C685" s="20">
        <f>Analysis!F685</f>
        <v>0.51655551596218474</v>
      </c>
      <c r="D685" s="30">
        <v>1361.91</v>
      </c>
    </row>
    <row r="686" spans="1:4" ht="15" customHeight="1">
      <c r="A686" s="18" t="str">
        <f>Analysis!A686</f>
        <v>3/2015</v>
      </c>
      <c r="B686" s="19">
        <f>Analysis!E686</f>
        <v>0.95999999999999908</v>
      </c>
      <c r="C686" s="20">
        <f>Analysis!F686</f>
        <v>0.52083528601459983</v>
      </c>
      <c r="D686" s="30">
        <v>1361.71</v>
      </c>
    </row>
    <row r="687" spans="1:4" ht="15" customHeight="1">
      <c r="A687" s="18" t="str">
        <f>Analysis!A687</f>
        <v>4/2015</v>
      </c>
      <c r="B687" s="19">
        <f>Analysis!E687</f>
        <v>0.75</v>
      </c>
      <c r="C687" s="20">
        <f>Analysis!F687</f>
        <v>0.52660542876170069</v>
      </c>
      <c r="D687" s="30">
        <v>1361.7</v>
      </c>
    </row>
    <row r="688" spans="1:4" ht="15" customHeight="1">
      <c r="A688" s="18" t="str">
        <f>Analysis!A688</f>
        <v>5/2015</v>
      </c>
      <c r="B688" s="19">
        <f>Analysis!E688</f>
        <v>0.79999999999999893</v>
      </c>
      <c r="C688" s="20">
        <f>Analysis!F688</f>
        <v>0.52946402049003916</v>
      </c>
      <c r="D688" s="30">
        <v>1361.48</v>
      </c>
    </row>
    <row r="689" spans="1:4" ht="15" customHeight="1">
      <c r="A689" s="18" t="str">
        <f>Analysis!A689</f>
        <v>6/2015</v>
      </c>
      <c r="B689" s="19">
        <f>Analysis!E689</f>
        <v>0.82000000000000028</v>
      </c>
      <c r="C689" s="20">
        <f>Analysis!F689</f>
        <v>0.52524561093224054</v>
      </c>
      <c r="D689" s="30">
        <v>1361.29</v>
      </c>
    </row>
    <row r="690" spans="1:4" ht="15" customHeight="1">
      <c r="A690" s="18" t="str">
        <f>Analysis!A690</f>
        <v>7/2015</v>
      </c>
      <c r="B690" s="19">
        <f>Analysis!E690</f>
        <v>0.7300000000000022</v>
      </c>
      <c r="C690" s="20">
        <f>Analysis!F690</f>
        <v>0.51982942289753653</v>
      </c>
      <c r="D690" s="30">
        <v>1361.41</v>
      </c>
    </row>
    <row r="691" spans="1:4" ht="15" customHeight="1">
      <c r="A691" s="18" t="str">
        <f>Analysis!A691</f>
        <v>8/2015</v>
      </c>
      <c r="B691" s="19">
        <f>Analysis!E691</f>
        <v>0.79999999999999893</v>
      </c>
      <c r="C691" s="20">
        <f>Analysis!F691</f>
        <v>0.51135959993669367</v>
      </c>
      <c r="D691" s="30">
        <v>1361.09</v>
      </c>
    </row>
    <row r="692" spans="1:4" ht="15" customHeight="1">
      <c r="A692" s="18" t="str">
        <f>Analysis!A692</f>
        <v>9/2015</v>
      </c>
      <c r="B692" s="19">
        <f>Analysis!E692</f>
        <v>0.83999999999999986</v>
      </c>
      <c r="C692" s="20">
        <f>Analysis!F692</f>
        <v>0.50668898086543035</v>
      </c>
      <c r="D692" s="30">
        <v>1361.05</v>
      </c>
    </row>
    <row r="693" spans="1:4" ht="15" customHeight="1">
      <c r="A693" s="18" t="str">
        <f>Analysis!A693</f>
        <v>10/2015</v>
      </c>
      <c r="B693" s="19">
        <f>Analysis!E693</f>
        <v>1.0800000000000036</v>
      </c>
      <c r="C693" s="20">
        <f>Analysis!F693</f>
        <v>0.50911669345346611</v>
      </c>
      <c r="D693" s="30">
        <v>1361.24</v>
      </c>
    </row>
    <row r="694" spans="1:4" ht="15" customHeight="1">
      <c r="A694" s="18" t="str">
        <f>Analysis!A694</f>
        <v>11/2015</v>
      </c>
      <c r="B694" s="19">
        <f>Analysis!E694</f>
        <v>1.0600000000000023</v>
      </c>
      <c r="C694" s="20">
        <f>Analysis!F694</f>
        <v>0.51554666346621814</v>
      </c>
      <c r="D694" s="30">
        <v>1361.34</v>
      </c>
    </row>
    <row r="695" spans="1:4" ht="15" customHeight="1">
      <c r="A695" s="18" t="str">
        <f>Analysis!A695</f>
        <v>12/2015</v>
      </c>
      <c r="B695" s="19">
        <f>Analysis!E695</f>
        <v>1.1699999999999964</v>
      </c>
      <c r="C695" s="20">
        <f>Analysis!F695</f>
        <v>0.52198398578437877</v>
      </c>
      <c r="D695" s="30">
        <v>1361.22</v>
      </c>
    </row>
    <row r="696" spans="1:4" ht="15" customHeight="1">
      <c r="A696" s="18" t="str">
        <f>Analysis!A696</f>
        <v>1/2016</v>
      </c>
      <c r="B696" s="19">
        <f>Analysis!E696</f>
        <v>1.1799999999999997</v>
      </c>
      <c r="C696" s="20">
        <f>Analysis!F696</f>
        <v>0.52438611777087951</v>
      </c>
      <c r="D696" s="30">
        <v>1361.2</v>
      </c>
    </row>
    <row r="697" spans="1:4" ht="15" customHeight="1">
      <c r="A697" s="18" t="str">
        <f>Analysis!A697</f>
        <v>2/2016</v>
      </c>
      <c r="B697" s="19">
        <f>Analysis!E697</f>
        <v>1.370000000000001</v>
      </c>
      <c r="C697" s="20">
        <f>Analysis!F697</f>
        <v>0.52982094652869527</v>
      </c>
      <c r="D697" s="30">
        <v>1361.23</v>
      </c>
    </row>
    <row r="698" spans="1:4" ht="15" customHeight="1">
      <c r="A698" s="18" t="str">
        <f>Analysis!A698</f>
        <v>3/2016</v>
      </c>
      <c r="B698" s="19">
        <f>Analysis!E698</f>
        <v>1.3499999999999979</v>
      </c>
      <c r="C698" s="20">
        <f>Analysis!F698</f>
        <v>0.53270879759518996</v>
      </c>
      <c r="D698" s="30">
        <v>1361.07</v>
      </c>
    </row>
    <row r="699" spans="1:4" ht="15" customHeight="1">
      <c r="A699" s="18" t="str">
        <f>Analysis!A699</f>
        <v>4/2016</v>
      </c>
      <c r="B699" s="19">
        <f>Analysis!E699</f>
        <v>1.0899999999999999</v>
      </c>
      <c r="C699" s="20">
        <f>Analysis!F699</f>
        <v>0.54172722433348508</v>
      </c>
      <c r="D699" s="30">
        <v>1360.8</v>
      </c>
    </row>
    <row r="700" spans="1:4" ht="15" customHeight="1">
      <c r="A700" s="18" t="str">
        <f>Analysis!A700</f>
        <v>5/2016</v>
      </c>
      <c r="B700" s="19">
        <f>Analysis!E700</f>
        <v>0.95999999999999908</v>
      </c>
      <c r="C700" s="20">
        <f>Analysis!F700</f>
        <v>0.5427886799601942</v>
      </c>
      <c r="D700" s="30">
        <v>1360.94</v>
      </c>
    </row>
    <row r="701" spans="1:4" ht="15" customHeight="1">
      <c r="A701" s="18" t="str">
        <f>Analysis!A701</f>
        <v>6/2016</v>
      </c>
      <c r="B701" s="19">
        <f>Analysis!E701</f>
        <v>0.81000000000000227</v>
      </c>
      <c r="C701" s="20">
        <f>Analysis!F701</f>
        <v>0.53956651983320436</v>
      </c>
      <c r="D701" s="30">
        <v>1360.99</v>
      </c>
    </row>
    <row r="702" spans="1:4" ht="15" customHeight="1">
      <c r="A702" s="18" t="str">
        <f>Analysis!A702</f>
        <v>7/2016</v>
      </c>
      <c r="B702" s="19">
        <f>Analysis!E702</f>
        <v>0.83999999999999986</v>
      </c>
      <c r="C702" s="20">
        <f>Analysis!F702</f>
        <v>0.53103383496841972</v>
      </c>
      <c r="D702" s="30">
        <v>1360.91</v>
      </c>
    </row>
    <row r="703" spans="1:4" ht="15" customHeight="1">
      <c r="A703" s="18" t="str">
        <f>Analysis!A703</f>
        <v>8/2016</v>
      </c>
      <c r="B703" s="19">
        <f>Analysis!E703</f>
        <v>1.0099999999999998</v>
      </c>
      <c r="C703" s="20">
        <f>Analysis!F703</f>
        <v>0.52338272814934861</v>
      </c>
      <c r="D703" s="30">
        <v>1360.92</v>
      </c>
    </row>
    <row r="704" spans="1:4" ht="15" customHeight="1">
      <c r="A704" s="18" t="str">
        <f>Analysis!A704</f>
        <v>9/2016</v>
      </c>
      <c r="B704" s="19">
        <f>Analysis!E704</f>
        <v>0.89999999999999858</v>
      </c>
      <c r="C704" s="20">
        <f>Analysis!F704</f>
        <v>0.51900265323929839</v>
      </c>
      <c r="D704" s="30">
        <v>1360.92</v>
      </c>
    </row>
    <row r="705" spans="1:4" ht="15" customHeight="1">
      <c r="A705" s="18" t="str">
        <f>Analysis!A705</f>
        <v>10/2016</v>
      </c>
      <c r="B705" s="19">
        <f>Analysis!E705</f>
        <v>0.86999999999999744</v>
      </c>
      <c r="C705" s="20">
        <f>Analysis!F705</f>
        <v>0.52101483065422127</v>
      </c>
      <c r="D705" s="30">
        <v>1360.86</v>
      </c>
    </row>
    <row r="706" spans="1:4" ht="15" customHeight="1">
      <c r="A706" s="18" t="str">
        <f>Analysis!A706</f>
        <v>11/2016</v>
      </c>
      <c r="B706" s="19">
        <f>Analysis!E706</f>
        <v>0.91000000000000014</v>
      </c>
      <c r="C706" s="20">
        <f>Analysis!F706</f>
        <v>0.52792823149882584</v>
      </c>
      <c r="D706" s="30">
        <v>1360.86</v>
      </c>
    </row>
    <row r="707" spans="1:4" ht="15" customHeight="1">
      <c r="A707" s="18" t="str">
        <f>Analysis!A707</f>
        <v>12/2016</v>
      </c>
      <c r="B707" s="19">
        <f>Analysis!E707</f>
        <v>0.86000000000000121</v>
      </c>
      <c r="C707" s="20">
        <f>Analysis!F707</f>
        <v>0.53121211494354725</v>
      </c>
      <c r="D707" s="30">
        <v>1360.75</v>
      </c>
    </row>
    <row r="708" spans="1:4" ht="15" customHeight="1">
      <c r="A708" s="18" t="str">
        <f>Analysis!A708</f>
        <v>1/2017</v>
      </c>
      <c r="B708" s="19">
        <f>Analysis!E708</f>
        <v>1.0200000000000014</v>
      </c>
      <c r="C708" s="20">
        <f>Analysis!F708</f>
        <v>0.5373315704079159</v>
      </c>
      <c r="D708" s="30">
        <v>1360.66</v>
      </c>
    </row>
    <row r="709" spans="1:4" ht="15" customHeight="1">
      <c r="A709" s="18" t="str">
        <f>Analysis!A709</f>
        <v>2/2017</v>
      </c>
      <c r="B709" s="19">
        <f>Analysis!E709</f>
        <v>1.1299999999999955</v>
      </c>
      <c r="C709" s="20">
        <f>Analysis!F709</f>
        <v>0.53839626385189021</v>
      </c>
      <c r="D709" s="30">
        <v>1360.67</v>
      </c>
    </row>
    <row r="710" spans="1:4" ht="15" customHeight="1">
      <c r="A710" s="18" t="str">
        <f>Analysis!A710</f>
        <v>3/2017</v>
      </c>
      <c r="B710" s="19">
        <f>Analysis!E710</f>
        <v>1.1600000000000001</v>
      </c>
      <c r="C710" s="20">
        <f>Analysis!F710</f>
        <v>0.54151483946067869</v>
      </c>
      <c r="D710" s="30">
        <v>1360.6</v>
      </c>
    </row>
    <row r="711" spans="1:4" ht="15" customHeight="1">
      <c r="A711" s="18" t="str">
        <f>Analysis!A711</f>
        <v>4/2017</v>
      </c>
      <c r="B711" s="19">
        <f>Analysis!E711</f>
        <v>0.93999999999999773</v>
      </c>
      <c r="C711" s="20">
        <f>Analysis!F711</f>
        <v>0.54744982914396567</v>
      </c>
      <c r="D711" s="30">
        <v>1360.66</v>
      </c>
    </row>
    <row r="712" spans="1:4" ht="15" customHeight="1">
      <c r="A712" s="18" t="str">
        <f>Analysis!A712</f>
        <v>5/2017</v>
      </c>
      <c r="B712" s="19">
        <f>Analysis!E712</f>
        <v>0.91000000000000014</v>
      </c>
      <c r="C712" s="20">
        <f>Analysis!F712</f>
        <v>0.54980996610473554</v>
      </c>
      <c r="D712" s="30">
        <v>1360.71</v>
      </c>
    </row>
    <row r="713" spans="1:4" ht="15" customHeight="1">
      <c r="A713" s="18" t="str">
        <f>Analysis!A713</f>
        <v>6/2017</v>
      </c>
      <c r="B713" s="19">
        <f>Analysis!E713</f>
        <v>0.71000000000000085</v>
      </c>
      <c r="C713" s="20">
        <f>Analysis!F713</f>
        <v>0.54695617814141118</v>
      </c>
      <c r="D713" s="30">
        <v>1360.75</v>
      </c>
    </row>
    <row r="714" spans="1:4" ht="15" customHeight="1">
      <c r="A714" s="18" t="str">
        <f>Analysis!A714</f>
        <v>7/2017</v>
      </c>
      <c r="B714" s="19">
        <f>Analysis!E714</f>
        <v>0.82000000000000028</v>
      </c>
      <c r="C714" s="20">
        <f>Analysis!F714</f>
        <v>0.54077124608923599</v>
      </c>
      <c r="D714" s="30">
        <v>1360.59</v>
      </c>
    </row>
    <row r="715" spans="1:4" ht="15" customHeight="1">
      <c r="A715" s="18" t="str">
        <f>Analysis!A715</f>
        <v>8/2017</v>
      </c>
      <c r="B715" s="19">
        <f>Analysis!E715</f>
        <v>0.86999999999999744</v>
      </c>
      <c r="C715" s="20">
        <f>Analysis!F715</f>
        <v>0.53363453792318827</v>
      </c>
      <c r="D715" s="30">
        <v>1360.59</v>
      </c>
    </row>
    <row r="716" spans="1:4" ht="15" customHeight="1">
      <c r="A716" s="18" t="str">
        <f>Analysis!A716</f>
        <v>9/2017</v>
      </c>
      <c r="B716" s="19">
        <f>Analysis!E716</f>
        <v>0.73999999999999666</v>
      </c>
      <c r="C716" s="20">
        <f>Analysis!F716</f>
        <v>0.52739210629320266</v>
      </c>
      <c r="D716" s="30">
        <v>1360.46</v>
      </c>
    </row>
    <row r="717" spans="1:4" ht="15" customHeight="1">
      <c r="A717" s="18" t="str">
        <f>Analysis!A717</f>
        <v>10/2017</v>
      </c>
      <c r="B717" s="19">
        <f>Analysis!E717</f>
        <v>0.88000000000000256</v>
      </c>
      <c r="C717" s="20">
        <f>Analysis!F717</f>
        <v>0.52828553765041275</v>
      </c>
      <c r="D717" s="30">
        <v>1360.81</v>
      </c>
    </row>
    <row r="718" spans="1:4" ht="15" customHeight="1">
      <c r="A718" s="18" t="str">
        <f>Analysis!A718</f>
        <v>11/2017</v>
      </c>
      <c r="B718" s="19">
        <f>Analysis!E718</f>
        <v>0.86999999999999744</v>
      </c>
      <c r="C718" s="20">
        <f>Analysis!F718</f>
        <v>0.53359894350795678</v>
      </c>
      <c r="D718" s="30">
        <v>1360.76</v>
      </c>
    </row>
    <row r="719" spans="1:4" ht="15" customHeight="1">
      <c r="A719" s="18" t="str">
        <f>Analysis!A719</f>
        <v>12/2017</v>
      </c>
      <c r="B719" s="19">
        <f>Analysis!E719</f>
        <v>0.92999999999999794</v>
      </c>
      <c r="C719" s="20">
        <f>Analysis!F719</f>
        <v>0.53960196732128063</v>
      </c>
      <c r="D719" s="30">
        <v>1360.66</v>
      </c>
    </row>
    <row r="720" spans="1:4" ht="15" customHeight="1">
      <c r="A720" s="18" t="str">
        <f>Analysis!A720</f>
        <v>1/2018</v>
      </c>
      <c r="B720" s="19">
        <f>Analysis!E720</f>
        <v>0.82000000000000028</v>
      </c>
      <c r="C720" s="20">
        <f>Analysis!F720</f>
        <v>0.54367263013850597</v>
      </c>
      <c r="D720" s="30">
        <v>1360.61</v>
      </c>
    </row>
    <row r="721" spans="1:4" ht="15" customHeight="1">
      <c r="A721" s="18" t="str">
        <f>Analysis!A721</f>
        <v>2/2018</v>
      </c>
      <c r="B721" s="19">
        <f>Analysis!E721</f>
        <v>0.8500000000000032</v>
      </c>
      <c r="C721" s="20">
        <f>Analysis!F721</f>
        <v>0.54497988325580371</v>
      </c>
      <c r="D721" s="30">
        <v>1360.53</v>
      </c>
    </row>
    <row r="722" spans="1:4" ht="15" customHeight="1">
      <c r="A722" s="18" t="str">
        <f>Analysis!A722</f>
        <v>3/2018</v>
      </c>
      <c r="B722" s="19">
        <f>Analysis!E722</f>
        <v>0.88000000000000256</v>
      </c>
      <c r="C722" s="20">
        <f>Analysis!F722</f>
        <v>0.54875366569081085</v>
      </c>
      <c r="D722" s="30">
        <v>1360.56</v>
      </c>
    </row>
    <row r="723" spans="1:4" ht="15" customHeight="1">
      <c r="A723" s="18" t="str">
        <f>Analysis!A723</f>
        <v>4/2018</v>
      </c>
      <c r="B723" s="19">
        <f>Analysis!E723</f>
        <v>0.88000000000000256</v>
      </c>
      <c r="C723" s="20">
        <f>Analysis!F723</f>
        <v>0.55177966000822387</v>
      </c>
      <c r="D723" s="30">
        <v>1360.63</v>
      </c>
    </row>
    <row r="724" spans="1:4" ht="15" customHeight="1">
      <c r="A724" s="18" t="str">
        <f>Analysis!A724</f>
        <v>5/2018</v>
      </c>
      <c r="B724" s="19">
        <f>Analysis!E724</f>
        <v>0.81000000000000227</v>
      </c>
      <c r="C724" s="20">
        <f>Analysis!F724</f>
        <v>0.55525523163276624</v>
      </c>
      <c r="D724" s="30">
        <v>1360.69</v>
      </c>
    </row>
    <row r="725" spans="1:4" ht="15" customHeight="1">
      <c r="A725" s="18" t="str">
        <f>Analysis!A725</f>
        <v>6/2018</v>
      </c>
      <c r="B725" s="19">
        <f>Analysis!E725</f>
        <v>0.77000000000000135</v>
      </c>
      <c r="C725" s="20">
        <f>Analysis!F725</f>
        <v>0.55367646424055572</v>
      </c>
      <c r="D725" s="30">
        <v>1360.73</v>
      </c>
    </row>
    <row r="726" spans="1:4" ht="15" customHeight="1">
      <c r="A726" s="18" t="str">
        <f>Analysis!A726</f>
        <v>7/2018</v>
      </c>
      <c r="B726" s="19">
        <f>Analysis!E726</f>
        <v>0.83999999999999986</v>
      </c>
      <c r="C726" s="20">
        <f>Analysis!F726</f>
        <v>0.54632123569403679</v>
      </c>
      <c r="D726" s="30">
        <v>1360.71</v>
      </c>
    </row>
    <row r="727" spans="1:4" ht="15" customHeight="1">
      <c r="A727" s="18" t="str">
        <f>Analysis!A727</f>
        <v>8/2018</v>
      </c>
      <c r="B727" s="19">
        <f>Analysis!E727</f>
        <v>0.77999999999999758</v>
      </c>
      <c r="C727" s="20">
        <f>Analysis!F727</f>
        <v>0.54016900871244178</v>
      </c>
      <c r="D727" s="30">
        <v>1360.66</v>
      </c>
    </row>
    <row r="728" spans="1:4" ht="15" customHeight="1">
      <c r="A728" s="18" t="str">
        <f>Analysis!A728</f>
        <v>9/2018</v>
      </c>
      <c r="B728" s="19">
        <f>Analysis!E728</f>
        <v>0.79999999999999893</v>
      </c>
      <c r="C728" s="20">
        <f>Analysis!F728</f>
        <v>0.53502203557263439</v>
      </c>
      <c r="D728" s="30">
        <v>1360.65</v>
      </c>
    </row>
    <row r="729" spans="1:4" ht="15" customHeight="1">
      <c r="A729" s="18" t="str">
        <f>Analysis!A729</f>
        <v>10/2018</v>
      </c>
      <c r="B729" s="19">
        <f>Analysis!E729</f>
        <v>1.0200000000000014</v>
      </c>
      <c r="C729" s="20">
        <f>Analysis!F729</f>
        <v>0.53672789516201203</v>
      </c>
      <c r="D729" s="30">
        <v>1360.65</v>
      </c>
    </row>
    <row r="730" spans="1:4" ht="15" customHeight="1">
      <c r="A730" s="18" t="str">
        <f>Analysis!A730</f>
        <v>11/2018</v>
      </c>
      <c r="B730" s="19">
        <f>Analysis!E730</f>
        <v>0.83000000000000362</v>
      </c>
      <c r="C730" s="20">
        <f>Analysis!F730</f>
        <v>0.54388469761513192</v>
      </c>
      <c r="D730" s="30">
        <v>1360.62</v>
      </c>
    </row>
    <row r="731" spans="1:4" ht="15" customHeight="1">
      <c r="A731" s="18" t="str">
        <f>Analysis!A731</f>
        <v>12/2018</v>
      </c>
      <c r="B731" s="19">
        <f>Analysis!E731</f>
        <v>0.92999999999999794</v>
      </c>
      <c r="C731" s="20">
        <f>Analysis!F731</f>
        <v>0.54762609214567415</v>
      </c>
      <c r="D731" s="30">
        <v>1360.63</v>
      </c>
    </row>
    <row r="732" spans="1:4" ht="15" customHeight="1">
      <c r="A732" s="18" t="str">
        <f>Analysis!A732</f>
        <v>1/2019</v>
      </c>
      <c r="B732" s="19">
        <f>Analysis!E732</f>
        <v>0.92999999999999794</v>
      </c>
      <c r="C732" s="20">
        <f>Analysis!F732</f>
        <v>0.55381686910097527</v>
      </c>
      <c r="D732" s="30">
        <v>1360.6</v>
      </c>
    </row>
    <row r="733" spans="1:4" ht="15" customHeight="1">
      <c r="A733" s="18" t="str">
        <f>Analysis!A733</f>
        <v>2/2019</v>
      </c>
      <c r="B733" s="19">
        <f>Analysis!E733</f>
        <v>0.95999999999999908</v>
      </c>
      <c r="C733" s="20">
        <f>Analysis!F733</f>
        <v>0.55707743595872172</v>
      </c>
      <c r="D733" s="30">
        <v>1360.62</v>
      </c>
    </row>
    <row r="734" spans="1:4" ht="15" customHeight="1">
      <c r="A734" s="18" t="str">
        <f>Analysis!A734</f>
        <v>3/2019</v>
      </c>
      <c r="B734" s="19">
        <f>Analysis!E734</f>
        <v>1.1699999999999964</v>
      </c>
      <c r="C734" s="20">
        <f>Analysis!F734</f>
        <v>0.55784767624929055</v>
      </c>
      <c r="D734" s="30">
        <v>1360.61</v>
      </c>
    </row>
    <row r="735" spans="1:4" ht="15" customHeight="1">
      <c r="A735" s="18" t="str">
        <f>Analysis!A735</f>
        <v>4/2019</v>
      </c>
      <c r="B735" s="19">
        <f>Analysis!E735</f>
        <v>1.0099999999999998</v>
      </c>
      <c r="C735" s="20">
        <f>Analysis!F735</f>
        <v>0.56260005485176923</v>
      </c>
      <c r="D735" s="30">
        <v>1360.62</v>
      </c>
    </row>
    <row r="736" spans="1:4" ht="15" customHeight="1">
      <c r="A736" s="18" t="str">
        <f>Analysis!A736</f>
        <v>5/2019</v>
      </c>
      <c r="B736" s="19">
        <f>Analysis!E736</f>
        <v>0.86000000000000121</v>
      </c>
      <c r="C736" s="20">
        <f>Analysis!F736</f>
        <v>0.5671977348752254</v>
      </c>
      <c r="D736" s="30">
        <v>1360.63</v>
      </c>
    </row>
    <row r="737" spans="1:4" ht="15" customHeight="1">
      <c r="A737" s="18" t="str">
        <f>Analysis!A737</f>
        <v>6/2019</v>
      </c>
      <c r="B737" s="19">
        <f>Analysis!E737</f>
        <v>0.89999999999999858</v>
      </c>
      <c r="C737" s="20">
        <f>Analysis!F737</f>
        <v>0.56472656147689648</v>
      </c>
      <c r="D737" s="30">
        <v>1360.71</v>
      </c>
    </row>
    <row r="738" spans="1:4" ht="15" customHeight="1">
      <c r="A738" s="18" t="str">
        <f>Analysis!A738</f>
        <v>7/2019</v>
      </c>
      <c r="B738" s="19">
        <f>Analysis!E738</f>
        <v>0.93999999999999773</v>
      </c>
      <c r="C738" s="20">
        <f>Analysis!F738</f>
        <v>0.55707743595872172</v>
      </c>
      <c r="D738" s="30">
        <v>1360.68</v>
      </c>
    </row>
    <row r="739" spans="1:4" ht="15" customHeight="1">
      <c r="A739" s="18" t="str">
        <f>Analysis!A739</f>
        <v>8/2019</v>
      </c>
      <c r="B739" s="19">
        <f>Analysis!E739</f>
        <v>0.94999999999999751</v>
      </c>
      <c r="C739" s="20">
        <f>Analysis!F739</f>
        <v>0.55079514920632977</v>
      </c>
      <c r="D739" s="30">
        <v>1360.66</v>
      </c>
    </row>
    <row r="740" spans="1:4" ht="15" customHeight="1">
      <c r="A740" s="18" t="str">
        <f>Analysis!A740</f>
        <v>9/2019</v>
      </c>
      <c r="B740" s="19">
        <f>Analysis!E740</f>
        <v>0.92999999999999794</v>
      </c>
      <c r="C740" s="20">
        <f>Analysis!F740</f>
        <v>0.54582719830025894</v>
      </c>
      <c r="D740" s="30">
        <v>1360.63</v>
      </c>
    </row>
    <row r="741" spans="1:4" ht="15" customHeight="1">
      <c r="A741" s="18" t="str">
        <f>Analysis!A741</f>
        <v>10/2019</v>
      </c>
      <c r="B741" s="19">
        <f>Analysis!E741</f>
        <v>1</v>
      </c>
      <c r="C741" s="20">
        <f>Analysis!F741</f>
        <v>0.54575660771720447</v>
      </c>
      <c r="D741" s="30">
        <v>1360.66</v>
      </c>
    </row>
    <row r="742" spans="1:4" ht="15" customHeight="1">
      <c r="A742" s="18" t="str">
        <f>Analysis!A742</f>
        <v>11/2019</v>
      </c>
      <c r="B742" s="19">
        <f>Analysis!E742</f>
        <v>0.99000000000000021</v>
      </c>
      <c r="C742" s="20">
        <f>Analysis!F742</f>
        <v>0.55184995650684376</v>
      </c>
      <c r="D742" s="30">
        <v>1360.69</v>
      </c>
    </row>
    <row r="743" spans="1:4" ht="15" customHeight="1">
      <c r="A743" s="18" t="str">
        <f>Analysis!A743</f>
        <v>12/2019</v>
      </c>
      <c r="B743" s="19">
        <f>Analysis!E743</f>
        <v>1.120000000000001</v>
      </c>
      <c r="C743" s="20">
        <f>Analysis!F743</f>
        <v>0.55711245580363478</v>
      </c>
      <c r="D743" s="30">
        <v>1360.67</v>
      </c>
    </row>
    <row r="744" spans="1:4" ht="15" customHeight="1">
      <c r="A744" s="18" t="str">
        <f>Analysis!A744</f>
        <v>1/2020</v>
      </c>
      <c r="B744" s="19">
        <f>Analysis!E744</f>
        <v>1.1799999999999997</v>
      </c>
      <c r="C744" s="20">
        <f>Analysis!F744</f>
        <v>0.56277447665277325</v>
      </c>
      <c r="D744" s="30">
        <v>1360.65</v>
      </c>
    </row>
    <row r="745" spans="1:4" ht="15" customHeight="1">
      <c r="A745" s="18" t="str">
        <f>Analysis!A745</f>
        <v>2/2020</v>
      </c>
      <c r="B745" s="19">
        <f>Analysis!E745</f>
        <v>1.240000000000002</v>
      </c>
      <c r="C745" s="20">
        <f>Analysis!F745</f>
        <v>0.5653186364111572</v>
      </c>
      <c r="D745" s="30">
        <v>1360.62</v>
      </c>
    </row>
    <row r="746" spans="1:4" ht="15" customHeight="1">
      <c r="A746" s="18" t="str">
        <f>Analysis!A746</f>
        <v>3/2020</v>
      </c>
      <c r="B746" s="19">
        <f>Analysis!E746</f>
        <v>1.1799999999999997</v>
      </c>
      <c r="C746" s="20">
        <f>Analysis!F746</f>
        <v>0.56671079616493381</v>
      </c>
      <c r="D746" s="30">
        <v>1360.64</v>
      </c>
    </row>
    <row r="747" spans="1:4" ht="15" customHeight="1">
      <c r="A747" s="18" t="str">
        <f>Analysis!A747</f>
        <v>4/2020</v>
      </c>
      <c r="B747" s="19">
        <f>Analysis!E747</f>
        <v>1.120000000000001</v>
      </c>
      <c r="C747" s="20">
        <f>Analysis!F747</f>
        <v>0.57261253351296471</v>
      </c>
      <c r="D747" s="30">
        <v>1360.68</v>
      </c>
    </row>
    <row r="748" spans="1:4" ht="15" customHeight="1">
      <c r="A748" s="18" t="str">
        <f>Analysis!A748</f>
        <v>5/2020</v>
      </c>
      <c r="B748" s="19">
        <f>Analysis!E748</f>
        <v>0.99000000000000021</v>
      </c>
      <c r="C748" s="20">
        <f>Analysis!F748</f>
        <v>0.57558894751138634</v>
      </c>
      <c r="D748" s="30">
        <v>1360.74</v>
      </c>
    </row>
    <row r="749" spans="1:4" ht="15" customHeight="1">
      <c r="A749" s="18" t="str">
        <f>Analysis!A749</f>
        <v>6/2020</v>
      </c>
      <c r="B749" s="19">
        <f>Analysis!E749</f>
        <v>0.91000000000000014</v>
      </c>
      <c r="C749" s="20">
        <f>Analysis!F749</f>
        <v>0.57316675010211449</v>
      </c>
      <c r="D749" s="30">
        <v>1360.75</v>
      </c>
    </row>
    <row r="750" spans="1:4" ht="15" customHeight="1">
      <c r="A750" s="18" t="str">
        <f>Analysis!A750</f>
        <v>7/2020</v>
      </c>
      <c r="B750" s="19">
        <f>Analysis!E750</f>
        <v>0.8900000000000059</v>
      </c>
      <c r="C750" s="20">
        <f>Analysis!F750</f>
        <v>0.56622369304750153</v>
      </c>
      <c r="D750" s="30">
        <v>1360.73</v>
      </c>
    </row>
    <row r="751" spans="1:4" ht="15" customHeight="1">
      <c r="A751" s="18" t="str">
        <f>Analysis!A751</f>
        <v>8/2020</v>
      </c>
      <c r="B751" s="19">
        <f>Analysis!E751</f>
        <v>0.86000000000000121</v>
      </c>
      <c r="C751" s="20">
        <f>Analysis!F751</f>
        <v>0.55984138796829153</v>
      </c>
      <c r="D751" s="30">
        <v>1360.81</v>
      </c>
    </row>
    <row r="752" spans="1:4" ht="15" customHeight="1">
      <c r="A752" s="18" t="str">
        <f>Analysis!A752</f>
        <v>9/2020</v>
      </c>
      <c r="B752" s="19">
        <f>Analysis!E752</f>
        <v>0.95999999999999908</v>
      </c>
      <c r="C752" s="20">
        <f>Analysis!F752</f>
        <v>0.5554656034766593</v>
      </c>
      <c r="D752" s="30">
        <v>1360.76</v>
      </c>
    </row>
    <row r="753" spans="1:4" ht="15" customHeight="1">
      <c r="A753" s="18" t="str">
        <f>Analysis!A753</f>
        <v>10/2020</v>
      </c>
      <c r="B753" s="19">
        <f>Analysis!E753</f>
        <v>0.86999999999999744</v>
      </c>
      <c r="C753" s="20">
        <f>Analysis!F753</f>
        <v>0.55543054363289546</v>
      </c>
      <c r="D753" s="30">
        <v>1360.8</v>
      </c>
    </row>
    <row r="754" spans="1:4" ht="15" customHeight="1">
      <c r="A754" s="18" t="str">
        <f>Analysis!A754</f>
        <v>11/2020</v>
      </c>
      <c r="B754" s="19">
        <f>Analysis!E754</f>
        <v>1.0899999999999999</v>
      </c>
      <c r="C754" s="20">
        <f>Analysis!F754</f>
        <v>0.56106423302379171</v>
      </c>
      <c r="D754" s="30">
        <v>1360.8</v>
      </c>
    </row>
    <row r="755" spans="1:4" ht="15" customHeight="1">
      <c r="A755" s="18" t="str">
        <f>Analysis!A755</f>
        <v>12/2020</v>
      </c>
      <c r="B755" s="19">
        <f>Analysis!E755</f>
        <v>0.79999999999999893</v>
      </c>
      <c r="C755" s="20">
        <f>Analysis!F755</f>
        <v>0.56500521524359781</v>
      </c>
      <c r="D755" s="30">
        <v>1361</v>
      </c>
    </row>
    <row r="756" spans="1:4" ht="15" customHeight="1">
      <c r="A756" s="18" t="str">
        <f>Analysis!A756</f>
        <v>1/2021</v>
      </c>
      <c r="B756" s="19">
        <f>Analysis!E756</f>
        <v>0.82000000000000028</v>
      </c>
      <c r="C756" s="20">
        <f>Analysis!F756</f>
        <v>0.56938692750523079</v>
      </c>
      <c r="D756" s="30">
        <v>1360.9</v>
      </c>
    </row>
    <row r="757" spans="1:4" ht="15" customHeight="1">
      <c r="A757" s="18" t="str">
        <f>Analysis!A757</f>
        <v>2/2021</v>
      </c>
      <c r="B757" s="19">
        <f>Analysis!E757</f>
        <v>0.64000000000000234</v>
      </c>
      <c r="C757" s="20">
        <f>Analysis!F757</f>
        <v>0.57365151503101131</v>
      </c>
      <c r="D757" s="30">
        <v>1360.79</v>
      </c>
    </row>
    <row r="758" spans="1:4" ht="15" customHeight="1">
      <c r="A758" s="18" t="str">
        <f>Analysis!A758</f>
        <v>3/2021</v>
      </c>
      <c r="B758" s="19">
        <f>Analysis!E758</f>
        <v>0.8900000000000059</v>
      </c>
      <c r="C758" s="20">
        <f>Analysis!F758</f>
        <v>0.57672943161896173</v>
      </c>
      <c r="D758" s="30">
        <v>1360.86</v>
      </c>
    </row>
    <row r="759" spans="1:4" ht="15" customHeight="1">
      <c r="A759" s="18" t="str">
        <f>Analysis!A759</f>
        <v>4/2021</v>
      </c>
      <c r="B759" s="19">
        <f>Analysis!E759</f>
        <v>0.75999999999999801</v>
      </c>
      <c r="C759" s="20">
        <f>Analysis!F759</f>
        <v>0.58155784820606116</v>
      </c>
      <c r="D759" s="30">
        <v>1360.86</v>
      </c>
    </row>
    <row r="760" spans="1:4" ht="15" customHeight="1">
      <c r="A760" s="18" t="str">
        <f>Analysis!A760</f>
        <v>5/2021</v>
      </c>
      <c r="B760" s="19">
        <f>Analysis!E760</f>
        <v>0.79000000000000092</v>
      </c>
      <c r="C760" s="20">
        <f>Analysis!F760</f>
        <v>0.58183327024071485</v>
      </c>
      <c r="D760" s="30">
        <v>1360.91</v>
      </c>
    </row>
    <row r="761" spans="1:4" ht="15" customHeight="1">
      <c r="A761" s="18" t="str">
        <f>Analysis!A761</f>
        <v>6/2021</v>
      </c>
      <c r="B761" s="19">
        <f>Analysis!E761</f>
        <v>0.8500000000000032</v>
      </c>
      <c r="C761" s="20">
        <f>Analysis!F761</f>
        <v>0.5812823735810958</v>
      </c>
      <c r="D761" s="30">
        <v>1361.03</v>
      </c>
    </row>
    <row r="762" spans="1:4" ht="15" customHeight="1">
      <c r="A762" s="18" t="str">
        <f>Analysis!A762</f>
        <v>7/2021</v>
      </c>
      <c r="B762" s="19">
        <f>Analysis!E762</f>
        <v>0.91999999999999993</v>
      </c>
      <c r="C762" s="20">
        <f>Analysis!F762</f>
        <v>0.57427454497606012</v>
      </c>
      <c r="D762" s="30">
        <v>1361.12</v>
      </c>
    </row>
    <row r="763" spans="1:4" ht="15" customHeight="1">
      <c r="A763" s="18" t="str">
        <f>Analysis!A763</f>
        <v>8/2021</v>
      </c>
      <c r="B763" s="19">
        <f>Analysis!E763</f>
        <v>0.81000000000000227</v>
      </c>
      <c r="C763" s="20">
        <f>Analysis!F763</f>
        <v>0.56566680231310262</v>
      </c>
      <c r="D763" s="30">
        <v>1361.04</v>
      </c>
    </row>
    <row r="764" spans="1:4" ht="15" customHeight="1">
      <c r="A764" s="18" t="str">
        <f>Analysis!A764</f>
        <v>9/2021</v>
      </c>
      <c r="B764" s="19">
        <f>Analysis!E764</f>
        <v>0.91999999999999993</v>
      </c>
      <c r="C764" s="20">
        <f>Analysis!F764</f>
        <v>0.56162290287573691</v>
      </c>
      <c r="D764" s="30">
        <v>1360.96</v>
      </c>
    </row>
    <row r="765" spans="1:4" ht="15" customHeight="1">
      <c r="A765" s="18" t="str">
        <f>Analysis!A765</f>
        <v>10/2021</v>
      </c>
      <c r="B765" s="19">
        <f>Analysis!E765</f>
        <v>0.97999999999999865</v>
      </c>
      <c r="C765" s="20">
        <f>Analysis!F765</f>
        <v>0.56385542139796185</v>
      </c>
      <c r="D765" s="30">
        <v>1361.03</v>
      </c>
    </row>
    <row r="766" spans="1:4" ht="15" customHeight="1">
      <c r="A766" s="18" t="str">
        <f>Analysis!A766</f>
        <v>11/2021</v>
      </c>
      <c r="B766" s="19">
        <f>Analysis!E766</f>
        <v>0.92999999999999794</v>
      </c>
      <c r="C766" s="20">
        <f>Analysis!F766</f>
        <v>0.56758021431180217</v>
      </c>
      <c r="D766" s="30">
        <v>1361.09</v>
      </c>
    </row>
    <row r="767" spans="1:4" ht="15" customHeight="1">
      <c r="A767" s="18" t="str">
        <f>Analysis!A767</f>
        <v>12/2021</v>
      </c>
      <c r="B767" s="19">
        <f>Analysis!E767</f>
        <v>0.88000000000000256</v>
      </c>
      <c r="C767" s="20">
        <f>Analysis!F767</f>
        <v>0.5734784033974879</v>
      </c>
      <c r="D767" s="30">
        <v>1361.1</v>
      </c>
    </row>
    <row r="768" spans="1:4" ht="15" customHeight="1">
      <c r="A768" s="18" t="str">
        <f>Analysis!A768</f>
        <v>1/2022</v>
      </c>
      <c r="B768" s="19">
        <f>Analysis!E768</f>
        <v>0.91000000000000014</v>
      </c>
      <c r="C768" s="20">
        <f>Analysis!F768</f>
        <v>0.57852473043934227</v>
      </c>
      <c r="D768" s="30">
        <v>1361.2</v>
      </c>
    </row>
    <row r="769" spans="1:4" ht="15" customHeight="1">
      <c r="A769" s="18" t="str">
        <f>Analysis!A769</f>
        <v>2/2022</v>
      </c>
      <c r="B769" s="19">
        <f>Analysis!E769</f>
        <v>0.8900000000000059</v>
      </c>
      <c r="C769" s="20">
        <f>Analysis!F769</f>
        <v>0.58234954487825097</v>
      </c>
      <c r="D769" s="30">
        <v>1361.35</v>
      </c>
    </row>
    <row r="770" spans="1:4" ht="15" customHeight="1">
      <c r="A770" s="18" t="str">
        <f>Analysis!A770</f>
        <v>3/2022</v>
      </c>
      <c r="B770" s="19">
        <f>Analysis!E770</f>
        <v>1.0500000000000025</v>
      </c>
      <c r="C770" s="20">
        <f>Analysis!F770</f>
        <v>0.5806968152950519</v>
      </c>
      <c r="D770" s="30">
        <v>1361.27</v>
      </c>
    </row>
    <row r="771" spans="1:4" ht="15" customHeight="1">
      <c r="A771" s="18" t="str">
        <f>Analysis!A771</f>
        <v>4/2022</v>
      </c>
      <c r="B771" s="19">
        <f>Analysis!E771</f>
        <v>0.83000000000000362</v>
      </c>
      <c r="C771" s="20">
        <f>Analysis!F771</f>
        <v>0.5856150008995481</v>
      </c>
      <c r="D771" s="30">
        <v>1361.38</v>
      </c>
    </row>
    <row r="772" spans="1:4" ht="15" customHeight="1">
      <c r="A772" s="18" t="str">
        <f>Analysis!A772</f>
        <v>5/2022</v>
      </c>
      <c r="B772" s="19">
        <f>Analysis!E772</f>
        <v>0.83999999999999986</v>
      </c>
      <c r="C772" s="20">
        <f>Analysis!F772</f>
        <v>0.58829059758610203</v>
      </c>
      <c r="D772" s="30">
        <v>1361.62</v>
      </c>
    </row>
    <row r="773" spans="1:4" ht="15" customHeight="1">
      <c r="A773" s="18" t="str">
        <f>Analysis!A773</f>
        <v>6/2022</v>
      </c>
      <c r="B773" s="19">
        <f>Analysis!E773</f>
        <v>0.92999999999999794</v>
      </c>
      <c r="C773" s="20">
        <f>Analysis!F773</f>
        <v>0.58818778172396691</v>
      </c>
      <c r="D773" s="30">
        <v>1361.65</v>
      </c>
    </row>
    <row r="774" spans="1:4" ht="15" customHeight="1">
      <c r="A774" s="18" t="str">
        <f>Analysis!A774</f>
        <v>7/2022</v>
      </c>
      <c r="B774" s="19">
        <f>Analysis!E774</f>
        <v>0.93999999999999773</v>
      </c>
      <c r="C774" s="20">
        <f>Analysis!F774</f>
        <v>0.58100684634573119</v>
      </c>
      <c r="D774" s="30">
        <v>1361.38</v>
      </c>
    </row>
    <row r="775" spans="1:4" ht="15" customHeight="1">
      <c r="A775" s="18" t="str">
        <f>Analysis!A775</f>
        <v>8/2022</v>
      </c>
      <c r="B775" s="19">
        <f>Analysis!E775</f>
        <v>0.93999999999999773</v>
      </c>
      <c r="C775" s="20">
        <f>Analysis!F775</f>
        <v>0.57513941823551418</v>
      </c>
      <c r="D775" s="30">
        <v>1361.42</v>
      </c>
    </row>
    <row r="776" spans="1:4" ht="15" customHeight="1">
      <c r="A776" s="18" t="str">
        <f>Analysis!A776</f>
        <v>9/2022</v>
      </c>
      <c r="B776" s="19">
        <f>Analysis!E776</f>
        <v>0.88000000000000256</v>
      </c>
      <c r="C776" s="20">
        <f>Analysis!F776</f>
        <v>0.57084454590484046</v>
      </c>
      <c r="D776" s="30">
        <v>1361.68</v>
      </c>
    </row>
    <row r="777" spans="1:4" ht="15" customHeight="1">
      <c r="A777" s="18" t="str">
        <f>Analysis!A777</f>
        <v>10/2022</v>
      </c>
      <c r="B777" s="19">
        <f>Analysis!E777</f>
        <v>0.96999999999999886</v>
      </c>
      <c r="C777" s="20">
        <f>Analysis!F777</f>
        <v>0.57025473490173317</v>
      </c>
      <c r="D777" s="30">
        <v>1361.78</v>
      </c>
    </row>
    <row r="778" spans="1:4" ht="15" customHeight="1">
      <c r="A778" s="18" t="str">
        <f>Analysis!A778</f>
        <v>11/2022</v>
      </c>
      <c r="B778" s="19">
        <f>Analysis!E778</f>
        <v>0.7300000000000022</v>
      </c>
      <c r="C778" s="20">
        <f>Analysis!F778</f>
        <v>0.57624569998219233</v>
      </c>
      <c r="D778" s="30">
        <v>1361.69</v>
      </c>
    </row>
    <row r="779" spans="1:4" ht="15" customHeight="1">
      <c r="A779" s="18" t="str">
        <f>Analysis!A779</f>
        <v>12/2022</v>
      </c>
      <c r="B779" s="19">
        <f>Analysis!E779</f>
        <v>0.79999999999999893</v>
      </c>
      <c r="C779" s="20">
        <f>Analysis!F779</f>
        <v>0.5814889844809461</v>
      </c>
      <c r="D779" s="30">
        <v>1361.5</v>
      </c>
    </row>
    <row r="780" spans="1:4" ht="15" customHeight="1">
      <c r="A780" s="18" t="str">
        <f>Analysis!A780</f>
        <v>1/2023</v>
      </c>
      <c r="B780" s="19">
        <f>Analysis!E780</f>
        <v>0.88000000000000256</v>
      </c>
      <c r="C780" s="20">
        <f>Analysis!F780</f>
        <v>0.58317520020842994</v>
      </c>
      <c r="D780" s="30">
        <v>1361.7</v>
      </c>
    </row>
    <row r="781" spans="1:4" ht="15" customHeight="1">
      <c r="A781" s="18" t="str">
        <f>Analysis!A781</f>
        <v>2/2023</v>
      </c>
      <c r="B781" s="19">
        <f>Analysis!E781</f>
        <v>0.96999999999999886</v>
      </c>
      <c r="C781" s="20">
        <f>Analysis!F781</f>
        <v>0.58602695427511742</v>
      </c>
      <c r="D781" s="30">
        <v>1361.9</v>
      </c>
    </row>
    <row r="782" spans="1:4" ht="15" customHeight="1">
      <c r="A782" s="18" t="str">
        <f>Analysis!A782</f>
        <v>3/2023</v>
      </c>
      <c r="B782" s="19">
        <f>Analysis!E782</f>
        <v>1.2299999999999986</v>
      </c>
      <c r="C782" s="20">
        <f>Analysis!F782</f>
        <v>0.58835913742367907</v>
      </c>
      <c r="D782" s="30">
        <v>1362.12</v>
      </c>
    </row>
    <row r="783" spans="1:4" ht="15" customHeight="1">
      <c r="A783" s="18" t="str">
        <f>Analysis!A783</f>
        <v>4/2023</v>
      </c>
      <c r="B783" s="19">
        <f>Analysis!E783</f>
        <v>0.99000000000000021</v>
      </c>
      <c r="C783" s="20">
        <f>Analysis!F783</f>
        <v>0.59642406189270203</v>
      </c>
      <c r="D783" s="30">
        <v>1362.04</v>
      </c>
    </row>
    <row r="784" spans="1:4" ht="15" customHeight="1">
      <c r="A784" s="18" t="str">
        <f>Analysis!A784</f>
        <v>5/2023</v>
      </c>
      <c r="B784" s="19">
        <f>Analysis!E784</f>
        <v>0.93999999999999773</v>
      </c>
      <c r="C784" s="20">
        <f>Analysis!F784</f>
        <v>0.59863743761823274</v>
      </c>
      <c r="D784" s="30">
        <v>1361.67</v>
      </c>
    </row>
    <row r="785" spans="1:4" ht="15" customHeight="1">
      <c r="A785" s="18" t="str">
        <f>Analysis!A785</f>
        <v>6/2023</v>
      </c>
      <c r="B785" s="19">
        <f>Analysis!E785</f>
        <v>1.0899999999999999</v>
      </c>
      <c r="C785" s="20">
        <f>Analysis!F785</f>
        <v>0.59754820008752652</v>
      </c>
      <c r="D785" s="30">
        <v>1362.05</v>
      </c>
    </row>
    <row r="786" spans="1:4" ht="15" customHeight="1">
      <c r="A786" s="18" t="str">
        <f>Analysis!A786</f>
        <v>7/2023</v>
      </c>
      <c r="B786" s="19">
        <f>Analysis!E786</f>
        <v>1.1899999999999977</v>
      </c>
      <c r="C786" s="20">
        <f>Analysis!F786</f>
        <v>0.59123487420164555</v>
      </c>
      <c r="D786" s="30">
        <v>1361.65</v>
      </c>
    </row>
    <row r="787" spans="1:4" ht="15" customHeight="1">
      <c r="A787" s="18" t="str">
        <f>Analysis!A787</f>
        <v>8/2023</v>
      </c>
      <c r="B787" s="19">
        <f>Analysis!E787</f>
        <v>1.1899999999999977</v>
      </c>
      <c r="C787" s="20">
        <f>Analysis!F787</f>
        <v>0.58386288554529309</v>
      </c>
      <c r="D787" s="30">
        <v>1362.24</v>
      </c>
    </row>
    <row r="788" spans="1:4" ht="15" customHeight="1">
      <c r="A788" s="18" t="str">
        <f>Analysis!A788</f>
        <v>9/2023</v>
      </c>
      <c r="B788" s="19">
        <f>Analysis!E788</f>
        <v>1.4800000000000022</v>
      </c>
      <c r="C788" s="20">
        <f>Analysis!F788</f>
        <v>0.57980079560537734</v>
      </c>
      <c r="D788" s="30">
        <v>1362.19</v>
      </c>
    </row>
    <row r="789" spans="1:4" ht="15" customHeight="1">
      <c r="A789" s="18" t="str">
        <f>Analysis!A789</f>
        <v>10/2023</v>
      </c>
      <c r="B789" s="19">
        <f>Analysis!E789</f>
        <v>1.3499999999999979</v>
      </c>
      <c r="C789" s="20">
        <f>Analysis!F789</f>
        <v>0.58090351006474894</v>
      </c>
      <c r="D789" s="30">
        <v>1362.38</v>
      </c>
    </row>
    <row r="790" spans="1:4" ht="15" customHeight="1">
      <c r="A790" s="18" t="str">
        <f>Analysis!A790</f>
        <v>11/2023</v>
      </c>
      <c r="B790" s="19">
        <f>Analysis!E790</f>
        <v>1.3999999999999986</v>
      </c>
      <c r="C790" s="20">
        <f>Analysis!F790</f>
        <v>0.58654173063114645</v>
      </c>
      <c r="D790" s="30">
        <v>1362.12</v>
      </c>
    </row>
    <row r="791" spans="1:4" ht="15" customHeight="1">
      <c r="A791" s="18" t="str">
        <f>Analysis!A791</f>
        <v>12/2023</v>
      </c>
      <c r="B791" s="19">
        <f>Analysis!E791</f>
        <v>1.3599999999999977</v>
      </c>
      <c r="C791" s="20">
        <f>Analysis!F791</f>
        <v>0.59133747314496576</v>
      </c>
      <c r="D791" s="30">
        <v>1361.97</v>
      </c>
    </row>
  </sheetData>
  <pageMargins left="0.75" right="0.75" top="1" bottom="1" header="0.511811023622047" footer="0.511811023622047"/>
  <pageSetup paperSize="9"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A764-EE25-455D-9819-307A3C67BC2C}">
  <dimension ref="A1:Q823"/>
  <sheetViews>
    <sheetView zoomScaleNormal="100" workbookViewId="0">
      <pane ySplit="1" topLeftCell="A17" activePane="bottomLeft" state="frozen"/>
      <selection pane="bottomLeft" activeCell="M37" sqref="M37"/>
    </sheetView>
  </sheetViews>
  <sheetFormatPr defaultColWidth="8.5703125" defaultRowHeight="15"/>
  <cols>
    <col min="1" max="1" width="11" customWidth="1"/>
    <col min="2" max="2" width="10" customWidth="1"/>
    <col min="3" max="4" width="12" customWidth="1"/>
    <col min="5" max="5" width="10" customWidth="1"/>
    <col min="6" max="6" width="12" customWidth="1"/>
    <col min="7" max="7" width="14" customWidth="1"/>
    <col min="8" max="8" width="13" customWidth="1"/>
    <col min="9" max="10" width="14" customWidth="1"/>
    <col min="11" max="12" width="3" customWidth="1"/>
    <col min="13" max="13" width="46" customWidth="1"/>
    <col min="14" max="14" width="11" customWidth="1"/>
    <col min="15" max="15" width="3" customWidth="1"/>
    <col min="16" max="16" width="13" customWidth="1"/>
    <col min="17" max="17" width="8" customWidth="1"/>
  </cols>
  <sheetData>
    <row r="1" spans="1:17" ht="31.5" customHeight="1">
      <c r="A1" s="31" t="s">
        <v>63</v>
      </c>
      <c r="B1" s="31" t="s">
        <v>1892</v>
      </c>
      <c r="C1" s="31" t="s">
        <v>1893</v>
      </c>
      <c r="D1" s="31" t="s">
        <v>1923</v>
      </c>
      <c r="E1" s="31" t="s">
        <v>1924</v>
      </c>
      <c r="F1" s="31" t="s">
        <v>1925</v>
      </c>
      <c r="G1" s="31" t="s">
        <v>1926</v>
      </c>
      <c r="H1" s="31" t="s">
        <v>1927</v>
      </c>
      <c r="I1" s="31" t="s">
        <v>1928</v>
      </c>
      <c r="J1" s="31" t="s">
        <v>1929</v>
      </c>
    </row>
    <row r="2" spans="1:17" ht="15" customHeight="1">
      <c r="A2" s="18" t="str">
        <f>Analysis!A2</f>
        <v>3/1958</v>
      </c>
      <c r="B2" s="19">
        <f>Analysis!E2</f>
        <v>8.0000000000000071E-2</v>
      </c>
      <c r="C2" s="20">
        <f>Analysis!F2</f>
        <v>0.17317313104772078</v>
      </c>
      <c r="D2" s="18"/>
      <c r="E2" s="19">
        <f>Solar!D2</f>
        <v>1361.03</v>
      </c>
      <c r="G2" s="20">
        <f t="shared" ref="G2:G65" si="0">B2-($N$4+$N$5*C2)</f>
        <v>0.19317525739118935</v>
      </c>
      <c r="H2" s="20" t="str">
        <f t="shared" ref="H2:H65" si="1">IF(D2="","",$N$14+$N$15*C2+$N$16*D2)</f>
        <v/>
      </c>
      <c r="I2" s="20" t="str">
        <f t="shared" ref="I2:I65" si="2">IF(D2="","",B2-H2)</f>
        <v/>
      </c>
      <c r="J2" s="20" t="str">
        <f t="shared" ref="J2:J65" si="3">IF(D2="","",B2-$N$16*D2)</f>
        <v/>
      </c>
      <c r="M2" s="17" t="s">
        <v>1930</v>
      </c>
    </row>
    <row r="3" spans="1:17" ht="15" customHeight="1">
      <c r="A3" s="18" t="str">
        <f>Analysis!A3</f>
        <v>4/1958</v>
      </c>
      <c r="B3" s="19">
        <f>Analysis!E3</f>
        <v>1.0000000000001563E-2</v>
      </c>
      <c r="C3" s="20">
        <f>Analysis!F3</f>
        <v>0.1811025507537978</v>
      </c>
      <c r="D3" s="18"/>
      <c r="E3" s="19">
        <f>Solar!D3</f>
        <v>1361.85</v>
      </c>
      <c r="G3" s="20">
        <f t="shared" si="0"/>
        <v>0.10149962286995917</v>
      </c>
      <c r="H3" s="20" t="str">
        <f t="shared" si="1"/>
        <v/>
      </c>
      <c r="I3" s="20" t="str">
        <f t="shared" si="2"/>
        <v/>
      </c>
      <c r="J3" s="20" t="str">
        <f t="shared" si="3"/>
        <v/>
      </c>
      <c r="M3" s="17" t="s">
        <v>1931</v>
      </c>
    </row>
    <row r="4" spans="1:17" ht="15" customHeight="1">
      <c r="A4" s="18" t="str">
        <f>Analysis!A4</f>
        <v>5/1958</v>
      </c>
      <c r="B4" s="19">
        <f>Analysis!E4</f>
        <v>5.9999999999998721E-2</v>
      </c>
      <c r="C4" s="20">
        <f>Analysis!F4</f>
        <v>0.18137520321288492</v>
      </c>
      <c r="D4" s="18"/>
      <c r="E4" s="19">
        <f>Solar!D4</f>
        <v>1362.07</v>
      </c>
      <c r="G4" s="20">
        <f t="shared" si="0"/>
        <v>0.15075430791961286</v>
      </c>
      <c r="H4" s="20" t="str">
        <f t="shared" si="1"/>
        <v/>
      </c>
      <c r="I4" s="20" t="str">
        <f t="shared" si="2"/>
        <v/>
      </c>
      <c r="J4" s="20" t="str">
        <f t="shared" si="3"/>
        <v/>
      </c>
      <c r="M4" s="18" t="s">
        <v>1932</v>
      </c>
      <c r="N4" s="20">
        <f>INTERCEPT($B$2:$B$823,$C$2:$C$823)</f>
        <v>-0.58655636680717882</v>
      </c>
    </row>
    <row r="5" spans="1:17" ht="15" customHeight="1">
      <c r="A5" s="18" t="str">
        <f>Analysis!A5</f>
        <v>6/1958</v>
      </c>
      <c r="B5" s="19">
        <f>Analysis!E5</f>
        <v>-9.0000000000001634E-2</v>
      </c>
      <c r="C5" s="20">
        <f>Analysis!F5</f>
        <v>0.1802842840714132</v>
      </c>
      <c r="D5" s="19" t="str">
        <f t="shared" ref="D5:D68" si="4">IF(F2="","",F2)</f>
        <v/>
      </c>
      <c r="E5" s="19">
        <f>Solar!D5</f>
        <v>1362.08</v>
      </c>
      <c r="G5" s="20">
        <f t="shared" si="0"/>
        <v>3.7364132286094032E-3</v>
      </c>
      <c r="H5" s="20" t="str">
        <f t="shared" si="1"/>
        <v/>
      </c>
      <c r="I5" s="20" t="str">
        <f t="shared" si="2"/>
        <v/>
      </c>
      <c r="J5" s="20" t="str">
        <f t="shared" si="3"/>
        <v/>
      </c>
      <c r="M5" s="18" t="s">
        <v>1933</v>
      </c>
      <c r="N5" s="20">
        <f>SLOPE($B$2:$B$823,$C$2:$C$823)</f>
        <v>2.7335713488112736</v>
      </c>
    </row>
    <row r="6" spans="1:17" ht="15" customHeight="1">
      <c r="A6" s="18" t="str">
        <f>Analysis!A6</f>
        <v>7/1958</v>
      </c>
      <c r="B6" s="19">
        <f>Analysis!E6</f>
        <v>5.0000000000004263E-2</v>
      </c>
      <c r="C6" s="20">
        <f>Analysis!F6</f>
        <v>0.17390409533246803</v>
      </c>
      <c r="D6" s="19" t="str">
        <f t="shared" si="4"/>
        <v/>
      </c>
      <c r="E6" s="19">
        <f>Solar!D6</f>
        <v>1361.68</v>
      </c>
      <c r="F6" s="30">
        <v>0.43</v>
      </c>
      <c r="G6" s="20">
        <f t="shared" si="0"/>
        <v>0.16117711436540411</v>
      </c>
      <c r="H6" s="20" t="str">
        <f t="shared" si="1"/>
        <v/>
      </c>
      <c r="I6" s="20" t="str">
        <f t="shared" si="2"/>
        <v/>
      </c>
      <c r="J6" s="20" t="str">
        <f t="shared" si="3"/>
        <v/>
      </c>
      <c r="M6" s="18" t="s">
        <v>1912</v>
      </c>
      <c r="N6" s="20">
        <f>RSQ($B$2:$B$823,$C$2:$C$823)</f>
        <v>0.86092237008061834</v>
      </c>
    </row>
    <row r="7" spans="1:17" ht="15" customHeight="1">
      <c r="A7" s="18" t="str">
        <f>Analysis!A7</f>
        <v>8/1958</v>
      </c>
      <c r="B7" s="19">
        <f>Analysis!E7</f>
        <v>-5.0000000000000711E-2</v>
      </c>
      <c r="C7" s="20">
        <f>Analysis!F7</f>
        <v>0.16960436691695893</v>
      </c>
      <c r="D7" s="19" t="str">
        <f t="shared" si="4"/>
        <v/>
      </c>
      <c r="E7" s="19">
        <f>Solar!D7</f>
        <v>1361.92</v>
      </c>
      <c r="F7" s="30">
        <v>0.32</v>
      </c>
      <c r="G7" s="20">
        <f t="shared" si="0"/>
        <v>7.2930728769704523E-2</v>
      </c>
      <c r="H7" s="20" t="str">
        <f t="shared" si="1"/>
        <v/>
      </c>
      <c r="I7" s="20" t="str">
        <f t="shared" si="2"/>
        <v/>
      </c>
      <c r="J7" s="20" t="str">
        <f t="shared" si="3"/>
        <v/>
      </c>
      <c r="M7" s="18" t="s">
        <v>1934</v>
      </c>
      <c r="N7" s="20">
        <f>STDEV($G$2:$G$823)</f>
        <v>0.14507445376646036</v>
      </c>
    </row>
    <row r="8" spans="1:17" ht="15" customHeight="1">
      <c r="A8" s="18" t="str">
        <f>Analysis!A8</f>
        <v>9/1958</v>
      </c>
      <c r="B8" s="19">
        <f>Analysis!E8</f>
        <v>-2.9999999999999361E-2</v>
      </c>
      <c r="C8" s="20">
        <f>Analysis!F8</f>
        <v>0.1617034477834195</v>
      </c>
      <c r="D8" s="19" t="str">
        <f t="shared" si="4"/>
        <v/>
      </c>
      <c r="E8" s="19">
        <f>Solar!D8</f>
        <v>1362.04</v>
      </c>
      <c r="F8" s="30">
        <v>0.28000000000000003</v>
      </c>
      <c r="G8" s="20">
        <f t="shared" si="0"/>
        <v>0.11452845494242408</v>
      </c>
      <c r="H8" s="20" t="str">
        <f t="shared" si="1"/>
        <v/>
      </c>
      <c r="I8" s="20" t="str">
        <f t="shared" si="2"/>
        <v/>
      </c>
      <c r="J8" s="20" t="str">
        <f t="shared" si="3"/>
        <v/>
      </c>
      <c r="M8" s="18" t="s">
        <v>1935</v>
      </c>
      <c r="N8" s="19">
        <f>CORREL($G$2:$G$822,$G$3:$G$823)</f>
        <v>0.64377332517660224</v>
      </c>
    </row>
    <row r="9" spans="1:17" ht="15" customHeight="1">
      <c r="A9" s="18" t="str">
        <f>Analysis!A9</f>
        <v>10/1958</v>
      </c>
      <c r="B9" s="19">
        <f>Analysis!E9</f>
        <v>3.9999999999999147E-2</v>
      </c>
      <c r="C9" s="20">
        <f>Analysis!F9</f>
        <v>0.1580599853917147</v>
      </c>
      <c r="D9" s="19">
        <f t="shared" si="4"/>
        <v>0.43</v>
      </c>
      <c r="E9" s="19">
        <f>Solar!D9</f>
        <v>1361.99</v>
      </c>
      <c r="F9" s="30">
        <v>0.3</v>
      </c>
      <c r="G9" s="20">
        <f t="shared" si="0"/>
        <v>0.19448811934685822</v>
      </c>
      <c r="H9" s="20">
        <f t="shared" si="1"/>
        <v>-0.12271685244220754</v>
      </c>
      <c r="I9" s="20">
        <f t="shared" si="2"/>
        <v>0.16271685244220668</v>
      </c>
      <c r="J9" s="20">
        <f t="shared" si="3"/>
        <v>2.5737589474927949E-3</v>
      </c>
      <c r="M9" s="17" t="s">
        <v>1936</v>
      </c>
      <c r="P9" s="17" t="s">
        <v>1937</v>
      </c>
      <c r="Q9" s="17" t="s">
        <v>1938</v>
      </c>
    </row>
    <row r="10" spans="1:17" ht="15" customHeight="1">
      <c r="A10" s="18" t="str">
        <f>Analysis!A10</f>
        <v>11/1958</v>
      </c>
      <c r="B10" s="19">
        <f>Analysis!E10</f>
        <v>2.0000000000003126E-2</v>
      </c>
      <c r="C10" s="20">
        <f>Analysis!F10</f>
        <v>0.16225608099765507</v>
      </c>
      <c r="D10" s="19">
        <f t="shared" si="4"/>
        <v>0.32</v>
      </c>
      <c r="E10" s="19">
        <f>Solar!D10</f>
        <v>1362.07</v>
      </c>
      <c r="F10" s="30">
        <v>0.36</v>
      </c>
      <c r="G10" s="20">
        <f t="shared" si="0"/>
        <v>0.16301779262159072</v>
      </c>
      <c r="H10" s="20">
        <f t="shared" si="1"/>
        <v>-0.1207651879035507</v>
      </c>
      <c r="I10" s="20">
        <f t="shared" si="2"/>
        <v>0.14076518790355383</v>
      </c>
      <c r="J10" s="20">
        <f t="shared" si="3"/>
        <v>-7.852086364652764E-3</v>
      </c>
      <c r="P10" s="18">
        <v>0</v>
      </c>
      <c r="Q10" s="20">
        <f t="shared" ref="Q10:Q16" ca="1" si="5">CORREL($G$12:$G$823,OFFSET($F$12:$F$823,-P10,0))</f>
        <v>0.4021937920234806</v>
      </c>
    </row>
    <row r="11" spans="1:17" ht="15" customHeight="1">
      <c r="A11" s="18" t="str">
        <f>Analysis!A11</f>
        <v>12/1958</v>
      </c>
      <c r="B11" s="19">
        <f>Analysis!E11</f>
        <v>1.0000000000001563E-2</v>
      </c>
      <c r="C11" s="20">
        <f>Analysis!F11</f>
        <v>0.16841281440122227</v>
      </c>
      <c r="D11" s="19">
        <f t="shared" si="4"/>
        <v>0.28000000000000003</v>
      </c>
      <c r="E11" s="19">
        <f>Solar!D11</f>
        <v>1361.54</v>
      </c>
      <c r="F11" s="30">
        <v>0.56000000000000005</v>
      </c>
      <c r="G11" s="20">
        <f t="shared" si="0"/>
        <v>0.13618792258732854</v>
      </c>
      <c r="H11" s="20">
        <f t="shared" si="1"/>
        <v>-0.10733540713207329</v>
      </c>
      <c r="I11" s="20">
        <f t="shared" si="2"/>
        <v>0.11733540713207485</v>
      </c>
      <c r="J11" s="20">
        <f t="shared" si="3"/>
        <v>-1.4370575569072345E-2</v>
      </c>
      <c r="P11" s="18">
        <v>1</v>
      </c>
      <c r="Q11" s="20">
        <f t="shared" ca="1" si="5"/>
        <v>0.44939671496573791</v>
      </c>
    </row>
    <row r="12" spans="1:17" ht="15" customHeight="1">
      <c r="A12" s="18" t="str">
        <f>Analysis!A12</f>
        <v>1/1959</v>
      </c>
      <c r="B12" s="19">
        <f>Analysis!E12</f>
        <v>8.0000000000000071E-2</v>
      </c>
      <c r="C12" s="20">
        <f>Analysis!F12</f>
        <v>0.17257894974287927</v>
      </c>
      <c r="D12" s="19">
        <f t="shared" si="4"/>
        <v>0.3</v>
      </c>
      <c r="E12" s="19">
        <f>Solar!D12</f>
        <v>1361.36</v>
      </c>
      <c r="F12" s="30">
        <v>0.6</v>
      </c>
      <c r="G12" s="20">
        <f t="shared" si="0"/>
        <v>0.19479949438210342</v>
      </c>
      <c r="H12" s="20">
        <f t="shared" si="1"/>
        <v>-9.4151127246155056E-2</v>
      </c>
      <c r="I12" s="20">
        <f t="shared" si="2"/>
        <v>0.17415112724615511</v>
      </c>
      <c r="J12" s="20">
        <f t="shared" si="3"/>
        <v>5.3888669033135175E-2</v>
      </c>
      <c r="P12" s="18">
        <v>2</v>
      </c>
      <c r="Q12" s="20">
        <f t="shared" ca="1" si="5"/>
        <v>0.46973520194899726</v>
      </c>
    </row>
    <row r="13" spans="1:17" ht="15" customHeight="1">
      <c r="A13" s="18" t="str">
        <f>Analysis!A13</f>
        <v>2/1959</v>
      </c>
      <c r="B13" s="19">
        <f>Analysis!E13</f>
        <v>7.0000000000000284E-2</v>
      </c>
      <c r="C13" s="20">
        <f>Analysis!F13</f>
        <v>0.17673308898155007</v>
      </c>
      <c r="D13" s="19">
        <f t="shared" si="4"/>
        <v>0.36</v>
      </c>
      <c r="E13" s="19">
        <f>Solar!D13</f>
        <v>1361.98</v>
      </c>
      <c r="F13" s="30">
        <v>0.64</v>
      </c>
      <c r="G13" s="20">
        <f t="shared" si="0"/>
        <v>0.17344385838030041</v>
      </c>
      <c r="H13" s="20">
        <f t="shared" si="1"/>
        <v>-7.7518287414069631E-2</v>
      </c>
      <c r="I13" s="20">
        <f t="shared" si="2"/>
        <v>0.14751828741406992</v>
      </c>
      <c r="J13" s="20">
        <f t="shared" si="3"/>
        <v>3.8666402839762408E-2</v>
      </c>
      <c r="M13" s="17" t="s">
        <v>1939</v>
      </c>
      <c r="P13" s="18">
        <v>3</v>
      </c>
      <c r="Q13" s="20">
        <f t="shared" ca="1" si="5"/>
        <v>0.47136425144234512</v>
      </c>
    </row>
    <row r="14" spans="1:17" ht="15" customHeight="1">
      <c r="A14" s="18" t="str">
        <f>Analysis!A14</f>
        <v>3/1959</v>
      </c>
      <c r="B14" s="19">
        <f>Analysis!E14</f>
        <v>0.17999999999999972</v>
      </c>
      <c r="C14" s="20">
        <f>Analysis!F14</f>
        <v>0.17746225223598333</v>
      </c>
      <c r="D14" s="19">
        <f t="shared" si="4"/>
        <v>0.56000000000000005</v>
      </c>
      <c r="E14" s="19">
        <f>Solar!D14</f>
        <v>1361.39</v>
      </c>
      <c r="F14" s="30">
        <v>0.48</v>
      </c>
      <c r="G14" s="20">
        <f t="shared" si="0"/>
        <v>0.28145063859937514</v>
      </c>
      <c r="H14" s="20">
        <f t="shared" si="1"/>
        <v>-5.8107870621186712E-2</v>
      </c>
      <c r="I14" s="20">
        <f t="shared" si="2"/>
        <v>0.23810787062118643</v>
      </c>
      <c r="J14" s="20">
        <f t="shared" si="3"/>
        <v>0.13125884886185191</v>
      </c>
      <c r="M14" s="18" t="s">
        <v>1940</v>
      </c>
      <c r="N14" s="20">
        <f>INDEX(LINEST($B$9:$B$823,$C$9:$C$823:$D$9:$D$823),1,3)</f>
        <v>-0.59430165174830185</v>
      </c>
      <c r="P14" s="18">
        <v>4</v>
      </c>
      <c r="Q14" s="20">
        <f t="shared" ca="1" si="5"/>
        <v>0.45237678681267773</v>
      </c>
    </row>
    <row r="15" spans="1:17" ht="15" customHeight="1">
      <c r="A15" s="18" t="str">
        <f>Analysis!A15</f>
        <v>4/1959</v>
      </c>
      <c r="B15" s="19">
        <f>Analysis!E15</f>
        <v>0.16000000000000014</v>
      </c>
      <c r="C15" s="20">
        <f>Analysis!F15</f>
        <v>0.18232908124013067</v>
      </c>
      <c r="D15" s="19">
        <f t="shared" si="4"/>
        <v>0.6</v>
      </c>
      <c r="E15" s="19">
        <f>Solar!D15</f>
        <v>1361.71</v>
      </c>
      <c r="F15" s="30">
        <v>0.39</v>
      </c>
      <c r="G15" s="20">
        <f t="shared" si="0"/>
        <v>0.2481468142740747</v>
      </c>
      <c r="H15" s="20">
        <f t="shared" si="1"/>
        <v>-4.1258172687849176E-2</v>
      </c>
      <c r="I15" s="20">
        <f t="shared" si="2"/>
        <v>0.20125817268784932</v>
      </c>
      <c r="J15" s="20">
        <f t="shared" si="3"/>
        <v>0.10777733806627035</v>
      </c>
      <c r="M15" s="18" t="s">
        <v>1910</v>
      </c>
      <c r="N15" s="20">
        <f>INDEX(LINEST($B$9:$B$823,$C$9:$C$823:$D$9:$D$823),1,2)</f>
        <v>2.7467961431074888</v>
      </c>
      <c r="P15" s="18">
        <v>5</v>
      </c>
      <c r="Q15" s="20">
        <f t="shared" ca="1" si="5"/>
        <v>0.42140559706276964</v>
      </c>
    </row>
    <row r="16" spans="1:17" ht="15" customHeight="1">
      <c r="A16" s="18" t="str">
        <f>Analysis!A16</f>
        <v>5/1959</v>
      </c>
      <c r="B16" s="19">
        <f>Analysis!E16</f>
        <v>3.9999999999999147E-2</v>
      </c>
      <c r="C16" s="20">
        <f>Analysis!F16</f>
        <v>0.18491500408245293</v>
      </c>
      <c r="D16" s="19">
        <f t="shared" si="4"/>
        <v>0.64</v>
      </c>
      <c r="E16" s="19">
        <f>Solar!D16</f>
        <v>1361.74</v>
      </c>
      <c r="F16" s="30">
        <v>0.24</v>
      </c>
      <c r="G16" s="20">
        <f t="shared" si="0"/>
        <v>0.12107800968206495</v>
      </c>
      <c r="H16" s="20">
        <f t="shared" si="1"/>
        <v>-3.067365900260282E-2</v>
      </c>
      <c r="I16" s="20">
        <f t="shared" si="2"/>
        <v>7.0673659002601974E-2</v>
      </c>
      <c r="J16" s="20">
        <f t="shared" si="3"/>
        <v>-1.5704172729312633E-2</v>
      </c>
      <c r="M16" s="18" t="s">
        <v>1941</v>
      </c>
      <c r="N16" s="25">
        <f>INDEX(LINEST($B$9:$B$823,$C$9:$C$823:$D$9:$D$823),1,1)</f>
        <v>8.7037769889549657E-2</v>
      </c>
      <c r="P16" s="18">
        <v>6</v>
      </c>
      <c r="Q16" s="20">
        <f t="shared" ca="1" si="5"/>
        <v>0.38564352656744189</v>
      </c>
    </row>
    <row r="17" spans="1:14" ht="15" customHeight="1">
      <c r="A17" s="18" t="str">
        <f>Analysis!A17</f>
        <v>6/1959</v>
      </c>
      <c r="B17" s="19">
        <f>Analysis!E17</f>
        <v>2.9999999999997584E-2</v>
      </c>
      <c r="C17" s="20">
        <f>Analysis!F17</f>
        <v>0.1842802944193824</v>
      </c>
      <c r="D17" s="19">
        <f t="shared" si="4"/>
        <v>0.48</v>
      </c>
      <c r="E17" s="19">
        <f>Solar!D17</f>
        <v>1361.6</v>
      </c>
      <c r="F17" s="30">
        <v>0.02</v>
      </c>
      <c r="G17" s="20">
        <f t="shared" si="0"/>
        <v>0.1128130338318466</v>
      </c>
      <c r="H17" s="20">
        <f t="shared" si="1"/>
        <v>-4.6343120239445937E-2</v>
      </c>
      <c r="I17" s="20">
        <f t="shared" si="2"/>
        <v>7.6343120239443521E-2</v>
      </c>
      <c r="J17" s="20">
        <f t="shared" si="3"/>
        <v>-1.1778129546986246E-2</v>
      </c>
      <c r="M17" s="18" t="s">
        <v>1912</v>
      </c>
      <c r="N17" s="20">
        <f>INDEX(LINEST($B$9:$B$823,$C$9:$C$823:$D$9:$D$823,TRUE(),TRUE()),3,1)</f>
        <v>0.89162717015030246</v>
      </c>
    </row>
    <row r="18" spans="1:14" ht="15" customHeight="1">
      <c r="A18" s="18" t="str">
        <f>Analysis!A18</f>
        <v>7/1959</v>
      </c>
      <c r="B18" s="19">
        <f>Analysis!E18</f>
        <v>2.9999999999997584E-2</v>
      </c>
      <c r="C18" s="20">
        <f>Analysis!F18</f>
        <v>0.17696099208944205</v>
      </c>
      <c r="D18" s="19">
        <f t="shared" si="4"/>
        <v>0.39</v>
      </c>
      <c r="E18" s="19">
        <f>Solar!D18</f>
        <v>1361.81</v>
      </c>
      <c r="F18" s="30">
        <v>-0.19</v>
      </c>
      <c r="G18" s="20">
        <f t="shared" si="0"/>
        <v>0.13282086897425921</v>
      </c>
      <c r="H18" s="20">
        <f t="shared" si="1"/>
        <v>-7.4281150939623203E-2</v>
      </c>
      <c r="I18" s="20">
        <f t="shared" si="2"/>
        <v>0.10428115093962079</v>
      </c>
      <c r="J18" s="20">
        <f t="shared" si="3"/>
        <v>-3.9447302569267859E-3</v>
      </c>
      <c r="M18" s="18" t="s">
        <v>1942</v>
      </c>
      <c r="N18" s="22">
        <f>COUNT($D$9:$D$823)</f>
        <v>815</v>
      </c>
    </row>
    <row r="19" spans="1:14" ht="15" customHeight="1">
      <c r="A19" s="18" t="str">
        <f>Analysis!A19</f>
        <v>8/1959</v>
      </c>
      <c r="B19" s="19">
        <f>Analysis!E19</f>
        <v>-9.9999999999980105E-3</v>
      </c>
      <c r="C19" s="20">
        <f>Analysis!F19</f>
        <v>0.16900871367515766</v>
      </c>
      <c r="D19" s="19">
        <f t="shared" si="4"/>
        <v>0.24</v>
      </c>
      <c r="E19" s="19">
        <f>Solar!D19</f>
        <v>1361.19</v>
      </c>
      <c r="F19" s="30">
        <v>-0.23</v>
      </c>
      <c r="G19" s="20">
        <f t="shared" si="0"/>
        <v>0.11455898940532178</v>
      </c>
      <c r="H19" s="20">
        <f t="shared" si="1"/>
        <v>-0.109180104100329</v>
      </c>
      <c r="I19" s="20">
        <f t="shared" si="2"/>
        <v>9.9180104100330985E-2</v>
      </c>
      <c r="J19" s="20">
        <f t="shared" si="3"/>
        <v>-3.0889064773489926E-2</v>
      </c>
      <c r="M19" s="18" t="s">
        <v>1934</v>
      </c>
      <c r="N19" s="20">
        <f>STDEV($I$9:$I$823)</f>
        <v>0.12801796518151615</v>
      </c>
    </row>
    <row r="20" spans="1:14" ht="15" customHeight="1">
      <c r="A20" s="18" t="str">
        <f>Analysis!A20</f>
        <v>9/1959</v>
      </c>
      <c r="B20" s="19">
        <f>Analysis!E20</f>
        <v>-6.0000000000000497E-2</v>
      </c>
      <c r="C20" s="20">
        <f>Analysis!F20</f>
        <v>0.16460241335740428</v>
      </c>
      <c r="D20" s="19">
        <f t="shared" si="4"/>
        <v>0.02</v>
      </c>
      <c r="E20" s="19">
        <f>Solar!D20</f>
        <v>1361.64</v>
      </c>
      <c r="F20" s="30">
        <v>-0.04</v>
      </c>
      <c r="G20" s="20">
        <f t="shared" si="0"/>
        <v>7.6603925708187914E-2</v>
      </c>
      <c r="H20" s="20">
        <f t="shared" si="1"/>
        <v>-0.14043162219420818</v>
      </c>
      <c r="I20" s="20">
        <f t="shared" si="2"/>
        <v>8.0431622194207686E-2</v>
      </c>
      <c r="J20" s="20">
        <f t="shared" si="3"/>
        <v>-6.1740755397791489E-2</v>
      </c>
      <c r="M20" s="18" t="s">
        <v>1943</v>
      </c>
      <c r="N20" s="19">
        <f>CORREL($I$9:$I$822,$I$10:$I$823)</f>
        <v>0.54654178400355902</v>
      </c>
    </row>
    <row r="21" spans="1:14" ht="15" customHeight="1">
      <c r="A21" s="18" t="str">
        <f>Analysis!A21</f>
        <v>10/1959</v>
      </c>
      <c r="B21" s="19">
        <f>Analysis!E21</f>
        <v>-7.0000000000000284E-2</v>
      </c>
      <c r="C21" s="20">
        <f>Analysis!F21</f>
        <v>0.16225608099765507</v>
      </c>
      <c r="D21" s="19">
        <f t="shared" si="4"/>
        <v>-0.19</v>
      </c>
      <c r="E21" s="19">
        <f>Solar!D21</f>
        <v>1361.6</v>
      </c>
      <c r="F21" s="30">
        <v>0.11</v>
      </c>
      <c r="G21" s="20">
        <f t="shared" si="0"/>
        <v>7.3017792621587307E-2</v>
      </c>
      <c r="H21" s="20">
        <f t="shared" si="1"/>
        <v>-0.16515445054722103</v>
      </c>
      <c r="I21" s="20">
        <f t="shared" si="2"/>
        <v>9.5154450547220742E-2</v>
      </c>
      <c r="J21" s="20">
        <f t="shared" si="3"/>
        <v>-5.3462823720985847E-2</v>
      </c>
      <c r="M21" s="18" t="s">
        <v>1944</v>
      </c>
      <c r="N21" s="20">
        <f>RSQ($J$9:$J$823,$C$9:$C$823)</f>
        <v>0.88833339157589997</v>
      </c>
    </row>
    <row r="22" spans="1:14" ht="15" customHeight="1">
      <c r="A22" s="18" t="str">
        <f>Analysis!A22</f>
        <v>11/1959</v>
      </c>
      <c r="B22" s="19">
        <f>Analysis!E22</f>
        <v>-8.0000000000001847E-2</v>
      </c>
      <c r="C22" s="20">
        <f>Analysis!F22</f>
        <v>0.16905454188757499</v>
      </c>
      <c r="D22" s="19">
        <f t="shared" si="4"/>
        <v>-0.23</v>
      </c>
      <c r="E22" s="19">
        <f>Solar!D22</f>
        <v>1361.37</v>
      </c>
      <c r="F22" s="30">
        <v>0.23</v>
      </c>
      <c r="G22" s="20">
        <f t="shared" si="0"/>
        <v>4.4433714716886674E-2</v>
      </c>
      <c r="H22" s="20">
        <f t="shared" si="1"/>
        <v>-0.14996197519130389</v>
      </c>
      <c r="I22" s="20">
        <f t="shared" si="2"/>
        <v>6.9961975191302039E-2</v>
      </c>
      <c r="J22" s="20">
        <f t="shared" si="3"/>
        <v>-5.9981312925405428E-2</v>
      </c>
      <c r="M22" s="18" t="s">
        <v>1945</v>
      </c>
      <c r="N22" s="20">
        <f>RSQ($B$9:$B$823,$C$9:$C$823)</f>
        <v>0.8605803560904528</v>
      </c>
    </row>
    <row r="23" spans="1:14" ht="15" customHeight="1">
      <c r="A23" s="18" t="str">
        <f>Analysis!A23</f>
        <v>12/1959</v>
      </c>
      <c r="B23" s="19">
        <f>Analysis!E23</f>
        <v>0</v>
      </c>
      <c r="C23" s="20">
        <f>Analysis!F23</f>
        <v>0.17257894974287927</v>
      </c>
      <c r="D23" s="19">
        <f t="shared" si="4"/>
        <v>-0.04</v>
      </c>
      <c r="E23" s="19">
        <f>Solar!D23</f>
        <v>1361.39</v>
      </c>
      <c r="F23" s="30">
        <v>0.14000000000000001</v>
      </c>
      <c r="G23" s="20">
        <f t="shared" si="0"/>
        <v>0.11479949438210335</v>
      </c>
      <c r="H23" s="20">
        <f t="shared" si="1"/>
        <v>-0.12374396900860193</v>
      </c>
      <c r="I23" s="20">
        <f t="shared" si="2"/>
        <v>0.12374396900860193</v>
      </c>
      <c r="J23" s="20">
        <f t="shared" si="3"/>
        <v>3.4815107955819863E-3</v>
      </c>
      <c r="M23" s="17" t="s">
        <v>1946</v>
      </c>
    </row>
    <row r="24" spans="1:14" ht="15" customHeight="1">
      <c r="A24" s="18" t="str">
        <f>Analysis!A24</f>
        <v>1/1960</v>
      </c>
      <c r="B24" s="19">
        <f>Analysis!E24</f>
        <v>0</v>
      </c>
      <c r="C24" s="20">
        <f>Analysis!F24</f>
        <v>0.17645955772100325</v>
      </c>
      <c r="D24" s="19">
        <f t="shared" si="4"/>
        <v>0.11</v>
      </c>
      <c r="E24" s="19">
        <f>Solar!D24</f>
        <v>1361.48</v>
      </c>
      <c r="F24" s="30">
        <v>0.02</v>
      </c>
      <c r="G24" s="20">
        <f t="shared" si="0"/>
        <v>0.10419157559713521</v>
      </c>
      <c r="H24" s="20">
        <f t="shared" si="1"/>
        <v>-0.10002906449794639</v>
      </c>
      <c r="I24" s="20">
        <f t="shared" si="2"/>
        <v>0.10002906449794639</v>
      </c>
      <c r="J24" s="20">
        <f t="shared" si="3"/>
        <v>-9.574154687850462E-3</v>
      </c>
      <c r="M24" s="18" t="s">
        <v>1910</v>
      </c>
      <c r="N24" s="20">
        <f>INDEX(LINEST($B$9:$B$791,$C$9:$C$791:$E$9:$E$791),1,3)</f>
        <v>2.6631275887585044</v>
      </c>
    </row>
    <row r="25" spans="1:14" ht="15" customHeight="1">
      <c r="A25" s="18" t="str">
        <f>Analysis!A25</f>
        <v>2/1960</v>
      </c>
      <c r="B25" s="19">
        <f>Analysis!E25</f>
        <v>0.12999999999999901</v>
      </c>
      <c r="C25" s="20">
        <f>Analysis!F25</f>
        <v>0.17896498855382964</v>
      </c>
      <c r="D25" s="19">
        <f t="shared" si="4"/>
        <v>0.23</v>
      </c>
      <c r="E25" s="19">
        <f>Solar!D25</f>
        <v>1361.54</v>
      </c>
      <c r="F25" s="30">
        <v>0.03</v>
      </c>
      <c r="G25" s="20">
        <f t="shared" si="0"/>
        <v>0.22734280165609161</v>
      </c>
      <c r="H25" s="20">
        <f t="shared" si="1"/>
        <v>-8.2702624362770316E-2</v>
      </c>
      <c r="I25" s="20">
        <f t="shared" si="2"/>
        <v>0.21270262436276932</v>
      </c>
      <c r="J25" s="20">
        <f t="shared" si="3"/>
        <v>0.10998131292540259</v>
      </c>
      <c r="M25" s="18" t="s">
        <v>1941</v>
      </c>
      <c r="N25" s="25">
        <f>INDEX(LINEST($B$9:$B$791,$C$9:$C$791:$E$9:$E$791),1,2)</f>
        <v>8.4315144897123481E-2</v>
      </c>
    </row>
    <row r="26" spans="1:14" ht="15" customHeight="1">
      <c r="A26" s="18" t="str">
        <f>Analysis!A26</f>
        <v>3/1960</v>
      </c>
      <c r="B26" s="19">
        <f>Analysis!E26</f>
        <v>-0.35000000000000142</v>
      </c>
      <c r="C26" s="20">
        <f>Analysis!F26</f>
        <v>0.1816932326363403</v>
      </c>
      <c r="D26" s="19">
        <f t="shared" si="4"/>
        <v>0.14000000000000001</v>
      </c>
      <c r="E26" s="19">
        <f>Solar!D26</f>
        <v>1361.63</v>
      </c>
      <c r="F26" s="30">
        <v>0.06</v>
      </c>
      <c r="G26" s="20">
        <f t="shared" si="0"/>
        <v>-0.26011504820042386</v>
      </c>
      <c r="H26" s="20">
        <f t="shared" si="1"/>
        <v>-8.3042093329533689E-2</v>
      </c>
      <c r="I26" s="20">
        <f t="shared" si="2"/>
        <v>-0.2669579066704677</v>
      </c>
      <c r="J26" s="20">
        <f t="shared" si="3"/>
        <v>-0.3621852877845384</v>
      </c>
      <c r="M26" s="18" t="s">
        <v>1947</v>
      </c>
      <c r="N26" s="25">
        <f>INDEX(LINEST($B$9:$B$791,$C$9:$C$791:$E$9:$E$791),1,1)</f>
        <v>6.0734268709700404E-2</v>
      </c>
    </row>
    <row r="27" spans="1:14" ht="15" customHeight="1">
      <c r="A27" s="18" t="str">
        <f>Analysis!A27</f>
        <v>4/1960</v>
      </c>
      <c r="B27" s="19">
        <f>Analysis!E27</f>
        <v>-0.14999999999999858</v>
      </c>
      <c r="C27" s="20">
        <f>Analysis!F27</f>
        <v>0.18826526709013644</v>
      </c>
      <c r="D27" s="19">
        <f t="shared" si="4"/>
        <v>0.02</v>
      </c>
      <c r="E27" s="19">
        <f>Solar!D27</f>
        <v>1361.28</v>
      </c>
      <c r="F27" s="30">
        <v>0.17</v>
      </c>
      <c r="G27" s="20">
        <f t="shared" si="0"/>
        <v>-7.8080173286718679E-2</v>
      </c>
      <c r="H27" s="20">
        <f t="shared" si="1"/>
        <v>-7.5434586826222907E-2</v>
      </c>
      <c r="I27" s="20">
        <f t="shared" si="2"/>
        <v>-7.4565413173775671E-2</v>
      </c>
      <c r="J27" s="20">
        <f t="shared" si="3"/>
        <v>-0.15174075539778958</v>
      </c>
      <c r="M27" s="18" t="s">
        <v>1912</v>
      </c>
      <c r="N27" s="20">
        <f>INDEX(LINEST($B$9:$B$791,$C$9:$C$791:$E$9:$E$791,TRUE(),TRUE()),3,1)</f>
        <v>0.88209070059803152</v>
      </c>
    </row>
    <row r="28" spans="1:14" ht="15" customHeight="1">
      <c r="A28" s="18" t="str">
        <f>Analysis!A28</f>
        <v>5/1960</v>
      </c>
      <c r="B28" s="19">
        <f>Analysis!E28</f>
        <v>-8.0000000000001847E-2</v>
      </c>
      <c r="C28" s="20">
        <f>Analysis!F28</f>
        <v>0.19278032426290692</v>
      </c>
      <c r="D28" s="19">
        <f t="shared" si="4"/>
        <v>0.03</v>
      </c>
      <c r="E28" s="19">
        <f>Solar!D28</f>
        <v>1361.33</v>
      </c>
      <c r="F28" s="30">
        <v>0.04</v>
      </c>
      <c r="G28" s="20">
        <f t="shared" si="0"/>
        <v>-2.0422404212452228E-2</v>
      </c>
      <c r="H28" s="20">
        <f t="shared" si="1"/>
        <v>-6.2162267499251571E-2</v>
      </c>
      <c r="I28" s="20">
        <f t="shared" si="2"/>
        <v>-1.7837732500750277E-2</v>
      </c>
      <c r="J28" s="20">
        <f t="shared" si="3"/>
        <v>-8.2611133096688341E-2</v>
      </c>
      <c r="M28" s="18" t="s">
        <v>1948</v>
      </c>
      <c r="N28" s="20">
        <f>INDEX(LINEST($B$9:$B$791,$C$9:$C$791:$D$9:$D$791,TRUE(),TRUE()),3,1)</f>
        <v>0.87723969509813082</v>
      </c>
    </row>
    <row r="29" spans="1:14" ht="15" customHeight="1">
      <c r="A29" s="18" t="str">
        <f>Analysis!A29</f>
        <v>6/1960</v>
      </c>
      <c r="B29" s="19">
        <f>Analysis!E29</f>
        <v>-3.9999999999999147E-2</v>
      </c>
      <c r="C29" s="20">
        <f>Analysis!F29</f>
        <v>0.19075029697903845</v>
      </c>
      <c r="D29" s="19">
        <f t="shared" si="4"/>
        <v>0.06</v>
      </c>
      <c r="E29" s="19">
        <f>Solar!D29</f>
        <v>1361.56</v>
      </c>
      <c r="F29" s="30">
        <v>0</v>
      </c>
      <c r="G29" s="20">
        <f t="shared" si="0"/>
        <v>2.5126820208038581E-2</v>
      </c>
      <c r="H29" s="20">
        <f t="shared" si="1"/>
        <v>-6.5127205516298012E-2</v>
      </c>
      <c r="I29" s="20">
        <f t="shared" si="2"/>
        <v>2.5127205516298864E-2</v>
      </c>
      <c r="J29" s="20">
        <f t="shared" si="3"/>
        <v>-4.5222266193372128E-2</v>
      </c>
    </row>
    <row r="30" spans="1:14" ht="15" customHeight="1">
      <c r="A30" s="18" t="str">
        <f>Analysis!A30</f>
        <v>7/1960</v>
      </c>
      <c r="B30" s="19">
        <f>Analysis!E30</f>
        <v>-3.9999999999999147E-2</v>
      </c>
      <c r="C30" s="20">
        <f>Analysis!F30</f>
        <v>0.1844163271422109</v>
      </c>
      <c r="D30" s="19">
        <f t="shared" si="4"/>
        <v>0.17</v>
      </c>
      <c r="E30" s="19">
        <f>Solar!D30</f>
        <v>1361.34</v>
      </c>
      <c r="F30" s="30">
        <v>0.01</v>
      </c>
      <c r="G30" s="20">
        <f t="shared" si="0"/>
        <v>4.2441178678225167E-2</v>
      </c>
      <c r="H30" s="20">
        <f t="shared" si="1"/>
        <v>-7.2951174746804584E-2</v>
      </c>
      <c r="I30" s="20">
        <f t="shared" si="2"/>
        <v>3.2951174746805437E-2</v>
      </c>
      <c r="J30" s="20">
        <f t="shared" si="3"/>
        <v>-5.4796420881222593E-2</v>
      </c>
      <c r="M30" s="17" t="s">
        <v>1949</v>
      </c>
    </row>
    <row r="31" spans="1:14" ht="15" customHeight="1">
      <c r="A31" s="18" t="str">
        <f>Analysis!A31</f>
        <v>8/1960</v>
      </c>
      <c r="B31" s="19">
        <f>Analysis!E31</f>
        <v>2.0000000000003126E-2</v>
      </c>
      <c r="C31" s="20">
        <f>Analysis!F31</f>
        <v>0.17404110991454413</v>
      </c>
      <c r="D31" s="19">
        <f t="shared" si="4"/>
        <v>0.04</v>
      </c>
      <c r="E31" s="19">
        <f>Solar!D31</f>
        <v>1361.38</v>
      </c>
      <c r="F31" s="30">
        <v>0.15</v>
      </c>
      <c r="G31" s="20">
        <f t="shared" si="0"/>
        <v>0.13080257522947042</v>
      </c>
      <c r="H31" s="20">
        <f t="shared" si="1"/>
        <v>-0.11276469149730353</v>
      </c>
      <c r="I31" s="20">
        <f t="shared" si="2"/>
        <v>0.13276469149730666</v>
      </c>
      <c r="J31" s="20">
        <f t="shared" si="3"/>
        <v>1.6518489204421141E-2</v>
      </c>
      <c r="M31" s="18" t="s">
        <v>1950</v>
      </c>
      <c r="N31" s="19">
        <f>AVERAGEIFS($I$2:$I$823,Analysis!$B$2:$B$823,"&gt;=2023",Analysis!$B$2:$B$823,"&lt;2026")</f>
        <v>0.13825716660461584</v>
      </c>
    </row>
    <row r="32" spans="1:14" ht="15" customHeight="1">
      <c r="A32" s="18" t="str">
        <f>Analysis!A32</f>
        <v>9/1960</v>
      </c>
      <c r="B32" s="19">
        <f>Analysis!E32</f>
        <v>7.0000000000000284E-2</v>
      </c>
      <c r="C32" s="20">
        <f>Analysis!F32</f>
        <v>0.16611859751788685</v>
      </c>
      <c r="D32" s="19">
        <f t="shared" si="4"/>
        <v>0</v>
      </c>
      <c r="E32" s="19">
        <f>Solar!D32</f>
        <v>1361.59</v>
      </c>
      <c r="F32" s="30">
        <v>0.19</v>
      </c>
      <c r="G32" s="20">
        <f t="shared" si="0"/>
        <v>0.20245932812757206</v>
      </c>
      <c r="H32" s="20">
        <f t="shared" si="1"/>
        <v>-0.13800772878774498</v>
      </c>
      <c r="I32" s="20">
        <f t="shared" si="2"/>
        <v>0.20800772878774526</v>
      </c>
      <c r="J32" s="20">
        <f t="shared" si="3"/>
        <v>7.0000000000000284E-2</v>
      </c>
      <c r="M32" s="18" t="s">
        <v>1951</v>
      </c>
      <c r="N32" s="19">
        <f>AVERAGEIFS($I$2:$I$823,Analysis!$B$2:$B$823,"&gt;=1959",Analysis!$B$2:$B$823,"&lt;2023")</f>
        <v>-8.3596830327056972E-3</v>
      </c>
    </row>
    <row r="33" spans="1:13" ht="15" customHeight="1">
      <c r="A33" s="18" t="str">
        <f>Analysis!A33</f>
        <v>10/1960</v>
      </c>
      <c r="B33" s="19">
        <f>Analysis!E33</f>
        <v>5.9999999999998721E-2</v>
      </c>
      <c r="C33" s="20">
        <f>Analysis!F33</f>
        <v>0.16455644349932552</v>
      </c>
      <c r="D33" s="19">
        <f t="shared" si="4"/>
        <v>0.01</v>
      </c>
      <c r="E33" s="19">
        <f>Solar!D33</f>
        <v>1361.44</v>
      </c>
      <c r="F33" s="30">
        <v>0.08</v>
      </c>
      <c r="G33" s="20">
        <f t="shared" si="0"/>
        <v>0.19672958759514014</v>
      </c>
      <c r="H33" s="20">
        <f t="shared" si="1"/>
        <v>-0.14142826972197362</v>
      </c>
      <c r="I33" s="20">
        <f t="shared" si="2"/>
        <v>0.20142826972197234</v>
      </c>
      <c r="J33" s="20">
        <f t="shared" si="3"/>
        <v>5.9129622301103225E-2</v>
      </c>
    </row>
    <row r="34" spans="1:13" ht="15" customHeight="1">
      <c r="A34" s="18" t="str">
        <f>Analysis!A34</f>
        <v>11/1960</v>
      </c>
      <c r="B34" s="19">
        <f>Analysis!E34</f>
        <v>-0.10999999999999766</v>
      </c>
      <c r="C34" s="20">
        <f>Analysis!F34</f>
        <v>0.16992500144231237</v>
      </c>
      <c r="D34" s="19">
        <f t="shared" si="4"/>
        <v>0.15</v>
      </c>
      <c r="E34" s="19">
        <f>Solar!D34</f>
        <v>1361.23</v>
      </c>
      <c r="F34" s="30">
        <v>-7.0000000000000007E-2</v>
      </c>
      <c r="G34" s="20">
        <f t="shared" si="0"/>
        <v>1.205425141776173E-2</v>
      </c>
      <c r="H34" s="20">
        <f t="shared" si="1"/>
        <v>-0.11449664768559131</v>
      </c>
      <c r="I34" s="20">
        <f t="shared" si="2"/>
        <v>4.4966476855936577E-3</v>
      </c>
      <c r="J34" s="20">
        <f t="shared" si="3"/>
        <v>-0.12305566548343011</v>
      </c>
      <c r="M34" s="17" t="s">
        <v>1886</v>
      </c>
    </row>
    <row r="35" spans="1:13" ht="15" customHeight="1">
      <c r="A35" s="18" t="str">
        <f>Analysis!A35</f>
        <v>12/1960</v>
      </c>
      <c r="B35" s="19">
        <f>Analysis!E35</f>
        <v>0.19000000000000128</v>
      </c>
      <c r="C35" s="20">
        <f>Analysis!F35</f>
        <v>0.17536491377542907</v>
      </c>
      <c r="D35" s="19">
        <f t="shared" si="4"/>
        <v>0.19</v>
      </c>
      <c r="E35" s="19">
        <f>Solar!D35</f>
        <v>1361.34</v>
      </c>
      <c r="F35" s="30">
        <v>-7.0000000000000007E-2</v>
      </c>
      <c r="G35" s="20">
        <f t="shared" si="0"/>
        <v>0.29718386292390775</v>
      </c>
      <c r="H35" s="20">
        <f t="shared" si="1"/>
        <v>-9.6072806674561556E-2</v>
      </c>
      <c r="I35" s="20">
        <f t="shared" si="2"/>
        <v>0.28607280667456281</v>
      </c>
      <c r="J35" s="20">
        <f t="shared" si="3"/>
        <v>0.17346282372098684</v>
      </c>
      <c r="M35" s="29" t="s">
        <v>1952</v>
      </c>
    </row>
    <row r="36" spans="1:13" ht="15" customHeight="1">
      <c r="A36" s="18" t="str">
        <f>Analysis!A36</f>
        <v>1/1961</v>
      </c>
      <c r="B36" s="19">
        <f>Analysis!E36</f>
        <v>7.0000000000000284E-2</v>
      </c>
      <c r="C36" s="20">
        <f>Analysis!F36</f>
        <v>0.17855530658575247</v>
      </c>
      <c r="D36" s="19">
        <f t="shared" si="4"/>
        <v>0.08</v>
      </c>
      <c r="E36" s="19">
        <f>Solar!D36</f>
        <v>1361.24</v>
      </c>
      <c r="F36" s="30">
        <v>0</v>
      </c>
      <c r="G36" s="20">
        <f t="shared" si="0"/>
        <v>0.16846269654615326</v>
      </c>
      <c r="H36" s="20">
        <f t="shared" si="1"/>
        <v>-9.6883602696017798E-2</v>
      </c>
      <c r="I36" s="20">
        <f t="shared" si="2"/>
        <v>0.1668836026960181</v>
      </c>
      <c r="J36" s="20">
        <f t="shared" si="3"/>
        <v>6.3036978408836306E-2</v>
      </c>
      <c r="M36" s="29" t="s">
        <v>2458</v>
      </c>
    </row>
    <row r="37" spans="1:13" ht="15" customHeight="1">
      <c r="A37" s="18" t="str">
        <f>Analysis!A37</f>
        <v>2/1961</v>
      </c>
      <c r="B37" s="19">
        <f>Analysis!E37</f>
        <v>0.19000000000000128</v>
      </c>
      <c r="C37" s="20">
        <f>Analysis!F37</f>
        <v>0.18223826288116377</v>
      </c>
      <c r="D37" s="19">
        <f t="shared" si="4"/>
        <v>-7.0000000000000007E-2</v>
      </c>
      <c r="E37" s="19">
        <f>Solar!D37</f>
        <v>1361.13</v>
      </c>
      <c r="F37" s="30">
        <v>0.03</v>
      </c>
      <c r="G37" s="20">
        <f t="shared" si="0"/>
        <v>0.27839507273809383</v>
      </c>
      <c r="H37" s="20">
        <f t="shared" si="1"/>
        <v>-9.9822938031981043E-2</v>
      </c>
      <c r="I37" s="20">
        <f t="shared" si="2"/>
        <v>0.28982293803198234</v>
      </c>
      <c r="J37" s="20">
        <f t="shared" si="3"/>
        <v>0.19609264389226977</v>
      </c>
      <c r="M37" s="29" t="s">
        <v>2609</v>
      </c>
    </row>
    <row r="38" spans="1:13" ht="15" customHeight="1">
      <c r="A38" s="18" t="str">
        <f>Analysis!A38</f>
        <v>3/1961</v>
      </c>
      <c r="B38" s="19">
        <f>Analysis!E38</f>
        <v>8.9999999999999858E-2</v>
      </c>
      <c r="C38" s="20">
        <f>Analysis!F38</f>
        <v>0.18604772012519621</v>
      </c>
      <c r="D38" s="19">
        <f t="shared" si="4"/>
        <v>-7.0000000000000007E-2</v>
      </c>
      <c r="E38" s="19">
        <f>Solar!D38</f>
        <v>1361.04</v>
      </c>
      <c r="F38" s="30">
        <v>0.01</v>
      </c>
      <c r="G38" s="20">
        <f t="shared" si="0"/>
        <v>0.1679816495612837</v>
      </c>
      <c r="H38" s="20">
        <f t="shared" si="1"/>
        <v>-8.9359135566739897E-2</v>
      </c>
      <c r="I38" s="20">
        <f t="shared" si="2"/>
        <v>0.17935913556673977</v>
      </c>
      <c r="J38" s="20">
        <f t="shared" si="3"/>
        <v>9.6092643892268334E-2</v>
      </c>
      <c r="M38" s="29" t="s">
        <v>1953</v>
      </c>
    </row>
    <row r="39" spans="1:13" ht="15" customHeight="1">
      <c r="A39" s="18" t="str">
        <f>Analysis!A39</f>
        <v>4/1961</v>
      </c>
      <c r="B39" s="19">
        <f>Analysis!E39</f>
        <v>0.12999999999999901</v>
      </c>
      <c r="C39" s="20">
        <f>Analysis!F39</f>
        <v>0.19029879162659466</v>
      </c>
      <c r="D39" s="19">
        <f t="shared" si="4"/>
        <v>0</v>
      </c>
      <c r="E39" s="19">
        <f>Solar!D39</f>
        <v>1360.93</v>
      </c>
      <c r="F39" s="30">
        <v>0.05</v>
      </c>
      <c r="G39" s="20">
        <f t="shared" si="0"/>
        <v>0.19636104230331197</v>
      </c>
      <c r="H39" s="20">
        <f t="shared" si="1"/>
        <v>-7.1589664870356007E-2</v>
      </c>
      <c r="I39" s="20">
        <f t="shared" si="2"/>
        <v>0.20158966487035501</v>
      </c>
      <c r="J39" s="20">
        <f t="shared" si="3"/>
        <v>0.12999999999999901</v>
      </c>
      <c r="M39" s="29" t="s">
        <v>1954</v>
      </c>
    </row>
    <row r="40" spans="1:13" ht="15" customHeight="1">
      <c r="A40" s="18" t="str">
        <f>Analysis!A40</f>
        <v>5/1961</v>
      </c>
      <c r="B40" s="19">
        <f>Analysis!E40</f>
        <v>0.11999999999999744</v>
      </c>
      <c r="C40" s="20">
        <f>Analysis!F40</f>
        <v>0.1952575958242399</v>
      </c>
      <c r="D40" s="19">
        <f t="shared" si="4"/>
        <v>0.03</v>
      </c>
      <c r="E40" s="19">
        <f>Solar!D40</f>
        <v>1361.01</v>
      </c>
      <c r="F40" s="30">
        <v>0.22</v>
      </c>
      <c r="G40" s="20">
        <f t="shared" si="0"/>
        <v>0.17280579722426226</v>
      </c>
      <c r="H40" s="20">
        <f t="shared" si="1"/>
        <v>-5.5357707529152249E-2</v>
      </c>
      <c r="I40" s="20">
        <f t="shared" si="2"/>
        <v>0.1753577075291497</v>
      </c>
      <c r="J40" s="20">
        <f t="shared" si="3"/>
        <v>0.11738886690331095</v>
      </c>
    </row>
    <row r="41" spans="1:13" ht="15" customHeight="1">
      <c r="A41" s="18" t="str">
        <f>Analysis!A41</f>
        <v>6/1961</v>
      </c>
      <c r="B41" s="19">
        <f>Analysis!E41</f>
        <v>0.10999999999999766</v>
      </c>
      <c r="C41" s="20">
        <f>Analysis!F41</f>
        <v>0.19160776805384336</v>
      </c>
      <c r="D41" s="19">
        <f t="shared" si="4"/>
        <v>0.01</v>
      </c>
      <c r="E41" s="19">
        <f>Solar!D41</f>
        <v>1360.82</v>
      </c>
      <c r="F41" s="30">
        <v>0.22</v>
      </c>
      <c r="G41" s="20">
        <f t="shared" si="0"/>
        <v>0.17278286184551417</v>
      </c>
      <c r="H41" s="20">
        <f t="shared" si="1"/>
        <v>-6.7123795769675115E-2</v>
      </c>
      <c r="I41" s="20">
        <f t="shared" si="2"/>
        <v>0.17712379576967277</v>
      </c>
      <c r="J41" s="20">
        <f t="shared" si="3"/>
        <v>0.10912962230110215</v>
      </c>
    </row>
    <row r="42" spans="1:13" ht="15" customHeight="1">
      <c r="A42" s="18" t="str">
        <f>Analysis!A42</f>
        <v>7/1961</v>
      </c>
      <c r="B42" s="19">
        <f>Analysis!E42</f>
        <v>1.0000000000001563E-2</v>
      </c>
      <c r="C42" s="20">
        <f>Analysis!F42</f>
        <v>0.18613829900081141</v>
      </c>
      <c r="D42" s="19">
        <f t="shared" si="4"/>
        <v>0.05</v>
      </c>
      <c r="E42" s="19">
        <f>Solar!D42</f>
        <v>1360.94</v>
      </c>
      <c r="F42" s="30">
        <v>0.08</v>
      </c>
      <c r="G42" s="20">
        <f t="shared" si="0"/>
        <v>8.7734045742096201E-2</v>
      </c>
      <c r="H42" s="20">
        <f t="shared" si="1"/>
        <v>-7.8665801473807029E-2</v>
      </c>
      <c r="I42" s="20">
        <f t="shared" si="2"/>
        <v>8.8665801473808592E-2</v>
      </c>
      <c r="J42" s="20">
        <f t="shared" si="3"/>
        <v>5.64811150552408E-3</v>
      </c>
    </row>
    <row r="43" spans="1:13" ht="15" customHeight="1">
      <c r="A43" s="18" t="str">
        <f>Analysis!A43</f>
        <v>8/1961</v>
      </c>
      <c r="B43" s="19">
        <f>Analysis!E43</f>
        <v>1.0000000000001563E-2</v>
      </c>
      <c r="C43" s="20">
        <f>Analysis!F43</f>
        <v>0.17809996791233229</v>
      </c>
      <c r="D43" s="19">
        <f t="shared" si="4"/>
        <v>0.22</v>
      </c>
      <c r="E43" s="19">
        <f>Solar!D43</f>
        <v>1361.23</v>
      </c>
      <c r="F43" s="30">
        <v>-0.2</v>
      </c>
      <c r="G43" s="20">
        <f t="shared" si="0"/>
        <v>0.10970739729782164</v>
      </c>
      <c r="H43" s="20">
        <f t="shared" si="1"/>
        <v>-8.5949037423439095E-2</v>
      </c>
      <c r="I43" s="20">
        <f t="shared" si="2"/>
        <v>9.5949037423440658E-2</v>
      </c>
      <c r="J43" s="20">
        <f t="shared" si="3"/>
        <v>-9.1483093756993608E-3</v>
      </c>
    </row>
    <row r="44" spans="1:13" ht="15" customHeight="1">
      <c r="A44" s="18" t="str">
        <f>Analysis!A44</f>
        <v>9/1961</v>
      </c>
      <c r="B44" s="19">
        <f>Analysis!E44</f>
        <v>8.0000000000000071E-2</v>
      </c>
      <c r="C44" s="20">
        <f>Analysis!F44</f>
        <v>0.16987920087274735</v>
      </c>
      <c r="D44" s="19">
        <f t="shared" si="4"/>
        <v>0.22</v>
      </c>
      <c r="E44" s="19">
        <f>Solar!D44</f>
        <v>1360.78</v>
      </c>
      <c r="F44" s="30">
        <v>-0.32</v>
      </c>
      <c r="G44" s="20">
        <f t="shared" si="0"/>
        <v>0.2021794505424816</v>
      </c>
      <c r="H44" s="20">
        <f t="shared" si="1"/>
        <v>-0.10852980862115616</v>
      </c>
      <c r="I44" s="20">
        <f t="shared" si="2"/>
        <v>0.18852980862115623</v>
      </c>
      <c r="J44" s="20">
        <f t="shared" si="3"/>
        <v>6.0851690624299147E-2</v>
      </c>
    </row>
    <row r="45" spans="1:13" ht="15" customHeight="1">
      <c r="A45" s="18" t="str">
        <f>Analysis!A45</f>
        <v>10/1961</v>
      </c>
      <c r="B45" s="19">
        <f>Analysis!E45</f>
        <v>0</v>
      </c>
      <c r="C45" s="20">
        <f>Analysis!F45</f>
        <v>0.17134409839059492</v>
      </c>
      <c r="D45" s="19">
        <f t="shared" si="4"/>
        <v>0.08</v>
      </c>
      <c r="E45" s="19">
        <f>Solar!D45</f>
        <v>1361.02</v>
      </c>
      <c r="F45" s="30">
        <v>-0.22</v>
      </c>
      <c r="G45" s="20">
        <f t="shared" si="0"/>
        <v>0.11817504865874867</v>
      </c>
      <c r="H45" s="20">
        <f t="shared" si="1"/>
        <v>-0.1166913215536217</v>
      </c>
      <c r="I45" s="20">
        <f t="shared" si="2"/>
        <v>0.1166913215536217</v>
      </c>
      <c r="J45" s="20">
        <f t="shared" si="3"/>
        <v>-6.9630215911639726E-3</v>
      </c>
    </row>
    <row r="46" spans="1:13" ht="15" customHeight="1">
      <c r="A46" s="18" t="str">
        <f>Analysis!A46</f>
        <v>11/1961</v>
      </c>
      <c r="B46" s="19">
        <f>Analysis!E46</f>
        <v>2.9999999999997584E-2</v>
      </c>
      <c r="C46" s="20">
        <f>Analysis!F46</f>
        <v>0.17495420807216977</v>
      </c>
      <c r="D46" s="19">
        <f t="shared" si="4"/>
        <v>-0.2</v>
      </c>
      <c r="E46" s="19">
        <f>Solar!D46</f>
        <v>1360.89</v>
      </c>
      <c r="F46" s="30">
        <v>-0.11</v>
      </c>
      <c r="G46" s="20">
        <f t="shared" si="0"/>
        <v>0.13830655626712707</v>
      </c>
      <c r="H46" s="20">
        <f t="shared" si="1"/>
        <v>-0.13114566177315079</v>
      </c>
      <c r="I46" s="20">
        <f t="shared" si="2"/>
        <v>0.16114566177314837</v>
      </c>
      <c r="J46" s="20">
        <f t="shared" si="3"/>
        <v>4.7407553977907517E-2</v>
      </c>
    </row>
    <row r="47" spans="1:13" ht="15" customHeight="1">
      <c r="A47" s="18" t="str">
        <f>Analysis!A47</f>
        <v>12/1961</v>
      </c>
      <c r="B47" s="19">
        <f>Analysis!E47</f>
        <v>-0.16000000000000014</v>
      </c>
      <c r="C47" s="20">
        <f>Analysis!F47</f>
        <v>0.17910152336118931</v>
      </c>
      <c r="D47" s="19">
        <f t="shared" si="4"/>
        <v>-0.32</v>
      </c>
      <c r="E47" s="19">
        <f>Solar!D47</f>
        <v>1360.91</v>
      </c>
      <c r="F47" s="30">
        <v>-0.05</v>
      </c>
      <c r="G47" s="20">
        <f t="shared" si="0"/>
        <v>-6.3030425981421445E-2</v>
      </c>
      <c r="H47" s="20">
        <f t="shared" si="1"/>
        <v>-0.13019836451976716</v>
      </c>
      <c r="I47" s="20">
        <f t="shared" si="2"/>
        <v>-2.9801635480232985E-2</v>
      </c>
      <c r="J47" s="20">
        <f t="shared" si="3"/>
        <v>-0.13214791363534426</v>
      </c>
    </row>
    <row r="48" spans="1:13" ht="15" customHeight="1">
      <c r="A48" s="18" t="str">
        <f>Analysis!A48</f>
        <v>1/1962</v>
      </c>
      <c r="B48" s="19">
        <f>Analysis!E48</f>
        <v>5.0000000000004263E-2</v>
      </c>
      <c r="C48" s="20">
        <f>Analysis!F48</f>
        <v>0.18332770604480075</v>
      </c>
      <c r="D48" s="19">
        <f t="shared" si="4"/>
        <v>-0.22</v>
      </c>
      <c r="E48" s="19">
        <f>Solar!D48</f>
        <v>1360.76</v>
      </c>
      <c r="F48" s="30">
        <v>-0.16</v>
      </c>
      <c r="G48" s="20">
        <f t="shared" si="0"/>
        <v>0.13541700211982044</v>
      </c>
      <c r="H48" s="20">
        <f t="shared" si="1"/>
        <v>-0.10988612523540056</v>
      </c>
      <c r="I48" s="20">
        <f t="shared" si="2"/>
        <v>0.15988612523540482</v>
      </c>
      <c r="J48" s="20">
        <f t="shared" si="3"/>
        <v>6.914830937570518E-2</v>
      </c>
    </row>
    <row r="49" spans="1:10" ht="15" customHeight="1">
      <c r="A49" s="18" t="str">
        <f>Analysis!A49</f>
        <v>2/1962</v>
      </c>
      <c r="B49" s="19">
        <f>Analysis!E49</f>
        <v>0.14999999999999858</v>
      </c>
      <c r="C49" s="20">
        <f>Analysis!F49</f>
        <v>0.18609301027387254</v>
      </c>
      <c r="D49" s="19">
        <f t="shared" si="4"/>
        <v>-0.11</v>
      </c>
      <c r="E49" s="19">
        <f>Solar!D49</f>
        <v>1360.67</v>
      </c>
      <c r="F49" s="30">
        <v>-0.17</v>
      </c>
      <c r="G49" s="20">
        <f t="shared" si="0"/>
        <v>0.22785784570847745</v>
      </c>
      <c r="H49" s="20">
        <f t="shared" si="1"/>
        <v>-9.2716243556616965E-2</v>
      </c>
      <c r="I49" s="20">
        <f t="shared" si="2"/>
        <v>0.24271624355661553</v>
      </c>
      <c r="J49" s="20">
        <f t="shared" si="3"/>
        <v>0.15957415468784905</v>
      </c>
    </row>
    <row r="50" spans="1:10" ht="15" customHeight="1">
      <c r="A50" s="18" t="str">
        <f>Analysis!A50</f>
        <v>3/1962</v>
      </c>
      <c r="B50" s="19">
        <f>Analysis!E50</f>
        <v>9.9999999999997868E-2</v>
      </c>
      <c r="C50" s="20">
        <f>Analysis!F50</f>
        <v>0.19120166107272715</v>
      </c>
      <c r="D50" s="19">
        <f t="shared" si="4"/>
        <v>-0.05</v>
      </c>
      <c r="E50" s="19">
        <f>Solar!D50</f>
        <v>1360.96</v>
      </c>
      <c r="F50" s="30">
        <v>-0.15</v>
      </c>
      <c r="G50" s="20">
        <f t="shared" si="0"/>
        <v>0.16389298425364596</v>
      </c>
      <c r="H50" s="20">
        <f t="shared" si="1"/>
        <v>-7.3461555052467153E-2</v>
      </c>
      <c r="I50" s="20">
        <f t="shared" si="2"/>
        <v>0.17346155505246502</v>
      </c>
      <c r="J50" s="20">
        <f t="shared" si="3"/>
        <v>0.10435188849447535</v>
      </c>
    </row>
    <row r="51" spans="1:10" ht="15" customHeight="1">
      <c r="A51" s="18" t="str">
        <f>Analysis!A51</f>
        <v>4/1962</v>
      </c>
      <c r="B51" s="19">
        <f>Analysis!E51</f>
        <v>5.0000000000004263E-2</v>
      </c>
      <c r="C51" s="20">
        <f>Analysis!F51</f>
        <v>0.19521259246961153</v>
      </c>
      <c r="D51" s="19">
        <f t="shared" si="4"/>
        <v>-0.16</v>
      </c>
      <c r="E51" s="19">
        <f>Solar!D51</f>
        <v>1360.85</v>
      </c>
      <c r="F51" s="30">
        <v>-0.2</v>
      </c>
      <c r="G51" s="20">
        <f t="shared" si="0"/>
        <v>0.10292881710508162</v>
      </c>
      <c r="H51" s="20">
        <f t="shared" si="1"/>
        <v>-7.2018498849086857E-2</v>
      </c>
      <c r="I51" s="20">
        <f t="shared" si="2"/>
        <v>0.12201849884909112</v>
      </c>
      <c r="J51" s="20">
        <f t="shared" si="3"/>
        <v>6.3926043182332207E-2</v>
      </c>
    </row>
    <row r="52" spans="1:10" ht="15" customHeight="1">
      <c r="A52" s="18" t="str">
        <f>Analysis!A52</f>
        <v>5/1962</v>
      </c>
      <c r="B52" s="19">
        <f>Analysis!E52</f>
        <v>-6.0000000000000497E-2</v>
      </c>
      <c r="C52" s="20">
        <f>Analysis!F52</f>
        <v>0.19723635491870628</v>
      </c>
      <c r="D52" s="19">
        <f t="shared" si="4"/>
        <v>-0.17</v>
      </c>
      <c r="E52" s="19">
        <f>Solar!D52</f>
        <v>1360.84</v>
      </c>
      <c r="F52" s="30">
        <v>-0.19</v>
      </c>
      <c r="G52" s="20">
        <f t="shared" si="0"/>
        <v>-1.2603281942568656E-2</v>
      </c>
      <c r="H52" s="20">
        <f t="shared" si="1"/>
        <v>-6.7330013658243079E-2</v>
      </c>
      <c r="I52" s="20">
        <f t="shared" si="2"/>
        <v>7.3300136582425818E-3</v>
      </c>
      <c r="J52" s="20">
        <f t="shared" si="3"/>
        <v>-4.5203579118777051E-2</v>
      </c>
    </row>
    <row r="53" spans="1:10" ht="15" customHeight="1">
      <c r="A53" s="18" t="str">
        <f>Analysis!A53</f>
        <v>6/1962</v>
      </c>
      <c r="B53" s="19">
        <f>Analysis!E53</f>
        <v>2.9999999999997584E-2</v>
      </c>
      <c r="C53" s="20">
        <f>Analysis!F53</f>
        <v>0.19543759520574477</v>
      </c>
      <c r="D53" s="19">
        <f t="shared" si="4"/>
        <v>-0.15</v>
      </c>
      <c r="E53" s="19">
        <f>Solar!D53</f>
        <v>1360.93</v>
      </c>
      <c r="F53" s="30">
        <v>-0.13</v>
      </c>
      <c r="G53" s="20">
        <f t="shared" si="0"/>
        <v>8.2313756072176947E-2</v>
      </c>
      <c r="H53" s="20">
        <f t="shared" si="1"/>
        <v>-7.0530084502391899E-2</v>
      </c>
      <c r="I53" s="20">
        <f t="shared" si="2"/>
        <v>0.10053008450238948</v>
      </c>
      <c r="J53" s="20">
        <f t="shared" si="3"/>
        <v>4.3055665483430032E-2</v>
      </c>
    </row>
    <row r="54" spans="1:10" ht="15" customHeight="1">
      <c r="A54" s="18" t="str">
        <f>Analysis!A54</f>
        <v>7/1962</v>
      </c>
      <c r="B54" s="19">
        <f>Analysis!E54</f>
        <v>2.0000000000003126E-2</v>
      </c>
      <c r="C54" s="20">
        <f>Analysis!F54</f>
        <v>0.19088572103529255</v>
      </c>
      <c r="D54" s="19">
        <f t="shared" si="4"/>
        <v>-0.2</v>
      </c>
      <c r="E54" s="19">
        <f>Solar!D54</f>
        <v>1360.8</v>
      </c>
      <c r="F54" s="30">
        <v>0</v>
      </c>
      <c r="G54" s="20">
        <f t="shared" si="0"/>
        <v>8.475662888792479E-2</v>
      </c>
      <c r="H54" s="20">
        <f t="shared" si="1"/>
        <v>-8.7385043412178121E-2</v>
      </c>
      <c r="I54" s="20">
        <f t="shared" si="2"/>
        <v>0.10738504341218125</v>
      </c>
      <c r="J54" s="20">
        <f t="shared" si="3"/>
        <v>3.7407553977913059E-2</v>
      </c>
    </row>
    <row r="55" spans="1:10" ht="15" customHeight="1">
      <c r="A55" s="18" t="str">
        <f>Analysis!A55</f>
        <v>8/1962</v>
      </c>
      <c r="B55" s="19">
        <f>Analysis!E55</f>
        <v>-9.9999999999980105E-3</v>
      </c>
      <c r="C55" s="20">
        <f>Analysis!F55</f>
        <v>0.18087530100285296</v>
      </c>
      <c r="D55" s="19">
        <f t="shared" si="4"/>
        <v>-0.19</v>
      </c>
      <c r="E55" s="19">
        <f>Solar!D55</f>
        <v>1360.76</v>
      </c>
      <c r="F55" s="30">
        <v>-0.1</v>
      </c>
      <c r="G55" s="20">
        <f t="shared" si="0"/>
        <v>8.212082627816697E-2</v>
      </c>
      <c r="H55" s="20">
        <f t="shared" si="1"/>
        <v>-0.11401124884927369</v>
      </c>
      <c r="I55" s="20">
        <f t="shared" si="2"/>
        <v>0.10401124884927568</v>
      </c>
      <c r="J55" s="20">
        <f t="shared" si="3"/>
        <v>6.5371762790164233E-3</v>
      </c>
    </row>
    <row r="56" spans="1:10" ht="15" customHeight="1">
      <c r="A56" s="18" t="str">
        <f>Analysis!A56</f>
        <v>9/1962</v>
      </c>
      <c r="B56" s="19">
        <f>Analysis!E56</f>
        <v>0</v>
      </c>
      <c r="C56" s="20">
        <f>Analysis!F56</f>
        <v>0.17559303309992255</v>
      </c>
      <c r="D56" s="19">
        <f t="shared" si="4"/>
        <v>-0.13</v>
      </c>
      <c r="E56" s="19">
        <f>Solar!D56</f>
        <v>1360.64</v>
      </c>
      <c r="F56" s="30">
        <v>-0.16</v>
      </c>
      <c r="G56" s="20">
        <f t="shared" si="0"/>
        <v>0.10656028247436089</v>
      </c>
      <c r="H56" s="20">
        <f t="shared" si="1"/>
        <v>-0.12329829575853041</v>
      </c>
      <c r="I56" s="20">
        <f t="shared" si="2"/>
        <v>0.12329829575853041</v>
      </c>
      <c r="J56" s="20">
        <f t="shared" si="3"/>
        <v>1.1314910085641457E-2</v>
      </c>
    </row>
    <row r="57" spans="1:10" ht="15" customHeight="1">
      <c r="A57" s="18" t="str">
        <f>Analysis!A57</f>
        <v>10/1962</v>
      </c>
      <c r="B57" s="19">
        <f>Analysis!E57</f>
        <v>1.0000000000001563E-2</v>
      </c>
      <c r="C57" s="20">
        <f>Analysis!F57</f>
        <v>0.17184731357334099</v>
      </c>
      <c r="D57" s="19">
        <f t="shared" si="4"/>
        <v>0</v>
      </c>
      <c r="E57" s="19">
        <f>Solar!D57</f>
        <v>1360.8</v>
      </c>
      <c r="F57" s="30">
        <v>-0.25</v>
      </c>
      <c r="G57" s="20">
        <f t="shared" si="0"/>
        <v>0.12679947405290876</v>
      </c>
      <c r="H57" s="20">
        <f t="shared" si="1"/>
        <v>-0.12227211362166562</v>
      </c>
      <c r="I57" s="20">
        <f t="shared" si="2"/>
        <v>0.13227211362166719</v>
      </c>
      <c r="J57" s="20">
        <f t="shared" si="3"/>
        <v>1.0000000000001563E-2</v>
      </c>
    </row>
    <row r="58" spans="1:10" ht="15" customHeight="1">
      <c r="A58" s="18" t="str">
        <f>Analysis!A58</f>
        <v>11/1962</v>
      </c>
      <c r="B58" s="19">
        <f>Analysis!E58</f>
        <v>5.9999999999998721E-2</v>
      </c>
      <c r="C58" s="20">
        <f>Analysis!F58</f>
        <v>0.17764448548104073</v>
      </c>
      <c r="D58" s="19">
        <f t="shared" si="4"/>
        <v>-0.1</v>
      </c>
      <c r="E58" s="19">
        <f>Solar!D58</f>
        <v>1360.76</v>
      </c>
      <c r="F58" s="30">
        <v>-0.25</v>
      </c>
      <c r="G58" s="20">
        <f t="shared" si="0"/>
        <v>0.16095249102188436</v>
      </c>
      <c r="H58" s="20">
        <f t="shared" si="1"/>
        <v>-0.1150522411736199</v>
      </c>
      <c r="I58" s="20">
        <f t="shared" si="2"/>
        <v>0.17505224117361862</v>
      </c>
      <c r="J58" s="20">
        <f t="shared" si="3"/>
        <v>6.8703776988953691E-2</v>
      </c>
    </row>
    <row r="59" spans="1:10" ht="15" customHeight="1">
      <c r="A59" s="18" t="str">
        <f>Analysis!A59</f>
        <v>12/1962</v>
      </c>
      <c r="B59" s="19">
        <f>Analysis!E59</f>
        <v>-2.9999999999999361E-2</v>
      </c>
      <c r="C59" s="20">
        <f>Analysis!F59</f>
        <v>0.18223826288116377</v>
      </c>
      <c r="D59" s="19">
        <f t="shared" si="4"/>
        <v>-0.16</v>
      </c>
      <c r="E59" s="19">
        <f>Solar!D59</f>
        <v>1360.8</v>
      </c>
      <c r="F59" s="30">
        <v>-0.32</v>
      </c>
      <c r="G59" s="20">
        <f t="shared" si="0"/>
        <v>5.839507273809319E-2</v>
      </c>
      <c r="H59" s="20">
        <f t="shared" si="1"/>
        <v>-0.10765633732204051</v>
      </c>
      <c r="I59" s="20">
        <f t="shared" si="2"/>
        <v>7.765633732204115E-2</v>
      </c>
      <c r="J59" s="20">
        <f t="shared" si="3"/>
        <v>-1.6073956817671417E-2</v>
      </c>
    </row>
    <row r="60" spans="1:10" ht="15" customHeight="1">
      <c r="A60" s="18" t="str">
        <f>Analysis!A60</f>
        <v>1/1963</v>
      </c>
      <c r="B60" s="19">
        <f>Analysis!E60</f>
        <v>-2.9999999999999361E-2</v>
      </c>
      <c r="C60" s="20">
        <f>Analysis!F60</f>
        <v>0.18695325307037156</v>
      </c>
      <c r="D60" s="19">
        <f t="shared" si="4"/>
        <v>-0.25</v>
      </c>
      <c r="E60" s="19">
        <f>Solar!D60</f>
        <v>1360.71</v>
      </c>
      <c r="F60" s="30">
        <v>-0.33</v>
      </c>
      <c r="G60" s="20">
        <f t="shared" si="0"/>
        <v>4.5506310646948545E-2</v>
      </c>
      <c r="H60" s="20">
        <f t="shared" si="1"/>
        <v>-0.10253861974559435</v>
      </c>
      <c r="I60" s="20">
        <f t="shared" si="2"/>
        <v>7.2538619745594987E-2</v>
      </c>
      <c r="J60" s="20">
        <f t="shared" si="3"/>
        <v>-8.2405575276119462E-3</v>
      </c>
    </row>
    <row r="61" spans="1:10" ht="15" customHeight="1">
      <c r="A61" s="18" t="str">
        <f>Analysis!A61</f>
        <v>2/1963</v>
      </c>
      <c r="B61" s="19">
        <f>Analysis!E61</f>
        <v>0.17999999999999972</v>
      </c>
      <c r="C61" s="20">
        <f>Analysis!F61</f>
        <v>0.18844614093972484</v>
      </c>
      <c r="D61" s="19">
        <f t="shared" si="4"/>
        <v>-0.25</v>
      </c>
      <c r="E61" s="19">
        <f>Solar!D61</f>
        <v>1360.8</v>
      </c>
      <c r="F61" s="30">
        <v>-0.17</v>
      </c>
      <c r="G61" s="20">
        <f t="shared" si="0"/>
        <v>0.25142539514029549</v>
      </c>
      <c r="H61" s="20">
        <f t="shared" si="1"/>
        <v>-9.8437961103962787E-2</v>
      </c>
      <c r="I61" s="20">
        <f t="shared" si="2"/>
        <v>0.27843796110396252</v>
      </c>
      <c r="J61" s="20">
        <f t="shared" si="3"/>
        <v>0.20175944247238714</v>
      </c>
    </row>
    <row r="62" spans="1:10" ht="15" customHeight="1">
      <c r="A62" s="18" t="str">
        <f>Analysis!A62</f>
        <v>3/1963</v>
      </c>
      <c r="B62" s="19">
        <f>Analysis!E62</f>
        <v>-0.13999999999999879</v>
      </c>
      <c r="C62" s="20">
        <f>Analysis!F62</f>
        <v>0.19201376075129936</v>
      </c>
      <c r="D62" s="19">
        <f t="shared" si="4"/>
        <v>-0.32</v>
      </c>
      <c r="E62" s="19">
        <f>Solar!D62</f>
        <v>1360.78</v>
      </c>
      <c r="F62" s="30">
        <v>0.01</v>
      </c>
      <c r="G62" s="20">
        <f t="shared" si="0"/>
        <v>-7.8326948160074572E-2</v>
      </c>
      <c r="H62" s="20">
        <f t="shared" si="1"/>
        <v>-9.4731080657724537E-2</v>
      </c>
      <c r="I62" s="20">
        <f t="shared" si="2"/>
        <v>-4.5268919342274255E-2</v>
      </c>
      <c r="J62" s="20">
        <f t="shared" si="3"/>
        <v>-0.11214791363534291</v>
      </c>
    </row>
    <row r="63" spans="1:10" ht="15" customHeight="1">
      <c r="A63" s="18" t="str">
        <f>Analysis!A63</f>
        <v>4/1963</v>
      </c>
      <c r="B63" s="19">
        <f>Analysis!E63</f>
        <v>-7.0000000000000284E-2</v>
      </c>
      <c r="C63" s="20">
        <f>Analysis!F63</f>
        <v>0.198853323377887</v>
      </c>
      <c r="D63" s="19">
        <f t="shared" si="4"/>
        <v>-0.33</v>
      </c>
      <c r="E63" s="19">
        <f>Solar!D63</f>
        <v>1360.67</v>
      </c>
      <c r="F63" s="30">
        <v>0.13</v>
      </c>
      <c r="G63" s="20">
        <f t="shared" si="0"/>
        <v>-2.7023380594516366E-2</v>
      </c>
      <c r="H63" s="20">
        <f t="shared" si="1"/>
        <v>-7.6814574113367007E-2</v>
      </c>
      <c r="I63" s="20">
        <f t="shared" si="2"/>
        <v>6.8145741133667226E-3</v>
      </c>
      <c r="J63" s="20">
        <f t="shared" si="3"/>
        <v>-4.1277535936448895E-2</v>
      </c>
    </row>
    <row r="64" spans="1:10" ht="15" customHeight="1">
      <c r="A64" s="18" t="str">
        <f>Analysis!A64</f>
        <v>5/1963</v>
      </c>
      <c r="B64" s="19">
        <f>Analysis!E64</f>
        <v>-6.0000000000000497E-2</v>
      </c>
      <c r="C64" s="20">
        <f>Analysis!F64</f>
        <v>0.20270876128709345</v>
      </c>
      <c r="D64" s="19">
        <f t="shared" si="4"/>
        <v>-0.17</v>
      </c>
      <c r="E64" s="19">
        <f>Solar!D64</f>
        <v>1360.71</v>
      </c>
      <c r="F64" s="30">
        <v>0.12</v>
      </c>
      <c r="G64" s="20">
        <f t="shared" si="0"/>
        <v>-2.756249520024423E-2</v>
      </c>
      <c r="H64" s="20">
        <f t="shared" si="1"/>
        <v>-5.2298428952040385E-2</v>
      </c>
      <c r="I64" s="20">
        <f t="shared" si="2"/>
        <v>-7.7015710479601124E-3</v>
      </c>
      <c r="J64" s="20">
        <f t="shared" si="3"/>
        <v>-4.5203579118777051E-2</v>
      </c>
    </row>
    <row r="65" spans="1:10" ht="15" customHeight="1">
      <c r="A65" s="18" t="str">
        <f>Analysis!A65</f>
        <v>6/1963</v>
      </c>
      <c r="B65" s="19">
        <f>Analysis!E65</f>
        <v>5.0000000000004263E-2</v>
      </c>
      <c r="C65" s="20">
        <f>Analysis!F65</f>
        <v>0.19934703581133892</v>
      </c>
      <c r="D65" s="19">
        <f t="shared" si="4"/>
        <v>0.01</v>
      </c>
      <c r="E65" s="19">
        <f>Solar!D65</f>
        <v>1360.76</v>
      </c>
      <c r="F65" s="30">
        <v>0.45</v>
      </c>
      <c r="G65" s="20">
        <f t="shared" si="0"/>
        <v>9.1627021242852047E-2</v>
      </c>
      <c r="H65" s="20">
        <f t="shared" si="1"/>
        <v>-4.5865604942910178E-2</v>
      </c>
      <c r="I65" s="20">
        <f t="shared" si="2"/>
        <v>9.5865604942914434E-2</v>
      </c>
      <c r="J65" s="20">
        <f t="shared" si="3"/>
        <v>4.9129622301108768E-2</v>
      </c>
    </row>
    <row r="66" spans="1:10" ht="15" customHeight="1">
      <c r="A66" s="18" t="str">
        <f>Analysis!A66</f>
        <v>7/1963</v>
      </c>
      <c r="B66" s="19">
        <f>Analysis!E66</f>
        <v>5.9999999999998721E-2</v>
      </c>
      <c r="C66" s="20">
        <f>Analysis!F66</f>
        <v>0.19147241176149948</v>
      </c>
      <c r="D66" s="19">
        <f t="shared" si="4"/>
        <v>0.13</v>
      </c>
      <c r="E66" s="19">
        <f>Solar!D66</f>
        <v>1360.76</v>
      </c>
      <c r="F66" s="30">
        <v>0.76</v>
      </c>
      <c r="G66" s="20">
        <f t="shared" ref="G66:G129" si="6">B66-($N$4+$N$5*C66)</f>
        <v>0.12315286792814784</v>
      </c>
      <c r="H66" s="20">
        <f t="shared" ref="H66:H129" si="7">IF(D66="","",$N$14+$N$15*C66+$N$16*D66)</f>
        <v>-5.7051059524684693E-2</v>
      </c>
      <c r="I66" s="20">
        <f t="shared" ref="I66:I129" si="8">IF(D66="","",B66-H66)</f>
        <v>0.11705105952468342</v>
      </c>
      <c r="J66" s="20">
        <f t="shared" ref="J66:J129" si="9">IF(D66="","",B66-$N$16*D66)</f>
        <v>4.8685089914357264E-2</v>
      </c>
    </row>
    <row r="67" spans="1:10" ht="15" customHeight="1">
      <c r="A67" s="18" t="str">
        <f>Analysis!A67</f>
        <v>8/1963</v>
      </c>
      <c r="B67" s="19">
        <f>Analysis!E67</f>
        <v>0.22000000000000242</v>
      </c>
      <c r="C67" s="20">
        <f>Analysis!F67</f>
        <v>0.18255610212855772</v>
      </c>
      <c r="D67" s="19">
        <f t="shared" si="4"/>
        <v>0.12</v>
      </c>
      <c r="E67" s="19">
        <f>Solar!D67</f>
        <v>1360.72</v>
      </c>
      <c r="F67" s="30">
        <v>1.0900000000000001</v>
      </c>
      <c r="G67" s="20">
        <f t="shared" si="6"/>
        <v>0.30752623647789107</v>
      </c>
      <c r="H67" s="20">
        <f t="shared" si="7"/>
        <v>-8.2412722134096741E-2</v>
      </c>
      <c r="I67" s="20">
        <f t="shared" si="8"/>
        <v>0.30241272213409914</v>
      </c>
      <c r="J67" s="20">
        <f t="shared" si="9"/>
        <v>0.20955546761325647</v>
      </c>
    </row>
    <row r="68" spans="1:10" ht="15" customHeight="1">
      <c r="A68" s="18" t="str">
        <f>Analysis!A68</f>
        <v>9/1963</v>
      </c>
      <c r="B68" s="19">
        <f>Analysis!E68</f>
        <v>0.16999999999999993</v>
      </c>
      <c r="C68" s="20">
        <f>Analysis!F68</f>
        <v>0.17545616583370666</v>
      </c>
      <c r="D68" s="19">
        <f t="shared" si="4"/>
        <v>0.45</v>
      </c>
      <c r="E68" s="19">
        <f>Solar!D68</f>
        <v>1360.57</v>
      </c>
      <c r="F68" s="30">
        <v>1.0900000000000001</v>
      </c>
      <c r="G68" s="20">
        <f t="shared" si="6"/>
        <v>0.27693441891187875</v>
      </c>
      <c r="H68" s="20">
        <f t="shared" si="7"/>
        <v>-7.319233570155112E-2</v>
      </c>
      <c r="I68" s="20">
        <f t="shared" si="8"/>
        <v>0.24319233570155105</v>
      </c>
      <c r="J68" s="20">
        <f t="shared" si="9"/>
        <v>0.13083300354970259</v>
      </c>
    </row>
    <row r="69" spans="1:10" ht="15" customHeight="1">
      <c r="A69" s="18" t="str">
        <f>Analysis!A69</f>
        <v>10/1963</v>
      </c>
      <c r="B69" s="19">
        <f>Analysis!E69</f>
        <v>0.14999999999999858</v>
      </c>
      <c r="C69" s="20">
        <f>Analysis!F69</f>
        <v>0.17445207560337639</v>
      </c>
      <c r="D69" s="19">
        <f t="shared" ref="D69:D132" si="10">IF(F66="","",F66)</f>
        <v>0.76</v>
      </c>
      <c r="E69" s="19">
        <f>Solar!D69</f>
        <v>1360.7</v>
      </c>
      <c r="F69" s="30">
        <v>1.1299999999999999</v>
      </c>
      <c r="G69" s="20">
        <f t="shared" si="6"/>
        <v>0.25967917119712952</v>
      </c>
      <c r="H69" s="20">
        <f t="shared" si="7"/>
        <v>-4.8968658207793794E-2</v>
      </c>
      <c r="I69" s="20">
        <f t="shared" si="8"/>
        <v>0.19896865820779236</v>
      </c>
      <c r="J69" s="20">
        <f t="shared" si="9"/>
        <v>8.3851294883940844E-2</v>
      </c>
    </row>
    <row r="70" spans="1:10" ht="15" customHeight="1">
      <c r="A70" s="18" t="str">
        <f>Analysis!A70</f>
        <v>11/1963</v>
      </c>
      <c r="B70" s="19">
        <f>Analysis!E70</f>
        <v>0.14999999999999858</v>
      </c>
      <c r="C70" s="20">
        <f>Analysis!F70</f>
        <v>0.179374554217585</v>
      </c>
      <c r="D70" s="19">
        <f t="shared" si="10"/>
        <v>1.0900000000000001</v>
      </c>
      <c r="E70" s="19">
        <f>Solar!D70</f>
        <v>1360.84</v>
      </c>
      <c r="F70" s="30">
        <v>1.19</v>
      </c>
      <c r="G70" s="20">
        <f t="shared" si="6"/>
        <v>0.24622322469219265</v>
      </c>
      <c r="H70" s="20">
        <f t="shared" si="7"/>
        <v>-6.7251488722051E-3</v>
      </c>
      <c r="I70" s="20">
        <f t="shared" si="8"/>
        <v>0.15672514887220368</v>
      </c>
      <c r="J70" s="20">
        <f t="shared" si="9"/>
        <v>5.5128830820389441E-2</v>
      </c>
    </row>
    <row r="71" spans="1:10" ht="15" customHeight="1">
      <c r="A71" s="18" t="str">
        <f>Analysis!A71</f>
        <v>12/1963</v>
      </c>
      <c r="B71" s="19">
        <f>Analysis!E71</f>
        <v>-2.9999999999999361E-2</v>
      </c>
      <c r="C71" s="20">
        <f>Analysis!F71</f>
        <v>0.18518693705150802</v>
      </c>
      <c r="D71" s="19">
        <f t="shared" si="10"/>
        <v>1.0900000000000001</v>
      </c>
      <c r="E71" s="19">
        <f>Solar!D71</f>
        <v>1360.78</v>
      </c>
      <c r="F71" s="30">
        <v>1.1299999999999999</v>
      </c>
      <c r="G71" s="20">
        <f t="shared" si="6"/>
        <v>5.0334661509060297E-2</v>
      </c>
      <c r="H71" s="20">
        <f t="shared" si="7"/>
        <v>9.2402818782788554E-3</v>
      </c>
      <c r="I71" s="20">
        <f t="shared" si="8"/>
        <v>-3.9240281878278216E-2</v>
      </c>
      <c r="J71" s="20">
        <f t="shared" si="9"/>
        <v>-0.1248711691796085</v>
      </c>
    </row>
    <row r="72" spans="1:10" ht="15" customHeight="1">
      <c r="A72" s="18" t="str">
        <f>Analysis!A72</f>
        <v>1/1964</v>
      </c>
      <c r="B72" s="19">
        <f>Analysis!E72</f>
        <v>-9.0000000000001634E-2</v>
      </c>
      <c r="C72" s="20">
        <f>Analysis!F72</f>
        <v>0.1907051528018969</v>
      </c>
      <c r="D72" s="19">
        <f t="shared" si="10"/>
        <v>1.1299999999999999</v>
      </c>
      <c r="E72" s="19">
        <f>Solar!D72</f>
        <v>1360.71</v>
      </c>
      <c r="F72" s="30">
        <v>0.95</v>
      </c>
      <c r="G72" s="20">
        <f t="shared" si="6"/>
        <v>-2.4749774962764204E-2</v>
      </c>
      <c r="H72" s="20">
        <f t="shared" si="7"/>
        <v>2.7879206413863947E-2</v>
      </c>
      <c r="I72" s="20">
        <f t="shared" si="8"/>
        <v>-0.11787920641386558</v>
      </c>
      <c r="J72" s="20">
        <f t="shared" si="9"/>
        <v>-0.18835267997519273</v>
      </c>
    </row>
    <row r="73" spans="1:10" ht="15" customHeight="1">
      <c r="A73" s="18" t="str">
        <f>Analysis!A73</f>
        <v>2/1964</v>
      </c>
      <c r="B73" s="19">
        <f>Analysis!E73</f>
        <v>-0.10000000000000142</v>
      </c>
      <c r="C73" s="20">
        <f>Analysis!F73</f>
        <v>0.19282540355239119</v>
      </c>
      <c r="D73" s="19">
        <f t="shared" si="10"/>
        <v>1.19</v>
      </c>
      <c r="E73" s="19">
        <f>Solar!D73</f>
        <v>1360.74</v>
      </c>
      <c r="F73" s="30">
        <v>0.52</v>
      </c>
      <c r="G73" s="20">
        <f t="shared" si="6"/>
        <v>-4.0545631666610737E-2</v>
      </c>
      <c r="H73" s="20">
        <f t="shared" si="7"/>
        <v>3.8925369191115416E-2</v>
      </c>
      <c r="I73" s="20">
        <f t="shared" si="8"/>
        <v>-0.13892536919111684</v>
      </c>
      <c r="J73" s="20">
        <f t="shared" si="9"/>
        <v>-0.2035749461685655</v>
      </c>
    </row>
    <row r="74" spans="1:10" ht="15" customHeight="1">
      <c r="A74" s="18" t="str">
        <f>Analysis!A74</f>
        <v>3/1964</v>
      </c>
      <c r="B74" s="19">
        <f>Analysis!E74</f>
        <v>-0.20999999999999908</v>
      </c>
      <c r="C74" s="20">
        <f>Analysis!F74</f>
        <v>0.19602243814471609</v>
      </c>
      <c r="D74" s="19">
        <f t="shared" si="10"/>
        <v>1.1299999999999999</v>
      </c>
      <c r="E74" s="19">
        <f>Solar!D74</f>
        <v>1360.71</v>
      </c>
      <c r="F74" s="30">
        <v>0.06</v>
      </c>
      <c r="G74" s="20">
        <f t="shared" si="6"/>
        <v>-0.15928495382934627</v>
      </c>
      <c r="H74" s="20">
        <f t="shared" si="7"/>
        <v>4.2484705285321736E-2</v>
      </c>
      <c r="I74" s="20">
        <f t="shared" si="8"/>
        <v>-0.2524847052853208</v>
      </c>
      <c r="J74" s="20">
        <f t="shared" si="9"/>
        <v>-0.30835267997519017</v>
      </c>
    </row>
    <row r="75" spans="1:10" ht="15" customHeight="1">
      <c r="A75" s="18" t="str">
        <f>Analysis!A75</f>
        <v>4/1964</v>
      </c>
      <c r="B75" s="19">
        <f>Analysis!E75</f>
        <v>-0.32000000000000206</v>
      </c>
      <c r="C75" s="20">
        <f>Analysis!F75</f>
        <v>0.20091681590593874</v>
      </c>
      <c r="D75" s="19">
        <f t="shared" si="10"/>
        <v>0.95</v>
      </c>
      <c r="E75" s="19">
        <f>Solar!D75</f>
        <v>1360.78</v>
      </c>
      <c r="F75" s="30">
        <v>-0.35</v>
      </c>
      <c r="G75" s="20">
        <f t="shared" si="6"/>
        <v>-0.28266408464768655</v>
      </c>
      <c r="H75" s="20">
        <f t="shared" si="7"/>
        <v>4.0261764662640212E-2</v>
      </c>
      <c r="I75" s="20">
        <f t="shared" si="8"/>
        <v>-0.36026176466264226</v>
      </c>
      <c r="J75" s="20">
        <f t="shared" si="9"/>
        <v>-0.40268588139507422</v>
      </c>
    </row>
    <row r="76" spans="1:10" ht="15" customHeight="1">
      <c r="A76" s="18" t="str">
        <f>Analysis!A76</f>
        <v>5/1964</v>
      </c>
      <c r="B76" s="19">
        <f>Analysis!E76</f>
        <v>-0.25</v>
      </c>
      <c r="C76" s="20">
        <f>Analysis!F76</f>
        <v>0.20275353141668456</v>
      </c>
      <c r="D76" s="19">
        <f t="shared" si="10"/>
        <v>0.52</v>
      </c>
      <c r="E76" s="19">
        <f>Solar!D76</f>
        <v>1360.71</v>
      </c>
      <c r="F76" s="30">
        <v>-0.6</v>
      </c>
      <c r="G76" s="20">
        <f t="shared" si="6"/>
        <v>-0.21768487754377652</v>
      </c>
      <c r="H76" s="20">
        <f t="shared" si="7"/>
        <v>7.8806066910362127E-3</v>
      </c>
      <c r="I76" s="20">
        <f t="shared" si="8"/>
        <v>-0.25788060669103618</v>
      </c>
      <c r="J76" s="20">
        <f t="shared" si="9"/>
        <v>-0.2952596403425658</v>
      </c>
    </row>
    <row r="77" spans="1:10" ht="15" customHeight="1">
      <c r="A77" s="18" t="str">
        <f>Analysis!A77</f>
        <v>6/1964</v>
      </c>
      <c r="B77" s="19">
        <f>Analysis!E77</f>
        <v>-3.9999999999999147E-2</v>
      </c>
      <c r="C77" s="20">
        <f>Analysis!F77</f>
        <v>0.20114093083670029</v>
      </c>
      <c r="D77" s="19">
        <f t="shared" si="10"/>
        <v>0.06</v>
      </c>
      <c r="E77" s="19">
        <f>Solar!D77</f>
        <v>1360.73</v>
      </c>
      <c r="F77" s="30">
        <v>-0.66</v>
      </c>
      <c r="G77" s="20">
        <f t="shared" si="6"/>
        <v>-3.2767188012542414E-3</v>
      </c>
      <c r="H77" s="20">
        <f t="shared" si="7"/>
        <v>-3.658625251163037E-2</v>
      </c>
      <c r="I77" s="20">
        <f t="shared" si="8"/>
        <v>-3.4137474883687777E-3</v>
      </c>
      <c r="J77" s="20">
        <f t="shared" si="9"/>
        <v>-4.5222266193372128E-2</v>
      </c>
    </row>
    <row r="78" spans="1:10" ht="15" customHeight="1">
      <c r="A78" s="18" t="str">
        <f>Analysis!A78</f>
        <v>7/1964</v>
      </c>
      <c r="B78" s="19">
        <f>Analysis!E78</f>
        <v>-3.9999999999999147E-2</v>
      </c>
      <c r="C78" s="20">
        <f>Analysis!F78</f>
        <v>0.19462742107482237</v>
      </c>
      <c r="D78" s="19">
        <f t="shared" si="10"/>
        <v>-0.35</v>
      </c>
      <c r="E78" s="19">
        <f>Solar!D78</f>
        <v>1360.7</v>
      </c>
      <c r="F78" s="30">
        <v>-0.67</v>
      </c>
      <c r="G78" s="20">
        <f t="shared" si="6"/>
        <v>1.4528424864017842E-2</v>
      </c>
      <c r="H78" s="20">
        <f t="shared" si="7"/>
        <v>-9.0163021658365025E-2</v>
      </c>
      <c r="I78" s="20">
        <f t="shared" si="8"/>
        <v>5.0163021658365878E-2</v>
      </c>
      <c r="J78" s="20">
        <f t="shared" si="9"/>
        <v>-9.5367805386567701E-3</v>
      </c>
    </row>
    <row r="79" spans="1:10" ht="15" customHeight="1">
      <c r="A79" s="18" t="str">
        <f>Analysis!A79</f>
        <v>8/1964</v>
      </c>
      <c r="B79" s="19">
        <f>Analysis!E79</f>
        <v>-0.21999999999999886</v>
      </c>
      <c r="C79" s="20">
        <f>Analysis!F79</f>
        <v>0.18672692311353747</v>
      </c>
      <c r="D79" s="19">
        <f t="shared" si="10"/>
        <v>-0.6</v>
      </c>
      <c r="E79" s="19">
        <f>Solar!D79</f>
        <v>1360.71</v>
      </c>
      <c r="F79" s="30">
        <v>-0.7</v>
      </c>
      <c r="G79" s="20">
        <f t="shared" si="6"/>
        <v>-0.14387500026767164</v>
      </c>
      <c r="H79" s="20">
        <f t="shared" si="7"/>
        <v>-0.13362352145943832</v>
      </c>
      <c r="I79" s="20">
        <f t="shared" si="8"/>
        <v>-8.6376478540560547E-2</v>
      </c>
      <c r="J79" s="20">
        <f t="shared" si="9"/>
        <v>-0.16777733806626907</v>
      </c>
    </row>
    <row r="80" spans="1:10" ht="15" customHeight="1">
      <c r="A80" s="18" t="str">
        <f>Analysis!A80</f>
        <v>9/1964</v>
      </c>
      <c r="B80" s="19">
        <f>Analysis!E80</f>
        <v>-0.30000000000000249</v>
      </c>
      <c r="C80" s="20">
        <f>Analysis!F80</f>
        <v>0.17773559347228587</v>
      </c>
      <c r="D80" s="19">
        <f t="shared" si="10"/>
        <v>-0.66</v>
      </c>
      <c r="E80" s="19">
        <f>Solar!D80</f>
        <v>1360.71</v>
      </c>
      <c r="F80" s="30">
        <v>-0.72</v>
      </c>
      <c r="G80" s="20">
        <f t="shared" si="6"/>
        <v>-0.19929655917263234</v>
      </c>
      <c r="H80" s="20">
        <f t="shared" si="7"/>
        <v>-0.16354313723280922</v>
      </c>
      <c r="I80" s="20">
        <f t="shared" si="8"/>
        <v>-0.13645686276719327</v>
      </c>
      <c r="J80" s="20">
        <f t="shared" si="9"/>
        <v>-0.24255507187289971</v>
      </c>
    </row>
    <row r="81" spans="1:10" ht="15" customHeight="1">
      <c r="A81" s="18" t="str">
        <f>Analysis!A81</f>
        <v>10/1964</v>
      </c>
      <c r="B81" s="19">
        <f>Analysis!E81</f>
        <v>-0.31000000000000227</v>
      </c>
      <c r="C81" s="20">
        <f>Analysis!F81</f>
        <v>0.17846425034734256</v>
      </c>
      <c r="D81" s="19">
        <f t="shared" si="10"/>
        <v>-0.67</v>
      </c>
      <c r="E81" s="19">
        <f>Solar!D81</f>
        <v>1360.75</v>
      </c>
      <c r="F81" s="30">
        <v>-0.8</v>
      </c>
      <c r="G81" s="20">
        <f t="shared" si="6"/>
        <v>-0.21128839472940147</v>
      </c>
      <c r="H81" s="20">
        <f t="shared" si="7"/>
        <v>-0.16241204303765025</v>
      </c>
      <c r="I81" s="20">
        <f t="shared" si="8"/>
        <v>-0.14758795696235202</v>
      </c>
      <c r="J81" s="20">
        <f t="shared" si="9"/>
        <v>-0.25168469417400402</v>
      </c>
    </row>
    <row r="82" spans="1:10" ht="15" customHeight="1">
      <c r="A82" s="18" t="str">
        <f>Analysis!A82</f>
        <v>11/1964</v>
      </c>
      <c r="B82" s="19">
        <f>Analysis!E82</f>
        <v>-0.20999999999999908</v>
      </c>
      <c r="C82" s="20">
        <f>Analysis!F82</f>
        <v>0.18214743880477707</v>
      </c>
      <c r="D82" s="19">
        <f t="shared" si="10"/>
        <v>-0.7</v>
      </c>
      <c r="E82" s="19">
        <f>Solar!D82</f>
        <v>1360.73</v>
      </c>
      <c r="F82" s="30">
        <v>-0.79</v>
      </c>
      <c r="G82" s="20">
        <f t="shared" si="6"/>
        <v>-0.12135665316891364</v>
      </c>
      <c r="H82" s="20">
        <f t="shared" si="7"/>
        <v>-0.15490620828511767</v>
      </c>
      <c r="I82" s="20">
        <f t="shared" si="8"/>
        <v>-5.5093791714881407E-2</v>
      </c>
      <c r="J82" s="20">
        <f t="shared" si="9"/>
        <v>-0.14907356107731431</v>
      </c>
    </row>
    <row r="83" spans="1:10" ht="15" customHeight="1">
      <c r="A83" s="18" t="str">
        <f>Analysis!A83</f>
        <v>12/1964</v>
      </c>
      <c r="B83" s="19">
        <f>Analysis!E83</f>
        <v>-0.30000000000000249</v>
      </c>
      <c r="C83" s="20">
        <f>Analysis!F83</f>
        <v>0.18681745935711205</v>
      </c>
      <c r="D83" s="19">
        <f t="shared" si="10"/>
        <v>-0.72</v>
      </c>
      <c r="E83" s="19">
        <f>Solar!D83</f>
        <v>1360.76</v>
      </c>
      <c r="F83" s="30">
        <v>-0.75</v>
      </c>
      <c r="G83" s="20">
        <f t="shared" si="6"/>
        <v>-0.22412248754913977</v>
      </c>
      <c r="H83" s="20">
        <f t="shared" si="7"/>
        <v>-0.14381936924152217</v>
      </c>
      <c r="I83" s="20">
        <f t="shared" si="8"/>
        <v>-0.15618063075848032</v>
      </c>
      <c r="J83" s="20">
        <f t="shared" si="9"/>
        <v>-0.23733280567952675</v>
      </c>
    </row>
    <row r="84" spans="1:10" ht="15" customHeight="1">
      <c r="A84" s="18" t="str">
        <f>Analysis!A84</f>
        <v>1/1965</v>
      </c>
      <c r="B84" s="19">
        <f>Analysis!E84</f>
        <v>-8.0000000000001847E-2</v>
      </c>
      <c r="C84" s="20">
        <f>Analysis!F84</f>
        <v>0.19011814991335674</v>
      </c>
      <c r="D84" s="19">
        <f t="shared" si="10"/>
        <v>-0.8</v>
      </c>
      <c r="E84" s="19">
        <f>Solar!D84</f>
        <v>1360.72</v>
      </c>
      <c r="F84" s="30">
        <v>-0.51</v>
      </c>
      <c r="G84" s="20">
        <f t="shared" si="6"/>
        <v>-1.3145160684981505E-2</v>
      </c>
      <c r="H84" s="20">
        <f t="shared" si="7"/>
        <v>-0.141716066743202</v>
      </c>
      <c r="I84" s="20">
        <f t="shared" si="8"/>
        <v>6.1716066743200154E-2</v>
      </c>
      <c r="J84" s="20">
        <f t="shared" si="9"/>
        <v>-1.0369784088362116E-2</v>
      </c>
    </row>
    <row r="85" spans="1:10" ht="15" customHeight="1">
      <c r="A85" s="18" t="str">
        <f>Analysis!A85</f>
        <v>2/1965</v>
      </c>
      <c r="B85" s="19">
        <f>Analysis!E85</f>
        <v>-0.16999999999999638</v>
      </c>
      <c r="C85" s="20">
        <f>Analysis!F85</f>
        <v>0.19462742107482237</v>
      </c>
      <c r="D85" s="19">
        <f t="shared" si="10"/>
        <v>-0.79</v>
      </c>
      <c r="E85" s="19">
        <f>Solar!D85</f>
        <v>1360.73</v>
      </c>
      <c r="F85" s="30">
        <v>-0.25</v>
      </c>
      <c r="G85" s="20">
        <f t="shared" si="6"/>
        <v>-0.11547157513597939</v>
      </c>
      <c r="H85" s="20">
        <f t="shared" si="7"/>
        <v>-0.12845964040976687</v>
      </c>
      <c r="I85" s="20">
        <f t="shared" si="8"/>
        <v>-4.1540359590229503E-2</v>
      </c>
      <c r="J85" s="20">
        <f t="shared" si="9"/>
        <v>-0.10124016178725215</v>
      </c>
    </row>
    <row r="86" spans="1:10" ht="15" customHeight="1">
      <c r="A86" s="18" t="str">
        <f>Analysis!A86</f>
        <v>3/1965</v>
      </c>
      <c r="B86" s="19">
        <f>Analysis!E86</f>
        <v>-0.13000000000000256</v>
      </c>
      <c r="C86" s="20">
        <f>Analysis!F86</f>
        <v>0.19665200397268703</v>
      </c>
      <c r="D86" s="19">
        <f t="shared" si="10"/>
        <v>-0.75</v>
      </c>
      <c r="E86" s="19">
        <f>Solar!D86</f>
        <v>1360.75</v>
      </c>
      <c r="F86" s="30">
        <v>-0.04</v>
      </c>
      <c r="G86" s="20">
        <f t="shared" si="6"/>
        <v>-8.1005916938881817E-2</v>
      </c>
      <c r="H86" s="20">
        <f t="shared" si="7"/>
        <v>-0.11941701311892874</v>
      </c>
      <c r="I86" s="20">
        <f t="shared" si="8"/>
        <v>-1.0582986881073814E-2</v>
      </c>
      <c r="J86" s="20">
        <f t="shared" si="9"/>
        <v>-6.4721672582840312E-2</v>
      </c>
    </row>
    <row r="87" spans="1:10" ht="15" customHeight="1">
      <c r="A87" s="18" t="str">
        <f>Analysis!A87</f>
        <v>4/1965</v>
      </c>
      <c r="B87" s="19">
        <f>Analysis!E87</f>
        <v>-0.18999999999999773</v>
      </c>
      <c r="C87" s="20">
        <f>Analysis!F87</f>
        <v>0.20226098356200239</v>
      </c>
      <c r="D87" s="19">
        <f t="shared" si="10"/>
        <v>-0.51</v>
      </c>
      <c r="E87" s="19">
        <f>Solar!D87</f>
        <v>1360.77</v>
      </c>
      <c r="F87" s="30">
        <v>0.16</v>
      </c>
      <c r="G87" s="20">
        <f t="shared" si="6"/>
        <v>-0.15633846284029662</v>
      </c>
      <c r="H87" s="20">
        <f t="shared" si="7"/>
        <v>-8.3121224842736818E-2</v>
      </c>
      <c r="I87" s="20">
        <f t="shared" si="8"/>
        <v>-0.10687877515726091</v>
      </c>
      <c r="J87" s="20">
        <f t="shared" si="9"/>
        <v>-0.1456107373563274</v>
      </c>
    </row>
    <row r="88" spans="1:10" ht="15" customHeight="1">
      <c r="A88" s="18" t="str">
        <f>Analysis!A88</f>
        <v>5/1965</v>
      </c>
      <c r="B88" s="19">
        <f>Analysis!E88</f>
        <v>-0.11999999999999744</v>
      </c>
      <c r="C88" s="20">
        <f>Analysis!F88</f>
        <v>0.20239533147297081</v>
      </c>
      <c r="D88" s="19">
        <f t="shared" si="10"/>
        <v>-0.25</v>
      </c>
      <c r="E88" s="19">
        <f>Solar!D88</f>
        <v>1360.76</v>
      </c>
      <c r="F88" s="30">
        <v>0.47</v>
      </c>
      <c r="G88" s="20">
        <f t="shared" si="6"/>
        <v>-8.67057124404923E-2</v>
      </c>
      <c r="H88" s="20">
        <f t="shared" si="7"/>
        <v>-6.0122378347771274E-2</v>
      </c>
      <c r="I88" s="20">
        <f t="shared" si="8"/>
        <v>-5.9877621652226168E-2</v>
      </c>
      <c r="J88" s="20">
        <f t="shared" si="9"/>
        <v>-9.8240557527610031E-2</v>
      </c>
    </row>
    <row r="89" spans="1:10" ht="15" customHeight="1">
      <c r="A89" s="18" t="str">
        <f>Analysis!A89</f>
        <v>6/1965</v>
      </c>
      <c r="B89" s="19">
        <f>Analysis!E89</f>
        <v>-8.0000000000001847E-2</v>
      </c>
      <c r="C89" s="20">
        <f>Analysis!F89</f>
        <v>0.20105128904215877</v>
      </c>
      <c r="D89" s="19">
        <f t="shared" si="10"/>
        <v>-0.04</v>
      </c>
      <c r="E89" s="19">
        <f>Solar!D89</f>
        <v>1360.83</v>
      </c>
      <c r="F89" s="30">
        <v>0.79</v>
      </c>
      <c r="G89" s="20">
        <f t="shared" si="6"/>
        <v>-4.3031676560042253E-2</v>
      </c>
      <c r="H89" s="20">
        <f t="shared" si="7"/>
        <v>-4.5536257236093204E-2</v>
      </c>
      <c r="I89" s="20">
        <f t="shared" si="8"/>
        <v>-3.4463742763908643E-2</v>
      </c>
      <c r="J89" s="20">
        <f t="shared" si="9"/>
        <v>-7.6518489204419865E-2</v>
      </c>
    </row>
    <row r="90" spans="1:10" ht="15" customHeight="1">
      <c r="A90" s="18" t="str">
        <f>Analysis!A90</f>
        <v>7/1965</v>
      </c>
      <c r="B90" s="19">
        <f>Analysis!E90</f>
        <v>-0.13000000000000256</v>
      </c>
      <c r="C90" s="20">
        <f>Analysis!F90</f>
        <v>0.19808998077164383</v>
      </c>
      <c r="D90" s="19">
        <f t="shared" si="10"/>
        <v>0.16</v>
      </c>
      <c r="E90" s="19">
        <f>Solar!D90</f>
        <v>1360.82</v>
      </c>
      <c r="F90" s="30">
        <v>1.1000000000000001</v>
      </c>
      <c r="G90" s="20">
        <f t="shared" si="6"/>
        <v>-8.4936729116765419E-2</v>
      </c>
      <c r="H90" s="20">
        <f t="shared" si="7"/>
        <v>-3.6262813394186008E-2</v>
      </c>
      <c r="I90" s="20">
        <f t="shared" si="8"/>
        <v>-9.373718660581655E-2</v>
      </c>
      <c r="J90" s="20">
        <f t="shared" si="9"/>
        <v>-0.14392604318233052</v>
      </c>
    </row>
    <row r="91" spans="1:10" ht="15" customHeight="1">
      <c r="A91" s="18" t="str">
        <f>Analysis!A91</f>
        <v>8/1965</v>
      </c>
      <c r="B91" s="19">
        <f>Analysis!E91</f>
        <v>-3.9999999999999147E-2</v>
      </c>
      <c r="C91" s="20">
        <f>Analysis!F91</f>
        <v>0.18754154484093474</v>
      </c>
      <c r="D91" s="19">
        <f t="shared" si="10"/>
        <v>0.47</v>
      </c>
      <c r="E91" s="19">
        <f>Solar!D91</f>
        <v>1360.83</v>
      </c>
      <c r="F91" s="30">
        <v>1.27</v>
      </c>
      <c r="G91" s="20">
        <f t="shared" si="6"/>
        <v>3.3898173118195762E-2</v>
      </c>
      <c r="H91" s="20">
        <f t="shared" si="7"/>
        <v>-3.8255507858713823E-2</v>
      </c>
      <c r="I91" s="20">
        <f t="shared" si="8"/>
        <v>-1.744492141285324E-3</v>
      </c>
      <c r="J91" s="20">
        <f t="shared" si="9"/>
        <v>-8.0907751848087489E-2</v>
      </c>
    </row>
    <row r="92" spans="1:10" ht="15" customHeight="1">
      <c r="A92" s="18" t="str">
        <f>Analysis!A92</f>
        <v>9/1965</v>
      </c>
      <c r="B92" s="19">
        <f>Analysis!E92</f>
        <v>-0.14999999999999858</v>
      </c>
      <c r="C92" s="20">
        <f>Analysis!F92</f>
        <v>0.18278308729885059</v>
      </c>
      <c r="D92" s="19">
        <f t="shared" si="10"/>
        <v>0.79</v>
      </c>
      <c r="E92" s="19">
        <f>Solar!D92</f>
        <v>1360.75</v>
      </c>
      <c r="F92" s="30">
        <v>1.55</v>
      </c>
      <c r="G92" s="20">
        <f t="shared" si="6"/>
        <v>-6.3094243680227535E-2</v>
      </c>
      <c r="H92" s="20">
        <f t="shared" si="7"/>
        <v>-2.3473934317795431E-2</v>
      </c>
      <c r="I92" s="20">
        <f t="shared" si="8"/>
        <v>-0.12652606568220315</v>
      </c>
      <c r="J92" s="20">
        <f t="shared" si="9"/>
        <v>-0.21875983821274281</v>
      </c>
    </row>
    <row r="93" spans="1:10" ht="15" customHeight="1">
      <c r="A93" s="18" t="str">
        <f>Analysis!A93</f>
        <v>10/1965</v>
      </c>
      <c r="B93" s="19">
        <f>Analysis!E93</f>
        <v>-5.0000000000000711E-2</v>
      </c>
      <c r="C93" s="20">
        <f>Analysis!F93</f>
        <v>0.18042069408530895</v>
      </c>
      <c r="D93" s="19">
        <f t="shared" si="10"/>
        <v>1.1000000000000001</v>
      </c>
      <c r="E93" s="19">
        <f>Solar!D93</f>
        <v>1360.8</v>
      </c>
      <c r="F93" s="30">
        <v>1.7</v>
      </c>
      <c r="G93" s="20">
        <f t="shared" si="6"/>
        <v>4.3363526722933976E-2</v>
      </c>
      <c r="H93" s="20">
        <f t="shared" si="7"/>
        <v>-2.981238219494517E-3</v>
      </c>
      <c r="I93" s="20">
        <f t="shared" si="8"/>
        <v>-4.7018761780506194E-2</v>
      </c>
      <c r="J93" s="20">
        <f t="shared" si="9"/>
        <v>-0.14574154687850532</v>
      </c>
    </row>
    <row r="94" spans="1:10" ht="15" customHeight="1">
      <c r="A94" s="18" t="str">
        <f>Analysis!A94</f>
        <v>11/1965</v>
      </c>
      <c r="B94" s="19">
        <f>Analysis!E94</f>
        <v>-6.0000000000000497E-2</v>
      </c>
      <c r="C94" s="20">
        <f>Analysis!F94</f>
        <v>0.18754154484093474</v>
      </c>
      <c r="D94" s="19">
        <f t="shared" si="10"/>
        <v>1.27</v>
      </c>
      <c r="E94" s="19">
        <f>Solar!D94</f>
        <v>1360.76</v>
      </c>
      <c r="F94" s="30">
        <v>1.82</v>
      </c>
      <c r="G94" s="20">
        <f t="shared" si="6"/>
        <v>1.3898173118194412E-2</v>
      </c>
      <c r="H94" s="20">
        <f t="shared" si="7"/>
        <v>3.1374708052925915E-2</v>
      </c>
      <c r="I94" s="20">
        <f t="shared" si="8"/>
        <v>-9.1374708052926412E-2</v>
      </c>
      <c r="J94" s="20">
        <f t="shared" si="9"/>
        <v>-0.17053796775972857</v>
      </c>
    </row>
    <row r="95" spans="1:10" ht="15" customHeight="1">
      <c r="A95" s="18" t="str">
        <f>Analysis!A95</f>
        <v>12/1965</v>
      </c>
      <c r="B95" s="19">
        <f>Analysis!E95</f>
        <v>-8.0000000000001847E-2</v>
      </c>
      <c r="C95" s="20">
        <f>Analysis!F95</f>
        <v>0.19002782057413631</v>
      </c>
      <c r="D95" s="19">
        <f t="shared" si="10"/>
        <v>1.55</v>
      </c>
      <c r="E95" s="19">
        <f>Solar!D95</f>
        <v>1360.75</v>
      </c>
      <c r="F95" s="30">
        <v>1.6</v>
      </c>
      <c r="G95" s="20">
        <f t="shared" si="6"/>
        <v>-1.2898238991331468E-2</v>
      </c>
      <c r="H95" s="20">
        <f t="shared" si="7"/>
        <v>6.2574576216659628E-2</v>
      </c>
      <c r="I95" s="20">
        <f t="shared" si="8"/>
        <v>-0.14257457621666147</v>
      </c>
      <c r="J95" s="20">
        <f t="shared" si="9"/>
        <v>-0.21490854332880382</v>
      </c>
    </row>
    <row r="96" spans="1:10" ht="15" customHeight="1">
      <c r="A96" s="18" t="str">
        <f>Analysis!A96</f>
        <v>1/1966</v>
      </c>
      <c r="B96" s="19">
        <f>Analysis!E96</f>
        <v>-0.18999999999999773</v>
      </c>
      <c r="C96" s="20">
        <f>Analysis!F96</f>
        <v>0.19543759520574477</v>
      </c>
      <c r="D96" s="19">
        <f t="shared" si="10"/>
        <v>1.7</v>
      </c>
      <c r="E96" s="19">
        <f>Solar!D96</f>
        <v>1360.83</v>
      </c>
      <c r="F96" s="30">
        <v>1.24</v>
      </c>
      <c r="G96" s="20">
        <f t="shared" si="6"/>
        <v>-0.13768624392781836</v>
      </c>
      <c r="H96" s="20">
        <f t="shared" si="7"/>
        <v>9.0489789793274961E-2</v>
      </c>
      <c r="I96" s="20">
        <f t="shared" si="8"/>
        <v>-0.28048978979327266</v>
      </c>
      <c r="J96" s="20">
        <f t="shared" si="9"/>
        <v>-0.3379642088122321</v>
      </c>
    </row>
    <row r="97" spans="1:10" ht="15" customHeight="1">
      <c r="A97" s="18" t="str">
        <f>Analysis!A97</f>
        <v>2/1966</v>
      </c>
      <c r="B97" s="19">
        <f>Analysis!E97</f>
        <v>-3.9999999999999147E-2</v>
      </c>
      <c r="C97" s="20">
        <f>Analysis!F97</f>
        <v>0.19984057934659985</v>
      </c>
      <c r="D97" s="19">
        <f t="shared" si="10"/>
        <v>1.82</v>
      </c>
      <c r="E97" s="19">
        <f>Solar!D97</f>
        <v>1360.87</v>
      </c>
      <c r="F97" s="30">
        <v>0.95</v>
      </c>
      <c r="G97" s="20">
        <f t="shared" si="6"/>
        <v>2.7788477546841772E-4</v>
      </c>
      <c r="H97" s="20">
        <f t="shared" si="7"/>
        <v>0.11302842203628502</v>
      </c>
      <c r="I97" s="20">
        <f t="shared" si="8"/>
        <v>-0.15302842203628417</v>
      </c>
      <c r="J97" s="20">
        <f t="shared" si="9"/>
        <v>-0.19840874119897953</v>
      </c>
    </row>
    <row r="98" spans="1:10" ht="15" customHeight="1">
      <c r="A98" s="18" t="str">
        <f>Analysis!A98</f>
        <v>3/1966</v>
      </c>
      <c r="B98" s="19">
        <f>Analysis!E98</f>
        <v>2.9999999999997584E-2</v>
      </c>
      <c r="C98" s="20">
        <f>Analysis!F98</f>
        <v>0.20338016739614553</v>
      </c>
      <c r="D98" s="19">
        <f t="shared" si="10"/>
        <v>1.6</v>
      </c>
      <c r="E98" s="19">
        <f>Solar!D98</f>
        <v>1360.78</v>
      </c>
      <c r="F98" s="30">
        <v>0.76</v>
      </c>
      <c r="G98" s="20">
        <f t="shared" si="6"/>
        <v>6.0602168296632231E-2</v>
      </c>
      <c r="H98" s="20">
        <f t="shared" si="7"/>
        <v>0.10360263946326559</v>
      </c>
      <c r="I98" s="20">
        <f t="shared" si="8"/>
        <v>-7.3602639463268005E-2</v>
      </c>
      <c r="J98" s="20">
        <f t="shared" si="9"/>
        <v>-0.10926043182328188</v>
      </c>
    </row>
    <row r="99" spans="1:10" ht="15" customHeight="1">
      <c r="A99" s="18" t="str">
        <f>Analysis!A99</f>
        <v>4/1966</v>
      </c>
      <c r="B99" s="19">
        <f>Analysis!E99</f>
        <v>-0.13000000000000256</v>
      </c>
      <c r="C99" s="20">
        <f>Analysis!F99</f>
        <v>0.20923053837684438</v>
      </c>
      <c r="D99" s="19">
        <f t="shared" si="10"/>
        <v>1.24</v>
      </c>
      <c r="E99" s="19">
        <f>Solar!D99</f>
        <v>1360.76</v>
      </c>
      <c r="F99" s="30">
        <v>0.43</v>
      </c>
      <c r="G99" s="20">
        <f t="shared" si="6"/>
        <v>-0.11539023819612315</v>
      </c>
      <c r="H99" s="20">
        <f t="shared" si="7"/>
        <v>8.8338818748559242E-2</v>
      </c>
      <c r="I99" s="20">
        <f t="shared" si="8"/>
        <v>-0.21833881874856181</v>
      </c>
      <c r="J99" s="20">
        <f t="shared" si="9"/>
        <v>-0.23792683466304415</v>
      </c>
    </row>
    <row r="100" spans="1:10" ht="15" customHeight="1">
      <c r="A100" s="18" t="str">
        <f>Analysis!A100</f>
        <v>5/1966</v>
      </c>
      <c r="B100" s="19">
        <f>Analysis!E100</f>
        <v>-0.11999999999999744</v>
      </c>
      <c r="C100" s="20">
        <f>Analysis!F100</f>
        <v>0.21092316296674554</v>
      </c>
      <c r="D100" s="19">
        <f t="shared" si="10"/>
        <v>0.95</v>
      </c>
      <c r="E100" s="19">
        <f>Solar!D100</f>
        <v>1361.12</v>
      </c>
      <c r="F100" s="30">
        <v>0.24</v>
      </c>
      <c r="G100" s="20">
        <f t="shared" si="6"/>
        <v>-0.11001714827936526</v>
      </c>
      <c r="H100" s="20">
        <f t="shared" si="7"/>
        <v>6.7747160175859258E-2</v>
      </c>
      <c r="I100" s="20">
        <f t="shared" si="8"/>
        <v>-0.18774716017585669</v>
      </c>
      <c r="J100" s="20">
        <f t="shared" si="9"/>
        <v>-0.2026858813950696</v>
      </c>
    </row>
    <row r="101" spans="1:10" ht="15" customHeight="1">
      <c r="A101" s="18" t="str">
        <f>Analysis!A101</f>
        <v>6/1966</v>
      </c>
      <c r="B101" s="19">
        <f>Analysis!E101</f>
        <v>1.0000000000001563E-2</v>
      </c>
      <c r="C101" s="20">
        <f>Analysis!F101</f>
        <v>0.20945336562894978</v>
      </c>
      <c r="D101" s="19">
        <f t="shared" si="10"/>
        <v>0.76</v>
      </c>
      <c r="E101" s="19">
        <f>Solar!D101</f>
        <v>1361.08</v>
      </c>
      <c r="F101" s="30">
        <v>0.18</v>
      </c>
      <c r="G101" s="20">
        <f t="shared" si="6"/>
        <v>2.4000647611791215E-2</v>
      </c>
      <c r="H101" s="20">
        <f t="shared" si="7"/>
        <v>4.7172750238237846E-2</v>
      </c>
      <c r="I101" s="20">
        <f t="shared" si="8"/>
        <v>-3.7172750238236282E-2</v>
      </c>
      <c r="J101" s="20">
        <f t="shared" si="9"/>
        <v>-5.6148705116056172E-2</v>
      </c>
    </row>
    <row r="102" spans="1:10" ht="15" customHeight="1">
      <c r="A102" s="18" t="str">
        <f>Analysis!A102</f>
        <v>7/1966</v>
      </c>
      <c r="B102" s="19">
        <f>Analysis!E102</f>
        <v>8.0000000000000071E-2</v>
      </c>
      <c r="C102" s="20">
        <f>Analysis!F102</f>
        <v>0.20329066463286302</v>
      </c>
      <c r="D102" s="19">
        <f t="shared" si="10"/>
        <v>0.43</v>
      </c>
      <c r="E102" s="19">
        <f>Solar!D102</f>
        <v>1361</v>
      </c>
      <c r="F102" s="30">
        <v>0.25</v>
      </c>
      <c r="G102" s="20">
        <f t="shared" si="6"/>
        <v>0.11084683048598321</v>
      </c>
      <c r="H102" s="20">
        <f t="shared" si="7"/>
        <v>1.5226028475105943E-3</v>
      </c>
      <c r="I102" s="20">
        <f t="shared" si="8"/>
        <v>7.847739715248947E-2</v>
      </c>
      <c r="J102" s="20">
        <f t="shared" si="9"/>
        <v>4.2573758947493719E-2</v>
      </c>
    </row>
    <row r="103" spans="1:10" ht="15" customHeight="1">
      <c r="A103" s="18" t="str">
        <f>Analysis!A103</f>
        <v>8/1966</v>
      </c>
      <c r="B103" s="19">
        <f>Analysis!E103</f>
        <v>-9.0000000000001634E-2</v>
      </c>
      <c r="C103" s="20">
        <f>Analysis!F103</f>
        <v>0.19426719759207978</v>
      </c>
      <c r="D103" s="19">
        <f t="shared" si="10"/>
        <v>0.24</v>
      </c>
      <c r="E103" s="19">
        <f>Solar!D103</f>
        <v>1361.19</v>
      </c>
      <c r="F103" s="30">
        <v>0.13</v>
      </c>
      <c r="G103" s="20">
        <f t="shared" si="6"/>
        <v>-3.4486878544390587E-2</v>
      </c>
      <c r="H103" s="20">
        <f t="shared" si="7"/>
        <v>-3.9800197896584767E-2</v>
      </c>
      <c r="I103" s="20">
        <f t="shared" si="8"/>
        <v>-5.0199802103416867E-2</v>
      </c>
      <c r="J103" s="20">
        <f t="shared" si="9"/>
        <v>-0.11088906477349356</v>
      </c>
    </row>
    <row r="104" spans="1:10" ht="15" customHeight="1">
      <c r="A104" s="18" t="str">
        <f>Analysis!A104</f>
        <v>9/1966</v>
      </c>
      <c r="B104" s="19">
        <f>Analysis!E104</f>
        <v>-2.9999999999999361E-2</v>
      </c>
      <c r="C104" s="20">
        <f>Analysis!F104</f>
        <v>0.18650055764449477</v>
      </c>
      <c r="D104" s="19">
        <f t="shared" si="10"/>
        <v>0.18</v>
      </c>
      <c r="E104" s="19">
        <f>Solar!D104</f>
        <v>1360.94</v>
      </c>
      <c r="F104" s="30">
        <v>-0.09</v>
      </c>
      <c r="G104" s="20">
        <f t="shared" si="6"/>
        <v>4.674378589286321E-2</v>
      </c>
      <c r="H104" s="20">
        <f t="shared" si="7"/>
        <v>-6.635584074288875E-2</v>
      </c>
      <c r="I104" s="20">
        <f t="shared" si="8"/>
        <v>3.6355840742889389E-2</v>
      </c>
      <c r="J104" s="20">
        <f t="shared" si="9"/>
        <v>-4.5666798580118295E-2</v>
      </c>
    </row>
    <row r="105" spans="1:10" ht="15" customHeight="1">
      <c r="A105" s="18" t="str">
        <f>Analysis!A105</f>
        <v>10/1966</v>
      </c>
      <c r="B105" s="19">
        <f>Analysis!E105</f>
        <v>-0.16999999999999638</v>
      </c>
      <c r="C105" s="20">
        <f>Analysis!F105</f>
        <v>0.18405354470718463</v>
      </c>
      <c r="D105" s="19">
        <f t="shared" si="10"/>
        <v>0.25</v>
      </c>
      <c r="E105" s="19">
        <f>Solar!D105</f>
        <v>1361.12</v>
      </c>
      <c r="F105" s="30">
        <v>-0.12</v>
      </c>
      <c r="G105" s="20">
        <f t="shared" si="6"/>
        <v>-8.6567129651532349E-2</v>
      </c>
      <c r="H105" s="20">
        <f t="shared" si="7"/>
        <v>-6.6984642548957932E-2</v>
      </c>
      <c r="I105" s="20">
        <f t="shared" si="8"/>
        <v>-0.10301535745103844</v>
      </c>
      <c r="J105" s="20">
        <f t="shared" si="9"/>
        <v>-0.1917594424723838</v>
      </c>
    </row>
    <row r="106" spans="1:10" ht="15" customHeight="1">
      <c r="A106" s="18" t="str">
        <f>Analysis!A106</f>
        <v>11/1966</v>
      </c>
      <c r="B106" s="19">
        <f>Analysis!E106</f>
        <v>-9.9999999999980105E-3</v>
      </c>
      <c r="C106" s="20">
        <f>Analysis!F106</f>
        <v>0.19165288399602148</v>
      </c>
      <c r="D106" s="19">
        <f t="shared" si="10"/>
        <v>0.13</v>
      </c>
      <c r="E106" s="19">
        <f>Solar!D106</f>
        <v>1361.18</v>
      </c>
      <c r="F106" s="30">
        <v>-0.23</v>
      </c>
      <c r="G106" s="20">
        <f t="shared" si="6"/>
        <v>5.2659534198605806E-2</v>
      </c>
      <c r="H106" s="20">
        <f t="shared" si="7"/>
        <v>-5.6555339086961635E-2</v>
      </c>
      <c r="I106" s="20">
        <f t="shared" si="8"/>
        <v>4.6555339086963625E-2</v>
      </c>
      <c r="J106" s="20">
        <f t="shared" si="9"/>
        <v>-2.1314910085639467E-2</v>
      </c>
    </row>
    <row r="107" spans="1:10" ht="15" customHeight="1">
      <c r="A107" s="18" t="str">
        <f>Analysis!A107</f>
        <v>12/1966</v>
      </c>
      <c r="B107" s="19">
        <f>Analysis!E107</f>
        <v>-2.9999999999999361E-2</v>
      </c>
      <c r="C107" s="20">
        <f>Analysis!F107</f>
        <v>0.19723635491870628</v>
      </c>
      <c r="D107" s="19">
        <f t="shared" si="10"/>
        <v>-0.09</v>
      </c>
      <c r="E107" s="19">
        <f>Solar!D107</f>
        <v>1361.14</v>
      </c>
      <c r="F107" s="30">
        <v>-0.35</v>
      </c>
      <c r="G107" s="20">
        <f t="shared" si="6"/>
        <v>1.7396718057432481E-2</v>
      </c>
      <c r="H107" s="20">
        <f t="shared" si="7"/>
        <v>-6.03669920670791E-2</v>
      </c>
      <c r="I107" s="20">
        <f t="shared" si="8"/>
        <v>3.036699206707974E-2</v>
      </c>
      <c r="J107" s="20">
        <f t="shared" si="9"/>
        <v>-2.2166600709939893E-2</v>
      </c>
    </row>
    <row r="108" spans="1:10" ht="15" customHeight="1">
      <c r="A108" s="18" t="str">
        <f>Analysis!A108</f>
        <v>1/1967</v>
      </c>
      <c r="B108" s="19">
        <f>Analysis!E108</f>
        <v>-8.0000000000001847E-2</v>
      </c>
      <c r="C108" s="20">
        <f>Analysis!F108</f>
        <v>0.20311164244670007</v>
      </c>
      <c r="D108" s="19">
        <f t="shared" si="10"/>
        <v>-0.12</v>
      </c>
      <c r="E108" s="19">
        <f>Solar!D108</f>
        <v>1360.94</v>
      </c>
      <c r="F108" s="30">
        <v>-0.46</v>
      </c>
      <c r="G108" s="20">
        <f t="shared" si="6"/>
        <v>-4.8663799595122126E-2</v>
      </c>
      <c r="H108" s="20">
        <f t="shared" si="7"/>
        <v>-4.6839908042224751E-2</v>
      </c>
      <c r="I108" s="20">
        <f t="shared" si="8"/>
        <v>-3.3160091957777096E-2</v>
      </c>
      <c r="J108" s="20">
        <f t="shared" si="9"/>
        <v>-6.9555467613255886E-2</v>
      </c>
    </row>
    <row r="109" spans="1:10" ht="15" customHeight="1">
      <c r="A109" s="18" t="str">
        <f>Analysis!A109</f>
        <v>2/1967</v>
      </c>
      <c r="B109" s="19">
        <f>Analysis!E109</f>
        <v>-0.20999999999999908</v>
      </c>
      <c r="C109" s="20">
        <f>Analysis!F109</f>
        <v>0.20387233336564989</v>
      </c>
      <c r="D109" s="19">
        <f t="shared" si="10"/>
        <v>-0.23</v>
      </c>
      <c r="E109" s="19">
        <f>Solar!D109</f>
        <v>1361.28</v>
      </c>
      <c r="F109" s="30">
        <v>-0.48</v>
      </c>
      <c r="G109" s="20">
        <f t="shared" si="6"/>
        <v>-0.18074320249646147</v>
      </c>
      <c r="H109" s="20">
        <f t="shared" si="7"/>
        <v>-5.4324599847806909E-2</v>
      </c>
      <c r="I109" s="20">
        <f t="shared" si="8"/>
        <v>-0.15567540015219217</v>
      </c>
      <c r="J109" s="20">
        <f t="shared" si="9"/>
        <v>-0.18998131292540266</v>
      </c>
    </row>
    <row r="110" spans="1:10" ht="15" customHeight="1">
      <c r="A110" s="18" t="str">
        <f>Analysis!A110</f>
        <v>3/1967</v>
      </c>
      <c r="B110" s="19">
        <f>Analysis!E110</f>
        <v>5.0000000000004263E-2</v>
      </c>
      <c r="C110" s="20">
        <f>Analysis!F110</f>
        <v>0.20624132797002478</v>
      </c>
      <c r="D110" s="19">
        <f t="shared" si="10"/>
        <v>-0.35</v>
      </c>
      <c r="E110" s="19">
        <f>Solar!D110</f>
        <v>1361.04</v>
      </c>
      <c r="F110" s="30">
        <v>-0.5</v>
      </c>
      <c r="G110" s="20">
        <f t="shared" si="6"/>
        <v>7.2780981727534222E-2</v>
      </c>
      <c r="H110" s="20">
        <f t="shared" si="7"/>
        <v>-5.8261986992213563E-2</v>
      </c>
      <c r="I110" s="20">
        <f t="shared" si="8"/>
        <v>0.10826198699221783</v>
      </c>
      <c r="J110" s="20">
        <f t="shared" si="9"/>
        <v>8.0463219461346644E-2</v>
      </c>
    </row>
    <row r="111" spans="1:10" ht="15" customHeight="1">
      <c r="A111" s="18" t="str">
        <f>Analysis!A111</f>
        <v>4/1967</v>
      </c>
      <c r="B111" s="19">
        <f>Analysis!E111</f>
        <v>-5.0000000000000711E-2</v>
      </c>
      <c r="C111" s="20">
        <f>Analysis!F111</f>
        <v>0.21239146441962328</v>
      </c>
      <c r="D111" s="19">
        <f t="shared" si="10"/>
        <v>-0.46</v>
      </c>
      <c r="E111" s="19">
        <f>Solar!D111</f>
        <v>1361.6</v>
      </c>
      <c r="F111" s="30">
        <v>-0.37</v>
      </c>
      <c r="G111" s="20">
        <f t="shared" si="6"/>
        <v>-4.4030855062373142E-2</v>
      </c>
      <c r="H111" s="20">
        <f t="shared" si="7"/>
        <v>-5.0942970600722066E-2</v>
      </c>
      <c r="I111" s="20">
        <f t="shared" si="8"/>
        <v>9.4297060072135591E-4</v>
      </c>
      <c r="J111" s="20">
        <f t="shared" si="9"/>
        <v>-9.9626258508078644E-3</v>
      </c>
    </row>
    <row r="112" spans="1:10" ht="15" customHeight="1">
      <c r="A112" s="18" t="str">
        <f>Analysis!A112</f>
        <v>5/1967</v>
      </c>
      <c r="B112" s="19">
        <f>Analysis!E112</f>
        <v>0.11999999999999744</v>
      </c>
      <c r="C112" s="20">
        <f>Analysis!F112</f>
        <v>0.21501289097085052</v>
      </c>
      <c r="D112" s="19">
        <f t="shared" si="10"/>
        <v>-0.48</v>
      </c>
      <c r="E112" s="19">
        <f>Solar!D112</f>
        <v>1360.99</v>
      </c>
      <c r="F112" s="30">
        <v>-0.15</v>
      </c>
      <c r="G112" s="20">
        <f t="shared" si="6"/>
        <v>0.11880328842417709</v>
      </c>
      <c r="H112" s="20">
        <f t="shared" si="7"/>
        <v>-4.5483201658162484E-2</v>
      </c>
      <c r="I112" s="20">
        <f t="shared" si="8"/>
        <v>0.16548320165815994</v>
      </c>
      <c r="J112" s="20">
        <f t="shared" si="9"/>
        <v>0.16177812954698129</v>
      </c>
    </row>
    <row r="113" spans="1:10" ht="15" customHeight="1">
      <c r="A113" s="18" t="str">
        <f>Analysis!A113</f>
        <v>6/1967</v>
      </c>
      <c r="B113" s="19">
        <f>Analysis!E113</f>
        <v>-8.0000000000001847E-2</v>
      </c>
      <c r="C113" s="20">
        <f>Analysis!F113</f>
        <v>0.21096767891290158</v>
      </c>
      <c r="D113" s="19">
        <f t="shared" si="10"/>
        <v>-0.5</v>
      </c>
      <c r="E113" s="19">
        <f>Solar!D113</f>
        <v>1361.25</v>
      </c>
      <c r="F113" s="30">
        <v>0.05</v>
      </c>
      <c r="G113" s="20">
        <f t="shared" si="6"/>
        <v>-7.0138835794347099E-2</v>
      </c>
      <c r="H113" s="20">
        <f t="shared" si="7"/>
        <v>-5.8335329934779502E-2</v>
      </c>
      <c r="I113" s="20">
        <f t="shared" si="8"/>
        <v>-2.1664670065222345E-2</v>
      </c>
      <c r="J113" s="20">
        <f t="shared" si="9"/>
        <v>-3.6481115055227019E-2</v>
      </c>
    </row>
    <row r="114" spans="1:10" ht="15" customHeight="1">
      <c r="A114" s="18" t="str">
        <f>Analysis!A114</f>
        <v>7/1967</v>
      </c>
      <c r="B114" s="19">
        <f>Analysis!E114</f>
        <v>2.0000000000003126E-2</v>
      </c>
      <c r="C114" s="20">
        <f>Analysis!F114</f>
        <v>0.20405126118938038</v>
      </c>
      <c r="D114" s="19">
        <f t="shared" si="10"/>
        <v>-0.37</v>
      </c>
      <c r="E114" s="19">
        <f>Solar!D114</f>
        <v>1361.11</v>
      </c>
      <c r="F114" s="30">
        <v>-0.02</v>
      </c>
      <c r="G114" s="20">
        <f t="shared" si="6"/>
        <v>4.8767685531085903E-2</v>
      </c>
      <c r="H114" s="20">
        <f t="shared" si="7"/>
        <v>-6.6018409376226356E-2</v>
      </c>
      <c r="I114" s="20">
        <f t="shared" si="8"/>
        <v>8.6018409376229482E-2</v>
      </c>
      <c r="J114" s="20">
        <f t="shared" si="9"/>
        <v>5.2203974859136498E-2</v>
      </c>
    </row>
    <row r="115" spans="1:10" ht="15" customHeight="1">
      <c r="A115" s="18" t="str">
        <f>Analysis!A115</f>
        <v>8/1967</v>
      </c>
      <c r="B115" s="19">
        <f>Analysis!E115</f>
        <v>1.0000000000001563E-2</v>
      </c>
      <c r="C115" s="20">
        <f>Analysis!F115</f>
        <v>0.1967868752001786</v>
      </c>
      <c r="D115" s="19">
        <f t="shared" si="10"/>
        <v>-0.15</v>
      </c>
      <c r="E115" s="19">
        <f>Solar!D115</f>
        <v>1361.17</v>
      </c>
      <c r="F115" s="30">
        <v>-0.26</v>
      </c>
      <c r="G115" s="20">
        <f t="shared" si="6"/>
        <v>5.862540293787244E-2</v>
      </c>
      <c r="H115" s="20">
        <f t="shared" si="7"/>
        <v>-6.6823887417709005E-2</v>
      </c>
      <c r="I115" s="20">
        <f t="shared" si="8"/>
        <v>7.6823887417710568E-2</v>
      </c>
      <c r="J115" s="20">
        <f t="shared" si="9"/>
        <v>2.3055665483434011E-2</v>
      </c>
    </row>
    <row r="116" spans="1:10" ht="15" customHeight="1">
      <c r="A116" s="18" t="str">
        <f>Analysis!A116</f>
        <v>9/1967</v>
      </c>
      <c r="B116" s="19">
        <f>Analysis!E116</f>
        <v>-6.0000000000000497E-2</v>
      </c>
      <c r="C116" s="20">
        <f>Analysis!F116</f>
        <v>0.18925979275775742</v>
      </c>
      <c r="D116" s="19">
        <f t="shared" si="10"/>
        <v>0.05</v>
      </c>
      <c r="E116" s="19">
        <f>Solar!D116</f>
        <v>1361.5</v>
      </c>
      <c r="F116" s="30">
        <v>-0.4</v>
      </c>
      <c r="G116" s="20">
        <f t="shared" si="6"/>
        <v>9.2012198426132397E-3</v>
      </c>
      <c r="H116" s="20">
        <f t="shared" si="7"/>
        <v>-7.0091694461493603E-2</v>
      </c>
      <c r="I116" s="20">
        <f t="shared" si="8"/>
        <v>1.0091694461493106E-2</v>
      </c>
      <c r="J116" s="20">
        <f t="shared" si="9"/>
        <v>-6.4351888494477982E-2</v>
      </c>
    </row>
    <row r="117" spans="1:10" ht="15" customHeight="1">
      <c r="A117" s="18" t="str">
        <f>Analysis!A117</f>
        <v>10/1967</v>
      </c>
      <c r="B117" s="19">
        <f>Analysis!E117</f>
        <v>8.9999999999999858E-2</v>
      </c>
      <c r="C117" s="20">
        <f>Analysis!F117</f>
        <v>0.18989231596006176</v>
      </c>
      <c r="D117" s="19">
        <f t="shared" si="10"/>
        <v>-0.02</v>
      </c>
      <c r="E117" s="19">
        <f>Solar!D117</f>
        <v>1361.37</v>
      </c>
      <c r="F117" s="30">
        <v>-0.4</v>
      </c>
      <c r="G117" s="20">
        <f t="shared" si="6"/>
        <v>0.1574721725393361</v>
      </c>
      <c r="H117" s="20">
        <f t="shared" si="7"/>
        <v>-7.4446926061246518E-2</v>
      </c>
      <c r="I117" s="20">
        <f t="shared" si="8"/>
        <v>0.16444692606124639</v>
      </c>
      <c r="J117" s="20">
        <f t="shared" si="9"/>
        <v>9.1740755397790849E-2</v>
      </c>
    </row>
    <row r="118" spans="1:10" ht="15" customHeight="1">
      <c r="A118" s="18" t="str">
        <f>Analysis!A118</f>
        <v>11/1967</v>
      </c>
      <c r="B118" s="19">
        <f>Analysis!E118</f>
        <v>-5.0000000000000711E-2</v>
      </c>
      <c r="C118" s="20">
        <f>Analysis!F118</f>
        <v>0.19593247773807179</v>
      </c>
      <c r="D118" s="19">
        <f t="shared" si="10"/>
        <v>-0.26</v>
      </c>
      <c r="E118" s="19">
        <f>Solar!D118</f>
        <v>1361.23</v>
      </c>
      <c r="F118" s="30">
        <v>-0.36</v>
      </c>
      <c r="G118" s="20">
        <f t="shared" si="6"/>
        <v>9.6095936078233191E-4</v>
      </c>
      <c r="H118" s="20">
        <f t="shared" si="7"/>
        <v>-7.8744897759155288E-2</v>
      </c>
      <c r="I118" s="20">
        <f t="shared" si="8"/>
        <v>2.8744897759154578E-2</v>
      </c>
      <c r="J118" s="20">
        <f t="shared" si="9"/>
        <v>-2.7370179828717797E-2</v>
      </c>
    </row>
    <row r="119" spans="1:10" ht="15" customHeight="1">
      <c r="A119" s="18" t="str">
        <f>Analysis!A119</f>
        <v>12/1967</v>
      </c>
      <c r="B119" s="19">
        <f>Analysis!E119</f>
        <v>-5.0000000000000711E-2</v>
      </c>
      <c r="C119" s="20">
        <f>Analysis!F119</f>
        <v>0.20145463326198595</v>
      </c>
      <c r="D119" s="19">
        <f t="shared" si="10"/>
        <v>-0.4</v>
      </c>
      <c r="E119" s="19">
        <f>Solar!D119</f>
        <v>1361.22</v>
      </c>
      <c r="F119" s="30">
        <v>-0.42</v>
      </c>
      <c r="G119" s="20">
        <f t="shared" si="6"/>
        <v>-1.4134246763069291E-2</v>
      </c>
      <c r="H119" s="20">
        <f t="shared" si="7"/>
        <v>-7.5761950048965118E-2</v>
      </c>
      <c r="I119" s="20">
        <f t="shared" si="8"/>
        <v>2.5761950048964408E-2</v>
      </c>
      <c r="J119" s="20">
        <f t="shared" si="9"/>
        <v>-1.5184892044180845E-2</v>
      </c>
    </row>
    <row r="120" spans="1:10" ht="15" customHeight="1">
      <c r="A120" s="18" t="str">
        <f>Analysis!A120</f>
        <v>1/1968</v>
      </c>
      <c r="B120" s="19">
        <f>Analysis!E120</f>
        <v>-0.25999999999999979</v>
      </c>
      <c r="C120" s="20">
        <f>Analysis!F120</f>
        <v>0.20418544249569365</v>
      </c>
      <c r="D120" s="19">
        <f t="shared" si="10"/>
        <v>-0.4</v>
      </c>
      <c r="E120" s="19">
        <f>Solar!D120</f>
        <v>1361.36</v>
      </c>
      <c r="F120" s="30">
        <v>-0.62</v>
      </c>
      <c r="G120" s="20">
        <f t="shared" si="6"/>
        <v>-0.23159910864340105</v>
      </c>
      <c r="H120" s="20">
        <f t="shared" si="7"/>
        <v>-6.826097377825445E-2</v>
      </c>
      <c r="I120" s="20">
        <f t="shared" si="8"/>
        <v>-0.19173902622174532</v>
      </c>
      <c r="J120" s="20">
        <f t="shared" si="9"/>
        <v>-0.22518489204417991</v>
      </c>
    </row>
    <row r="121" spans="1:10" ht="15" customHeight="1">
      <c r="A121" s="18" t="str">
        <f>Analysis!A121</f>
        <v>2/1968</v>
      </c>
      <c r="B121" s="19">
        <f>Analysis!E121</f>
        <v>-0.13999999999999879</v>
      </c>
      <c r="C121" s="20">
        <f>Analysis!F121</f>
        <v>0.20677716444561006</v>
      </c>
      <c r="D121" s="19">
        <f t="shared" si="10"/>
        <v>-0.36</v>
      </c>
      <c r="E121" s="19">
        <f>Solar!D121</f>
        <v>1361.48</v>
      </c>
      <c r="F121" s="30">
        <v>-0.73</v>
      </c>
      <c r="G121" s="20">
        <f t="shared" si="6"/>
        <v>-0.11868376550977677</v>
      </c>
      <c r="H121" s="20">
        <f t="shared" si="7"/>
        <v>-5.7660531126635058E-2</v>
      </c>
      <c r="I121" s="20">
        <f t="shared" si="8"/>
        <v>-8.2339468873363741E-2</v>
      </c>
      <c r="J121" s="20">
        <f t="shared" si="9"/>
        <v>-0.10866640283976092</v>
      </c>
    </row>
    <row r="122" spans="1:10" ht="15" customHeight="1">
      <c r="A122" s="18" t="str">
        <f>Analysis!A122</f>
        <v>3/1968</v>
      </c>
      <c r="B122" s="19">
        <f>Analysis!E122</f>
        <v>0.20000000000000107</v>
      </c>
      <c r="C122" s="20">
        <f>Analysis!F122</f>
        <v>0.21007709890320869</v>
      </c>
      <c r="D122" s="19">
        <f t="shared" si="10"/>
        <v>-0.42</v>
      </c>
      <c r="E122" s="19">
        <f>Solar!D122</f>
        <v>1361.47</v>
      </c>
      <c r="F122" s="30">
        <v>-0.63</v>
      </c>
      <c r="G122" s="20">
        <f t="shared" si="6"/>
        <v>0.21229562820397641</v>
      </c>
      <c r="H122" s="20">
        <f t="shared" si="7"/>
        <v>-5.381855007936856E-2</v>
      </c>
      <c r="I122" s="20">
        <f t="shared" si="8"/>
        <v>0.2538185500793696</v>
      </c>
      <c r="J122" s="20">
        <f t="shared" si="9"/>
        <v>0.23655586335361192</v>
      </c>
    </row>
    <row r="123" spans="1:10" ht="15" customHeight="1">
      <c r="A123" s="18" t="str">
        <f>Analysis!A123</f>
        <v>4/1968</v>
      </c>
      <c r="B123" s="19">
        <f>Analysis!E123</f>
        <v>-6.0000000000000497E-2</v>
      </c>
      <c r="C123" s="20">
        <f>Analysis!F123</f>
        <v>0.21510166947251774</v>
      </c>
      <c r="D123" s="19">
        <f t="shared" si="10"/>
        <v>-0.62</v>
      </c>
      <c r="E123" s="19">
        <f>Solar!D123</f>
        <v>1361.48</v>
      </c>
      <c r="F123" s="30">
        <v>-0.48</v>
      </c>
      <c r="G123" s="20">
        <f t="shared" si="6"/>
        <v>-6.1439393944368814E-2</v>
      </c>
      <c r="H123" s="20">
        <f t="shared" si="7"/>
        <v>-5.7424632996729084E-2</v>
      </c>
      <c r="I123" s="20">
        <f t="shared" si="8"/>
        <v>-2.5753670032714129E-3</v>
      </c>
      <c r="J123" s="20">
        <f t="shared" si="9"/>
        <v>-6.0365826684797078E-3</v>
      </c>
    </row>
    <row r="124" spans="1:10" ht="15" customHeight="1">
      <c r="A124" s="18" t="str">
        <f>Analysis!A124</f>
        <v>5/1968</v>
      </c>
      <c r="B124" s="19">
        <f>Analysis!E124</f>
        <v>-0.13999999999999879</v>
      </c>
      <c r="C124" s="20">
        <f>Analysis!F124</f>
        <v>0.21754093986252426</v>
      </c>
      <c r="D124" s="19">
        <f t="shared" si="10"/>
        <v>-0.73</v>
      </c>
      <c r="E124" s="19">
        <f>Solar!D124</f>
        <v>1361.15</v>
      </c>
      <c r="F124" s="30">
        <v>-0.1</v>
      </c>
      <c r="G124" s="20">
        <f t="shared" si="6"/>
        <v>-0.14810731359449258</v>
      </c>
      <c r="H124" s="20">
        <f t="shared" si="7"/>
        <v>-6.029860918531324E-2</v>
      </c>
      <c r="I124" s="20">
        <f t="shared" si="8"/>
        <v>-7.9701390814685552E-2</v>
      </c>
      <c r="J124" s="20">
        <f t="shared" si="9"/>
        <v>-7.6462427980627551E-2</v>
      </c>
    </row>
    <row r="125" spans="1:10" ht="15" customHeight="1">
      <c r="A125" s="18" t="str">
        <f>Analysis!A125</f>
        <v>6/1968</v>
      </c>
      <c r="B125" s="19">
        <f>Analysis!E125</f>
        <v>-9.0000000000001634E-2</v>
      </c>
      <c r="C125" s="20">
        <f>Analysis!F125</f>
        <v>0.21661006874244201</v>
      </c>
      <c r="D125" s="19">
        <f t="shared" si="10"/>
        <v>-0.63</v>
      </c>
      <c r="E125" s="19">
        <f>Solar!D125</f>
        <v>1361.12</v>
      </c>
      <c r="F125" s="30">
        <v>0.17</v>
      </c>
      <c r="G125" s="20">
        <f t="shared" si="6"/>
        <v>-9.5562710971202725E-2</v>
      </c>
      <c r="H125" s="20">
        <f t="shared" si="7"/>
        <v>-5.4151745398730453E-2</v>
      </c>
      <c r="I125" s="20">
        <f t="shared" si="8"/>
        <v>-3.5848254601271182E-2</v>
      </c>
      <c r="J125" s="20">
        <f t="shared" si="9"/>
        <v>-3.5166204969585349E-2</v>
      </c>
    </row>
    <row r="126" spans="1:10" ht="15" customHeight="1">
      <c r="A126" s="18" t="str">
        <f>Analysis!A126</f>
        <v>7/1968</v>
      </c>
      <c r="B126" s="19">
        <f>Analysis!E126</f>
        <v>-0.13000000000000256</v>
      </c>
      <c r="C126" s="20">
        <f>Analysis!F126</f>
        <v>0.21119023804218459</v>
      </c>
      <c r="D126" s="19">
        <f t="shared" si="10"/>
        <v>-0.48</v>
      </c>
      <c r="E126" s="19">
        <f>Solar!D126</f>
        <v>1361.32</v>
      </c>
      <c r="F126" s="30">
        <v>0.44</v>
      </c>
      <c r="G126" s="20">
        <f t="shared" si="6"/>
        <v>-0.12074721705357228</v>
      </c>
      <c r="H126" s="20">
        <f t="shared" si="7"/>
        <v>-5.5983249979060609E-2</v>
      </c>
      <c r="I126" s="20">
        <f t="shared" si="8"/>
        <v>-7.4016750020941949E-2</v>
      </c>
      <c r="J126" s="20">
        <f t="shared" si="9"/>
        <v>-8.8221870453018728E-2</v>
      </c>
    </row>
    <row r="127" spans="1:10" ht="15" customHeight="1">
      <c r="A127" s="18" t="str">
        <f>Analysis!A127</f>
        <v>8/1968</v>
      </c>
      <c r="B127" s="19">
        <f>Analysis!E127</f>
        <v>-8.0000000000001847E-2</v>
      </c>
      <c r="C127" s="20">
        <f>Analysis!F127</f>
        <v>0.20212662313900553</v>
      </c>
      <c r="D127" s="19">
        <f t="shared" si="10"/>
        <v>-0.1</v>
      </c>
      <c r="E127" s="19">
        <f>Solar!D127</f>
        <v>1361.19</v>
      </c>
      <c r="F127" s="30">
        <v>0.38</v>
      </c>
      <c r="G127" s="20">
        <f t="shared" si="6"/>
        <v>-4.597117903758241E-2</v>
      </c>
      <c r="H127" s="20">
        <f t="shared" si="7"/>
        <v>-4.7804799879695548E-2</v>
      </c>
      <c r="I127" s="20">
        <f t="shared" si="8"/>
        <v>-3.21952001203063E-2</v>
      </c>
      <c r="J127" s="20">
        <f t="shared" si="9"/>
        <v>-7.1296223011046878E-2</v>
      </c>
    </row>
    <row r="128" spans="1:10" ht="15" customHeight="1">
      <c r="A128" s="18" t="str">
        <f>Analysis!A128</f>
        <v>9/1968</v>
      </c>
      <c r="B128" s="19">
        <f>Analysis!E128</f>
        <v>-0.18999999999999773</v>
      </c>
      <c r="C128" s="20">
        <f>Analysis!F128</f>
        <v>0.19413209059412975</v>
      </c>
      <c r="D128" s="19">
        <f t="shared" si="10"/>
        <v>0.17</v>
      </c>
      <c r="E128" s="19">
        <f>Solar!D128</f>
        <v>1361.33</v>
      </c>
      <c r="F128" s="30">
        <v>0.34</v>
      </c>
      <c r="G128" s="20">
        <f t="shared" si="6"/>
        <v>-0.13411755392576652</v>
      </c>
      <c r="H128" s="20">
        <f t="shared" si="7"/>
        <v>-4.6263953169729213E-2</v>
      </c>
      <c r="I128" s="20">
        <f t="shared" si="8"/>
        <v>-0.14373604683026853</v>
      </c>
      <c r="J128" s="20">
        <f t="shared" si="9"/>
        <v>-0.20479642088122116</v>
      </c>
    </row>
    <row r="129" spans="1:10" ht="15" customHeight="1">
      <c r="A129" s="18" t="str">
        <f>Analysis!A129</f>
        <v>10/1968</v>
      </c>
      <c r="B129" s="19">
        <f>Analysis!E129</f>
        <v>8.9999999999999858E-2</v>
      </c>
      <c r="C129" s="20">
        <f>Analysis!F129</f>
        <v>0.19377174339668018</v>
      </c>
      <c r="D129" s="19">
        <f t="shared" si="10"/>
        <v>0.44</v>
      </c>
      <c r="E129" s="19">
        <f>Solar!D129</f>
        <v>1361.27</v>
      </c>
      <c r="F129" s="30">
        <v>0.5</v>
      </c>
      <c r="G129" s="20">
        <f t="shared" si="6"/>
        <v>0.14686748084880363</v>
      </c>
      <c r="H129" s="20">
        <f t="shared" si="7"/>
        <v>-2.3753555591684836E-2</v>
      </c>
      <c r="I129" s="20">
        <f t="shared" si="8"/>
        <v>0.11375355559168469</v>
      </c>
      <c r="J129" s="20">
        <f t="shared" si="9"/>
        <v>5.170338124859801E-2</v>
      </c>
    </row>
    <row r="130" spans="1:10" ht="15" customHeight="1">
      <c r="A130" s="18" t="str">
        <f>Analysis!A130</f>
        <v>11/1968</v>
      </c>
      <c r="B130" s="19">
        <f>Analysis!E130</f>
        <v>-5.0000000000000711E-2</v>
      </c>
      <c r="C130" s="20">
        <f>Analysis!F130</f>
        <v>0.19858395445706917</v>
      </c>
      <c r="D130" s="19">
        <f t="shared" si="10"/>
        <v>0.38</v>
      </c>
      <c r="E130" s="19">
        <f>Solar!D130</f>
        <v>1361.4</v>
      </c>
      <c r="F130" s="30">
        <v>0.66</v>
      </c>
      <c r="G130" s="20">
        <f t="shared" ref="G130:G193" si="11">B130-($N$4+$N$5*C130)</f>
        <v>-6.2870414303090039E-3</v>
      </c>
      <c r="H130" s="20">
        <f t="shared" ref="H130:H193" si="12">IF(D130="","",$N$14+$N$15*C130+$N$16*D130)</f>
        <v>-1.5757659004562226E-2</v>
      </c>
      <c r="I130" s="20">
        <f t="shared" ref="I130:I193" si="13">IF(D130="","",B130-H130)</f>
        <v>-3.4242340995438485E-2</v>
      </c>
      <c r="J130" s="20">
        <f t="shared" ref="J130:J193" si="14">IF(D130="","",B130-$N$16*D130)</f>
        <v>-8.3074352558029585E-2</v>
      </c>
    </row>
    <row r="131" spans="1:10" ht="15" customHeight="1">
      <c r="A131" s="18" t="str">
        <f>Analysis!A131</f>
        <v>12/1968</v>
      </c>
      <c r="B131" s="19">
        <f>Analysis!E131</f>
        <v>-0.13999999999999879</v>
      </c>
      <c r="C131" s="20">
        <f>Analysis!F131</f>
        <v>0.20561593377604628</v>
      </c>
      <c r="D131" s="19">
        <f t="shared" si="10"/>
        <v>0.34</v>
      </c>
      <c r="E131" s="19">
        <f>Solar!D131</f>
        <v>1361.08</v>
      </c>
      <c r="F131" s="30">
        <v>0.93</v>
      </c>
      <c r="G131" s="20">
        <f t="shared" si="11"/>
        <v>-0.11550945862209627</v>
      </c>
      <c r="H131" s="20">
        <f t="shared" si="12"/>
        <v>7.6243871633817351E-5</v>
      </c>
      <c r="I131" s="20">
        <f t="shared" si="13"/>
        <v>-0.14007624387163262</v>
      </c>
      <c r="J131" s="20">
        <f t="shared" si="14"/>
        <v>-0.16959284176244568</v>
      </c>
    </row>
    <row r="132" spans="1:10" ht="15" customHeight="1">
      <c r="A132" s="18" t="str">
        <f>Analysis!A132</f>
        <v>1/1969</v>
      </c>
      <c r="B132" s="19">
        <f>Analysis!E132</f>
        <v>-0.10999999999999766</v>
      </c>
      <c r="C132" s="20">
        <f>Analysis!F132</f>
        <v>0.21056698593965839</v>
      </c>
      <c r="D132" s="19">
        <f t="shared" si="10"/>
        <v>0.5</v>
      </c>
      <c r="E132" s="19">
        <f>Solar!D132</f>
        <v>1361.27</v>
      </c>
      <c r="F132" s="30">
        <v>0.98</v>
      </c>
      <c r="G132" s="20">
        <f t="shared" si="11"/>
        <v>-9.9043512963015279E-2</v>
      </c>
      <c r="H132" s="20">
        <f t="shared" si="12"/>
        <v>2.7601818041295446E-2</v>
      </c>
      <c r="I132" s="20">
        <f t="shared" si="13"/>
        <v>-0.13760181804129309</v>
      </c>
      <c r="J132" s="20">
        <f t="shared" si="14"/>
        <v>-0.15351888494477248</v>
      </c>
    </row>
    <row r="133" spans="1:10" ht="15" customHeight="1">
      <c r="A133" s="18" t="str">
        <f>Analysis!A133</f>
        <v>2/1969</v>
      </c>
      <c r="B133" s="19">
        <f>Analysis!E133</f>
        <v>-0.17999999999999794</v>
      </c>
      <c r="C133" s="20">
        <f>Analysis!F133</f>
        <v>0.21239146441962328</v>
      </c>
      <c r="D133" s="19">
        <f t="shared" ref="D133:D196" si="15">IF(F130="","",F130)</f>
        <v>0.66</v>
      </c>
      <c r="E133" s="19">
        <f>Solar!D133</f>
        <v>1361.47</v>
      </c>
      <c r="F133" s="30">
        <v>0.98</v>
      </c>
      <c r="G133" s="20">
        <f t="shared" si="11"/>
        <v>-0.17403085506237037</v>
      </c>
      <c r="H133" s="20">
        <f t="shared" si="12"/>
        <v>4.6539331675573559E-2</v>
      </c>
      <c r="I133" s="20">
        <f t="shared" si="13"/>
        <v>-0.2265393316755715</v>
      </c>
      <c r="J133" s="20">
        <f t="shared" si="14"/>
        <v>-0.23744492812710072</v>
      </c>
    </row>
    <row r="134" spans="1:10" ht="15" customHeight="1">
      <c r="A134" s="18" t="str">
        <f>Analysis!A134</f>
        <v>3/1969</v>
      </c>
      <c r="B134" s="19">
        <f>Analysis!E134</f>
        <v>1.0000000000001563E-2</v>
      </c>
      <c r="C134" s="20">
        <f>Analysis!F134</f>
        <v>0.21780679275778927</v>
      </c>
      <c r="D134" s="19">
        <f t="shared" si="15"/>
        <v>0.93</v>
      </c>
      <c r="E134" s="19">
        <f>Solar!D134</f>
        <v>1361.33</v>
      </c>
      <c r="F134" s="30">
        <v>0.77</v>
      </c>
      <c r="G134" s="20">
        <f t="shared" si="11"/>
        <v>1.1659585480128243E-3</v>
      </c>
      <c r="H134" s="20">
        <f t="shared" si="12"/>
        <v>8.4914332538687048E-2</v>
      </c>
      <c r="I134" s="20">
        <f t="shared" si="13"/>
        <v>-7.4914332538685485E-2</v>
      </c>
      <c r="J134" s="20">
        <f t="shared" si="14"/>
        <v>-7.0945125997279618E-2</v>
      </c>
    </row>
    <row r="135" spans="1:10" ht="15" customHeight="1">
      <c r="A135" s="18" t="str">
        <f>Analysis!A135</f>
        <v>4/1969</v>
      </c>
      <c r="B135" s="19">
        <f>Analysis!E135</f>
        <v>0.16999999999999993</v>
      </c>
      <c r="C135" s="20">
        <f>Analysis!F135</f>
        <v>0.22236297828007129</v>
      </c>
      <c r="D135" s="19">
        <f t="shared" si="15"/>
        <v>0.98</v>
      </c>
      <c r="E135" s="19">
        <f>Solar!D135</f>
        <v>1361.38</v>
      </c>
      <c r="F135" s="30">
        <v>0.69</v>
      </c>
      <c r="G135" s="20">
        <f t="shared" si="11"/>
        <v>0.14871130034443236</v>
      </c>
      <c r="H135" s="20">
        <f t="shared" si="12"/>
        <v>0.1017811338530509</v>
      </c>
      <c r="I135" s="20">
        <f t="shared" si="13"/>
        <v>6.8218866146949025E-2</v>
      </c>
      <c r="J135" s="20">
        <f t="shared" si="14"/>
        <v>8.4702985508241263E-2</v>
      </c>
    </row>
    <row r="136" spans="1:10" ht="15" customHeight="1">
      <c r="A136" s="18" t="str">
        <f>Analysis!A136</f>
        <v>5/1969</v>
      </c>
      <c r="B136" s="19">
        <f>Analysis!E136</f>
        <v>0.17999999999999972</v>
      </c>
      <c r="C136" s="20">
        <f>Analysis!F136</f>
        <v>0.22553936152588727</v>
      </c>
      <c r="D136" s="19">
        <f t="shared" si="15"/>
        <v>0.98</v>
      </c>
      <c r="E136" s="19">
        <f>Solar!D136</f>
        <v>1361.6</v>
      </c>
      <c r="F136" s="30">
        <v>0.62</v>
      </c>
      <c r="G136" s="20">
        <f t="shared" si="11"/>
        <v>0.15002843011082545</v>
      </c>
      <c r="H136" s="20">
        <f t="shared" si="12"/>
        <v>0.11050601110168948</v>
      </c>
      <c r="I136" s="20">
        <f t="shared" si="13"/>
        <v>6.9493988898310238E-2</v>
      </c>
      <c r="J136" s="20">
        <f t="shared" si="14"/>
        <v>9.470298550824105E-2</v>
      </c>
    </row>
    <row r="137" spans="1:10" ht="15" customHeight="1">
      <c r="A137" s="18" t="str">
        <f>Analysis!A137</f>
        <v>6/1969</v>
      </c>
      <c r="B137" s="19">
        <f>Analysis!E137</f>
        <v>2.9999999999997584E-2</v>
      </c>
      <c r="C137" s="20">
        <f>Analysis!F137</f>
        <v>0.22258378655772451</v>
      </c>
      <c r="D137" s="19">
        <f t="shared" si="15"/>
        <v>0.77</v>
      </c>
      <c r="E137" s="19">
        <f>Solar!D137</f>
        <v>1361.16</v>
      </c>
      <c r="F137" s="30">
        <v>0.48</v>
      </c>
      <c r="G137" s="20">
        <f t="shared" si="11"/>
        <v>8.1077051630568109E-3</v>
      </c>
      <c r="H137" s="20">
        <f t="shared" si="12"/>
        <v>8.4109717501669581E-2</v>
      </c>
      <c r="I137" s="20">
        <f t="shared" si="13"/>
        <v>-5.4109717501671997E-2</v>
      </c>
      <c r="J137" s="20">
        <f t="shared" si="14"/>
        <v>-3.7019082814955653E-2</v>
      </c>
    </row>
    <row r="138" spans="1:10" ht="15" customHeight="1">
      <c r="A138" s="18" t="str">
        <f>Analysis!A138</f>
        <v>7/1969</v>
      </c>
      <c r="B138" s="19">
        <f>Analysis!E138</f>
        <v>-3.9999999999999147E-2</v>
      </c>
      <c r="C138" s="20">
        <f>Analysis!F138</f>
        <v>0.21891398613294744</v>
      </c>
      <c r="D138" s="19">
        <f t="shared" si="15"/>
        <v>0.69</v>
      </c>
      <c r="E138" s="19">
        <f>Solar!D138</f>
        <v>1361.54</v>
      </c>
      <c r="F138" s="30">
        <v>0.37</v>
      </c>
      <c r="G138" s="20">
        <f t="shared" si="11"/>
        <v>-5.1860633539913881E-2</v>
      </c>
      <c r="H138" s="20">
        <f t="shared" si="12"/>
        <v>6.706650225775368E-2</v>
      </c>
      <c r="I138" s="20">
        <f t="shared" si="13"/>
        <v>-0.10706650225775283</v>
      </c>
      <c r="J138" s="20">
        <f t="shared" si="14"/>
        <v>-0.10005606122378841</v>
      </c>
    </row>
    <row r="139" spans="1:10" ht="15" customHeight="1">
      <c r="A139" s="18" t="str">
        <f>Analysis!A139</f>
        <v>8/1969</v>
      </c>
      <c r="B139" s="19">
        <f>Analysis!E139</f>
        <v>3.9999999999999147E-2</v>
      </c>
      <c r="C139" s="20">
        <f>Analysis!F139</f>
        <v>0.20905225179222678</v>
      </c>
      <c r="D139" s="19">
        <f t="shared" si="15"/>
        <v>0.62</v>
      </c>
      <c r="E139" s="19">
        <f>Solar!D139</f>
        <v>1361.3</v>
      </c>
      <c r="F139" s="30">
        <v>0.41</v>
      </c>
      <c r="G139" s="20">
        <f t="shared" si="11"/>
        <v>5.5097120903466634E-2</v>
      </c>
      <c r="H139" s="20">
        <f t="shared" si="12"/>
        <v>3.3885684514043078E-2</v>
      </c>
      <c r="I139" s="20">
        <f t="shared" si="13"/>
        <v>6.1143154859560692E-3</v>
      </c>
      <c r="J139" s="20">
        <f t="shared" si="14"/>
        <v>-1.3963417331521642E-2</v>
      </c>
    </row>
    <row r="140" spans="1:10" ht="15" customHeight="1">
      <c r="A140" s="18" t="str">
        <f>Analysis!A140</f>
        <v>9/1969</v>
      </c>
      <c r="B140" s="19">
        <f>Analysis!E140</f>
        <v>8.0000000000000071E-2</v>
      </c>
      <c r="C140" s="20">
        <f>Analysis!F140</f>
        <v>0.20333541670858227</v>
      </c>
      <c r="D140" s="19">
        <f t="shared" si="15"/>
        <v>0.48</v>
      </c>
      <c r="E140" s="19">
        <f>Solar!D140</f>
        <v>1361.6</v>
      </c>
      <c r="F140" s="30">
        <v>0.61</v>
      </c>
      <c r="G140" s="20">
        <f t="shared" si="11"/>
        <v>0.11072449749399726</v>
      </c>
      <c r="H140" s="20">
        <f t="shared" si="12"/>
        <v>5.9974161709697577E-3</v>
      </c>
      <c r="I140" s="20">
        <f t="shared" si="13"/>
        <v>7.4002583829030313E-2</v>
      </c>
      <c r="J140" s="20">
        <f t="shared" si="14"/>
        <v>3.8221870453016241E-2</v>
      </c>
    </row>
    <row r="141" spans="1:10" ht="15" customHeight="1">
      <c r="A141" s="18" t="str">
        <f>Analysis!A141</f>
        <v>10/1969</v>
      </c>
      <c r="B141" s="19">
        <f>Analysis!E141</f>
        <v>8.9999999999999858E-2</v>
      </c>
      <c r="C141" s="20">
        <f>Analysis!F141</f>
        <v>0.20064783202506462</v>
      </c>
      <c r="D141" s="19">
        <f t="shared" si="15"/>
        <v>0.37</v>
      </c>
      <c r="E141" s="19">
        <f>Solar!D141</f>
        <v>1361.28</v>
      </c>
      <c r="F141" s="30">
        <v>0.71</v>
      </c>
      <c r="G141" s="20">
        <f t="shared" si="11"/>
        <v>0.12807120198236499</v>
      </c>
      <c r="H141" s="20">
        <f t="shared" si="12"/>
        <v>-1.0958985759841694E-2</v>
      </c>
      <c r="I141" s="20">
        <f t="shared" si="13"/>
        <v>0.10095898575984155</v>
      </c>
      <c r="J141" s="20">
        <f t="shared" si="14"/>
        <v>5.7796025140866486E-2</v>
      </c>
    </row>
    <row r="142" spans="1:10" ht="15" customHeight="1">
      <c r="A142" s="18" t="str">
        <f>Analysis!A142</f>
        <v>11/1969</v>
      </c>
      <c r="B142" s="19">
        <f>Analysis!E142</f>
        <v>0.11999999999999744</v>
      </c>
      <c r="C142" s="20">
        <f>Analysis!F142</f>
        <v>0.2054371999150208</v>
      </c>
      <c r="D142" s="19">
        <f t="shared" si="15"/>
        <v>0.41</v>
      </c>
      <c r="E142" s="19">
        <f>Solar!D142</f>
        <v>1361.17</v>
      </c>
      <c r="F142" s="30">
        <v>0.81</v>
      </c>
      <c r="G142" s="20">
        <f t="shared" si="11"/>
        <v>0.1449791231394616</v>
      </c>
      <c r="H142" s="20">
        <f t="shared" si="12"/>
        <v>5.6779422837947569E-3</v>
      </c>
      <c r="I142" s="20">
        <f t="shared" si="13"/>
        <v>0.11432205771620269</v>
      </c>
      <c r="J142" s="20">
        <f t="shared" si="14"/>
        <v>8.4314514345282088E-2</v>
      </c>
    </row>
    <row r="143" spans="1:10" ht="15" customHeight="1">
      <c r="A143" s="18" t="str">
        <f>Analysis!A143</f>
        <v>12/1969</v>
      </c>
      <c r="B143" s="19">
        <f>Analysis!E143</f>
        <v>0.24000000000000199</v>
      </c>
      <c r="C143" s="20">
        <f>Analysis!F143</f>
        <v>0.21105670668466028</v>
      </c>
      <c r="D143" s="19">
        <f t="shared" si="15"/>
        <v>0.61</v>
      </c>
      <c r="E143" s="19">
        <f>Solar!D143</f>
        <v>1361.42</v>
      </c>
      <c r="F143" s="30">
        <v>0.71</v>
      </c>
      <c r="G143" s="20">
        <f t="shared" si="11"/>
        <v>0.24961780043952864</v>
      </c>
      <c r="H143" s="20">
        <f t="shared" si="12"/>
        <v>3.8521135782716813E-2</v>
      </c>
      <c r="I143" s="20">
        <f t="shared" si="13"/>
        <v>0.20147886421728517</v>
      </c>
      <c r="J143" s="20">
        <f t="shared" si="14"/>
        <v>0.1869069603673767</v>
      </c>
    </row>
    <row r="144" spans="1:10" ht="15" customHeight="1">
      <c r="A144" s="18" t="str">
        <f>Analysis!A144</f>
        <v>1/1970</v>
      </c>
      <c r="B144" s="19">
        <f>Analysis!E144</f>
        <v>8.0000000000000071E-2</v>
      </c>
      <c r="C144" s="20">
        <f>Analysis!F144</f>
        <v>0.21527921008816014</v>
      </c>
      <c r="D144" s="19">
        <f t="shared" si="15"/>
        <v>0.71</v>
      </c>
      <c r="E144" s="19">
        <f>Solar!D144</f>
        <v>1361.36</v>
      </c>
      <c r="F144" s="30">
        <v>0.46</v>
      </c>
      <c r="G144" s="20">
        <f t="shared" si="11"/>
        <v>7.807528611546144E-2</v>
      </c>
      <c r="H144" s="20">
        <f t="shared" si="12"/>
        <v>5.882326883466342E-2</v>
      </c>
      <c r="I144" s="20">
        <f t="shared" si="13"/>
        <v>2.1176731165336651E-2</v>
      </c>
      <c r="J144" s="20">
        <f t="shared" si="14"/>
        <v>1.8203183378419821E-2</v>
      </c>
    </row>
    <row r="145" spans="1:10" ht="15" customHeight="1">
      <c r="A145" s="18" t="str">
        <f>Analysis!A145</f>
        <v>2/1970</v>
      </c>
      <c r="B145" s="19">
        <f>Analysis!E145</f>
        <v>0.22000000000000242</v>
      </c>
      <c r="C145" s="20">
        <f>Analysis!F145</f>
        <v>0.21940088215824097</v>
      </c>
      <c r="D145" s="19">
        <f t="shared" si="15"/>
        <v>0.81</v>
      </c>
      <c r="E145" s="19">
        <f>Solar!D145</f>
        <v>1361.09</v>
      </c>
      <c r="F145" s="30">
        <v>0.23</v>
      </c>
      <c r="G145" s="20">
        <f t="shared" si="11"/>
        <v>0.20680840143549517</v>
      </c>
      <c r="H145" s="20">
        <f t="shared" si="12"/>
        <v>7.8848438768870321E-2</v>
      </c>
      <c r="I145" s="20">
        <f t="shared" si="13"/>
        <v>0.14115156123113209</v>
      </c>
      <c r="J145" s="20">
        <f t="shared" si="14"/>
        <v>0.14949940638946718</v>
      </c>
    </row>
    <row r="146" spans="1:10" ht="15" customHeight="1">
      <c r="A146" s="18" t="str">
        <f>Analysis!A146</f>
        <v>3/1970</v>
      </c>
      <c r="B146" s="19">
        <f>Analysis!E146</f>
        <v>5.9999999999998721E-2</v>
      </c>
      <c r="C146" s="20">
        <f>Analysis!F146</f>
        <v>0.22355494169199039</v>
      </c>
      <c r="D146" s="19">
        <f t="shared" si="15"/>
        <v>0.71</v>
      </c>
      <c r="E146" s="19">
        <f>Solar!D146</f>
        <v>1361.64</v>
      </c>
      <c r="F146" s="30">
        <v>0.23</v>
      </c>
      <c r="G146" s="20">
        <f t="shared" si="11"/>
        <v>3.5452983312777797E-2</v>
      </c>
      <c r="H146" s="20">
        <f t="shared" si="12"/>
        <v>8.1555016485457085E-2</v>
      </c>
      <c r="I146" s="20">
        <f t="shared" si="13"/>
        <v>-2.1555016485458364E-2</v>
      </c>
      <c r="J146" s="20">
        <f t="shared" si="14"/>
        <v>-1.796816621581529E-3</v>
      </c>
    </row>
    <row r="147" spans="1:10" ht="15" customHeight="1">
      <c r="A147" s="18" t="str">
        <f>Analysis!A147</f>
        <v>4/1970</v>
      </c>
      <c r="B147" s="19">
        <f>Analysis!E147</f>
        <v>5.0000000000004263E-2</v>
      </c>
      <c r="C147" s="20">
        <f>Analysis!F147</f>
        <v>0.22884067425281851</v>
      </c>
      <c r="D147" s="19">
        <f t="shared" si="15"/>
        <v>0.46</v>
      </c>
      <c r="E147" s="19">
        <f>Solar!D147</f>
        <v>1361.35</v>
      </c>
      <c r="F147" s="30">
        <v>0.28000000000000003</v>
      </c>
      <c r="G147" s="20">
        <f t="shared" si="11"/>
        <v>1.1004056227024717E-2</v>
      </c>
      <c r="H147" s="20">
        <f t="shared" si="12"/>
        <v>7.4314403824650044E-2</v>
      </c>
      <c r="I147" s="20">
        <f t="shared" si="13"/>
        <v>-2.4314403824645781E-2</v>
      </c>
      <c r="J147" s="20">
        <f t="shared" si="14"/>
        <v>9.9626258508114171E-3</v>
      </c>
    </row>
    <row r="148" spans="1:10" ht="15" customHeight="1">
      <c r="A148" s="18" t="str">
        <f>Analysis!A148</f>
        <v>5/1970</v>
      </c>
      <c r="B148" s="19">
        <f>Analysis!E148</f>
        <v>-2.9999999999999361E-2</v>
      </c>
      <c r="C148" s="20">
        <f>Analysis!F148</f>
        <v>0.22862082160752503</v>
      </c>
      <c r="D148" s="19">
        <f t="shared" si="15"/>
        <v>0.23</v>
      </c>
      <c r="E148" s="19">
        <f>Solar!D148</f>
        <v>1361.24</v>
      </c>
      <c r="F148" s="30">
        <v>0.11</v>
      </c>
      <c r="G148" s="20">
        <f t="shared" si="11"/>
        <v>-6.8394960880844291E-2</v>
      </c>
      <c r="H148" s="20">
        <f t="shared" si="12"/>
        <v>5.3691826351909611E-2</v>
      </c>
      <c r="I148" s="20">
        <f t="shared" si="13"/>
        <v>-8.3691826351908971E-2</v>
      </c>
      <c r="J148" s="20">
        <f t="shared" si="14"/>
        <v>-5.001868707459578E-2</v>
      </c>
    </row>
    <row r="149" spans="1:10" ht="15" customHeight="1">
      <c r="A149" s="18" t="str">
        <f>Analysis!A149</f>
        <v>6/1970</v>
      </c>
      <c r="B149" s="19">
        <f>Analysis!E149</f>
        <v>-1.9999999999999574E-2</v>
      </c>
      <c r="C149" s="20">
        <f>Analysis!F149</f>
        <v>0.22681676504986711</v>
      </c>
      <c r="D149" s="19">
        <f t="shared" si="15"/>
        <v>0.23</v>
      </c>
      <c r="E149" s="19">
        <f>Solar!D149</f>
        <v>1361.54</v>
      </c>
      <c r="F149" s="30">
        <v>-0.26</v>
      </c>
      <c r="G149" s="20">
        <f t="shared" si="11"/>
        <v>-5.3463443563195767E-2</v>
      </c>
      <c r="H149" s="20">
        <f t="shared" si="12"/>
        <v>4.8736450757386973E-2</v>
      </c>
      <c r="I149" s="20">
        <f t="shared" si="13"/>
        <v>-6.8736450757386547E-2</v>
      </c>
      <c r="J149" s="20">
        <f t="shared" si="14"/>
        <v>-4.0018687074595993E-2</v>
      </c>
    </row>
    <row r="150" spans="1:10" ht="15" customHeight="1">
      <c r="A150" s="18" t="str">
        <f>Analysis!A150</f>
        <v>7/1970</v>
      </c>
      <c r="B150" s="19">
        <f>Analysis!E150</f>
        <v>2.0000000000003126E-2</v>
      </c>
      <c r="C150" s="20">
        <f>Analysis!F150</f>
        <v>0.2209490044667792</v>
      </c>
      <c r="D150" s="19">
        <f t="shared" si="15"/>
        <v>0.28000000000000003</v>
      </c>
      <c r="E150" s="19">
        <f>Solar!D150</f>
        <v>1361.33</v>
      </c>
      <c r="F150" s="30">
        <v>-0.55000000000000004</v>
      </c>
      <c r="G150" s="20">
        <f t="shared" si="11"/>
        <v>2.5764986484202446E-3</v>
      </c>
      <c r="H150" s="20">
        <f t="shared" si="12"/>
        <v>3.6970797113560494E-2</v>
      </c>
      <c r="I150" s="20">
        <f t="shared" si="13"/>
        <v>-1.6970797113557368E-2</v>
      </c>
      <c r="J150" s="20">
        <f t="shared" si="14"/>
        <v>-4.3705755690707816E-3</v>
      </c>
    </row>
    <row r="151" spans="1:10" ht="15" customHeight="1">
      <c r="A151" s="18" t="str">
        <f>Analysis!A151</f>
        <v>8/1970</v>
      </c>
      <c r="B151" s="19">
        <f>Analysis!E151</f>
        <v>-0.10000000000000142</v>
      </c>
      <c r="C151" s="20">
        <f>Analysis!F151</f>
        <v>0.21359169145595572</v>
      </c>
      <c r="D151" s="19">
        <f t="shared" si="15"/>
        <v>0.11</v>
      </c>
      <c r="E151" s="19">
        <f>Solar!D151</f>
        <v>1361.3</v>
      </c>
      <c r="F151" s="30">
        <v>-0.72</v>
      </c>
      <c r="G151" s="20">
        <f t="shared" si="11"/>
        <v>-9.7311761300960864E-2</v>
      </c>
      <c r="H151" s="20">
        <f t="shared" si="12"/>
        <v>1.9653372305725343E-3</v>
      </c>
      <c r="I151" s="20">
        <f t="shared" si="13"/>
        <v>-0.10196533723057395</v>
      </c>
      <c r="J151" s="20">
        <f t="shared" si="14"/>
        <v>-0.10957415468785188</v>
      </c>
    </row>
    <row r="152" spans="1:10" ht="15" customHeight="1">
      <c r="A152" s="18" t="str">
        <f>Analysis!A152</f>
        <v>9/1970</v>
      </c>
      <c r="B152" s="19">
        <f>Analysis!E152</f>
        <v>0.11999999999999744</v>
      </c>
      <c r="C152" s="20">
        <f>Analysis!F152</f>
        <v>0.20655392343303489</v>
      </c>
      <c r="D152" s="19">
        <f t="shared" si="15"/>
        <v>-0.26</v>
      </c>
      <c r="E152" s="19">
        <f>Solar!D152</f>
        <v>1361.34</v>
      </c>
      <c r="F152" s="30">
        <v>-0.69</v>
      </c>
      <c r="G152" s="20">
        <f t="shared" si="11"/>
        <v>0.14192647972607453</v>
      </c>
      <c r="H152" s="20">
        <f t="shared" si="12"/>
        <v>-4.9569951690005012E-2</v>
      </c>
      <c r="I152" s="20">
        <f t="shared" si="13"/>
        <v>0.16956995169000244</v>
      </c>
      <c r="J152" s="20">
        <f t="shared" si="14"/>
        <v>0.14262982017128034</v>
      </c>
    </row>
    <row r="153" spans="1:10" ht="15" customHeight="1">
      <c r="A153" s="18" t="str">
        <f>Analysis!A153</f>
        <v>10/1970</v>
      </c>
      <c r="B153" s="19">
        <f>Analysis!E153</f>
        <v>2.9999999999997584E-2</v>
      </c>
      <c r="C153" s="20">
        <f>Analysis!F153</f>
        <v>0.20637530574791263</v>
      </c>
      <c r="D153" s="19">
        <f t="shared" si="15"/>
        <v>-0.55000000000000004</v>
      </c>
      <c r="E153" s="19">
        <f>Solar!D153</f>
        <v>1361.39</v>
      </c>
      <c r="F153" s="30">
        <v>-0.72</v>
      </c>
      <c r="G153" s="20">
        <f t="shared" si="11"/>
        <v>5.2414743912515882E-2</v>
      </c>
      <c r="H153" s="20">
        <f t="shared" si="12"/>
        <v>-7.5301531326558951E-2</v>
      </c>
      <c r="I153" s="20">
        <f t="shared" si="13"/>
        <v>0.10530153132655654</v>
      </c>
      <c r="J153" s="20">
        <f t="shared" si="14"/>
        <v>7.7870773439249891E-2</v>
      </c>
    </row>
    <row r="154" spans="1:10" ht="15" customHeight="1">
      <c r="A154" s="18" t="str">
        <f>Analysis!A154</f>
        <v>11/1970</v>
      </c>
      <c r="B154" s="19">
        <f>Analysis!E154</f>
        <v>2.0000000000003126E-2</v>
      </c>
      <c r="C154" s="20">
        <f>Analysis!F154</f>
        <v>0.21061151287723645</v>
      </c>
      <c r="D154" s="19">
        <f t="shared" si="15"/>
        <v>-0.72</v>
      </c>
      <c r="E154" s="19">
        <f>Solar!D154</f>
        <v>1361.37</v>
      </c>
      <c r="F154" s="30">
        <v>-0.78</v>
      </c>
      <c r="G154" s="20">
        <f t="shared" si="11"/>
        <v>3.0834769476171808E-2</v>
      </c>
      <c r="H154" s="20">
        <f t="shared" si="12"/>
        <v>-7.8461954803551351E-2</v>
      </c>
      <c r="I154" s="20">
        <f t="shared" si="13"/>
        <v>9.8461954803554477E-2</v>
      </c>
      <c r="J154" s="20">
        <f t="shared" si="14"/>
        <v>8.2667194320478879E-2</v>
      </c>
    </row>
    <row r="155" spans="1:10" ht="15" customHeight="1">
      <c r="A155" s="18" t="str">
        <f>Analysis!A155</f>
        <v>12/1970</v>
      </c>
      <c r="B155" s="19">
        <f>Analysis!E155</f>
        <v>-0.11999999999999744</v>
      </c>
      <c r="C155" s="20">
        <f>Analysis!F155</f>
        <v>0.21558985360237096</v>
      </c>
      <c r="D155" s="19">
        <f t="shared" si="15"/>
        <v>-0.69</v>
      </c>
      <c r="E155" s="19">
        <f>Solar!D155</f>
        <v>1361.54</v>
      </c>
      <c r="F155" s="30">
        <v>-1.1000000000000001</v>
      </c>
      <c r="G155" s="20">
        <f t="shared" si="11"/>
        <v>-0.12277388009467682</v>
      </c>
      <c r="H155" s="20">
        <f t="shared" si="12"/>
        <v>-6.2176334603990413E-2</v>
      </c>
      <c r="I155" s="20">
        <f t="shared" si="13"/>
        <v>-5.7823665396007029E-2</v>
      </c>
      <c r="J155" s="20">
        <f t="shared" si="14"/>
        <v>-5.9943938776208183E-2</v>
      </c>
    </row>
    <row r="156" spans="1:10" ht="15" customHeight="1">
      <c r="A156" s="18" t="str">
        <f>Analysis!A156</f>
        <v>1/1971</v>
      </c>
      <c r="B156" s="19">
        <f>Analysis!E156</f>
        <v>-1.9999999999999574E-2</v>
      </c>
      <c r="C156" s="20">
        <f>Analysis!F156</f>
        <v>0.22019726683057364</v>
      </c>
      <c r="D156" s="19">
        <f t="shared" si="15"/>
        <v>-0.72</v>
      </c>
      <c r="E156" s="19">
        <f>Solar!D156</f>
        <v>1361.07</v>
      </c>
      <c r="F156" s="30">
        <v>-1.29</v>
      </c>
      <c r="G156" s="20">
        <f t="shared" si="11"/>
        <v>-3.5368572887427896E-2</v>
      </c>
      <c r="H156" s="20">
        <f t="shared" si="12"/>
        <v>-5.2131842815747356E-2</v>
      </c>
      <c r="I156" s="20">
        <f t="shared" si="13"/>
        <v>3.2131842815747783E-2</v>
      </c>
      <c r="J156" s="20">
        <f t="shared" si="14"/>
        <v>4.2667194320476179E-2</v>
      </c>
    </row>
    <row r="157" spans="1:10" ht="15" customHeight="1">
      <c r="A157" s="18" t="str">
        <f>Analysis!A157</f>
        <v>2/1971</v>
      </c>
      <c r="B157" s="19">
        <f>Analysis!E157</f>
        <v>-0.14999999999999858</v>
      </c>
      <c r="C157" s="20">
        <f>Analysis!F157</f>
        <v>0.22249546730205641</v>
      </c>
      <c r="D157" s="19">
        <f t="shared" si="15"/>
        <v>-0.78</v>
      </c>
      <c r="E157" s="19">
        <f>Solar!D157</f>
        <v>1361.08</v>
      </c>
      <c r="F157" s="30">
        <v>-1.36</v>
      </c>
      <c r="G157" s="20">
        <f t="shared" si="11"/>
        <v>-0.17165086785009676</v>
      </c>
      <c r="H157" s="20">
        <f t="shared" si="12"/>
        <v>-5.1041420817963631E-2</v>
      </c>
      <c r="I157" s="20">
        <f t="shared" si="13"/>
        <v>-9.8958579182034948E-2</v>
      </c>
      <c r="J157" s="20">
        <f t="shared" si="14"/>
        <v>-8.2110539486149839E-2</v>
      </c>
    </row>
    <row r="158" spans="1:10" ht="15" customHeight="1">
      <c r="A158" s="18" t="str">
        <f>Analysis!A158</f>
        <v>3/1971</v>
      </c>
      <c r="B158" s="19">
        <f>Analysis!E158</f>
        <v>-0.17999999999999794</v>
      </c>
      <c r="C158" s="20">
        <f>Analysis!F158</f>
        <v>0.22465773412073844</v>
      </c>
      <c r="D158" s="19">
        <f t="shared" si="15"/>
        <v>-1.1000000000000001</v>
      </c>
      <c r="E158" s="19">
        <f>Solar!D158</f>
        <v>1361.33</v>
      </c>
      <c r="F158" s="30">
        <v>-1.08</v>
      </c>
      <c r="G158" s="20">
        <f t="shared" si="11"/>
        <v>-0.20756157847413059</v>
      </c>
      <c r="H158" s="20">
        <f t="shared" si="12"/>
        <v>-7.2954201024694479E-2</v>
      </c>
      <c r="I158" s="20">
        <f t="shared" si="13"/>
        <v>-0.10704579897530346</v>
      </c>
      <c r="J158" s="20">
        <f t="shared" si="14"/>
        <v>-8.4258453121493312E-2</v>
      </c>
    </row>
    <row r="159" spans="1:10" ht="15" customHeight="1">
      <c r="A159" s="18" t="str">
        <f>Analysis!A159</f>
        <v>4/1971</v>
      </c>
      <c r="B159" s="19">
        <f>Analysis!E159</f>
        <v>-7.0000000000000284E-2</v>
      </c>
      <c r="C159" s="20">
        <f>Analysis!F159</f>
        <v>0.22730100169945941</v>
      </c>
      <c r="D159" s="19">
        <f t="shared" si="15"/>
        <v>-1.29</v>
      </c>
      <c r="E159" s="19">
        <f>Solar!D159</f>
        <v>1361.09</v>
      </c>
      <c r="F159" s="30">
        <v>-0.81</v>
      </c>
      <c r="G159" s="20">
        <f t="shared" si="11"/>
        <v>-0.10478713899456626</v>
      </c>
      <c r="H159" s="20">
        <f t="shared" si="12"/>
        <v>-8.2230860113277057E-2</v>
      </c>
      <c r="I159" s="20">
        <f t="shared" si="13"/>
        <v>1.2230860113276773E-2</v>
      </c>
      <c r="J159" s="20">
        <f t="shared" si="14"/>
        <v>4.227872315751878E-2</v>
      </c>
    </row>
    <row r="160" spans="1:10" ht="15" customHeight="1">
      <c r="A160" s="18" t="str">
        <f>Analysis!A160</f>
        <v>5/1971</v>
      </c>
      <c r="B160" s="19">
        <f>Analysis!E160</f>
        <v>-5.0000000000000711E-2</v>
      </c>
      <c r="C160" s="20">
        <f>Analysis!F160</f>
        <v>0.23235376773902855</v>
      </c>
      <c r="D160" s="19">
        <f t="shared" si="15"/>
        <v>-1.36</v>
      </c>
      <c r="E160" s="19">
        <f>Solar!D160</f>
        <v>1361.07</v>
      </c>
      <c r="F160" s="30">
        <v>-0.72</v>
      </c>
      <c r="G160" s="20">
        <f t="shared" si="11"/>
        <v>-9.8599235472579538E-2</v>
      </c>
      <c r="H160" s="20">
        <f t="shared" si="12"/>
        <v>-7.4444585736032493E-2</v>
      </c>
      <c r="I160" s="20">
        <f t="shared" si="13"/>
        <v>2.4444585736031782E-2</v>
      </c>
      <c r="J160" s="20">
        <f t="shared" si="14"/>
        <v>6.837136704978683E-2</v>
      </c>
    </row>
    <row r="161" spans="1:10" ht="15" customHeight="1">
      <c r="A161" s="18" t="str">
        <f>Analysis!A161</f>
        <v>6/1971</v>
      </c>
      <c r="B161" s="19">
        <f>Analysis!E161</f>
        <v>-0.16000000000000014</v>
      </c>
      <c r="C161" s="20">
        <f>Analysis!F161</f>
        <v>0.23077393422839654</v>
      </c>
      <c r="D161" s="19">
        <f t="shared" si="15"/>
        <v>-1.08</v>
      </c>
      <c r="E161" s="19">
        <f>Solar!D161</f>
        <v>1361.14</v>
      </c>
      <c r="F161" s="30">
        <v>-0.69</v>
      </c>
      <c r="G161" s="20">
        <f t="shared" si="11"/>
        <v>-0.20428064785202338</v>
      </c>
      <c r="H161" s="20">
        <f t="shared" si="12"/>
        <v>-5.4413490760714583E-2</v>
      </c>
      <c r="I161" s="20">
        <f t="shared" si="13"/>
        <v>-0.10558650923928556</v>
      </c>
      <c r="J161" s="20">
        <f t="shared" si="14"/>
        <v>-6.5999208519286506E-2</v>
      </c>
    </row>
    <row r="162" spans="1:10" ht="15" customHeight="1">
      <c r="A162" s="18" t="str">
        <f>Analysis!A162</f>
        <v>7/1971</v>
      </c>
      <c r="B162" s="19">
        <f>Analysis!E162</f>
        <v>-7.0000000000000284E-2</v>
      </c>
      <c r="C162" s="20">
        <f>Analysis!F162</f>
        <v>0.22545122302563764</v>
      </c>
      <c r="D162" s="19">
        <f t="shared" si="15"/>
        <v>-0.81</v>
      </c>
      <c r="E162" s="19">
        <f>Solar!D162</f>
        <v>1360.92</v>
      </c>
      <c r="F162" s="30">
        <v>-0.68</v>
      </c>
      <c r="G162" s="20">
        <f t="shared" si="11"/>
        <v>-9.9730637010165046E-2</v>
      </c>
      <c r="H162" s="20">
        <f t="shared" si="12"/>
        <v>-4.5533695493149395E-2</v>
      </c>
      <c r="I162" s="20">
        <f t="shared" si="13"/>
        <v>-2.4466304506850889E-2</v>
      </c>
      <c r="J162" s="20">
        <f t="shared" si="14"/>
        <v>5.0059361053494955E-4</v>
      </c>
    </row>
    <row r="163" spans="1:10" ht="15" customHeight="1">
      <c r="A163" s="18" t="str">
        <f>Analysis!A163</f>
        <v>8/1971</v>
      </c>
      <c r="B163" s="19">
        <f>Analysis!E163</f>
        <v>-9.9999999999980105E-3</v>
      </c>
      <c r="C163" s="20">
        <f>Analysis!F163</f>
        <v>0.21692042585687715</v>
      </c>
      <c r="D163" s="19">
        <f t="shared" si="15"/>
        <v>-0.72</v>
      </c>
      <c r="E163" s="19">
        <f>Solar!D163</f>
        <v>1360.89</v>
      </c>
      <c r="F163" s="30">
        <v>-0.6</v>
      </c>
      <c r="G163" s="20">
        <f t="shared" si="11"/>
        <v>-1.6411094287118733E-2</v>
      </c>
      <c r="H163" s="20">
        <f t="shared" si="12"/>
        <v>-6.1132656963873502E-2</v>
      </c>
      <c r="I163" s="20">
        <f t="shared" si="13"/>
        <v>5.1132656963875492E-2</v>
      </c>
      <c r="J163" s="20">
        <f t="shared" si="14"/>
        <v>5.2667194320477742E-2</v>
      </c>
    </row>
    <row r="164" spans="1:10" ht="15" customHeight="1">
      <c r="A164" s="18" t="str">
        <f>Analysis!A164</f>
        <v>9/1971</v>
      </c>
      <c r="B164" s="19">
        <f>Analysis!E164</f>
        <v>-5.0000000000000711E-2</v>
      </c>
      <c r="C164" s="20">
        <f>Analysis!F164</f>
        <v>0.2077143996600441</v>
      </c>
      <c r="D164" s="19">
        <f t="shared" si="15"/>
        <v>-0.69</v>
      </c>
      <c r="E164" s="19">
        <f>Solar!D164</f>
        <v>1361.09</v>
      </c>
      <c r="F164" s="30">
        <v>-0.68</v>
      </c>
      <c r="G164" s="20">
        <f t="shared" si="11"/>
        <v>-3.1245764839052614E-2</v>
      </c>
      <c r="H164" s="20">
        <f t="shared" si="12"/>
        <v>-8.3808601117994486E-2</v>
      </c>
      <c r="I164" s="20">
        <f t="shared" si="13"/>
        <v>3.3808601117993775E-2</v>
      </c>
      <c r="J164" s="20">
        <f t="shared" si="14"/>
        <v>1.0056061223788548E-2</v>
      </c>
    </row>
    <row r="165" spans="1:10" ht="15" customHeight="1">
      <c r="A165" s="18" t="str">
        <f>Analysis!A165</f>
        <v>10/1971</v>
      </c>
      <c r="B165" s="19">
        <f>Analysis!E165</f>
        <v>-3.9999999999999147E-2</v>
      </c>
      <c r="C165" s="20">
        <f>Analysis!F165</f>
        <v>0.20860643891488381</v>
      </c>
      <c r="D165" s="19">
        <f t="shared" si="15"/>
        <v>-0.68</v>
      </c>
      <c r="E165" s="19">
        <f>Solar!D165</f>
        <v>1360.84</v>
      </c>
      <c r="F165" s="30">
        <v>-0.78</v>
      </c>
      <c r="G165" s="20">
        <f t="shared" si="11"/>
        <v>-2.3684217788095818E-2</v>
      </c>
      <c r="H165" s="20">
        <f t="shared" si="12"/>
        <v>-8.0487973434404766E-2</v>
      </c>
      <c r="I165" s="20">
        <f t="shared" si="13"/>
        <v>4.0487973434405619E-2</v>
      </c>
      <c r="J165" s="20">
        <f t="shared" si="14"/>
        <v>1.9185683524894623E-2</v>
      </c>
    </row>
    <row r="166" spans="1:10" ht="15" customHeight="1">
      <c r="A166" s="18" t="str">
        <f>Analysis!A166</f>
        <v>11/1971</v>
      </c>
      <c r="B166" s="19">
        <f>Analysis!E166</f>
        <v>-7.0000000000000284E-2</v>
      </c>
      <c r="C166" s="20">
        <f>Analysis!F166</f>
        <v>0.21412480535284761</v>
      </c>
      <c r="D166" s="19">
        <f t="shared" si="15"/>
        <v>-0.6</v>
      </c>
      <c r="E166" s="19">
        <f>Solar!D166</f>
        <v>1360.99</v>
      </c>
      <c r="F166" s="30">
        <v>-0.86</v>
      </c>
      <c r="G166" s="20">
        <f t="shared" si="11"/>
        <v>-6.8769066175156546E-2</v>
      </c>
      <c r="H166" s="20">
        <f t="shared" si="12"/>
        <v>-5.8367124195188053E-2</v>
      </c>
      <c r="I166" s="20">
        <f t="shared" si="13"/>
        <v>-1.1632875804812232E-2</v>
      </c>
      <c r="J166" s="20">
        <f t="shared" si="14"/>
        <v>-1.7777338066270493E-2</v>
      </c>
    </row>
    <row r="167" spans="1:10" ht="15" customHeight="1">
      <c r="A167" s="18" t="str">
        <f>Analysis!A167</f>
        <v>12/1971</v>
      </c>
      <c r="B167" s="19">
        <f>Analysis!E167</f>
        <v>-8.0000000000001847E-2</v>
      </c>
      <c r="C167" s="20">
        <f>Analysis!F167</f>
        <v>0.21948939105648271</v>
      </c>
      <c r="D167" s="19">
        <f t="shared" si="15"/>
        <v>-0.68</v>
      </c>
      <c r="E167" s="19">
        <f>Solar!D167</f>
        <v>1360.97</v>
      </c>
      <c r="F167" s="30">
        <v>-0.78</v>
      </c>
      <c r="G167" s="20">
        <f t="shared" si="11"/>
        <v>-9.3433543952857523E-2</v>
      </c>
      <c r="H167" s="20">
        <f t="shared" si="12"/>
        <v>-5.0594722466237571E-2</v>
      </c>
      <c r="I167" s="20">
        <f t="shared" si="13"/>
        <v>-2.9405277533764276E-2</v>
      </c>
      <c r="J167" s="20">
        <f t="shared" si="14"/>
        <v>-2.0814316475108077E-2</v>
      </c>
    </row>
    <row r="168" spans="1:10" ht="15" customHeight="1">
      <c r="A168" s="18" t="str">
        <f>Analysis!A168</f>
        <v>1/1972</v>
      </c>
      <c r="B168" s="19">
        <f>Analysis!E168</f>
        <v>-0.21999999999999886</v>
      </c>
      <c r="C168" s="20">
        <f>Analysis!F168</f>
        <v>0.22284871188886418</v>
      </c>
      <c r="D168" s="19">
        <f t="shared" si="15"/>
        <v>-0.78</v>
      </c>
      <c r="E168" s="19">
        <f>Solar!D168</f>
        <v>1361.26</v>
      </c>
      <c r="F168" s="30">
        <v>-0.56999999999999995</v>
      </c>
      <c r="G168" s="20">
        <f t="shared" si="11"/>
        <v>-0.24261648713171746</v>
      </c>
      <c r="H168" s="20">
        <f t="shared" si="12"/>
        <v>-5.0071129949346524E-2</v>
      </c>
      <c r="I168" s="20">
        <f t="shared" si="13"/>
        <v>-0.16992887005065233</v>
      </c>
      <c r="J168" s="20">
        <f t="shared" si="14"/>
        <v>-0.15211053948615011</v>
      </c>
    </row>
    <row r="169" spans="1:10" ht="15" customHeight="1">
      <c r="A169" s="18" t="str">
        <f>Analysis!A169</f>
        <v>2/1972</v>
      </c>
      <c r="B169" s="19">
        <f>Analysis!E169</f>
        <v>-0.17999999999999794</v>
      </c>
      <c r="C169" s="20">
        <f>Analysis!F169</f>
        <v>0.22664063869031495</v>
      </c>
      <c r="D169" s="19">
        <f t="shared" si="15"/>
        <v>-0.86</v>
      </c>
      <c r="E169" s="19">
        <f>Solar!D169</f>
        <v>1361.02</v>
      </c>
      <c r="F169" s="30">
        <v>-0.27</v>
      </c>
      <c r="G169" s="20">
        <f t="shared" si="11"/>
        <v>-0.21298198959295189</v>
      </c>
      <c r="H169" s="20">
        <f t="shared" si="12"/>
        <v>-4.661850162733959E-2</v>
      </c>
      <c r="I169" s="20">
        <f t="shared" si="13"/>
        <v>-0.13338149837265834</v>
      </c>
      <c r="J169" s="20">
        <f t="shared" si="14"/>
        <v>-0.10514751789498523</v>
      </c>
    </row>
    <row r="170" spans="1:10" ht="15" customHeight="1">
      <c r="A170" s="18" t="str">
        <f>Analysis!A170</f>
        <v>3/1972</v>
      </c>
      <c r="B170" s="19">
        <f>Analysis!E170</f>
        <v>2.9999999999997584E-2</v>
      </c>
      <c r="C170" s="20">
        <f>Analysis!F170</f>
        <v>0.22716895327678804</v>
      </c>
      <c r="D170" s="19">
        <f t="shared" si="15"/>
        <v>-0.78</v>
      </c>
      <c r="E170" s="19">
        <f>Solar!D170</f>
        <v>1361.06</v>
      </c>
      <c r="F170" s="30">
        <v>0.04</v>
      </c>
      <c r="G170" s="20">
        <f t="shared" si="11"/>
        <v>-4.4261752096982354E-3</v>
      </c>
      <c r="H170" s="20">
        <f t="shared" si="12"/>
        <v>-3.8204307567703918E-2</v>
      </c>
      <c r="I170" s="20">
        <f t="shared" si="13"/>
        <v>6.8204307567701503E-2</v>
      </c>
      <c r="J170" s="20">
        <f t="shared" si="14"/>
        <v>9.7889460513846324E-2</v>
      </c>
    </row>
    <row r="171" spans="1:10" ht="15" customHeight="1">
      <c r="A171" s="18" t="str">
        <f>Analysis!A171</f>
        <v>4/1972</v>
      </c>
      <c r="B171" s="19">
        <f>Analysis!E171</f>
        <v>0</v>
      </c>
      <c r="C171" s="20">
        <f>Analysis!F171</f>
        <v>0.23581457280650558</v>
      </c>
      <c r="D171" s="19">
        <f t="shared" si="15"/>
        <v>-0.56999999999999995</v>
      </c>
      <c r="E171" s="19">
        <f>Solar!D171</f>
        <v>1361.41</v>
      </c>
      <c r="F171" s="30">
        <v>0.25</v>
      </c>
      <c r="G171" s="20">
        <f t="shared" si="11"/>
        <v>-5.8059593048854885E-2</v>
      </c>
      <c r="H171" s="20">
        <f t="shared" si="12"/>
        <v>3.8213784881045293E-3</v>
      </c>
      <c r="I171" s="20">
        <f t="shared" si="13"/>
        <v>-3.8213784881045293E-3</v>
      </c>
      <c r="J171" s="20">
        <f t="shared" si="14"/>
        <v>4.9611528837043298E-2</v>
      </c>
    </row>
    <row r="172" spans="1:10" ht="15" customHeight="1">
      <c r="A172" s="18" t="str">
        <f>Analysis!A172</f>
        <v>5/1972</v>
      </c>
      <c r="B172" s="19">
        <f>Analysis!E172</f>
        <v>-2.9999999999999361E-2</v>
      </c>
      <c r="C172" s="20">
        <f>Analysis!F172</f>
        <v>0.23734519106890656</v>
      </c>
      <c r="D172" s="19">
        <f t="shared" si="15"/>
        <v>-0.27</v>
      </c>
      <c r="E172" s="19">
        <f>Solar!D172</f>
        <v>1360.91</v>
      </c>
      <c r="F172" s="30">
        <v>0.48</v>
      </c>
      <c r="G172" s="20">
        <f t="shared" si="11"/>
        <v>-9.2243647276920915E-2</v>
      </c>
      <c r="H172" s="20">
        <f t="shared" si="12"/>
        <v>3.4137005794702267E-2</v>
      </c>
      <c r="I172" s="20">
        <f t="shared" si="13"/>
        <v>-6.4137005794701635E-2</v>
      </c>
      <c r="J172" s="20">
        <f t="shared" si="14"/>
        <v>-6.4998021298209516E-3</v>
      </c>
    </row>
    <row r="173" spans="1:10" ht="15" customHeight="1">
      <c r="A173" s="18" t="str">
        <f>Analysis!A173</f>
        <v>6/1972</v>
      </c>
      <c r="B173" s="19">
        <f>Analysis!E173</f>
        <v>3.9999999999999147E-2</v>
      </c>
      <c r="C173" s="20">
        <f>Analysis!F173</f>
        <v>0.23305536103738234</v>
      </c>
      <c r="D173" s="19">
        <f t="shared" si="15"/>
        <v>0.04</v>
      </c>
      <c r="E173" s="19">
        <f>Solar!D173</f>
        <v>1361.13</v>
      </c>
      <c r="F173" s="30">
        <v>0.7</v>
      </c>
      <c r="G173" s="20">
        <f t="shared" si="11"/>
        <v>-1.0517090811477559E-2</v>
      </c>
      <c r="H173" s="20">
        <f t="shared" si="12"/>
        <v>4.9335425875285256E-2</v>
      </c>
      <c r="I173" s="20">
        <f t="shared" si="13"/>
        <v>-9.3354258752861088E-3</v>
      </c>
      <c r="J173" s="20">
        <f t="shared" si="14"/>
        <v>3.6518489204417158E-2</v>
      </c>
    </row>
    <row r="174" spans="1:10" ht="15" customHeight="1">
      <c r="A174" s="18" t="str">
        <f>Analysis!A174</f>
        <v>7/1972</v>
      </c>
      <c r="B174" s="19">
        <f>Analysis!E174</f>
        <v>1.0000000000001563E-2</v>
      </c>
      <c r="C174" s="20">
        <f>Analysis!F174</f>
        <v>0.2284449153656577</v>
      </c>
      <c r="D174" s="19">
        <f t="shared" si="15"/>
        <v>0.25</v>
      </c>
      <c r="E174" s="19">
        <f>Solar!D174</f>
        <v>1361.25</v>
      </c>
      <c r="F174" s="30">
        <v>1</v>
      </c>
      <c r="G174" s="20">
        <f t="shared" si="11"/>
        <v>-2.7914108617997813E-2</v>
      </c>
      <c r="H174" s="20">
        <f t="shared" si="12"/>
        <v>5.4949403162990837E-2</v>
      </c>
      <c r="I174" s="20">
        <f t="shared" si="13"/>
        <v>-4.4949403162989274E-2</v>
      </c>
      <c r="J174" s="20">
        <f t="shared" si="14"/>
        <v>-1.1759442472385851E-2</v>
      </c>
    </row>
    <row r="175" spans="1:10" ht="15" customHeight="1">
      <c r="A175" s="18" t="str">
        <f>Analysis!A175</f>
        <v>8/1972</v>
      </c>
      <c r="B175" s="19">
        <f>Analysis!E175</f>
        <v>0.16000000000000014</v>
      </c>
      <c r="C175" s="20">
        <f>Analysis!F175</f>
        <v>0.22086058507283202</v>
      </c>
      <c r="D175" s="19">
        <f t="shared" si="15"/>
        <v>0.48</v>
      </c>
      <c r="E175" s="19">
        <f>Solar!D175</f>
        <v>1361.11</v>
      </c>
      <c r="F175" s="30">
        <v>1.26</v>
      </c>
      <c r="G175" s="20">
        <f t="shared" si="11"/>
        <v>0.14281819937039053</v>
      </c>
      <c r="H175" s="20">
        <f t="shared" si="12"/>
        <v>5.4135481041200403E-2</v>
      </c>
      <c r="I175" s="20">
        <f t="shared" si="13"/>
        <v>0.10586451895879974</v>
      </c>
      <c r="J175" s="20">
        <f t="shared" si="14"/>
        <v>0.11822187045301631</v>
      </c>
    </row>
    <row r="176" spans="1:10" ht="15" customHeight="1">
      <c r="A176" s="18" t="str">
        <f>Analysis!A176</f>
        <v>9/1972</v>
      </c>
      <c r="B176" s="19">
        <f>Analysis!E176</f>
        <v>2.0000000000003126E-2</v>
      </c>
      <c r="C176" s="20">
        <f>Analysis!F176</f>
        <v>0.21430246621642873</v>
      </c>
      <c r="D176" s="19">
        <f t="shared" si="15"/>
        <v>0.7</v>
      </c>
      <c r="E176" s="19">
        <f>Solar!D176</f>
        <v>1361.28</v>
      </c>
      <c r="F176" s="30">
        <v>1.49</v>
      </c>
      <c r="G176" s="20">
        <f t="shared" si="11"/>
        <v>2.0745285178356498E-2</v>
      </c>
      <c r="H176" s="20">
        <f t="shared" si="12"/>
        <v>5.5269974836092271E-2</v>
      </c>
      <c r="I176" s="20">
        <f t="shared" si="13"/>
        <v>-3.5269974836089145E-2</v>
      </c>
      <c r="J176" s="20">
        <f t="shared" si="14"/>
        <v>-4.0926438922681628E-2</v>
      </c>
    </row>
    <row r="177" spans="1:10" ht="15" customHeight="1">
      <c r="A177" s="18" t="str">
        <f>Analysis!A177</f>
        <v>10/1972</v>
      </c>
      <c r="B177" s="19">
        <f>Analysis!E177</f>
        <v>8.0000000000000071E-2</v>
      </c>
      <c r="C177" s="20">
        <f>Analysis!F177</f>
        <v>0.21590043024269898</v>
      </c>
      <c r="D177" s="19">
        <f t="shared" si="15"/>
        <v>1</v>
      </c>
      <c r="E177" s="19">
        <f>Solar!D177</f>
        <v>1360.9</v>
      </c>
      <c r="F177" s="30">
        <v>1.69</v>
      </c>
      <c r="G177" s="20">
        <f t="shared" si="11"/>
        <v>7.6377136499710008E-2</v>
      </c>
      <c r="H177" s="20">
        <f t="shared" si="12"/>
        <v>8.5770587227140774E-2</v>
      </c>
      <c r="I177" s="20">
        <f t="shared" si="13"/>
        <v>-5.7705872271407027E-3</v>
      </c>
      <c r="J177" s="20">
        <f t="shared" si="14"/>
        <v>-7.037769889549586E-3</v>
      </c>
    </row>
    <row r="178" spans="1:10" ht="15" customHeight="1">
      <c r="A178" s="18" t="str">
        <f>Analysis!A178</f>
        <v>11/1972</v>
      </c>
      <c r="B178" s="19">
        <f>Analysis!E178</f>
        <v>2.0000000000003126E-2</v>
      </c>
      <c r="C178" s="20">
        <f>Analysis!F178</f>
        <v>0.22165616460146442</v>
      </c>
      <c r="D178" s="19">
        <f t="shared" si="15"/>
        <v>1.26</v>
      </c>
      <c r="E178" s="19">
        <f>Solar!D178</f>
        <v>1361.03</v>
      </c>
      <c r="F178" s="30">
        <v>1.84</v>
      </c>
      <c r="G178" s="20">
        <f t="shared" si="11"/>
        <v>6.4342596522315443E-4</v>
      </c>
      <c r="H178" s="20">
        <f t="shared" si="12"/>
        <v>0.12421023633583192</v>
      </c>
      <c r="I178" s="20">
        <f t="shared" si="13"/>
        <v>-0.10421023633582879</v>
      </c>
      <c r="J178" s="20">
        <f t="shared" si="14"/>
        <v>-8.9667590060829444E-2</v>
      </c>
    </row>
    <row r="179" spans="1:10" ht="15" customHeight="1">
      <c r="A179" s="18" t="str">
        <f>Analysis!A179</f>
        <v>12/1972</v>
      </c>
      <c r="B179" s="19">
        <f>Analysis!E179</f>
        <v>0.17999999999999972</v>
      </c>
      <c r="C179" s="20">
        <f>Analysis!F179</f>
        <v>0.22628832145277814</v>
      </c>
      <c r="D179" s="19">
        <f t="shared" si="15"/>
        <v>1.49</v>
      </c>
      <c r="E179" s="19">
        <f>Solar!D179</f>
        <v>1360.85</v>
      </c>
      <c r="F179" s="30">
        <v>1.77</v>
      </c>
      <c r="G179" s="20">
        <f t="shared" si="11"/>
        <v>0.1479810947132687</v>
      </c>
      <c r="H179" s="20">
        <f t="shared" si="12"/>
        <v>0.15695251398388574</v>
      </c>
      <c r="I179" s="20">
        <f t="shared" si="13"/>
        <v>2.3047486016113977E-2</v>
      </c>
      <c r="J179" s="20">
        <f t="shared" si="14"/>
        <v>5.0313722864570726E-2</v>
      </c>
    </row>
    <row r="180" spans="1:10" ht="15" customHeight="1">
      <c r="A180" s="18" t="str">
        <f>Analysis!A180</f>
        <v>1/1973</v>
      </c>
      <c r="B180" s="19">
        <f>Analysis!E180</f>
        <v>0.28999999999999559</v>
      </c>
      <c r="C180" s="20">
        <f>Analysis!F180</f>
        <v>0.23068611495390581</v>
      </c>
      <c r="D180" s="19">
        <f t="shared" si="15"/>
        <v>1.69</v>
      </c>
      <c r="E180" s="19">
        <f>Solar!D180</f>
        <v>1360.99</v>
      </c>
      <c r="F180" s="30">
        <v>1.55</v>
      </c>
      <c r="G180" s="20">
        <f t="shared" si="11"/>
        <v>0.2459594124005936</v>
      </c>
      <c r="H180" s="20">
        <f t="shared" si="12"/>
        <v>0.18643991018887635</v>
      </c>
      <c r="I180" s="20">
        <f t="shared" si="13"/>
        <v>0.10356008981111925</v>
      </c>
      <c r="J180" s="20">
        <f t="shared" si="14"/>
        <v>0.14290616888665669</v>
      </c>
    </row>
    <row r="181" spans="1:10" ht="15" customHeight="1">
      <c r="A181" s="18" t="str">
        <f>Analysis!A181</f>
        <v>2/1973</v>
      </c>
      <c r="B181" s="19">
        <f>Analysis!E181</f>
        <v>0.32000000000000028</v>
      </c>
      <c r="C181" s="20">
        <f>Analysis!F181</f>
        <v>0.23515809611228167</v>
      </c>
      <c r="D181" s="19">
        <f t="shared" si="15"/>
        <v>1.84</v>
      </c>
      <c r="E181" s="19">
        <f>Solar!D181</f>
        <v>1360.99</v>
      </c>
      <c r="F181" s="30">
        <v>1.1299999999999999</v>
      </c>
      <c r="G181" s="20">
        <f t="shared" si="11"/>
        <v>0.26373493283363814</v>
      </c>
      <c r="H181" s="20">
        <f t="shared" si="12"/>
        <v>0.21177919627018496</v>
      </c>
      <c r="I181" s="20">
        <f t="shared" si="13"/>
        <v>0.10822080372981532</v>
      </c>
      <c r="J181" s="20">
        <f t="shared" si="14"/>
        <v>0.1598505034032289</v>
      </c>
    </row>
    <row r="182" spans="1:10" ht="15" customHeight="1">
      <c r="A182" s="18" t="str">
        <f>Analysis!A182</f>
        <v>3/1973</v>
      </c>
      <c r="B182" s="19">
        <f>Analysis!E182</f>
        <v>0.28999999999999559</v>
      </c>
      <c r="C182" s="20">
        <f>Analysis!F182</f>
        <v>0.23835014245319641</v>
      </c>
      <c r="D182" s="19">
        <f t="shared" si="15"/>
        <v>1.77</v>
      </c>
      <c r="E182" s="19">
        <f>Solar!D182</f>
        <v>1360.78</v>
      </c>
      <c r="F182" s="30">
        <v>0.56000000000000005</v>
      </c>
      <c r="G182" s="20">
        <f t="shared" si="11"/>
        <v>0.22500924641203113</v>
      </c>
      <c r="H182" s="20">
        <f t="shared" si="12"/>
        <v>0.21445445295576152</v>
      </c>
      <c r="I182" s="20">
        <f t="shared" si="13"/>
        <v>7.5545547044234079E-2</v>
      </c>
      <c r="J182" s="20">
        <f t="shared" si="14"/>
        <v>0.1359431472954927</v>
      </c>
    </row>
    <row r="183" spans="1:10" ht="15" customHeight="1">
      <c r="A183" s="18" t="str">
        <f>Analysis!A183</f>
        <v>4/1973</v>
      </c>
      <c r="B183" s="19">
        <f>Analysis!E183</f>
        <v>0.27000000000000135</v>
      </c>
      <c r="C183" s="20">
        <f>Analysis!F183</f>
        <v>0.24358204316762133</v>
      </c>
      <c r="D183" s="19">
        <f t="shared" si="15"/>
        <v>1.55</v>
      </c>
      <c r="E183" s="19">
        <f>Solar!D183</f>
        <v>1360.89</v>
      </c>
      <c r="F183" s="30">
        <v>-0.03</v>
      </c>
      <c r="G183" s="20">
        <f t="shared" si="11"/>
        <v>0.19070747251925968</v>
      </c>
      <c r="H183" s="20">
        <f t="shared" si="12"/>
        <v>0.20967710828356423</v>
      </c>
      <c r="I183" s="20">
        <f t="shared" si="13"/>
        <v>6.0322891716437121E-2</v>
      </c>
      <c r="J183" s="20">
        <f t="shared" si="14"/>
        <v>0.13509145667119937</v>
      </c>
    </row>
    <row r="184" spans="1:10" ht="15" customHeight="1">
      <c r="A184" s="18" t="str">
        <f>Analysis!A184</f>
        <v>5/1973</v>
      </c>
      <c r="B184" s="19">
        <f>Analysis!E184</f>
        <v>0.2300000000000022</v>
      </c>
      <c r="C184" s="20">
        <f>Analysis!F184</f>
        <v>0.24784073218452071</v>
      </c>
      <c r="D184" s="19">
        <f t="shared" si="15"/>
        <v>1.1299999999999999</v>
      </c>
      <c r="E184" s="19">
        <f>Solar!D184</f>
        <v>1361</v>
      </c>
      <c r="F184" s="30">
        <v>-0.51</v>
      </c>
      <c r="G184" s="20">
        <f t="shared" si="11"/>
        <v>0.13906604223916708</v>
      </c>
      <c r="H184" s="20">
        <f t="shared" si="12"/>
        <v>0.18481899549626685</v>
      </c>
      <c r="I184" s="20">
        <f t="shared" si="13"/>
        <v>4.5181004503735356E-2</v>
      </c>
      <c r="J184" s="20">
        <f t="shared" si="14"/>
        <v>0.13164732002481111</v>
      </c>
    </row>
    <row r="185" spans="1:10" ht="15" customHeight="1">
      <c r="A185" s="18" t="str">
        <f>Analysis!A185</f>
        <v>6/1973</v>
      </c>
      <c r="B185" s="19">
        <f>Analysis!E185</f>
        <v>0.19000000000000128</v>
      </c>
      <c r="C185" s="20">
        <f>Analysis!F185</f>
        <v>0.24606056502835677</v>
      </c>
      <c r="D185" s="19">
        <f t="shared" si="15"/>
        <v>0.56000000000000005</v>
      </c>
      <c r="E185" s="19">
        <f>Solar!D185</f>
        <v>1360.93</v>
      </c>
      <c r="F185" s="30">
        <v>-0.8</v>
      </c>
      <c r="G185" s="20">
        <f t="shared" si="11"/>
        <v>0.10393225617335078</v>
      </c>
      <c r="H185" s="20">
        <f t="shared" si="12"/>
        <v>0.13031771038058582</v>
      </c>
      <c r="I185" s="20">
        <f t="shared" si="13"/>
        <v>5.9682289619415463E-2</v>
      </c>
      <c r="J185" s="20">
        <f t="shared" si="14"/>
        <v>0.14125884886185347</v>
      </c>
    </row>
    <row r="186" spans="1:10" ht="15" customHeight="1">
      <c r="A186" s="18" t="str">
        <f>Analysis!A186</f>
        <v>7/1973</v>
      </c>
      <c r="B186" s="19">
        <f>Analysis!E186</f>
        <v>0.12999999999999901</v>
      </c>
      <c r="C186" s="20">
        <f>Analysis!F186</f>
        <v>0.24083766117617278</v>
      </c>
      <c r="D186" s="19">
        <f t="shared" si="15"/>
        <v>-0.03</v>
      </c>
      <c r="E186" s="19">
        <f>Solar!D186</f>
        <v>1360.85</v>
      </c>
      <c r="F186" s="30">
        <v>-0.99</v>
      </c>
      <c r="G186" s="20">
        <f t="shared" si="11"/>
        <v>5.8209436501274747E-2</v>
      </c>
      <c r="H186" s="20">
        <f t="shared" si="12"/>
        <v>6.4619173988751263E-2</v>
      </c>
      <c r="I186" s="20">
        <f t="shared" si="13"/>
        <v>6.5380826011247742E-2</v>
      </c>
      <c r="J186" s="20">
        <f t="shared" si="14"/>
        <v>0.13261113309668549</v>
      </c>
    </row>
    <row r="187" spans="1:10" ht="15" customHeight="1">
      <c r="A187" s="18" t="str">
        <f>Analysis!A187</f>
        <v>8/1973</v>
      </c>
      <c r="B187" s="19">
        <f>Analysis!E187</f>
        <v>5.0000000000004263E-2</v>
      </c>
      <c r="C187" s="20">
        <f>Analysis!F187</f>
        <v>0.23401949506170835</v>
      </c>
      <c r="D187" s="19">
        <f t="shared" si="15"/>
        <v>-0.51</v>
      </c>
      <c r="E187" s="19">
        <f>Solar!D187</f>
        <v>1360.85</v>
      </c>
      <c r="F187" s="30">
        <v>-1.1100000000000001</v>
      </c>
      <c r="G187" s="20">
        <f t="shared" si="11"/>
        <v>-3.1526199567841751E-3</v>
      </c>
      <c r="H187" s="20">
        <f t="shared" si="12"/>
        <v>4.1129320554902926E-3</v>
      </c>
      <c r="I187" s="20">
        <f t="shared" si="13"/>
        <v>4.5887067944513971E-2</v>
      </c>
      <c r="J187" s="20">
        <f t="shared" si="14"/>
        <v>9.4389262643674587E-2</v>
      </c>
    </row>
    <row r="188" spans="1:10" ht="15" customHeight="1">
      <c r="A188" s="18" t="str">
        <f>Analysis!A188</f>
        <v>9/1973</v>
      </c>
      <c r="B188" s="19">
        <f>Analysis!E188</f>
        <v>8.9999999999999858E-2</v>
      </c>
      <c r="C188" s="20">
        <f>Analysis!F188</f>
        <v>0.22615618030371948</v>
      </c>
      <c r="D188" s="19">
        <f t="shared" si="15"/>
        <v>-0.8</v>
      </c>
      <c r="E188" s="19">
        <f>Solar!D188</f>
        <v>1360.68</v>
      </c>
      <c r="F188" s="30">
        <v>-1.26</v>
      </c>
      <c r="G188" s="20">
        <f t="shared" si="11"/>
        <v>5.8342311972334637E-2</v>
      </c>
      <c r="H188" s="20">
        <f t="shared" si="12"/>
        <v>-4.2726943861763095E-2</v>
      </c>
      <c r="I188" s="20">
        <f t="shared" si="13"/>
        <v>0.13272694386176295</v>
      </c>
      <c r="J188" s="20">
        <f t="shared" si="14"/>
        <v>0.15963021591163959</v>
      </c>
    </row>
    <row r="189" spans="1:10" ht="15" customHeight="1">
      <c r="A189" s="18" t="str">
        <f>Analysis!A189</f>
        <v>10/1973</v>
      </c>
      <c r="B189" s="19">
        <f>Analysis!E189</f>
        <v>9.9999999999997868E-2</v>
      </c>
      <c r="C189" s="20">
        <f>Analysis!F189</f>
        <v>0.22470182828890004</v>
      </c>
      <c r="D189" s="19">
        <f t="shared" si="15"/>
        <v>-0.99</v>
      </c>
      <c r="E189" s="19">
        <f>Solar!D189</f>
        <v>1360.84</v>
      </c>
      <c r="F189" s="30">
        <v>-1.58</v>
      </c>
      <c r="G189" s="20">
        <f t="shared" si="11"/>
        <v>7.2317886971129064E-2</v>
      </c>
      <c r="H189" s="20">
        <f t="shared" si="12"/>
        <v>-6.3258928645804166E-2</v>
      </c>
      <c r="I189" s="20">
        <f t="shared" si="13"/>
        <v>0.16325892864580205</v>
      </c>
      <c r="J189" s="20">
        <f t="shared" si="14"/>
        <v>0.18616739219065204</v>
      </c>
    </row>
    <row r="190" spans="1:10" ht="15" customHeight="1">
      <c r="A190" s="18" t="str">
        <f>Analysis!A190</f>
        <v>11/1973</v>
      </c>
      <c r="B190" s="19">
        <f>Analysis!E190</f>
        <v>3.9999999999999147E-2</v>
      </c>
      <c r="C190" s="20">
        <f>Analysis!F190</f>
        <v>0.22901653224979263</v>
      </c>
      <c r="D190" s="19">
        <f t="shared" si="15"/>
        <v>-1.1100000000000001</v>
      </c>
      <c r="E190" s="19">
        <f>Solar!D190</f>
        <v>1360.78</v>
      </c>
      <c r="F190" s="30">
        <v>-1.89</v>
      </c>
      <c r="G190" s="20">
        <f t="shared" si="11"/>
        <v>5.2333584503183594E-4</v>
      </c>
      <c r="H190" s="20">
        <f t="shared" si="12"/>
        <v>-6.1851848834119802E-2</v>
      </c>
      <c r="I190" s="20">
        <f t="shared" si="13"/>
        <v>0.10185184883411895</v>
      </c>
      <c r="J190" s="20">
        <f t="shared" si="14"/>
        <v>0.13661192457739929</v>
      </c>
    </row>
    <row r="191" spans="1:10" ht="15" customHeight="1">
      <c r="A191" s="18" t="str">
        <f>Analysis!A191</f>
        <v>12/1973</v>
      </c>
      <c r="B191" s="19">
        <f>Analysis!E191</f>
        <v>-7.0000000000000284E-2</v>
      </c>
      <c r="C191" s="20">
        <f>Analysis!F191</f>
        <v>0.23112515787904964</v>
      </c>
      <c r="D191" s="19">
        <f t="shared" si="15"/>
        <v>-1.26</v>
      </c>
      <c r="E191" s="19">
        <f>Solar!D191</f>
        <v>1360.8</v>
      </c>
      <c r="F191" s="30">
        <v>-2.04</v>
      </c>
      <c r="G191" s="20">
        <f t="shared" si="11"/>
        <v>-0.11524074276047369</v>
      </c>
      <c r="H191" s="20">
        <f t="shared" si="12"/>
        <v>-6.9115549571851481E-2</v>
      </c>
      <c r="I191" s="20">
        <f t="shared" si="13"/>
        <v>-8.8445042814880304E-4</v>
      </c>
      <c r="J191" s="20">
        <f t="shared" si="14"/>
        <v>3.9667590060832286E-2</v>
      </c>
    </row>
    <row r="192" spans="1:10" ht="15" customHeight="1">
      <c r="A192" s="18" t="str">
        <f>Analysis!A192</f>
        <v>1/1974</v>
      </c>
      <c r="B192" s="19">
        <f>Analysis!E192</f>
        <v>-0.10000000000000142</v>
      </c>
      <c r="C192" s="20">
        <f>Analysis!F192</f>
        <v>0.23423852660157829</v>
      </c>
      <c r="D192" s="19">
        <f t="shared" si="15"/>
        <v>-1.58</v>
      </c>
      <c r="E192" s="19">
        <f>Solar!D192</f>
        <v>1360.77</v>
      </c>
      <c r="F192" s="30">
        <v>-1.87</v>
      </c>
      <c r="G192" s="20">
        <f t="shared" si="11"/>
        <v>-0.15375135829866438</v>
      </c>
      <c r="H192" s="20">
        <f t="shared" si="12"/>
        <v>-8.841584673739411E-2</v>
      </c>
      <c r="I192" s="20">
        <f t="shared" si="13"/>
        <v>-1.1584153262607311E-2</v>
      </c>
      <c r="J192" s="20">
        <f t="shared" si="14"/>
        <v>3.7519676425487036E-2</v>
      </c>
    </row>
    <row r="193" spans="1:10" ht="15" customHeight="1">
      <c r="A193" s="18" t="str">
        <f>Analysis!A193</f>
        <v>2/1974</v>
      </c>
      <c r="B193" s="19">
        <f>Analysis!E193</f>
        <v>-0.27000000000000135</v>
      </c>
      <c r="C193" s="20">
        <f>Analysis!F193</f>
        <v>0.24013984319182427</v>
      </c>
      <c r="D193" s="19">
        <f t="shared" si="15"/>
        <v>-1.89</v>
      </c>
      <c r="E193" s="19">
        <f>Solar!D193</f>
        <v>1360.73</v>
      </c>
      <c r="F193" s="30">
        <v>-1.59</v>
      </c>
      <c r="G193" s="20">
        <f t="shared" si="11"/>
        <v>-0.33988302825002537</v>
      </c>
      <c r="H193" s="20">
        <f t="shared" si="12"/>
        <v>-9.9187841753810624E-2</v>
      </c>
      <c r="I193" s="20">
        <f t="shared" si="13"/>
        <v>-0.17081215824619073</v>
      </c>
      <c r="J193" s="20">
        <f t="shared" si="14"/>
        <v>-0.10549861490875251</v>
      </c>
    </row>
    <row r="194" spans="1:10" ht="15" customHeight="1">
      <c r="A194" s="18" t="str">
        <f>Analysis!A194</f>
        <v>3/1974</v>
      </c>
      <c r="B194" s="19">
        <f>Analysis!E194</f>
        <v>-5.0000000000000711E-2</v>
      </c>
      <c r="C194" s="20">
        <f>Analysis!F194</f>
        <v>0.24353852229879974</v>
      </c>
      <c r="D194" s="19">
        <f t="shared" si="15"/>
        <v>-2.04</v>
      </c>
      <c r="E194" s="19">
        <f>Solar!D194</f>
        <v>1360.85</v>
      </c>
      <c r="F194" s="30">
        <v>-1.24</v>
      </c>
      <c r="G194" s="20">
        <f t="shared" ref="G194:G257" si="16">B194-($N$4+$N$5*C194)</f>
        <v>-0.12917356008065639</v>
      </c>
      <c r="H194" s="20">
        <f t="shared" ref="H194:H257" si="17">IF(D194="","",$N$14+$N$15*C194+$N$16*D194)</f>
        <v>-0.10290802857454284</v>
      </c>
      <c r="I194" s="20">
        <f t="shared" ref="I194:I257" si="18">IF(D194="","",B194-H194)</f>
        <v>5.2908028574542132E-2</v>
      </c>
      <c r="J194" s="20">
        <f t="shared" ref="J194:J257" si="19">IF(D194="","",B194-$N$16*D194)</f>
        <v>0.12755705057468059</v>
      </c>
    </row>
    <row r="195" spans="1:10" ht="15" customHeight="1">
      <c r="A195" s="18" t="str">
        <f>Analysis!A195</f>
        <v>4/1974</v>
      </c>
      <c r="B195" s="19">
        <f>Analysis!E195</f>
        <v>-0.11999999999999744</v>
      </c>
      <c r="C195" s="20">
        <f>Analysis!F195</f>
        <v>0.24857820654980772</v>
      </c>
      <c r="D195" s="19">
        <f t="shared" si="15"/>
        <v>-1.87</v>
      </c>
      <c r="E195" s="19">
        <f>Solar!D195</f>
        <v>1360.69</v>
      </c>
      <c r="F195" s="30">
        <v>-0.99</v>
      </c>
      <c r="G195" s="20">
        <f t="shared" si="16"/>
        <v>-0.21294989655626384</v>
      </c>
      <c r="H195" s="20">
        <f t="shared" si="17"/>
        <v>-7.4268622430171211E-2</v>
      </c>
      <c r="I195" s="20">
        <f t="shared" si="18"/>
        <v>-4.5731377569826231E-2</v>
      </c>
      <c r="J195" s="20">
        <f t="shared" si="19"/>
        <v>4.2760629693460422E-2</v>
      </c>
    </row>
    <row r="196" spans="1:10" ht="15" customHeight="1">
      <c r="A196" s="18" t="str">
        <f>Analysis!A196</f>
        <v>5/1974</v>
      </c>
      <c r="B196" s="19">
        <f>Analysis!E196</f>
        <v>-3.9999999999999147E-2</v>
      </c>
      <c r="C196" s="20">
        <f>Analysis!F196</f>
        <v>0.25091827471297862</v>
      </c>
      <c r="D196" s="19">
        <f t="shared" si="15"/>
        <v>-1.59</v>
      </c>
      <c r="E196" s="19">
        <f>Solar!D196</f>
        <v>1360.9</v>
      </c>
      <c r="F196" s="30">
        <v>-0.71</v>
      </c>
      <c r="G196" s="20">
        <f t="shared" si="16"/>
        <v>-0.13934663984137496</v>
      </c>
      <c r="H196" s="20">
        <f t="shared" si="17"/>
        <v>-4.3470356655890802E-2</v>
      </c>
      <c r="I196" s="20">
        <f t="shared" si="18"/>
        <v>3.4703566558916543E-3</v>
      </c>
      <c r="J196" s="20">
        <f t="shared" si="19"/>
        <v>9.8390054124384813E-2</v>
      </c>
    </row>
    <row r="197" spans="1:10" ht="15" customHeight="1">
      <c r="A197" s="18" t="str">
        <f>Analysis!A197</f>
        <v>6/1974</v>
      </c>
      <c r="B197" s="19">
        <f>Analysis!E197</f>
        <v>-5.0000000000000711E-2</v>
      </c>
      <c r="C197" s="20">
        <f>Analysis!F197</f>
        <v>0.24662524613004733</v>
      </c>
      <c r="D197" s="19">
        <f t="shared" ref="D197:D260" si="20">IF(F194="","",F194)</f>
        <v>-1.24</v>
      </c>
      <c r="E197" s="19">
        <f>Solar!D197</f>
        <v>1360.94</v>
      </c>
      <c r="F197" s="30">
        <v>-0.64</v>
      </c>
      <c r="G197" s="20">
        <f t="shared" si="16"/>
        <v>-0.13761133990744767</v>
      </c>
      <c r="H197" s="20">
        <f t="shared" si="17"/>
        <v>-2.4799211548394304E-2</v>
      </c>
      <c r="I197" s="20">
        <f t="shared" si="18"/>
        <v>-2.5200788451606407E-2</v>
      </c>
      <c r="J197" s="20">
        <f t="shared" si="19"/>
        <v>5.7926834663040869E-2</v>
      </c>
    </row>
    <row r="198" spans="1:10" ht="15" customHeight="1">
      <c r="A198" s="18" t="str">
        <f>Analysis!A198</f>
        <v>7/1974</v>
      </c>
      <c r="B198" s="19">
        <f>Analysis!E198</f>
        <v>-2.9999999999999361E-2</v>
      </c>
      <c r="C198" s="20">
        <f>Analysis!F198</f>
        <v>0.24170945927557155</v>
      </c>
      <c r="D198" s="19">
        <f t="shared" si="20"/>
        <v>-0.99</v>
      </c>
      <c r="E198" s="19">
        <f>Solar!D198</f>
        <v>1360.62</v>
      </c>
      <c r="F198" s="30">
        <v>-0.46</v>
      </c>
      <c r="G198" s="20">
        <f t="shared" si="16"/>
        <v>-0.10417368580518827</v>
      </c>
      <c r="H198" s="20">
        <f t="shared" si="17"/>
        <v>-1.6542433448219471E-2</v>
      </c>
      <c r="I198" s="20">
        <f t="shared" si="18"/>
        <v>-1.345756655177989E-2</v>
      </c>
      <c r="J198" s="20">
        <f t="shared" si="19"/>
        <v>5.6167392190654794E-2</v>
      </c>
    </row>
    <row r="199" spans="1:10" ht="15" customHeight="1">
      <c r="A199" s="18" t="str">
        <f>Analysis!A199</f>
        <v>8/1974</v>
      </c>
      <c r="B199" s="19">
        <f>Analysis!E199</f>
        <v>9.9999999999997868E-2</v>
      </c>
      <c r="C199" s="20">
        <f>Analysis!F199</f>
        <v>0.23331837058615809</v>
      </c>
      <c r="D199" s="19">
        <f t="shared" si="20"/>
        <v>-0.71</v>
      </c>
      <c r="E199" s="19">
        <f>Solar!D199</f>
        <v>1360.8</v>
      </c>
      <c r="F199" s="30">
        <v>-0.4</v>
      </c>
      <c r="G199" s="20">
        <f t="shared" si="16"/>
        <v>4.8763953821523875E-2</v>
      </c>
      <c r="H199" s="20">
        <f t="shared" si="17"/>
        <v>-1.5220467927699308E-2</v>
      </c>
      <c r="I199" s="20">
        <f t="shared" si="18"/>
        <v>0.11522046792769718</v>
      </c>
      <c r="J199" s="20">
        <f t="shared" si="19"/>
        <v>0.16179681662157813</v>
      </c>
    </row>
    <row r="200" spans="1:10" ht="15" customHeight="1">
      <c r="A200" s="18" t="str">
        <f>Analysis!A200</f>
        <v>9/1974</v>
      </c>
      <c r="B200" s="19">
        <f>Analysis!E200</f>
        <v>-8.0000000000001847E-2</v>
      </c>
      <c r="C200" s="20">
        <f>Analysis!F200</f>
        <v>0.22531900517823794</v>
      </c>
      <c r="D200" s="19">
        <f t="shared" si="20"/>
        <v>-0.64</v>
      </c>
      <c r="E200" s="19">
        <f>Solar!D200</f>
        <v>1360.7</v>
      </c>
      <c r="F200" s="30">
        <v>-0.47</v>
      </c>
      <c r="G200" s="20">
        <f t="shared" si="16"/>
        <v>-0.10936921009071321</v>
      </c>
      <c r="H200" s="20">
        <f t="shared" si="17"/>
        <v>-3.1100450085213401E-2</v>
      </c>
      <c r="I200" s="20">
        <f t="shared" si="18"/>
        <v>-4.8899549914788447E-2</v>
      </c>
      <c r="J200" s="20">
        <f t="shared" si="19"/>
        <v>-2.4295827270690067E-2</v>
      </c>
    </row>
    <row r="201" spans="1:10" ht="15" customHeight="1">
      <c r="A201" s="18" t="str">
        <f>Analysis!A201</f>
        <v>10/1974</v>
      </c>
      <c r="B201" s="19">
        <f>Analysis!E201</f>
        <v>-6.0000000000000497E-2</v>
      </c>
      <c r="C201" s="20">
        <f>Analysis!F201</f>
        <v>0.22509861516835514</v>
      </c>
      <c r="D201" s="19">
        <f t="shared" si="20"/>
        <v>-0.46</v>
      </c>
      <c r="E201" s="19">
        <f>Solar!D201</f>
        <v>1360.7</v>
      </c>
      <c r="F201" s="30">
        <v>-0.69</v>
      </c>
      <c r="G201" s="20">
        <f t="shared" si="16"/>
        <v>-8.8766758274132052E-2</v>
      </c>
      <c r="H201" s="20">
        <f t="shared" si="17"/>
        <v>-1.6039017934219919E-2</v>
      </c>
      <c r="I201" s="20">
        <f t="shared" si="18"/>
        <v>-4.3960982065780578E-2</v>
      </c>
      <c r="J201" s="20">
        <f t="shared" si="19"/>
        <v>-1.9962625850807651E-2</v>
      </c>
    </row>
    <row r="202" spans="1:10" ht="15" customHeight="1">
      <c r="A202" s="18" t="str">
        <f>Analysis!A202</f>
        <v>11/1974</v>
      </c>
      <c r="B202" s="19">
        <f>Analysis!E202</f>
        <v>-8.0000000000001847E-2</v>
      </c>
      <c r="C202" s="20">
        <f>Analysis!F202</f>
        <v>0.22963186648323872</v>
      </c>
      <c r="D202" s="19">
        <f t="shared" si="20"/>
        <v>-0.4</v>
      </c>
      <c r="E202" s="19">
        <f>Solar!D202</f>
        <v>1360.85</v>
      </c>
      <c r="F202" s="30">
        <v>-0.88</v>
      </c>
      <c r="G202" s="20">
        <f t="shared" si="16"/>
        <v>-0.12115872418546014</v>
      </c>
      <c r="H202" s="20">
        <f t="shared" si="17"/>
        <v>1.6351654866122584E-3</v>
      </c>
      <c r="I202" s="20">
        <f t="shared" si="18"/>
        <v>-8.1635165486614106E-2</v>
      </c>
      <c r="J202" s="20">
        <f t="shared" si="19"/>
        <v>-4.5184892044181982E-2</v>
      </c>
    </row>
    <row r="203" spans="1:10" ht="15" customHeight="1">
      <c r="A203" s="18" t="str">
        <f>Analysis!A203</f>
        <v>12/1974</v>
      </c>
      <c r="B203" s="19">
        <f>Analysis!E203</f>
        <v>-8.0000000000001847E-2</v>
      </c>
      <c r="C203" s="20">
        <f>Analysis!F203</f>
        <v>0.23520187051995831</v>
      </c>
      <c r="D203" s="19">
        <f t="shared" si="20"/>
        <v>-0.47</v>
      </c>
      <c r="E203" s="19">
        <f>Solar!D203</f>
        <v>1360.71</v>
      </c>
      <c r="F203" s="30">
        <v>-0.71</v>
      </c>
      <c r="G203" s="20">
        <f t="shared" si="16"/>
        <v>-0.13638472763300002</v>
      </c>
      <c r="H203" s="20">
        <f t="shared" si="17"/>
        <v>1.0842187199498289E-2</v>
      </c>
      <c r="I203" s="20">
        <f t="shared" si="18"/>
        <v>-9.084218719950013E-2</v>
      </c>
      <c r="J203" s="20">
        <f t="shared" si="19"/>
        <v>-3.9092248151913513E-2</v>
      </c>
    </row>
    <row r="204" spans="1:10" ht="15" customHeight="1">
      <c r="A204" s="18" t="str">
        <f>Analysis!A204</f>
        <v>1/1975</v>
      </c>
      <c r="B204" s="19">
        <f>Analysis!E204</f>
        <v>9.9999999999997868E-2</v>
      </c>
      <c r="C204" s="20">
        <f>Analysis!F204</f>
        <v>0.24022708890066147</v>
      </c>
      <c r="D204" s="19">
        <f t="shared" si="20"/>
        <v>-0.69</v>
      </c>
      <c r="E204" s="19">
        <f>Solar!D204</f>
        <v>1360.66</v>
      </c>
      <c r="F204" s="30">
        <v>-0.56000000000000005</v>
      </c>
      <c r="G204" s="20">
        <f t="shared" si="16"/>
        <v>2.9878479379989775E-2</v>
      </c>
      <c r="H204" s="20">
        <f t="shared" si="17"/>
        <v>5.4971282901856711E-3</v>
      </c>
      <c r="I204" s="20">
        <f t="shared" si="18"/>
        <v>9.4502871709812197E-2</v>
      </c>
      <c r="J204" s="20">
        <f t="shared" si="19"/>
        <v>0.16005606122378713</v>
      </c>
    </row>
    <row r="205" spans="1:10" ht="15" customHeight="1">
      <c r="A205" s="18" t="str">
        <f>Analysis!A205</f>
        <v>2/1975</v>
      </c>
      <c r="B205" s="19">
        <f>Analysis!E205</f>
        <v>8.0000000000000071E-2</v>
      </c>
      <c r="C205" s="20">
        <f>Analysis!F205</f>
        <v>0.24340795181458158</v>
      </c>
      <c r="D205" s="19">
        <f t="shared" si="20"/>
        <v>-0.88</v>
      </c>
      <c r="E205" s="19">
        <f>Solar!D205</f>
        <v>1360.64</v>
      </c>
      <c r="F205" s="30">
        <v>-0.55000000000000004</v>
      </c>
      <c r="G205" s="20">
        <f t="shared" si="16"/>
        <v>1.1833636540036219E-3</v>
      </c>
      <c r="H205" s="20">
        <f t="shared" si="17"/>
        <v>-2.3028660051194472E-3</v>
      </c>
      <c r="I205" s="20">
        <f t="shared" si="18"/>
        <v>8.2302866005119518E-2</v>
      </c>
      <c r="J205" s="20">
        <f t="shared" si="19"/>
        <v>0.15659323750280377</v>
      </c>
    </row>
    <row r="206" spans="1:10" ht="15" customHeight="1">
      <c r="A206" s="18" t="str">
        <f>Analysis!A206</f>
        <v>3/1975</v>
      </c>
      <c r="B206" s="19">
        <f>Analysis!E206</f>
        <v>0.11999999999999744</v>
      </c>
      <c r="C206" s="20">
        <f>Analysis!F206</f>
        <v>0.24549566281992086</v>
      </c>
      <c r="D206" s="19">
        <f t="shared" si="20"/>
        <v>-0.71</v>
      </c>
      <c r="E206" s="19">
        <f>Solar!D206</f>
        <v>1360.71</v>
      </c>
      <c r="F206" s="30">
        <v>-0.61</v>
      </c>
      <c r="G206" s="20">
        <f t="shared" si="16"/>
        <v>3.5476456665207601E-2</v>
      </c>
      <c r="H206" s="20">
        <f t="shared" si="17"/>
        <v>1.8228071413492988E-2</v>
      </c>
      <c r="I206" s="20">
        <f t="shared" si="18"/>
        <v>0.10177192858650445</v>
      </c>
      <c r="J206" s="20">
        <f t="shared" si="19"/>
        <v>0.18179681662157771</v>
      </c>
    </row>
    <row r="207" spans="1:10" ht="15" customHeight="1">
      <c r="A207" s="18" t="str">
        <f>Analysis!A207</f>
        <v>4/1975</v>
      </c>
      <c r="B207" s="19">
        <f>Analysis!E207</f>
        <v>3.9999999999999147E-2</v>
      </c>
      <c r="C207" s="20">
        <f>Analysis!F207</f>
        <v>0.25057183736095789</v>
      </c>
      <c r="D207" s="19">
        <f t="shared" si="20"/>
        <v>-0.56000000000000005</v>
      </c>
      <c r="E207" s="19">
        <f>Solar!D207</f>
        <v>1360.8</v>
      </c>
      <c r="F207" s="30">
        <v>-0.66</v>
      </c>
      <c r="G207" s="20">
        <f t="shared" si="16"/>
        <v>-5.8399628621734756E-2</v>
      </c>
      <c r="H207" s="20">
        <f t="shared" si="17"/>
        <v>4.5226953547986441E-2</v>
      </c>
      <c r="I207" s="20">
        <f t="shared" si="18"/>
        <v>-5.2269535479872939E-3</v>
      </c>
      <c r="J207" s="20">
        <f t="shared" si="19"/>
        <v>8.8741151138146956E-2</v>
      </c>
    </row>
    <row r="208" spans="1:10" ht="15" customHeight="1">
      <c r="A208" s="18" t="str">
        <f>Analysis!A208</f>
        <v>5/1975</v>
      </c>
      <c r="B208" s="19">
        <f>Analysis!E208</f>
        <v>0.16000000000000014</v>
      </c>
      <c r="C208" s="20">
        <f>Analysis!F208</f>
        <v>0.25420528705036982</v>
      </c>
      <c r="D208" s="19">
        <f t="shared" si="20"/>
        <v>-0.55000000000000004</v>
      </c>
      <c r="E208" s="19">
        <f>Solar!D208</f>
        <v>1360.79</v>
      </c>
      <c r="F208" s="30">
        <v>-0.8</v>
      </c>
      <c r="G208" s="20">
        <f t="shared" si="16"/>
        <v>5.1668077409942503E-2</v>
      </c>
      <c r="H208" s="20">
        <f t="shared" si="17"/>
        <v>5.6077676839933664E-2</v>
      </c>
      <c r="I208" s="20">
        <f t="shared" si="18"/>
        <v>0.10392232316006647</v>
      </c>
      <c r="J208" s="20">
        <f t="shared" si="19"/>
        <v>0.20787077343925245</v>
      </c>
    </row>
    <row r="209" spans="1:10" ht="15" customHeight="1">
      <c r="A209" s="18" t="str">
        <f>Analysis!A209</f>
        <v>6/1975</v>
      </c>
      <c r="B209" s="19">
        <f>Analysis!E209</f>
        <v>-9.9999999999980105E-3</v>
      </c>
      <c r="C209" s="20">
        <f>Analysis!F209</f>
        <v>0.25191381895195386</v>
      </c>
      <c r="D209" s="19">
        <f t="shared" si="20"/>
        <v>-0.61</v>
      </c>
      <c r="E209" s="19">
        <f>Solar!D209</f>
        <v>1360.7</v>
      </c>
      <c r="F209" s="30">
        <v>-0.92</v>
      </c>
      <c r="G209" s="20">
        <f t="shared" si="16"/>
        <v>-0.11206803104951069</v>
      </c>
      <c r="H209" s="20">
        <f t="shared" si="17"/>
        <v>4.4561214911777954E-2</v>
      </c>
      <c r="I209" s="20">
        <f t="shared" si="18"/>
        <v>-5.4561214911775964E-2</v>
      </c>
      <c r="J209" s="20">
        <f t="shared" si="19"/>
        <v>4.3093039632627277E-2</v>
      </c>
    </row>
    <row r="210" spans="1:10" ht="15" customHeight="1">
      <c r="A210" s="18" t="str">
        <f>Analysis!A210</f>
        <v>7/1975</v>
      </c>
      <c r="B210" s="19">
        <f>Analysis!E210</f>
        <v>-9.9999999999980105E-3</v>
      </c>
      <c r="C210" s="20">
        <f>Analysis!F210</f>
        <v>0.24562604450194436</v>
      </c>
      <c r="D210" s="19">
        <f t="shared" si="20"/>
        <v>-0.66</v>
      </c>
      <c r="E210" s="19">
        <f>Solar!D210</f>
        <v>1360.65</v>
      </c>
      <c r="F210" s="30">
        <v>-1.08</v>
      </c>
      <c r="G210" s="20">
        <f t="shared" si="16"/>
        <v>-9.4879950965177207E-2</v>
      </c>
      <c r="H210" s="20">
        <f t="shared" si="17"/>
        <v>2.2938091809284522E-2</v>
      </c>
      <c r="I210" s="20">
        <f t="shared" si="18"/>
        <v>-3.2938091809282533E-2</v>
      </c>
      <c r="J210" s="20">
        <f t="shared" si="19"/>
        <v>4.7444928127104768E-2</v>
      </c>
    </row>
    <row r="211" spans="1:10" ht="15" customHeight="1">
      <c r="A211" s="18" t="str">
        <f>Analysis!A211</f>
        <v>8/1975</v>
      </c>
      <c r="B211" s="19">
        <f>Analysis!E211</f>
        <v>-0.16999999999999638</v>
      </c>
      <c r="C211" s="20">
        <f>Analysis!F211</f>
        <v>0.23682059058160543</v>
      </c>
      <c r="D211" s="19">
        <f t="shared" si="20"/>
        <v>-0.8</v>
      </c>
      <c r="E211" s="19">
        <f>Solar!D211</f>
        <v>1360.51</v>
      </c>
      <c r="F211" s="30">
        <v>-1.1200000000000001</v>
      </c>
      <c r="G211" s="20">
        <f t="shared" si="16"/>
        <v>-0.23080961441525916</v>
      </c>
      <c r="H211" s="20">
        <f t="shared" si="17"/>
        <v>-1.3433982841950159E-2</v>
      </c>
      <c r="I211" s="20">
        <f t="shared" si="18"/>
        <v>-0.15656601715804622</v>
      </c>
      <c r="J211" s="20">
        <f t="shared" si="19"/>
        <v>-0.10036978408835665</v>
      </c>
    </row>
    <row r="212" spans="1:10" ht="15" customHeight="1">
      <c r="A212" s="18" t="str">
        <f>Analysis!A212</f>
        <v>9/1975</v>
      </c>
      <c r="B212" s="19">
        <f>Analysis!E212</f>
        <v>-1.9999999999999574E-2</v>
      </c>
      <c r="C212" s="20">
        <f>Analysis!F212</f>
        <v>0.23042262505163516</v>
      </c>
      <c r="D212" s="19">
        <f t="shared" si="20"/>
        <v>-0.92</v>
      </c>
      <c r="E212" s="19">
        <f>Solar!D212</f>
        <v>1360.84</v>
      </c>
      <c r="F212" s="30">
        <v>-1.29</v>
      </c>
      <c r="G212" s="20">
        <f t="shared" si="16"/>
        <v>-6.3320319151853433E-2</v>
      </c>
      <c r="H212" s="20">
        <f t="shared" si="17"/>
        <v>-4.1452422270153014E-2</v>
      </c>
      <c r="I212" s="20">
        <f t="shared" si="18"/>
        <v>2.145242227015344E-2</v>
      </c>
      <c r="J212" s="20">
        <f t="shared" si="19"/>
        <v>6.0074748298386119E-2</v>
      </c>
    </row>
    <row r="213" spans="1:10" ht="15" customHeight="1">
      <c r="A213" s="18" t="str">
        <f>Analysis!A213</f>
        <v>10/1975</v>
      </c>
      <c r="B213" s="19">
        <f>Analysis!E213</f>
        <v>-0.10999999999999766</v>
      </c>
      <c r="C213" s="20">
        <f>Analysis!F213</f>
        <v>0.22985156512086161</v>
      </c>
      <c r="D213" s="19">
        <f t="shared" si="20"/>
        <v>-1.08</v>
      </c>
      <c r="E213" s="19">
        <f>Solar!D213</f>
        <v>1360.77</v>
      </c>
      <c r="F213" s="30">
        <v>-1.32</v>
      </c>
      <c r="G213" s="20">
        <f t="shared" si="16"/>
        <v>-0.1517592860866348</v>
      </c>
      <c r="H213" s="20">
        <f t="shared" si="17"/>
        <v>-5.6947050667813054E-2</v>
      </c>
      <c r="I213" s="20">
        <f t="shared" si="18"/>
        <v>-5.3052949332184601E-2</v>
      </c>
      <c r="J213" s="20">
        <f t="shared" si="19"/>
        <v>-1.5999208519284019E-2</v>
      </c>
    </row>
    <row r="214" spans="1:10" ht="15" customHeight="1">
      <c r="A214" s="18" t="str">
        <f>Analysis!A214</f>
        <v>11/1975</v>
      </c>
      <c r="B214" s="19">
        <f>Analysis!E214</f>
        <v>-0.16999999999999638</v>
      </c>
      <c r="C214" s="20">
        <f>Analysis!F214</f>
        <v>0.2343261299073639</v>
      </c>
      <c r="D214" s="19">
        <f t="shared" si="20"/>
        <v>-1.1200000000000001</v>
      </c>
      <c r="E214" s="19">
        <f>Solar!D214</f>
        <v>1360.77</v>
      </c>
      <c r="F214" s="30">
        <v>-1.47</v>
      </c>
      <c r="G214" s="20">
        <f t="shared" si="16"/>
        <v>-0.22399082818541605</v>
      </c>
      <c r="H214" s="20">
        <f t="shared" si="17"/>
        <v>-4.8137844165745972E-2</v>
      </c>
      <c r="I214" s="20">
        <f t="shared" si="18"/>
        <v>-0.1218621558342504</v>
      </c>
      <c r="J214" s="20">
        <f t="shared" si="19"/>
        <v>-7.2517697723700744E-2</v>
      </c>
    </row>
    <row r="215" spans="1:10" ht="15" customHeight="1">
      <c r="A215" s="18" t="str">
        <f>Analysis!A215</f>
        <v>12/1975</v>
      </c>
      <c r="B215" s="19">
        <f>Analysis!E215</f>
        <v>-0.16999999999999638</v>
      </c>
      <c r="C215" s="20">
        <f>Analysis!F215</f>
        <v>0.24040156449160882</v>
      </c>
      <c r="D215" s="19">
        <f t="shared" si="20"/>
        <v>-1.29</v>
      </c>
      <c r="E215" s="19">
        <f>Solar!D215</f>
        <v>1360.74</v>
      </c>
      <c r="F215" s="30">
        <v>-1.58</v>
      </c>
      <c r="G215" s="20">
        <f t="shared" si="16"/>
        <v>-0.24059846209648506</v>
      </c>
      <c r="H215" s="20">
        <f t="shared" si="17"/>
        <v>-4.6246284763263631E-2</v>
      </c>
      <c r="I215" s="20">
        <f t="shared" si="18"/>
        <v>-0.12375371523673274</v>
      </c>
      <c r="J215" s="20">
        <f t="shared" si="19"/>
        <v>-5.7721276842477312E-2</v>
      </c>
    </row>
    <row r="216" spans="1:10" ht="15" customHeight="1">
      <c r="A216" s="18" t="str">
        <f>Analysis!A216</f>
        <v>1/1976</v>
      </c>
      <c r="B216" s="19">
        <f>Analysis!E216</f>
        <v>-2.9999999999999361E-2</v>
      </c>
      <c r="C216" s="20">
        <f>Analysis!F216</f>
        <v>0.2438431408139568</v>
      </c>
      <c r="D216" s="19">
        <f t="shared" si="20"/>
        <v>-1.32</v>
      </c>
      <c r="E216" s="19">
        <f>Solar!D216</f>
        <v>1360.71</v>
      </c>
      <c r="F216" s="30">
        <v>-1.49</v>
      </c>
      <c r="G216" s="20">
        <f t="shared" si="16"/>
        <v>-0.11000625652600582</v>
      </c>
      <c r="H216" s="20">
        <f t="shared" si="17"/>
        <v>-3.9404109291514611E-2</v>
      </c>
      <c r="I216" s="20">
        <f t="shared" si="18"/>
        <v>9.4041092915152502E-3</v>
      </c>
      <c r="J216" s="20">
        <f t="shared" si="19"/>
        <v>8.4889856254206197E-2</v>
      </c>
    </row>
    <row r="217" spans="1:10" ht="15" customHeight="1">
      <c r="A217" s="18" t="str">
        <f>Analysis!A217</f>
        <v>2/1976</v>
      </c>
      <c r="B217" s="19">
        <f>Analysis!E217</f>
        <v>-6.0000000000000497E-2</v>
      </c>
      <c r="C217" s="20">
        <f>Analysis!F217</f>
        <v>0.24896848158992504</v>
      </c>
      <c r="D217" s="19">
        <f t="shared" si="20"/>
        <v>-1.47</v>
      </c>
      <c r="E217" s="19">
        <f>Solar!D217</f>
        <v>1360.71</v>
      </c>
      <c r="F217" s="30">
        <v>-1.1100000000000001</v>
      </c>
      <c r="G217" s="20">
        <f t="shared" si="16"/>
        <v>-0.15401674122408782</v>
      </c>
      <c r="H217" s="20">
        <f t="shared" si="17"/>
        <v>-3.8381508499405942E-2</v>
      </c>
      <c r="I217" s="20">
        <f t="shared" si="18"/>
        <v>-2.1618491500594555E-2</v>
      </c>
      <c r="J217" s="20">
        <f t="shared" si="19"/>
        <v>6.7945521737637488E-2</v>
      </c>
    </row>
    <row r="218" spans="1:10" ht="15" customHeight="1">
      <c r="A218" s="18" t="str">
        <f>Analysis!A218</f>
        <v>3/1976</v>
      </c>
      <c r="B218" s="19">
        <f>Analysis!E218</f>
        <v>-0.21999999999999886</v>
      </c>
      <c r="C218" s="20">
        <f>Analysis!F218</f>
        <v>0.25165417798285766</v>
      </c>
      <c r="D218" s="19">
        <f t="shared" si="20"/>
        <v>-1.58</v>
      </c>
      <c r="E218" s="19">
        <f>Solar!D218</f>
        <v>1360.57</v>
      </c>
      <c r="F218" s="30">
        <v>-0.65</v>
      </c>
      <c r="G218" s="20">
        <f t="shared" si="16"/>
        <v>-0.32135828393541255</v>
      </c>
      <c r="H218" s="20">
        <f t="shared" si="17"/>
        <v>-4.057860269359137E-2</v>
      </c>
      <c r="I218" s="20">
        <f t="shared" si="18"/>
        <v>-0.17942139730640749</v>
      </c>
      <c r="J218" s="20">
        <f t="shared" si="19"/>
        <v>-8.2480323574510406E-2</v>
      </c>
    </row>
    <row r="219" spans="1:10" ht="15" customHeight="1">
      <c r="A219" s="18" t="str">
        <f>Analysis!A219</f>
        <v>4/1976</v>
      </c>
      <c r="B219" s="19">
        <f>Analysis!E219</f>
        <v>-7.0000000000000284E-2</v>
      </c>
      <c r="C219" s="20">
        <f>Analysis!F219</f>
        <v>0.25761413004954092</v>
      </c>
      <c r="D219" s="19">
        <f t="shared" si="20"/>
        <v>-1.49</v>
      </c>
      <c r="E219" s="19">
        <f>Solar!D219</f>
        <v>1360.63</v>
      </c>
      <c r="F219" s="30">
        <v>-0.45</v>
      </c>
      <c r="G219" s="20">
        <f t="shared" si="16"/>
        <v>-0.18765023814518789</v>
      </c>
      <c r="H219" s="20">
        <f t="shared" si="17"/>
        <v>-1.6374430053660766E-2</v>
      </c>
      <c r="I219" s="20">
        <f t="shared" si="18"/>
        <v>-5.3625569946339519E-2</v>
      </c>
      <c r="J219" s="20">
        <f t="shared" si="19"/>
        <v>5.9686277135428706E-2</v>
      </c>
    </row>
    <row r="220" spans="1:10" ht="15" customHeight="1">
      <c r="A220" s="18" t="str">
        <f>Analysis!A220</f>
        <v>5/1976</v>
      </c>
      <c r="B220" s="19">
        <f>Analysis!E220</f>
        <v>-0.19999999999999751</v>
      </c>
      <c r="C220" s="20">
        <f>Analysis!F220</f>
        <v>0.25752792952725034</v>
      </c>
      <c r="D220" s="19">
        <f t="shared" si="20"/>
        <v>-1.1100000000000001</v>
      </c>
      <c r="E220" s="19">
        <f>Solar!D220</f>
        <v>1360.76</v>
      </c>
      <c r="F220" s="30">
        <v>-0.23</v>
      </c>
      <c r="G220" s="20">
        <f t="shared" si="16"/>
        <v>-0.31741460286719902</v>
      </c>
      <c r="H220" s="20">
        <f t="shared" si="17"/>
        <v>1.6463147242206391E-2</v>
      </c>
      <c r="I220" s="20">
        <f t="shared" si="18"/>
        <v>-0.21646314724220389</v>
      </c>
      <c r="J220" s="20">
        <f t="shared" si="19"/>
        <v>-0.10338807542259738</v>
      </c>
    </row>
    <row r="221" spans="1:10" ht="15" customHeight="1">
      <c r="A221" s="18" t="str">
        <f>Analysis!A221</f>
        <v>6/1976</v>
      </c>
      <c r="B221" s="19">
        <f>Analysis!E221</f>
        <v>-0.11999999999999744</v>
      </c>
      <c r="C221" s="20">
        <f>Analysis!F221</f>
        <v>0.25429168632221816</v>
      </c>
      <c r="D221" s="19">
        <f t="shared" si="20"/>
        <v>-0.65</v>
      </c>
      <c r="E221" s="19">
        <f>Solar!D221</f>
        <v>1360.71</v>
      </c>
      <c r="F221" s="30">
        <v>0</v>
      </c>
      <c r="G221" s="20">
        <f t="shared" si="16"/>
        <v>-0.22856810116413784</v>
      </c>
      <c r="H221" s="20">
        <f t="shared" si="17"/>
        <v>4.7611221037659107E-2</v>
      </c>
      <c r="I221" s="20">
        <f t="shared" si="18"/>
        <v>-0.16761122103765655</v>
      </c>
      <c r="J221" s="20">
        <f t="shared" si="19"/>
        <v>-6.3425449571790166E-2</v>
      </c>
    </row>
    <row r="222" spans="1:10" ht="15" customHeight="1">
      <c r="A222" s="18" t="str">
        <f>Analysis!A222</f>
        <v>7/1976</v>
      </c>
      <c r="B222" s="19">
        <f>Analysis!E222</f>
        <v>-0.10000000000000142</v>
      </c>
      <c r="C222" s="20">
        <f>Analysis!F222</f>
        <v>0.2504419019033377</v>
      </c>
      <c r="D222" s="19">
        <f t="shared" si="20"/>
        <v>-0.45</v>
      </c>
      <c r="E222" s="19">
        <f>Solar!D222</f>
        <v>1360.68</v>
      </c>
      <c r="F222" s="30">
        <v>0.23</v>
      </c>
      <c r="G222" s="20">
        <f t="shared" si="16"/>
        <v>-0.19804444077759009</v>
      </c>
      <c r="H222" s="20">
        <f t="shared" si="17"/>
        <v>5.4444202021992814E-2</v>
      </c>
      <c r="I222" s="20">
        <f t="shared" si="18"/>
        <v>-0.15444420202199424</v>
      </c>
      <c r="J222" s="20">
        <f t="shared" si="19"/>
        <v>-6.0833003549704077E-2</v>
      </c>
    </row>
    <row r="223" spans="1:10" ht="15" customHeight="1">
      <c r="A223" s="18" t="str">
        <f>Analysis!A223</f>
        <v>8/1976</v>
      </c>
      <c r="B223" s="19">
        <f>Analysis!E223</f>
        <v>-0.11999999999999744</v>
      </c>
      <c r="C223" s="20">
        <f>Analysis!F223</f>
        <v>0.24000896473507025</v>
      </c>
      <c r="D223" s="19">
        <f t="shared" si="20"/>
        <v>-0.23</v>
      </c>
      <c r="E223" s="19">
        <f>Solar!D223</f>
        <v>1360.67</v>
      </c>
      <c r="F223" s="30">
        <v>0.4</v>
      </c>
      <c r="G223" s="20">
        <f t="shared" si="16"/>
        <v>-0.18952526265046199</v>
      </c>
      <c r="H223" s="20">
        <f t="shared" si="17"/>
        <v>4.4935359822613985E-2</v>
      </c>
      <c r="I223" s="20">
        <f t="shared" si="18"/>
        <v>-0.16493535982261143</v>
      </c>
      <c r="J223" s="20">
        <f t="shared" si="19"/>
        <v>-9.9981312925401022E-2</v>
      </c>
    </row>
    <row r="224" spans="1:10" ht="15" customHeight="1">
      <c r="A224" s="18" t="str">
        <f>Analysis!A224</f>
        <v>9/1976</v>
      </c>
      <c r="B224" s="19">
        <f>Analysis!E224</f>
        <v>-6.0000000000000497E-2</v>
      </c>
      <c r="C224" s="20">
        <f>Analysis!F224</f>
        <v>0.23248534247418692</v>
      </c>
      <c r="D224" s="19">
        <f t="shared" si="20"/>
        <v>0</v>
      </c>
      <c r="E224" s="19">
        <f>Solar!D224</f>
        <v>1360.72</v>
      </c>
      <c r="F224" s="30">
        <v>0.6</v>
      </c>
      <c r="G224" s="20">
        <f t="shared" si="16"/>
        <v>-0.10895890439883571</v>
      </c>
      <c r="H224" s="20">
        <f t="shared" si="17"/>
        <v>4.4288190288818474E-2</v>
      </c>
      <c r="I224" s="20">
        <f t="shared" si="18"/>
        <v>-0.10428819028881897</v>
      </c>
      <c r="J224" s="20">
        <f t="shared" si="19"/>
        <v>-6.0000000000000497E-2</v>
      </c>
    </row>
    <row r="225" spans="1:10" ht="15" customHeight="1">
      <c r="A225" s="18" t="str">
        <f>Analysis!A225</f>
        <v>10/1976</v>
      </c>
      <c r="B225" s="19">
        <f>Analysis!E225</f>
        <v>-0.24000000000000021</v>
      </c>
      <c r="C225" s="20">
        <f>Analysis!F225</f>
        <v>0.23143240844796537</v>
      </c>
      <c r="D225" s="19">
        <f t="shared" si="20"/>
        <v>0.23</v>
      </c>
      <c r="E225" s="19">
        <f>Solar!D225</f>
        <v>1360.79</v>
      </c>
      <c r="F225" s="30">
        <v>0.79</v>
      </c>
      <c r="G225" s="20">
        <f t="shared" si="16"/>
        <v>-0.28608063411256768</v>
      </c>
      <c r="H225" s="20">
        <f t="shared" si="17"/>
        <v>6.1414682241242802E-2</v>
      </c>
      <c r="I225" s="20">
        <f t="shared" si="18"/>
        <v>-0.30141468224124301</v>
      </c>
      <c r="J225" s="20">
        <f t="shared" si="19"/>
        <v>-0.26001868707459663</v>
      </c>
    </row>
    <row r="226" spans="1:10" ht="15" customHeight="1">
      <c r="A226" s="18" t="str">
        <f>Analysis!A226</f>
        <v>11/1976</v>
      </c>
      <c r="B226" s="19">
        <f>Analysis!E226</f>
        <v>-6.0000000000000497E-2</v>
      </c>
      <c r="C226" s="20">
        <f>Analysis!F226</f>
        <v>0.23773851628734363</v>
      </c>
      <c r="D226" s="19">
        <f t="shared" si="20"/>
        <v>0.4</v>
      </c>
      <c r="E226" s="19">
        <f>Solar!D226</f>
        <v>1360.71</v>
      </c>
      <c r="F226" s="30">
        <v>0.81</v>
      </c>
      <c r="G226" s="20">
        <f t="shared" si="16"/>
        <v>-0.12331882982480658</v>
      </c>
      <c r="H226" s="20">
        <f t="shared" si="17"/>
        <v>9.3532695813690378E-2</v>
      </c>
      <c r="I226" s="20">
        <f t="shared" si="18"/>
        <v>-0.15353269581369089</v>
      </c>
      <c r="J226" s="20">
        <f t="shared" si="19"/>
        <v>-9.4815107955820363E-2</v>
      </c>
    </row>
    <row r="227" spans="1:10" ht="15" customHeight="1">
      <c r="A227" s="18" t="str">
        <f>Analysis!A227</f>
        <v>12/1976</v>
      </c>
      <c r="B227" s="19">
        <f>Analysis!E227</f>
        <v>0.10999999999999766</v>
      </c>
      <c r="C227" s="20">
        <f>Analysis!F227</f>
        <v>0.24410419121562613</v>
      </c>
      <c r="D227" s="19">
        <f t="shared" si="20"/>
        <v>0.6</v>
      </c>
      <c r="E227" s="19">
        <f>Solar!D227</f>
        <v>1360.67</v>
      </c>
      <c r="F227" s="30">
        <v>0.84</v>
      </c>
      <c r="G227" s="20">
        <f t="shared" si="16"/>
        <v>2.9280143575392326E-2</v>
      </c>
      <c r="H227" s="20">
        <f t="shared" si="17"/>
        <v>0.12842546113288275</v>
      </c>
      <c r="I227" s="20">
        <f t="shared" si="18"/>
        <v>-1.8425461132885096E-2</v>
      </c>
      <c r="J227" s="20">
        <f t="shared" si="19"/>
        <v>5.7777338066267864E-2</v>
      </c>
    </row>
    <row r="228" spans="1:10" ht="15" customHeight="1">
      <c r="A228" s="18" t="str">
        <f>Analysis!A228</f>
        <v>1/1977</v>
      </c>
      <c r="B228" s="19">
        <f>Analysis!E228</f>
        <v>0.19000000000000128</v>
      </c>
      <c r="C228" s="20">
        <f>Analysis!F228</f>
        <v>0.248708309960915</v>
      </c>
      <c r="D228" s="19">
        <f t="shared" si="20"/>
        <v>0.79</v>
      </c>
      <c r="E228" s="19">
        <f>Solar!D228</f>
        <v>1360.76</v>
      </c>
      <c r="F228" s="30">
        <v>0.71</v>
      </c>
      <c r="G228" s="20">
        <f t="shared" si="16"/>
        <v>9.6694456486749347E-2</v>
      </c>
      <c r="H228" s="20">
        <f t="shared" si="17"/>
        <v>0.15760921302386555</v>
      </c>
      <c r="I228" s="20">
        <f t="shared" si="18"/>
        <v>3.2390786976135733E-2</v>
      </c>
      <c r="J228" s="20">
        <f t="shared" si="19"/>
        <v>0.12124016178725705</v>
      </c>
    </row>
    <row r="229" spans="1:10" ht="15" customHeight="1">
      <c r="A229" s="18" t="str">
        <f>Analysis!A229</f>
        <v>2/1977</v>
      </c>
      <c r="B229" s="19">
        <f>Analysis!E229</f>
        <v>0.2300000000000022</v>
      </c>
      <c r="C229" s="20">
        <f>Analysis!F229</f>
        <v>0.25083167317379135</v>
      </c>
      <c r="D229" s="19">
        <f t="shared" si="20"/>
        <v>0.81</v>
      </c>
      <c r="E229" s="19">
        <f>Solar!D229</f>
        <v>1360.86</v>
      </c>
      <c r="F229" s="30">
        <v>0.66</v>
      </c>
      <c r="G229" s="20">
        <f t="shared" si="16"/>
        <v>0.13089009164491161</v>
      </c>
      <c r="H229" s="20">
        <f t="shared" si="17"/>
        <v>0.16518241430520159</v>
      </c>
      <c r="I229" s="20">
        <f t="shared" si="18"/>
        <v>6.4817585694800617E-2</v>
      </c>
      <c r="J229" s="20">
        <f t="shared" si="19"/>
        <v>0.15949940638946697</v>
      </c>
    </row>
    <row r="230" spans="1:10" ht="15" customHeight="1">
      <c r="A230" s="18" t="str">
        <f>Analysis!A230</f>
        <v>3/1977</v>
      </c>
      <c r="B230" s="19">
        <f>Analysis!E230</f>
        <v>0.24000000000000199</v>
      </c>
      <c r="C230" s="20">
        <f>Analysis!F230</f>
        <v>0.25856199602061081</v>
      </c>
      <c r="D230" s="19">
        <f t="shared" si="20"/>
        <v>0.84</v>
      </c>
      <c r="E230" s="19">
        <f>Solar!D230</f>
        <v>1360.75</v>
      </c>
      <c r="F230" s="30">
        <v>0.33</v>
      </c>
      <c r="G230" s="20">
        <f t="shared" si="16"/>
        <v>0.11975870259378452</v>
      </c>
      <c r="H230" s="20">
        <f t="shared" si="17"/>
        <v>0.18902716838250749</v>
      </c>
      <c r="I230" s="20">
        <f t="shared" si="18"/>
        <v>5.0972831617494496E-2</v>
      </c>
      <c r="J230" s="20">
        <f t="shared" si="19"/>
        <v>0.16688827329278028</v>
      </c>
    </row>
    <row r="231" spans="1:10" ht="15" customHeight="1">
      <c r="A231" s="18" t="str">
        <f>Analysis!A231</f>
        <v>4/1977</v>
      </c>
      <c r="B231" s="19">
        <f>Analysis!E231</f>
        <v>0.25999999999999979</v>
      </c>
      <c r="C231" s="20">
        <f>Analysis!F231</f>
        <v>0.26363540356832926</v>
      </c>
      <c r="D231" s="19">
        <f t="shared" si="20"/>
        <v>0.71</v>
      </c>
      <c r="E231" s="19">
        <f>Solar!D231</f>
        <v>1360.82</v>
      </c>
      <c r="F231" s="30">
        <v>0.26</v>
      </c>
      <c r="G231" s="20">
        <f t="shared" si="16"/>
        <v>0.12589018108049632</v>
      </c>
      <c r="H231" s="20">
        <f t="shared" si="17"/>
        <v>0.19164787458135152</v>
      </c>
      <c r="I231" s="20">
        <f t="shared" si="18"/>
        <v>6.8352125418648269E-2</v>
      </c>
      <c r="J231" s="20">
        <f t="shared" si="19"/>
        <v>0.19820318337841952</v>
      </c>
    </row>
    <row r="232" spans="1:10" ht="15" customHeight="1">
      <c r="A232" s="18" t="str">
        <f>Analysis!A232</f>
        <v>5/1977</v>
      </c>
      <c r="B232" s="19">
        <f>Analysis!E232</f>
        <v>0.32999999999999652</v>
      </c>
      <c r="C232" s="20">
        <f>Analysis!F232</f>
        <v>0.26702206351656388</v>
      </c>
      <c r="D232" s="19">
        <f t="shared" si="20"/>
        <v>0.66</v>
      </c>
      <c r="E232" s="19">
        <f>Solar!D232</f>
        <v>1360.91</v>
      </c>
      <c r="F232" s="30">
        <v>0.26</v>
      </c>
      <c r="G232" s="20">
        <f t="shared" si="16"/>
        <v>0.1866325044778322</v>
      </c>
      <c r="H232" s="20">
        <f t="shared" si="17"/>
        <v>0.19659845057070147</v>
      </c>
      <c r="I232" s="20">
        <f t="shared" si="18"/>
        <v>0.13340154942929505</v>
      </c>
      <c r="J232" s="20">
        <f t="shared" si="19"/>
        <v>0.27255507187289374</v>
      </c>
    </row>
    <row r="233" spans="1:10" ht="15" customHeight="1">
      <c r="A233" s="18" t="str">
        <f>Analysis!A233</f>
        <v>6/1977</v>
      </c>
      <c r="B233" s="19">
        <f>Analysis!E233</f>
        <v>0.27000000000000135</v>
      </c>
      <c r="C233" s="20">
        <f>Analysis!F233</f>
        <v>0.26376415623080784</v>
      </c>
      <c r="D233" s="19">
        <f t="shared" si="20"/>
        <v>0.33</v>
      </c>
      <c r="E233" s="19">
        <f>Solar!D233</f>
        <v>1360.71</v>
      </c>
      <c r="F233" s="30">
        <v>0.46</v>
      </c>
      <c r="G233" s="20">
        <f t="shared" si="16"/>
        <v>0.13553822649126324</v>
      </c>
      <c r="H233" s="20">
        <f t="shared" si="17"/>
        <v>0.15892717934003364</v>
      </c>
      <c r="I233" s="20">
        <f t="shared" si="18"/>
        <v>0.11107282065996771</v>
      </c>
      <c r="J233" s="20">
        <f t="shared" si="19"/>
        <v>0.24127753593644996</v>
      </c>
    </row>
    <row r="234" spans="1:10" ht="15" customHeight="1">
      <c r="A234" s="18" t="str">
        <f>Analysis!A234</f>
        <v>7/1977</v>
      </c>
      <c r="B234" s="19">
        <f>Analysis!E234</f>
        <v>0.20000000000000107</v>
      </c>
      <c r="C234" s="20">
        <f>Analysis!F234</f>
        <v>0.25826046984839379</v>
      </c>
      <c r="D234" s="19">
        <f t="shared" si="20"/>
        <v>0.26</v>
      </c>
      <c r="E234" s="19">
        <f>Solar!D234</f>
        <v>1360.9</v>
      </c>
      <c r="F234" s="30">
        <v>0.39</v>
      </c>
      <c r="G234" s="20">
        <f t="shared" si="16"/>
        <v>8.0582945899072778E-2</v>
      </c>
      <c r="H234" s="20">
        <f t="shared" si="17"/>
        <v>0.13771703091967702</v>
      </c>
      <c r="I234" s="20">
        <f t="shared" si="18"/>
        <v>6.2282969080324047E-2</v>
      </c>
      <c r="J234" s="20">
        <f t="shared" si="19"/>
        <v>0.17737017982871817</v>
      </c>
    </row>
    <row r="235" spans="1:10" ht="15" customHeight="1">
      <c r="A235" s="18" t="str">
        <f>Analysis!A235</f>
        <v>8/1977</v>
      </c>
      <c r="B235" s="19">
        <f>Analysis!E235</f>
        <v>0.17999999999999972</v>
      </c>
      <c r="C235" s="20">
        <f>Analysis!F235</f>
        <v>0.2481878259046813</v>
      </c>
      <c r="D235" s="19">
        <f t="shared" si="20"/>
        <v>0.26</v>
      </c>
      <c r="E235" s="19">
        <f>Solar!D235</f>
        <v>1360.93</v>
      </c>
      <c r="F235" s="30">
        <v>0.35</v>
      </c>
      <c r="G235" s="20">
        <f t="shared" si="16"/>
        <v>8.8117236790381304E-2</v>
      </c>
      <c r="H235" s="20">
        <f t="shared" si="17"/>
        <v>0.1100495313841925</v>
      </c>
      <c r="I235" s="20">
        <f t="shared" si="18"/>
        <v>6.9950468615807213E-2</v>
      </c>
      <c r="J235" s="20">
        <f t="shared" si="19"/>
        <v>0.15737017982871682</v>
      </c>
    </row>
    <row r="236" spans="1:10" ht="15" customHeight="1">
      <c r="A236" s="18" t="str">
        <f>Analysis!A236</f>
        <v>9/1977</v>
      </c>
      <c r="B236" s="19">
        <f>Analysis!E236</f>
        <v>2.0000000000003126E-2</v>
      </c>
      <c r="C236" s="20">
        <f>Analysis!F236</f>
        <v>0.24266782910668239</v>
      </c>
      <c r="D236" s="19">
        <f t="shared" si="20"/>
        <v>0.46</v>
      </c>
      <c r="E236" s="19">
        <f>Solar!D236</f>
        <v>1360.66</v>
      </c>
      <c r="F236" s="30">
        <v>0.45</v>
      </c>
      <c r="G236" s="20">
        <f t="shared" si="16"/>
        <v>-5.6793458117075479E-2</v>
      </c>
      <c r="H236" s="20">
        <f t="shared" si="17"/>
        <v>0.11229477944739341</v>
      </c>
      <c r="I236" s="20">
        <f t="shared" si="18"/>
        <v>-9.2294779447390285E-2</v>
      </c>
      <c r="J236" s="20">
        <f t="shared" si="19"/>
        <v>-2.003737414918972E-2</v>
      </c>
    </row>
    <row r="237" spans="1:10" ht="15" customHeight="1">
      <c r="A237" s="18" t="str">
        <f>Analysis!A237</f>
        <v>10/1977</v>
      </c>
      <c r="B237" s="19">
        <f>Analysis!E237</f>
        <v>2.9999999999997584E-2</v>
      </c>
      <c r="C237" s="20">
        <f>Analysis!F237</f>
        <v>0.24262428065018715</v>
      </c>
      <c r="D237" s="19">
        <f t="shared" si="20"/>
        <v>0.39</v>
      </c>
      <c r="E237" s="19">
        <f>Solar!D237</f>
        <v>1360.9</v>
      </c>
      <c r="F237" s="30">
        <v>0.68</v>
      </c>
      <c r="G237" s="20">
        <f t="shared" si="16"/>
        <v>-4.6674415304120642E-2</v>
      </c>
      <c r="H237" s="20">
        <f t="shared" si="17"/>
        <v>0.10608251682278549</v>
      </c>
      <c r="I237" s="20">
        <f t="shared" si="18"/>
        <v>-7.608251682278791E-2</v>
      </c>
      <c r="J237" s="20">
        <f t="shared" si="19"/>
        <v>-3.9447302569267859E-3</v>
      </c>
    </row>
    <row r="238" spans="1:10" ht="15" customHeight="1">
      <c r="A238" s="18" t="str">
        <f>Analysis!A238</f>
        <v>11/1977</v>
      </c>
      <c r="B238" s="19">
        <f>Analysis!E238</f>
        <v>0.16000000000000014</v>
      </c>
      <c r="C238" s="20">
        <f>Analysis!F238</f>
        <v>0.24775394570505929</v>
      </c>
      <c r="D238" s="19">
        <f t="shared" si="20"/>
        <v>0.35</v>
      </c>
      <c r="E238" s="19">
        <f>Solar!D238</f>
        <v>1361.29</v>
      </c>
      <c r="F238" s="30">
        <v>0.84</v>
      </c>
      <c r="G238" s="20">
        <f t="shared" si="16"/>
        <v>6.9303279272884932E-2</v>
      </c>
      <c r="H238" s="20">
        <f t="shared" si="17"/>
        <v>0.11669115021535963</v>
      </c>
      <c r="I238" s="20">
        <f t="shared" si="18"/>
        <v>4.3308849784640516E-2</v>
      </c>
      <c r="J238" s="20">
        <f t="shared" si="19"/>
        <v>0.12953678053865778</v>
      </c>
    </row>
    <row r="239" spans="1:10" ht="15" customHeight="1">
      <c r="A239" s="18" t="str">
        <f>Analysis!A239</f>
        <v>12/1977</v>
      </c>
      <c r="B239" s="19">
        <f>Analysis!E239</f>
        <v>2.9999999999997584E-2</v>
      </c>
      <c r="C239" s="20">
        <f>Analysis!F239</f>
        <v>0.25269246161233488</v>
      </c>
      <c r="D239" s="19">
        <f t="shared" si="20"/>
        <v>0.45</v>
      </c>
      <c r="E239" s="19">
        <f>Solar!D239</f>
        <v>1361.18</v>
      </c>
      <c r="F239" s="30">
        <v>0.82</v>
      </c>
      <c r="G239" s="20">
        <f t="shared" si="16"/>
        <v>-7.4196506316894895E-2</v>
      </c>
      <c r="H239" s="20">
        <f t="shared" si="17"/>
        <v>0.13896002365109408</v>
      </c>
      <c r="I239" s="20">
        <f t="shared" si="18"/>
        <v>-0.1089600236510965</v>
      </c>
      <c r="J239" s="20">
        <f t="shared" si="19"/>
        <v>-9.1669964502997595E-3</v>
      </c>
    </row>
    <row r="240" spans="1:10" ht="15" customHeight="1">
      <c r="A240" s="18" t="str">
        <f>Analysis!A240</f>
        <v>1/1978</v>
      </c>
      <c r="B240" s="19">
        <f>Analysis!E240</f>
        <v>5.9999999999998721E-2</v>
      </c>
      <c r="C240" s="20">
        <f>Analysis!F240</f>
        <v>0.25847585211606888</v>
      </c>
      <c r="D240" s="19">
        <f t="shared" si="20"/>
        <v>0.68</v>
      </c>
      <c r="E240" s="19">
        <f>Solar!D240</f>
        <v>1361.27</v>
      </c>
      <c r="F240" s="30">
        <v>0.71</v>
      </c>
      <c r="G240" s="20">
        <f t="shared" si="16"/>
        <v>-6.000581689688822E-2</v>
      </c>
      <c r="H240" s="20">
        <f t="shared" si="17"/>
        <v>0.17486450545543158</v>
      </c>
      <c r="I240" s="20">
        <f t="shared" si="18"/>
        <v>-0.11486450545543286</v>
      </c>
      <c r="J240" s="20">
        <f t="shared" si="19"/>
        <v>8.1431647510495087E-4</v>
      </c>
    </row>
    <row r="241" spans="1:10" ht="15" customHeight="1">
      <c r="A241" s="18" t="str">
        <f>Analysis!A241</f>
        <v>2/1978</v>
      </c>
      <c r="B241" s="19">
        <f>Analysis!E241</f>
        <v>9.9999999999997868E-2</v>
      </c>
      <c r="C241" s="20">
        <f>Analysis!F241</f>
        <v>0.25985353772683362</v>
      </c>
      <c r="D241" s="19">
        <f t="shared" si="20"/>
        <v>0.84</v>
      </c>
      <c r="E241" s="19">
        <f>Solar!D241</f>
        <v>1360.8</v>
      </c>
      <c r="F241" s="30">
        <v>0.52</v>
      </c>
      <c r="G241" s="20">
        <f t="shared" si="16"/>
        <v>-2.3771818810145007E-2</v>
      </c>
      <c r="H241" s="20">
        <f t="shared" si="17"/>
        <v>0.19257477015982277</v>
      </c>
      <c r="I241" s="20">
        <f t="shared" si="18"/>
        <v>-9.2574770159824904E-2</v>
      </c>
      <c r="J241" s="20">
        <f t="shared" si="19"/>
        <v>2.6888273292776155E-2</v>
      </c>
    </row>
    <row r="242" spans="1:10" ht="15" customHeight="1">
      <c r="A242" s="18" t="str">
        <f>Analysis!A242</f>
        <v>3/1978</v>
      </c>
      <c r="B242" s="19">
        <f>Analysis!E242</f>
        <v>0.19000000000000128</v>
      </c>
      <c r="C242" s="20">
        <f>Analysis!F242</f>
        <v>0.26586549147154565</v>
      </c>
      <c r="D242" s="19">
        <f t="shared" si="20"/>
        <v>0.82</v>
      </c>
      <c r="E242" s="19">
        <f>Solar!D242</f>
        <v>1361.11</v>
      </c>
      <c r="F242" s="30">
        <v>0.17</v>
      </c>
      <c r="G242" s="20">
        <f t="shared" si="16"/>
        <v>4.9794076682934896E-2</v>
      </c>
      <c r="H242" s="20">
        <f t="shared" si="17"/>
        <v>0.20734762612054736</v>
      </c>
      <c r="I242" s="20">
        <f t="shared" si="18"/>
        <v>-1.7347626120546078E-2</v>
      </c>
      <c r="J242" s="20">
        <f t="shared" si="19"/>
        <v>0.11862902869057057</v>
      </c>
    </row>
    <row r="243" spans="1:10" ht="15" customHeight="1">
      <c r="A243" s="18" t="str">
        <f>Analysis!A243</f>
        <v>4/1978</v>
      </c>
      <c r="B243" s="19">
        <f>Analysis!E243</f>
        <v>0.16999999999999993</v>
      </c>
      <c r="C243" s="20">
        <f>Analysis!F243</f>
        <v>0.27027263033914217</v>
      </c>
      <c r="D243" s="19">
        <f t="shared" si="20"/>
        <v>0.71</v>
      </c>
      <c r="E243" s="19">
        <f>Solar!D243</f>
        <v>1361.07</v>
      </c>
      <c r="F243" s="30">
        <v>-0.06</v>
      </c>
      <c r="G243" s="20">
        <f t="shared" si="16"/>
        <v>1.7746848144239102E-2</v>
      </c>
      <c r="H243" s="20">
        <f t="shared" si="17"/>
        <v>0.2098789834763502</v>
      </c>
      <c r="I243" s="20">
        <f t="shared" si="18"/>
        <v>-3.9878983476350272E-2</v>
      </c>
      <c r="J243" s="20">
        <f t="shared" si="19"/>
        <v>0.10820318337841968</v>
      </c>
    </row>
    <row r="244" spans="1:10" ht="15" customHeight="1">
      <c r="A244" s="18" t="str">
        <f>Analysis!A244</f>
        <v>5/1978</v>
      </c>
      <c r="B244" s="19">
        <f>Analysis!E244</f>
        <v>8.9999999999999858E-2</v>
      </c>
      <c r="C244" s="20">
        <f>Analysis!F244</f>
        <v>0.27168178338214594</v>
      </c>
      <c r="D244" s="19">
        <f t="shared" si="20"/>
        <v>0.52</v>
      </c>
      <c r="E244" s="19">
        <f>Solar!D244</f>
        <v>1361.24</v>
      </c>
      <c r="F244" s="30">
        <v>-0.28000000000000003</v>
      </c>
      <c r="G244" s="20">
        <f t="shared" si="16"/>
        <v>-6.6105172240206289E-2</v>
      </c>
      <c r="H244" s="20">
        <f t="shared" si="17"/>
        <v>0.19721246334090661</v>
      </c>
      <c r="I244" s="20">
        <f t="shared" si="18"/>
        <v>-0.10721246334090676</v>
      </c>
      <c r="J244" s="20">
        <f t="shared" si="19"/>
        <v>4.4740359657434031E-2</v>
      </c>
    </row>
    <row r="245" spans="1:10" ht="15" customHeight="1">
      <c r="A245" s="18" t="str">
        <f>Analysis!A245</f>
        <v>6/1978</v>
      </c>
      <c r="B245" s="19">
        <f>Analysis!E245</f>
        <v>-9.9999999999980105E-3</v>
      </c>
      <c r="C245" s="20">
        <f>Analysis!F245</f>
        <v>0.27163910199105418</v>
      </c>
      <c r="D245" s="19">
        <f t="shared" si="20"/>
        <v>0.17</v>
      </c>
      <c r="E245" s="19">
        <f>Solar!D245</f>
        <v>1361.42</v>
      </c>
      <c r="F245" s="30">
        <v>-0.24</v>
      </c>
      <c r="G245" s="20">
        <f t="shared" si="16"/>
        <v>-0.16598849961238826</v>
      </c>
      <c r="H245" s="20">
        <f t="shared" si="17"/>
        <v>0.16663200679913101</v>
      </c>
      <c r="I245" s="20">
        <f t="shared" si="18"/>
        <v>-0.17663200679912902</v>
      </c>
      <c r="J245" s="20">
        <f t="shared" si="19"/>
        <v>-2.4796420881221453E-2</v>
      </c>
    </row>
    <row r="246" spans="1:10" ht="15" customHeight="1">
      <c r="A246" s="18" t="str">
        <f>Analysis!A246</f>
        <v>7/1978</v>
      </c>
      <c r="B246" s="19">
        <f>Analysis!E246</f>
        <v>3.9999999999999147E-2</v>
      </c>
      <c r="C246" s="20">
        <f>Analysis!F246</f>
        <v>0.26517967766535055</v>
      </c>
      <c r="D246" s="19">
        <f t="shared" si="20"/>
        <v>-0.06</v>
      </c>
      <c r="E246" s="19">
        <f>Solar!D246</f>
        <v>1361.45</v>
      </c>
      <c r="F246" s="30">
        <v>-0.37</v>
      </c>
      <c r="G246" s="20">
        <f t="shared" si="16"/>
        <v>-9.8331202345833146E-2</v>
      </c>
      <c r="H246" s="20">
        <f t="shared" si="17"/>
        <v>0.12887059789999719</v>
      </c>
      <c r="I246" s="20">
        <f t="shared" si="18"/>
        <v>-8.8870597899998044E-2</v>
      </c>
      <c r="J246" s="20">
        <f t="shared" si="19"/>
        <v>4.5222266193372128E-2</v>
      </c>
    </row>
    <row r="247" spans="1:10" ht="15" customHeight="1">
      <c r="A247" s="18" t="str">
        <f>Analysis!A247</f>
        <v>8/1978</v>
      </c>
      <c r="B247" s="19">
        <f>Analysis!E247</f>
        <v>-0.13999999999999879</v>
      </c>
      <c r="C247" s="20">
        <f>Analysis!F247</f>
        <v>0.25623430325691615</v>
      </c>
      <c r="D247" s="19">
        <f t="shared" si="20"/>
        <v>-0.28000000000000003</v>
      </c>
      <c r="E247" s="19">
        <f>Solar!D247</f>
        <v>1361.54</v>
      </c>
      <c r="F247" s="30">
        <v>-0.37</v>
      </c>
      <c r="G247" s="20">
        <f t="shared" si="16"/>
        <v>-0.25387838315854516</v>
      </c>
      <c r="H247" s="20">
        <f t="shared" si="17"/>
        <v>8.5151168600556215E-2</v>
      </c>
      <c r="I247" s="20">
        <f t="shared" si="18"/>
        <v>-0.22515116860055501</v>
      </c>
      <c r="J247" s="20">
        <f t="shared" si="19"/>
        <v>-0.11562942443092489</v>
      </c>
    </row>
    <row r="248" spans="1:10" ht="15" customHeight="1">
      <c r="A248" s="18" t="str">
        <f>Analysis!A248</f>
        <v>9/1978</v>
      </c>
      <c r="B248" s="19">
        <f>Analysis!E248</f>
        <v>5.9999999999998721E-2</v>
      </c>
      <c r="C248" s="20">
        <f>Analysis!F248</f>
        <v>0.24731993497981972</v>
      </c>
      <c r="D248" s="19">
        <f t="shared" si="20"/>
        <v>-0.24</v>
      </c>
      <c r="E248" s="19">
        <f>Solar!D248</f>
        <v>1361.12</v>
      </c>
      <c r="F248" s="30">
        <v>-0.44</v>
      </c>
      <c r="G248" s="20">
        <f t="shared" si="16"/>
        <v>-2.9510321443524723E-2</v>
      </c>
      <c r="H248" s="20">
        <f t="shared" si="17"/>
        <v>6.4146726994369879E-2</v>
      </c>
      <c r="I248" s="20">
        <f t="shared" si="18"/>
        <v>-4.1467269943711582E-3</v>
      </c>
      <c r="J248" s="20">
        <f t="shared" si="19"/>
        <v>8.0889064773490643E-2</v>
      </c>
    </row>
    <row r="249" spans="1:10" ht="15" customHeight="1">
      <c r="A249" s="18" t="str">
        <f>Analysis!A249</f>
        <v>10/1978</v>
      </c>
      <c r="B249" s="19">
        <f>Analysis!E249</f>
        <v>2.9999999999997584E-2</v>
      </c>
      <c r="C249" s="20">
        <f>Analysis!F249</f>
        <v>0.24771055050748395</v>
      </c>
      <c r="D249" s="19">
        <f t="shared" si="20"/>
        <v>-0.37</v>
      </c>
      <c r="E249" s="19">
        <f>Solar!D249</f>
        <v>1361.54</v>
      </c>
      <c r="F249" s="30">
        <v>-0.27</v>
      </c>
      <c r="G249" s="20">
        <f t="shared" si="16"/>
        <v>-6.0578096858349584E-2</v>
      </c>
      <c r="H249" s="20">
        <f t="shared" si="17"/>
        <v>5.390475813355447E-2</v>
      </c>
      <c r="I249" s="20">
        <f t="shared" si="18"/>
        <v>-2.3904758133556886E-2</v>
      </c>
      <c r="J249" s="20">
        <f t="shared" si="19"/>
        <v>6.2203974859130956E-2</v>
      </c>
    </row>
    <row r="250" spans="1:10" ht="15" customHeight="1">
      <c r="A250" s="18" t="str">
        <f>Analysis!A250</f>
        <v>11/1978</v>
      </c>
      <c r="B250" s="19">
        <f>Analysis!E250</f>
        <v>0.12999999999999901</v>
      </c>
      <c r="C250" s="20">
        <f>Analysis!F250</f>
        <v>0.25338423580007446</v>
      </c>
      <c r="D250" s="19">
        <f t="shared" si="20"/>
        <v>-0.37</v>
      </c>
      <c r="E250" s="19">
        <f>Solar!D250</f>
        <v>1361.28</v>
      </c>
      <c r="F250" s="30">
        <v>-7.0000000000000007E-2</v>
      </c>
      <c r="G250" s="20">
        <f t="shared" si="16"/>
        <v>2.39124795836545E-2</v>
      </c>
      <c r="H250" s="20">
        <f t="shared" si="17"/>
        <v>6.9489215012447786E-2</v>
      </c>
      <c r="I250" s="20">
        <f t="shared" si="18"/>
        <v>6.0510784987551219E-2</v>
      </c>
      <c r="J250" s="20">
        <f t="shared" si="19"/>
        <v>0.16220397485913238</v>
      </c>
    </row>
    <row r="251" spans="1:10" ht="15" customHeight="1">
      <c r="A251" s="18" t="str">
        <f>Analysis!A251</f>
        <v>12/1978</v>
      </c>
      <c r="B251" s="19">
        <f>Analysis!E251</f>
        <v>8.0000000000000071E-2</v>
      </c>
      <c r="C251" s="20">
        <f>Analysis!F251</f>
        <v>0.25834662661407437</v>
      </c>
      <c r="D251" s="19">
        <f t="shared" si="20"/>
        <v>-0.44</v>
      </c>
      <c r="E251" s="19">
        <f>Solar!D251</f>
        <v>1360.72</v>
      </c>
      <c r="F251" s="30">
        <v>0.11</v>
      </c>
      <c r="G251" s="20">
        <f t="shared" si="16"/>
        <v>-3.9652569767098855E-2</v>
      </c>
      <c r="H251" s="20">
        <f t="shared" si="17"/>
        <v>7.7027247068666302E-2</v>
      </c>
      <c r="I251" s="20">
        <f t="shared" si="18"/>
        <v>2.9727529313337692E-3</v>
      </c>
      <c r="J251" s="20">
        <f t="shared" si="19"/>
        <v>0.11829661875140192</v>
      </c>
    </row>
    <row r="252" spans="1:10" ht="15" customHeight="1">
      <c r="A252" s="18" t="str">
        <f>Analysis!A252</f>
        <v>1/1979</v>
      </c>
      <c r="B252" s="19">
        <f>Analysis!E252</f>
        <v>8.9999999999999858E-2</v>
      </c>
      <c r="C252" s="20">
        <f>Analysis!F252</f>
        <v>0.26363540356832926</v>
      </c>
      <c r="D252" s="19">
        <f t="shared" si="20"/>
        <v>-0.27</v>
      </c>
      <c r="E252" s="19">
        <f>Solar!D252</f>
        <v>1361.31</v>
      </c>
      <c r="F252" s="30">
        <v>0.19</v>
      </c>
      <c r="G252" s="20">
        <f t="shared" si="16"/>
        <v>-4.4109818919503607E-2</v>
      </c>
      <c r="H252" s="20">
        <f t="shared" si="17"/>
        <v>0.10635086008959285</v>
      </c>
      <c r="I252" s="20">
        <f t="shared" si="18"/>
        <v>-1.6350860089592995E-2</v>
      </c>
      <c r="J252" s="20">
        <f t="shared" si="19"/>
        <v>0.11350019787017826</v>
      </c>
    </row>
    <row r="253" spans="1:10" ht="15" customHeight="1">
      <c r="A253" s="18" t="str">
        <f>Analysis!A253</f>
        <v>2/1979</v>
      </c>
      <c r="B253" s="19">
        <f>Analysis!E253</f>
        <v>-0.10000000000000142</v>
      </c>
      <c r="C253" s="20">
        <f>Analysis!F253</f>
        <v>0.2659940452734475</v>
      </c>
      <c r="D253" s="19">
        <f t="shared" si="20"/>
        <v>-7.0000000000000007E-2</v>
      </c>
      <c r="E253" s="19">
        <f>Solar!D253</f>
        <v>1361.73</v>
      </c>
      <c r="F253" s="30">
        <v>0.21</v>
      </c>
      <c r="G253" s="20">
        <f t="shared" si="16"/>
        <v>-0.24055733430672743</v>
      </c>
      <c r="H253" s="20">
        <f t="shared" si="17"/>
        <v>0.13023712200609405</v>
      </c>
      <c r="I253" s="20">
        <f t="shared" si="18"/>
        <v>-0.23023712200609547</v>
      </c>
      <c r="J253" s="20">
        <f t="shared" si="19"/>
        <v>-9.3907356107732945E-2</v>
      </c>
    </row>
    <row r="254" spans="1:10" ht="15" customHeight="1">
      <c r="A254" s="18" t="str">
        <f>Analysis!A254</f>
        <v>3/1979</v>
      </c>
      <c r="B254" s="19">
        <f>Analysis!E254</f>
        <v>0.19000000000000128</v>
      </c>
      <c r="C254" s="20">
        <f>Analysis!F254</f>
        <v>0.27274840798594358</v>
      </c>
      <c r="D254" s="19">
        <f t="shared" si="20"/>
        <v>0.11</v>
      </c>
      <c r="E254" s="19">
        <f>Solar!D254</f>
        <v>1362.18</v>
      </c>
      <c r="F254" s="30">
        <v>0.28999999999999998</v>
      </c>
      <c r="G254" s="20">
        <f t="shared" si="16"/>
        <v>3.0979133302916795E-2</v>
      </c>
      <c r="H254" s="20">
        <f t="shared" si="17"/>
        <v>0.16445677803404621</v>
      </c>
      <c r="I254" s="20">
        <f t="shared" si="18"/>
        <v>2.5543221965955071E-2</v>
      </c>
      <c r="J254" s="20">
        <f t="shared" si="19"/>
        <v>0.18042584531215081</v>
      </c>
    </row>
    <row r="255" spans="1:10" ht="15" customHeight="1">
      <c r="A255" s="18" t="str">
        <f>Analysis!A255</f>
        <v>4/1979</v>
      </c>
      <c r="B255" s="19">
        <f>Analysis!E255</f>
        <v>0.14999999999999858</v>
      </c>
      <c r="C255" s="20">
        <f>Analysis!F255</f>
        <v>0.27509220998275441</v>
      </c>
      <c r="D255" s="19">
        <f t="shared" si="20"/>
        <v>0.19</v>
      </c>
      <c r="E255" s="19">
        <f>Solar!D255</f>
        <v>1361.65</v>
      </c>
      <c r="F255" s="30">
        <v>0.32</v>
      </c>
      <c r="G255" s="20">
        <f t="shared" si="16"/>
        <v>-1.5427816682854645E-2</v>
      </c>
      <c r="H255" s="20">
        <f t="shared" si="17"/>
        <v>0.17785774591025785</v>
      </c>
      <c r="I255" s="20">
        <f t="shared" si="18"/>
        <v>-2.7857745910259274E-2</v>
      </c>
      <c r="J255" s="20">
        <f t="shared" si="19"/>
        <v>0.13346282372098414</v>
      </c>
    </row>
    <row r="256" spans="1:10" ht="15" customHeight="1">
      <c r="A256" s="18" t="str">
        <f>Analysis!A256</f>
        <v>5/1979</v>
      </c>
      <c r="B256" s="19">
        <f>Analysis!E256</f>
        <v>2.9999999999997584E-2</v>
      </c>
      <c r="C256" s="20">
        <f>Analysis!F256</f>
        <v>0.27687946183264034</v>
      </c>
      <c r="D256" s="19">
        <f t="shared" si="20"/>
        <v>0.21</v>
      </c>
      <c r="E256" s="19">
        <f>Solar!D256</f>
        <v>1361.77</v>
      </c>
      <c r="F256" s="30">
        <v>0.28999999999999998</v>
      </c>
      <c r="G256" s="20">
        <f t="shared" si="16"/>
        <v>-0.14031339713281377</v>
      </c>
      <c r="H256" s="20">
        <f t="shared" si="17"/>
        <v>0.18450771779607716</v>
      </c>
      <c r="I256" s="20">
        <f t="shared" si="18"/>
        <v>-0.15450771779607958</v>
      </c>
      <c r="J256" s="20">
        <f t="shared" si="19"/>
        <v>1.1722068323192156E-2</v>
      </c>
    </row>
    <row r="257" spans="1:10" ht="15" customHeight="1">
      <c r="A257" s="18" t="str">
        <f>Analysis!A257</f>
        <v>6/1979</v>
      </c>
      <c r="B257" s="19">
        <f>Analysis!E257</f>
        <v>0.13999999999999879</v>
      </c>
      <c r="C257" s="20">
        <f>Analysis!F257</f>
        <v>0.27696451386160453</v>
      </c>
      <c r="D257" s="19">
        <f t="shared" si="20"/>
        <v>0.28999999999999998</v>
      </c>
      <c r="E257" s="19">
        <f>Solar!D257</f>
        <v>1361.03</v>
      </c>
      <c r="F257" s="30">
        <v>0.14000000000000001</v>
      </c>
      <c r="G257" s="20">
        <f t="shared" si="16"/>
        <v>-3.0545892922347329E-2</v>
      </c>
      <c r="H257" s="20">
        <f t="shared" si="17"/>
        <v>0.19170435997236349</v>
      </c>
      <c r="I257" s="20">
        <f t="shared" si="18"/>
        <v>-5.1704359972364694E-2</v>
      </c>
      <c r="J257" s="20">
        <f t="shared" si="19"/>
        <v>0.11475904673202938</v>
      </c>
    </row>
    <row r="258" spans="1:10" ht="15" customHeight="1">
      <c r="A258" s="18" t="str">
        <f>Analysis!A258</f>
        <v>7/1979</v>
      </c>
      <c r="B258" s="19">
        <f>Analysis!E258</f>
        <v>3.9999999999999147E-2</v>
      </c>
      <c r="C258" s="20">
        <f>Analysis!F258</f>
        <v>0.26963165094043912</v>
      </c>
      <c r="D258" s="19">
        <f t="shared" si="20"/>
        <v>0.32</v>
      </c>
      <c r="E258" s="19">
        <f>Solar!D258</f>
        <v>1361.55</v>
      </c>
      <c r="F258" s="30">
        <v>0.09</v>
      </c>
      <c r="G258" s="20">
        <f t="shared" ref="G258:G321" si="21">B258-($N$4+$N$5*C258)</f>
        <v>-0.11050098893628868</v>
      </c>
      <c r="H258" s="20">
        <f t="shared" ref="H258:H321" si="22">IF(D258="","",$N$14+$N$15*C258+$N$16*D258)</f>
        <v>0.17417361347925689</v>
      </c>
      <c r="I258" s="20">
        <f t="shared" ref="I258:I321" si="23">IF(D258="","",B258-H258)</f>
        <v>-0.13417361347925774</v>
      </c>
      <c r="J258" s="20">
        <f t="shared" ref="J258:J321" si="24">IF(D258="","",B258-$N$16*D258)</f>
        <v>1.2147913635343257E-2</v>
      </c>
    </row>
    <row r="259" spans="1:10" ht="15" customHeight="1">
      <c r="A259" s="18" t="str">
        <f>Analysis!A259</f>
        <v>8/1979</v>
      </c>
      <c r="B259" s="19">
        <f>Analysis!E259</f>
        <v>0.16999999999999993</v>
      </c>
      <c r="C259" s="20">
        <f>Analysis!F259</f>
        <v>0.26183165875213665</v>
      </c>
      <c r="D259" s="19">
        <f t="shared" si="20"/>
        <v>0.28999999999999998</v>
      </c>
      <c r="E259" s="19">
        <f>Solar!D259</f>
        <v>1361.52</v>
      </c>
      <c r="F259" s="30">
        <v>0.22</v>
      </c>
      <c r="G259" s="20">
        <f t="shared" si="21"/>
        <v>4.0820846230607444E-2</v>
      </c>
      <c r="H259" s="20">
        <f t="shared" si="22"/>
        <v>0.15013749192347262</v>
      </c>
      <c r="I259" s="20">
        <f t="shared" si="23"/>
        <v>1.9862508076527313E-2</v>
      </c>
      <c r="J259" s="20">
        <f t="shared" si="24"/>
        <v>0.14475904673203052</v>
      </c>
    </row>
    <row r="260" spans="1:10" ht="15" customHeight="1">
      <c r="A260" s="18" t="str">
        <f>Analysis!A260</f>
        <v>9/1979</v>
      </c>
      <c r="B260" s="19">
        <f>Analysis!E260</f>
        <v>0.25000000000000355</v>
      </c>
      <c r="C260" s="20">
        <f>Analysis!F260</f>
        <v>0.25429168632221816</v>
      </c>
      <c r="D260" s="19">
        <f t="shared" si="20"/>
        <v>0.14000000000000001</v>
      </c>
      <c r="E260" s="19">
        <f>Solar!D260</f>
        <v>1361.51</v>
      </c>
      <c r="F260" s="30">
        <v>0.34</v>
      </c>
      <c r="G260" s="20">
        <f t="shared" si="21"/>
        <v>0.14143189883586316</v>
      </c>
      <c r="H260" s="20">
        <f t="shared" si="22"/>
        <v>0.11637105925040334</v>
      </c>
      <c r="I260" s="20">
        <f t="shared" si="23"/>
        <v>0.13362894074960022</v>
      </c>
      <c r="J260" s="20">
        <f t="shared" si="24"/>
        <v>0.2378147122154666</v>
      </c>
    </row>
    <row r="261" spans="1:10" ht="15" customHeight="1">
      <c r="A261" s="18" t="str">
        <f>Analysis!A261</f>
        <v>10/1979</v>
      </c>
      <c r="B261" s="19">
        <f>Analysis!E261</f>
        <v>0.25999999999999979</v>
      </c>
      <c r="C261" s="20">
        <f>Analysis!F261</f>
        <v>0.25545757034741712</v>
      </c>
      <c r="D261" s="19">
        <f t="shared" ref="D261:D324" si="25">IF(F258="","",F258)</f>
        <v>0.09</v>
      </c>
      <c r="E261" s="19">
        <f>Solar!D261</f>
        <v>1361.54</v>
      </c>
      <c r="F261" s="30">
        <v>0.47</v>
      </c>
      <c r="G261" s="20">
        <f t="shared" si="21"/>
        <v>0.14824487166853884</v>
      </c>
      <c r="H261" s="20">
        <f t="shared" si="22"/>
        <v>0.11522161649965293</v>
      </c>
      <c r="I261" s="20">
        <f t="shared" si="23"/>
        <v>0.14477838350034686</v>
      </c>
      <c r="J261" s="20">
        <f t="shared" si="24"/>
        <v>0.25216660070994029</v>
      </c>
    </row>
    <row r="262" spans="1:10" ht="15" customHeight="1">
      <c r="A262" s="18" t="str">
        <f>Analysis!A262</f>
        <v>11/1979</v>
      </c>
      <c r="B262" s="19">
        <f>Analysis!E262</f>
        <v>0.28000000000000114</v>
      </c>
      <c r="C262" s="20">
        <f>Analysis!F262</f>
        <v>0.26011170737902828</v>
      </c>
      <c r="D262" s="19">
        <f t="shared" si="25"/>
        <v>0.22</v>
      </c>
      <c r="E262" s="19">
        <f>Solar!D262</f>
        <v>1361.46</v>
      </c>
      <c r="F262" s="30">
        <v>0.5</v>
      </c>
      <c r="G262" s="20">
        <f t="shared" si="21"/>
        <v>0.15552245602548631</v>
      </c>
      <c r="H262" s="20">
        <f t="shared" si="22"/>
        <v>0.13932049223321766</v>
      </c>
      <c r="I262" s="20">
        <f t="shared" si="23"/>
        <v>0.14067950776678348</v>
      </c>
      <c r="J262" s="20">
        <f t="shared" si="24"/>
        <v>0.26085169062430019</v>
      </c>
    </row>
    <row r="263" spans="1:10" ht="15" customHeight="1">
      <c r="A263" s="18" t="str">
        <f>Analysis!A263</f>
        <v>12/1979</v>
      </c>
      <c r="B263" s="19">
        <f>Analysis!E263</f>
        <v>0.47000000000000242</v>
      </c>
      <c r="C263" s="20">
        <f>Analysis!F263</f>
        <v>0.26650814596160988</v>
      </c>
      <c r="D263" s="19">
        <f t="shared" si="25"/>
        <v>0.34</v>
      </c>
      <c r="E263" s="19">
        <f>Solar!D263</f>
        <v>1361.95</v>
      </c>
      <c r="F263" s="30">
        <v>0.64</v>
      </c>
      <c r="G263" s="20">
        <f t="shared" si="21"/>
        <v>0.32803733478171149</v>
      </c>
      <c r="H263" s="20">
        <f t="shared" si="22"/>
        <v>0.16733473744822266</v>
      </c>
      <c r="I263" s="20">
        <f t="shared" si="23"/>
        <v>0.30266526255177972</v>
      </c>
      <c r="J263" s="20">
        <f t="shared" si="24"/>
        <v>0.44040715823755555</v>
      </c>
    </row>
    <row r="264" spans="1:10" ht="15" customHeight="1">
      <c r="A264" s="18" t="str">
        <f>Analysis!A264</f>
        <v>1/1980</v>
      </c>
      <c r="B264" s="19">
        <f>Analysis!E264</f>
        <v>0.30000000000000249</v>
      </c>
      <c r="C264" s="20">
        <f>Analysis!F264</f>
        <v>0.2711695233314726</v>
      </c>
      <c r="D264" s="19">
        <f t="shared" si="25"/>
        <v>0.47</v>
      </c>
      <c r="E264" s="19">
        <f>Solar!D264</f>
        <v>1361.91</v>
      </c>
      <c r="F264" s="30">
        <v>0.62</v>
      </c>
      <c r="G264" s="20">
        <f t="shared" si="21"/>
        <v>0.14529512715745763</v>
      </c>
      <c r="H264" s="20">
        <f t="shared" si="22"/>
        <v>0.19145350091497157</v>
      </c>
      <c r="I264" s="20">
        <f t="shared" si="23"/>
        <v>0.10854649908503092</v>
      </c>
      <c r="J264" s="20">
        <f t="shared" si="24"/>
        <v>0.25909224815191417</v>
      </c>
    </row>
    <row r="265" spans="1:10" ht="15" customHeight="1">
      <c r="A265" s="18" t="str">
        <f>Analysis!A265</f>
        <v>2/1980</v>
      </c>
      <c r="B265" s="19">
        <f>Analysis!E265</f>
        <v>0.38999999999999879</v>
      </c>
      <c r="C265" s="20">
        <f>Analysis!F265</f>
        <v>0.27304692161483607</v>
      </c>
      <c r="D265" s="19">
        <f t="shared" si="25"/>
        <v>0.5</v>
      </c>
      <c r="E265" s="19">
        <f>Solar!D265</f>
        <v>1361.63</v>
      </c>
      <c r="F265" s="30">
        <v>0.47</v>
      </c>
      <c r="G265" s="20">
        <f t="shared" si="21"/>
        <v>0.23016312499974412</v>
      </c>
      <c r="H265" s="20">
        <f t="shared" si="22"/>
        <v>0.19922146437547747</v>
      </c>
      <c r="I265" s="20">
        <f t="shared" si="23"/>
        <v>0.19077853562452132</v>
      </c>
      <c r="J265" s="20">
        <f t="shared" si="24"/>
        <v>0.34648111505522394</v>
      </c>
    </row>
    <row r="266" spans="1:10" ht="15" customHeight="1">
      <c r="A266" s="18" t="str">
        <f>Analysis!A266</f>
        <v>3/1980</v>
      </c>
      <c r="B266" s="19">
        <f>Analysis!E266</f>
        <v>0.28999999999999559</v>
      </c>
      <c r="C266" s="20">
        <f>Analysis!F266</f>
        <v>0.28040491407037693</v>
      </c>
      <c r="D266" s="19">
        <f t="shared" si="25"/>
        <v>0.64</v>
      </c>
      <c r="E266" s="19">
        <f>Solar!D266</f>
        <v>1362.07</v>
      </c>
      <c r="F266" s="30">
        <v>0.35</v>
      </c>
      <c r="G266" s="20">
        <f t="shared" si="21"/>
        <v>0.11004952763850484</v>
      </c>
      <c r="H266" s="20">
        <f t="shared" si="22"/>
        <v>0.23161765745790813</v>
      </c>
      <c r="I266" s="20">
        <f t="shared" si="23"/>
        <v>5.8382342542087462E-2</v>
      </c>
      <c r="J266" s="20">
        <f t="shared" si="24"/>
        <v>0.23429582727068382</v>
      </c>
    </row>
    <row r="267" spans="1:10" ht="15" customHeight="1">
      <c r="A267" s="18" t="str">
        <f>Analysis!A267</f>
        <v>4/1980</v>
      </c>
      <c r="B267" s="19">
        <f>Analysis!E267</f>
        <v>0.30000000000000249</v>
      </c>
      <c r="C267" s="20">
        <f>Analysis!F267</f>
        <v>0.28404872727074498</v>
      </c>
      <c r="D267" s="19">
        <f t="shared" si="25"/>
        <v>0.62</v>
      </c>
      <c r="E267" s="19">
        <f>Solar!D267</f>
        <v>1361.27</v>
      </c>
      <c r="F267" s="30">
        <v>0.34</v>
      </c>
      <c r="G267" s="20">
        <f t="shared" si="21"/>
        <v>0.11008890427356532</v>
      </c>
      <c r="H267" s="20">
        <f t="shared" si="22"/>
        <v>0.23988571410509221</v>
      </c>
      <c r="I267" s="20">
        <f t="shared" si="23"/>
        <v>6.0114285894910274E-2</v>
      </c>
      <c r="J267" s="20">
        <f t="shared" si="24"/>
        <v>0.24603658266848169</v>
      </c>
    </row>
    <row r="268" spans="1:10" ht="15" customHeight="1">
      <c r="A268" s="18" t="str">
        <f>Analysis!A268</f>
        <v>5/1980</v>
      </c>
      <c r="B268" s="19">
        <f>Analysis!E268</f>
        <v>0.34999999999999787</v>
      </c>
      <c r="C268" s="20">
        <f>Analysis!F268</f>
        <v>0.28624750673812982</v>
      </c>
      <c r="D268" s="19">
        <f t="shared" si="25"/>
        <v>0.47</v>
      </c>
      <c r="E268" s="19">
        <f>Solar!D268</f>
        <v>1361.42</v>
      </c>
      <c r="F268" s="30">
        <v>0.45</v>
      </c>
      <c r="G268" s="20">
        <f t="shared" si="21"/>
        <v>0.15407838371916305</v>
      </c>
      <c r="H268" s="20">
        <f t="shared" si="22"/>
        <v>0.23286964758221637</v>
      </c>
      <c r="I268" s="20">
        <f t="shared" si="23"/>
        <v>0.1171303524177815</v>
      </c>
      <c r="J268" s="20">
        <f t="shared" si="24"/>
        <v>0.30909224815190955</v>
      </c>
    </row>
    <row r="269" spans="1:10" ht="15" customHeight="1">
      <c r="A269" s="18" t="str">
        <f>Analysis!A269</f>
        <v>6/1980</v>
      </c>
      <c r="B269" s="19">
        <f>Analysis!E269</f>
        <v>0.20000000000000107</v>
      </c>
      <c r="C269" s="20">
        <f>Analysis!F269</f>
        <v>0.28586718848142018</v>
      </c>
      <c r="D269" s="19">
        <f t="shared" si="25"/>
        <v>0.35</v>
      </c>
      <c r="E269" s="19">
        <f>Solar!D269</f>
        <v>1361.8</v>
      </c>
      <c r="F269" s="30">
        <v>0.4</v>
      </c>
      <c r="G269" s="20">
        <f t="shared" si="21"/>
        <v>5.1180108091375409E-3</v>
      </c>
      <c r="H269" s="20">
        <f t="shared" si="22"/>
        <v>0.22138045847478696</v>
      </c>
      <c r="I269" s="20">
        <f t="shared" si="23"/>
        <v>-2.1380458474785896E-2</v>
      </c>
      <c r="J269" s="20">
        <f t="shared" si="24"/>
        <v>0.1695367805386587</v>
      </c>
    </row>
    <row r="270" spans="1:10" ht="15" customHeight="1">
      <c r="A270" s="18" t="str">
        <f>Analysis!A270</f>
        <v>7/1980</v>
      </c>
      <c r="B270" s="19">
        <f>Analysis!E270</f>
        <v>0.22000000000000242</v>
      </c>
      <c r="C270" s="20">
        <f>Analysis!F270</f>
        <v>0.27777225815571982</v>
      </c>
      <c r="D270" s="19">
        <f t="shared" si="25"/>
        <v>0.34</v>
      </c>
      <c r="E270" s="19">
        <f>Solar!D270</f>
        <v>1361.71</v>
      </c>
      <c r="F270" s="30">
        <v>0.18</v>
      </c>
      <c r="G270" s="20">
        <f t="shared" si="21"/>
        <v>4.7246080418096859E-2</v>
      </c>
      <c r="H270" s="20">
        <f t="shared" si="22"/>
        <v>0.19827495737853393</v>
      </c>
      <c r="I270" s="20">
        <f t="shared" si="23"/>
        <v>2.1725042621468488E-2</v>
      </c>
      <c r="J270" s="20">
        <f t="shared" si="24"/>
        <v>0.19040715823755552</v>
      </c>
    </row>
    <row r="271" spans="1:10" ht="15" customHeight="1">
      <c r="A271" s="18" t="str">
        <f>Analysis!A271</f>
        <v>8/1980</v>
      </c>
      <c r="B271" s="19">
        <f>Analysis!E271</f>
        <v>0.17999999999999972</v>
      </c>
      <c r="C271" s="20">
        <f>Analysis!F271</f>
        <v>0.2701871828716399</v>
      </c>
      <c r="D271" s="19">
        <f t="shared" si="25"/>
        <v>0.45</v>
      </c>
      <c r="E271" s="19">
        <f>Solar!D271</f>
        <v>1361.71</v>
      </c>
      <c r="F271" s="30">
        <v>-0.06</v>
      </c>
      <c r="G271" s="20">
        <f t="shared" si="21"/>
        <v>2.7980424893231604E-2</v>
      </c>
      <c r="H271" s="20">
        <f t="shared" si="22"/>
        <v>0.18701445653089369</v>
      </c>
      <c r="I271" s="20">
        <f t="shared" si="23"/>
        <v>-7.0144565308939699E-3</v>
      </c>
      <c r="J271" s="20">
        <f t="shared" si="24"/>
        <v>0.14083300354970238</v>
      </c>
    </row>
    <row r="272" spans="1:10" ht="15" customHeight="1">
      <c r="A272" s="18" t="str">
        <f>Analysis!A272</f>
        <v>9/1980</v>
      </c>
      <c r="B272" s="19">
        <f>Analysis!E272</f>
        <v>0.20000000000000107</v>
      </c>
      <c r="C272" s="20">
        <f>Analysis!F272</f>
        <v>0.26410744049902013</v>
      </c>
      <c r="D272" s="19">
        <f t="shared" si="25"/>
        <v>0.4</v>
      </c>
      <c r="E272" s="19">
        <f>Solar!D272</f>
        <v>1361.59</v>
      </c>
      <c r="F272" s="30">
        <v>-0.17</v>
      </c>
      <c r="G272" s="20">
        <f t="shared" si="21"/>
        <v>6.4599834451180227E-2</v>
      </c>
      <c r="H272" s="20">
        <f t="shared" si="22"/>
        <v>0.16596275513621705</v>
      </c>
      <c r="I272" s="20">
        <f t="shared" si="23"/>
        <v>3.4037244863784011E-2</v>
      </c>
      <c r="J272" s="20">
        <f t="shared" si="24"/>
        <v>0.16518489204418119</v>
      </c>
    </row>
    <row r="273" spans="1:10" ht="15" customHeight="1">
      <c r="A273" s="18" t="str">
        <f>Analysis!A273</f>
        <v>10/1980</v>
      </c>
      <c r="B273" s="19">
        <f>Analysis!E273</f>
        <v>0.12999999999999901</v>
      </c>
      <c r="C273" s="20">
        <f>Analysis!F273</f>
        <v>0.26363540356832926</v>
      </c>
      <c r="D273" s="19">
        <f t="shared" si="25"/>
        <v>0.18</v>
      </c>
      <c r="E273" s="19">
        <f>Solar!D273</f>
        <v>1361.54</v>
      </c>
      <c r="F273" s="30">
        <v>-7.0000000000000007E-2</v>
      </c>
      <c r="G273" s="20">
        <f t="shared" si="21"/>
        <v>-4.1098189195044599E-3</v>
      </c>
      <c r="H273" s="20">
        <f t="shared" si="22"/>
        <v>0.14551785653989019</v>
      </c>
      <c r="I273" s="20">
        <f t="shared" si="23"/>
        <v>-1.5517856539891184E-2</v>
      </c>
      <c r="J273" s="20">
        <f t="shared" si="24"/>
        <v>0.11433320141988007</v>
      </c>
    </row>
    <row r="274" spans="1:10" ht="15" customHeight="1">
      <c r="A274" s="18" t="str">
        <f>Analysis!A274</f>
        <v>11/1980</v>
      </c>
      <c r="B274" s="19">
        <f>Analysis!E274</f>
        <v>0.30000000000000249</v>
      </c>
      <c r="C274" s="20">
        <f>Analysis!F274</f>
        <v>0.26860549118579774</v>
      </c>
      <c r="D274" s="19">
        <f t="shared" si="25"/>
        <v>-0.06</v>
      </c>
      <c r="E274" s="19">
        <f>Solar!D274</f>
        <v>1361</v>
      </c>
      <c r="F274" s="30">
        <v>0.08</v>
      </c>
      <c r="G274" s="20">
        <f t="shared" si="21"/>
        <v>0.15230409196830552</v>
      </c>
      <c r="H274" s="20">
        <f t="shared" si="22"/>
        <v>0.13828060926496696</v>
      </c>
      <c r="I274" s="20">
        <f t="shared" si="23"/>
        <v>0.16171939073503552</v>
      </c>
      <c r="J274" s="20">
        <f t="shared" si="24"/>
        <v>0.30522226619337545</v>
      </c>
    </row>
    <row r="275" spans="1:10" ht="15" customHeight="1">
      <c r="A275" s="18" t="str">
        <f>Analysis!A275</f>
        <v>12/1980</v>
      </c>
      <c r="B275" s="19">
        <f>Analysis!E275</f>
        <v>0.21000000000000085</v>
      </c>
      <c r="C275" s="20">
        <f>Analysis!F275</f>
        <v>0.27283370389710077</v>
      </c>
      <c r="D275" s="19">
        <f t="shared" si="25"/>
        <v>-0.17</v>
      </c>
      <c r="E275" s="19">
        <f>Solar!D275</f>
        <v>1362</v>
      </c>
      <c r="F275" s="30">
        <v>-0.05</v>
      </c>
      <c r="G275" s="20">
        <f t="shared" si="21"/>
        <v>5.0745970844006338E-2</v>
      </c>
      <c r="H275" s="20">
        <f t="shared" si="22"/>
        <v>0.1403204929447617</v>
      </c>
      <c r="I275" s="20">
        <f t="shared" si="23"/>
        <v>6.9679507055239148E-2</v>
      </c>
      <c r="J275" s="20">
        <f t="shared" si="24"/>
        <v>0.22479642088122428</v>
      </c>
    </row>
    <row r="276" spans="1:10" ht="15" customHeight="1">
      <c r="A276" s="18" t="str">
        <f>Analysis!A276</f>
        <v>1/1981</v>
      </c>
      <c r="B276" s="19">
        <f>Analysis!E276</f>
        <v>0.52999999999999758</v>
      </c>
      <c r="C276" s="20">
        <f>Analysis!F276</f>
        <v>0.27709208250431316</v>
      </c>
      <c r="D276" s="19">
        <f t="shared" si="25"/>
        <v>-7.0000000000000007E-2</v>
      </c>
      <c r="E276" s="19">
        <f>Solar!D276</f>
        <v>1362.1</v>
      </c>
      <c r="F276" s="30">
        <v>-0.27</v>
      </c>
      <c r="G276" s="20">
        <f t="shared" si="21"/>
        <v>0.35910538909093637</v>
      </c>
      <c r="H276" s="20">
        <f t="shared" si="22"/>
        <v>0.16072116786789914</v>
      </c>
      <c r="I276" s="20">
        <f t="shared" si="23"/>
        <v>0.36927883213209844</v>
      </c>
      <c r="J276" s="20">
        <f t="shared" si="24"/>
        <v>0.53609264389226607</v>
      </c>
    </row>
    <row r="277" spans="1:10" ht="15" customHeight="1">
      <c r="A277" s="18" t="str">
        <f>Analysis!A277</f>
        <v>2/1981</v>
      </c>
      <c r="B277" s="19">
        <f>Analysis!E277</f>
        <v>0.42000000000000348</v>
      </c>
      <c r="C277" s="20">
        <f>Analysis!F277</f>
        <v>0.28243980500638693</v>
      </c>
      <c r="D277" s="19">
        <f t="shared" si="25"/>
        <v>0.08</v>
      </c>
      <c r="E277" s="19">
        <f>Solar!D277</f>
        <v>1361.57</v>
      </c>
      <c r="F277" s="30">
        <v>-0.42</v>
      </c>
      <c r="G277" s="20">
        <f t="shared" si="21"/>
        <v>0.23448700807788003</v>
      </c>
      <c r="H277" s="20">
        <f t="shared" si="22"/>
        <v>0.18846593689443697</v>
      </c>
      <c r="I277" s="20">
        <f t="shared" si="23"/>
        <v>0.23153406310556651</v>
      </c>
      <c r="J277" s="20">
        <f t="shared" si="24"/>
        <v>0.41303697840883952</v>
      </c>
    </row>
    <row r="278" spans="1:10" ht="15" customHeight="1">
      <c r="A278" s="18" t="str">
        <f>Analysis!A278</f>
        <v>3/1981</v>
      </c>
      <c r="B278" s="19">
        <f>Analysis!E278</f>
        <v>0.47999999999999865</v>
      </c>
      <c r="C278" s="20">
        <f>Analysis!F278</f>
        <v>0.28700784260909884</v>
      </c>
      <c r="D278" s="19">
        <f t="shared" si="25"/>
        <v>-0.05</v>
      </c>
      <c r="E278" s="19">
        <f>Solar!D278</f>
        <v>1361.77</v>
      </c>
      <c r="F278" s="30">
        <v>-0.41</v>
      </c>
      <c r="G278" s="20">
        <f t="shared" si="21"/>
        <v>0.28199995136680944</v>
      </c>
      <c r="H278" s="20">
        <f t="shared" si="22"/>
        <v>0.18969849487749452</v>
      </c>
      <c r="I278" s="20">
        <f t="shared" si="23"/>
        <v>0.29030150512250413</v>
      </c>
      <c r="J278" s="20">
        <f t="shared" si="24"/>
        <v>0.48435188849447613</v>
      </c>
    </row>
    <row r="279" spans="1:10" ht="15" customHeight="1">
      <c r="A279" s="18" t="str">
        <f>Analysis!A279</f>
        <v>4/1981</v>
      </c>
      <c r="B279" s="19">
        <f>Analysis!E279</f>
        <v>0.32000000000000028</v>
      </c>
      <c r="C279" s="20">
        <f>Analysis!F279</f>
        <v>0.29109832425167037</v>
      </c>
      <c r="D279" s="19">
        <f t="shared" si="25"/>
        <v>-0.27</v>
      </c>
      <c r="E279" s="19">
        <f>Solar!D279</f>
        <v>1362.12</v>
      </c>
      <c r="F279" s="30">
        <v>-0.27</v>
      </c>
      <c r="G279" s="20">
        <f t="shared" si="21"/>
        <v>0.11081832794583901</v>
      </c>
      <c r="H279" s="20">
        <f t="shared" si="22"/>
        <v>0.18178590470106107</v>
      </c>
      <c r="I279" s="20">
        <f t="shared" si="23"/>
        <v>0.13821409529893922</v>
      </c>
      <c r="J279" s="20">
        <f t="shared" si="24"/>
        <v>0.34350019787017871</v>
      </c>
    </row>
    <row r="280" spans="1:10" ht="15" customHeight="1">
      <c r="A280" s="18" t="str">
        <f>Analysis!A280</f>
        <v>5/1981</v>
      </c>
      <c r="B280" s="19">
        <f>Analysis!E280</f>
        <v>0.25000000000000355</v>
      </c>
      <c r="C280" s="20">
        <f>Analysis!F280</f>
        <v>0.29294998373808151</v>
      </c>
      <c r="D280" s="19">
        <f t="shared" si="25"/>
        <v>-0.42</v>
      </c>
      <c r="E280" s="19">
        <f>Solar!D280</f>
        <v>1361.72</v>
      </c>
      <c r="F280" s="30">
        <v>-0.28000000000000003</v>
      </c>
      <c r="G280" s="20">
        <f t="shared" si="21"/>
        <v>3.5756684626034207E-2</v>
      </c>
      <c r="H280" s="20">
        <f t="shared" si="22"/>
        <v>0.17381637035325112</v>
      </c>
      <c r="I280" s="20">
        <f t="shared" si="23"/>
        <v>7.6183629646752432E-2</v>
      </c>
      <c r="J280" s="20">
        <f t="shared" si="24"/>
        <v>0.28655586335361438</v>
      </c>
    </row>
    <row r="281" spans="1:10" ht="15" customHeight="1">
      <c r="A281" s="18" t="str">
        <f>Analysis!A281</f>
        <v>6/1981</v>
      </c>
      <c r="B281" s="19">
        <f>Analysis!E281</f>
        <v>0.28999999999999559</v>
      </c>
      <c r="C281" s="20">
        <f>Analysis!F281</f>
        <v>0.29084564099664334</v>
      </c>
      <c r="D281" s="19">
        <f t="shared" si="25"/>
        <v>-0.41</v>
      </c>
      <c r="E281" s="19">
        <f>Solar!D281</f>
        <v>1361.58</v>
      </c>
      <c r="F281" s="30">
        <v>-0.27</v>
      </c>
      <c r="G281" s="20">
        <f t="shared" si="21"/>
        <v>8.1509055652100648E-2</v>
      </c>
      <c r="H281" s="20">
        <f t="shared" si="22"/>
        <v>0.168906547526188</v>
      </c>
      <c r="I281" s="20">
        <f t="shared" si="23"/>
        <v>0.12109345247380759</v>
      </c>
      <c r="J281" s="20">
        <f t="shared" si="24"/>
        <v>0.32568548565471095</v>
      </c>
    </row>
    <row r="282" spans="1:10" ht="15" customHeight="1">
      <c r="A282" s="18" t="str">
        <f>Analysis!A282</f>
        <v>7/1981</v>
      </c>
      <c r="B282" s="19">
        <f>Analysis!E282</f>
        <v>0.32999999999999652</v>
      </c>
      <c r="C282" s="20">
        <f>Analysis!F282</f>
        <v>0.28358317111122905</v>
      </c>
      <c r="D282" s="19">
        <f t="shared" si="25"/>
        <v>-0.27</v>
      </c>
      <c r="E282" s="19">
        <f>Solar!D282</f>
        <v>1360.72</v>
      </c>
      <c r="F282" s="30">
        <v>-0.28000000000000003</v>
      </c>
      <c r="G282" s="20">
        <f t="shared" si="21"/>
        <v>0.14136153525247475</v>
      </c>
      <c r="H282" s="20">
        <f t="shared" si="22"/>
        <v>0.16114331104003468</v>
      </c>
      <c r="I282" s="20">
        <f t="shared" si="23"/>
        <v>0.16885668895996184</v>
      </c>
      <c r="J282" s="20">
        <f t="shared" si="24"/>
        <v>0.35350019787017495</v>
      </c>
    </row>
    <row r="283" spans="1:10" ht="15" customHeight="1">
      <c r="A283" s="18" t="str">
        <f>Analysis!A283</f>
        <v>8/1981</v>
      </c>
      <c r="B283" s="19">
        <f>Analysis!E283</f>
        <v>0.34999999999999787</v>
      </c>
      <c r="C283" s="20">
        <f>Analysis!F283</f>
        <v>0.27364376363665927</v>
      </c>
      <c r="D283" s="19">
        <f t="shared" si="25"/>
        <v>-0.28000000000000003</v>
      </c>
      <c r="E283" s="19">
        <f>Solar!D283</f>
        <v>1362.15</v>
      </c>
      <c r="F283" s="30">
        <v>-0.23</v>
      </c>
      <c r="G283" s="20">
        <f t="shared" si="21"/>
        <v>0.18853161474912072</v>
      </c>
      <c r="H283" s="20">
        <f t="shared" si="22"/>
        <v>0.13297140722521722</v>
      </c>
      <c r="I283" s="20">
        <f t="shared" si="23"/>
        <v>0.21702859277478065</v>
      </c>
      <c r="J283" s="20">
        <f t="shared" si="24"/>
        <v>0.37437057556907177</v>
      </c>
    </row>
    <row r="284" spans="1:10" ht="15" customHeight="1">
      <c r="A284" s="18" t="str">
        <f>Analysis!A284</f>
        <v>9/1981</v>
      </c>
      <c r="B284" s="19">
        <f>Analysis!E284</f>
        <v>0.14999999999999858</v>
      </c>
      <c r="C284" s="20">
        <f>Analysis!F284</f>
        <v>0.26710769864693196</v>
      </c>
      <c r="D284" s="19">
        <f t="shared" si="25"/>
        <v>-0.27</v>
      </c>
      <c r="E284" s="19">
        <f>Solar!D284</f>
        <v>1361.73</v>
      </c>
      <c r="F284" s="30">
        <v>-0.08</v>
      </c>
      <c r="G284" s="20">
        <f t="shared" si="21"/>
        <v>6.3984147390083734E-3</v>
      </c>
      <c r="H284" s="20">
        <f t="shared" si="22"/>
        <v>0.1158885468192298</v>
      </c>
      <c r="I284" s="20">
        <f t="shared" si="23"/>
        <v>3.4111453180768775E-2</v>
      </c>
      <c r="J284" s="20">
        <f t="shared" si="24"/>
        <v>0.17350019787017698</v>
      </c>
    </row>
    <row r="285" spans="1:10" ht="15" customHeight="1">
      <c r="A285" s="18" t="str">
        <f>Analysis!A285</f>
        <v>10/1981</v>
      </c>
      <c r="B285" s="19">
        <f>Analysis!E285</f>
        <v>0.11999999999999744</v>
      </c>
      <c r="C285" s="20">
        <f>Analysis!F285</f>
        <v>0.26753579806873473</v>
      </c>
      <c r="D285" s="19">
        <f t="shared" si="25"/>
        <v>-0.28000000000000003</v>
      </c>
      <c r="E285" s="19">
        <f>Solar!D285</f>
        <v>1361.42</v>
      </c>
      <c r="F285" s="30">
        <v>-0.16</v>
      </c>
      <c r="G285" s="20">
        <f t="shared" si="21"/>
        <v>-2.477182557487545E-2</v>
      </c>
      <c r="H285" s="20">
        <f t="shared" si="22"/>
        <v>0.1161940709610087</v>
      </c>
      <c r="I285" s="20">
        <f t="shared" si="23"/>
        <v>3.8059290389887424E-3</v>
      </c>
      <c r="J285" s="20">
        <f t="shared" si="24"/>
        <v>0.14437057556907135</v>
      </c>
    </row>
    <row r="286" spans="1:10" ht="15" customHeight="1">
      <c r="A286" s="18" t="str">
        <f>Analysis!A286</f>
        <v>11/1981</v>
      </c>
      <c r="B286" s="19">
        <f>Analysis!E286</f>
        <v>0.2300000000000022</v>
      </c>
      <c r="C286" s="20">
        <f>Analysis!F286</f>
        <v>0.27406992824581616</v>
      </c>
      <c r="D286" s="19">
        <f t="shared" si="25"/>
        <v>-0.23</v>
      </c>
      <c r="E286" s="19">
        <f>Solar!D286</f>
        <v>1361.75</v>
      </c>
      <c r="F286" s="30">
        <v>-0.19</v>
      </c>
      <c r="G286" s="20">
        <f t="shared" si="21"/>
        <v>6.7366663383656378E-2</v>
      </c>
      <c r="H286" s="20">
        <f t="shared" si="22"/>
        <v>0.13849388302445576</v>
      </c>
      <c r="I286" s="20">
        <f t="shared" si="23"/>
        <v>9.1506116975546448E-2</v>
      </c>
      <c r="J286" s="20">
        <f t="shared" si="24"/>
        <v>0.25001868707459862</v>
      </c>
    </row>
    <row r="287" spans="1:10" ht="15" customHeight="1">
      <c r="A287" s="18" t="str">
        <f>Analysis!A287</f>
        <v>12/1981</v>
      </c>
      <c r="B287" s="19">
        <f>Analysis!E287</f>
        <v>0.41000000000000014</v>
      </c>
      <c r="C287" s="20">
        <f>Analysis!F287</f>
        <v>0.27972597877580269</v>
      </c>
      <c r="D287" s="19">
        <f t="shared" si="25"/>
        <v>-0.08</v>
      </c>
      <c r="E287" s="19">
        <f>Solar!D287</f>
        <v>1361.59</v>
      </c>
      <c r="F287" s="30">
        <v>-0.14000000000000001</v>
      </c>
      <c r="G287" s="20">
        <f t="shared" si="21"/>
        <v>0.23190544570745431</v>
      </c>
      <c r="H287" s="20">
        <f t="shared" si="22"/>
        <v>0.16708556628887622</v>
      </c>
      <c r="I287" s="20">
        <f t="shared" si="23"/>
        <v>0.24291443371112392</v>
      </c>
      <c r="J287" s="20">
        <f t="shared" si="24"/>
        <v>0.41696302159116411</v>
      </c>
    </row>
    <row r="288" spans="1:10" ht="15" customHeight="1">
      <c r="A288" s="18" t="str">
        <f>Analysis!A288</f>
        <v>1/1982</v>
      </c>
      <c r="B288" s="19">
        <f>Analysis!E288</f>
        <v>5.0000000000004263E-2</v>
      </c>
      <c r="C288" s="20">
        <f>Analysis!F288</f>
        <v>0.28404872727074498</v>
      </c>
      <c r="D288" s="19">
        <f t="shared" si="25"/>
        <v>-0.16</v>
      </c>
      <c r="E288" s="19">
        <f>Solar!D288</f>
        <v>1361.88</v>
      </c>
      <c r="F288" s="30">
        <v>-0.05</v>
      </c>
      <c r="G288" s="20">
        <f t="shared" si="21"/>
        <v>-0.1399110957264329</v>
      </c>
      <c r="H288" s="20">
        <f t="shared" si="22"/>
        <v>0.17199625359124346</v>
      </c>
      <c r="I288" s="20">
        <f t="shared" si="23"/>
        <v>-0.1219962535912392</v>
      </c>
      <c r="J288" s="20">
        <f t="shared" si="24"/>
        <v>6.3926043182332207E-2</v>
      </c>
    </row>
    <row r="289" spans="1:10" ht="15" customHeight="1">
      <c r="A289" s="18" t="str">
        <f>Analysis!A289</f>
        <v>2/1982</v>
      </c>
      <c r="B289" s="19">
        <f>Analysis!E289</f>
        <v>0.14999999999999858</v>
      </c>
      <c r="C289" s="20">
        <f>Analysis!F289</f>
        <v>0.28755672496786289</v>
      </c>
      <c r="D289" s="19">
        <f t="shared" si="25"/>
        <v>-0.19</v>
      </c>
      <c r="E289" s="19">
        <f>Solar!D289</f>
        <v>1360.75</v>
      </c>
      <c r="F289" s="30">
        <v>0.02</v>
      </c>
      <c r="G289" s="20">
        <f t="shared" si="21"/>
        <v>-4.9500457722975955E-2</v>
      </c>
      <c r="H289" s="20">
        <f t="shared" si="22"/>
        <v>0.17902087503903039</v>
      </c>
      <c r="I289" s="20">
        <f t="shared" si="23"/>
        <v>-2.9020875039031807E-2</v>
      </c>
      <c r="J289" s="20">
        <f t="shared" si="24"/>
        <v>0.16653717627901302</v>
      </c>
    </row>
    <row r="290" spans="1:10" ht="15" customHeight="1">
      <c r="A290" s="18" t="str">
        <f>Analysis!A290</f>
        <v>3/1982</v>
      </c>
      <c r="B290" s="19">
        <f>Analysis!E290</f>
        <v>2.9999999999997584E-2</v>
      </c>
      <c r="C290" s="20">
        <f>Analysis!F290</f>
        <v>0.29185610858541344</v>
      </c>
      <c r="D290" s="19">
        <f t="shared" si="25"/>
        <v>-0.14000000000000001</v>
      </c>
      <c r="E290" s="19">
        <f>Solar!D290</f>
        <v>1360.76</v>
      </c>
      <c r="F290" s="30">
        <v>7.0000000000000007E-2</v>
      </c>
      <c r="G290" s="20">
        <f t="shared" si="21"/>
        <v>-0.18125312959746176</v>
      </c>
      <c r="H290" s="20">
        <f t="shared" si="22"/>
        <v>0.19518229387193523</v>
      </c>
      <c r="I290" s="20">
        <f t="shared" si="23"/>
        <v>-0.16518229387193764</v>
      </c>
      <c r="J290" s="20">
        <f t="shared" si="24"/>
        <v>4.2185287784534536E-2</v>
      </c>
    </row>
    <row r="291" spans="1:10" ht="15" customHeight="1">
      <c r="A291" s="18" t="str">
        <f>Analysis!A291</f>
        <v>4/1982</v>
      </c>
      <c r="B291" s="19">
        <f>Analysis!E291</f>
        <v>0.14999999999999858</v>
      </c>
      <c r="C291" s="20">
        <f>Analysis!F291</f>
        <v>0.2968139727658512</v>
      </c>
      <c r="D291" s="19">
        <f t="shared" si="25"/>
        <v>-0.05</v>
      </c>
      <c r="E291" s="19">
        <f>Solar!D291</f>
        <v>1361.42</v>
      </c>
      <c r="F291" s="30">
        <v>0.34</v>
      </c>
      <c r="G291" s="20">
        <f t="shared" si="21"/>
        <v>-7.4805805072403087E-2</v>
      </c>
      <c r="H291" s="20">
        <f t="shared" si="22"/>
        <v>0.21663393537087189</v>
      </c>
      <c r="I291" s="20">
        <f t="shared" si="23"/>
        <v>-6.663393537087331E-2</v>
      </c>
      <c r="J291" s="20">
        <f t="shared" si="24"/>
        <v>0.15435188849447606</v>
      </c>
    </row>
    <row r="292" spans="1:10" ht="15" customHeight="1">
      <c r="A292" s="18" t="str">
        <f>Analysis!A292</f>
        <v>5/1982</v>
      </c>
      <c r="B292" s="19">
        <f>Analysis!E292</f>
        <v>0.17999999999999972</v>
      </c>
      <c r="C292" s="20">
        <f>Analysis!F292</f>
        <v>0.30020741728518119</v>
      </c>
      <c r="D292" s="19">
        <f t="shared" si="25"/>
        <v>0.02</v>
      </c>
      <c r="E292" s="19">
        <f>Solar!D292</f>
        <v>1361.37</v>
      </c>
      <c r="F292" s="30">
        <v>0.65</v>
      </c>
      <c r="G292" s="20">
        <f t="shared" si="21"/>
        <v>-5.4082027784223108E-2</v>
      </c>
      <c r="H292" s="20">
        <f t="shared" si="22"/>
        <v>0.23204767958068534</v>
      </c>
      <c r="I292" s="20">
        <f t="shared" si="23"/>
        <v>-5.2047679580685624E-2</v>
      </c>
      <c r="J292" s="20">
        <f t="shared" si="24"/>
        <v>0.17825924460220871</v>
      </c>
    </row>
    <row r="293" spans="1:10" ht="15" customHeight="1">
      <c r="A293" s="18" t="str">
        <f>Analysis!A293</f>
        <v>6/1982</v>
      </c>
      <c r="B293" s="19">
        <f>Analysis!E293</f>
        <v>5.9999999999998721E-2</v>
      </c>
      <c r="C293" s="20">
        <f>Analysis!F293</f>
        <v>0.29647838424587125</v>
      </c>
      <c r="D293" s="19">
        <f t="shared" si="25"/>
        <v>7.0000000000000007E-2</v>
      </c>
      <c r="E293" s="19">
        <f>Solar!D293</f>
        <v>1360.46</v>
      </c>
      <c r="F293" s="30">
        <v>0.73</v>
      </c>
      <c r="G293" s="20">
        <f t="shared" si="21"/>
        <v>-0.16388844990919582</v>
      </c>
      <c r="H293" s="20">
        <f t="shared" si="22"/>
        <v>0.22615667450526589</v>
      </c>
      <c r="I293" s="20">
        <f t="shared" si="23"/>
        <v>-0.16615667450526717</v>
      </c>
      <c r="J293" s="20">
        <f t="shared" si="24"/>
        <v>5.3907356107730245E-2</v>
      </c>
    </row>
    <row r="294" spans="1:10" ht="15" customHeight="1">
      <c r="A294" s="18" t="str">
        <f>Analysis!A294</f>
        <v>7/1982</v>
      </c>
      <c r="B294" s="19">
        <f>Analysis!E294</f>
        <v>0.13999999999999879</v>
      </c>
      <c r="C294" s="20">
        <f>Analysis!F294</f>
        <v>0.29034014167791555</v>
      </c>
      <c r="D294" s="19">
        <f t="shared" si="25"/>
        <v>0.34</v>
      </c>
      <c r="E294" s="19">
        <f>Solar!D294</f>
        <v>1361.11</v>
      </c>
      <c r="F294" s="30">
        <v>0.78</v>
      </c>
      <c r="G294" s="20">
        <f t="shared" si="21"/>
        <v>-6.7109125893378252E-2</v>
      </c>
      <c r="H294" s="20">
        <f t="shared" si="22"/>
        <v>0.23279637136432538</v>
      </c>
      <c r="I294" s="20">
        <f t="shared" si="23"/>
        <v>-9.2796371364326585E-2</v>
      </c>
      <c r="J294" s="20">
        <f t="shared" si="24"/>
        <v>0.1104071582375519</v>
      </c>
    </row>
    <row r="295" spans="1:10" ht="15" customHeight="1">
      <c r="A295" s="18" t="str">
        <f>Analysis!A295</f>
        <v>8/1982</v>
      </c>
      <c r="B295" s="19">
        <f>Analysis!E295</f>
        <v>2.9999999999997584E-2</v>
      </c>
      <c r="C295" s="20">
        <f>Analysis!F295</f>
        <v>0.28112593290607241</v>
      </c>
      <c r="D295" s="19">
        <f t="shared" si="25"/>
        <v>0.65</v>
      </c>
      <c r="E295" s="19">
        <f>Solar!D295</f>
        <v>1361.19</v>
      </c>
      <c r="F295" s="30">
        <v>0.99</v>
      </c>
      <c r="G295" s="20">
        <f t="shared" si="21"/>
        <v>-0.15192142879270354</v>
      </c>
      <c r="H295" s="20">
        <f t="shared" si="22"/>
        <v>0.23446852691379974</v>
      </c>
      <c r="I295" s="20">
        <f t="shared" si="23"/>
        <v>-0.20446852691380216</v>
      </c>
      <c r="J295" s="20">
        <f t="shared" si="24"/>
        <v>-2.6574550428209692E-2</v>
      </c>
    </row>
    <row r="296" spans="1:10" ht="15" customHeight="1">
      <c r="A296" s="18" t="str">
        <f>Analysis!A296</f>
        <v>9/1982</v>
      </c>
      <c r="B296" s="19">
        <f>Analysis!E296</f>
        <v>0.13999999999999879</v>
      </c>
      <c r="C296" s="20">
        <f>Analysis!F296</f>
        <v>0.2731748371214936</v>
      </c>
      <c r="D296" s="19">
        <f t="shared" si="25"/>
        <v>0.73</v>
      </c>
      <c r="E296" s="19">
        <f>Solar!D296</f>
        <v>1361.48</v>
      </c>
      <c r="F296" s="30">
        <v>1.45</v>
      </c>
      <c r="G296" s="20">
        <f t="shared" si="21"/>
        <v>-2.0186541164323613E-2</v>
      </c>
      <c r="H296" s="20">
        <f t="shared" si="22"/>
        <v>0.21959150927040447</v>
      </c>
      <c r="I296" s="20">
        <f t="shared" si="23"/>
        <v>-7.9591509270405675E-2</v>
      </c>
      <c r="J296" s="20">
        <f t="shared" si="24"/>
        <v>7.6462427980627551E-2</v>
      </c>
    </row>
    <row r="297" spans="1:10" ht="15" customHeight="1">
      <c r="A297" s="18" t="str">
        <f>Analysis!A297</f>
        <v>10/1982</v>
      </c>
      <c r="B297" s="19">
        <f>Analysis!E297</f>
        <v>0.12999999999999901</v>
      </c>
      <c r="C297" s="20">
        <f>Analysis!F297</f>
        <v>0.27334537348989335</v>
      </c>
      <c r="D297" s="19">
        <f t="shared" si="25"/>
        <v>0.78</v>
      </c>
      <c r="E297" s="19">
        <f>Solar!D297</f>
        <v>1361.64</v>
      </c>
      <c r="F297" s="30">
        <v>1.82</v>
      </c>
      <c r="G297" s="20">
        <f t="shared" si="21"/>
        <v>-3.0652714494911248E-2</v>
      </c>
      <c r="H297" s="20">
        <f t="shared" si="22"/>
        <v>0.22441182640386198</v>
      </c>
      <c r="I297" s="20">
        <f t="shared" si="23"/>
        <v>-9.4411826403862975E-2</v>
      </c>
      <c r="J297" s="20">
        <f t="shared" si="24"/>
        <v>6.2110539486150265E-2</v>
      </c>
    </row>
    <row r="298" spans="1:10" ht="15" customHeight="1">
      <c r="A298" s="18" t="str">
        <f>Analysis!A298</f>
        <v>11/1982</v>
      </c>
      <c r="B298" s="19">
        <f>Analysis!E298</f>
        <v>0.17999999999999972</v>
      </c>
      <c r="C298" s="20">
        <f>Analysis!F298</f>
        <v>0.27772975657104493</v>
      </c>
      <c r="D298" s="19">
        <f t="shared" si="25"/>
        <v>0.99</v>
      </c>
      <c r="E298" s="19">
        <f>Solar!D298</f>
        <v>1361.41</v>
      </c>
      <c r="F298" s="30">
        <v>2.0299999999999998</v>
      </c>
      <c r="G298" s="20">
        <f t="shared" si="21"/>
        <v>7.3622615322406215E-3</v>
      </c>
      <c r="H298" s="20">
        <f t="shared" si="22"/>
        <v>0.2547327646178803</v>
      </c>
      <c r="I298" s="20">
        <f t="shared" si="23"/>
        <v>-7.4732764617880587E-2</v>
      </c>
      <c r="J298" s="20">
        <f t="shared" si="24"/>
        <v>9.3832607809345561E-2</v>
      </c>
    </row>
    <row r="299" spans="1:10" ht="15" customHeight="1">
      <c r="A299" s="18" t="str">
        <f>Analysis!A299</f>
        <v>12/1982</v>
      </c>
      <c r="B299" s="19">
        <f>Analysis!E299</f>
        <v>0.42999999999999972</v>
      </c>
      <c r="C299" s="20">
        <f>Analysis!F299</f>
        <v>0.28341384070717457</v>
      </c>
      <c r="D299" s="19">
        <f t="shared" si="25"/>
        <v>1.45</v>
      </c>
      <c r="E299" s="19">
        <f>Solar!D299</f>
        <v>1361.24</v>
      </c>
      <c r="F299" s="30">
        <v>2.12</v>
      </c>
      <c r="G299" s="20">
        <f t="shared" si="21"/>
        <v>0.24182441199348392</v>
      </c>
      <c r="H299" s="20">
        <f t="shared" si="22"/>
        <v>0.31038315914929249</v>
      </c>
      <c r="I299" s="20">
        <f t="shared" si="23"/>
        <v>0.11961684085070723</v>
      </c>
      <c r="J299" s="20">
        <f t="shared" si="24"/>
        <v>0.30379523366015271</v>
      </c>
    </row>
    <row r="300" spans="1:10" ht="15" customHeight="1">
      <c r="A300" s="18" t="str">
        <f>Analysis!A300</f>
        <v>1/1983</v>
      </c>
      <c r="B300" s="19">
        <f>Analysis!E300</f>
        <v>0.52999999999999758</v>
      </c>
      <c r="C300" s="20">
        <f>Analysis!F300</f>
        <v>0.28675444184014132</v>
      </c>
      <c r="D300" s="19">
        <f t="shared" si="25"/>
        <v>1.82</v>
      </c>
      <c r="E300" s="19">
        <f>Solar!D300</f>
        <v>1361.42</v>
      </c>
      <c r="F300" s="30">
        <v>2.14</v>
      </c>
      <c r="G300" s="20">
        <f t="shared" si="21"/>
        <v>0.33269264044859737</v>
      </c>
      <c r="H300" s="20">
        <f t="shared" si="22"/>
        <v>0.35176308431611947</v>
      </c>
      <c r="I300" s="20">
        <f t="shared" si="23"/>
        <v>0.17823691568387812</v>
      </c>
      <c r="J300" s="20">
        <f t="shared" si="24"/>
        <v>0.37159125880101718</v>
      </c>
    </row>
    <row r="301" spans="1:10" ht="15" customHeight="1">
      <c r="A301" s="18" t="str">
        <f>Analysis!A301</f>
        <v>2/1983</v>
      </c>
      <c r="B301" s="19">
        <f>Analysis!E301</f>
        <v>0.42999999999999972</v>
      </c>
      <c r="C301" s="20">
        <f>Analysis!F301</f>
        <v>0.29185610858541344</v>
      </c>
      <c r="D301" s="19">
        <f t="shared" si="25"/>
        <v>2.0299999999999998</v>
      </c>
      <c r="E301" s="19">
        <f>Solar!D301</f>
        <v>1361.25</v>
      </c>
      <c r="F301" s="30">
        <v>1.91</v>
      </c>
      <c r="G301" s="20">
        <f t="shared" si="21"/>
        <v>0.21874687040254037</v>
      </c>
      <c r="H301" s="20">
        <f t="shared" si="22"/>
        <v>0.38405425453225794</v>
      </c>
      <c r="I301" s="20">
        <f t="shared" si="23"/>
        <v>4.5945745467741772E-2</v>
      </c>
      <c r="J301" s="20">
        <f t="shared" si="24"/>
        <v>0.25331332712421395</v>
      </c>
    </row>
    <row r="302" spans="1:10" ht="15" customHeight="1">
      <c r="A302" s="18" t="str">
        <f>Analysis!A302</f>
        <v>3/1983</v>
      </c>
      <c r="B302" s="19">
        <f>Analysis!E302</f>
        <v>0.42000000000000348</v>
      </c>
      <c r="C302" s="20">
        <f>Analysis!F302</f>
        <v>0.29433717040544699</v>
      </c>
      <c r="D302" s="19">
        <f t="shared" si="25"/>
        <v>2.12</v>
      </c>
      <c r="E302" s="19">
        <f>Solar!D302</f>
        <v>1361.23</v>
      </c>
      <c r="F302" s="30">
        <v>1.52</v>
      </c>
      <c r="G302" s="20">
        <f t="shared" si="21"/>
        <v>0.2019647108966709</v>
      </c>
      <c r="H302" s="20">
        <f t="shared" si="22"/>
        <v>0.39870262486039698</v>
      </c>
      <c r="I302" s="20">
        <f t="shared" si="23"/>
        <v>2.12973751396065E-2</v>
      </c>
      <c r="J302" s="20">
        <f t="shared" si="24"/>
        <v>0.23547992783415819</v>
      </c>
    </row>
    <row r="303" spans="1:10" ht="15" customHeight="1">
      <c r="A303" s="18" t="str">
        <f>Analysis!A303</f>
        <v>4/1983</v>
      </c>
      <c r="B303" s="19">
        <f>Analysis!E303</f>
        <v>0.28000000000000114</v>
      </c>
      <c r="C303" s="20">
        <f>Analysis!F303</f>
        <v>0.30284125569659542</v>
      </c>
      <c r="D303" s="19">
        <f t="shared" si="25"/>
        <v>2.14</v>
      </c>
      <c r="E303" s="19">
        <f>Solar!D303</f>
        <v>1361.2</v>
      </c>
      <c r="F303" s="30">
        <v>1.23</v>
      </c>
      <c r="G303" s="20">
        <f t="shared" si="21"/>
        <v>3.8718186996937853E-2</v>
      </c>
      <c r="H303" s="20">
        <f t="shared" si="22"/>
        <v>0.42380236893657153</v>
      </c>
      <c r="I303" s="20">
        <f t="shared" si="23"/>
        <v>-0.14380236893657039</v>
      </c>
      <c r="J303" s="20">
        <f t="shared" si="24"/>
        <v>9.373917243636487E-2</v>
      </c>
    </row>
    <row r="304" spans="1:10" ht="15" customHeight="1">
      <c r="A304" s="18" t="str">
        <f>Analysis!A304</f>
        <v>5/1983</v>
      </c>
      <c r="B304" s="19">
        <f>Analysis!E304</f>
        <v>0.33999999999999986</v>
      </c>
      <c r="C304" s="20">
        <f>Analysis!F304</f>
        <v>0.30592884206251841</v>
      </c>
      <c r="D304" s="19">
        <f t="shared" si="25"/>
        <v>1.91</v>
      </c>
      <c r="E304" s="19">
        <f>Solar!D304</f>
        <v>1361.09</v>
      </c>
      <c r="F304" s="30">
        <v>0.95</v>
      </c>
      <c r="G304" s="20">
        <f t="shared" si="21"/>
        <v>9.0278049370069113E-2</v>
      </c>
      <c r="H304" s="20">
        <f t="shared" si="22"/>
        <v>0.41226465218340369</v>
      </c>
      <c r="I304" s="20">
        <f t="shared" si="23"/>
        <v>-7.2264652183403832E-2</v>
      </c>
      <c r="J304" s="20">
        <f t="shared" si="24"/>
        <v>0.17375785951096001</v>
      </c>
    </row>
    <row r="305" spans="1:10" ht="15" customHeight="1">
      <c r="A305" s="18" t="str">
        <f>Analysis!A305</f>
        <v>6/1983</v>
      </c>
      <c r="B305" s="19">
        <f>Analysis!E305</f>
        <v>0.2300000000000022</v>
      </c>
      <c r="C305" s="20">
        <f>Analysis!F305</f>
        <v>0.30434415013981614</v>
      </c>
      <c r="D305" s="19">
        <f t="shared" si="25"/>
        <v>1.52</v>
      </c>
      <c r="E305" s="19">
        <f>Solar!D305</f>
        <v>1361.08</v>
      </c>
      <c r="F305" s="30">
        <v>0.62</v>
      </c>
      <c r="G305" s="20">
        <f t="shared" si="21"/>
        <v>-1.5390082193336929E-2</v>
      </c>
      <c r="H305" s="20">
        <f t="shared" si="22"/>
        <v>0.37396709626518709</v>
      </c>
      <c r="I305" s="20">
        <f t="shared" si="23"/>
        <v>-0.14396709626518489</v>
      </c>
      <c r="J305" s="20">
        <f t="shared" si="24"/>
        <v>9.7702589767886733E-2</v>
      </c>
    </row>
    <row r="306" spans="1:10" ht="15" customHeight="1">
      <c r="A306" s="18" t="str">
        <f>Analysis!A306</f>
        <v>7/1983</v>
      </c>
      <c r="B306" s="19">
        <f>Analysis!E306</f>
        <v>0.17999999999999972</v>
      </c>
      <c r="C306" s="20">
        <f>Analysis!F306</f>
        <v>0.29832315583693308</v>
      </c>
      <c r="D306" s="19">
        <f t="shared" si="25"/>
        <v>1.23</v>
      </c>
      <c r="E306" s="19">
        <f>Solar!D306</f>
        <v>1361.29</v>
      </c>
      <c r="F306" s="30">
        <v>0.25</v>
      </c>
      <c r="G306" s="20">
        <f t="shared" si="21"/>
        <v>-4.8931264675622366E-2</v>
      </c>
      <c r="H306" s="20">
        <f t="shared" si="22"/>
        <v>0.33218769906838636</v>
      </c>
      <c r="I306" s="20">
        <f t="shared" si="23"/>
        <v>-0.15218769906838664</v>
      </c>
      <c r="J306" s="20">
        <f t="shared" si="24"/>
        <v>7.2943543035853639E-2</v>
      </c>
    </row>
    <row r="307" spans="1:10" ht="15" customHeight="1">
      <c r="A307" s="18" t="str">
        <f>Analysis!A307</f>
        <v>8/1983</v>
      </c>
      <c r="B307" s="19">
        <f>Analysis!E307</f>
        <v>0.36000000000000121</v>
      </c>
      <c r="C307" s="20">
        <f>Analysis!F307</f>
        <v>0.29071928277095344</v>
      </c>
      <c r="D307" s="19">
        <f t="shared" si="25"/>
        <v>0.95</v>
      </c>
      <c r="E307" s="19">
        <f>Solar!D307</f>
        <v>1361.46</v>
      </c>
      <c r="F307" s="30">
        <v>-0.06</v>
      </c>
      <c r="G307" s="20">
        <f t="shared" si="21"/>
        <v>0.15185446487753873</v>
      </c>
      <c r="H307" s="20">
        <f t="shared" si="22"/>
        <v>0.28693083428900057</v>
      </c>
      <c r="I307" s="20">
        <f t="shared" si="23"/>
        <v>7.3069165711000639E-2</v>
      </c>
      <c r="J307" s="20">
        <f t="shared" si="24"/>
        <v>0.27731411860492905</v>
      </c>
    </row>
    <row r="308" spans="1:10" ht="15" customHeight="1">
      <c r="A308" s="18" t="str">
        <f>Analysis!A308</f>
        <v>9/1983</v>
      </c>
      <c r="B308" s="19">
        <f>Analysis!E308</f>
        <v>0.36999999999999744</v>
      </c>
      <c r="C308" s="20">
        <f>Analysis!F308</f>
        <v>0.28205848151793295</v>
      </c>
      <c r="D308" s="19">
        <f t="shared" si="25"/>
        <v>0.62</v>
      </c>
      <c r="E308" s="19">
        <f>Solar!D308</f>
        <v>1361.27</v>
      </c>
      <c r="F308" s="30">
        <v>-0.43</v>
      </c>
      <c r="G308" s="20">
        <f t="shared" si="21"/>
        <v>0.18552938304054056</v>
      </c>
      <c r="H308" s="20">
        <f t="shared" si="22"/>
        <v>0.23441891474743207</v>
      </c>
      <c r="I308" s="20">
        <f t="shared" si="23"/>
        <v>0.13558108525256538</v>
      </c>
      <c r="J308" s="20">
        <f t="shared" si="24"/>
        <v>0.31603658266847667</v>
      </c>
    </row>
    <row r="309" spans="1:10" ht="15" customHeight="1">
      <c r="A309" s="18" t="str">
        <f>Analysis!A309</f>
        <v>10/1983</v>
      </c>
      <c r="B309" s="19">
        <f>Analysis!E309</f>
        <v>0.16999999999999993</v>
      </c>
      <c r="C309" s="20">
        <f>Analysis!F309</f>
        <v>0.28235507516311997</v>
      </c>
      <c r="D309" s="19">
        <f t="shared" si="25"/>
        <v>0.25</v>
      </c>
      <c r="E309" s="19">
        <f>Solar!D309</f>
        <v>1361.05</v>
      </c>
      <c r="F309" s="30">
        <v>-0.76</v>
      </c>
      <c r="G309" s="20">
        <f t="shared" si="21"/>
        <v>-1.5281376850179607E-2</v>
      </c>
      <c r="H309" s="20">
        <f t="shared" si="22"/>
        <v>0.20302962216896864</v>
      </c>
      <c r="I309" s="20">
        <f t="shared" si="23"/>
        <v>-3.3029622168968709E-2</v>
      </c>
      <c r="J309" s="20">
        <f t="shared" si="24"/>
        <v>0.1482405575276125</v>
      </c>
    </row>
    <row r="310" spans="1:10" ht="15" customHeight="1">
      <c r="A310" s="18" t="str">
        <f>Analysis!A310</f>
        <v>11/1983</v>
      </c>
      <c r="B310" s="19">
        <f>Analysis!E310</f>
        <v>0.30000000000000249</v>
      </c>
      <c r="C310" s="20">
        <f>Analysis!F310</f>
        <v>0.28768336047734855</v>
      </c>
      <c r="D310" s="19">
        <f t="shared" si="25"/>
        <v>-0.06</v>
      </c>
      <c r="E310" s="19">
        <f>Solar!D310</f>
        <v>1361.15</v>
      </c>
      <c r="F310" s="30">
        <v>-0.96</v>
      </c>
      <c r="G310" s="20">
        <f t="shared" si="21"/>
        <v>0.10015337507655575</v>
      </c>
      <c r="H310" s="20">
        <f t="shared" si="22"/>
        <v>0.19068362705370753</v>
      </c>
      <c r="I310" s="20">
        <f t="shared" si="23"/>
        <v>0.10931637294629495</v>
      </c>
      <c r="J310" s="20">
        <f t="shared" si="24"/>
        <v>0.30522226619337545</v>
      </c>
    </row>
    <row r="311" spans="1:10" ht="15" customHeight="1">
      <c r="A311" s="18" t="str">
        <f>Analysis!A311</f>
        <v>12/1983</v>
      </c>
      <c r="B311" s="19">
        <f>Analysis!E311</f>
        <v>0.16999999999999993</v>
      </c>
      <c r="C311" s="20">
        <f>Analysis!F311</f>
        <v>0.29362272566721687</v>
      </c>
      <c r="D311" s="19">
        <f t="shared" si="25"/>
        <v>-0.43</v>
      </c>
      <c r="E311" s="19">
        <f>Solar!D311</f>
        <v>1361.08</v>
      </c>
      <c r="F311" s="30">
        <v>-0.89</v>
      </c>
      <c r="G311" s="20">
        <f t="shared" si="21"/>
        <v>-4.6082303436597805E-2</v>
      </c>
      <c r="H311" s="20">
        <f t="shared" si="22"/>
        <v>0.17479387759061127</v>
      </c>
      <c r="I311" s="20">
        <f t="shared" si="23"/>
        <v>-4.7938775906113396E-3</v>
      </c>
      <c r="J311" s="20">
        <f t="shared" si="24"/>
        <v>0.20742624105250629</v>
      </c>
    </row>
    <row r="312" spans="1:10" ht="15" customHeight="1">
      <c r="A312" s="18" t="str">
        <f>Analysis!A312</f>
        <v>1/1984</v>
      </c>
      <c r="B312" s="19">
        <f>Analysis!E312</f>
        <v>0.31000000000000227</v>
      </c>
      <c r="C312" s="20">
        <f>Analysis!F312</f>
        <v>0.29786218403948628</v>
      </c>
      <c r="D312" s="19">
        <f t="shared" si="25"/>
        <v>-0.76</v>
      </c>
      <c r="E312" s="19">
        <f>Solar!D312</f>
        <v>1360.3</v>
      </c>
      <c r="F312" s="30">
        <v>-0.63</v>
      </c>
      <c r="G312" s="20">
        <f t="shared" si="21"/>
        <v>8.2328834622490743E-2</v>
      </c>
      <c r="H312" s="20">
        <f t="shared" si="22"/>
        <v>0.15771634143287427</v>
      </c>
      <c r="I312" s="20">
        <f t="shared" si="23"/>
        <v>0.152283658567128</v>
      </c>
      <c r="J312" s="20">
        <f t="shared" si="24"/>
        <v>0.37614870511606002</v>
      </c>
    </row>
    <row r="313" spans="1:10" ht="15" customHeight="1">
      <c r="A313" s="18" t="str">
        <f>Analysis!A313</f>
        <v>2/1984</v>
      </c>
      <c r="B313" s="19">
        <f>Analysis!E313</f>
        <v>0.13999999999999879</v>
      </c>
      <c r="C313" s="20">
        <f>Analysis!F313</f>
        <v>0.30083495794705978</v>
      </c>
      <c r="D313" s="19">
        <f t="shared" si="25"/>
        <v>-0.96</v>
      </c>
      <c r="E313" s="19">
        <f>Solar!D313</f>
        <v>1360.56</v>
      </c>
      <c r="F313" s="30">
        <v>-0.51</v>
      </c>
      <c r="G313" s="20">
        <f t="shared" si="21"/>
        <v>-9.5797454957749384E-2</v>
      </c>
      <c r="H313" s="20">
        <f t="shared" si="22"/>
        <v>0.14847439135861787</v>
      </c>
      <c r="I313" s="20">
        <f t="shared" si="23"/>
        <v>-8.4743913586190767E-3</v>
      </c>
      <c r="J313" s="20">
        <f t="shared" si="24"/>
        <v>0.22355625909396645</v>
      </c>
    </row>
    <row r="314" spans="1:10" ht="15" customHeight="1">
      <c r="A314" s="18" t="str">
        <f>Analysis!A314</f>
        <v>3/1984</v>
      </c>
      <c r="B314" s="19">
        <f>Analysis!E314</f>
        <v>0.25999999999999979</v>
      </c>
      <c r="C314" s="20">
        <f>Analysis!F314</f>
        <v>0.30401030887004266</v>
      </c>
      <c r="D314" s="19">
        <f t="shared" si="25"/>
        <v>-0.89</v>
      </c>
      <c r="E314" s="19">
        <f>Solar!D314</f>
        <v>1361.18</v>
      </c>
      <c r="F314" s="30">
        <v>-0.38</v>
      </c>
      <c r="G314" s="20">
        <f t="shared" si="21"/>
        <v>1.5522496736764202E-2</v>
      </c>
      <c r="H314" s="20">
        <f t="shared" si="22"/>
        <v>0.16328907691914851</v>
      </c>
      <c r="I314" s="20">
        <f t="shared" si="23"/>
        <v>9.6710923080851274E-2</v>
      </c>
      <c r="J314" s="20">
        <f t="shared" si="24"/>
        <v>0.33746361520169899</v>
      </c>
    </row>
    <row r="315" spans="1:10" ht="15" customHeight="1">
      <c r="A315" s="18" t="str">
        <f>Analysis!A315</f>
        <v>4/1984</v>
      </c>
      <c r="B315" s="19">
        <f>Analysis!E315</f>
        <v>5.9999999999998721E-2</v>
      </c>
      <c r="C315" s="20">
        <f>Analysis!F315</f>
        <v>0.31104633643445362</v>
      </c>
      <c r="D315" s="19">
        <f t="shared" si="25"/>
        <v>-0.63</v>
      </c>
      <c r="E315" s="19">
        <f>Solar!D315</f>
        <v>1360.44</v>
      </c>
      <c r="F315" s="30">
        <v>-0.47</v>
      </c>
      <c r="G315" s="20">
        <f t="shared" si="21"/>
        <v>-0.203710986622757</v>
      </c>
      <c r="H315" s="20">
        <f t="shared" si="22"/>
        <v>0.20524543046715338</v>
      </c>
      <c r="I315" s="20">
        <f t="shared" si="23"/>
        <v>-0.14524543046715466</v>
      </c>
      <c r="J315" s="20">
        <f t="shared" si="24"/>
        <v>0.11483379503041501</v>
      </c>
    </row>
    <row r="316" spans="1:10" ht="15" customHeight="1">
      <c r="A316" s="18" t="str">
        <f>Analysis!A316</f>
        <v>5/1984</v>
      </c>
      <c r="B316" s="19">
        <f>Analysis!E316</f>
        <v>0.32999999999999652</v>
      </c>
      <c r="C316" s="20">
        <f>Analysis!F316</f>
        <v>0.31270665832658501</v>
      </c>
      <c r="D316" s="19">
        <f t="shared" si="25"/>
        <v>-0.51</v>
      </c>
      <c r="E316" s="19">
        <f>Solar!D316</f>
        <v>1360.71</v>
      </c>
      <c r="F316" s="30">
        <v>-0.55000000000000004</v>
      </c>
      <c r="G316" s="20">
        <f t="shared" si="21"/>
        <v>6.1750405023106247E-2</v>
      </c>
      <c r="H316" s="20">
        <f t="shared" si="22"/>
        <v>0.22025052862352285</v>
      </c>
      <c r="I316" s="20">
        <f t="shared" si="23"/>
        <v>0.10974947137647367</v>
      </c>
      <c r="J316" s="20">
        <f t="shared" si="24"/>
        <v>0.37438926264366684</v>
      </c>
    </row>
    <row r="317" spans="1:10" ht="15" customHeight="1">
      <c r="A317" s="18" t="str">
        <f>Analysis!A317</f>
        <v>6/1984</v>
      </c>
      <c r="B317" s="19">
        <f>Analysis!E317</f>
        <v>2.0000000000003126E-2</v>
      </c>
      <c r="C317" s="20">
        <f>Analysis!F317</f>
        <v>0.31017390193106481</v>
      </c>
      <c r="D317" s="19">
        <f t="shared" si="25"/>
        <v>-0.38</v>
      </c>
      <c r="E317" s="19">
        <f>Solar!D317</f>
        <v>1361.11</v>
      </c>
      <c r="F317" s="30">
        <v>-0.52</v>
      </c>
      <c r="G317" s="20">
        <f t="shared" si="21"/>
        <v>-0.24132612466057457</v>
      </c>
      <c r="H317" s="20">
        <f t="shared" si="22"/>
        <v>0.22460847321051852</v>
      </c>
      <c r="I317" s="20">
        <f t="shared" si="23"/>
        <v>-0.2046084732105154</v>
      </c>
      <c r="J317" s="20">
        <f t="shared" si="24"/>
        <v>5.3074352558031994E-2</v>
      </c>
    </row>
    <row r="318" spans="1:10" ht="15" customHeight="1">
      <c r="A318" s="18" t="str">
        <f>Analysis!A318</f>
        <v>7/1984</v>
      </c>
      <c r="B318" s="19">
        <f>Analysis!E318</f>
        <v>0.19000000000000128</v>
      </c>
      <c r="C318" s="20">
        <f>Analysis!F318</f>
        <v>0.30446932070233174</v>
      </c>
      <c r="D318" s="19">
        <f t="shared" si="25"/>
        <v>-0.47</v>
      </c>
      <c r="E318" s="19">
        <f>Solar!D318</f>
        <v>1361.15</v>
      </c>
      <c r="F318" s="30">
        <v>-0.39</v>
      </c>
      <c r="G318" s="20">
        <f t="shared" si="21"/>
        <v>-5.5732244856745106E-2</v>
      </c>
      <c r="H318" s="20">
        <f t="shared" si="22"/>
        <v>0.20110575220333174</v>
      </c>
      <c r="I318" s="20">
        <f t="shared" si="23"/>
        <v>-1.110575220333046E-2</v>
      </c>
      <c r="J318" s="20">
        <f t="shared" si="24"/>
        <v>0.23090775184808962</v>
      </c>
    </row>
    <row r="319" spans="1:10" ht="15" customHeight="1">
      <c r="A319" s="18" t="str">
        <f>Analysis!A319</f>
        <v>8/1984</v>
      </c>
      <c r="B319" s="19">
        <f>Analysis!E319</f>
        <v>0.19000000000000128</v>
      </c>
      <c r="C319" s="20">
        <f>Analysis!F319</f>
        <v>0.29589091643366305</v>
      </c>
      <c r="D319" s="19">
        <f t="shared" si="25"/>
        <v>-0.55000000000000004</v>
      </c>
      <c r="E319" s="19">
        <f>Solar!D319</f>
        <v>1361.01</v>
      </c>
      <c r="F319" s="30">
        <v>-0.22</v>
      </c>
      <c r="G319" s="20">
        <f t="shared" si="21"/>
        <v>-3.228256472939206E-2</v>
      </c>
      <c r="H319" s="20">
        <f t="shared" si="22"/>
        <v>0.17057960285297177</v>
      </c>
      <c r="I319" s="20">
        <f t="shared" si="23"/>
        <v>1.9420397147029506E-2</v>
      </c>
      <c r="J319" s="20">
        <f t="shared" si="24"/>
        <v>0.23787077343925359</v>
      </c>
    </row>
    <row r="320" spans="1:10" ht="15" customHeight="1">
      <c r="A320" s="18" t="str">
        <f>Analysis!A320</f>
        <v>9/1984</v>
      </c>
      <c r="B320" s="19">
        <f>Analysis!E320</f>
        <v>0.21000000000000085</v>
      </c>
      <c r="C320" s="20">
        <f>Analysis!F320</f>
        <v>0.28683891370859382</v>
      </c>
      <c r="D320" s="19">
        <f t="shared" si="25"/>
        <v>-0.52</v>
      </c>
      <c r="E320" s="19">
        <f>Solar!D320</f>
        <v>1360.9</v>
      </c>
      <c r="F320" s="30">
        <v>-0.32</v>
      </c>
      <c r="G320" s="20">
        <f t="shared" si="21"/>
        <v>1.2461730569218288E-2</v>
      </c>
      <c r="H320" s="20">
        <f t="shared" si="22"/>
        <v>0.14832672977703962</v>
      </c>
      <c r="I320" s="20">
        <f t="shared" si="23"/>
        <v>6.1673270222961235E-2</v>
      </c>
      <c r="J320" s="20">
        <f t="shared" si="24"/>
        <v>0.25525964034256665</v>
      </c>
    </row>
    <row r="321" spans="1:10" ht="15" customHeight="1">
      <c r="A321" s="18" t="str">
        <f>Analysis!A321</f>
        <v>10/1984</v>
      </c>
      <c r="B321" s="19">
        <f>Analysis!E321</f>
        <v>0.12999999999999901</v>
      </c>
      <c r="C321" s="20">
        <f>Analysis!F321</f>
        <v>0.28797880011229388</v>
      </c>
      <c r="D321" s="19">
        <f t="shared" si="25"/>
        <v>-0.39</v>
      </c>
      <c r="E321" s="19">
        <f>Solar!D321</f>
        <v>1360.76</v>
      </c>
      <c r="F321" s="30">
        <v>-0.62</v>
      </c>
      <c r="G321" s="20">
        <f t="shared" si="21"/>
        <v>-7.0654230244837524E-2</v>
      </c>
      <c r="H321" s="20">
        <f t="shared" si="22"/>
        <v>0.16277267543994509</v>
      </c>
      <c r="I321" s="20">
        <f t="shared" si="23"/>
        <v>-3.2772675439946081E-2</v>
      </c>
      <c r="J321" s="20">
        <f t="shared" si="24"/>
        <v>0.16394473025692338</v>
      </c>
    </row>
    <row r="322" spans="1:10" ht="15" customHeight="1">
      <c r="A322" s="18" t="str">
        <f>Analysis!A322</f>
        <v>11/1984</v>
      </c>
      <c r="B322" s="19">
        <f>Analysis!E322</f>
        <v>5.9999999999998721E-2</v>
      </c>
      <c r="C322" s="20">
        <f>Analysis!F322</f>
        <v>0.29408505383681638</v>
      </c>
      <c r="D322" s="19">
        <f t="shared" si="25"/>
        <v>-0.22</v>
      </c>
      <c r="E322" s="19">
        <f>Solar!D322</f>
        <v>1360.62</v>
      </c>
      <c r="F322" s="30">
        <v>-0.95</v>
      </c>
      <c r="G322" s="20">
        <f t="shared" ref="G322:G385" si="26">B322-($N$4+$N$5*C322)</f>
        <v>-0.15734611047476466</v>
      </c>
      <c r="H322" s="20">
        <f t="shared" ref="H322:H385" si="27">IF(D322="","",$N$14+$N$15*C322+$N$16*D322)</f>
        <v>0.1943417305005227</v>
      </c>
      <c r="I322" s="20">
        <f t="shared" ref="I322:I385" si="28">IF(D322="","",B322-H322)</f>
        <v>-0.13434173050052398</v>
      </c>
      <c r="J322" s="20">
        <f t="shared" ref="J322:J385" si="29">IF(D322="","",B322-$N$16*D322)</f>
        <v>7.9148309375699638E-2</v>
      </c>
    </row>
    <row r="323" spans="1:10" ht="15" customHeight="1">
      <c r="A323" s="18" t="str">
        <f>Analysis!A323</f>
        <v>12/1984</v>
      </c>
      <c r="B323" s="19">
        <f>Analysis!E323</f>
        <v>-3.9999999999999147E-2</v>
      </c>
      <c r="C323" s="20">
        <f>Analysis!F323</f>
        <v>0.30116953472056501</v>
      </c>
      <c r="D323" s="19">
        <f t="shared" si="25"/>
        <v>-0.32</v>
      </c>
      <c r="E323" s="19">
        <f>Solar!D323</f>
        <v>1360.73</v>
      </c>
      <c r="F323" s="30">
        <v>-1.06</v>
      </c>
      <c r="G323" s="20">
        <f t="shared" si="26"/>
        <v>-0.27671204443977893</v>
      </c>
      <c r="H323" s="20">
        <f t="shared" si="27"/>
        <v>0.20509757827896721</v>
      </c>
      <c r="I323" s="20">
        <f t="shared" si="28"/>
        <v>-0.24509757827896636</v>
      </c>
      <c r="J323" s="20">
        <f t="shared" si="29"/>
        <v>-1.2147913635343257E-2</v>
      </c>
    </row>
    <row r="324" spans="1:10" ht="15" customHeight="1">
      <c r="A324" s="18" t="str">
        <f>Analysis!A324</f>
        <v>1/1985</v>
      </c>
      <c r="B324" s="19">
        <f>Analysis!E324</f>
        <v>0.22000000000000242</v>
      </c>
      <c r="C324" s="20">
        <f>Analysis!F324</f>
        <v>0.30317536756489971</v>
      </c>
      <c r="D324" s="19">
        <f t="shared" si="25"/>
        <v>-0.62</v>
      </c>
      <c r="E324" s="19">
        <f>Solar!D324</f>
        <v>1360.62</v>
      </c>
      <c r="F324" s="30">
        <v>-1.01</v>
      </c>
      <c r="G324" s="20">
        <f t="shared" si="26"/>
        <v>-2.2195131633555354E-2</v>
      </c>
      <c r="H324" s="20">
        <f t="shared" si="27"/>
        <v>0.18449586123263914</v>
      </c>
      <c r="I324" s="20">
        <f t="shared" si="28"/>
        <v>3.5504138767363275E-2</v>
      </c>
      <c r="J324" s="20">
        <f t="shared" si="29"/>
        <v>0.27396341733152318</v>
      </c>
    </row>
    <row r="325" spans="1:10" ht="15" customHeight="1">
      <c r="A325" s="18" t="str">
        <f>Analysis!A325</f>
        <v>2/1985</v>
      </c>
      <c r="B325" s="19">
        <f>Analysis!E325</f>
        <v>-3.9999999999999147E-2</v>
      </c>
      <c r="C325" s="20">
        <f>Analysis!F325</f>
        <v>0.30705375053345996</v>
      </c>
      <c r="D325" s="19">
        <f t="shared" ref="D325:D388" si="30">IF(F322="","",F322)</f>
        <v>-0.95</v>
      </c>
      <c r="E325" s="19">
        <f>Solar!D325</f>
        <v>1360.68</v>
      </c>
      <c r="F325" s="30">
        <v>-0.86</v>
      </c>
      <c r="G325" s="20">
        <f t="shared" si="26"/>
        <v>-0.29279696819613077</v>
      </c>
      <c r="H325" s="20">
        <f t="shared" si="27"/>
        <v>0.16642652454862283</v>
      </c>
      <c r="I325" s="20">
        <f t="shared" si="28"/>
        <v>-0.20642652454862198</v>
      </c>
      <c r="J325" s="20">
        <f t="shared" si="29"/>
        <v>4.2685881395073025E-2</v>
      </c>
    </row>
    <row r="326" spans="1:10" ht="15" customHeight="1">
      <c r="A326" s="18" t="str">
        <f>Analysis!A326</f>
        <v>3/1985</v>
      </c>
      <c r="B326" s="19">
        <f>Analysis!E326</f>
        <v>0.16999999999999993</v>
      </c>
      <c r="C326" s="20">
        <f>Analysis!F326</f>
        <v>0.31328731986192054</v>
      </c>
      <c r="D326" s="19">
        <f t="shared" si="30"/>
        <v>-1.06</v>
      </c>
      <c r="E326" s="19">
        <f>Solar!D326</f>
        <v>1360.64</v>
      </c>
      <c r="F326" s="30">
        <v>-0.85</v>
      </c>
      <c r="G326" s="20">
        <f t="shared" si="26"/>
        <v>-9.983687471324032E-2</v>
      </c>
      <c r="H326" s="20">
        <f t="shared" si="27"/>
        <v>0.17397471404998099</v>
      </c>
      <c r="I326" s="20">
        <f t="shared" si="28"/>
        <v>-3.9747140499810651E-3</v>
      </c>
      <c r="J326" s="20">
        <f t="shared" si="29"/>
        <v>0.26226003608292259</v>
      </c>
    </row>
    <row r="327" spans="1:10" ht="15" customHeight="1">
      <c r="A327" s="18" t="str">
        <f>Analysis!A327</f>
        <v>4/1985</v>
      </c>
      <c r="B327" s="19">
        <f>Analysis!E327</f>
        <v>0.11999999999999744</v>
      </c>
      <c r="C327" s="20">
        <f>Analysis!F327</f>
        <v>0.31639403332587512</v>
      </c>
      <c r="D327" s="19">
        <f t="shared" si="30"/>
        <v>-1.01</v>
      </c>
      <c r="E327" s="19">
        <f>Solar!D327</f>
        <v>1360.51</v>
      </c>
      <c r="F327" s="30">
        <v>-0.8</v>
      </c>
      <c r="G327" s="20">
        <f t="shared" si="26"/>
        <v>-0.15832929762727521</v>
      </c>
      <c r="H327" s="20">
        <f t="shared" si="27"/>
        <v>0.18686011110498907</v>
      </c>
      <c r="I327" s="20">
        <f t="shared" si="28"/>
        <v>-6.6860111104991626E-2</v>
      </c>
      <c r="J327" s="20">
        <f t="shared" si="29"/>
        <v>0.20790814758844262</v>
      </c>
    </row>
    <row r="328" spans="1:10" ht="15" customHeight="1">
      <c r="A328" s="18" t="str">
        <f>Analysis!A328</f>
        <v>5/1985</v>
      </c>
      <c r="B328" s="19">
        <f>Analysis!E328</f>
        <v>0.14999999999999858</v>
      </c>
      <c r="C328" s="20">
        <f>Analysis!F328</f>
        <v>0.3189572082710998</v>
      </c>
      <c r="D328" s="19">
        <f t="shared" si="30"/>
        <v>-0.86</v>
      </c>
      <c r="E328" s="19">
        <f>Solar!D328</f>
        <v>1360.61</v>
      </c>
      <c r="F328" s="30">
        <v>-0.79</v>
      </c>
      <c r="G328" s="20">
        <f t="shared" si="26"/>
        <v>-0.13533591921953125</v>
      </c>
      <c r="H328" s="20">
        <f t="shared" si="27"/>
        <v>0.20695629564207441</v>
      </c>
      <c r="I328" s="20">
        <f t="shared" si="28"/>
        <v>-5.6956295642075827E-2</v>
      </c>
      <c r="J328" s="20">
        <f t="shared" si="29"/>
        <v>0.2248524821050113</v>
      </c>
    </row>
    <row r="329" spans="1:10" ht="15" customHeight="1">
      <c r="A329" s="18" t="str">
        <f>Analysis!A329</f>
        <v>6/1985</v>
      </c>
      <c r="B329" s="19">
        <f>Analysis!E329</f>
        <v>0.14999999999999858</v>
      </c>
      <c r="C329" s="20">
        <f>Analysis!F329</f>
        <v>0.31635265445446925</v>
      </c>
      <c r="D329" s="19">
        <f t="shared" si="30"/>
        <v>-0.85</v>
      </c>
      <c r="E329" s="19">
        <f>Solar!D329</f>
        <v>1360.68</v>
      </c>
      <c r="F329" s="30">
        <v>-0.6</v>
      </c>
      <c r="G329" s="20">
        <f t="shared" si="26"/>
        <v>-0.12821618552995284</v>
      </c>
      <c r="H329" s="20">
        <f t="shared" si="27"/>
        <v>0.20067249496293327</v>
      </c>
      <c r="I329" s="20">
        <f t="shared" si="28"/>
        <v>-5.0672494962934689E-2</v>
      </c>
      <c r="J329" s="20">
        <f t="shared" si="29"/>
        <v>0.22398210440611577</v>
      </c>
    </row>
    <row r="330" spans="1:10" ht="15" customHeight="1">
      <c r="A330" s="18" t="str">
        <f>Analysis!A330</f>
        <v>7/1985</v>
      </c>
      <c r="B330" s="19">
        <f>Analysis!E330</f>
        <v>3.9999999999999147E-2</v>
      </c>
      <c r="C330" s="20">
        <f>Analysis!F330</f>
        <v>0.30909301345405343</v>
      </c>
      <c r="D330" s="19">
        <f t="shared" si="30"/>
        <v>-0.8</v>
      </c>
      <c r="E330" s="19">
        <f>Solar!D330</f>
        <v>1360.63</v>
      </c>
      <c r="F330" s="30">
        <v>-0.44</v>
      </c>
      <c r="G330" s="20">
        <f t="shared" si="26"/>
        <v>-0.21837143888856003</v>
      </c>
      <c r="H330" s="20">
        <f t="shared" si="27"/>
        <v>0.18508362955712357</v>
      </c>
      <c r="I330" s="20">
        <f t="shared" si="28"/>
        <v>-0.14508362955712442</v>
      </c>
      <c r="J330" s="20">
        <f t="shared" si="29"/>
        <v>0.10963021591163888</v>
      </c>
    </row>
    <row r="331" spans="1:10" ht="15" customHeight="1">
      <c r="A331" s="18" t="str">
        <f>Analysis!A331</f>
        <v>8/1985</v>
      </c>
      <c r="B331" s="19">
        <f>Analysis!E331</f>
        <v>0.16999999999999993</v>
      </c>
      <c r="C331" s="20">
        <f>Analysis!F331</f>
        <v>0.30225637367507746</v>
      </c>
      <c r="D331" s="19">
        <f t="shared" si="30"/>
        <v>-0.79</v>
      </c>
      <c r="E331" s="19">
        <f>Solar!D331</f>
        <v>1360.77</v>
      </c>
      <c r="F331" s="30">
        <v>-0.33</v>
      </c>
      <c r="G331" s="20">
        <f t="shared" si="26"/>
        <v>-6.9682996266607122E-2</v>
      </c>
      <c r="H331" s="20">
        <f t="shared" si="27"/>
        <v>0.16717515147931261</v>
      </c>
      <c r="I331" s="20">
        <f t="shared" si="28"/>
        <v>2.8248485206873175E-3</v>
      </c>
      <c r="J331" s="20">
        <f t="shared" si="29"/>
        <v>0.23875983821274416</v>
      </c>
    </row>
    <row r="332" spans="1:10" ht="15" customHeight="1">
      <c r="A332" s="18" t="str">
        <f>Analysis!A332</f>
        <v>9/1985</v>
      </c>
      <c r="B332" s="19">
        <f>Analysis!E332</f>
        <v>0.12999999999999901</v>
      </c>
      <c r="C332" s="20">
        <f>Analysis!F332</f>
        <v>0.29475726680375902</v>
      </c>
      <c r="D332" s="19">
        <f t="shared" si="30"/>
        <v>-0.6</v>
      </c>
      <c r="E332" s="19">
        <f>Solar!D332</f>
        <v>1360.65</v>
      </c>
      <c r="F332" s="30">
        <v>-0.31</v>
      </c>
      <c r="G332" s="20">
        <f t="shared" si="26"/>
        <v>-8.9183652581498185E-2</v>
      </c>
      <c r="H332" s="20">
        <f t="shared" si="27"/>
        <v>0.16311380992743865</v>
      </c>
      <c r="I332" s="20">
        <f t="shared" si="28"/>
        <v>-3.3113809927439647E-2</v>
      </c>
      <c r="J332" s="20">
        <f t="shared" si="29"/>
        <v>0.1822226619337288</v>
      </c>
    </row>
    <row r="333" spans="1:10" ht="15" customHeight="1">
      <c r="A333" s="18" t="str">
        <f>Analysis!A333</f>
        <v>10/1985</v>
      </c>
      <c r="B333" s="19">
        <f>Analysis!E333</f>
        <v>0.11999999999999744</v>
      </c>
      <c r="C333" s="20">
        <f>Analysis!F333</f>
        <v>0.29425313644451412</v>
      </c>
      <c r="D333" s="19">
        <f t="shared" si="30"/>
        <v>-0.44</v>
      </c>
      <c r="E333" s="19">
        <f>Solar!D333</f>
        <v>1360.54</v>
      </c>
      <c r="F333" s="30">
        <v>-0.3</v>
      </c>
      <c r="G333" s="20">
        <f t="shared" si="26"/>
        <v>-9.7805576275401984E-2</v>
      </c>
      <c r="H333" s="20">
        <f t="shared" si="27"/>
        <v>0.17565510978336935</v>
      </c>
      <c r="I333" s="20">
        <f t="shared" si="28"/>
        <v>-5.5655109783371903E-2</v>
      </c>
      <c r="J333" s="20">
        <f t="shared" si="29"/>
        <v>0.15829661875139928</v>
      </c>
    </row>
    <row r="334" spans="1:10" ht="15" customHeight="1">
      <c r="A334" s="18" t="str">
        <f>Analysis!A334</f>
        <v>11/1985</v>
      </c>
      <c r="B334" s="19">
        <f>Analysis!E334</f>
        <v>5.0000000000004263E-2</v>
      </c>
      <c r="C334" s="20">
        <f>Analysis!F334</f>
        <v>0.30004002699743576</v>
      </c>
      <c r="D334" s="19">
        <f t="shared" si="30"/>
        <v>-0.33</v>
      </c>
      <c r="E334" s="19">
        <f>Solar!D334</f>
        <v>1360.61</v>
      </c>
      <c r="F334" s="30">
        <v>-0.28000000000000003</v>
      </c>
      <c r="G334" s="20">
        <f t="shared" si="26"/>
        <v>-0.18362445448956832</v>
      </c>
      <c r="H334" s="20">
        <f t="shared" si="27"/>
        <v>0.2011246731225701</v>
      </c>
      <c r="I334" s="20">
        <f t="shared" si="28"/>
        <v>-0.15112467312256583</v>
      </c>
      <c r="J334" s="20">
        <f t="shared" si="29"/>
        <v>7.8722464063555653E-2</v>
      </c>
    </row>
    <row r="335" spans="1:10" ht="15" customHeight="1">
      <c r="A335" s="18" t="str">
        <f>Analysis!A335</f>
        <v>12/1985</v>
      </c>
      <c r="B335" s="19">
        <f>Analysis!E335</f>
        <v>0.13999999999999879</v>
      </c>
      <c r="C335" s="20">
        <f>Analysis!F335</f>
        <v>0.30584548060634364</v>
      </c>
      <c r="D335" s="19">
        <f t="shared" si="30"/>
        <v>-0.31</v>
      </c>
      <c r="E335" s="19">
        <f>Solar!D335</f>
        <v>1360.65</v>
      </c>
      <c r="F335" s="30">
        <v>-0.36</v>
      </c>
      <c r="G335" s="20">
        <f t="shared" si="26"/>
        <v>-0.10949407614173745</v>
      </c>
      <c r="H335" s="20">
        <f t="shared" si="27"/>
        <v>0.21881182610229871</v>
      </c>
      <c r="I335" s="20">
        <f t="shared" si="28"/>
        <v>-7.881182610229992E-2</v>
      </c>
      <c r="J335" s="20">
        <f t="shared" si="29"/>
        <v>0.16698170866575918</v>
      </c>
    </row>
    <row r="336" spans="1:10" ht="15" customHeight="1">
      <c r="A336" s="18" t="str">
        <f>Analysis!A336</f>
        <v>1/1986</v>
      </c>
      <c r="B336" s="19">
        <f>Analysis!E336</f>
        <v>0.25999999999999979</v>
      </c>
      <c r="C336" s="20">
        <f>Analysis!F336</f>
        <v>0.30859386858427595</v>
      </c>
      <c r="D336" s="19">
        <f t="shared" si="30"/>
        <v>-0.3</v>
      </c>
      <c r="E336" s="19">
        <f>Solar!D336</f>
        <v>1360.67</v>
      </c>
      <c r="F336" s="30">
        <v>-0.4</v>
      </c>
      <c r="G336" s="20">
        <f t="shared" si="26"/>
        <v>2.9930092263704688E-3</v>
      </c>
      <c r="H336" s="20">
        <f t="shared" si="27"/>
        <v>0.22723146529874172</v>
      </c>
      <c r="I336" s="20">
        <f t="shared" si="28"/>
        <v>3.2768534701258067E-2</v>
      </c>
      <c r="J336" s="20">
        <f t="shared" si="29"/>
        <v>0.2861113309668647</v>
      </c>
    </row>
    <row r="337" spans="1:10" ht="15" customHeight="1">
      <c r="A337" s="18" t="str">
        <f>Analysis!A337</f>
        <v>2/1986</v>
      </c>
      <c r="B337" s="19">
        <f>Analysis!E337</f>
        <v>0.36999999999999744</v>
      </c>
      <c r="C337" s="20">
        <f>Analysis!F337</f>
        <v>0.31150311546826975</v>
      </c>
      <c r="D337" s="19">
        <f t="shared" si="30"/>
        <v>-0.28000000000000003</v>
      </c>
      <c r="E337" s="19">
        <f>Solar!D337</f>
        <v>1360.54</v>
      </c>
      <c r="F337" s="30">
        <v>-0.38</v>
      </c>
      <c r="G337" s="20">
        <f t="shared" si="26"/>
        <v>0.10504037529766419</v>
      </c>
      <c r="H337" s="20">
        <f t="shared" si="27"/>
        <v>0.2369633288168343</v>
      </c>
      <c r="I337" s="20">
        <f t="shared" si="28"/>
        <v>0.13303667118316315</v>
      </c>
      <c r="J337" s="20">
        <f t="shared" si="29"/>
        <v>0.39437057556907135</v>
      </c>
    </row>
    <row r="338" spans="1:10" ht="15" customHeight="1">
      <c r="A338" s="18" t="str">
        <f>Analysis!A338</f>
        <v>3/1986</v>
      </c>
      <c r="B338" s="19">
        <f>Analysis!E338</f>
        <v>0.30000000000000249</v>
      </c>
      <c r="C338" s="20">
        <f>Analysis!F338</f>
        <v>0.31469652565628642</v>
      </c>
      <c r="D338" s="19">
        <f t="shared" si="30"/>
        <v>-0.36</v>
      </c>
      <c r="E338" s="19">
        <f>Solar!D338</f>
        <v>1360.69</v>
      </c>
      <c r="F338" s="30">
        <v>-0.25</v>
      </c>
      <c r="G338" s="20">
        <f t="shared" si="26"/>
        <v>2.6310960702704889E-2</v>
      </c>
      <c r="H338" s="20">
        <f t="shared" si="27"/>
        <v>0.23877195401347473</v>
      </c>
      <c r="I338" s="20">
        <f t="shared" si="28"/>
        <v>6.1228045986527757E-2</v>
      </c>
      <c r="J338" s="20">
        <f t="shared" si="29"/>
        <v>0.33133359716024036</v>
      </c>
    </row>
    <row r="339" spans="1:10" ht="15" customHeight="1">
      <c r="A339" s="18" t="str">
        <f>Analysis!A339</f>
        <v>4/1986</v>
      </c>
      <c r="B339" s="19">
        <f>Analysis!E339</f>
        <v>0.22000000000000242</v>
      </c>
      <c r="C339" s="20">
        <f>Analysis!F339</f>
        <v>0.32135090142461681</v>
      </c>
      <c r="D339" s="19">
        <f t="shared" si="30"/>
        <v>-0.4</v>
      </c>
      <c r="E339" s="19">
        <f>Solar!D339</f>
        <v>1360.65</v>
      </c>
      <c r="F339" s="30">
        <v>-0.17</v>
      </c>
      <c r="G339" s="20">
        <f t="shared" si="26"/>
        <v>-7.1879250241827175E-2</v>
      </c>
      <c r="H339" s="20">
        <f t="shared" si="27"/>
        <v>0.25356865691313057</v>
      </c>
      <c r="I339" s="20">
        <f t="shared" si="28"/>
        <v>-3.3568656913128159E-2</v>
      </c>
      <c r="J339" s="20">
        <f t="shared" si="29"/>
        <v>0.2548151079558223</v>
      </c>
    </row>
    <row r="340" spans="1:10" ht="15" customHeight="1">
      <c r="A340" s="18" t="str">
        <f>Analysis!A340</f>
        <v>5/1986</v>
      </c>
      <c r="B340" s="19">
        <f>Analysis!E340</f>
        <v>0.21000000000000085</v>
      </c>
      <c r="C340" s="20">
        <f>Analysis!F340</f>
        <v>0.32406993683064367</v>
      </c>
      <c r="D340" s="19">
        <f t="shared" si="30"/>
        <v>-0.38</v>
      </c>
      <c r="E340" s="19">
        <f>Solar!D340</f>
        <v>1360.73</v>
      </c>
      <c r="F340" s="30">
        <v>-0.09</v>
      </c>
      <c r="G340" s="20">
        <f t="shared" si="26"/>
        <v>-8.9311927524147183E-2</v>
      </c>
      <c r="H340" s="20">
        <f t="shared" si="27"/>
        <v>0.26277804827716883</v>
      </c>
      <c r="I340" s="20">
        <f t="shared" si="28"/>
        <v>-5.2778048277167977E-2</v>
      </c>
      <c r="J340" s="20">
        <f t="shared" si="29"/>
        <v>0.24307435255802973</v>
      </c>
    </row>
    <row r="341" spans="1:10" ht="15" customHeight="1">
      <c r="A341" s="18" t="str">
        <f>Analysis!A341</f>
        <v>6/1986</v>
      </c>
      <c r="B341" s="19">
        <f>Analysis!E341</f>
        <v>0.11999999999999744</v>
      </c>
      <c r="C341" s="20">
        <f>Analysis!F341</f>
        <v>0.32184565281522998</v>
      </c>
      <c r="D341" s="19">
        <f t="shared" si="30"/>
        <v>-0.25</v>
      </c>
      <c r="E341" s="19">
        <f>Solar!D341</f>
        <v>1360.65</v>
      </c>
      <c r="F341" s="30">
        <v>0.02</v>
      </c>
      <c r="G341" s="20">
        <f t="shared" si="26"/>
        <v>-0.17323168846799686</v>
      </c>
      <c r="H341" s="20">
        <f t="shared" si="27"/>
        <v>0.26798330360809636</v>
      </c>
      <c r="I341" s="20">
        <f t="shared" si="28"/>
        <v>-0.14798330360809892</v>
      </c>
      <c r="J341" s="20">
        <f t="shared" si="29"/>
        <v>0.14175944247238487</v>
      </c>
    </row>
    <row r="342" spans="1:10" ht="15" customHeight="1">
      <c r="A342" s="18" t="str">
        <f>Analysis!A342</f>
        <v>7/1986</v>
      </c>
      <c r="B342" s="19">
        <f>Analysis!E342</f>
        <v>0.10999999999999766</v>
      </c>
      <c r="C342" s="20">
        <f>Analysis!F342</f>
        <v>0.31469652565628642</v>
      </c>
      <c r="D342" s="19">
        <f t="shared" si="30"/>
        <v>-0.17</v>
      </c>
      <c r="E342" s="19">
        <f>Solar!D342</f>
        <v>1360.63</v>
      </c>
      <c r="F342" s="30">
        <v>0.24</v>
      </c>
      <c r="G342" s="20">
        <f t="shared" si="26"/>
        <v>-0.16368903929729994</v>
      </c>
      <c r="H342" s="20">
        <f t="shared" si="27"/>
        <v>0.25530913029248914</v>
      </c>
      <c r="I342" s="20">
        <f t="shared" si="28"/>
        <v>-0.14530913029249148</v>
      </c>
      <c r="J342" s="20">
        <f t="shared" si="29"/>
        <v>0.1247964208812211</v>
      </c>
    </row>
    <row r="343" spans="1:10" ht="15" customHeight="1">
      <c r="A343" s="18" t="str">
        <f>Analysis!A343</f>
        <v>8/1986</v>
      </c>
      <c r="B343" s="19">
        <f>Analysis!E343</f>
        <v>0.16000000000000014</v>
      </c>
      <c r="C343" s="20">
        <f>Analysis!F343</f>
        <v>0.30605387521602989</v>
      </c>
      <c r="D343" s="19">
        <f t="shared" si="30"/>
        <v>-0.09</v>
      </c>
      <c r="E343" s="19">
        <f>Solar!D343</f>
        <v>1360.58</v>
      </c>
      <c r="F343" s="30">
        <v>0.46</v>
      </c>
      <c r="G343" s="20">
        <f t="shared" si="26"/>
        <v>-9.006373767602105E-2</v>
      </c>
      <c r="H343" s="20">
        <f t="shared" si="27"/>
        <v>0.23853255298813023</v>
      </c>
      <c r="I343" s="20">
        <f t="shared" si="28"/>
        <v>-7.8532552988130083E-2</v>
      </c>
      <c r="J343" s="20">
        <f t="shared" si="29"/>
        <v>0.16783339929005961</v>
      </c>
    </row>
    <row r="344" spans="1:10" ht="15" customHeight="1">
      <c r="A344" s="18" t="str">
        <f>Analysis!A344</f>
        <v>9/1986</v>
      </c>
      <c r="B344" s="19">
        <f>Analysis!E344</f>
        <v>2.9999999999997584E-2</v>
      </c>
      <c r="C344" s="20">
        <f>Analysis!F344</f>
        <v>0.30317536756489971</v>
      </c>
      <c r="D344" s="19">
        <f t="shared" si="30"/>
        <v>0.02</v>
      </c>
      <c r="E344" s="19">
        <f>Solar!D344</f>
        <v>1360.58</v>
      </c>
      <c r="F344" s="30">
        <v>0.64</v>
      </c>
      <c r="G344" s="20">
        <f t="shared" si="26"/>
        <v>-0.21219513163356019</v>
      </c>
      <c r="H344" s="20">
        <f t="shared" si="27"/>
        <v>0.24020003396195094</v>
      </c>
      <c r="I344" s="20">
        <f t="shared" si="28"/>
        <v>-0.21020003396195336</v>
      </c>
      <c r="J344" s="20">
        <f t="shared" si="29"/>
        <v>2.8259244602206589E-2</v>
      </c>
    </row>
    <row r="345" spans="1:10" ht="15" customHeight="1">
      <c r="A345" s="18" t="str">
        <f>Analysis!A345</f>
        <v>10/1986</v>
      </c>
      <c r="B345" s="19">
        <f>Analysis!E345</f>
        <v>0.14999999999999858</v>
      </c>
      <c r="C345" s="20">
        <f>Analysis!F345</f>
        <v>0.30041662783687401</v>
      </c>
      <c r="D345" s="19">
        <f t="shared" si="30"/>
        <v>0.24</v>
      </c>
      <c r="E345" s="19">
        <f>Solar!D345</f>
        <v>1360.61</v>
      </c>
      <c r="F345" s="30">
        <v>0.86</v>
      </c>
      <c r="G345" s="20">
        <f t="shared" si="26"/>
        <v>-8.4653919754200668E-2</v>
      </c>
      <c r="H345" s="20">
        <f t="shared" si="27"/>
        <v>0.25177064769287344</v>
      </c>
      <c r="I345" s="20">
        <f t="shared" si="28"/>
        <v>-0.10177064769287486</v>
      </c>
      <c r="J345" s="20">
        <f t="shared" si="29"/>
        <v>0.12911093522650666</v>
      </c>
    </row>
    <row r="346" spans="1:10" ht="15" customHeight="1">
      <c r="A346" s="18" t="str">
        <f>Analysis!A346</f>
        <v>11/1986</v>
      </c>
      <c r="B346" s="19">
        <f>Analysis!E346</f>
        <v>9.9999999999997868E-2</v>
      </c>
      <c r="C346" s="20">
        <f>Analysis!F346</f>
        <v>0.30626223972785099</v>
      </c>
      <c r="D346" s="19">
        <f t="shared" si="30"/>
        <v>0.46</v>
      </c>
      <c r="E346" s="19">
        <f>Solar!D346</f>
        <v>1360.71</v>
      </c>
      <c r="F346" s="30">
        <v>1.06</v>
      </c>
      <c r="G346" s="20">
        <f t="shared" si="26"/>
        <v>-0.15063331693564663</v>
      </c>
      <c r="H346" s="20">
        <f t="shared" si="27"/>
        <v>0.28697566126481322</v>
      </c>
      <c r="I346" s="20">
        <f t="shared" si="28"/>
        <v>-0.18697566126481535</v>
      </c>
      <c r="J346" s="20">
        <f t="shared" si="29"/>
        <v>5.9962625850805022E-2</v>
      </c>
    </row>
    <row r="347" spans="1:10" ht="15" customHeight="1">
      <c r="A347" s="18" t="str">
        <f>Analysis!A347</f>
        <v>12/1986</v>
      </c>
      <c r="B347" s="19">
        <f>Analysis!E347</f>
        <v>0.12999999999999901</v>
      </c>
      <c r="C347" s="20">
        <f>Analysis!F347</f>
        <v>0.31150311546826975</v>
      </c>
      <c r="D347" s="19">
        <f t="shared" si="30"/>
        <v>0.64</v>
      </c>
      <c r="E347" s="19">
        <f>Solar!D347</f>
        <v>1360.66</v>
      </c>
      <c r="F347" s="30">
        <v>1.21</v>
      </c>
      <c r="G347" s="20">
        <f t="shared" si="26"/>
        <v>-0.13495962470233425</v>
      </c>
      <c r="H347" s="20">
        <f t="shared" si="27"/>
        <v>0.31703807711521997</v>
      </c>
      <c r="I347" s="20">
        <f t="shared" si="28"/>
        <v>-0.18703807711522097</v>
      </c>
      <c r="J347" s="20">
        <f t="shared" si="29"/>
        <v>7.4295827270687231E-2</v>
      </c>
    </row>
    <row r="348" spans="1:10" ht="15" customHeight="1">
      <c r="A348" s="18" t="str">
        <f>Analysis!A348</f>
        <v>1/1987</v>
      </c>
      <c r="B348" s="19">
        <f>Analysis!E348</f>
        <v>0.32000000000000028</v>
      </c>
      <c r="C348" s="20">
        <f>Analysis!F348</f>
        <v>0.31668365219967981</v>
      </c>
      <c r="D348" s="19">
        <f t="shared" si="30"/>
        <v>0.86</v>
      </c>
      <c r="E348" s="19">
        <f>Solar!D348</f>
        <v>1360.65</v>
      </c>
      <c r="F348" s="30">
        <v>1.18</v>
      </c>
      <c r="G348" s="20">
        <f t="shared" si="26"/>
        <v>4.087900851722015E-2</v>
      </c>
      <c r="H348" s="20">
        <f t="shared" si="27"/>
        <v>0.3504162648039848</v>
      </c>
      <c r="I348" s="20">
        <f t="shared" si="28"/>
        <v>-3.0416264803984516E-2</v>
      </c>
      <c r="J348" s="20">
        <f t="shared" si="29"/>
        <v>0.24514751789498757</v>
      </c>
    </row>
    <row r="349" spans="1:10" ht="15" customHeight="1">
      <c r="A349" s="18" t="str">
        <f>Analysis!A349</f>
        <v>2/1987</v>
      </c>
      <c r="B349" s="19">
        <f>Analysis!E349</f>
        <v>0.42999999999999972</v>
      </c>
      <c r="C349" s="20">
        <f>Analysis!F349</f>
        <v>0.31746946762158468</v>
      </c>
      <c r="D349" s="19">
        <f t="shared" si="30"/>
        <v>1.06</v>
      </c>
      <c r="E349" s="19">
        <f>Solar!D349</f>
        <v>1360.64</v>
      </c>
      <c r="F349" s="30">
        <v>1.1299999999999999</v>
      </c>
      <c r="G349" s="20">
        <f t="shared" si="26"/>
        <v>0.14873092599444637</v>
      </c>
      <c r="H349" s="20">
        <f t="shared" si="27"/>
        <v>0.36998229355197743</v>
      </c>
      <c r="I349" s="20">
        <f t="shared" si="28"/>
        <v>6.001770644802229E-2</v>
      </c>
      <c r="J349" s="20">
        <f t="shared" si="29"/>
        <v>0.33773996391707706</v>
      </c>
    </row>
    <row r="350" spans="1:10" ht="15" customHeight="1">
      <c r="A350" s="18" t="str">
        <f>Analysis!A350</f>
        <v>3/1987</v>
      </c>
      <c r="B350" s="19">
        <f>Analysis!E350</f>
        <v>0.17999999999999972</v>
      </c>
      <c r="C350" s="20">
        <f>Analysis!F350</f>
        <v>0.32114470492578934</v>
      </c>
      <c r="D350" s="19">
        <f t="shared" si="30"/>
        <v>1.21</v>
      </c>
      <c r="E350" s="19">
        <f>Solar!D350</f>
        <v>1360.65</v>
      </c>
      <c r="F350" s="30">
        <v>1.02</v>
      </c>
      <c r="G350" s="20">
        <f t="shared" si="26"/>
        <v>-0.11131559740040986</v>
      </c>
      <c r="H350" s="20">
        <f t="shared" si="27"/>
        <v>0.39313308668760394</v>
      </c>
      <c r="I350" s="20">
        <f t="shared" si="28"/>
        <v>-0.21313308668760422</v>
      </c>
      <c r="J350" s="20">
        <f t="shared" si="29"/>
        <v>7.468429843364463E-2</v>
      </c>
    </row>
    <row r="351" spans="1:10" ht="15" customHeight="1">
      <c r="A351" s="18" t="str">
        <f>Analysis!A351</f>
        <v>4/1987</v>
      </c>
      <c r="B351" s="19">
        <f>Analysis!E351</f>
        <v>0.24000000000000199</v>
      </c>
      <c r="C351" s="20">
        <f>Analysis!F351</f>
        <v>0.32768736417604716</v>
      </c>
      <c r="D351" s="19">
        <f t="shared" si="30"/>
        <v>1.18</v>
      </c>
      <c r="E351" s="19">
        <f>Solar!D351</f>
        <v>1360.58</v>
      </c>
      <c r="F351" s="30">
        <v>0.94</v>
      </c>
      <c r="G351" s="20">
        <f t="shared" si="26"/>
        <v>-6.920042327194742E-2</v>
      </c>
      <c r="H351" s="20">
        <f t="shared" si="27"/>
        <v>0.40849330478519219</v>
      </c>
      <c r="I351" s="20">
        <f t="shared" si="28"/>
        <v>-0.1684933047851902</v>
      </c>
      <c r="J351" s="20">
        <f t="shared" si="29"/>
        <v>0.13729543153033341</v>
      </c>
    </row>
    <row r="352" spans="1:10" ht="15" customHeight="1">
      <c r="A352" s="18" t="str">
        <f>Analysis!A352</f>
        <v>5/1987</v>
      </c>
      <c r="B352" s="19">
        <f>Analysis!E352</f>
        <v>0.25999999999999979</v>
      </c>
      <c r="C352" s="20">
        <f>Analysis!F352</f>
        <v>0.33076325555700942</v>
      </c>
      <c r="D352" s="19">
        <f t="shared" si="30"/>
        <v>1.1299999999999999</v>
      </c>
      <c r="E352" s="19">
        <f>Solar!D352</f>
        <v>1360.72</v>
      </c>
      <c r="F352" s="30">
        <v>0.95</v>
      </c>
      <c r="G352" s="20">
        <f t="shared" si="26"/>
        <v>-5.7608591823003596E-2</v>
      </c>
      <c r="H352" s="20">
        <f t="shared" si="27"/>
        <v>0.41259026287255934</v>
      </c>
      <c r="I352" s="20">
        <f t="shared" si="28"/>
        <v>-0.15259026287255956</v>
      </c>
      <c r="J352" s="20">
        <f t="shared" si="29"/>
        <v>0.16164732002480869</v>
      </c>
    </row>
    <row r="353" spans="1:10" ht="15" customHeight="1">
      <c r="A353" s="18" t="str">
        <f>Analysis!A353</f>
        <v>6/1987</v>
      </c>
      <c r="B353" s="19">
        <f>Analysis!E353</f>
        <v>0.34999999999999787</v>
      </c>
      <c r="C353" s="20">
        <f>Analysis!F353</f>
        <v>0.32842617641262656</v>
      </c>
      <c r="D353" s="19">
        <f t="shared" si="30"/>
        <v>1.02</v>
      </c>
      <c r="E353" s="19">
        <f>Solar!D353</f>
        <v>1360.86</v>
      </c>
      <c r="F353" s="30">
        <v>1.1100000000000001</v>
      </c>
      <c r="G353" s="20">
        <f t="shared" si="26"/>
        <v>3.8779980765983768E-2</v>
      </c>
      <c r="H353" s="20">
        <f t="shared" si="27"/>
        <v>0.39659662820478114</v>
      </c>
      <c r="I353" s="20">
        <f t="shared" si="28"/>
        <v>-4.6596628204783275E-2</v>
      </c>
      <c r="J353" s="20">
        <f t="shared" si="29"/>
        <v>0.26122147471265722</v>
      </c>
    </row>
    <row r="354" spans="1:10" ht="15" customHeight="1">
      <c r="A354" s="18" t="str">
        <f>Analysis!A354</f>
        <v>7/1987</v>
      </c>
      <c r="B354" s="19">
        <f>Analysis!E354</f>
        <v>0.40000000000000213</v>
      </c>
      <c r="C354" s="20">
        <f>Analysis!F354</f>
        <v>0.32279345233061574</v>
      </c>
      <c r="D354" s="19">
        <f t="shared" si="30"/>
        <v>0.94</v>
      </c>
      <c r="E354" s="19">
        <f>Solar!D354</f>
        <v>1360.86</v>
      </c>
      <c r="F354" s="30">
        <v>1.3</v>
      </c>
      <c r="G354" s="20">
        <f t="shared" si="26"/>
        <v>0.10417743393233214</v>
      </c>
      <c r="H354" s="20">
        <f t="shared" si="27"/>
        <v>0.37416166182996119</v>
      </c>
      <c r="I354" s="20">
        <f t="shared" si="28"/>
        <v>2.5838338170040942E-2</v>
      </c>
      <c r="J354" s="20">
        <f t="shared" si="29"/>
        <v>0.31818449630382545</v>
      </c>
    </row>
    <row r="355" spans="1:10" ht="15" customHeight="1">
      <c r="A355" s="18" t="str">
        <f>Analysis!A355</f>
        <v>8/1987</v>
      </c>
      <c r="B355" s="19">
        <f>Analysis!E355</f>
        <v>0.25000000000000355</v>
      </c>
      <c r="C355" s="20">
        <f>Analysis!F355</f>
        <v>0.31448937581877229</v>
      </c>
      <c r="D355" s="19">
        <f t="shared" si="30"/>
        <v>0.95</v>
      </c>
      <c r="E355" s="19">
        <f>Solar!D355</f>
        <v>1360.76</v>
      </c>
      <c r="F355" s="30">
        <v>1.46</v>
      </c>
      <c r="G355" s="20">
        <f t="shared" si="26"/>
        <v>-2.312278043655458E-2</v>
      </c>
      <c r="H355" s="20">
        <f t="shared" si="27"/>
        <v>0.35222243419405552</v>
      </c>
      <c r="I355" s="20">
        <f t="shared" si="28"/>
        <v>-0.10222243419405197</v>
      </c>
      <c r="J355" s="20">
        <f t="shared" si="29"/>
        <v>0.16731411860493139</v>
      </c>
    </row>
    <row r="356" spans="1:10" ht="15" customHeight="1">
      <c r="A356" s="18" t="str">
        <f>Analysis!A356</f>
        <v>9/1987</v>
      </c>
      <c r="B356" s="19">
        <f>Analysis!E356</f>
        <v>0.34999999999999787</v>
      </c>
      <c r="C356" s="20">
        <f>Analysis!F356</f>
        <v>0.30809455096015637</v>
      </c>
      <c r="D356" s="19">
        <f t="shared" si="30"/>
        <v>1.1100000000000001</v>
      </c>
      <c r="E356" s="19">
        <f>Solar!D356</f>
        <v>1360.85</v>
      </c>
      <c r="F356" s="30">
        <v>1.49</v>
      </c>
      <c r="G356" s="20">
        <f t="shared" si="26"/>
        <v>9.4357929577618349E-2</v>
      </c>
      <c r="H356" s="20">
        <f t="shared" si="27"/>
        <v>0.34858319711888947</v>
      </c>
      <c r="I356" s="20">
        <f t="shared" si="28"/>
        <v>1.4168028811084032E-3</v>
      </c>
      <c r="J356" s="20">
        <f t="shared" si="29"/>
        <v>0.25338807542259772</v>
      </c>
    </row>
    <row r="357" spans="1:10" ht="15" customHeight="1">
      <c r="A357" s="18" t="str">
        <f>Analysis!A357</f>
        <v>10/1987</v>
      </c>
      <c r="B357" s="19">
        <f>Analysis!E357</f>
        <v>0.32999999999999652</v>
      </c>
      <c r="C357" s="20">
        <f>Analysis!F357</f>
        <v>0.30834423137398254</v>
      </c>
      <c r="D357" s="19">
        <f t="shared" si="30"/>
        <v>1.3</v>
      </c>
      <c r="E357" s="19">
        <f>Solar!D357</f>
        <v>1360.82</v>
      </c>
      <c r="F357" s="30">
        <v>1.41</v>
      </c>
      <c r="G357" s="20">
        <f t="shared" si="26"/>
        <v>7.3675410352022519E-2</v>
      </c>
      <c r="H357" s="20">
        <f t="shared" si="27"/>
        <v>0.36580619459561109</v>
      </c>
      <c r="I357" s="20">
        <f t="shared" si="28"/>
        <v>-3.5806194595614571E-2</v>
      </c>
      <c r="J357" s="20">
        <f t="shared" si="29"/>
        <v>0.21685089914358197</v>
      </c>
    </row>
    <row r="358" spans="1:10" ht="15" customHeight="1">
      <c r="A358" s="18" t="str">
        <f>Analysis!A358</f>
        <v>11/1987</v>
      </c>
      <c r="B358" s="19">
        <f>Analysis!E358</f>
        <v>0.28999999999999559</v>
      </c>
      <c r="C358" s="20">
        <f>Analysis!F358</f>
        <v>0.31399209482083829</v>
      </c>
      <c r="D358" s="19">
        <f t="shared" si="30"/>
        <v>1.46</v>
      </c>
      <c r="E358" s="19">
        <f>Solar!D358</f>
        <v>1360.99</v>
      </c>
      <c r="F358" s="30">
        <v>1.2</v>
      </c>
      <c r="G358" s="20">
        <f t="shared" si="26"/>
        <v>1.8236572651698202E-2</v>
      </c>
      <c r="H358" s="20">
        <f t="shared" si="27"/>
        <v>0.3952457673105601</v>
      </c>
      <c r="I358" s="20">
        <f t="shared" si="28"/>
        <v>-0.10524576731056451</v>
      </c>
      <c r="J358" s="20">
        <f t="shared" si="29"/>
        <v>0.16292485596125311</v>
      </c>
    </row>
    <row r="359" spans="1:10" ht="15" customHeight="1">
      <c r="A359" s="18" t="str">
        <f>Analysis!A359</f>
        <v>12/1987</v>
      </c>
      <c r="B359" s="19">
        <f>Analysis!E359</f>
        <v>0.46000000000000441</v>
      </c>
      <c r="C359" s="20">
        <f>Analysis!F359</f>
        <v>0.3189572082710998</v>
      </c>
      <c r="D359" s="19">
        <f t="shared" si="30"/>
        <v>1.49</v>
      </c>
      <c r="E359" s="19">
        <f>Solar!D359</f>
        <v>1361.01</v>
      </c>
      <c r="F359" s="30">
        <v>1</v>
      </c>
      <c r="G359" s="20">
        <f t="shared" si="26"/>
        <v>0.17466408078047457</v>
      </c>
      <c r="H359" s="20">
        <f t="shared" si="27"/>
        <v>0.41149505488251614</v>
      </c>
      <c r="I359" s="20">
        <f t="shared" si="28"/>
        <v>4.8504945117488263E-2</v>
      </c>
      <c r="J359" s="20">
        <f t="shared" si="29"/>
        <v>0.33031372286457539</v>
      </c>
    </row>
    <row r="360" spans="1:10" ht="15" customHeight="1">
      <c r="A360" s="18" t="str">
        <f>Analysis!A360</f>
        <v>1/1988</v>
      </c>
      <c r="B360" s="19">
        <f>Analysis!E360</f>
        <v>0.57000000000000028</v>
      </c>
      <c r="C360" s="20">
        <f>Analysis!F360</f>
        <v>0.32402877753529308</v>
      </c>
      <c r="D360" s="19">
        <f t="shared" si="30"/>
        <v>1.41</v>
      </c>
      <c r="E360" s="19">
        <f>Solar!D360</f>
        <v>1361.07</v>
      </c>
      <c r="F360" s="30">
        <v>0.63</v>
      </c>
      <c r="G360" s="20">
        <f t="shared" si="26"/>
        <v>0.2708005843463599</v>
      </c>
      <c r="H360" s="20">
        <f t="shared" si="27"/>
        <v>0.41846260018574066</v>
      </c>
      <c r="I360" s="20">
        <f t="shared" si="28"/>
        <v>0.15153739981425962</v>
      </c>
      <c r="J360" s="20">
        <f t="shared" si="29"/>
        <v>0.44727674445573529</v>
      </c>
    </row>
    <row r="361" spans="1:10" ht="15" customHeight="1">
      <c r="A361" s="18" t="str">
        <f>Analysis!A361</f>
        <v>2/1988</v>
      </c>
      <c r="B361" s="19">
        <f>Analysis!E361</f>
        <v>0.44000000000000483</v>
      </c>
      <c r="C361" s="20">
        <f>Analysis!F361</f>
        <v>0.32891850779297804</v>
      </c>
      <c r="D361" s="19">
        <f t="shared" si="30"/>
        <v>1.2</v>
      </c>
      <c r="E361" s="19">
        <f>Solar!D361</f>
        <v>1361.14</v>
      </c>
      <c r="F361" s="30">
        <v>0.37</v>
      </c>
      <c r="G361" s="20">
        <f t="shared" si="26"/>
        <v>0.12743415781054124</v>
      </c>
      <c r="H361" s="20">
        <f t="shared" si="27"/>
        <v>0.41361576072158029</v>
      </c>
      <c r="I361" s="20">
        <f t="shared" si="28"/>
        <v>2.6384239278424537E-2</v>
      </c>
      <c r="J361" s="20">
        <f t="shared" si="29"/>
        <v>0.33555467613254525</v>
      </c>
    </row>
    <row r="362" spans="1:10" ht="15" customHeight="1">
      <c r="A362" s="18" t="str">
        <f>Analysis!A362</f>
        <v>3/1988</v>
      </c>
      <c r="B362" s="19">
        <f>Analysis!E362</f>
        <v>0.5199999999999978</v>
      </c>
      <c r="C362" s="20">
        <f>Analysis!F362</f>
        <v>0.3321964303411894</v>
      </c>
      <c r="D362" s="19">
        <f t="shared" si="30"/>
        <v>1</v>
      </c>
      <c r="E362" s="19">
        <f>Solar!D362</f>
        <v>1360.92</v>
      </c>
      <c r="F362" s="30">
        <v>-0.03</v>
      </c>
      <c r="G362" s="20">
        <f t="shared" si="26"/>
        <v>0.19847372264912122</v>
      </c>
      <c r="H362" s="20">
        <f t="shared" si="27"/>
        <v>0.40521199175650241</v>
      </c>
      <c r="I362" s="20">
        <f t="shared" si="28"/>
        <v>0.11478800824349539</v>
      </c>
      <c r="J362" s="20">
        <f t="shared" si="29"/>
        <v>0.43296223011044815</v>
      </c>
    </row>
    <row r="363" spans="1:10" ht="15" customHeight="1">
      <c r="A363" s="18" t="str">
        <f>Analysis!A363</f>
        <v>4/1988</v>
      </c>
      <c r="B363" s="19">
        <f>Analysis!E363</f>
        <v>0.42999999999999972</v>
      </c>
      <c r="C363" s="20">
        <f>Analysis!F363</f>
        <v>0.33697702068730562</v>
      </c>
      <c r="D363" s="19">
        <f t="shared" si="30"/>
        <v>0.63</v>
      </c>
      <c r="E363" s="19">
        <f>Solar!D363</f>
        <v>1361.04</v>
      </c>
      <c r="F363" s="30">
        <v>-0.45</v>
      </c>
      <c r="G363" s="20">
        <f t="shared" si="26"/>
        <v>9.540563784857603E-2</v>
      </c>
      <c r="H363" s="20">
        <f t="shared" si="27"/>
        <v>0.38613932402185802</v>
      </c>
      <c r="I363" s="20">
        <f t="shared" si="28"/>
        <v>4.3860675978141694E-2</v>
      </c>
      <c r="J363" s="20">
        <f t="shared" si="29"/>
        <v>0.37516620496958342</v>
      </c>
    </row>
    <row r="364" spans="1:10" ht="15" customHeight="1">
      <c r="A364" s="18" t="str">
        <f>Analysis!A364</f>
        <v>5/1988</v>
      </c>
      <c r="B364" s="19">
        <f>Analysis!E364</f>
        <v>0.44000000000000483</v>
      </c>
      <c r="C364" s="20">
        <f>Analysis!F364</f>
        <v>0.33974822186649467</v>
      </c>
      <c r="D364" s="19">
        <f t="shared" si="30"/>
        <v>0.37</v>
      </c>
      <c r="E364" s="19">
        <f>Solar!D364</f>
        <v>1361.36</v>
      </c>
      <c r="F364" s="30">
        <v>-0.99</v>
      </c>
      <c r="G364" s="20">
        <f t="shared" si="26"/>
        <v>9.7830361703358015E-2</v>
      </c>
      <c r="H364" s="20">
        <f t="shared" si="27"/>
        <v>0.37112142856134644</v>
      </c>
      <c r="I364" s="20">
        <f t="shared" si="28"/>
        <v>6.8878571438658387E-2</v>
      </c>
      <c r="J364" s="20">
        <f t="shared" si="29"/>
        <v>0.40779602514087143</v>
      </c>
    </row>
    <row r="365" spans="1:10" ht="15" customHeight="1">
      <c r="A365" s="18" t="str">
        <f>Analysis!A365</f>
        <v>6/1988</v>
      </c>
      <c r="B365" s="19">
        <f>Analysis!E365</f>
        <v>0.40000000000000213</v>
      </c>
      <c r="C365" s="20">
        <f>Analysis!F365</f>
        <v>0.33783340106320175</v>
      </c>
      <c r="D365" s="19">
        <f t="shared" si="30"/>
        <v>-0.03</v>
      </c>
      <c r="E365" s="19">
        <f>Solar!D365</f>
        <v>1360.97</v>
      </c>
      <c r="F365" s="30">
        <v>-1.3</v>
      </c>
      <c r="G365" s="20">
        <f t="shared" si="26"/>
        <v>6.3064660989344601E-2</v>
      </c>
      <c r="H365" s="20">
        <f t="shared" si="27"/>
        <v>0.33104669820829968</v>
      </c>
      <c r="I365" s="20">
        <f t="shared" si="28"/>
        <v>6.8953301791702448E-2</v>
      </c>
      <c r="J365" s="20">
        <f t="shared" si="29"/>
        <v>0.40261113309668861</v>
      </c>
    </row>
    <row r="366" spans="1:10" ht="15" customHeight="1">
      <c r="A366" s="18" t="str">
        <f>Analysis!A366</f>
        <v>7/1988</v>
      </c>
      <c r="B366" s="19">
        <f>Analysis!E366</f>
        <v>0.32999999999999652</v>
      </c>
      <c r="C366" s="20">
        <f>Analysis!F366</f>
        <v>0.3334237337251918</v>
      </c>
      <c r="D366" s="19">
        <f t="shared" si="30"/>
        <v>-0.45</v>
      </c>
      <c r="E366" s="19">
        <f>Solar!D366</f>
        <v>1360.73</v>
      </c>
      <c r="F366" s="30">
        <v>-1.3</v>
      </c>
      <c r="G366" s="20">
        <f t="shared" si="26"/>
        <v>5.1188012823119022E-3</v>
      </c>
      <c r="H366" s="20">
        <f t="shared" si="27"/>
        <v>0.28237837761825596</v>
      </c>
      <c r="I366" s="20">
        <f t="shared" si="28"/>
        <v>4.7621622381740558E-2</v>
      </c>
      <c r="J366" s="20">
        <f t="shared" si="29"/>
        <v>0.36916699645029388</v>
      </c>
    </row>
    <row r="367" spans="1:10" ht="15" customHeight="1">
      <c r="A367" s="18" t="str">
        <f>Analysis!A367</f>
        <v>8/1988</v>
      </c>
      <c r="B367" s="19">
        <f>Analysis!E367</f>
        <v>0.38999999999999879</v>
      </c>
      <c r="C367" s="20">
        <f>Analysis!F367</f>
        <v>0.32394645542166806</v>
      </c>
      <c r="D367" s="19">
        <f t="shared" si="30"/>
        <v>-0.99</v>
      </c>
      <c r="E367" s="19">
        <f>Solar!D367</f>
        <v>1361.11</v>
      </c>
      <c r="F367" s="30">
        <v>-1.1399999999999999</v>
      </c>
      <c r="G367" s="20">
        <f t="shared" si="26"/>
        <v>9.1025617717537366E-2</v>
      </c>
      <c r="H367" s="20">
        <f t="shared" si="27"/>
        <v>0.2093458303866238</v>
      </c>
      <c r="I367" s="20">
        <f t="shared" si="28"/>
        <v>0.18065416961337499</v>
      </c>
      <c r="J367" s="20">
        <f t="shared" si="29"/>
        <v>0.47616739219065296</v>
      </c>
    </row>
    <row r="368" spans="1:10" ht="15" customHeight="1">
      <c r="A368" s="18" t="str">
        <f>Analysis!A368</f>
        <v>9/1988</v>
      </c>
      <c r="B368" s="19">
        <f>Analysis!E368</f>
        <v>0.36999999999999744</v>
      </c>
      <c r="C368" s="20">
        <f>Analysis!F368</f>
        <v>0.31767619003390707</v>
      </c>
      <c r="D368" s="19">
        <f t="shared" si="30"/>
        <v>-1.3</v>
      </c>
      <c r="E368" s="19">
        <f>Solar!D368</f>
        <v>1361.5</v>
      </c>
      <c r="F368" s="30">
        <v>-1.27</v>
      </c>
      <c r="G368" s="20">
        <f t="shared" si="26"/>
        <v>8.8165835530962466E-2</v>
      </c>
      <c r="H368" s="20">
        <f t="shared" si="27"/>
        <v>0.16514098093750124</v>
      </c>
      <c r="I368" s="20">
        <f t="shared" si="28"/>
        <v>0.20485901906249621</v>
      </c>
      <c r="J368" s="20">
        <f t="shared" si="29"/>
        <v>0.48314910085641199</v>
      </c>
    </row>
    <row r="369" spans="1:10" ht="15" customHeight="1">
      <c r="A369" s="18" t="str">
        <f>Analysis!A369</f>
        <v>10/1988</v>
      </c>
      <c r="B369" s="19">
        <f>Analysis!E369</f>
        <v>0.38000000000000256</v>
      </c>
      <c r="C369" s="20">
        <f>Analysis!F369</f>
        <v>0.3193289038394051</v>
      </c>
      <c r="D369" s="19">
        <f t="shared" si="30"/>
        <v>-1.3</v>
      </c>
      <c r="E369" s="19">
        <f>Solar!D369</f>
        <v>1361.18</v>
      </c>
      <c r="F369" s="30">
        <v>-1.54</v>
      </c>
      <c r="G369" s="20">
        <f t="shared" si="26"/>
        <v>9.3648024424473286E-2</v>
      </c>
      <c r="H369" s="20">
        <f t="shared" si="27"/>
        <v>0.16968064884410367</v>
      </c>
      <c r="I369" s="20">
        <f t="shared" si="28"/>
        <v>0.21031935115589889</v>
      </c>
      <c r="J369" s="20">
        <f t="shared" si="29"/>
        <v>0.49314910085641711</v>
      </c>
    </row>
    <row r="370" spans="1:10" ht="15" customHeight="1">
      <c r="A370" s="18" t="str">
        <f>Analysis!A370</f>
        <v>11/1988</v>
      </c>
      <c r="B370" s="19">
        <f>Analysis!E370</f>
        <v>0.11999999999999744</v>
      </c>
      <c r="C370" s="20">
        <f>Analysis!F370</f>
        <v>0.32365829102624488</v>
      </c>
      <c r="D370" s="19">
        <f t="shared" si="30"/>
        <v>-1.1399999999999999</v>
      </c>
      <c r="E370" s="19">
        <f>Solar!D370</f>
        <v>1361.27</v>
      </c>
      <c r="F370" s="30">
        <v>-1.81</v>
      </c>
      <c r="G370" s="20">
        <f t="shared" si="26"/>
        <v>-0.17818666434738772</v>
      </c>
      <c r="H370" s="20">
        <f t="shared" si="27"/>
        <v>0.19549863605326209</v>
      </c>
      <c r="I370" s="20">
        <f t="shared" si="28"/>
        <v>-7.5498636053264651E-2</v>
      </c>
      <c r="J370" s="20">
        <f t="shared" si="29"/>
        <v>0.21922305767408404</v>
      </c>
    </row>
    <row r="371" spans="1:10" ht="15" customHeight="1">
      <c r="A371" s="18" t="str">
        <f>Analysis!A371</f>
        <v>12/1988</v>
      </c>
      <c r="B371" s="19">
        <f>Analysis!E371</f>
        <v>0.28999999999999559</v>
      </c>
      <c r="C371" s="20">
        <f>Analysis!F371</f>
        <v>0.32859030554145996</v>
      </c>
      <c r="D371" s="19">
        <f t="shared" si="30"/>
        <v>-1.27</v>
      </c>
      <c r="E371" s="19">
        <f>Solar!D371</f>
        <v>1361.18</v>
      </c>
      <c r="F371" s="30">
        <v>-1.85</v>
      </c>
      <c r="G371" s="20">
        <f t="shared" si="26"/>
        <v>-2.1668677918102786E-2</v>
      </c>
      <c r="H371" s="20">
        <f t="shared" si="27"/>
        <v>0.1977309644157636</v>
      </c>
      <c r="I371" s="20">
        <f t="shared" si="28"/>
        <v>9.2269035584231995E-2</v>
      </c>
      <c r="J371" s="20">
        <f t="shared" si="29"/>
        <v>0.40053796775972367</v>
      </c>
    </row>
    <row r="372" spans="1:10" ht="15" customHeight="1">
      <c r="A372" s="18" t="str">
        <f>Analysis!A372</f>
        <v>1/1989</v>
      </c>
      <c r="B372" s="19">
        <f>Analysis!E372</f>
        <v>0.11999999999999744</v>
      </c>
      <c r="C372" s="20">
        <f>Analysis!F372</f>
        <v>0.33452741479971682</v>
      </c>
      <c r="D372" s="19">
        <f t="shared" si="30"/>
        <v>-1.54</v>
      </c>
      <c r="E372" s="19">
        <f>Solar!D372</f>
        <v>1361.42</v>
      </c>
      <c r="F372" s="30">
        <v>-1.64</v>
      </c>
      <c r="G372" s="20">
        <f t="shared" si="26"/>
        <v>-0.20789818968123408</v>
      </c>
      <c r="H372" s="20">
        <f t="shared" si="27"/>
        <v>0.19053879535737292</v>
      </c>
      <c r="I372" s="20">
        <f t="shared" si="28"/>
        <v>-7.0538795357375478E-2</v>
      </c>
      <c r="J372" s="20">
        <f t="shared" si="29"/>
        <v>0.25403816562990389</v>
      </c>
    </row>
    <row r="373" spans="1:10" ht="15" customHeight="1">
      <c r="A373" s="18" t="str">
        <f>Analysis!A373</f>
        <v>2/1989</v>
      </c>
      <c r="B373" s="19">
        <f>Analysis!E373</f>
        <v>0.30000000000000249</v>
      </c>
      <c r="C373" s="20">
        <f>Analysis!F373</f>
        <v>0.33599767738901826</v>
      </c>
      <c r="D373" s="19">
        <f t="shared" si="30"/>
        <v>-1.81</v>
      </c>
      <c r="E373" s="19">
        <f>Solar!D373</f>
        <v>1361.62</v>
      </c>
      <c r="F373" s="30">
        <v>-1.38</v>
      </c>
      <c r="G373" s="20">
        <f t="shared" si="26"/>
        <v>-3.1917257370572494E-2</v>
      </c>
      <c r="H373" s="20">
        <f t="shared" si="27"/>
        <v>0.17107710909684293</v>
      </c>
      <c r="I373" s="20">
        <f t="shared" si="28"/>
        <v>0.12892289090315956</v>
      </c>
      <c r="J373" s="20">
        <f t="shared" si="29"/>
        <v>0.45753836350008736</v>
      </c>
    </row>
    <row r="374" spans="1:10" ht="15" customHeight="1">
      <c r="A374" s="18" t="str">
        <f>Analysis!A374</f>
        <v>3/1989</v>
      </c>
      <c r="B374" s="19">
        <f>Analysis!E374</f>
        <v>0.36000000000000121</v>
      </c>
      <c r="C374" s="20">
        <f>Analysis!F374</f>
        <v>0.33864852908132032</v>
      </c>
      <c r="D374" s="19">
        <f t="shared" si="30"/>
        <v>-1.85</v>
      </c>
      <c r="E374" s="19">
        <f>Solar!D374</f>
        <v>1361.37</v>
      </c>
      <c r="F374" s="30">
        <v>-1.0900000000000001</v>
      </c>
      <c r="G374" s="20">
        <f t="shared" si="26"/>
        <v>2.0836450393401429E-2</v>
      </c>
      <c r="H374" s="20">
        <f t="shared" si="27"/>
        <v>0.1748769475056261</v>
      </c>
      <c r="I374" s="20">
        <f t="shared" si="28"/>
        <v>0.18512305249437511</v>
      </c>
      <c r="J374" s="20">
        <f t="shared" si="29"/>
        <v>0.5210198742956681</v>
      </c>
    </row>
    <row r="375" spans="1:10" ht="15" customHeight="1">
      <c r="A375" s="18" t="str">
        <f>Analysis!A375</f>
        <v>4/1989</v>
      </c>
      <c r="B375" s="19">
        <f>Analysis!E375</f>
        <v>0.28999999999999559</v>
      </c>
      <c r="C375" s="20">
        <f>Analysis!F375</f>
        <v>0.3453152635906736</v>
      </c>
      <c r="D375" s="19">
        <f t="shared" si="30"/>
        <v>-1.64</v>
      </c>
      <c r="E375" s="19">
        <f>Solar!D375</f>
        <v>1361.61</v>
      </c>
      <c r="F375" s="30">
        <v>-0.85</v>
      </c>
      <c r="G375" s="20">
        <f t="shared" si="26"/>
        <v>-6.7387544051503712E-2</v>
      </c>
      <c r="H375" s="20">
        <f t="shared" si="27"/>
        <v>0.21146703981984483</v>
      </c>
      <c r="I375" s="20">
        <f t="shared" si="28"/>
        <v>7.8532960180150768E-2</v>
      </c>
      <c r="J375" s="20">
        <f t="shared" si="29"/>
        <v>0.43274194261885701</v>
      </c>
    </row>
    <row r="376" spans="1:10" ht="15" customHeight="1">
      <c r="A376" s="18" t="str">
        <f>Analysis!A376</f>
        <v>5/1989</v>
      </c>
      <c r="B376" s="19">
        <f>Analysis!E376</f>
        <v>0.17999999999999972</v>
      </c>
      <c r="C376" s="20">
        <f>Analysis!F376</f>
        <v>0.34624777408277535</v>
      </c>
      <c r="D376" s="19">
        <f t="shared" si="30"/>
        <v>-1.38</v>
      </c>
      <c r="E376" s="19">
        <f>Solar!D376</f>
        <v>1361.83</v>
      </c>
      <c r="F376" s="30">
        <v>-0.61</v>
      </c>
      <c r="G376" s="20">
        <f t="shared" si="26"/>
        <v>-0.17993662801517485</v>
      </c>
      <c r="H376" s="20">
        <f t="shared" si="27"/>
        <v>0.23665827621424007</v>
      </c>
      <c r="I376" s="20">
        <f t="shared" si="28"/>
        <v>-5.6658276214240355E-2</v>
      </c>
      <c r="J376" s="20">
        <f t="shared" si="29"/>
        <v>0.30011212244757823</v>
      </c>
    </row>
    <row r="377" spans="1:10" ht="15" customHeight="1">
      <c r="A377" s="18" t="str">
        <f>Analysis!A377</f>
        <v>6/1989</v>
      </c>
      <c r="B377" s="19">
        <f>Analysis!E377</f>
        <v>0.14999999999999858</v>
      </c>
      <c r="C377" s="20">
        <f>Analysis!F377</f>
        <v>0.3441792192903127</v>
      </c>
      <c r="D377" s="19">
        <f t="shared" si="30"/>
        <v>-1.0900000000000001</v>
      </c>
      <c r="E377" s="19">
        <f>Solar!D377</f>
        <v>1361.23</v>
      </c>
      <c r="F377" s="30">
        <v>-0.4</v>
      </c>
      <c r="G377" s="20">
        <f t="shared" si="26"/>
        <v>-0.20428208590105379</v>
      </c>
      <c r="H377" s="20">
        <f t="shared" si="27"/>
        <v>0.2562173311564665</v>
      </c>
      <c r="I377" s="20">
        <f t="shared" si="28"/>
        <v>-0.10621733115646792</v>
      </c>
      <c r="J377" s="20">
        <f t="shared" si="29"/>
        <v>0.24487116917960772</v>
      </c>
    </row>
    <row r="378" spans="1:10" ht="15" customHeight="1">
      <c r="A378" s="18" t="str">
        <f>Analysis!A378</f>
        <v>7/1989</v>
      </c>
      <c r="B378" s="19">
        <f>Analysis!E378</f>
        <v>0.34999999999999787</v>
      </c>
      <c r="C378" s="20">
        <f>Analysis!F378</f>
        <v>0.33852628923481626</v>
      </c>
      <c r="D378" s="19">
        <f t="shared" si="30"/>
        <v>-0.85</v>
      </c>
      <c r="E378" s="19">
        <f>Solar!D378</f>
        <v>1362.18</v>
      </c>
      <c r="F378" s="30">
        <v>-0.37</v>
      </c>
      <c r="G378" s="20">
        <f t="shared" si="26"/>
        <v>1.1170601735484675E-2</v>
      </c>
      <c r="H378" s="20">
        <f t="shared" si="27"/>
        <v>0.26157894945626448</v>
      </c>
      <c r="I378" s="20">
        <f t="shared" si="28"/>
        <v>8.8421050543733393E-2</v>
      </c>
      <c r="J378" s="20">
        <f t="shared" si="29"/>
        <v>0.42398210440611506</v>
      </c>
    </row>
    <row r="379" spans="1:10" ht="15" customHeight="1">
      <c r="A379" s="18" t="str">
        <f>Analysis!A379</f>
        <v>8/1989</v>
      </c>
      <c r="B379" s="19">
        <f>Analysis!E379</f>
        <v>0.32999999999999652</v>
      </c>
      <c r="C379" s="20">
        <f>Analysis!F379</f>
        <v>0.32949268213527677</v>
      </c>
      <c r="D379" s="19">
        <f t="shared" si="30"/>
        <v>-0.61</v>
      </c>
      <c r="E379" s="19">
        <f>Solar!D379</f>
        <v>1361.48</v>
      </c>
      <c r="F379" s="30">
        <v>-0.36</v>
      </c>
      <c r="G379" s="20">
        <f t="shared" si="26"/>
        <v>1.5864611279202578E-2</v>
      </c>
      <c r="H379" s="20">
        <f t="shared" si="27"/>
        <v>0.25765453709039282</v>
      </c>
      <c r="I379" s="20">
        <f t="shared" si="28"/>
        <v>7.2345462909603697E-2</v>
      </c>
      <c r="J379" s="20">
        <f t="shared" si="29"/>
        <v>0.38309303963262181</v>
      </c>
    </row>
    <row r="380" spans="1:10" ht="15" customHeight="1">
      <c r="A380" s="18" t="str">
        <f>Analysis!A380</f>
        <v>9/1989</v>
      </c>
      <c r="B380" s="19">
        <f>Analysis!E380</f>
        <v>0.34999999999999787</v>
      </c>
      <c r="C380" s="20">
        <f>Analysis!F380</f>
        <v>0.32229902592307286</v>
      </c>
      <c r="D380" s="19">
        <f t="shared" si="30"/>
        <v>-0.4</v>
      </c>
      <c r="E380" s="19">
        <f>Solar!D380</f>
        <v>1361.19</v>
      </c>
      <c r="F380" s="30">
        <v>-0.33</v>
      </c>
      <c r="G380" s="20">
        <f t="shared" si="26"/>
        <v>5.5528983794082776E-2</v>
      </c>
      <c r="H380" s="20">
        <f t="shared" si="27"/>
        <v>0.25617296162867531</v>
      </c>
      <c r="I380" s="20">
        <f t="shared" si="28"/>
        <v>9.3827038371322558E-2</v>
      </c>
      <c r="J380" s="20">
        <f t="shared" si="29"/>
        <v>0.38481510795581775</v>
      </c>
    </row>
    <row r="381" spans="1:10" ht="15" customHeight="1">
      <c r="A381" s="18" t="str">
        <f>Analysis!A381</f>
        <v>10/1989</v>
      </c>
      <c r="B381" s="19">
        <f>Analysis!E381</f>
        <v>0.28999999999999559</v>
      </c>
      <c r="C381" s="20">
        <f>Analysis!F381</f>
        <v>0.32328770935119977</v>
      </c>
      <c r="D381" s="19">
        <f t="shared" si="30"/>
        <v>-0.37</v>
      </c>
      <c r="E381" s="19">
        <f>Solar!D381</f>
        <v>1362.03</v>
      </c>
      <c r="F381" s="30">
        <v>-0.25</v>
      </c>
      <c r="G381" s="20">
        <f t="shared" si="26"/>
        <v>-7.1736528980916869E-3</v>
      </c>
      <c r="H381" s="20">
        <f t="shared" si="27"/>
        <v>0.26149980655249505</v>
      </c>
      <c r="I381" s="20">
        <f t="shared" si="28"/>
        <v>2.8500193447500544E-2</v>
      </c>
      <c r="J381" s="20">
        <f t="shared" si="29"/>
        <v>0.32220397485912899</v>
      </c>
    </row>
    <row r="382" spans="1:10" ht="15" customHeight="1">
      <c r="A382" s="18" t="str">
        <f>Analysis!A382</f>
        <v>11/1989</v>
      </c>
      <c r="B382" s="19">
        <f>Analysis!E382</f>
        <v>0.20000000000000107</v>
      </c>
      <c r="C382" s="20">
        <f>Analysis!F382</f>
        <v>0.32830306731117204</v>
      </c>
      <c r="D382" s="19">
        <f t="shared" si="30"/>
        <v>-0.36</v>
      </c>
      <c r="E382" s="19">
        <f>Solar!D382</f>
        <v>1361.84</v>
      </c>
      <c r="F382" s="30">
        <v>-0.12</v>
      </c>
      <c r="G382" s="20">
        <f t="shared" si="26"/>
        <v>-0.11088349172149903</v>
      </c>
      <c r="H382" s="20">
        <f t="shared" si="27"/>
        <v>0.27614635015214595</v>
      </c>
      <c r="I382" s="20">
        <f t="shared" si="28"/>
        <v>-7.6146350152144882E-2</v>
      </c>
      <c r="J382" s="20">
        <f t="shared" si="29"/>
        <v>0.23133359716023894</v>
      </c>
    </row>
    <row r="383" spans="1:10" ht="15" customHeight="1">
      <c r="A383" s="18" t="str">
        <f>Analysis!A383</f>
        <v>12/1989</v>
      </c>
      <c r="B383" s="19">
        <f>Analysis!E383</f>
        <v>0.36999999999999744</v>
      </c>
      <c r="C383" s="20">
        <f>Analysis!F383</f>
        <v>0.33387348349714652</v>
      </c>
      <c r="D383" s="19">
        <f t="shared" si="30"/>
        <v>-0.33</v>
      </c>
      <c r="E383" s="19">
        <f>Solar!D383</f>
        <v>1361.88</v>
      </c>
      <c r="F383" s="30">
        <v>-0.04</v>
      </c>
      <c r="G383" s="20">
        <f t="shared" si="26"/>
        <v>4.3889378191562911E-2</v>
      </c>
      <c r="H383" s="20">
        <f t="shared" si="27"/>
        <v>0.29405828094397057</v>
      </c>
      <c r="I383" s="20">
        <f t="shared" si="28"/>
        <v>7.5941719056026868E-2</v>
      </c>
      <c r="J383" s="20">
        <f t="shared" si="29"/>
        <v>0.39872246406354883</v>
      </c>
    </row>
    <row r="384" spans="1:10" ht="15" customHeight="1">
      <c r="A384" s="18" t="str">
        <f>Analysis!A384</f>
        <v>1/1990</v>
      </c>
      <c r="B384" s="19">
        <f>Analysis!E384</f>
        <v>0.42000000000000348</v>
      </c>
      <c r="C384" s="20">
        <f>Analysis!F384</f>
        <v>0.33775186292539572</v>
      </c>
      <c r="D384" s="19">
        <f t="shared" si="30"/>
        <v>-0.25</v>
      </c>
      <c r="E384" s="19">
        <f>Solar!D384</f>
        <v>1361.9</v>
      </c>
      <c r="F384" s="30">
        <v>0.18</v>
      </c>
      <c r="G384" s="20">
        <f t="shared" si="26"/>
        <v>8.3287551306687968E-2</v>
      </c>
      <c r="H384" s="20">
        <f t="shared" si="27"/>
        <v>0.31167442019015695</v>
      </c>
      <c r="I384" s="20">
        <f t="shared" si="28"/>
        <v>0.10832557980984653</v>
      </c>
      <c r="J384" s="20">
        <f t="shared" si="29"/>
        <v>0.44175944247239091</v>
      </c>
    </row>
    <row r="385" spans="1:10" ht="15" customHeight="1">
      <c r="A385" s="18" t="str">
        <f>Analysis!A385</f>
        <v>2/1990</v>
      </c>
      <c r="B385" s="19">
        <f>Analysis!E385</f>
        <v>0.44000000000000483</v>
      </c>
      <c r="C385" s="20">
        <f>Analysis!F385</f>
        <v>0.34279853318864284</v>
      </c>
      <c r="D385" s="19">
        <f t="shared" si="30"/>
        <v>-0.12</v>
      </c>
      <c r="E385" s="19">
        <f>Solar!D385</f>
        <v>1361.67</v>
      </c>
      <c r="F385" s="30">
        <v>0.19</v>
      </c>
      <c r="G385" s="20">
        <f t="shared" si="26"/>
        <v>8.9492118068179138E-2</v>
      </c>
      <c r="H385" s="20">
        <f t="shared" si="27"/>
        <v>0.33685150469042086</v>
      </c>
      <c r="I385" s="20">
        <f t="shared" si="28"/>
        <v>0.10314849530958398</v>
      </c>
      <c r="J385" s="20">
        <f t="shared" si="29"/>
        <v>0.45044453238675081</v>
      </c>
    </row>
    <row r="386" spans="1:10" ht="15" customHeight="1">
      <c r="A386" s="18" t="str">
        <f>Analysis!A386</f>
        <v>3/1990</v>
      </c>
      <c r="B386" s="19">
        <f>Analysis!E386</f>
        <v>0.79999999999999893</v>
      </c>
      <c r="C386" s="20">
        <f>Analysis!F386</f>
        <v>0.34543692958151601</v>
      </c>
      <c r="D386" s="19">
        <f t="shared" si="30"/>
        <v>-0.04</v>
      </c>
      <c r="E386" s="19">
        <f>Solar!D386</f>
        <v>1361.67</v>
      </c>
      <c r="F386" s="30">
        <v>0.3</v>
      </c>
      <c r="G386" s="20">
        <f t="shared" ref="G386:G449" si="31">B386-($N$4+$N$5*C386)</f>
        <v>0.44227987328180807</v>
      </c>
      <c r="H386" s="20">
        <f t="shared" ref="H386:H449" si="32">IF(D386="","",$N$14+$N$15*C386+$N$16*D386)</f>
        <v>0.35106166331751754</v>
      </c>
      <c r="I386" s="20">
        <f t="shared" ref="I386:I449" si="33">IF(D386="","",B386-H386)</f>
        <v>0.4489383366824814</v>
      </c>
      <c r="J386" s="20">
        <f t="shared" ref="J386:J449" si="34">IF(D386="","",B386-$N$16*D386)</f>
        <v>0.80348151079558094</v>
      </c>
    </row>
    <row r="387" spans="1:10" ht="15" customHeight="1">
      <c r="A387" s="18" t="str">
        <f>Analysis!A387</f>
        <v>4/1990</v>
      </c>
      <c r="B387" s="19">
        <f>Analysis!E387</f>
        <v>0.55999999999999872</v>
      </c>
      <c r="C387" s="20">
        <f>Analysis!F387</f>
        <v>0.34798954810025179</v>
      </c>
      <c r="D387" s="19">
        <f t="shared" si="30"/>
        <v>0.18</v>
      </c>
      <c r="E387" s="19">
        <f>Solar!D387</f>
        <v>1361.95</v>
      </c>
      <c r="F387" s="30">
        <v>0.27</v>
      </c>
      <c r="G387" s="20">
        <f t="shared" si="31"/>
        <v>0.19530210843454665</v>
      </c>
      <c r="H387" s="20">
        <f t="shared" si="32"/>
        <v>0.37722149539530664</v>
      </c>
      <c r="I387" s="20">
        <f t="shared" si="33"/>
        <v>0.18277850460469208</v>
      </c>
      <c r="J387" s="20">
        <f t="shared" si="34"/>
        <v>0.54433320141987973</v>
      </c>
    </row>
    <row r="388" spans="1:10" ht="15" customHeight="1">
      <c r="A388" s="18" t="str">
        <f>Analysis!A388</f>
        <v>5/1990</v>
      </c>
      <c r="B388" s="19">
        <f>Analysis!E388</f>
        <v>0.46000000000000441</v>
      </c>
      <c r="C388" s="20">
        <f>Analysis!F388</f>
        <v>0.35203207215550791</v>
      </c>
      <c r="D388" s="19">
        <f t="shared" si="30"/>
        <v>0.19</v>
      </c>
      <c r="E388" s="19">
        <f>Solar!D388</f>
        <v>1361.55</v>
      </c>
      <c r="F388" s="30">
        <v>0.25</v>
      </c>
      <c r="G388" s="20">
        <f t="shared" si="31"/>
        <v>8.4251580500223855E-2</v>
      </c>
      <c r="H388" s="20">
        <f t="shared" si="32"/>
        <v>0.38919586257759886</v>
      </c>
      <c r="I388" s="20">
        <f t="shared" si="33"/>
        <v>7.0804137422405544E-2</v>
      </c>
      <c r="J388" s="20">
        <f t="shared" si="34"/>
        <v>0.44346282372099</v>
      </c>
    </row>
    <row r="389" spans="1:10" ht="15" customHeight="1">
      <c r="A389" s="18" t="str">
        <f>Analysis!A389</f>
        <v>6/1990</v>
      </c>
      <c r="B389" s="19">
        <f>Analysis!E389</f>
        <v>0.36999999999999744</v>
      </c>
      <c r="C389" s="20">
        <f>Analysis!F389</f>
        <v>0.34803002946285083</v>
      </c>
      <c r="D389" s="19">
        <f t="shared" ref="D389:D452" si="35">IF(F386="","",F386)</f>
        <v>0.3</v>
      </c>
      <c r="E389" s="19">
        <f>Solar!D389</f>
        <v>1361.85</v>
      </c>
      <c r="F389" s="30">
        <v>0.25</v>
      </c>
      <c r="G389" s="20">
        <f t="shared" si="31"/>
        <v>5.191449741583809E-3</v>
      </c>
      <c r="H389" s="20">
        <f t="shared" si="32"/>
        <v>0.38777722183270735</v>
      </c>
      <c r="I389" s="20">
        <f t="shared" si="33"/>
        <v>-1.7777221832709911E-2</v>
      </c>
      <c r="J389" s="20">
        <f t="shared" si="34"/>
        <v>0.34388866903313253</v>
      </c>
    </row>
    <row r="390" spans="1:10" ht="15" customHeight="1">
      <c r="A390" s="18" t="str">
        <f>Analysis!A390</f>
        <v>7/1990</v>
      </c>
      <c r="B390" s="19">
        <f>Analysis!E390</f>
        <v>0.46000000000000441</v>
      </c>
      <c r="C390" s="20">
        <f>Analysis!F390</f>
        <v>0.34194509590805666</v>
      </c>
      <c r="D390" s="19">
        <f t="shared" si="35"/>
        <v>0.27</v>
      </c>
      <c r="E390" s="19">
        <f>Solar!D390</f>
        <v>1361.44</v>
      </c>
      <c r="F390" s="30">
        <v>0.26</v>
      </c>
      <c r="G390" s="20">
        <f t="shared" si="31"/>
        <v>0.11182504976639651</v>
      </c>
      <c r="H390" s="20">
        <f t="shared" si="32"/>
        <v>0.36845201671664696</v>
      </c>
      <c r="I390" s="20">
        <f t="shared" si="33"/>
        <v>9.1547983283357448E-2</v>
      </c>
      <c r="J390" s="20">
        <f t="shared" si="34"/>
        <v>0.43649980212982598</v>
      </c>
    </row>
    <row r="391" spans="1:10" ht="15" customHeight="1">
      <c r="A391" s="18" t="str">
        <f>Analysis!A391</f>
        <v>8/1990</v>
      </c>
      <c r="B391" s="19">
        <f>Analysis!E391</f>
        <v>0.33999999999999986</v>
      </c>
      <c r="C391" s="20">
        <f>Analysis!F391</f>
        <v>0.3344865527759821</v>
      </c>
      <c r="D391" s="19">
        <f t="shared" si="35"/>
        <v>0.25</v>
      </c>
      <c r="E391" s="19">
        <f>Solar!D391</f>
        <v>1361.04</v>
      </c>
      <c r="F391" s="30">
        <v>0.32</v>
      </c>
      <c r="G391" s="20">
        <f t="shared" si="31"/>
        <v>1.2213509576104009E-2</v>
      </c>
      <c r="H391" s="20">
        <f t="shared" si="32"/>
        <v>0.34622416381047266</v>
      </c>
      <c r="I391" s="20">
        <f t="shared" si="33"/>
        <v>-6.2241638104728048E-3</v>
      </c>
      <c r="J391" s="20">
        <f t="shared" si="34"/>
        <v>0.31824055752761243</v>
      </c>
    </row>
    <row r="392" spans="1:10" ht="15" customHeight="1">
      <c r="A392" s="18" t="str">
        <f>Analysis!A392</f>
        <v>9/1990</v>
      </c>
      <c r="B392" s="19">
        <f>Analysis!E392</f>
        <v>0.2300000000000022</v>
      </c>
      <c r="C392" s="20">
        <f>Analysis!F392</f>
        <v>0.32760525056773293</v>
      </c>
      <c r="D392" s="19">
        <f t="shared" si="35"/>
        <v>0.25</v>
      </c>
      <c r="E392" s="19">
        <f>Solar!D392</f>
        <v>1361.86</v>
      </c>
      <c r="F392" s="30">
        <v>0.31</v>
      </c>
      <c r="G392" s="20">
        <f t="shared" si="31"/>
        <v>-7.8975959864911904E-2</v>
      </c>
      <c r="H392" s="20">
        <f t="shared" si="32"/>
        <v>0.32732262944529683</v>
      </c>
      <c r="I392" s="20">
        <f t="shared" si="33"/>
        <v>-9.7322629445294628E-2</v>
      </c>
      <c r="J392" s="20">
        <f t="shared" si="34"/>
        <v>0.20824055752761478</v>
      </c>
    </row>
    <row r="393" spans="1:10" ht="15" customHeight="1">
      <c r="A393" s="18" t="str">
        <f>Analysis!A393</f>
        <v>10/1990</v>
      </c>
      <c r="B393" s="19">
        <f>Analysis!E393</f>
        <v>0.44999999999999751</v>
      </c>
      <c r="C393" s="20">
        <f>Analysis!F393</f>
        <v>0.32887748659446853</v>
      </c>
      <c r="D393" s="19">
        <f t="shared" si="35"/>
        <v>0.26</v>
      </c>
      <c r="E393" s="19">
        <f>Solar!D393</f>
        <v>1361.63</v>
      </c>
      <c r="F393" s="30">
        <v>0.27</v>
      </c>
      <c r="G393" s="20">
        <f t="shared" si="31"/>
        <v>0.13754629218347347</v>
      </c>
      <c r="H393" s="20">
        <f t="shared" si="32"/>
        <v>0.331687580155552</v>
      </c>
      <c r="I393" s="20">
        <f t="shared" si="33"/>
        <v>0.11831241984444552</v>
      </c>
      <c r="J393" s="20">
        <f t="shared" si="34"/>
        <v>0.42737017982871461</v>
      </c>
    </row>
    <row r="394" spans="1:10" ht="15" customHeight="1">
      <c r="A394" s="18" t="str">
        <f>Analysis!A394</f>
        <v>11/1990</v>
      </c>
      <c r="B394" s="19">
        <f>Analysis!E394</f>
        <v>0.46000000000000441</v>
      </c>
      <c r="C394" s="20">
        <f>Analysis!F394</f>
        <v>0.33481341656461083</v>
      </c>
      <c r="D394" s="19">
        <f t="shared" si="35"/>
        <v>0.32</v>
      </c>
      <c r="E394" s="19">
        <f>Solar!D394</f>
        <v>1360.75</v>
      </c>
      <c r="F394" s="30">
        <v>0.31</v>
      </c>
      <c r="G394" s="20">
        <f t="shared" si="31"/>
        <v>0.13132000408854916</v>
      </c>
      <c r="H394" s="20">
        <f t="shared" si="32"/>
        <v>0.35321463589666807</v>
      </c>
      <c r="I394" s="20">
        <f t="shared" si="33"/>
        <v>0.10678536410333633</v>
      </c>
      <c r="J394" s="20">
        <f t="shared" si="34"/>
        <v>0.43214791363534849</v>
      </c>
    </row>
    <row r="395" spans="1:10" ht="15" customHeight="1">
      <c r="A395" s="18" t="str">
        <f>Analysis!A395</f>
        <v>12/1990</v>
      </c>
      <c r="B395" s="19">
        <f>Analysis!E395</f>
        <v>0.40000000000000213</v>
      </c>
      <c r="C395" s="20">
        <f>Analysis!F395</f>
        <v>0.33999248424772416</v>
      </c>
      <c r="D395" s="19">
        <f t="shared" si="35"/>
        <v>0.31</v>
      </c>
      <c r="E395" s="19">
        <f>Solar!D395</f>
        <v>1361.33</v>
      </c>
      <c r="F395" s="30">
        <v>0.34</v>
      </c>
      <c r="G395" s="20">
        <f t="shared" si="31"/>
        <v>5.7162653056433976E-2</v>
      </c>
      <c r="H395" s="20">
        <f t="shared" si="32"/>
        <v>0.36657010133464091</v>
      </c>
      <c r="I395" s="20">
        <f t="shared" si="33"/>
        <v>3.3429898665361224E-2</v>
      </c>
      <c r="J395" s="20">
        <f t="shared" si="34"/>
        <v>0.37301829133424175</v>
      </c>
    </row>
    <row r="396" spans="1:10" ht="15" customHeight="1">
      <c r="A396" s="18" t="str">
        <f>Analysis!A396</f>
        <v>1/1991</v>
      </c>
      <c r="B396" s="19">
        <f>Analysis!E396</f>
        <v>0.42999999999999972</v>
      </c>
      <c r="C396" s="20">
        <f>Analysis!F396</f>
        <v>0.3421076943180667</v>
      </c>
      <c r="D396" s="19">
        <f t="shared" si="35"/>
        <v>0.27</v>
      </c>
      <c r="E396" s="19">
        <f>Solar!D396</f>
        <v>1360.94</v>
      </c>
      <c r="F396" s="30">
        <v>0.35</v>
      </c>
      <c r="G396" s="20">
        <f t="shared" si="31"/>
        <v>8.138057541142607E-2</v>
      </c>
      <c r="H396" s="20">
        <f t="shared" si="32"/>
        <v>0.36889864140213791</v>
      </c>
      <c r="I396" s="20">
        <f t="shared" si="33"/>
        <v>6.110135859786181E-2</v>
      </c>
      <c r="J396" s="20">
        <f t="shared" si="34"/>
        <v>0.40649980212982129</v>
      </c>
    </row>
    <row r="397" spans="1:10" ht="15" customHeight="1">
      <c r="A397" s="18" t="str">
        <f>Analysis!A397</f>
        <v>2/1991</v>
      </c>
      <c r="B397" s="19">
        <f>Analysis!E397</f>
        <v>0.5</v>
      </c>
      <c r="C397" s="20">
        <f>Analysis!F397</f>
        <v>0.34572077699832093</v>
      </c>
      <c r="D397" s="19">
        <f t="shared" si="35"/>
        <v>0.31</v>
      </c>
      <c r="E397" s="19">
        <f>Solar!D397</f>
        <v>1361.29</v>
      </c>
      <c r="F397" s="30">
        <v>0.26</v>
      </c>
      <c r="G397" s="20">
        <f t="shared" si="31"/>
        <v>0.14150395611579714</v>
      </c>
      <c r="H397" s="20">
        <f t="shared" si="32"/>
        <v>0.3823045537685707</v>
      </c>
      <c r="I397" s="20">
        <f t="shared" si="33"/>
        <v>0.1176954462314293</v>
      </c>
      <c r="J397" s="20">
        <f t="shared" si="34"/>
        <v>0.47301829133423962</v>
      </c>
    </row>
    <row r="398" spans="1:10" ht="15" customHeight="1">
      <c r="A398" s="18" t="str">
        <f>Analysis!A398</f>
        <v>3/1991</v>
      </c>
      <c r="B398" s="19">
        <f>Analysis!E398</f>
        <v>0.36000000000000121</v>
      </c>
      <c r="C398" s="20">
        <f>Analysis!F398</f>
        <v>0.35183021475275128</v>
      </c>
      <c r="D398" s="19">
        <f t="shared" si="35"/>
        <v>0.34</v>
      </c>
      <c r="E398" s="19">
        <f>Solar!D398</f>
        <v>1362.25</v>
      </c>
      <c r="F398" s="30">
        <v>0.23</v>
      </c>
      <c r="G398" s="20">
        <f t="shared" si="31"/>
        <v>-1.5196627887058334E-2</v>
      </c>
      <c r="H398" s="20">
        <f t="shared" si="32"/>
        <v>0.40169706692568169</v>
      </c>
      <c r="I398" s="20">
        <f t="shared" si="33"/>
        <v>-4.1697066925680482E-2</v>
      </c>
      <c r="J398" s="20">
        <f t="shared" si="34"/>
        <v>0.33040715823755434</v>
      </c>
    </row>
    <row r="399" spans="1:10" ht="15" customHeight="1">
      <c r="A399" s="18" t="str">
        <f>Analysis!A399</f>
        <v>4/1991</v>
      </c>
      <c r="B399" s="19">
        <f>Analysis!E399</f>
        <v>0.50999999999999801</v>
      </c>
      <c r="C399" s="20">
        <f>Analysis!F399</f>
        <v>0.35763243136807038</v>
      </c>
      <c r="D399" s="19">
        <f t="shared" si="35"/>
        <v>0.35</v>
      </c>
      <c r="E399" s="19">
        <f>Solar!D399</f>
        <v>1362.18</v>
      </c>
      <c r="F399" s="30">
        <v>0.28999999999999998</v>
      </c>
      <c r="G399" s="20">
        <f t="shared" si="31"/>
        <v>0.11894259901370541</v>
      </c>
      <c r="H399" s="20">
        <f t="shared" si="32"/>
        <v>0.41850495084500999</v>
      </c>
      <c r="I399" s="20">
        <f t="shared" si="33"/>
        <v>9.1495049154988017E-2</v>
      </c>
      <c r="J399" s="20">
        <f t="shared" si="34"/>
        <v>0.47953678053865562</v>
      </c>
    </row>
    <row r="400" spans="1:10" ht="15" customHeight="1">
      <c r="A400" s="18" t="str">
        <f>Analysis!A400</f>
        <v>5/1991</v>
      </c>
      <c r="B400" s="19">
        <f>Analysis!E400</f>
        <v>0.33999999999999986</v>
      </c>
      <c r="C400" s="20">
        <f>Analysis!F400</f>
        <v>0.3594810102249153</v>
      </c>
      <c r="D400" s="19">
        <f t="shared" si="35"/>
        <v>0.26</v>
      </c>
      <c r="E400" s="19">
        <f>Solar!D400</f>
        <v>1361.41</v>
      </c>
      <c r="F400" s="30">
        <v>0.49</v>
      </c>
      <c r="G400" s="20">
        <f t="shared" si="31"/>
        <v>-5.6110623185382291E-2</v>
      </c>
      <c r="H400" s="20">
        <f t="shared" si="32"/>
        <v>0.4157492208291621</v>
      </c>
      <c r="I400" s="20">
        <f t="shared" si="33"/>
        <v>-7.5749220829162245E-2</v>
      </c>
      <c r="J400" s="20">
        <f t="shared" si="34"/>
        <v>0.31737017982871696</v>
      </c>
    </row>
    <row r="401" spans="1:10" ht="15" customHeight="1">
      <c r="A401" s="18" t="str">
        <f>Analysis!A401</f>
        <v>6/1991</v>
      </c>
      <c r="B401" s="19">
        <f>Analysis!E401</f>
        <v>0.52999999999999758</v>
      </c>
      <c r="C401" s="20">
        <f>Analysis!F401</f>
        <v>0.35545933382447809</v>
      </c>
      <c r="D401" s="19">
        <f t="shared" si="35"/>
        <v>0.23</v>
      </c>
      <c r="E401" s="19">
        <f>Solar!D401</f>
        <v>1361.4</v>
      </c>
      <c r="F401" s="30">
        <v>0.63</v>
      </c>
      <c r="G401" s="20">
        <f t="shared" si="31"/>
        <v>0.14488291619704108</v>
      </c>
      <c r="H401" s="20">
        <f t="shared" si="32"/>
        <v>0.40209136250692834</v>
      </c>
      <c r="I401" s="20">
        <f t="shared" si="33"/>
        <v>0.12790863749306924</v>
      </c>
      <c r="J401" s="20">
        <f t="shared" si="34"/>
        <v>0.50998131292540116</v>
      </c>
    </row>
    <row r="402" spans="1:10" ht="15" customHeight="1">
      <c r="A402" s="18" t="str">
        <f>Analysis!A402</f>
        <v>7/1991</v>
      </c>
      <c r="B402" s="19">
        <f>Analysis!E402</f>
        <v>0.47999999999999865</v>
      </c>
      <c r="C402" s="20">
        <f>Analysis!F402</f>
        <v>0.34766565630097057</v>
      </c>
      <c r="D402" s="19">
        <f t="shared" si="35"/>
        <v>0.28999999999999998</v>
      </c>
      <c r="E402" s="19">
        <f>Solar!D402</f>
        <v>1361.66</v>
      </c>
      <c r="F402" s="30">
        <v>0.77</v>
      </c>
      <c r="G402" s="20">
        <f t="shared" si="31"/>
        <v>0.11618748977717663</v>
      </c>
      <c r="H402" s="20">
        <f t="shared" si="32"/>
        <v>0.38590598533810727</v>
      </c>
      <c r="I402" s="20">
        <f t="shared" si="33"/>
        <v>9.4094014661891379E-2</v>
      </c>
      <c r="J402" s="20">
        <f t="shared" si="34"/>
        <v>0.45475904673202927</v>
      </c>
    </row>
    <row r="403" spans="1:10" ht="15" customHeight="1">
      <c r="A403" s="18" t="str">
        <f>Analysis!A403</f>
        <v>8/1991</v>
      </c>
      <c r="B403" s="19">
        <f>Analysis!E403</f>
        <v>0.38999999999999879</v>
      </c>
      <c r="C403" s="20">
        <f>Analysis!F403</f>
        <v>0.33820026566553218</v>
      </c>
      <c r="D403" s="19">
        <f t="shared" si="35"/>
        <v>0.49</v>
      </c>
      <c r="E403" s="19">
        <f>Solar!D403</f>
        <v>1361.59</v>
      </c>
      <c r="F403" s="30">
        <v>0.67</v>
      </c>
      <c r="G403" s="20">
        <f t="shared" si="31"/>
        <v>5.2061810423517763E-2</v>
      </c>
      <c r="H403" s="20">
        <f t="shared" si="32"/>
        <v>0.37731404082558928</v>
      </c>
      <c r="I403" s="20">
        <f t="shared" si="33"/>
        <v>1.2685959174409511E-2</v>
      </c>
      <c r="J403" s="20">
        <f t="shared" si="34"/>
        <v>0.34735149275411947</v>
      </c>
    </row>
    <row r="404" spans="1:10" ht="15" customHeight="1">
      <c r="A404" s="18" t="str">
        <f>Analysis!A404</f>
        <v>9/1991</v>
      </c>
      <c r="B404" s="19">
        <f>Analysis!E404</f>
        <v>0.44000000000000483</v>
      </c>
      <c r="C404" s="20">
        <f>Analysis!F404</f>
        <v>0.33154144137771635</v>
      </c>
      <c r="D404" s="19">
        <f t="shared" si="35"/>
        <v>0.63</v>
      </c>
      <c r="E404" s="19">
        <f>Solar!D404</f>
        <v>1361.97</v>
      </c>
      <c r="F404" s="30">
        <v>0.72</v>
      </c>
      <c r="G404" s="20">
        <f t="shared" si="31"/>
        <v>0.12026418171346576</v>
      </c>
      <c r="H404" s="20">
        <f t="shared" si="32"/>
        <v>0.37120889573872329</v>
      </c>
      <c r="I404" s="20">
        <f t="shared" si="33"/>
        <v>6.8791104261281544E-2</v>
      </c>
      <c r="J404" s="20">
        <f t="shared" si="34"/>
        <v>0.38516620496958853</v>
      </c>
    </row>
    <row r="405" spans="1:10" ht="15" customHeight="1">
      <c r="A405" s="18" t="str">
        <f>Analysis!A405</f>
        <v>10/1991</v>
      </c>
      <c r="B405" s="19">
        <f>Analysis!E405</f>
        <v>0.28999999999999559</v>
      </c>
      <c r="C405" s="20">
        <f>Analysis!F405</f>
        <v>0.3319099092591129</v>
      </c>
      <c r="D405" s="19">
        <f t="shared" si="35"/>
        <v>0.77</v>
      </c>
      <c r="E405" s="19">
        <f>Solar!D405</f>
        <v>1361.06</v>
      </c>
      <c r="F405" s="30">
        <v>0.83</v>
      </c>
      <c r="G405" s="20">
        <f t="shared" si="31"/>
        <v>-3.0743051530086274E-2</v>
      </c>
      <c r="H405" s="20">
        <f t="shared" si="32"/>
        <v>0.3844062896787393</v>
      </c>
      <c r="I405" s="20">
        <f t="shared" si="33"/>
        <v>-9.4406289678743704E-2</v>
      </c>
      <c r="J405" s="20">
        <f t="shared" si="34"/>
        <v>0.22298091718504237</v>
      </c>
    </row>
    <row r="406" spans="1:10" ht="15" customHeight="1">
      <c r="A406" s="18" t="str">
        <f>Analysis!A406</f>
        <v>11/1991</v>
      </c>
      <c r="B406" s="19">
        <f>Analysis!E406</f>
        <v>0.30000000000000249</v>
      </c>
      <c r="C406" s="20">
        <f>Analysis!F406</f>
        <v>0.3378741684040325</v>
      </c>
      <c r="D406" s="19">
        <f t="shared" si="35"/>
        <v>0.67</v>
      </c>
      <c r="E406" s="19">
        <f>Solar!D406</f>
        <v>1361.67</v>
      </c>
      <c r="F406" s="30">
        <v>1.18</v>
      </c>
      <c r="G406" s="20">
        <f t="shared" si="31"/>
        <v>-3.7046779445517264E-2</v>
      </c>
      <c r="H406" s="20">
        <f t="shared" si="32"/>
        <v>0.39208511670554308</v>
      </c>
      <c r="I406" s="20">
        <f t="shared" si="33"/>
        <v>-9.2085116705540593E-2</v>
      </c>
      <c r="J406" s="20">
        <f t="shared" si="34"/>
        <v>0.24168469417400421</v>
      </c>
    </row>
    <row r="407" spans="1:10" ht="15" customHeight="1">
      <c r="A407" s="18" t="str">
        <f>Analysis!A407</f>
        <v>12/1991</v>
      </c>
      <c r="B407" s="19">
        <f>Analysis!E407</f>
        <v>0.32000000000000028</v>
      </c>
      <c r="C407" s="20">
        <f>Analysis!F407</f>
        <v>0.34324537036048725</v>
      </c>
      <c r="D407" s="19">
        <f t="shared" si="35"/>
        <v>0.72</v>
      </c>
      <c r="E407" s="19">
        <f>Solar!D407</f>
        <v>1360.83</v>
      </c>
      <c r="F407" s="30">
        <v>1.43</v>
      </c>
      <c r="G407" s="20">
        <f t="shared" si="31"/>
        <v>-3.1729343222363204E-2</v>
      </c>
      <c r="H407" s="20">
        <f t="shared" si="32"/>
        <v>0.41119060201786184</v>
      </c>
      <c r="I407" s="20">
        <f t="shared" si="33"/>
        <v>-9.1190602017861555E-2</v>
      </c>
      <c r="J407" s="20">
        <f t="shared" si="34"/>
        <v>0.25733280567952455</v>
      </c>
    </row>
    <row r="408" spans="1:10" ht="15" customHeight="1">
      <c r="A408" s="18" t="str">
        <f>Analysis!A408</f>
        <v>1/1992</v>
      </c>
      <c r="B408" s="19">
        <f>Analysis!E408</f>
        <v>0.47999999999999865</v>
      </c>
      <c r="C408" s="20">
        <f>Analysis!F408</f>
        <v>0.34782761129001444</v>
      </c>
      <c r="D408" s="19">
        <f t="shared" si="35"/>
        <v>0.83</v>
      </c>
      <c r="E408" s="19">
        <f>Solar!D408</f>
        <v>1361.54</v>
      </c>
      <c r="F408" s="30">
        <v>1.54</v>
      </c>
      <c r="G408" s="20">
        <f t="shared" si="31"/>
        <v>0.11574477425932927</v>
      </c>
      <c r="H408" s="20">
        <f t="shared" si="32"/>
        <v>0.43335123841772683</v>
      </c>
      <c r="I408" s="20">
        <f t="shared" si="33"/>
        <v>4.6648761582271825E-2</v>
      </c>
      <c r="J408" s="20">
        <f t="shared" si="34"/>
        <v>0.40775865099167241</v>
      </c>
    </row>
    <row r="409" spans="1:10" ht="15" customHeight="1">
      <c r="A409" s="18" t="str">
        <f>Analysis!A409</f>
        <v>2/1992</v>
      </c>
      <c r="B409" s="19">
        <f>Analysis!E409</f>
        <v>0.40000000000000213</v>
      </c>
      <c r="C409" s="20">
        <f>Analysis!F409</f>
        <v>0.35134564172245408</v>
      </c>
      <c r="D409" s="19">
        <f t="shared" si="35"/>
        <v>1.18</v>
      </c>
      <c r="E409" s="19">
        <f>Solar!D409</f>
        <v>1361.48</v>
      </c>
      <c r="F409" s="30">
        <v>1.5</v>
      </c>
      <c r="G409" s="20">
        <f t="shared" si="31"/>
        <v>2.612798706496966E-2</v>
      </c>
      <c r="H409" s="20">
        <f t="shared" si="32"/>
        <v>0.47347777030222915</v>
      </c>
      <c r="I409" s="20">
        <f t="shared" si="33"/>
        <v>-7.3477770302227019E-2</v>
      </c>
      <c r="J409" s="20">
        <f t="shared" si="34"/>
        <v>0.29729543153033355</v>
      </c>
    </row>
    <row r="410" spans="1:10" ht="15" customHeight="1">
      <c r="A410" s="18" t="str">
        <f>Analysis!A410</f>
        <v>3/1992</v>
      </c>
      <c r="B410" s="19">
        <f>Analysis!E410</f>
        <v>0.47999999999999865</v>
      </c>
      <c r="C410" s="20">
        <f>Analysis!F410</f>
        <v>0.35441185902104577</v>
      </c>
      <c r="D410" s="19">
        <f t="shared" si="35"/>
        <v>1.43</v>
      </c>
      <c r="E410" s="19">
        <f>Solar!D410</f>
        <v>1361.9</v>
      </c>
      <c r="F410" s="30">
        <v>1.4</v>
      </c>
      <c r="G410" s="20">
        <f t="shared" si="31"/>
        <v>9.774626330830638E-2</v>
      </c>
      <c r="H410" s="20">
        <f t="shared" si="32"/>
        <v>0.50365948662431781</v>
      </c>
      <c r="I410" s="20">
        <f t="shared" si="33"/>
        <v>-2.3659486624319159E-2</v>
      </c>
      <c r="J410" s="20">
        <f t="shared" si="34"/>
        <v>0.35553598905794265</v>
      </c>
    </row>
    <row r="411" spans="1:10" ht="15" customHeight="1">
      <c r="A411" s="18" t="str">
        <f>Analysis!A411</f>
        <v>4/1992</v>
      </c>
      <c r="B411" s="19">
        <f>Analysis!E411</f>
        <v>0.28000000000000114</v>
      </c>
      <c r="C411" s="20">
        <f>Analysis!F411</f>
        <v>0.35944084890426714</v>
      </c>
      <c r="D411" s="19">
        <f t="shared" si="35"/>
        <v>1.54</v>
      </c>
      <c r="E411" s="19">
        <f>Solar!D411</f>
        <v>1361.66</v>
      </c>
      <c r="F411" s="30">
        <v>1.3</v>
      </c>
      <c r="G411" s="20">
        <f t="shared" si="31"/>
        <v>-0.11600083934992678</v>
      </c>
      <c r="H411" s="20">
        <f t="shared" si="32"/>
        <v>0.52704725132712715</v>
      </c>
      <c r="I411" s="20">
        <f t="shared" si="33"/>
        <v>-0.24704725132712602</v>
      </c>
      <c r="J411" s="20">
        <f t="shared" si="34"/>
        <v>0.14596183437009466</v>
      </c>
    </row>
    <row r="412" spans="1:10" ht="15" customHeight="1">
      <c r="A412" s="18" t="str">
        <f>Analysis!A412</f>
        <v>5/1992</v>
      </c>
      <c r="B412" s="19">
        <f>Analysis!E412</f>
        <v>0.31000000000000227</v>
      </c>
      <c r="C412" s="20">
        <f>Analysis!F412</f>
        <v>0.36140744003135555</v>
      </c>
      <c r="D412" s="19">
        <f t="shared" si="35"/>
        <v>1.5</v>
      </c>
      <c r="E412" s="19">
        <f>Solar!D412</f>
        <v>1361.49</v>
      </c>
      <c r="F412" s="30">
        <v>1.08</v>
      </c>
      <c r="G412" s="20">
        <f t="shared" si="31"/>
        <v>-9.1376656509761012E-2</v>
      </c>
      <c r="H412" s="20">
        <f t="shared" si="32"/>
        <v>0.52896756545450119</v>
      </c>
      <c r="I412" s="20">
        <f t="shared" si="33"/>
        <v>-0.21896756545449891</v>
      </c>
      <c r="J412" s="20">
        <f t="shared" si="34"/>
        <v>0.17944334516567778</v>
      </c>
    </row>
    <row r="413" spans="1:10" ht="15" customHeight="1">
      <c r="A413" s="18" t="str">
        <f>Analysis!A413</f>
        <v>6/1992</v>
      </c>
      <c r="B413" s="19">
        <f>Analysis!E413</f>
        <v>0.25999999999999979</v>
      </c>
      <c r="C413" s="20">
        <f>Analysis!F413</f>
        <v>0.36032413980374728</v>
      </c>
      <c r="D413" s="19">
        <f t="shared" si="35"/>
        <v>1.4</v>
      </c>
      <c r="E413" s="19">
        <f>Solar!D413</f>
        <v>1361.33</v>
      </c>
      <c r="F413" s="30">
        <v>0.72</v>
      </c>
      <c r="G413" s="20">
        <f t="shared" si="31"/>
        <v>-0.13841537804541282</v>
      </c>
      <c r="H413" s="20">
        <f t="shared" si="32"/>
        <v>0.51728818357852424</v>
      </c>
      <c r="I413" s="20">
        <f t="shared" si="33"/>
        <v>-0.25728818357852445</v>
      </c>
      <c r="J413" s="20">
        <f t="shared" si="34"/>
        <v>0.13814712215463026</v>
      </c>
    </row>
    <row r="414" spans="1:10" ht="15" customHeight="1">
      <c r="A414" s="18" t="str">
        <f>Analysis!A414</f>
        <v>7/1992</v>
      </c>
      <c r="B414" s="19">
        <f>Analysis!E414</f>
        <v>8.9999999999999858E-2</v>
      </c>
      <c r="C414" s="20">
        <f>Analysis!F414</f>
        <v>0.35110329415916136</v>
      </c>
      <c r="D414" s="19">
        <f t="shared" si="35"/>
        <v>1.3</v>
      </c>
      <c r="E414" s="19">
        <f>Solar!D414</f>
        <v>1361.02</v>
      </c>
      <c r="F414" s="30">
        <v>0.35</v>
      </c>
      <c r="G414" s="20">
        <f t="shared" si="31"/>
        <v>-0.28320953857956144</v>
      </c>
      <c r="H414" s="20">
        <f t="shared" si="32"/>
        <v>0.48325662333683123</v>
      </c>
      <c r="I414" s="20">
        <f t="shared" si="33"/>
        <v>-0.39325662333683137</v>
      </c>
      <c r="J414" s="20">
        <f t="shared" si="34"/>
        <v>-2.3149100856414695E-2</v>
      </c>
    </row>
    <row r="415" spans="1:10" ht="15" customHeight="1">
      <c r="A415" s="18" t="str">
        <f>Analysis!A415</f>
        <v>8/1992</v>
      </c>
      <c r="B415" s="19">
        <f>Analysis!E415</f>
        <v>8.0000000000000071E-2</v>
      </c>
      <c r="C415" s="20">
        <f>Analysis!F415</f>
        <v>0.34235155757775643</v>
      </c>
      <c r="D415" s="19">
        <f t="shared" si="35"/>
        <v>1.08</v>
      </c>
      <c r="E415" s="19">
        <f>Solar!D415</f>
        <v>1360.98</v>
      </c>
      <c r="F415" s="30">
        <v>0.08</v>
      </c>
      <c r="G415" s="20">
        <f t="shared" si="31"/>
        <v>-0.26928604220828911</v>
      </c>
      <c r="H415" s="20">
        <f t="shared" si="32"/>
        <v>0.44006907767383452</v>
      </c>
      <c r="I415" s="20">
        <f t="shared" si="33"/>
        <v>-0.36006907767383445</v>
      </c>
      <c r="J415" s="20">
        <f t="shared" si="34"/>
        <v>-1.4000791480713565E-2</v>
      </c>
    </row>
    <row r="416" spans="1:10" ht="15" customHeight="1">
      <c r="A416" s="18" t="str">
        <f>Analysis!A416</f>
        <v>9/1992</v>
      </c>
      <c r="B416" s="19">
        <f>Analysis!E416</f>
        <v>-9.9999999999980105E-3</v>
      </c>
      <c r="C416" s="20">
        <f>Analysis!F416</f>
        <v>0.3342822252952366</v>
      </c>
      <c r="D416" s="19">
        <f t="shared" si="35"/>
        <v>0.72</v>
      </c>
      <c r="E416" s="19">
        <f>Solar!D416</f>
        <v>1361.15</v>
      </c>
      <c r="F416" s="30">
        <v>-0.15</v>
      </c>
      <c r="G416" s="20">
        <f t="shared" si="31"/>
        <v>-0.33722794667675315</v>
      </c>
      <c r="H416" s="20">
        <f t="shared" si="32"/>
        <v>0.38657066972251841</v>
      </c>
      <c r="I416" s="20">
        <f t="shared" si="33"/>
        <v>-0.39657066972251642</v>
      </c>
      <c r="J416" s="20">
        <f t="shared" si="34"/>
        <v>-7.2667194320473763E-2</v>
      </c>
    </row>
    <row r="417" spans="1:10" ht="15" customHeight="1">
      <c r="A417" s="18" t="str">
        <f>Analysis!A417</f>
        <v>10/1992</v>
      </c>
      <c r="B417" s="19">
        <f>Analysis!E417</f>
        <v>7.0000000000000284E-2</v>
      </c>
      <c r="C417" s="20">
        <f>Analysis!F417</f>
        <v>0.33587521271928794</v>
      </c>
      <c r="D417" s="19">
        <f t="shared" si="35"/>
        <v>0.35</v>
      </c>
      <c r="E417" s="19">
        <f>Solar!D417</f>
        <v>1360.84</v>
      </c>
      <c r="F417" s="30">
        <v>-0.22</v>
      </c>
      <c r="G417" s="20">
        <f t="shared" si="31"/>
        <v>-0.26158249145815826</v>
      </c>
      <c r="H417" s="20">
        <f t="shared" si="32"/>
        <v>0.35874230657578804</v>
      </c>
      <c r="I417" s="20">
        <f t="shared" si="33"/>
        <v>-0.28874230657578775</v>
      </c>
      <c r="J417" s="20">
        <f t="shared" si="34"/>
        <v>3.9536780538657904E-2</v>
      </c>
    </row>
    <row r="418" spans="1:10" ht="15" customHeight="1">
      <c r="A418" s="18" t="str">
        <f>Analysis!A418</f>
        <v>11/1992</v>
      </c>
      <c r="B418" s="19">
        <f>Analysis!E418</f>
        <v>2.9999999999997584E-2</v>
      </c>
      <c r="C418" s="20">
        <f>Analysis!F418</f>
        <v>0.34003319062417492</v>
      </c>
      <c r="D418" s="19">
        <f t="shared" si="35"/>
        <v>0.08</v>
      </c>
      <c r="E418" s="19">
        <f>Solar!D418</f>
        <v>1361.03</v>
      </c>
      <c r="F418" s="30">
        <v>-0.24</v>
      </c>
      <c r="G418" s="20">
        <f t="shared" si="31"/>
        <v>-0.31294862072795038</v>
      </c>
      <c r="H418" s="20">
        <f t="shared" si="32"/>
        <v>0.34666322637787933</v>
      </c>
      <c r="I418" s="20">
        <f t="shared" si="33"/>
        <v>-0.31666322637788175</v>
      </c>
      <c r="J418" s="20">
        <f t="shared" si="34"/>
        <v>2.3036978408833612E-2</v>
      </c>
    </row>
    <row r="419" spans="1:10" ht="15" customHeight="1">
      <c r="A419" s="18" t="str">
        <f>Analysis!A419</f>
        <v>12/1992</v>
      </c>
      <c r="B419" s="19">
        <f>Analysis!E419</f>
        <v>0.22000000000000242</v>
      </c>
      <c r="C419" s="20">
        <f>Analysis!F419</f>
        <v>0.34515302630729883</v>
      </c>
      <c r="D419" s="19">
        <f t="shared" si="35"/>
        <v>-0.15</v>
      </c>
      <c r="E419" s="19">
        <f>Solar!D419</f>
        <v>1361.29</v>
      </c>
      <c r="F419" s="30">
        <v>-0.05</v>
      </c>
      <c r="G419" s="20">
        <f t="shared" si="31"/>
        <v>-0.13694405686195465</v>
      </c>
      <c r="H419" s="20">
        <f t="shared" si="32"/>
        <v>0.34070768421103176</v>
      </c>
      <c r="I419" s="20">
        <f t="shared" si="33"/>
        <v>-0.12070768421102934</v>
      </c>
      <c r="J419" s="20">
        <f t="shared" si="34"/>
        <v>0.23305566548343487</v>
      </c>
    </row>
    <row r="420" spans="1:10" ht="15" customHeight="1">
      <c r="A420" s="18" t="str">
        <f>Analysis!A420</f>
        <v>1/1993</v>
      </c>
      <c r="B420" s="19">
        <f>Analysis!E420</f>
        <v>0.34999999999999787</v>
      </c>
      <c r="C420" s="20">
        <f>Analysis!F420</f>
        <v>0.35090130675373682</v>
      </c>
      <c r="D420" s="19">
        <f t="shared" si="35"/>
        <v>-0.22</v>
      </c>
      <c r="E420" s="19">
        <f>Solar!D420</f>
        <v>1361.26</v>
      </c>
      <c r="F420" s="30">
        <v>0.13</v>
      </c>
      <c r="G420" s="20">
        <f t="shared" si="31"/>
        <v>-2.2657391595274134E-2</v>
      </c>
      <c r="H420" s="20">
        <f t="shared" si="32"/>
        <v>0.3504043948785393</v>
      </c>
      <c r="I420" s="20">
        <f t="shared" si="33"/>
        <v>-4.0439487854143641E-4</v>
      </c>
      <c r="J420" s="20">
        <f t="shared" si="34"/>
        <v>0.36914830937569881</v>
      </c>
    </row>
    <row r="421" spans="1:10" ht="15" customHeight="1">
      <c r="A421" s="18" t="str">
        <f>Analysis!A421</f>
        <v>2/1993</v>
      </c>
      <c r="B421" s="19">
        <f>Analysis!E421</f>
        <v>0.36999999999999744</v>
      </c>
      <c r="C421" s="20">
        <f>Analysis!F421</f>
        <v>0.35219353774503176</v>
      </c>
      <c r="D421" s="19">
        <f t="shared" si="35"/>
        <v>-0.24</v>
      </c>
      <c r="E421" s="19">
        <f>Solar!D421</f>
        <v>1360.72</v>
      </c>
      <c r="F421" s="30">
        <v>0.31</v>
      </c>
      <c r="G421" s="20">
        <f t="shared" si="31"/>
        <v>-6.1897972091243814E-3</v>
      </c>
      <c r="H421" s="20">
        <f t="shared" si="32"/>
        <v>0.35221313458364129</v>
      </c>
      <c r="I421" s="20">
        <f t="shared" si="33"/>
        <v>1.7786865416356157E-2</v>
      </c>
      <c r="J421" s="20">
        <f t="shared" si="34"/>
        <v>0.39088906477348934</v>
      </c>
    </row>
    <row r="422" spans="1:10" ht="15" customHeight="1">
      <c r="A422" s="18" t="str">
        <f>Analysis!A422</f>
        <v>3/1993</v>
      </c>
      <c r="B422" s="19">
        <f>Analysis!E422</f>
        <v>0.36000000000000121</v>
      </c>
      <c r="C422" s="20">
        <f>Analysis!F422</f>
        <v>0.3569084291577157</v>
      </c>
      <c r="D422" s="19">
        <f t="shared" si="35"/>
        <v>-0.05</v>
      </c>
      <c r="E422" s="19">
        <f>Solar!D422</f>
        <v>1361.14</v>
      </c>
      <c r="F422" s="30">
        <v>0.5</v>
      </c>
      <c r="G422" s="20">
        <f t="shared" si="31"/>
        <v>-2.907828928758982E-2</v>
      </c>
      <c r="H422" s="20">
        <f t="shared" si="32"/>
        <v>0.38170115641018648</v>
      </c>
      <c r="I422" s="20">
        <f t="shared" si="33"/>
        <v>-2.1701156410185274E-2</v>
      </c>
      <c r="J422" s="20">
        <f t="shared" si="34"/>
        <v>0.36435188849447869</v>
      </c>
    </row>
    <row r="423" spans="1:10" ht="15" customHeight="1">
      <c r="A423" s="18" t="str">
        <f>Analysis!A423</f>
        <v>4/1993</v>
      </c>
      <c r="B423" s="19">
        <f>Analysis!E423</f>
        <v>0.28000000000000114</v>
      </c>
      <c r="C423" s="20">
        <f>Analysis!F423</f>
        <v>0.36012343935395846</v>
      </c>
      <c r="D423" s="19">
        <f t="shared" si="35"/>
        <v>0.13</v>
      </c>
      <c r="E423" s="19">
        <f>Solar!D423</f>
        <v>1361.11</v>
      </c>
      <c r="F423" s="30">
        <v>0.73</v>
      </c>
      <c r="G423" s="20">
        <f t="shared" si="31"/>
        <v>-0.11786674904617522</v>
      </c>
      <c r="H423" s="20">
        <f t="shared" si="32"/>
        <v>0.40619893259739637</v>
      </c>
      <c r="I423" s="20">
        <f t="shared" si="33"/>
        <v>-0.12619893259739523</v>
      </c>
      <c r="J423" s="20">
        <f t="shared" si="34"/>
        <v>0.26868508991435969</v>
      </c>
    </row>
    <row r="424" spans="1:10" ht="15" customHeight="1">
      <c r="A424" s="18" t="str">
        <f>Analysis!A424</f>
        <v>5/1993</v>
      </c>
      <c r="B424" s="19">
        <f>Analysis!E424</f>
        <v>0.28000000000000114</v>
      </c>
      <c r="C424" s="20">
        <f>Analysis!F424</f>
        <v>0.36377182459446167</v>
      </c>
      <c r="D424" s="19">
        <f t="shared" si="35"/>
        <v>0.31</v>
      </c>
      <c r="E424" s="19">
        <f>Solar!D424</f>
        <v>1361.08</v>
      </c>
      <c r="F424" s="30">
        <v>0.76</v>
      </c>
      <c r="G424" s="20">
        <f t="shared" si="31"/>
        <v>-0.12783987040904066</v>
      </c>
      <c r="H424" s="20">
        <f t="shared" si="32"/>
        <v>0.43188710168469974</v>
      </c>
      <c r="I424" s="20">
        <f t="shared" si="33"/>
        <v>-0.1518871016846986</v>
      </c>
      <c r="J424" s="20">
        <f t="shared" si="34"/>
        <v>0.25301829133424075</v>
      </c>
    </row>
    <row r="425" spans="1:10" ht="15" customHeight="1">
      <c r="A425" s="18" t="str">
        <f>Analysis!A425</f>
        <v>6/1993</v>
      </c>
      <c r="B425" s="19">
        <f>Analysis!E425</f>
        <v>0.2300000000000022</v>
      </c>
      <c r="C425" s="20">
        <f>Analysis!F425</f>
        <v>0.36112666251503961</v>
      </c>
      <c r="D425" s="19">
        <f t="shared" si="35"/>
        <v>0.5</v>
      </c>
      <c r="E425" s="19">
        <f>Solar!D425</f>
        <v>1361.1</v>
      </c>
      <c r="F425" s="30">
        <v>0.56000000000000005</v>
      </c>
      <c r="G425" s="20">
        <f t="shared" si="31"/>
        <v>-0.17060913113576937</v>
      </c>
      <c r="H425" s="20">
        <f t="shared" si="32"/>
        <v>0.44115855696606354</v>
      </c>
      <c r="I425" s="20">
        <f t="shared" si="33"/>
        <v>-0.21115855696606134</v>
      </c>
      <c r="J425" s="20">
        <f t="shared" si="34"/>
        <v>0.18648111505522738</v>
      </c>
    </row>
    <row r="426" spans="1:10" ht="15" customHeight="1">
      <c r="A426" s="18" t="str">
        <f>Analysis!A426</f>
        <v>7/1993</v>
      </c>
      <c r="B426" s="19">
        <f>Analysis!E426</f>
        <v>0.25000000000000355</v>
      </c>
      <c r="C426" s="20">
        <f>Analysis!F426</f>
        <v>0.35231462507909828</v>
      </c>
      <c r="D426" s="19">
        <f t="shared" si="35"/>
        <v>0.73</v>
      </c>
      <c r="E426" s="19">
        <f>Solar!D426</f>
        <v>1361</v>
      </c>
      <c r="F426" s="30">
        <v>0.28000000000000003</v>
      </c>
      <c r="G426" s="20">
        <f t="shared" si="31"/>
        <v>-0.12652079807622651</v>
      </c>
      <c r="H426" s="20">
        <f t="shared" si="32"/>
        <v>0.43697237359869745</v>
      </c>
      <c r="I426" s="20">
        <f t="shared" si="33"/>
        <v>-0.1869723735986939</v>
      </c>
      <c r="J426" s="20">
        <f t="shared" si="34"/>
        <v>0.18646242798063231</v>
      </c>
    </row>
    <row r="427" spans="1:10" ht="15" customHeight="1">
      <c r="A427" s="18" t="str">
        <f>Analysis!A427</f>
        <v>8/1993</v>
      </c>
      <c r="B427" s="19">
        <f>Analysis!E427</f>
        <v>0.10999999999999766</v>
      </c>
      <c r="C427" s="20">
        <f>Analysis!F427</f>
        <v>0.34547748263181688</v>
      </c>
      <c r="D427" s="19">
        <f t="shared" si="35"/>
        <v>0.76</v>
      </c>
      <c r="E427" s="19">
        <f>Solar!D427</f>
        <v>1361</v>
      </c>
      <c r="F427" s="30">
        <v>0.22</v>
      </c>
      <c r="G427" s="20">
        <f t="shared" si="31"/>
        <v>-0.24783098137460258</v>
      </c>
      <c r="H427" s="20">
        <f t="shared" si="32"/>
        <v>0.42080327019131492</v>
      </c>
      <c r="I427" s="20">
        <f t="shared" si="33"/>
        <v>-0.31080327019131726</v>
      </c>
      <c r="J427" s="20">
        <f t="shared" si="34"/>
        <v>4.385129488393992E-2</v>
      </c>
    </row>
    <row r="428" spans="1:10" ht="15" customHeight="1">
      <c r="A428" s="18" t="str">
        <f>Analysis!A428</f>
        <v>9/1993</v>
      </c>
      <c r="B428" s="19">
        <f>Analysis!E428</f>
        <v>0.10999999999999766</v>
      </c>
      <c r="C428" s="20">
        <f>Analysis!F428</f>
        <v>0.33889297770649457</v>
      </c>
      <c r="D428" s="19">
        <f t="shared" si="35"/>
        <v>0.56000000000000005</v>
      </c>
      <c r="E428" s="19">
        <f>Solar!D428</f>
        <v>1360.84</v>
      </c>
      <c r="F428" s="30">
        <v>0.2</v>
      </c>
      <c r="G428" s="20">
        <f t="shared" si="31"/>
        <v>-0.22983176736463473</v>
      </c>
      <c r="H428" s="20">
        <f t="shared" si="32"/>
        <v>0.38530942348025743</v>
      </c>
      <c r="I428" s="20">
        <f t="shared" si="33"/>
        <v>-0.27530942348025977</v>
      </c>
      <c r="J428" s="20">
        <f t="shared" si="34"/>
        <v>6.1258848861849839E-2</v>
      </c>
    </row>
    <row r="429" spans="1:10" ht="15" customHeight="1">
      <c r="A429" s="18" t="str">
        <f>Analysis!A429</f>
        <v>10/1993</v>
      </c>
      <c r="B429" s="19">
        <f>Analysis!E429</f>
        <v>0.24000000000000199</v>
      </c>
      <c r="C429" s="20">
        <f>Analysis!F429</f>
        <v>0.33925957300098403</v>
      </c>
      <c r="D429" s="19">
        <f t="shared" si="35"/>
        <v>0.28000000000000003</v>
      </c>
      <c r="E429" s="19">
        <f>Solar!D429</f>
        <v>1360.6</v>
      </c>
      <c r="F429" s="30">
        <v>0.2</v>
      </c>
      <c r="G429" s="20">
        <f t="shared" si="31"/>
        <v>-0.10083388175825581</v>
      </c>
      <c r="H429" s="20">
        <f t="shared" si="32"/>
        <v>0.3619458104521685</v>
      </c>
      <c r="I429" s="20">
        <f t="shared" si="33"/>
        <v>-0.12194581045216651</v>
      </c>
      <c r="J429" s="20">
        <f t="shared" si="34"/>
        <v>0.21562942443092808</v>
      </c>
    </row>
    <row r="430" spans="1:10" ht="15" customHeight="1">
      <c r="A430" s="18" t="str">
        <f>Analysis!A430</f>
        <v>11/1993</v>
      </c>
      <c r="B430" s="19">
        <f>Analysis!E430</f>
        <v>3.9999999999999147E-2</v>
      </c>
      <c r="C430" s="20">
        <f>Analysis!F430</f>
        <v>0.34454447395471077</v>
      </c>
      <c r="D430" s="19">
        <f t="shared" si="35"/>
        <v>0.22</v>
      </c>
      <c r="E430" s="19">
        <f>Solar!D430</f>
        <v>1360.64</v>
      </c>
      <c r="F430" s="30">
        <v>0.2</v>
      </c>
      <c r="G430" s="20">
        <f t="shared" si="31"/>
        <v>-0.31528053558667146</v>
      </c>
      <c r="H430" s="20">
        <f t="shared" si="32"/>
        <v>0.37124008981519724</v>
      </c>
      <c r="I430" s="20">
        <f t="shared" si="33"/>
        <v>-0.33124008981519809</v>
      </c>
      <c r="J430" s="20">
        <f t="shared" si="34"/>
        <v>2.0851690624298223E-2</v>
      </c>
    </row>
    <row r="431" spans="1:10" ht="15" customHeight="1">
      <c r="A431" s="18" t="str">
        <f>Analysis!A431</f>
        <v>12/1993</v>
      </c>
      <c r="B431" s="19">
        <f>Analysis!E431</f>
        <v>0.17999999999999972</v>
      </c>
      <c r="C431" s="20">
        <f>Analysis!F431</f>
        <v>0.35061847686790176</v>
      </c>
      <c r="D431" s="19">
        <f t="shared" si="35"/>
        <v>0.2</v>
      </c>
      <c r="E431" s="19">
        <f>Solar!D431</f>
        <v>1360.8</v>
      </c>
      <c r="F431" s="30">
        <v>0.19</v>
      </c>
      <c r="G431" s="20">
        <f t="shared" si="31"/>
        <v>-0.19188425592276603</v>
      </c>
      <c r="H431" s="20">
        <f t="shared" si="32"/>
        <v>0.38618338219258297</v>
      </c>
      <c r="I431" s="20">
        <f t="shared" si="33"/>
        <v>-0.20618338219258325</v>
      </c>
      <c r="J431" s="20">
        <f t="shared" si="34"/>
        <v>0.16259244602208978</v>
      </c>
    </row>
    <row r="432" spans="1:10" ht="15" customHeight="1">
      <c r="A432" s="18" t="str">
        <f>Analysis!A432</f>
        <v>1/1994</v>
      </c>
      <c r="B432" s="19">
        <f>Analysis!E432</f>
        <v>0.25999999999999979</v>
      </c>
      <c r="C432" s="20">
        <f>Analysis!F432</f>
        <v>0.35598278616786283</v>
      </c>
      <c r="D432" s="19">
        <f t="shared" si="35"/>
        <v>0.2</v>
      </c>
      <c r="E432" s="19">
        <f>Solar!D432</f>
        <v>1360.55</v>
      </c>
      <c r="F432" s="30">
        <v>7.0000000000000007E-2</v>
      </c>
      <c r="G432" s="20">
        <f t="shared" si="31"/>
        <v>-0.12654797813130136</v>
      </c>
      <c r="H432" s="20">
        <f t="shared" si="32"/>
        <v>0.40091804628815164</v>
      </c>
      <c r="I432" s="20">
        <f t="shared" si="33"/>
        <v>-0.14091804628815185</v>
      </c>
      <c r="J432" s="20">
        <f t="shared" si="34"/>
        <v>0.24259244602208985</v>
      </c>
    </row>
    <row r="433" spans="1:10" ht="15" customHeight="1">
      <c r="A433" s="18" t="str">
        <f>Analysis!A433</f>
        <v>2/1994</v>
      </c>
      <c r="B433" s="19">
        <f>Analysis!E433</f>
        <v>2.0000000000003126E-2</v>
      </c>
      <c r="C433" s="20">
        <f>Analysis!F433</f>
        <v>0.35871775388910165</v>
      </c>
      <c r="D433" s="19">
        <f t="shared" si="35"/>
        <v>0.2</v>
      </c>
      <c r="E433" s="19">
        <f>Solar!D433</f>
        <v>1360.94</v>
      </c>
      <c r="F433" s="30">
        <v>0</v>
      </c>
      <c r="G433" s="20">
        <f t="shared" si="31"/>
        <v>-0.37402420753400012</v>
      </c>
      <c r="H433" s="20">
        <f t="shared" si="32"/>
        <v>0.40843044507637394</v>
      </c>
      <c r="I433" s="20">
        <f t="shared" si="33"/>
        <v>-0.38843044507637081</v>
      </c>
      <c r="J433" s="20">
        <f t="shared" si="34"/>
        <v>2.5924460220931936E-3</v>
      </c>
    </row>
    <row r="434" spans="1:10" ht="15" customHeight="1">
      <c r="A434" s="18" t="str">
        <f>Analysis!A434</f>
        <v>3/1994</v>
      </c>
      <c r="B434" s="19">
        <f>Analysis!E434</f>
        <v>0.28999999999999559</v>
      </c>
      <c r="C434" s="20">
        <f>Analysis!F434</f>
        <v>0.36301083553510793</v>
      </c>
      <c r="D434" s="19">
        <f t="shared" si="35"/>
        <v>0.19</v>
      </c>
      <c r="E434" s="19">
        <f>Solar!D434</f>
        <v>1360.99</v>
      </c>
      <c r="F434" s="30">
        <v>0.04</v>
      </c>
      <c r="G434" s="20">
        <f t="shared" si="31"/>
        <v>-0.11575965251963805</v>
      </c>
      <c r="H434" s="20">
        <f t="shared" si="32"/>
        <v>0.41935228748477393</v>
      </c>
      <c r="I434" s="20">
        <f t="shared" si="33"/>
        <v>-0.12935228748477834</v>
      </c>
      <c r="J434" s="20">
        <f t="shared" si="34"/>
        <v>0.27346282372098119</v>
      </c>
    </row>
    <row r="435" spans="1:10" ht="15" customHeight="1">
      <c r="A435" s="18" t="str">
        <f>Analysis!A435</f>
        <v>4/1994</v>
      </c>
      <c r="B435" s="19">
        <f>Analysis!E435</f>
        <v>0.41000000000000014</v>
      </c>
      <c r="C435" s="20">
        <f>Analysis!F435</f>
        <v>0.36800999171782506</v>
      </c>
      <c r="D435" s="19">
        <f t="shared" si="35"/>
        <v>7.0000000000000007E-2</v>
      </c>
      <c r="E435" s="19">
        <f>Solar!D435</f>
        <v>1360.82</v>
      </c>
      <c r="F435" s="30">
        <v>0.17</v>
      </c>
      <c r="G435" s="20">
        <f t="shared" si="31"/>
        <v>-9.4252026289417534E-3</v>
      </c>
      <c r="H435" s="20">
        <f t="shared" si="32"/>
        <v>0.42263941801950744</v>
      </c>
      <c r="I435" s="20">
        <f t="shared" si="33"/>
        <v>-1.2639418019507298E-2</v>
      </c>
      <c r="J435" s="20">
        <f t="shared" si="34"/>
        <v>0.40390735610773165</v>
      </c>
    </row>
    <row r="436" spans="1:10" ht="15" customHeight="1">
      <c r="A436" s="18" t="str">
        <f>Analysis!A436</f>
        <v>5/1994</v>
      </c>
      <c r="B436" s="19">
        <f>Analysis!E436</f>
        <v>0.28000000000000114</v>
      </c>
      <c r="C436" s="20">
        <f>Analysis!F436</f>
        <v>0.36968582761490204</v>
      </c>
      <c r="D436" s="19">
        <f t="shared" si="35"/>
        <v>0</v>
      </c>
      <c r="E436" s="19">
        <f>Solar!D436</f>
        <v>1360.74</v>
      </c>
      <c r="F436" s="30">
        <v>0.25</v>
      </c>
      <c r="G436" s="20">
        <f t="shared" si="31"/>
        <v>-0.14400621962249971</v>
      </c>
      <c r="H436" s="20">
        <f t="shared" si="32"/>
        <v>0.4211499537058111</v>
      </c>
      <c r="I436" s="20">
        <f t="shared" si="33"/>
        <v>-0.14114995370580996</v>
      </c>
      <c r="J436" s="20">
        <f t="shared" si="34"/>
        <v>0.28000000000000114</v>
      </c>
    </row>
    <row r="437" spans="1:10" ht="15" customHeight="1">
      <c r="A437" s="18" t="str">
        <f>Analysis!A437</f>
        <v>6/1994</v>
      </c>
      <c r="B437" s="19">
        <f>Analysis!E437</f>
        <v>0.42999999999999972</v>
      </c>
      <c r="C437" s="20">
        <f>Analysis!F437</f>
        <v>0.36633220690413326</v>
      </c>
      <c r="D437" s="19">
        <f t="shared" si="35"/>
        <v>0.04</v>
      </c>
      <c r="E437" s="19">
        <f>Solar!D437</f>
        <v>1360.75</v>
      </c>
      <c r="F437" s="30">
        <v>0.23</v>
      </c>
      <c r="G437" s="20">
        <f t="shared" si="31"/>
        <v>1.5161141867236494E-2</v>
      </c>
      <c r="H437" s="20">
        <f t="shared" si="32"/>
        <v>0.41541975206760795</v>
      </c>
      <c r="I437" s="20">
        <f t="shared" si="33"/>
        <v>1.4580247932391766E-2</v>
      </c>
      <c r="J437" s="20">
        <f t="shared" si="34"/>
        <v>0.42651848920441771</v>
      </c>
    </row>
    <row r="438" spans="1:10" ht="15" customHeight="1">
      <c r="A438" s="18" t="str">
        <f>Analysis!A438</f>
        <v>7/1994</v>
      </c>
      <c r="B438" s="19">
        <f>Analysis!E438</f>
        <v>0.30000000000000249</v>
      </c>
      <c r="C438" s="20">
        <f>Analysis!F438</f>
        <v>0.36060507353538723</v>
      </c>
      <c r="D438" s="19">
        <f t="shared" si="35"/>
        <v>0.17</v>
      </c>
      <c r="E438" s="19">
        <f>Solar!D438</f>
        <v>1360.7</v>
      </c>
      <c r="F438" s="30">
        <v>0.3</v>
      </c>
      <c r="G438" s="20">
        <f t="shared" si="31"/>
        <v>-9.918333044513572E-2</v>
      </c>
      <c r="H438" s="20">
        <f t="shared" si="32"/>
        <v>0.41100339430491561</v>
      </c>
      <c r="I438" s="20">
        <f t="shared" si="33"/>
        <v>-0.11100339430491313</v>
      </c>
      <c r="J438" s="20">
        <f t="shared" si="34"/>
        <v>0.28520357911877903</v>
      </c>
    </row>
    <row r="439" spans="1:10" ht="15" customHeight="1">
      <c r="A439" s="18" t="str">
        <f>Analysis!A439</f>
        <v>8/1994</v>
      </c>
      <c r="B439" s="19">
        <f>Analysis!E439</f>
        <v>0.22000000000000242</v>
      </c>
      <c r="C439" s="20">
        <f>Analysis!F439</f>
        <v>0.35287956496583295</v>
      </c>
      <c r="D439" s="19">
        <f t="shared" si="35"/>
        <v>0.25</v>
      </c>
      <c r="E439" s="19">
        <f>Solar!D439</f>
        <v>1360.71</v>
      </c>
      <c r="F439" s="30">
        <v>0.3</v>
      </c>
      <c r="G439" s="20">
        <f t="shared" si="31"/>
        <v>-0.15806510156440623</v>
      </c>
      <c r="H439" s="20">
        <f t="shared" si="32"/>
        <v>0.39674601875368404</v>
      </c>
      <c r="I439" s="20">
        <f t="shared" si="33"/>
        <v>-0.17674601875368162</v>
      </c>
      <c r="J439" s="20">
        <f t="shared" si="34"/>
        <v>0.19824055752761499</v>
      </c>
    </row>
    <row r="440" spans="1:10" ht="15" customHeight="1">
      <c r="A440" s="18" t="str">
        <f>Analysis!A440</f>
        <v>9/1994</v>
      </c>
      <c r="B440" s="19">
        <f>Analysis!E440</f>
        <v>0.31000000000000227</v>
      </c>
      <c r="C440" s="20">
        <f>Analysis!F440</f>
        <v>0.34588295045182915</v>
      </c>
      <c r="D440" s="19">
        <f t="shared" si="35"/>
        <v>0.23</v>
      </c>
      <c r="E440" s="19">
        <f>Solar!D440</f>
        <v>1360.57</v>
      </c>
      <c r="F440" s="30">
        <v>0.47</v>
      </c>
      <c r="G440" s="20">
        <f t="shared" si="31"/>
        <v>-4.8939356590248395E-2</v>
      </c>
      <c r="H440" s="20">
        <f t="shared" si="32"/>
        <v>0.37578698959401757</v>
      </c>
      <c r="I440" s="20">
        <f t="shared" si="33"/>
        <v>-6.5786989594015299E-2</v>
      </c>
      <c r="J440" s="20">
        <f t="shared" si="34"/>
        <v>0.28998131292540585</v>
      </c>
    </row>
    <row r="441" spans="1:10" ht="15" customHeight="1">
      <c r="A441" s="18" t="str">
        <f>Analysis!A441</f>
        <v>10/1994</v>
      </c>
      <c r="B441" s="19">
        <f>Analysis!E441</f>
        <v>0.42999999999999972</v>
      </c>
      <c r="C441" s="20">
        <f>Analysis!F441</f>
        <v>0.34730119108821406</v>
      </c>
      <c r="D441" s="19">
        <f t="shared" si="35"/>
        <v>0.3</v>
      </c>
      <c r="E441" s="19">
        <f>Solar!D441</f>
        <v>1360.66</v>
      </c>
      <c r="F441" s="30">
        <v>0.66</v>
      </c>
      <c r="G441" s="20">
        <f t="shared" si="31"/>
        <v>6.7183781440407375E-2</v>
      </c>
      <c r="H441" s="20">
        <f t="shared" si="32"/>
        <v>0.38577525139630642</v>
      </c>
      <c r="I441" s="20">
        <f t="shared" si="33"/>
        <v>4.4224748603693298E-2</v>
      </c>
      <c r="J441" s="20">
        <f t="shared" si="34"/>
        <v>0.40388866903313481</v>
      </c>
    </row>
    <row r="442" spans="1:10" ht="15" customHeight="1">
      <c r="A442" s="18" t="str">
        <f>Analysis!A442</f>
        <v>11/1994</v>
      </c>
      <c r="B442" s="19">
        <f>Analysis!E442</f>
        <v>0.44999999999999751</v>
      </c>
      <c r="C442" s="20">
        <f>Analysis!F442</f>
        <v>0.35312161435528655</v>
      </c>
      <c r="D442" s="19">
        <f t="shared" si="35"/>
        <v>0.3</v>
      </c>
      <c r="E442" s="19">
        <f>Solar!D442</f>
        <v>1360.79</v>
      </c>
      <c r="F442" s="30">
        <v>0.93</v>
      </c>
      <c r="G442" s="20">
        <f t="shared" si="31"/>
        <v>7.1273239159581281E-2</v>
      </c>
      <c r="H442" s="20">
        <f t="shared" si="32"/>
        <v>0.40176276757755425</v>
      </c>
      <c r="I442" s="20">
        <f t="shared" si="33"/>
        <v>4.8237232422443266E-2</v>
      </c>
      <c r="J442" s="20">
        <f t="shared" si="34"/>
        <v>0.4238886690331326</v>
      </c>
    </row>
    <row r="443" spans="1:10" ht="15" customHeight="1">
      <c r="A443" s="18" t="str">
        <f>Analysis!A443</f>
        <v>12/1994</v>
      </c>
      <c r="B443" s="19">
        <f>Analysis!E443</f>
        <v>0.38999999999999879</v>
      </c>
      <c r="C443" s="20">
        <f>Analysis!F443</f>
        <v>0.35895882583232935</v>
      </c>
      <c r="D443" s="19">
        <f t="shared" si="35"/>
        <v>0.47</v>
      </c>
      <c r="E443" s="19">
        <f>Solar!D443</f>
        <v>1360.71</v>
      </c>
      <c r="F443" s="30">
        <v>0.97</v>
      </c>
      <c r="G443" s="20">
        <f t="shared" si="31"/>
        <v>-4.6831948910139864E-3</v>
      </c>
      <c r="H443" s="20">
        <f t="shared" si="32"/>
        <v>0.43259281843042158</v>
      </c>
      <c r="I443" s="20">
        <f t="shared" si="33"/>
        <v>-4.2592818430422785E-2</v>
      </c>
      <c r="J443" s="20">
        <f t="shared" si="34"/>
        <v>0.34909224815191048</v>
      </c>
    </row>
    <row r="444" spans="1:10" ht="15" customHeight="1">
      <c r="A444" s="18" t="str">
        <f>Analysis!A444</f>
        <v>1/1995</v>
      </c>
      <c r="B444" s="19">
        <f>Analysis!E444</f>
        <v>0.52999999999999758</v>
      </c>
      <c r="C444" s="20">
        <f>Analysis!F444</f>
        <v>0.36273036992883079</v>
      </c>
      <c r="D444" s="19">
        <f t="shared" si="35"/>
        <v>0.66</v>
      </c>
      <c r="E444" s="19">
        <f>Solar!D444</f>
        <v>1360.77</v>
      </c>
      <c r="F444" s="30">
        <v>0.88</v>
      </c>
      <c r="G444" s="20">
        <f t="shared" si="31"/>
        <v>0.12500702022601018</v>
      </c>
      <c r="H444" s="20">
        <f t="shared" si="32"/>
        <v>0.459489657487266</v>
      </c>
      <c r="I444" s="20">
        <f t="shared" si="33"/>
        <v>7.0510342512731583E-2</v>
      </c>
      <c r="J444" s="20">
        <f t="shared" si="34"/>
        <v>0.47255507187289481</v>
      </c>
    </row>
    <row r="445" spans="1:10" ht="15" customHeight="1">
      <c r="A445" s="18" t="str">
        <f>Analysis!A445</f>
        <v>2/1995</v>
      </c>
      <c r="B445" s="19">
        <f>Analysis!E445</f>
        <v>0.79000000000000092</v>
      </c>
      <c r="C445" s="20">
        <f>Analysis!F445</f>
        <v>0.36657200994220462</v>
      </c>
      <c r="D445" s="19">
        <f t="shared" si="35"/>
        <v>0.93</v>
      </c>
      <c r="E445" s="19">
        <f>Solar!D445</f>
        <v>1360.86</v>
      </c>
      <c r="F445" s="30">
        <v>0.65</v>
      </c>
      <c r="G445" s="20">
        <f t="shared" si="31"/>
        <v>0.37450562315300784</v>
      </c>
      <c r="H445" s="20">
        <f t="shared" si="32"/>
        <v>0.49354205732938694</v>
      </c>
      <c r="I445" s="20">
        <f t="shared" si="33"/>
        <v>0.29645794267061398</v>
      </c>
      <c r="J445" s="20">
        <f t="shared" si="34"/>
        <v>0.70905487400271971</v>
      </c>
    </row>
    <row r="446" spans="1:10" ht="15" customHeight="1">
      <c r="A446" s="18" t="str">
        <f>Analysis!A446</f>
        <v>3/1995</v>
      </c>
      <c r="B446" s="19">
        <f>Analysis!E446</f>
        <v>0.47000000000000242</v>
      </c>
      <c r="C446" s="20">
        <f>Analysis!F446</f>
        <v>0.3704831610279733</v>
      </c>
      <c r="D446" s="19">
        <f t="shared" si="35"/>
        <v>0.97</v>
      </c>
      <c r="E446" s="19">
        <f>Solar!D446</f>
        <v>1360.71</v>
      </c>
      <c r="F446" s="30">
        <v>0.46</v>
      </c>
      <c r="G446" s="20">
        <f t="shared" si="31"/>
        <v>4.3814212604080027E-2</v>
      </c>
      <c r="H446" s="20">
        <f t="shared" si="32"/>
        <v>0.50776670284246905</v>
      </c>
      <c r="I446" s="20">
        <f t="shared" si="33"/>
        <v>-3.7766702842466637E-2</v>
      </c>
      <c r="J446" s="20">
        <f t="shared" si="34"/>
        <v>0.38557336320713925</v>
      </c>
    </row>
    <row r="447" spans="1:10" ht="15" customHeight="1">
      <c r="A447" s="18" t="str">
        <f>Analysis!A447</f>
        <v>4/1995</v>
      </c>
      <c r="B447" s="19">
        <f>Analysis!E447</f>
        <v>0.47000000000000242</v>
      </c>
      <c r="C447" s="20">
        <f>Analysis!F447</f>
        <v>0.37629038333705156</v>
      </c>
      <c r="D447" s="19">
        <f t="shared" si="35"/>
        <v>0.88</v>
      </c>
      <c r="E447" s="19">
        <f>Solar!D447</f>
        <v>1360.68</v>
      </c>
      <c r="F447" s="30">
        <v>0.19</v>
      </c>
      <c r="G447" s="20">
        <f t="shared" si="31"/>
        <v>2.7939756083806055E-2</v>
      </c>
      <c r="H447" s="20">
        <f t="shared" si="32"/>
        <v>0.51588455939315359</v>
      </c>
      <c r="I447" s="20">
        <f t="shared" si="33"/>
        <v>-4.588455939315117E-2</v>
      </c>
      <c r="J447" s="20">
        <f t="shared" si="34"/>
        <v>0.39340676249719875</v>
      </c>
    </row>
    <row r="448" spans="1:10" ht="15" customHeight="1">
      <c r="A448" s="18" t="str">
        <f>Analysis!A448</f>
        <v>5/1995</v>
      </c>
      <c r="B448" s="19">
        <f>Analysis!E448</f>
        <v>0.27000000000000135</v>
      </c>
      <c r="C448" s="20">
        <f>Analysis!F448</f>
        <v>0.37783767971908239</v>
      </c>
      <c r="D448" s="19">
        <f t="shared" si="35"/>
        <v>0.65</v>
      </c>
      <c r="E448" s="19">
        <f>Solar!D448</f>
        <v>1360.68</v>
      </c>
      <c r="F448" s="30">
        <v>0.03</v>
      </c>
      <c r="G448" s="20">
        <f t="shared" si="31"/>
        <v>-0.17628988897423381</v>
      </c>
      <c r="H448" s="20">
        <f t="shared" si="32"/>
        <v>0.50011598005296354</v>
      </c>
      <c r="I448" s="20">
        <f t="shared" si="33"/>
        <v>-0.23011598005296219</v>
      </c>
      <c r="J448" s="20">
        <f t="shared" si="34"/>
        <v>0.21342544957179407</v>
      </c>
    </row>
    <row r="449" spans="1:10" ht="15" customHeight="1">
      <c r="A449" s="18" t="str">
        <f>Analysis!A449</f>
        <v>6/1995</v>
      </c>
      <c r="B449" s="19">
        <f>Analysis!E449</f>
        <v>0.42999999999999972</v>
      </c>
      <c r="C449" s="20">
        <f>Analysis!F449</f>
        <v>0.37585366620313115</v>
      </c>
      <c r="D449" s="19">
        <f t="shared" si="35"/>
        <v>0.46</v>
      </c>
      <c r="E449" s="19">
        <f>Solar!D449</f>
        <v>1360.73</v>
      </c>
      <c r="F449" s="30">
        <v>-0.11</v>
      </c>
      <c r="G449" s="20">
        <f t="shared" si="31"/>
        <v>-1.0866446471376912E-2</v>
      </c>
      <c r="H449" s="20">
        <f t="shared" si="32"/>
        <v>0.47812912310046107</v>
      </c>
      <c r="I449" s="20">
        <f t="shared" si="33"/>
        <v>-4.8129123100461357E-2</v>
      </c>
      <c r="J449" s="20">
        <f t="shared" si="34"/>
        <v>0.38996262585080688</v>
      </c>
    </row>
    <row r="450" spans="1:10" ht="15" customHeight="1">
      <c r="A450" s="18" t="str">
        <f>Analysis!A450</f>
        <v>7/1995</v>
      </c>
      <c r="B450" s="19">
        <f>Analysis!E450</f>
        <v>0.46000000000000441</v>
      </c>
      <c r="C450" s="20">
        <f>Analysis!F450</f>
        <v>0.36968582761490204</v>
      </c>
      <c r="D450" s="19">
        <f t="shared" si="35"/>
        <v>0.19</v>
      </c>
      <c r="E450" s="19">
        <f>Solar!D450</f>
        <v>1360.73</v>
      </c>
      <c r="F450" s="30">
        <v>-0.3</v>
      </c>
      <c r="G450" s="20">
        <f t="shared" ref="G450:G513" si="36">B450-($N$4+$N$5*C450)</f>
        <v>3.5993780377503559E-2</v>
      </c>
      <c r="H450" s="20">
        <f t="shared" ref="H450:H513" si="37">IF(D450="","",$N$14+$N$15*C450+$N$16*D450)</f>
        <v>0.43768712998482551</v>
      </c>
      <c r="I450" s="20">
        <f t="shared" ref="I450:I513" si="38">IF(D450="","",B450-H450)</f>
        <v>2.2312870015178898E-2</v>
      </c>
      <c r="J450" s="20">
        <f t="shared" ref="J450:J513" si="39">IF(D450="","",B450-$N$16*D450)</f>
        <v>0.44346282372099</v>
      </c>
    </row>
    <row r="451" spans="1:10" ht="15" customHeight="1">
      <c r="A451" s="18" t="str">
        <f>Analysis!A451</f>
        <v>8/1995</v>
      </c>
      <c r="B451" s="19">
        <f>Analysis!E451</f>
        <v>0.44999999999999751</v>
      </c>
      <c r="C451" s="20">
        <f>Analysis!F451</f>
        <v>0.35988256195342855</v>
      </c>
      <c r="D451" s="19">
        <f t="shared" si="35"/>
        <v>0.03</v>
      </c>
      <c r="E451" s="19">
        <f>Solar!D451</f>
        <v>1360.77</v>
      </c>
      <c r="F451" s="30">
        <v>-0.55000000000000004</v>
      </c>
      <c r="G451" s="20">
        <f t="shared" si="36"/>
        <v>5.2791706514485948E-2</v>
      </c>
      <c r="H451" s="20">
        <f t="shared" si="37"/>
        <v>0.39683351449370408</v>
      </c>
      <c r="I451" s="20">
        <f t="shared" si="38"/>
        <v>5.3166485506293437E-2</v>
      </c>
      <c r="J451" s="20">
        <f t="shared" si="39"/>
        <v>0.44738886690331103</v>
      </c>
    </row>
    <row r="452" spans="1:10" ht="15" customHeight="1">
      <c r="A452" s="18" t="str">
        <f>Analysis!A452</f>
        <v>9/1995</v>
      </c>
      <c r="B452" s="19">
        <f>Analysis!E452</f>
        <v>0.32999999999999652</v>
      </c>
      <c r="C452" s="20">
        <f>Analysis!F452</f>
        <v>0.35582174413600615</v>
      </c>
      <c r="D452" s="19">
        <f t="shared" si="35"/>
        <v>-0.11</v>
      </c>
      <c r="E452" s="19">
        <f>Solar!D452</f>
        <v>1360.75</v>
      </c>
      <c r="F452" s="30">
        <v>-0.81</v>
      </c>
      <c r="G452" s="20">
        <f t="shared" si="36"/>
        <v>-5.6107758247066819E-2</v>
      </c>
      <c r="H452" s="20">
        <f t="shared" si="37"/>
        <v>0.37349398799040906</v>
      </c>
      <c r="I452" s="20">
        <f t="shared" si="38"/>
        <v>-4.3493987990412541E-2</v>
      </c>
      <c r="J452" s="20">
        <f t="shared" si="39"/>
        <v>0.33957415468784696</v>
      </c>
    </row>
    <row r="453" spans="1:10" ht="15" customHeight="1">
      <c r="A453" s="18" t="str">
        <f>Analysis!A453</f>
        <v>10/1995</v>
      </c>
      <c r="B453" s="19">
        <f>Analysis!E453</f>
        <v>0.46000000000000441</v>
      </c>
      <c r="C453" s="20">
        <f>Analysis!F453</f>
        <v>0.35509683245126811</v>
      </c>
      <c r="D453" s="19">
        <f t="shared" ref="D453:D516" si="40">IF(F450="","",F450)</f>
        <v>-0.3</v>
      </c>
      <c r="E453" s="19">
        <f>Solar!D453</f>
        <v>1360.68</v>
      </c>
      <c r="F453" s="30">
        <v>-0.97</v>
      </c>
      <c r="G453" s="20">
        <f t="shared" si="36"/>
        <v>7.587383956475946E-2</v>
      </c>
      <c r="H453" s="20">
        <f t="shared" si="37"/>
        <v>0.35496562709166268</v>
      </c>
      <c r="I453" s="20">
        <f t="shared" si="38"/>
        <v>0.10503437290834172</v>
      </c>
      <c r="J453" s="20">
        <f t="shared" si="39"/>
        <v>0.48611133096686931</v>
      </c>
    </row>
    <row r="454" spans="1:10" ht="15" customHeight="1">
      <c r="A454" s="18" t="str">
        <f>Analysis!A454</f>
        <v>11/1995</v>
      </c>
      <c r="B454" s="19">
        <f>Analysis!E454</f>
        <v>0.44999999999999751</v>
      </c>
      <c r="C454" s="20">
        <f>Analysis!F454</f>
        <v>0.36100631256369653</v>
      </c>
      <c r="D454" s="19">
        <f t="shared" si="40"/>
        <v>-0.55000000000000004</v>
      </c>
      <c r="E454" s="19">
        <f>Solar!D454</f>
        <v>1360.73</v>
      </c>
      <c r="F454" s="30">
        <v>-1.05</v>
      </c>
      <c r="G454" s="20">
        <f t="shared" si="36"/>
        <v>4.9719854043048128E-2</v>
      </c>
      <c r="H454" s="20">
        <f t="shared" si="37"/>
        <v>0.34943832179986406</v>
      </c>
      <c r="I454" s="20">
        <f t="shared" si="38"/>
        <v>0.10056167820013345</v>
      </c>
      <c r="J454" s="20">
        <f t="shared" si="39"/>
        <v>0.49787077343924985</v>
      </c>
    </row>
    <row r="455" spans="1:10" ht="15" customHeight="1">
      <c r="A455" s="18" t="str">
        <f>Analysis!A455</f>
        <v>12/1995</v>
      </c>
      <c r="B455" s="19">
        <f>Analysis!E455</f>
        <v>0.25999999999999979</v>
      </c>
      <c r="C455" s="20">
        <f>Analysis!F455</f>
        <v>0.36585248121553354</v>
      </c>
      <c r="D455" s="19">
        <f t="shared" si="40"/>
        <v>-0.81</v>
      </c>
      <c r="E455" s="19">
        <f>Solar!D455</f>
        <v>1360.7</v>
      </c>
      <c r="F455" s="30">
        <v>-1.01</v>
      </c>
      <c r="G455" s="20">
        <f t="shared" si="36"/>
        <v>-0.15352749373511865</v>
      </c>
      <c r="H455" s="20">
        <f t="shared" si="37"/>
        <v>0.34011993899029541</v>
      </c>
      <c r="I455" s="20">
        <f t="shared" si="38"/>
        <v>-8.0119938990295625E-2</v>
      </c>
      <c r="J455" s="20">
        <f t="shared" si="39"/>
        <v>0.33050059361053502</v>
      </c>
    </row>
    <row r="456" spans="1:10" ht="15" customHeight="1">
      <c r="A456" s="18" t="str">
        <f>Analysis!A456</f>
        <v>1/1996</v>
      </c>
      <c r="B456" s="19">
        <f>Analysis!E456</f>
        <v>0.24000000000000199</v>
      </c>
      <c r="C456" s="20">
        <f>Analysis!F456</f>
        <v>0.37135971911783916</v>
      </c>
      <c r="D456" s="19">
        <f t="shared" si="40"/>
        <v>-0.97</v>
      </c>
      <c r="E456" s="19">
        <f>Solar!D456</f>
        <v>1360.7</v>
      </c>
      <c r="F456" s="30">
        <v>-0.88</v>
      </c>
      <c r="G456" s="20">
        <f t="shared" si="36"/>
        <v>-0.18858192147594643</v>
      </c>
      <c r="H456" s="20">
        <f t="shared" si="37"/>
        <v>0.34132115563719595</v>
      </c>
      <c r="I456" s="20">
        <f t="shared" si="38"/>
        <v>-0.10132115563719396</v>
      </c>
      <c r="J456" s="20">
        <f t="shared" si="39"/>
        <v>0.32442663679286515</v>
      </c>
    </row>
    <row r="457" spans="1:10" ht="15" customHeight="1">
      <c r="A457" s="18" t="str">
        <f>Analysis!A457</f>
        <v>2/1996</v>
      </c>
      <c r="B457" s="19">
        <f>Analysis!E457</f>
        <v>0.46000000000000441</v>
      </c>
      <c r="C457" s="20">
        <f>Analysis!F457</f>
        <v>0.37597278398719675</v>
      </c>
      <c r="D457" s="19">
        <f t="shared" si="40"/>
        <v>-1.05</v>
      </c>
      <c r="E457" s="19">
        <f>Solar!D457</f>
        <v>1360.68</v>
      </c>
      <c r="F457" s="30">
        <v>-0.7</v>
      </c>
      <c r="G457" s="20">
        <f t="shared" si="36"/>
        <v>1.8807936566972105E-2</v>
      </c>
      <c r="H457" s="20">
        <f t="shared" si="37"/>
        <v>0.347029282837088</v>
      </c>
      <c r="I457" s="20">
        <f t="shared" si="38"/>
        <v>0.1129707171629164</v>
      </c>
      <c r="J457" s="20">
        <f t="shared" si="39"/>
        <v>0.55138965838403153</v>
      </c>
    </row>
    <row r="458" spans="1:10" ht="15" customHeight="1">
      <c r="A458" s="18" t="str">
        <f>Analysis!A458</f>
        <v>3/1996</v>
      </c>
      <c r="B458" s="19">
        <f>Analysis!E458</f>
        <v>0.32999999999999652</v>
      </c>
      <c r="C458" s="20">
        <f>Analysis!F458</f>
        <v>0.37962096205570828</v>
      </c>
      <c r="D458" s="19">
        <f t="shared" si="40"/>
        <v>-1.01</v>
      </c>
      <c r="E458" s="19">
        <f>Solar!D458</f>
        <v>1360.62</v>
      </c>
      <c r="F458" s="30">
        <v>-0.52</v>
      </c>
      <c r="G458" s="20">
        <f t="shared" si="36"/>
        <v>-0.12116461847648041</v>
      </c>
      <c r="H458" s="20">
        <f t="shared" si="37"/>
        <v>0.36053159508062677</v>
      </c>
      <c r="I458" s="20">
        <f t="shared" si="38"/>
        <v>-3.0531595080630247E-2</v>
      </c>
      <c r="J458" s="20">
        <f t="shared" si="39"/>
        <v>0.41790814758844169</v>
      </c>
    </row>
    <row r="459" spans="1:10" ht="15" customHeight="1">
      <c r="A459" s="18" t="str">
        <f>Analysis!A459</f>
        <v>4/1996</v>
      </c>
      <c r="B459" s="19">
        <f>Analysis!E459</f>
        <v>0.32999999999999652</v>
      </c>
      <c r="C459" s="20">
        <f>Analysis!F459</f>
        <v>0.3812438135561429</v>
      </c>
      <c r="D459" s="19">
        <f t="shared" si="40"/>
        <v>-0.88</v>
      </c>
      <c r="E459" s="19">
        <f>Solar!D459</f>
        <v>1360.65</v>
      </c>
      <c r="F459" s="30">
        <v>-0.36</v>
      </c>
      <c r="G459" s="20">
        <f t="shared" si="36"/>
        <v>-0.12560079884144393</v>
      </c>
      <c r="H459" s="20">
        <f t="shared" si="37"/>
        <v>0.37630414740849827</v>
      </c>
      <c r="I459" s="20">
        <f t="shared" si="38"/>
        <v>-4.630414740850175E-2</v>
      </c>
      <c r="J459" s="20">
        <f t="shared" si="39"/>
        <v>0.40659323750280019</v>
      </c>
    </row>
    <row r="460" spans="1:10" ht="15" customHeight="1">
      <c r="A460" s="18" t="str">
        <f>Analysis!A460</f>
        <v>5/1996</v>
      </c>
      <c r="B460" s="19">
        <f>Analysis!E460</f>
        <v>0.27000000000000135</v>
      </c>
      <c r="C460" s="20">
        <f>Analysis!F460</f>
        <v>0.38345744585853175</v>
      </c>
      <c r="D460" s="19">
        <f t="shared" si="40"/>
        <v>-0.7</v>
      </c>
      <c r="E460" s="19">
        <f>Solar!D460</f>
        <v>1360.67</v>
      </c>
      <c r="F460" s="30">
        <v>-0.25</v>
      </c>
      <c r="G460" s="20">
        <f t="shared" si="36"/>
        <v>-0.19165192068005232</v>
      </c>
      <c r="H460" s="20">
        <f t="shared" si="37"/>
        <v>0.3980513426590771</v>
      </c>
      <c r="I460" s="20">
        <f t="shared" si="38"/>
        <v>-0.12805134265907575</v>
      </c>
      <c r="J460" s="20">
        <f t="shared" si="39"/>
        <v>0.33092643892268608</v>
      </c>
    </row>
    <row r="461" spans="1:10" ht="15" customHeight="1">
      <c r="A461" s="18" t="str">
        <f>Analysis!A461</f>
        <v>6/1996</v>
      </c>
      <c r="B461" s="19">
        <f>Analysis!E461</f>
        <v>0.25999999999999979</v>
      </c>
      <c r="C461" s="20">
        <f>Analysis!F461</f>
        <v>0.38270677268151582</v>
      </c>
      <c r="D461" s="19">
        <f t="shared" si="40"/>
        <v>-0.52</v>
      </c>
      <c r="E461" s="19">
        <f>Solar!D461</f>
        <v>1360.67</v>
      </c>
      <c r="F461" s="30">
        <v>-0.24</v>
      </c>
      <c r="G461" s="20">
        <f t="shared" si="36"/>
        <v>-0.19959990199104205</v>
      </c>
      <c r="H461" s="20">
        <f t="shared" si="37"/>
        <v>0.41165619505183437</v>
      </c>
      <c r="I461" s="20">
        <f t="shared" si="38"/>
        <v>-0.15165619505183459</v>
      </c>
      <c r="J461" s="20">
        <f t="shared" si="39"/>
        <v>0.30525964034256559</v>
      </c>
    </row>
    <row r="462" spans="1:10" ht="15" customHeight="1">
      <c r="A462" s="18" t="str">
        <f>Analysis!A462</f>
        <v>7/1996</v>
      </c>
      <c r="B462" s="19">
        <f>Analysis!E462</f>
        <v>0.36999999999999744</v>
      </c>
      <c r="C462" s="20">
        <f>Analysis!F462</f>
        <v>0.37728243090608043</v>
      </c>
      <c r="D462" s="19">
        <f t="shared" si="40"/>
        <v>-0.36</v>
      </c>
      <c r="E462" s="19">
        <f>Solar!D462</f>
        <v>1360.66</v>
      </c>
      <c r="F462" s="30">
        <v>-0.22</v>
      </c>
      <c r="G462" s="20">
        <f t="shared" si="36"/>
        <v>-7.477207672755426E-2</v>
      </c>
      <c r="H462" s="20">
        <f t="shared" si="37"/>
        <v>0.41068267716649953</v>
      </c>
      <c r="I462" s="20">
        <f t="shared" si="38"/>
        <v>-4.068267716650209E-2</v>
      </c>
      <c r="J462" s="20">
        <f t="shared" si="39"/>
        <v>0.40133359716023531</v>
      </c>
    </row>
    <row r="463" spans="1:10" ht="15" customHeight="1">
      <c r="A463" s="18" t="str">
        <f>Analysis!A463</f>
        <v>8/1996</v>
      </c>
      <c r="B463" s="19">
        <f>Analysis!E463</f>
        <v>0.47999999999999865</v>
      </c>
      <c r="C463" s="20">
        <f>Analysis!F463</f>
        <v>0.36876834909033485</v>
      </c>
      <c r="D463" s="19">
        <f t="shared" si="40"/>
        <v>-0.25</v>
      </c>
      <c r="E463" s="19">
        <f>Solar!D463</f>
        <v>1360.68</v>
      </c>
      <c r="F463" s="30">
        <v>-0.27</v>
      </c>
      <c r="G463" s="20">
        <f t="shared" si="36"/>
        <v>5.8501773385404188E-2</v>
      </c>
      <c r="H463" s="20">
        <f t="shared" si="37"/>
        <v>0.39687038476075859</v>
      </c>
      <c r="I463" s="20">
        <f t="shared" si="38"/>
        <v>8.3129615239240062E-2</v>
      </c>
      <c r="J463" s="20">
        <f t="shared" si="39"/>
        <v>0.50175944247238602</v>
      </c>
    </row>
    <row r="464" spans="1:10" ht="15" customHeight="1">
      <c r="A464" s="18" t="str">
        <f>Analysis!A464</f>
        <v>9/1996</v>
      </c>
      <c r="B464" s="19">
        <f>Analysis!E464</f>
        <v>0.25999999999999979</v>
      </c>
      <c r="C464" s="20">
        <f>Analysis!F464</f>
        <v>0.36132722345969809</v>
      </c>
      <c r="D464" s="19">
        <f t="shared" si="40"/>
        <v>-0.24</v>
      </c>
      <c r="E464" s="19">
        <f>Solar!D464</f>
        <v>1360.74</v>
      </c>
      <c r="F464" s="30">
        <v>-0.3</v>
      </c>
      <c r="G464" s="20">
        <f t="shared" si="36"/>
        <v>-0.14115737878778079</v>
      </c>
      <c r="H464" s="20">
        <f t="shared" si="37"/>
        <v>0.37730150727704265</v>
      </c>
      <c r="I464" s="20">
        <f t="shared" si="38"/>
        <v>-0.11730150727704286</v>
      </c>
      <c r="J464" s="20">
        <f t="shared" si="39"/>
        <v>0.28088906477349168</v>
      </c>
    </row>
    <row r="465" spans="1:10" ht="15" customHeight="1">
      <c r="A465" s="18" t="str">
        <f>Analysis!A465</f>
        <v>10/1996</v>
      </c>
      <c r="B465" s="19">
        <f>Analysis!E465</f>
        <v>0.22000000000000242</v>
      </c>
      <c r="C465" s="20">
        <f>Analysis!F465</f>
        <v>0.36144754664467421</v>
      </c>
      <c r="D465" s="19">
        <f t="shared" si="40"/>
        <v>-0.22</v>
      </c>
      <c r="E465" s="19">
        <f>Solar!D465</f>
        <v>1360.69</v>
      </c>
      <c r="F465" s="30">
        <v>-0.33</v>
      </c>
      <c r="G465" s="20">
        <f t="shared" si="36"/>
        <v>-0.18148629079882661</v>
      </c>
      <c r="H465" s="20">
        <f t="shared" si="37"/>
        <v>0.37937276593525243</v>
      </c>
      <c r="I465" s="20">
        <f t="shared" si="38"/>
        <v>-0.15937276593525002</v>
      </c>
      <c r="J465" s="20">
        <f t="shared" si="39"/>
        <v>0.23914830937570333</v>
      </c>
    </row>
    <row r="466" spans="1:10" ht="15" customHeight="1">
      <c r="A466" s="18" t="str">
        <f>Analysis!A466</f>
        <v>11/1996</v>
      </c>
      <c r="B466" s="19">
        <f>Analysis!E466</f>
        <v>0.42000000000000348</v>
      </c>
      <c r="C466" s="20">
        <f>Analysis!F466</f>
        <v>0.36673185649279633</v>
      </c>
      <c r="D466" s="19">
        <f t="shared" si="40"/>
        <v>-0.27</v>
      </c>
      <c r="E466" s="19">
        <f>Solar!D466</f>
        <v>1360.56</v>
      </c>
      <c r="F466" s="30">
        <v>-0.39</v>
      </c>
      <c r="G466" s="20">
        <f t="shared" si="36"/>
        <v>4.0686712021066329E-3</v>
      </c>
      <c r="H466" s="20">
        <f t="shared" si="37"/>
        <v>0.38953579935058169</v>
      </c>
      <c r="I466" s="20">
        <f t="shared" si="38"/>
        <v>3.0464200649421791E-2</v>
      </c>
      <c r="J466" s="20">
        <f t="shared" si="39"/>
        <v>0.44350019787018191</v>
      </c>
    </row>
    <row r="467" spans="1:10" ht="15" customHeight="1">
      <c r="A467" s="18" t="str">
        <f>Analysis!A467</f>
        <v>12/1996</v>
      </c>
      <c r="B467" s="19">
        <f>Analysis!E467</f>
        <v>0.36999999999999744</v>
      </c>
      <c r="C467" s="20">
        <f>Analysis!F467</f>
        <v>0.37211631819884028</v>
      </c>
      <c r="D467" s="19">
        <f t="shared" si="40"/>
        <v>-0.3</v>
      </c>
      <c r="E467" s="19">
        <f>Solar!D467</f>
        <v>1360.79</v>
      </c>
      <c r="F467" s="30">
        <v>-0.41</v>
      </c>
      <c r="G467" s="20">
        <f t="shared" si="36"/>
        <v>-6.0650139046312668E-2</v>
      </c>
      <c r="H467" s="20">
        <f t="shared" si="37"/>
        <v>0.40171468490076667</v>
      </c>
      <c r="I467" s="20">
        <f t="shared" si="38"/>
        <v>-3.171468490076923E-2</v>
      </c>
      <c r="J467" s="20">
        <f t="shared" si="39"/>
        <v>0.39611133096686235</v>
      </c>
    </row>
    <row r="468" spans="1:10" ht="15" customHeight="1">
      <c r="A468" s="18" t="str">
        <f>Analysis!A468</f>
        <v>1/1997</v>
      </c>
      <c r="B468" s="19">
        <f>Analysis!E468</f>
        <v>0.32000000000000028</v>
      </c>
      <c r="C468" s="20">
        <f>Analysis!F468</f>
        <v>0.37549625382897855</v>
      </c>
      <c r="D468" s="19">
        <f t="shared" si="40"/>
        <v>-0.33</v>
      </c>
      <c r="E468" s="19">
        <f>Solar!D468</f>
        <v>1360.75</v>
      </c>
      <c r="F468" s="30">
        <v>-0.41</v>
      </c>
      <c r="G468" s="20">
        <f t="shared" si="36"/>
        <v>-0.1198894342456821</v>
      </c>
      <c r="H468" s="20">
        <f t="shared" si="37"/>
        <v>0.40838754595689575</v>
      </c>
      <c r="I468" s="20">
        <f t="shared" si="38"/>
        <v>-8.8387545956895464E-2</v>
      </c>
      <c r="J468" s="20">
        <f t="shared" si="39"/>
        <v>0.34872246406355167</v>
      </c>
    </row>
    <row r="469" spans="1:10" ht="15" customHeight="1">
      <c r="A469" s="18" t="str">
        <f>Analysis!A469</f>
        <v>2/1997</v>
      </c>
      <c r="B469" s="19">
        <f>Analysis!E469</f>
        <v>0.41000000000000014</v>
      </c>
      <c r="C469" s="20">
        <f>Analysis!F469</f>
        <v>0.37934370731460526</v>
      </c>
      <c r="D469" s="19">
        <f t="shared" si="40"/>
        <v>-0.39</v>
      </c>
      <c r="E469" s="19">
        <f>Solar!D469</f>
        <v>1360.76</v>
      </c>
      <c r="F469" s="30">
        <v>-0.26</v>
      </c>
      <c r="G469" s="20">
        <f t="shared" si="36"/>
        <v>-4.0406722859875566E-2</v>
      </c>
      <c r="H469" s="20">
        <f t="shared" si="37"/>
        <v>0.41373345015862761</v>
      </c>
      <c r="I469" s="20">
        <f t="shared" si="38"/>
        <v>-3.7334501586274715E-3</v>
      </c>
      <c r="J469" s="20">
        <f t="shared" si="39"/>
        <v>0.44394473025692449</v>
      </c>
    </row>
    <row r="470" spans="1:10" ht="15" customHeight="1">
      <c r="A470" s="18" t="str">
        <f>Analysis!A470</f>
        <v>3/1997</v>
      </c>
      <c r="B470" s="19">
        <f>Analysis!E470</f>
        <v>0.5199999999999978</v>
      </c>
      <c r="C470" s="20">
        <f>Analysis!F470</f>
        <v>0.38108556691755607</v>
      </c>
      <c r="D470" s="19">
        <f t="shared" si="40"/>
        <v>-0.41</v>
      </c>
      <c r="E470" s="19">
        <f>Solar!D470</f>
        <v>1360.76</v>
      </c>
      <c r="F470" s="30">
        <v>-0.03</v>
      </c>
      <c r="G470" s="20">
        <f t="shared" si="36"/>
        <v>6.4831779635844078E-2</v>
      </c>
      <c r="H470" s="20">
        <f t="shared" si="37"/>
        <v>0.41677722800005662</v>
      </c>
      <c r="I470" s="20">
        <f t="shared" si="38"/>
        <v>0.10322277199994118</v>
      </c>
      <c r="J470" s="20">
        <f t="shared" si="39"/>
        <v>0.5556854856547131</v>
      </c>
    </row>
    <row r="471" spans="1:10" ht="15" customHeight="1">
      <c r="A471" s="18" t="str">
        <f>Analysis!A471</f>
        <v>4/1997</v>
      </c>
      <c r="B471" s="19">
        <f>Analysis!E471</f>
        <v>0.33999999999999986</v>
      </c>
      <c r="C471" s="20">
        <f>Analysis!F471</f>
        <v>0.38834700653063781</v>
      </c>
      <c r="D471" s="19">
        <f t="shared" si="40"/>
        <v>-0.41</v>
      </c>
      <c r="E471" s="19">
        <f>Solar!D471</f>
        <v>1360.75</v>
      </c>
      <c r="F471" s="30">
        <v>0.3</v>
      </c>
      <c r="G471" s="20">
        <f t="shared" si="36"/>
        <v>-0.1350178836415975</v>
      </c>
      <c r="H471" s="20">
        <f t="shared" si="37"/>
        <v>0.43672292232267745</v>
      </c>
      <c r="I471" s="20">
        <f t="shared" si="38"/>
        <v>-9.6722922322677596E-2</v>
      </c>
      <c r="J471" s="20">
        <f t="shared" si="39"/>
        <v>0.37568548565471521</v>
      </c>
    </row>
    <row r="472" spans="1:10" ht="15" customHeight="1">
      <c r="A472" s="18" t="str">
        <f>Analysis!A472</f>
        <v>5/1997</v>
      </c>
      <c r="B472" s="19">
        <f>Analysis!E472</f>
        <v>0.34999999999999787</v>
      </c>
      <c r="C472" s="20">
        <f>Analysis!F472</f>
        <v>0.3894488111595088</v>
      </c>
      <c r="D472" s="19">
        <f t="shared" si="40"/>
        <v>-0.26</v>
      </c>
      <c r="E472" s="19">
        <f>Solar!D472</f>
        <v>1360.78</v>
      </c>
      <c r="F472" s="30">
        <v>0.71</v>
      </c>
      <c r="G472" s="20">
        <f t="shared" si="36"/>
        <v>-0.12802974520706878</v>
      </c>
      <c r="H472" s="20">
        <f t="shared" si="37"/>
        <v>0.45280502051115079</v>
      </c>
      <c r="I472" s="20">
        <f t="shared" si="38"/>
        <v>-0.10280502051115292</v>
      </c>
      <c r="J472" s="20">
        <f t="shared" si="39"/>
        <v>0.37262982017128077</v>
      </c>
    </row>
    <row r="473" spans="1:10" ht="15" customHeight="1">
      <c r="A473" s="18" t="str">
        <f>Analysis!A473</f>
        <v>6/1997</v>
      </c>
      <c r="B473" s="19">
        <f>Analysis!E473</f>
        <v>0.54999999999999893</v>
      </c>
      <c r="C473" s="20">
        <f>Analysis!F473</f>
        <v>0.38535214535553447</v>
      </c>
      <c r="D473" s="19">
        <f t="shared" si="40"/>
        <v>-0.03</v>
      </c>
      <c r="E473" s="19">
        <f>Solar!D473</f>
        <v>1360.77</v>
      </c>
      <c r="F473" s="30">
        <v>1.1299999999999999</v>
      </c>
      <c r="G473" s="20">
        <f t="shared" si="36"/>
        <v>8.3168783060331486E-2</v>
      </c>
      <c r="H473" s="20">
        <f t="shared" si="37"/>
        <v>0.46157100175579024</v>
      </c>
      <c r="I473" s="20">
        <f t="shared" si="38"/>
        <v>8.842899824420869E-2</v>
      </c>
      <c r="J473" s="20">
        <f t="shared" si="39"/>
        <v>0.55261113309668541</v>
      </c>
    </row>
    <row r="474" spans="1:10" ht="15" customHeight="1">
      <c r="A474" s="18" t="str">
        <f>Analysis!A474</f>
        <v>7/1997</v>
      </c>
      <c r="B474" s="19">
        <f>Analysis!E474</f>
        <v>0.33999999999999986</v>
      </c>
      <c r="C474" s="20">
        <f>Analysis!F474</f>
        <v>0.38033365825089765</v>
      </c>
      <c r="D474" s="19">
        <f t="shared" si="40"/>
        <v>0.3</v>
      </c>
      <c r="E474" s="19">
        <f>Solar!D474</f>
        <v>1360.79</v>
      </c>
      <c r="F474" s="30">
        <v>1.48</v>
      </c>
      <c r="G474" s="20">
        <f t="shared" si="36"/>
        <v>-0.11311282437605363</v>
      </c>
      <c r="H474" s="20">
        <f t="shared" si="37"/>
        <v>0.47650870479609053</v>
      </c>
      <c r="I474" s="20">
        <f t="shared" si="38"/>
        <v>-0.13650870479609067</v>
      </c>
      <c r="J474" s="20">
        <f t="shared" si="39"/>
        <v>0.31388866903313495</v>
      </c>
    </row>
    <row r="475" spans="1:10" ht="15" customHeight="1">
      <c r="A475" s="18" t="str">
        <f>Analysis!A475</f>
        <v>8/1997</v>
      </c>
      <c r="B475" s="19">
        <f>Analysis!E475</f>
        <v>0.41000000000000014</v>
      </c>
      <c r="C475" s="20">
        <f>Analysis!F475</f>
        <v>0.37215612821390631</v>
      </c>
      <c r="D475" s="19">
        <f t="shared" si="40"/>
        <v>0.71</v>
      </c>
      <c r="E475" s="19">
        <f>Solar!D475</f>
        <v>1360.85</v>
      </c>
      <c r="F475" s="30">
        <v>1.79</v>
      </c>
      <c r="G475" s="20">
        <f t="shared" si="36"/>
        <v>-2.0758962562890226E-2</v>
      </c>
      <c r="H475" s="20">
        <f t="shared" si="37"/>
        <v>0.48973218248505229</v>
      </c>
      <c r="I475" s="20">
        <f t="shared" si="38"/>
        <v>-7.973218248505215E-2</v>
      </c>
      <c r="J475" s="20">
        <f t="shared" si="39"/>
        <v>0.34820318337841988</v>
      </c>
    </row>
    <row r="476" spans="1:10" ht="15" customHeight="1">
      <c r="A476" s="18" t="str">
        <f>Analysis!A476</f>
        <v>9/1997</v>
      </c>
      <c r="B476" s="19">
        <f>Analysis!E476</f>
        <v>0.5199999999999978</v>
      </c>
      <c r="C476" s="20">
        <f>Analysis!F476</f>
        <v>0.36433229663226918</v>
      </c>
      <c r="D476" s="19">
        <f t="shared" si="40"/>
        <v>1.1299999999999999</v>
      </c>
      <c r="E476" s="19">
        <f>Solar!D476</f>
        <v>1360.66</v>
      </c>
      <c r="F476" s="30">
        <v>2.04</v>
      </c>
      <c r="G476" s="20">
        <f t="shared" si="36"/>
        <v>0.11062803928659548</v>
      </c>
      <c r="H476" s="20">
        <f t="shared" si="37"/>
        <v>0.50479757542589976</v>
      </c>
      <c r="I476" s="20">
        <f t="shared" si="38"/>
        <v>1.5202424574098039E-2</v>
      </c>
      <c r="J476" s="20">
        <f t="shared" si="39"/>
        <v>0.4216473200248067</v>
      </c>
    </row>
    <row r="477" spans="1:10" ht="15" customHeight="1">
      <c r="A477" s="18" t="str">
        <f>Analysis!A477</f>
        <v>10/1997</v>
      </c>
      <c r="B477" s="19">
        <f>Analysis!E477</f>
        <v>0.61000000000000121</v>
      </c>
      <c r="C477" s="20">
        <f>Analysis!F477</f>
        <v>0.36645211340564054</v>
      </c>
      <c r="D477" s="19">
        <f t="shared" si="40"/>
        <v>1.48</v>
      </c>
      <c r="E477" s="19">
        <f>Solar!D477</f>
        <v>1361.01</v>
      </c>
      <c r="F477" s="30">
        <v>2.2400000000000002</v>
      </c>
      <c r="G477" s="20">
        <f t="shared" si="36"/>
        <v>0.19483336889018144</v>
      </c>
      <c r="H477" s="20">
        <f t="shared" si="37"/>
        <v>0.54108349942443312</v>
      </c>
      <c r="I477" s="20">
        <f t="shared" si="38"/>
        <v>6.8916500575568085E-2</v>
      </c>
      <c r="J477" s="20">
        <f t="shared" si="39"/>
        <v>0.48118410056346772</v>
      </c>
    </row>
    <row r="478" spans="1:10" ht="15" customHeight="1">
      <c r="A478" s="18" t="str">
        <f>Analysis!A478</f>
        <v>11/1997</v>
      </c>
      <c r="B478" s="19">
        <f>Analysis!E478</f>
        <v>0.65000000000000213</v>
      </c>
      <c r="C478" s="20">
        <f>Analysis!F478</f>
        <v>0.37315102173715475</v>
      </c>
      <c r="D478" s="19">
        <f t="shared" si="40"/>
        <v>1.79</v>
      </c>
      <c r="E478" s="19">
        <f>Solar!D478</f>
        <v>1360.89</v>
      </c>
      <c r="F478" s="30">
        <v>2.34</v>
      </c>
      <c r="G478" s="20">
        <f t="shared" si="36"/>
        <v>0.21652142500684202</v>
      </c>
      <c r="H478" s="20">
        <f t="shared" si="37"/>
        <v>0.58646574365822746</v>
      </c>
      <c r="I478" s="20">
        <f t="shared" si="38"/>
        <v>6.3534256341774675E-2</v>
      </c>
      <c r="J478" s="20">
        <f t="shared" si="39"/>
        <v>0.4942023918977082</v>
      </c>
    </row>
    <row r="479" spans="1:10" ht="15" customHeight="1">
      <c r="A479" s="18" t="str">
        <f>Analysis!A479</f>
        <v>12/1997</v>
      </c>
      <c r="B479" s="19">
        <f>Analysis!E479</f>
        <v>0.58999999999999986</v>
      </c>
      <c r="C479" s="20">
        <f>Analysis!F479</f>
        <v>0.38053156694990453</v>
      </c>
      <c r="D479" s="19">
        <f t="shared" si="40"/>
        <v>2.04</v>
      </c>
      <c r="E479" s="19">
        <f>Solar!D479</f>
        <v>1360.91</v>
      </c>
      <c r="F479" s="30">
        <v>2.37</v>
      </c>
      <c r="G479" s="20">
        <f t="shared" si="36"/>
        <v>0.13634617807466076</v>
      </c>
      <c r="H479" s="20">
        <f t="shared" si="37"/>
        <v>0.62849803925502645</v>
      </c>
      <c r="I479" s="20">
        <f t="shared" si="38"/>
        <v>-3.8498039255026595E-2</v>
      </c>
      <c r="J479" s="20">
        <f t="shared" si="39"/>
        <v>0.41244294942531856</v>
      </c>
    </row>
    <row r="480" spans="1:10" ht="15" customHeight="1">
      <c r="A480" s="18" t="str">
        <f>Analysis!A480</f>
        <v>1/1998</v>
      </c>
      <c r="B480" s="19">
        <f>Analysis!E480</f>
        <v>0.58000000000000007</v>
      </c>
      <c r="C480" s="20">
        <f>Analysis!F480</f>
        <v>0.38401032363198068</v>
      </c>
      <c r="D480" s="19">
        <f t="shared" si="40"/>
        <v>2.2400000000000002</v>
      </c>
      <c r="E480" s="19">
        <f>Solar!D480</f>
        <v>1361.05</v>
      </c>
      <c r="F480" s="30">
        <v>2.2200000000000002</v>
      </c>
      <c r="G480" s="20">
        <f t="shared" si="36"/>
        <v>0.11683674847905168</v>
      </c>
      <c r="H480" s="20">
        <f t="shared" si="37"/>
        <v>0.6554610286700725</v>
      </c>
      <c r="I480" s="20">
        <f t="shared" si="38"/>
        <v>-7.5461028670072428E-2</v>
      </c>
      <c r="J480" s="20">
        <f t="shared" si="39"/>
        <v>0.38503539544740883</v>
      </c>
    </row>
    <row r="481" spans="1:10" ht="15" customHeight="1">
      <c r="A481" s="18" t="str">
        <f>Analysis!A481</f>
        <v>2/1998</v>
      </c>
      <c r="B481" s="19">
        <f>Analysis!E481</f>
        <v>0.88000000000000256</v>
      </c>
      <c r="C481" s="20">
        <f>Analysis!F481</f>
        <v>0.38681094647221681</v>
      </c>
      <c r="D481" s="19">
        <f t="shared" si="40"/>
        <v>2.34</v>
      </c>
      <c r="E481" s="19">
        <f>Solar!D481</f>
        <v>1360.95</v>
      </c>
      <c r="F481" s="30">
        <v>1.91</v>
      </c>
      <c r="G481" s="20">
        <f t="shared" si="36"/>
        <v>0.4091810461241584</v>
      </c>
      <c r="H481" s="20">
        <f t="shared" si="37"/>
        <v>0.67185754567488676</v>
      </c>
      <c r="I481" s="20">
        <f t="shared" si="38"/>
        <v>0.2081424543251158</v>
      </c>
      <c r="J481" s="20">
        <f t="shared" si="39"/>
        <v>0.67633161845845635</v>
      </c>
    </row>
    <row r="482" spans="1:10" ht="15" customHeight="1">
      <c r="A482" s="18" t="str">
        <f>Analysis!A482</f>
        <v>3/1998</v>
      </c>
      <c r="B482" s="19">
        <f>Analysis!E482</f>
        <v>0.63000000000000256</v>
      </c>
      <c r="C482" s="20">
        <f>Analysis!F482</f>
        <v>0.39176771995599674</v>
      </c>
      <c r="D482" s="19">
        <f t="shared" si="40"/>
        <v>2.37</v>
      </c>
      <c r="E482" s="19">
        <f>Solar!D482</f>
        <v>1360.84</v>
      </c>
      <c r="F482" s="30">
        <v>1.4</v>
      </c>
      <c r="G482" s="20">
        <f t="shared" si="36"/>
        <v>0.14563135214635003</v>
      </c>
      <c r="H482" s="20">
        <f t="shared" si="37"/>
        <v>0.68808392505907734</v>
      </c>
      <c r="I482" s="20">
        <f t="shared" si="38"/>
        <v>-5.8083925059074781E-2</v>
      </c>
      <c r="J482" s="20">
        <f t="shared" si="39"/>
        <v>0.42372048536176987</v>
      </c>
    </row>
    <row r="483" spans="1:10" ht="15" customHeight="1">
      <c r="A483" s="18" t="str">
        <f>Analysis!A483</f>
        <v>4/1998</v>
      </c>
      <c r="B483" s="19">
        <f>Analysis!E483</f>
        <v>0.64000000000000234</v>
      </c>
      <c r="C483" s="20">
        <f>Analysis!F483</f>
        <v>0.39737270943755826</v>
      </c>
      <c r="D483" s="19">
        <f t="shared" si="40"/>
        <v>2.2200000000000002</v>
      </c>
      <c r="E483" s="19">
        <f>Solar!D483</f>
        <v>1361.16</v>
      </c>
      <c r="F483" s="30">
        <v>1.03</v>
      </c>
      <c r="G483" s="20">
        <f t="shared" si="36"/>
        <v>0.14030971348916477</v>
      </c>
      <c r="H483" s="20">
        <f t="shared" si="37"/>
        <v>0.69042402306575634</v>
      </c>
      <c r="I483" s="20">
        <f t="shared" si="38"/>
        <v>-5.0424023065753998E-2</v>
      </c>
      <c r="J483" s="20">
        <f t="shared" si="39"/>
        <v>0.44677615084520206</v>
      </c>
    </row>
    <row r="484" spans="1:10" ht="15" customHeight="1">
      <c r="A484" s="18" t="str">
        <f>Analysis!A484</f>
        <v>5/1998</v>
      </c>
      <c r="B484" s="19">
        <f>Analysis!E484</f>
        <v>0.67999999999999972</v>
      </c>
      <c r="C484" s="20">
        <f>Analysis!F484</f>
        <v>0.40038178530727464</v>
      </c>
      <c r="D484" s="19">
        <f t="shared" si="40"/>
        <v>1.91</v>
      </c>
      <c r="E484" s="19">
        <f>Solar!D484</f>
        <v>1361.07</v>
      </c>
      <c r="F484" s="30">
        <v>0.4</v>
      </c>
      <c r="G484" s="20">
        <f t="shared" si="36"/>
        <v>0.17208418990530594</v>
      </c>
      <c r="H484" s="20">
        <f t="shared" si="37"/>
        <v>0.67170763239325049</v>
      </c>
      <c r="I484" s="20">
        <f t="shared" si="38"/>
        <v>8.2923676067492291E-3</v>
      </c>
      <c r="J484" s="20">
        <f t="shared" si="39"/>
        <v>0.51375785951095987</v>
      </c>
    </row>
    <row r="485" spans="1:10" ht="15" customHeight="1">
      <c r="A485" s="18" t="str">
        <f>Analysis!A485</f>
        <v>6/1998</v>
      </c>
      <c r="B485" s="19">
        <f>Analysis!E485</f>
        <v>0.77000000000000135</v>
      </c>
      <c r="C485" s="20">
        <f>Analysis!F485</f>
        <v>0.39870216614997578</v>
      </c>
      <c r="D485" s="19">
        <f t="shared" si="40"/>
        <v>1.4</v>
      </c>
      <c r="E485" s="19">
        <f>Solar!D485</f>
        <v>1361.1</v>
      </c>
      <c r="F485" s="30">
        <v>-0.08</v>
      </c>
      <c r="G485" s="20">
        <f t="shared" si="36"/>
        <v>0.26667554871061439</v>
      </c>
      <c r="H485" s="20">
        <f t="shared" si="37"/>
        <v>0.62270479832642223</v>
      </c>
      <c r="I485" s="20">
        <f t="shared" si="38"/>
        <v>0.14729520167357912</v>
      </c>
      <c r="J485" s="20">
        <f t="shared" si="39"/>
        <v>0.64814712215463188</v>
      </c>
    </row>
    <row r="486" spans="1:10" ht="15" customHeight="1">
      <c r="A486" s="18" t="str">
        <f>Analysis!A486</f>
        <v>7/1998</v>
      </c>
      <c r="B486" s="19">
        <f>Analysis!E486</f>
        <v>0.66000000000000369</v>
      </c>
      <c r="C486" s="20">
        <f>Analysis!F486</f>
        <v>0.39420052964215635</v>
      </c>
      <c r="D486" s="19">
        <f t="shared" si="40"/>
        <v>1.03</v>
      </c>
      <c r="E486" s="19">
        <f>Solar!D486</f>
        <v>1361.34</v>
      </c>
      <c r="F486" s="30">
        <v>-0.63</v>
      </c>
      <c r="G486" s="20">
        <f t="shared" si="36"/>
        <v>0.16898109329115474</v>
      </c>
      <c r="H486" s="20">
        <f t="shared" si="37"/>
        <v>0.57813574566993864</v>
      </c>
      <c r="I486" s="20">
        <f t="shared" si="38"/>
        <v>8.1864254330065056E-2</v>
      </c>
      <c r="J486" s="20">
        <f t="shared" si="39"/>
        <v>0.57035109701376752</v>
      </c>
    </row>
    <row r="487" spans="1:10" ht="15" customHeight="1">
      <c r="A487" s="18" t="str">
        <f>Analysis!A487</f>
        <v>8/1998</v>
      </c>
      <c r="B487" s="19">
        <f>Analysis!E487</f>
        <v>0.65000000000000213</v>
      </c>
      <c r="C487" s="20">
        <f>Analysis!F487</f>
        <v>0.38681094647221681</v>
      </c>
      <c r="D487" s="19">
        <f t="shared" si="40"/>
        <v>0.4</v>
      </c>
      <c r="E487" s="19">
        <f>Solar!D487</f>
        <v>1361.15</v>
      </c>
      <c r="F487" s="30">
        <v>-0.83</v>
      </c>
      <c r="G487" s="20">
        <f t="shared" si="36"/>
        <v>0.17918104612415797</v>
      </c>
      <c r="H487" s="20">
        <f t="shared" si="37"/>
        <v>0.50300427208916043</v>
      </c>
      <c r="I487" s="20">
        <f t="shared" si="38"/>
        <v>0.1469957279108417</v>
      </c>
      <c r="J487" s="20">
        <f t="shared" si="39"/>
        <v>0.61518489204418225</v>
      </c>
    </row>
    <row r="488" spans="1:10" ht="15" customHeight="1">
      <c r="A488" s="18" t="str">
        <f>Analysis!A488</f>
        <v>9/1998</v>
      </c>
      <c r="B488" s="19">
        <f>Analysis!E488</f>
        <v>0.42000000000000348</v>
      </c>
      <c r="C488" s="20">
        <f>Analysis!F488</f>
        <v>0.37914563558689091</v>
      </c>
      <c r="D488" s="19">
        <f t="shared" si="40"/>
        <v>-0.08</v>
      </c>
      <c r="E488" s="19">
        <f>Solar!D488</f>
        <v>1361.11</v>
      </c>
      <c r="F488" s="30">
        <v>-1.02</v>
      </c>
      <c r="G488" s="20">
        <f t="shared" si="36"/>
        <v>-2.9865279659982646E-2</v>
      </c>
      <c r="H488" s="20">
        <f t="shared" si="37"/>
        <v>0.44017109616664357</v>
      </c>
      <c r="I488" s="20">
        <f t="shared" si="38"/>
        <v>-2.017109616664009E-2</v>
      </c>
      <c r="J488" s="20">
        <f t="shared" si="39"/>
        <v>0.42696302159116745</v>
      </c>
    </row>
    <row r="489" spans="1:10" ht="15" customHeight="1">
      <c r="A489" s="18" t="str">
        <f>Analysis!A489</f>
        <v>10/1998</v>
      </c>
      <c r="B489" s="19">
        <f>Analysis!E489</f>
        <v>0.42000000000000348</v>
      </c>
      <c r="C489" s="20">
        <f>Analysis!F489</f>
        <v>0.38065029913905807</v>
      </c>
      <c r="D489" s="19">
        <f t="shared" si="40"/>
        <v>-0.63</v>
      </c>
      <c r="E489" s="19">
        <f>Solar!D489</f>
        <v>1361.49</v>
      </c>
      <c r="F489" s="30">
        <v>-1.1200000000000001</v>
      </c>
      <c r="G489" s="20">
        <f t="shared" si="36"/>
        <v>-3.3978384835787412E-2</v>
      </c>
      <c r="H489" s="20">
        <f t="shared" si="37"/>
        <v>0.39643332676915832</v>
      </c>
      <c r="I489" s="20">
        <f t="shared" si="38"/>
        <v>2.3566673230845159E-2</v>
      </c>
      <c r="J489" s="20">
        <f t="shared" si="39"/>
        <v>0.47483379503041978</v>
      </c>
    </row>
    <row r="490" spans="1:10" ht="15" customHeight="1">
      <c r="A490" s="18" t="str">
        <f>Analysis!A490</f>
        <v>11/1998</v>
      </c>
      <c r="B490" s="19">
        <f>Analysis!E490</f>
        <v>0.42999999999999972</v>
      </c>
      <c r="C490" s="20">
        <f>Analysis!F490</f>
        <v>0.38511544395370917</v>
      </c>
      <c r="D490" s="19">
        <f t="shared" si="40"/>
        <v>-0.83</v>
      </c>
      <c r="E490" s="19">
        <f>Solar!D490</f>
        <v>1361.35</v>
      </c>
      <c r="F490" s="30">
        <v>-1.31</v>
      </c>
      <c r="G490" s="20">
        <f t="shared" si="36"/>
        <v>-3.6184176769414766E-2</v>
      </c>
      <c r="H490" s="20">
        <f t="shared" si="37"/>
        <v>0.39129061534654841</v>
      </c>
      <c r="I490" s="20">
        <f t="shared" si="38"/>
        <v>3.8709384653451306E-2</v>
      </c>
      <c r="J490" s="20">
        <f t="shared" si="39"/>
        <v>0.50224134900832595</v>
      </c>
    </row>
    <row r="491" spans="1:10" ht="15" customHeight="1">
      <c r="A491" s="18" t="str">
        <f>Analysis!A491</f>
        <v>12/1998</v>
      </c>
      <c r="B491" s="19">
        <f>Analysis!E491</f>
        <v>0.54999999999999893</v>
      </c>
      <c r="C491" s="20">
        <f>Analysis!F491</f>
        <v>0.3915320688993289</v>
      </c>
      <c r="D491" s="19">
        <f t="shared" si="40"/>
        <v>-1.02</v>
      </c>
      <c r="E491" s="19">
        <f>Solar!D491</f>
        <v>1361.48</v>
      </c>
      <c r="F491" s="30">
        <v>-1.47</v>
      </c>
      <c r="G491" s="20">
        <f t="shared" si="36"/>
        <v>6.6275521123170811E-2</v>
      </c>
      <c r="H491" s="20">
        <f t="shared" si="37"/>
        <v>0.39237859971992961</v>
      </c>
      <c r="I491" s="20">
        <f t="shared" si="38"/>
        <v>0.15762140028006932</v>
      </c>
      <c r="J491" s="20">
        <f t="shared" si="39"/>
        <v>0.63877852528733958</v>
      </c>
    </row>
    <row r="492" spans="1:10" ht="15" customHeight="1">
      <c r="A492" s="18" t="str">
        <f>Analysis!A492</f>
        <v>1/1999</v>
      </c>
      <c r="B492" s="19">
        <f>Analysis!E492</f>
        <v>0.47999999999999865</v>
      </c>
      <c r="C492" s="20">
        <f>Analysis!F492</f>
        <v>0.39565041545437801</v>
      </c>
      <c r="D492" s="19">
        <f t="shared" si="40"/>
        <v>-1.1200000000000001</v>
      </c>
      <c r="E492" s="19">
        <f>Solar!D492</f>
        <v>1361.69</v>
      </c>
      <c r="F492" s="30">
        <v>-1.51</v>
      </c>
      <c r="G492" s="20">
        <f t="shared" si="36"/>
        <v>-1.498227302418742E-2</v>
      </c>
      <c r="H492" s="20">
        <f t="shared" si="37"/>
        <v>0.39498708116436354</v>
      </c>
      <c r="I492" s="20">
        <f t="shared" si="38"/>
        <v>8.501291883563511E-2</v>
      </c>
      <c r="J492" s="20">
        <f t="shared" si="39"/>
        <v>0.57748230227629427</v>
      </c>
    </row>
    <row r="493" spans="1:10" ht="15" customHeight="1">
      <c r="A493" s="18" t="str">
        <f>Analysis!A493</f>
        <v>2/1999</v>
      </c>
      <c r="B493" s="19">
        <f>Analysis!E493</f>
        <v>0.64000000000000234</v>
      </c>
      <c r="C493" s="20">
        <f>Analysis!F493</f>
        <v>0.39928830192579123</v>
      </c>
      <c r="D493" s="19">
        <f t="shared" si="40"/>
        <v>-1.31</v>
      </c>
      <c r="E493" s="19">
        <f>Solar!D493</f>
        <v>1361.41</v>
      </c>
      <c r="F493" s="30">
        <v>-1.25</v>
      </c>
      <c r="G493" s="20">
        <f t="shared" si="36"/>
        <v>0.13507330474733303</v>
      </c>
      <c r="H493" s="20">
        <f t="shared" si="37"/>
        <v>0.38844243741409001</v>
      </c>
      <c r="I493" s="20">
        <f t="shared" si="38"/>
        <v>0.25155756258591233</v>
      </c>
      <c r="J493" s="20">
        <f t="shared" si="39"/>
        <v>0.75401947855531237</v>
      </c>
    </row>
    <row r="494" spans="1:10" ht="15" customHeight="1">
      <c r="A494" s="18" t="str">
        <f>Analysis!A494</f>
        <v>3/1999</v>
      </c>
      <c r="B494" s="19">
        <f>Analysis!E494</f>
        <v>0.32999999999999652</v>
      </c>
      <c r="C494" s="20">
        <f>Analysis!F494</f>
        <v>0.40147444051625025</v>
      </c>
      <c r="D494" s="19">
        <f t="shared" si="40"/>
        <v>-1.47</v>
      </c>
      <c r="E494" s="19">
        <f>Solar!D494</f>
        <v>1361.45</v>
      </c>
      <c r="F494" s="30">
        <v>-0.93</v>
      </c>
      <c r="G494" s="20">
        <f t="shared" si="36"/>
        <v>-0.18090266106808228</v>
      </c>
      <c r="H494" s="20">
        <f t="shared" si="37"/>
        <v>0.38052127128033331</v>
      </c>
      <c r="I494" s="20">
        <f t="shared" si="38"/>
        <v>-5.0521271280336788E-2</v>
      </c>
      <c r="J494" s="20">
        <f t="shared" si="39"/>
        <v>0.45794552173763448</v>
      </c>
    </row>
    <row r="495" spans="1:10" ht="15" customHeight="1">
      <c r="A495" s="18" t="str">
        <f>Analysis!A495</f>
        <v>4/1999</v>
      </c>
      <c r="B495" s="19">
        <f>Analysis!E495</f>
        <v>0.32000000000000028</v>
      </c>
      <c r="C495" s="20">
        <f>Analysis!F495</f>
        <v>0.40657554167160614</v>
      </c>
      <c r="D495" s="19">
        <f t="shared" si="40"/>
        <v>-1.51</v>
      </c>
      <c r="E495" s="19">
        <f>Solar!D495</f>
        <v>1361.36</v>
      </c>
      <c r="F495" s="30">
        <v>-0.8</v>
      </c>
      <c r="G495" s="20">
        <f t="shared" si="36"/>
        <v>-0.20484688503374759</v>
      </c>
      <c r="H495" s="20">
        <f t="shared" si="37"/>
        <v>0.39105144546388404</v>
      </c>
      <c r="I495" s="20">
        <f t="shared" si="38"/>
        <v>-7.1051445463883756E-2</v>
      </c>
      <c r="J495" s="20">
        <f t="shared" si="39"/>
        <v>0.45142703253322025</v>
      </c>
    </row>
    <row r="496" spans="1:10" ht="15" customHeight="1">
      <c r="A496" s="18" t="str">
        <f>Analysis!A496</f>
        <v>5/1999</v>
      </c>
      <c r="B496" s="19">
        <f>Analysis!E496</f>
        <v>0.25999999999999979</v>
      </c>
      <c r="C496" s="20">
        <f>Analysis!F496</f>
        <v>0.40645892413014484</v>
      </c>
      <c r="D496" s="19">
        <f t="shared" si="40"/>
        <v>-1.25</v>
      </c>
      <c r="E496" s="19">
        <f>Solar!D496</f>
        <v>1361.53</v>
      </c>
      <c r="F496" s="30">
        <v>-0.79</v>
      </c>
      <c r="G496" s="20">
        <f t="shared" si="36"/>
        <v>-0.26452810266364046</v>
      </c>
      <c r="H496" s="20">
        <f t="shared" si="37"/>
        <v>0.41336094102206222</v>
      </c>
      <c r="I496" s="20">
        <f t="shared" si="38"/>
        <v>-0.15336094102206244</v>
      </c>
      <c r="J496" s="20">
        <f t="shared" si="39"/>
        <v>0.36879721236193685</v>
      </c>
    </row>
    <row r="497" spans="1:10" ht="15" customHeight="1">
      <c r="A497" s="18" t="str">
        <f>Analysis!A497</f>
        <v>6/1999</v>
      </c>
      <c r="B497" s="19">
        <f>Analysis!E497</f>
        <v>0.36000000000000121</v>
      </c>
      <c r="C497" s="20">
        <f>Analysis!F497</f>
        <v>0.40389095040272749</v>
      </c>
      <c r="D497" s="19">
        <f t="shared" si="40"/>
        <v>-0.93</v>
      </c>
      <c r="E497" s="19">
        <f>Solar!D497</f>
        <v>1361.42</v>
      </c>
      <c r="F497" s="30">
        <v>-0.84</v>
      </c>
      <c r="G497" s="20">
        <f t="shared" si="36"/>
        <v>-0.15750836325787099</v>
      </c>
      <c r="H497" s="20">
        <f t="shared" si="37"/>
        <v>0.43415932705664684</v>
      </c>
      <c r="I497" s="20">
        <f t="shared" si="38"/>
        <v>-7.415932705664563E-2</v>
      </c>
      <c r="J497" s="20">
        <f t="shared" si="39"/>
        <v>0.44094512599728242</v>
      </c>
    </row>
    <row r="498" spans="1:10" ht="15" customHeight="1">
      <c r="A498" s="18" t="str">
        <f>Analysis!A498</f>
        <v>7/1999</v>
      </c>
      <c r="B498" s="19">
        <f>Analysis!E498</f>
        <v>0.38999999999999879</v>
      </c>
      <c r="C498" s="20">
        <f>Analysis!F498</f>
        <v>0.40057696301241569</v>
      </c>
      <c r="D498" s="19">
        <f t="shared" si="40"/>
        <v>-0.8</v>
      </c>
      <c r="E498" s="19">
        <f>Solar!D498</f>
        <v>1361.54</v>
      </c>
      <c r="F498" s="30">
        <v>-0.9</v>
      </c>
      <c r="G498" s="20">
        <f t="shared" si="36"/>
        <v>-0.11844934227739523</v>
      </c>
      <c r="H498" s="20">
        <f t="shared" si="37"/>
        <v>0.43637138936027309</v>
      </c>
      <c r="I498" s="20">
        <f t="shared" si="38"/>
        <v>-4.6371389360274295E-2</v>
      </c>
      <c r="J498" s="20">
        <f t="shared" si="39"/>
        <v>0.45963021591163855</v>
      </c>
    </row>
    <row r="499" spans="1:10" ht="15" customHeight="1">
      <c r="A499" s="18" t="str">
        <f>Analysis!A499</f>
        <v>8/1999</v>
      </c>
      <c r="B499" s="19">
        <f>Analysis!E499</f>
        <v>0.31000000000000227</v>
      </c>
      <c r="C499" s="20">
        <f>Analysis!F499</f>
        <v>0.39058907956946148</v>
      </c>
      <c r="D499" s="19">
        <f t="shared" si="40"/>
        <v>-0.79</v>
      </c>
      <c r="E499" s="19">
        <f>Solar!D499</f>
        <v>1361.59</v>
      </c>
      <c r="F499" s="30">
        <v>-0.94</v>
      </c>
      <c r="G499" s="20">
        <f t="shared" si="36"/>
        <v>-0.17114675026246562</v>
      </c>
      <c r="H499" s="20">
        <f t="shared" si="37"/>
        <v>0.40980708734025484</v>
      </c>
      <c r="I499" s="20">
        <f t="shared" si="38"/>
        <v>-9.9807087340252565E-2</v>
      </c>
      <c r="J499" s="20">
        <f t="shared" si="39"/>
        <v>0.3787598382127465</v>
      </c>
    </row>
    <row r="500" spans="1:10" ht="15" customHeight="1">
      <c r="A500" s="18" t="str">
        <f>Analysis!A500</f>
        <v>9/1999</v>
      </c>
      <c r="B500" s="19">
        <f>Analysis!E500</f>
        <v>0.38999999999999879</v>
      </c>
      <c r="C500" s="20">
        <f>Analysis!F500</f>
        <v>0.38227199382725641</v>
      </c>
      <c r="D500" s="19">
        <f t="shared" si="40"/>
        <v>-0.84</v>
      </c>
      <c r="E500" s="19">
        <f>Solar!D500</f>
        <v>1361.7</v>
      </c>
      <c r="F500" s="30">
        <v>-1</v>
      </c>
      <c r="G500" s="20">
        <f t="shared" si="36"/>
        <v>-6.841140297197057E-2</v>
      </c>
      <c r="H500" s="20">
        <f t="shared" si="37"/>
        <v>0.38260985980719414</v>
      </c>
      <c r="I500" s="20">
        <f t="shared" si="38"/>
        <v>7.3901401928046506E-3</v>
      </c>
      <c r="J500" s="20">
        <f t="shared" si="39"/>
        <v>0.46311172670722051</v>
      </c>
    </row>
    <row r="501" spans="1:10" ht="15" customHeight="1">
      <c r="A501" s="18" t="str">
        <f>Analysis!A501</f>
        <v>10/1999</v>
      </c>
      <c r="B501" s="19">
        <f>Analysis!E501</f>
        <v>0.33999999999999986</v>
      </c>
      <c r="C501" s="20">
        <f>Analysis!F501</f>
        <v>0.38452352048875721</v>
      </c>
      <c r="D501" s="19">
        <f t="shared" si="40"/>
        <v>-0.9</v>
      </c>
      <c r="E501" s="19">
        <f>Solar!D501</f>
        <v>1361.23</v>
      </c>
      <c r="F501" s="30">
        <v>-1.1299999999999999</v>
      </c>
      <c r="G501" s="20">
        <f t="shared" si="36"/>
        <v>-0.12456611174493271</v>
      </c>
      <c r="H501" s="20">
        <f t="shared" si="37"/>
        <v>0.38357207836373514</v>
      </c>
      <c r="I501" s="20">
        <f t="shared" si="38"/>
        <v>-4.3572078363735278E-2</v>
      </c>
      <c r="J501" s="20">
        <f t="shared" si="39"/>
        <v>0.41833399290059453</v>
      </c>
    </row>
    <row r="502" spans="1:10" ht="15" customHeight="1">
      <c r="A502" s="18" t="str">
        <f>Analysis!A502</f>
        <v>11/1999</v>
      </c>
      <c r="B502" s="19">
        <f>Analysis!E502</f>
        <v>0.36999999999999744</v>
      </c>
      <c r="C502" s="20">
        <f>Analysis!F502</f>
        <v>0.38988143286110233</v>
      </c>
      <c r="D502" s="19">
        <f t="shared" si="40"/>
        <v>-0.94</v>
      </c>
      <c r="E502" s="19">
        <f>Solar!D502</f>
        <v>1361.37</v>
      </c>
      <c r="F502" s="30">
        <v>-1.35</v>
      </c>
      <c r="G502" s="20">
        <f t="shared" si="36"/>
        <v>-0.1092123474954193</v>
      </c>
      <c r="H502" s="20">
        <f t="shared" si="37"/>
        <v>0.39480766060761868</v>
      </c>
      <c r="I502" s="20">
        <f t="shared" si="38"/>
        <v>-2.480766060762124E-2</v>
      </c>
      <c r="J502" s="20">
        <f t="shared" si="39"/>
        <v>0.45181550369617413</v>
      </c>
    </row>
    <row r="503" spans="1:10" ht="15" customHeight="1">
      <c r="A503" s="18" t="str">
        <f>Analysis!A503</f>
        <v>12/1999</v>
      </c>
      <c r="B503" s="19">
        <f>Analysis!E503</f>
        <v>0.40000000000000213</v>
      </c>
      <c r="C503" s="20">
        <f>Analysis!F503</f>
        <v>0.3952978746136992</v>
      </c>
      <c r="D503" s="19">
        <f t="shared" si="40"/>
        <v>-1</v>
      </c>
      <c r="E503" s="19">
        <f>Solar!D503</f>
        <v>1361.48</v>
      </c>
      <c r="F503" s="30">
        <v>-1.53</v>
      </c>
      <c r="G503" s="20">
        <f t="shared" si="36"/>
        <v>-9.4018577482818499E-2</v>
      </c>
      <c r="H503" s="20">
        <f t="shared" si="37"/>
        <v>0.4044632557296452</v>
      </c>
      <c r="I503" s="20">
        <f t="shared" si="38"/>
        <v>-4.4632557296430675E-3</v>
      </c>
      <c r="J503" s="20">
        <f t="shared" si="39"/>
        <v>0.48703776988955177</v>
      </c>
    </row>
    <row r="504" spans="1:10" ht="15" customHeight="1">
      <c r="A504" s="18" t="str">
        <f>Analysis!A504</f>
        <v>1/2000</v>
      </c>
      <c r="B504" s="19">
        <f>Analysis!E504</f>
        <v>0.25000000000000355</v>
      </c>
      <c r="C504" s="20">
        <f>Analysis!F504</f>
        <v>0.39995230138778842</v>
      </c>
      <c r="D504" s="19">
        <f t="shared" si="40"/>
        <v>-1.1299999999999999</v>
      </c>
      <c r="E504" s="19">
        <f>Solar!D504</f>
        <v>1361.77</v>
      </c>
      <c r="F504" s="30">
        <v>-1.47</v>
      </c>
      <c r="G504" s="20">
        <f t="shared" si="36"/>
        <v>-0.25674178515760737</v>
      </c>
      <c r="H504" s="20">
        <f t="shared" si="37"/>
        <v>0.40593310715544823</v>
      </c>
      <c r="I504" s="20">
        <f t="shared" si="38"/>
        <v>-0.15593310715544467</v>
      </c>
      <c r="J504" s="20">
        <f t="shared" si="39"/>
        <v>0.34835267997519465</v>
      </c>
    </row>
    <row r="505" spans="1:10" ht="15" customHeight="1">
      <c r="A505" s="18" t="str">
        <f>Analysis!A505</f>
        <v>2/2000</v>
      </c>
      <c r="B505" s="19">
        <f>Analysis!E505</f>
        <v>0.55999999999999872</v>
      </c>
      <c r="C505" s="20">
        <f>Analysis!F505</f>
        <v>0.40096723922560795</v>
      </c>
      <c r="D505" s="19">
        <f t="shared" si="40"/>
        <v>-1.35</v>
      </c>
      <c r="E505" s="19">
        <f>Solar!D505</f>
        <v>1361.6</v>
      </c>
      <c r="F505" s="30">
        <v>-1.26</v>
      </c>
      <c r="G505" s="20">
        <f t="shared" si="36"/>
        <v>5.0483809848099859E-2</v>
      </c>
      <c r="H505" s="20">
        <f t="shared" si="37"/>
        <v>0.38957262511816382</v>
      </c>
      <c r="I505" s="20">
        <f t="shared" si="38"/>
        <v>0.1704273748818349</v>
      </c>
      <c r="J505" s="20">
        <f t="shared" si="39"/>
        <v>0.67750098935089076</v>
      </c>
    </row>
    <row r="506" spans="1:10" ht="15" customHeight="1">
      <c r="A506" s="18" t="str">
        <f>Analysis!A506</f>
        <v>3/2000</v>
      </c>
      <c r="B506" s="19">
        <f>Analysis!E506</f>
        <v>0.54999999999999893</v>
      </c>
      <c r="C506" s="20">
        <f>Analysis!F506</f>
        <v>0.40501986550966412</v>
      </c>
      <c r="D506" s="19">
        <f t="shared" si="40"/>
        <v>-1.53</v>
      </c>
      <c r="E506" s="19">
        <f>Solar!D506</f>
        <v>1361.39</v>
      </c>
      <c r="F506" s="30">
        <v>-0.98</v>
      </c>
      <c r="G506" s="20">
        <f t="shared" si="36"/>
        <v>2.9405666750564552E-2</v>
      </c>
      <c r="H506" s="20">
        <f t="shared" si="37"/>
        <v>0.38503756478454637</v>
      </c>
      <c r="I506" s="20">
        <f t="shared" si="38"/>
        <v>0.16496243521545256</v>
      </c>
      <c r="J506" s="20">
        <f t="shared" si="39"/>
        <v>0.68316778793100985</v>
      </c>
    </row>
    <row r="507" spans="1:10" ht="15" customHeight="1">
      <c r="A507" s="18" t="str">
        <f>Analysis!A507</f>
        <v>4/2000</v>
      </c>
      <c r="B507" s="19">
        <f>Analysis!E507</f>
        <v>0.55999999999999872</v>
      </c>
      <c r="C507" s="20">
        <f>Analysis!F507</f>
        <v>0.40979822782841963</v>
      </c>
      <c r="D507" s="19">
        <f t="shared" si="40"/>
        <v>-1.47</v>
      </c>
      <c r="E507" s="19">
        <f>Solar!D507</f>
        <v>1361.63</v>
      </c>
      <c r="F507" s="30">
        <v>-0.81</v>
      </c>
      <c r="G507" s="20">
        <f t="shared" si="36"/>
        <v>2.6343672421774822E-2</v>
      </c>
      <c r="H507" s="20">
        <f t="shared" si="37"/>
        <v>0.40338501816544714</v>
      </c>
      <c r="I507" s="20">
        <f t="shared" si="38"/>
        <v>0.15661498183455158</v>
      </c>
      <c r="J507" s="20">
        <f t="shared" si="39"/>
        <v>0.68794552173763668</v>
      </c>
    </row>
    <row r="508" spans="1:10" ht="15" customHeight="1">
      <c r="A508" s="18" t="str">
        <f>Analysis!A508</f>
        <v>5/2000</v>
      </c>
      <c r="B508" s="19">
        <f>Analysis!E508</f>
        <v>0.34999999999999787</v>
      </c>
      <c r="C508" s="20">
        <f>Analysis!F508</f>
        <v>0.40890591510745228</v>
      </c>
      <c r="D508" s="19">
        <f t="shared" si="40"/>
        <v>-1.26</v>
      </c>
      <c r="E508" s="19">
        <f>Solar!D508</f>
        <v>1361.28</v>
      </c>
      <c r="F508" s="30">
        <v>-0.67</v>
      </c>
      <c r="G508" s="20">
        <f t="shared" si="36"/>
        <v>-0.1812171270900097</v>
      </c>
      <c r="H508" s="20">
        <f t="shared" si="37"/>
        <v>0.41921194870185363</v>
      </c>
      <c r="I508" s="20">
        <f t="shared" si="38"/>
        <v>-6.9211948701855763E-2</v>
      </c>
      <c r="J508" s="20">
        <f t="shared" si="39"/>
        <v>0.45966759006083047</v>
      </c>
    </row>
    <row r="509" spans="1:10" ht="15" customHeight="1">
      <c r="A509" s="18" t="str">
        <f>Analysis!A509</f>
        <v>6/2000</v>
      </c>
      <c r="B509" s="19">
        <f>Analysis!E509</f>
        <v>0.40000000000000213</v>
      </c>
      <c r="C509" s="20">
        <f>Analysis!F509</f>
        <v>0.40937153842691504</v>
      </c>
      <c r="D509" s="19">
        <f t="shared" si="40"/>
        <v>-0.98</v>
      </c>
      <c r="E509" s="19">
        <f>Solar!D509</f>
        <v>1361.39</v>
      </c>
      <c r="F509" s="30">
        <v>-0.62</v>
      </c>
      <c r="G509" s="20">
        <f t="shared" si="36"/>
        <v>-0.13248994165542738</v>
      </c>
      <c r="H509" s="20">
        <f t="shared" si="37"/>
        <v>0.4448614966089689</v>
      </c>
      <c r="I509" s="20">
        <f t="shared" si="38"/>
        <v>-4.4861496608966767E-2</v>
      </c>
      <c r="J509" s="20">
        <f t="shared" si="39"/>
        <v>0.48529701449176077</v>
      </c>
    </row>
    <row r="510" spans="1:10" ht="15" customHeight="1">
      <c r="A510" s="18" t="str">
        <f>Analysis!A510</f>
        <v>7/2000</v>
      </c>
      <c r="B510" s="19">
        <f>Analysis!E510</f>
        <v>0.38999999999999879</v>
      </c>
      <c r="C510" s="20">
        <f>Analysis!F510</f>
        <v>0.40217642497948264</v>
      </c>
      <c r="D510" s="19">
        <f t="shared" si="40"/>
        <v>-0.81</v>
      </c>
      <c r="E510" s="19">
        <f>Solar!D510</f>
        <v>1361.51</v>
      </c>
      <c r="F510" s="30">
        <v>-0.48</v>
      </c>
      <c r="G510" s="20">
        <f t="shared" si="36"/>
        <v>-0.12282158568408275</v>
      </c>
      <c r="H510" s="20">
        <f t="shared" si="37"/>
        <v>0.43989440762356408</v>
      </c>
      <c r="I510" s="20">
        <f t="shared" si="38"/>
        <v>-4.9894407623565284E-2</v>
      </c>
      <c r="J510" s="20">
        <f t="shared" si="39"/>
        <v>0.46050059361053403</v>
      </c>
    </row>
    <row r="511" spans="1:10" ht="15" customHeight="1">
      <c r="A511" s="18" t="str">
        <f>Analysis!A511</f>
        <v>8/2000</v>
      </c>
      <c r="B511" s="19">
        <f>Analysis!E511</f>
        <v>0.42000000000000348</v>
      </c>
      <c r="C511" s="20">
        <f>Analysis!F511</f>
        <v>0.39533705007270242</v>
      </c>
      <c r="D511" s="19">
        <f t="shared" si="40"/>
        <v>-0.67</v>
      </c>
      <c r="E511" s="19">
        <f>Solar!D511</f>
        <v>1362.02</v>
      </c>
      <c r="F511" s="30">
        <v>-0.4</v>
      </c>
      <c r="G511" s="20">
        <f t="shared" si="36"/>
        <v>-7.4125666395124967E-2</v>
      </c>
      <c r="H511" s="20">
        <f t="shared" si="37"/>
        <v>0.43329332679289118</v>
      </c>
      <c r="I511" s="20">
        <f t="shared" si="38"/>
        <v>-1.3293326792887694E-2</v>
      </c>
      <c r="J511" s="20">
        <f t="shared" si="39"/>
        <v>0.47831530582600174</v>
      </c>
    </row>
    <row r="512" spans="1:10" ht="15" customHeight="1">
      <c r="A512" s="18" t="str">
        <f>Analysis!A512</f>
        <v>9/2000</v>
      </c>
      <c r="B512" s="19">
        <f>Analysis!E512</f>
        <v>0.38999999999999879</v>
      </c>
      <c r="C512" s="20">
        <f>Analysis!F512</f>
        <v>0.39094277280254291</v>
      </c>
      <c r="D512" s="19">
        <f t="shared" si="40"/>
        <v>-0.62</v>
      </c>
      <c r="E512" s="19">
        <f>Solar!D512</f>
        <v>1361.41</v>
      </c>
      <c r="F512" s="30">
        <v>-0.42</v>
      </c>
      <c r="G512" s="20">
        <f t="shared" si="36"/>
        <v>-9.211359595068902E-2</v>
      </c>
      <c r="H512" s="20">
        <f t="shared" si="37"/>
        <v>0.42557503142994957</v>
      </c>
      <c r="I512" s="20">
        <f t="shared" si="38"/>
        <v>-3.5575031429950776E-2</v>
      </c>
      <c r="J512" s="20">
        <f t="shared" si="39"/>
        <v>0.44396341733151956</v>
      </c>
    </row>
    <row r="513" spans="1:10" ht="15" customHeight="1">
      <c r="A513" s="18" t="str">
        <f>Analysis!A513</f>
        <v>10/2000</v>
      </c>
      <c r="B513" s="19">
        <f>Analysis!E513</f>
        <v>0.27000000000000135</v>
      </c>
      <c r="C513" s="20">
        <f>Analysis!F513</f>
        <v>0.39106065128020484</v>
      </c>
      <c r="D513" s="19">
        <f t="shared" si="40"/>
        <v>-0.48</v>
      </c>
      <c r="E513" s="19">
        <f>Solar!D513</f>
        <v>1362.03</v>
      </c>
      <c r="F513" s="30">
        <v>-0.54</v>
      </c>
      <c r="G513" s="20">
        <f t="shared" si="36"/>
        <v>-0.21243582517986448</v>
      </c>
      <c r="H513" s="20">
        <f t="shared" si="37"/>
        <v>0.43808410736228359</v>
      </c>
      <c r="I513" s="20">
        <f t="shared" si="38"/>
        <v>-0.16808410736228224</v>
      </c>
      <c r="J513" s="20">
        <f t="shared" si="39"/>
        <v>0.31177812954698519</v>
      </c>
    </row>
    <row r="514" spans="1:10" ht="15" customHeight="1">
      <c r="A514" s="18" t="str">
        <f>Analysis!A514</f>
        <v>11/2000</v>
      </c>
      <c r="B514" s="19">
        <f>Analysis!E514</f>
        <v>0.30000000000000249</v>
      </c>
      <c r="C514" s="20">
        <f>Analysis!F514</f>
        <v>0.39635523879745971</v>
      </c>
      <c r="D514" s="19">
        <f t="shared" si="40"/>
        <v>-0.4</v>
      </c>
      <c r="E514" s="19">
        <f>Solar!D514</f>
        <v>1361.89</v>
      </c>
      <c r="F514" s="30">
        <v>-0.76</v>
      </c>
      <c r="G514" s="20">
        <f t="shared" ref="G514:G577" si="41">B514-($N$4+$N$5*C514)</f>
        <v>-0.19690895792080509</v>
      </c>
      <c r="H514" s="20">
        <f t="shared" ref="H514:H577" si="42">IF(D514="","",$N$14+$N$15*C514+$N$16*D514)</f>
        <v>0.45959028152518833</v>
      </c>
      <c r="I514" s="20">
        <f t="shared" ref="I514:I577" si="43">IF(D514="","",B514-H514)</f>
        <v>-0.15959028152518584</v>
      </c>
      <c r="J514" s="20">
        <f t="shared" ref="J514:J577" si="44">IF(D514="","",B514-$N$16*D514)</f>
        <v>0.33481510795582237</v>
      </c>
    </row>
    <row r="515" spans="1:10" ht="15" customHeight="1">
      <c r="A515" s="18" t="str">
        <f>Analysis!A515</f>
        <v>12/2000</v>
      </c>
      <c r="B515" s="19">
        <f>Analysis!E515</f>
        <v>0.28000000000000114</v>
      </c>
      <c r="C515" s="20">
        <f>Analysis!F515</f>
        <v>0.40143543136241211</v>
      </c>
      <c r="D515" s="19">
        <f t="shared" si="40"/>
        <v>-0.42</v>
      </c>
      <c r="E515" s="19">
        <f>Solar!D515</f>
        <v>1361.99</v>
      </c>
      <c r="F515" s="30">
        <v>-0.78</v>
      </c>
      <c r="G515" s="20">
        <f t="shared" si="41"/>
        <v>-0.23079602676280431</v>
      </c>
      <c r="H515" s="20">
        <f t="shared" si="42"/>
        <v>0.4718037794710519</v>
      </c>
      <c r="I515" s="20">
        <f t="shared" si="43"/>
        <v>-0.19180377947105076</v>
      </c>
      <c r="J515" s="20">
        <f t="shared" si="44"/>
        <v>0.31655586335361197</v>
      </c>
    </row>
    <row r="516" spans="1:10" ht="15" customHeight="1">
      <c r="A516" s="18" t="str">
        <f>Analysis!A516</f>
        <v>1/2001</v>
      </c>
      <c r="B516" s="19">
        <f>Analysis!E516</f>
        <v>0.44999999999999751</v>
      </c>
      <c r="C516" s="20">
        <f>Analysis!F516</f>
        <v>0.40505877786528899</v>
      </c>
      <c r="D516" s="19">
        <f t="shared" si="40"/>
        <v>-0.54</v>
      </c>
      <c r="E516" s="19">
        <f>Solar!D516</f>
        <v>1361.81</v>
      </c>
      <c r="F516" s="30">
        <v>-0.76</v>
      </c>
      <c r="G516" s="20">
        <f t="shared" si="41"/>
        <v>-7.0700702949887728E-2</v>
      </c>
      <c r="H516" s="20">
        <f t="shared" si="42"/>
        <v>0.47131184128355014</v>
      </c>
      <c r="I516" s="20">
        <f t="shared" si="43"/>
        <v>-2.1311841283552624E-2</v>
      </c>
      <c r="J516" s="20">
        <f t="shared" si="44"/>
        <v>0.49700039574035432</v>
      </c>
    </row>
    <row r="517" spans="1:10" ht="15" customHeight="1">
      <c r="A517" s="18" t="str">
        <f>Analysis!A517</f>
        <v>2/2001</v>
      </c>
      <c r="B517" s="19">
        <f>Analysis!E517</f>
        <v>0.44000000000000483</v>
      </c>
      <c r="C517" s="20">
        <f>Analysis!F517</f>
        <v>0.40867304708140773</v>
      </c>
      <c r="D517" s="19">
        <f t="shared" ref="D517:D580" si="45">IF(F514="","",F514)</f>
        <v>-0.76</v>
      </c>
      <c r="E517" s="19">
        <f>Solar!D517</f>
        <v>1361.84</v>
      </c>
      <c r="F517" s="30">
        <v>-0.54</v>
      </c>
      <c r="G517" s="20">
        <f t="shared" si="41"/>
        <v>-9.0580565725953188E-2</v>
      </c>
      <c r="H517" s="20">
        <f t="shared" si="42"/>
        <v>0.4620911926508362</v>
      </c>
      <c r="I517" s="20">
        <f t="shared" si="43"/>
        <v>-2.2091192650831371E-2</v>
      </c>
      <c r="J517" s="20">
        <f t="shared" si="44"/>
        <v>0.50614870511606258</v>
      </c>
    </row>
    <row r="518" spans="1:10" ht="15" customHeight="1">
      <c r="A518" s="18" t="str">
        <f>Analysis!A518</f>
        <v>3/2001</v>
      </c>
      <c r="B518" s="19">
        <f>Analysis!E518</f>
        <v>0.54999999999999893</v>
      </c>
      <c r="C518" s="20">
        <f>Analysis!F518</f>
        <v>0.4123170014542763</v>
      </c>
      <c r="D518" s="19">
        <f t="shared" si="45"/>
        <v>-0.78</v>
      </c>
      <c r="E518" s="19">
        <f>Solar!D518</f>
        <v>1361.37</v>
      </c>
      <c r="F518" s="30">
        <v>-0.43</v>
      </c>
      <c r="G518" s="20">
        <f t="shared" si="41"/>
        <v>9.4584250039918549E-3</v>
      </c>
      <c r="H518" s="20">
        <f t="shared" si="42"/>
        <v>0.47035963707010048</v>
      </c>
      <c r="I518" s="20">
        <f t="shared" si="43"/>
        <v>7.9640362929898456E-2</v>
      </c>
      <c r="J518" s="20">
        <f t="shared" si="44"/>
        <v>0.61788946051384763</v>
      </c>
    </row>
    <row r="519" spans="1:10" ht="15" customHeight="1">
      <c r="A519" s="18" t="str">
        <f>Analysis!A519</f>
        <v>4/2001</v>
      </c>
      <c r="B519" s="19">
        <f>Analysis!E519</f>
        <v>0.5</v>
      </c>
      <c r="C519" s="20">
        <f>Analysis!F519</f>
        <v>0.41587453478450814</v>
      </c>
      <c r="D519" s="19">
        <f t="shared" si="45"/>
        <v>-0.76</v>
      </c>
      <c r="E519" s="19">
        <f>Solar!D519</f>
        <v>1361.33</v>
      </c>
      <c r="F519" s="30">
        <v>-0.28999999999999998</v>
      </c>
      <c r="G519" s="20">
        <f t="shared" si="41"/>
        <v>-5.0266346179970056E-2</v>
      </c>
      <c r="H519" s="20">
        <f t="shared" si="42"/>
        <v>0.48187221129834845</v>
      </c>
      <c r="I519" s="20">
        <f t="shared" si="43"/>
        <v>1.8127788701651548E-2</v>
      </c>
      <c r="J519" s="20">
        <f t="shared" si="44"/>
        <v>0.56614870511605775</v>
      </c>
    </row>
    <row r="520" spans="1:10" ht="15" customHeight="1">
      <c r="A520" s="18" t="str">
        <f>Analysis!A520</f>
        <v>5/2001</v>
      </c>
      <c r="B520" s="19">
        <f>Analysis!E520</f>
        <v>0.57000000000000028</v>
      </c>
      <c r="C520" s="20">
        <f>Analysis!F520</f>
        <v>0.41772716250271424</v>
      </c>
      <c r="D520" s="19">
        <f t="shared" si="45"/>
        <v>-0.54</v>
      </c>
      <c r="E520" s="19">
        <f>Solar!D520</f>
        <v>1361.59</v>
      </c>
      <c r="F520" s="30">
        <v>-0.19</v>
      </c>
      <c r="G520" s="20">
        <f t="shared" si="41"/>
        <v>1.4669363769528432E-2</v>
      </c>
      <c r="H520" s="20">
        <f t="shared" si="42"/>
        <v>0.50610931134503201</v>
      </c>
      <c r="I520" s="20">
        <f t="shared" si="43"/>
        <v>6.3890688654968275E-2</v>
      </c>
      <c r="J520" s="20">
        <f t="shared" si="44"/>
        <v>0.61700039574035714</v>
      </c>
    </row>
    <row r="521" spans="1:10" ht="15" customHeight="1">
      <c r="A521" s="18" t="str">
        <f>Analysis!A521</f>
        <v>6/2001</v>
      </c>
      <c r="B521" s="19">
        <f>Analysis!E521</f>
        <v>0.52999999999999758</v>
      </c>
      <c r="C521" s="20">
        <f>Analysis!F521</f>
        <v>0.41529510039387307</v>
      </c>
      <c r="D521" s="19">
        <f t="shared" si="45"/>
        <v>-0.43</v>
      </c>
      <c r="E521" s="19">
        <f>Solar!D521</f>
        <v>1361.49</v>
      </c>
      <c r="F521" s="30">
        <v>-0.08</v>
      </c>
      <c r="G521" s="20">
        <f t="shared" si="41"/>
        <v>-1.8682420931216526E-2</v>
      </c>
      <c r="H521" s="20">
        <f t="shared" si="42"/>
        <v>0.50900308721251963</v>
      </c>
      <c r="I521" s="20">
        <f t="shared" si="43"/>
        <v>2.099691278747795E-2</v>
      </c>
      <c r="J521" s="20">
        <f t="shared" si="44"/>
        <v>0.56742624105250394</v>
      </c>
    </row>
    <row r="522" spans="1:10" ht="15" customHeight="1">
      <c r="A522" s="18" t="str">
        <f>Analysis!A522</f>
        <v>7/2001</v>
      </c>
      <c r="B522" s="19">
        <f>Analysis!E522</f>
        <v>0.58999999999999986</v>
      </c>
      <c r="C522" s="20">
        <f>Analysis!F522</f>
        <v>0.40863423208911642</v>
      </c>
      <c r="D522" s="19">
        <f t="shared" si="45"/>
        <v>-0.28999999999999998</v>
      </c>
      <c r="E522" s="19">
        <f>Solar!D522</f>
        <v>1361.72</v>
      </c>
      <c r="F522" s="30">
        <v>-0.05</v>
      </c>
      <c r="G522" s="20">
        <f t="shared" si="41"/>
        <v>5.9525537824873687E-2</v>
      </c>
      <c r="H522" s="20">
        <f t="shared" si="42"/>
        <v>0.50289232762780423</v>
      </c>
      <c r="I522" s="20">
        <f t="shared" si="43"/>
        <v>8.7107672372195633E-2</v>
      </c>
      <c r="J522" s="20">
        <f t="shared" si="44"/>
        <v>0.61524095326796924</v>
      </c>
    </row>
    <row r="523" spans="1:10" ht="15" customHeight="1">
      <c r="A523" s="18" t="str">
        <f>Analysis!A523</f>
        <v>8/2001</v>
      </c>
      <c r="B523" s="19">
        <f>Analysis!E523</f>
        <v>0.47999999999999865</v>
      </c>
      <c r="C523" s="20">
        <f>Analysis!F523</f>
        <v>0.40124036977007455</v>
      </c>
      <c r="D523" s="19">
        <f t="shared" si="45"/>
        <v>-0.19</v>
      </c>
      <c r="E523" s="19">
        <f>Solar!D523</f>
        <v>1361.42</v>
      </c>
      <c r="F523" s="30">
        <v>-0.13</v>
      </c>
      <c r="G523" s="20">
        <f t="shared" si="41"/>
        <v>-3.026281198273939E-2</v>
      </c>
      <c r="H523" s="20">
        <f t="shared" si="42"/>
        <v>0.49128667211614707</v>
      </c>
      <c r="I523" s="20">
        <f t="shared" si="43"/>
        <v>-1.1286672116148422E-2</v>
      </c>
      <c r="J523" s="20">
        <f t="shared" si="44"/>
        <v>0.49653717627901306</v>
      </c>
    </row>
    <row r="524" spans="1:10" ht="15" customHeight="1">
      <c r="A524" s="18" t="str">
        <f>Analysis!A524</f>
        <v>9/2001</v>
      </c>
      <c r="B524" s="19">
        <f>Analysis!E524</f>
        <v>0.5199999999999978</v>
      </c>
      <c r="C524" s="20">
        <f>Analysis!F524</f>
        <v>0.39561124850380214</v>
      </c>
      <c r="D524" s="19">
        <f t="shared" si="45"/>
        <v>-0.08</v>
      </c>
      <c r="E524" s="19">
        <f>Solar!D524</f>
        <v>1361.16</v>
      </c>
      <c r="F524" s="30">
        <v>-0.15</v>
      </c>
      <c r="G524" s="20">
        <f t="shared" si="41"/>
        <v>2.5124792629726334E-2</v>
      </c>
      <c r="H524" s="20">
        <f t="shared" si="42"/>
        <v>0.48539877822071625</v>
      </c>
      <c r="I524" s="20">
        <f t="shared" si="43"/>
        <v>3.4601221779281544E-2</v>
      </c>
      <c r="J524" s="20">
        <f t="shared" si="44"/>
        <v>0.52696302159116182</v>
      </c>
    </row>
    <row r="525" spans="1:10" ht="15" customHeight="1">
      <c r="A525" s="18" t="str">
        <f>Analysis!A525</f>
        <v>10/2001</v>
      </c>
      <c r="B525" s="19">
        <f>Analysis!E525</f>
        <v>0.5</v>
      </c>
      <c r="C525" s="20">
        <f>Analysis!F525</f>
        <v>0.39666838312207731</v>
      </c>
      <c r="D525" s="19">
        <f t="shared" si="45"/>
        <v>-0.05</v>
      </c>
      <c r="E525" s="19">
        <f>Solar!D525</f>
        <v>1361.78</v>
      </c>
      <c r="F525" s="30">
        <v>-0.26</v>
      </c>
      <c r="G525" s="20">
        <f t="shared" si="41"/>
        <v>2.2350397253748655E-3</v>
      </c>
      <c r="H525" s="20">
        <f t="shared" si="42"/>
        <v>0.49091364460962622</v>
      </c>
      <c r="I525" s="20">
        <f t="shared" si="43"/>
        <v>9.0863553903737793E-3</v>
      </c>
      <c r="J525" s="20">
        <f t="shared" si="44"/>
        <v>0.50435188849447743</v>
      </c>
    </row>
    <row r="526" spans="1:10" ht="15" customHeight="1">
      <c r="A526" s="18" t="str">
        <f>Analysis!A526</f>
        <v>11/2001</v>
      </c>
      <c r="B526" s="19">
        <f>Analysis!E526</f>
        <v>0.72000000000000242</v>
      </c>
      <c r="C526" s="20">
        <f>Analysis!F526</f>
        <v>0.40186447405316023</v>
      </c>
      <c r="D526" s="19">
        <f t="shared" si="45"/>
        <v>-0.13</v>
      </c>
      <c r="E526" s="19">
        <f>Solar!D526</f>
        <v>1361.43</v>
      </c>
      <c r="F526" s="30">
        <v>-0.33</v>
      </c>
      <c r="G526" s="20">
        <f t="shared" si="41"/>
        <v>0.20803115443035092</v>
      </c>
      <c r="H526" s="20">
        <f t="shared" si="42"/>
        <v>0.49822322554719678</v>
      </c>
      <c r="I526" s="20">
        <f t="shared" si="43"/>
        <v>0.22177677445280564</v>
      </c>
      <c r="J526" s="20">
        <f t="shared" si="44"/>
        <v>0.73131491008564387</v>
      </c>
    </row>
    <row r="527" spans="1:10" ht="15" customHeight="1">
      <c r="A527" s="18" t="str">
        <f>Analysis!A527</f>
        <v>12/2001</v>
      </c>
      <c r="B527" s="19">
        <f>Analysis!E527</f>
        <v>0.54999999999999893</v>
      </c>
      <c r="C527" s="20">
        <f>Analysis!F527</f>
        <v>0.40762467556660881</v>
      </c>
      <c r="D527" s="19">
        <f t="shared" si="45"/>
        <v>-0.15</v>
      </c>
      <c r="E527" s="19">
        <f>Solar!D527</f>
        <v>1361.89</v>
      </c>
      <c r="F527" s="30">
        <v>-0.32</v>
      </c>
      <c r="G527" s="20">
        <f t="shared" si="41"/>
        <v>2.2285232609805194E-2</v>
      </c>
      <c r="H527" s="20">
        <f t="shared" si="42"/>
        <v>0.51230456945006819</v>
      </c>
      <c r="I527" s="20">
        <f t="shared" si="43"/>
        <v>3.7695430549930742E-2</v>
      </c>
      <c r="J527" s="20">
        <f t="shared" si="44"/>
        <v>0.56305566548343133</v>
      </c>
    </row>
    <row r="528" spans="1:10" ht="15" customHeight="1">
      <c r="A528" s="18" t="str">
        <f>Analysis!A528</f>
        <v>1/2002</v>
      </c>
      <c r="B528" s="19">
        <f>Analysis!E528</f>
        <v>0.77000000000000135</v>
      </c>
      <c r="C528" s="20">
        <f>Analysis!F528</f>
        <v>0.4125879918965209</v>
      </c>
      <c r="D528" s="19">
        <f t="shared" si="45"/>
        <v>-0.26</v>
      </c>
      <c r="E528" s="19">
        <f>Solar!D528</f>
        <v>1362.43</v>
      </c>
      <c r="F528" s="30">
        <v>-0.15</v>
      </c>
      <c r="G528" s="20">
        <f t="shared" si="41"/>
        <v>0.22871765329527272</v>
      </c>
      <c r="H528" s="20">
        <f t="shared" si="42"/>
        <v>0.51636363291424259</v>
      </c>
      <c r="I528" s="20">
        <f t="shared" si="43"/>
        <v>0.25363636708575876</v>
      </c>
      <c r="J528" s="20">
        <f t="shared" si="44"/>
        <v>0.79262982017128425</v>
      </c>
    </row>
    <row r="529" spans="1:10" ht="15" customHeight="1">
      <c r="A529" s="18" t="str">
        <f>Analysis!A529</f>
        <v>2/2002</v>
      </c>
      <c r="B529" s="19">
        <f>Analysis!E529</f>
        <v>0.77999999999999758</v>
      </c>
      <c r="C529" s="20">
        <f>Analysis!F529</f>
        <v>0.41517918558409256</v>
      </c>
      <c r="D529" s="19">
        <f t="shared" si="45"/>
        <v>-0.33</v>
      </c>
      <c r="E529" s="19">
        <f>Solar!D529</f>
        <v>1362.26</v>
      </c>
      <c r="F529" s="30">
        <v>7.0000000000000007E-2</v>
      </c>
      <c r="G529" s="20">
        <f t="shared" si="41"/>
        <v>0.23163444047170245</v>
      </c>
      <c r="H529" s="20">
        <f t="shared" si="42"/>
        <v>0.51738846984904052</v>
      </c>
      <c r="I529" s="20">
        <f t="shared" si="43"/>
        <v>0.26261153015095706</v>
      </c>
      <c r="J529" s="20">
        <f t="shared" si="44"/>
        <v>0.80872246406354897</v>
      </c>
    </row>
    <row r="530" spans="1:10" ht="15" customHeight="1">
      <c r="A530" s="18" t="str">
        <f>Analysis!A530</f>
        <v>3/2002</v>
      </c>
      <c r="B530" s="19">
        <f>Analysis!E530</f>
        <v>0.88000000000000256</v>
      </c>
      <c r="C530" s="20">
        <f>Analysis!F530</f>
        <v>0.41876822106763295</v>
      </c>
      <c r="D530" s="19">
        <f t="shared" si="45"/>
        <v>-0.32</v>
      </c>
      <c r="E530" s="19">
        <f>Solar!D530</f>
        <v>1362.05</v>
      </c>
      <c r="F530" s="30">
        <v>0.11</v>
      </c>
      <c r="G530" s="20">
        <f t="shared" si="41"/>
        <v>0.32182355590403444</v>
      </c>
      <c r="H530" s="20">
        <f t="shared" si="42"/>
        <v>0.52811719637160059</v>
      </c>
      <c r="I530" s="20">
        <f t="shared" si="43"/>
        <v>0.35188280362840196</v>
      </c>
      <c r="J530" s="20">
        <f t="shared" si="44"/>
        <v>0.90785208636465842</v>
      </c>
    </row>
    <row r="531" spans="1:10" ht="15" customHeight="1">
      <c r="A531" s="18" t="str">
        <f>Analysis!A531</f>
        <v>4/2002</v>
      </c>
      <c r="B531" s="19">
        <f>Analysis!E531</f>
        <v>0.58000000000000007</v>
      </c>
      <c r="C531" s="20">
        <f>Analysis!F531</f>
        <v>0.4221945488102623</v>
      </c>
      <c r="D531" s="19">
        <f t="shared" si="45"/>
        <v>-0.15</v>
      </c>
      <c r="E531" s="19">
        <f>Solar!D531</f>
        <v>1361.52</v>
      </c>
      <c r="F531" s="30">
        <v>0.15</v>
      </c>
      <c r="G531" s="20">
        <f t="shared" si="41"/>
        <v>1.2457444555142971E-2</v>
      </c>
      <c r="H531" s="20">
        <f t="shared" si="42"/>
        <v>0.55232504108130065</v>
      </c>
      <c r="I531" s="20">
        <f t="shared" si="43"/>
        <v>2.7674958918699422E-2</v>
      </c>
      <c r="J531" s="20">
        <f t="shared" si="44"/>
        <v>0.59305566548343247</v>
      </c>
    </row>
    <row r="532" spans="1:10" ht="15" customHeight="1">
      <c r="A532" s="18" t="str">
        <f>Analysis!A532</f>
        <v>5/2002</v>
      </c>
      <c r="B532" s="19">
        <f>Analysis!E532</f>
        <v>0.64000000000000234</v>
      </c>
      <c r="C532" s="20">
        <f>Analysis!F532</f>
        <v>0.42503722288541401</v>
      </c>
      <c r="D532" s="19">
        <f t="shared" si="45"/>
        <v>7.0000000000000007E-2</v>
      </c>
      <c r="E532" s="19">
        <f>Solar!D532</f>
        <v>1361.57</v>
      </c>
      <c r="F532" s="30">
        <v>0.3</v>
      </c>
      <c r="G532" s="20">
        <f t="shared" si="41"/>
        <v>6.4686792149302064E-2</v>
      </c>
      <c r="H532" s="20">
        <f t="shared" si="42"/>
        <v>0.57928159664273982</v>
      </c>
      <c r="I532" s="20">
        <f t="shared" si="43"/>
        <v>6.0718403357262529E-2</v>
      </c>
      <c r="J532" s="20">
        <f t="shared" si="44"/>
        <v>0.63390735610773385</v>
      </c>
    </row>
    <row r="533" spans="1:10" ht="15" customHeight="1">
      <c r="A533" s="18" t="str">
        <f>Analysis!A533</f>
        <v>6/2002</v>
      </c>
      <c r="B533" s="19">
        <f>Analysis!E533</f>
        <v>0.52999999999999758</v>
      </c>
      <c r="C533" s="20">
        <f>Analysis!F533</f>
        <v>0.42411588811097739</v>
      </c>
      <c r="D533" s="19">
        <f t="shared" si="45"/>
        <v>0.11</v>
      </c>
      <c r="E533" s="19">
        <f>Solar!D533</f>
        <v>1361.63</v>
      </c>
      <c r="F533" s="30">
        <v>0.45</v>
      </c>
      <c r="G533" s="20">
        <f t="shared" si="41"/>
        <v>-4.2794673508639192E-2</v>
      </c>
      <c r="H533" s="20">
        <f t="shared" si="42"/>
        <v>0.58023238863338855</v>
      </c>
      <c r="I533" s="20">
        <f t="shared" si="43"/>
        <v>-5.0232388633390967E-2</v>
      </c>
      <c r="J533" s="20">
        <f t="shared" si="44"/>
        <v>0.52042584531214708</v>
      </c>
    </row>
    <row r="534" spans="1:10" ht="15" customHeight="1">
      <c r="A534" s="18" t="str">
        <f>Analysis!A534</f>
        <v>7/2002</v>
      </c>
      <c r="B534" s="19">
        <f>Analysis!E534</f>
        <v>0.61000000000000121</v>
      </c>
      <c r="C534" s="20">
        <f>Analysis!F534</f>
        <v>0.41822850669924977</v>
      </c>
      <c r="D534" s="19">
        <f t="shared" si="45"/>
        <v>0.15</v>
      </c>
      <c r="E534" s="19">
        <f>Solar!D534</f>
        <v>1361.01</v>
      </c>
      <c r="F534" s="30">
        <v>0.56999999999999995</v>
      </c>
      <c r="G534" s="20">
        <f t="shared" si="41"/>
        <v>5.3298903637987061E-2</v>
      </c>
      <c r="H534" s="20">
        <f t="shared" si="42"/>
        <v>0.56754246287423438</v>
      </c>
      <c r="I534" s="20">
        <f t="shared" si="43"/>
        <v>4.2457537125766831E-2</v>
      </c>
      <c r="J534" s="20">
        <f t="shared" si="44"/>
        <v>0.59694433451656881</v>
      </c>
    </row>
    <row r="535" spans="1:10" ht="15" customHeight="1">
      <c r="A535" s="18" t="str">
        <f>Analysis!A535</f>
        <v>8/2002</v>
      </c>
      <c r="B535" s="19">
        <f>Analysis!E535</f>
        <v>0.52999999999999758</v>
      </c>
      <c r="C535" s="20">
        <f>Analysis!F535</f>
        <v>0.40999213584619632</v>
      </c>
      <c r="D535" s="19">
        <f t="shared" si="45"/>
        <v>0.3</v>
      </c>
      <c r="E535" s="19">
        <f>Solar!D535</f>
        <v>1361.19</v>
      </c>
      <c r="F535" s="30">
        <v>0.63</v>
      </c>
      <c r="G535" s="20">
        <f t="shared" si="41"/>
        <v>-4.1863889799252929E-3</v>
      </c>
      <c r="H535" s="20">
        <f t="shared" si="42"/>
        <v>0.55797449666529664</v>
      </c>
      <c r="I535" s="20">
        <f t="shared" si="43"/>
        <v>-2.7974496665299053E-2</v>
      </c>
      <c r="J535" s="20">
        <f t="shared" si="44"/>
        <v>0.50388866903313267</v>
      </c>
    </row>
    <row r="536" spans="1:10" ht="15" customHeight="1">
      <c r="A536" s="18" t="str">
        <f>Analysis!A536</f>
        <v>9/2002</v>
      </c>
      <c r="B536" s="19">
        <f>Analysis!E536</f>
        <v>0.64000000000000234</v>
      </c>
      <c r="C536" s="20">
        <f>Analysis!F536</f>
        <v>0.40568123285968838</v>
      </c>
      <c r="D536" s="19">
        <f t="shared" si="45"/>
        <v>0.45</v>
      </c>
      <c r="E536" s="19">
        <f>Solar!D536</f>
        <v>1361.35</v>
      </c>
      <c r="F536" s="30">
        <v>0.78</v>
      </c>
      <c r="G536" s="20">
        <f t="shared" si="41"/>
        <v>0.11759777191150234</v>
      </c>
      <c r="H536" s="20">
        <f t="shared" si="42"/>
        <v>0.55918899045207859</v>
      </c>
      <c r="I536" s="20">
        <f t="shared" si="43"/>
        <v>8.0811009547923751E-2</v>
      </c>
      <c r="J536" s="20">
        <f t="shared" si="44"/>
        <v>0.60083300354970504</v>
      </c>
    </row>
    <row r="537" spans="1:10" ht="15" customHeight="1">
      <c r="A537" s="18" t="str">
        <f>Analysis!A537</f>
        <v>10/2002</v>
      </c>
      <c r="B537" s="19">
        <f>Analysis!E537</f>
        <v>0.53999999999999915</v>
      </c>
      <c r="C537" s="20">
        <f>Analysis!F537</f>
        <v>0.40494203764964165</v>
      </c>
      <c r="D537" s="19">
        <f t="shared" si="45"/>
        <v>0.56999999999999995</v>
      </c>
      <c r="E537" s="19">
        <f>Solar!D537</f>
        <v>1361.46</v>
      </c>
      <c r="F537" s="30">
        <v>0.99</v>
      </c>
      <c r="G537" s="20">
        <f t="shared" si="41"/>
        <v>1.9618414758861502E-2</v>
      </c>
      <c r="H537" s="20">
        <f t="shared" si="42"/>
        <v>0.56760310428686467</v>
      </c>
      <c r="I537" s="20">
        <f t="shared" si="43"/>
        <v>-2.7603104286865521E-2</v>
      </c>
      <c r="J537" s="20">
        <f t="shared" si="44"/>
        <v>0.49038847116295586</v>
      </c>
    </row>
    <row r="538" spans="1:10" ht="15" customHeight="1">
      <c r="A538" s="18" t="str">
        <f>Analysis!A538</f>
        <v>11/2002</v>
      </c>
      <c r="B538" s="19">
        <f>Analysis!E538</f>
        <v>0.58999999999999986</v>
      </c>
      <c r="C538" s="20">
        <f>Analysis!F538</f>
        <v>0.41154246245041559</v>
      </c>
      <c r="D538" s="19">
        <f t="shared" si="45"/>
        <v>0.63</v>
      </c>
      <c r="E538" s="19">
        <f>Solar!D538</f>
        <v>1361.37</v>
      </c>
      <c r="F538" s="30">
        <v>1.19</v>
      </c>
      <c r="G538" s="20">
        <f t="shared" si="41"/>
        <v>5.1575682633483111E-2</v>
      </c>
      <c r="H538" s="20">
        <f t="shared" si="42"/>
        <v>0.59095539186587442</v>
      </c>
      <c r="I538" s="20">
        <f t="shared" si="43"/>
        <v>-9.5539186587456637E-4</v>
      </c>
      <c r="J538" s="20">
        <f t="shared" si="44"/>
        <v>0.53516620496958356</v>
      </c>
    </row>
    <row r="539" spans="1:10" ht="15" customHeight="1">
      <c r="A539" s="18" t="str">
        <f>Analysis!A539</f>
        <v>12/2002</v>
      </c>
      <c r="B539" s="19">
        <f>Analysis!E539</f>
        <v>0.44000000000000483</v>
      </c>
      <c r="C539" s="20">
        <f>Analysis!F539</f>
        <v>0.41753429141234943</v>
      </c>
      <c r="D539" s="19">
        <f t="shared" si="45"/>
        <v>0.78</v>
      </c>
      <c r="E539" s="19">
        <f>Solar!D539</f>
        <v>1361.8</v>
      </c>
      <c r="F539" s="30">
        <v>1.08</v>
      </c>
      <c r="G539" s="20">
        <f t="shared" si="41"/>
        <v>-0.11480340934383182</v>
      </c>
      <c r="H539" s="20">
        <f t="shared" si="42"/>
        <v>0.62046939003210644</v>
      </c>
      <c r="I539" s="20">
        <f t="shared" si="43"/>
        <v>-0.18046939003210161</v>
      </c>
      <c r="J539" s="20">
        <f t="shared" si="44"/>
        <v>0.37211053948615608</v>
      </c>
    </row>
    <row r="540" spans="1:10" ht="15" customHeight="1">
      <c r="A540" s="18" t="str">
        <f>Analysis!A540</f>
        <v>1/2003</v>
      </c>
      <c r="B540" s="19">
        <f>Analysis!E540</f>
        <v>0.75</v>
      </c>
      <c r="C540" s="20">
        <f>Analysis!F540</f>
        <v>0.42173304638074988</v>
      </c>
      <c r="D540" s="19">
        <f t="shared" si="45"/>
        <v>0.99</v>
      </c>
      <c r="E540" s="19">
        <f>Solar!D540</f>
        <v>1361.63</v>
      </c>
      <c r="F540" s="30">
        <v>0.9</v>
      </c>
      <c r="G540" s="20">
        <f t="shared" si="41"/>
        <v>0.18371899437386496</v>
      </c>
      <c r="H540" s="20">
        <f t="shared" si="42"/>
        <v>0.65028044566196774</v>
      </c>
      <c r="I540" s="20">
        <f t="shared" si="43"/>
        <v>9.9719554338032257E-2</v>
      </c>
      <c r="J540" s="20">
        <f t="shared" si="44"/>
        <v>0.66383260780934583</v>
      </c>
    </row>
    <row r="541" spans="1:10" ht="15" customHeight="1">
      <c r="A541" s="18" t="str">
        <f>Analysis!A541</f>
        <v>2/2003</v>
      </c>
      <c r="B541" s="19">
        <f>Analysis!E541</f>
        <v>0.58000000000000007</v>
      </c>
      <c r="C541" s="20">
        <f>Analysis!F541</f>
        <v>0.42461501748300506</v>
      </c>
      <c r="D541" s="19">
        <f t="shared" si="45"/>
        <v>1.19</v>
      </c>
      <c r="E541" s="19">
        <f>Solar!D541</f>
        <v>1361.59</v>
      </c>
      <c r="F541" s="30">
        <v>0.59</v>
      </c>
      <c r="G541" s="20">
        <f t="shared" si="41"/>
        <v>5.8409207406381336E-3</v>
      </c>
      <c r="H541" s="20">
        <f t="shared" si="42"/>
        <v>0.67560418674809952</v>
      </c>
      <c r="I541" s="20">
        <f t="shared" si="43"/>
        <v>-9.5604186748099451E-2</v>
      </c>
      <c r="J541" s="20">
        <f t="shared" si="44"/>
        <v>0.47642505383143596</v>
      </c>
    </row>
    <row r="542" spans="1:10" ht="15" customHeight="1">
      <c r="A542" s="18" t="str">
        <f>Analysis!A542</f>
        <v>3/2003</v>
      </c>
      <c r="B542" s="19">
        <f>Analysis!E542</f>
        <v>0.60000000000000142</v>
      </c>
      <c r="C542" s="20">
        <f>Analysis!F542</f>
        <v>0.42775939831875309</v>
      </c>
      <c r="D542" s="19">
        <f t="shared" si="45"/>
        <v>1.08</v>
      </c>
      <c r="E542" s="19">
        <f>Solar!D542</f>
        <v>1361.13</v>
      </c>
      <c r="F542" s="30">
        <v>0.38</v>
      </c>
      <c r="G542" s="20">
        <f t="shared" si="41"/>
        <v>1.7245531378287438E-2</v>
      </c>
      <c r="H542" s="20">
        <f t="shared" si="42"/>
        <v>0.67466700521234269</v>
      </c>
      <c r="I542" s="20">
        <f t="shared" si="43"/>
        <v>-7.4667005212341264E-2</v>
      </c>
      <c r="J542" s="20">
        <f t="shared" si="44"/>
        <v>0.50599920851928781</v>
      </c>
    </row>
    <row r="543" spans="1:10" ht="15" customHeight="1">
      <c r="A543" s="18" t="str">
        <f>Analysis!A543</f>
        <v>4/2003</v>
      </c>
      <c r="B543" s="19">
        <f>Analysis!E543</f>
        <v>0.54999999999999893</v>
      </c>
      <c r="C543" s="20">
        <f>Analysis!F543</f>
        <v>0.43265404267746627</v>
      </c>
      <c r="D543" s="19">
        <f t="shared" si="45"/>
        <v>0.9</v>
      </c>
      <c r="E543" s="19">
        <f>Solar!D543</f>
        <v>1361.11</v>
      </c>
      <c r="F543" s="30">
        <v>-0.01</v>
      </c>
      <c r="G543" s="20">
        <f t="shared" si="41"/>
        <v>-4.613432820331409E-2</v>
      </c>
      <c r="H543" s="20">
        <f t="shared" si="42"/>
        <v>0.67244479687862002</v>
      </c>
      <c r="I543" s="20">
        <f t="shared" si="43"/>
        <v>-0.12244479687862109</v>
      </c>
      <c r="J543" s="20">
        <f t="shared" si="44"/>
        <v>0.47166600709940426</v>
      </c>
    </row>
    <row r="544" spans="1:10" ht="15" customHeight="1">
      <c r="A544" s="18" t="str">
        <f>Analysis!A544</f>
        <v>5/2003</v>
      </c>
      <c r="B544" s="19">
        <f>Analysis!E544</f>
        <v>0.60000000000000142</v>
      </c>
      <c r="C544" s="20">
        <f>Analysis!F544</f>
        <v>0.43593332976445326</v>
      </c>
      <c r="D544" s="19">
        <f t="shared" si="45"/>
        <v>0.59</v>
      </c>
      <c r="E544" s="19">
        <f>Solar!D544</f>
        <v>1361.08</v>
      </c>
      <c r="F544" s="30">
        <v>-0.18</v>
      </c>
      <c r="G544" s="20">
        <f t="shared" si="41"/>
        <v>-5.0984934288259565E-3</v>
      </c>
      <c r="H544" s="20">
        <f t="shared" si="42"/>
        <v>0.65447062133553757</v>
      </c>
      <c r="I544" s="20">
        <f t="shared" si="43"/>
        <v>-5.4470621335536151E-2</v>
      </c>
      <c r="J544" s="20">
        <f t="shared" si="44"/>
        <v>0.54864771576516713</v>
      </c>
    </row>
    <row r="545" spans="1:10" ht="15" customHeight="1">
      <c r="A545" s="18" t="str">
        <f>Analysis!A545</f>
        <v>6/2003</v>
      </c>
      <c r="B545" s="19">
        <f>Analysis!E545</f>
        <v>0.47999999999999865</v>
      </c>
      <c r="C545" s="20">
        <f>Analysis!F545</f>
        <v>0.43471400051463627</v>
      </c>
      <c r="D545" s="19">
        <f t="shared" si="45"/>
        <v>0.38</v>
      </c>
      <c r="E545" s="19">
        <f>Solar!D545</f>
        <v>1360.95</v>
      </c>
      <c r="F545" s="30">
        <v>-0.13</v>
      </c>
      <c r="G545" s="20">
        <f t="shared" si="41"/>
        <v>-0.12176536992676146</v>
      </c>
      <c r="H545" s="20">
        <f t="shared" si="42"/>
        <v>0.6328434407781568</v>
      </c>
      <c r="I545" s="20">
        <f t="shared" si="43"/>
        <v>-0.15284344077815815</v>
      </c>
      <c r="J545" s="20">
        <f t="shared" si="44"/>
        <v>0.44692564744196978</v>
      </c>
    </row>
    <row r="546" spans="1:10" ht="15" customHeight="1">
      <c r="A546" s="18" t="str">
        <f>Analysis!A546</f>
        <v>7/2003</v>
      </c>
      <c r="B546" s="19">
        <f>Analysis!E546</f>
        <v>0.58000000000000007</v>
      </c>
      <c r="C546" s="20">
        <f>Analysis!F546</f>
        <v>0.42867840994823009</v>
      </c>
      <c r="D546" s="19">
        <f t="shared" si="45"/>
        <v>-0.01</v>
      </c>
      <c r="E546" s="19">
        <f>Solar!D546</f>
        <v>1361.1</v>
      </c>
      <c r="F546" s="30">
        <v>0.09</v>
      </c>
      <c r="G546" s="20">
        <f t="shared" si="41"/>
        <v>-5.2666524812764459E-3</v>
      </c>
      <c r="H546" s="20">
        <f t="shared" si="42"/>
        <v>0.58232017363205202</v>
      </c>
      <c r="I546" s="20">
        <f t="shared" si="43"/>
        <v>-2.3201736320519473E-3</v>
      </c>
      <c r="J546" s="20">
        <f t="shared" si="44"/>
        <v>0.5808703776988956</v>
      </c>
    </row>
    <row r="547" spans="1:10" ht="15" customHeight="1">
      <c r="A547" s="18" t="str">
        <f>Analysis!A547</f>
        <v>8/2003</v>
      </c>
      <c r="B547" s="19">
        <f>Analysis!E547</f>
        <v>0.64000000000000234</v>
      </c>
      <c r="C547" s="20">
        <f>Analysis!F547</f>
        <v>0.41980852893927539</v>
      </c>
      <c r="D547" s="19">
        <f t="shared" si="45"/>
        <v>-0.18</v>
      </c>
      <c r="E547" s="19">
        <f>Solar!D547</f>
        <v>1361.17</v>
      </c>
      <c r="F547" s="30">
        <v>0.14000000000000001</v>
      </c>
      <c r="G547" s="20">
        <f t="shared" si="41"/>
        <v>7.8979800112169429E-2</v>
      </c>
      <c r="H547" s="20">
        <f t="shared" si="42"/>
        <v>0.54315999780560942</v>
      </c>
      <c r="I547" s="20">
        <f t="shared" si="43"/>
        <v>9.6840002194392927E-2</v>
      </c>
      <c r="J547" s="20">
        <f t="shared" si="44"/>
        <v>0.65566679858012133</v>
      </c>
    </row>
    <row r="548" spans="1:10" ht="15" customHeight="1">
      <c r="A548" s="18" t="str">
        <f>Analysis!A548</f>
        <v>9/2003</v>
      </c>
      <c r="B548" s="19">
        <f>Analysis!E548</f>
        <v>0.62000000000000099</v>
      </c>
      <c r="C548" s="20">
        <f>Analysis!F548</f>
        <v>0.41506326146026928</v>
      </c>
      <c r="D548" s="19">
        <f t="shared" si="45"/>
        <v>-0.13</v>
      </c>
      <c r="E548" s="19">
        <f>Solar!D548</f>
        <v>1361.28</v>
      </c>
      <c r="F548" s="30">
        <v>0.23</v>
      </c>
      <c r="G548" s="20">
        <f t="shared" si="41"/>
        <v>7.1951327335225135E-2</v>
      </c>
      <c r="H548" s="20">
        <f t="shared" si="42"/>
        <v>0.53447760389073951</v>
      </c>
      <c r="I548" s="20">
        <f t="shared" si="43"/>
        <v>8.5522396109261489E-2</v>
      </c>
      <c r="J548" s="20">
        <f t="shared" si="44"/>
        <v>0.63131491008564244</v>
      </c>
    </row>
    <row r="549" spans="1:10" ht="15" customHeight="1">
      <c r="A549" s="18" t="str">
        <f>Analysis!A549</f>
        <v>10/2003</v>
      </c>
      <c r="B549" s="19">
        <f>Analysis!E549</f>
        <v>0.72000000000000242</v>
      </c>
      <c r="C549" s="20">
        <f>Analysis!F549</f>
        <v>0.41494732802090711</v>
      </c>
      <c r="D549" s="19">
        <f t="shared" si="45"/>
        <v>0.09</v>
      </c>
      <c r="E549" s="19">
        <f>Solar!D549</f>
        <v>1360.31</v>
      </c>
      <c r="F549" s="30">
        <v>0.23</v>
      </c>
      <c r="G549" s="20">
        <f t="shared" si="41"/>
        <v>0.17226823966343618</v>
      </c>
      <c r="H549" s="20">
        <f t="shared" si="42"/>
        <v>0.55330746774234318</v>
      </c>
      <c r="I549" s="20">
        <f t="shared" si="43"/>
        <v>0.16669253225765923</v>
      </c>
      <c r="J549" s="20">
        <f t="shared" si="44"/>
        <v>0.71216660070994298</v>
      </c>
    </row>
    <row r="550" spans="1:10" ht="15" customHeight="1">
      <c r="A550" s="18" t="str">
        <f>Analysis!A550</f>
        <v>11/2003</v>
      </c>
      <c r="B550" s="19">
        <f>Analysis!E550</f>
        <v>0.52999999999999758</v>
      </c>
      <c r="C550" s="20">
        <f>Analysis!F550</f>
        <v>0.42084808719949091</v>
      </c>
      <c r="D550" s="19">
        <f t="shared" si="45"/>
        <v>0.14000000000000001</v>
      </c>
      <c r="E550" s="19">
        <f>Solar!D550</f>
        <v>1361.06</v>
      </c>
      <c r="F550" s="30">
        <v>0.28999999999999998</v>
      </c>
      <c r="G550" s="20">
        <f t="shared" si="41"/>
        <v>-3.3861906563380395E-2</v>
      </c>
      <c r="H550" s="20">
        <f t="shared" si="42"/>
        <v>0.57386753878996088</v>
      </c>
      <c r="I550" s="20">
        <f t="shared" si="43"/>
        <v>-4.3867538789963301E-2</v>
      </c>
      <c r="J550" s="20">
        <f t="shared" si="44"/>
        <v>0.5178147122154606</v>
      </c>
    </row>
    <row r="551" spans="1:10" ht="15" customHeight="1">
      <c r="A551" s="18" t="str">
        <f>Analysis!A551</f>
        <v>12/2003</v>
      </c>
      <c r="B551" s="19">
        <f>Analysis!E551</f>
        <v>0.75</v>
      </c>
      <c r="C551" s="20">
        <f>Analysis!F551</f>
        <v>0.42595796965197702</v>
      </c>
      <c r="D551" s="19">
        <f t="shared" si="45"/>
        <v>0.23</v>
      </c>
      <c r="E551" s="19">
        <f>Solar!D551</f>
        <v>1361.18</v>
      </c>
      <c r="F551" s="30">
        <v>0.28999999999999998</v>
      </c>
      <c r="G551" s="20">
        <f t="shared" si="41"/>
        <v>0.17216986516871235</v>
      </c>
      <c r="H551" s="20">
        <f t="shared" si="42"/>
        <v>0.5957367434922417</v>
      </c>
      <c r="I551" s="20">
        <f t="shared" si="43"/>
        <v>0.1542632565077583</v>
      </c>
      <c r="J551" s="20">
        <f t="shared" si="44"/>
        <v>0.72998131292540358</v>
      </c>
    </row>
    <row r="552" spans="1:10" ht="15" customHeight="1">
      <c r="A552" s="18" t="str">
        <f>Analysis!A552</f>
        <v>1/2004</v>
      </c>
      <c r="B552" s="19">
        <f>Analysis!E552</f>
        <v>0.58000000000000007</v>
      </c>
      <c r="C552" s="20">
        <f>Analysis!F552</f>
        <v>0.42978810183201854</v>
      </c>
      <c r="D552" s="19">
        <f t="shared" si="45"/>
        <v>0.23</v>
      </c>
      <c r="E552" s="19">
        <f>Solar!D552</f>
        <v>1360.99</v>
      </c>
      <c r="F552" s="30">
        <v>0.34</v>
      </c>
      <c r="G552" s="20">
        <f t="shared" si="41"/>
        <v>-8.3000744208091559E-3</v>
      </c>
      <c r="H552" s="20">
        <f t="shared" si="42"/>
        <v>0.60625733579197172</v>
      </c>
      <c r="I552" s="20">
        <f t="shared" si="43"/>
        <v>-2.6257335791971648E-2</v>
      </c>
      <c r="J552" s="20">
        <f t="shared" si="44"/>
        <v>0.55998131292540365</v>
      </c>
    </row>
    <row r="553" spans="1:10" ht="15" customHeight="1">
      <c r="A553" s="18" t="str">
        <f>Analysis!A553</f>
        <v>2/2004</v>
      </c>
      <c r="B553" s="19">
        <f>Analysis!E553</f>
        <v>0.72000000000000242</v>
      </c>
      <c r="C553" s="20">
        <f>Analysis!F553</f>
        <v>0.43315022733337655</v>
      </c>
      <c r="D553" s="19">
        <f t="shared" si="45"/>
        <v>0.28999999999999998</v>
      </c>
      <c r="E553" s="19">
        <f>Solar!D553</f>
        <v>1360.99</v>
      </c>
      <c r="F553" s="30">
        <v>0.27</v>
      </c>
      <c r="G553" s="20">
        <f t="shared" si="41"/>
        <v>0.12250931563757328</v>
      </c>
      <c r="H553" s="20">
        <f t="shared" si="42"/>
        <v>0.62071467534511815</v>
      </c>
      <c r="I553" s="20">
        <f t="shared" si="43"/>
        <v>9.9285324654884266E-2</v>
      </c>
      <c r="J553" s="20">
        <f t="shared" si="44"/>
        <v>0.69475904673203304</v>
      </c>
    </row>
    <row r="554" spans="1:10" ht="15" customHeight="1">
      <c r="A554" s="18" t="str">
        <f>Analysis!A554</f>
        <v>3/2004</v>
      </c>
      <c r="B554" s="19">
        <f>Analysis!E554</f>
        <v>0.63000000000000256</v>
      </c>
      <c r="C554" s="20">
        <f>Analysis!F554</f>
        <v>0.4369993981425544</v>
      </c>
      <c r="D554" s="19">
        <f t="shared" si="45"/>
        <v>0.28999999999999998</v>
      </c>
      <c r="E554" s="19">
        <f>Solar!D554</f>
        <v>1361.02</v>
      </c>
      <c r="F554" s="30">
        <v>0.19</v>
      </c>
      <c r="G554" s="20">
        <f t="shared" si="41"/>
        <v>2.1987332596924092E-2</v>
      </c>
      <c r="H554" s="20">
        <f t="shared" si="42"/>
        <v>0.63128756287792986</v>
      </c>
      <c r="I554" s="20">
        <f t="shared" si="43"/>
        <v>-1.2875628779273063E-3</v>
      </c>
      <c r="J554" s="20">
        <f t="shared" si="44"/>
        <v>0.60475904673203318</v>
      </c>
    </row>
    <row r="555" spans="1:10" ht="15" customHeight="1">
      <c r="A555" s="18" t="str">
        <f>Analysis!A555</f>
        <v>4/2004</v>
      </c>
      <c r="B555" s="19">
        <f>Analysis!E555</f>
        <v>0.61000000000000121</v>
      </c>
      <c r="C555" s="20">
        <f>Analysis!F555</f>
        <v>0.44262128166655951</v>
      </c>
      <c r="D555" s="19">
        <f t="shared" si="45"/>
        <v>0.34</v>
      </c>
      <c r="E555" s="19">
        <f>Solar!D555</f>
        <v>1361.06</v>
      </c>
      <c r="F555" s="30">
        <v>0.1</v>
      </c>
      <c r="G555" s="20">
        <f t="shared" si="41"/>
        <v>-1.3380487130651653E-2</v>
      </c>
      <c r="H555" s="20">
        <f t="shared" si="42"/>
        <v>0.65108161935314424</v>
      </c>
      <c r="I555" s="20">
        <f t="shared" si="43"/>
        <v>-4.1081619353143028E-2</v>
      </c>
      <c r="J555" s="20">
        <f t="shared" si="44"/>
        <v>0.58040715823755429</v>
      </c>
    </row>
    <row r="556" spans="1:10" ht="15" customHeight="1">
      <c r="A556" s="18" t="str">
        <f>Analysis!A556</f>
        <v>5/2004</v>
      </c>
      <c r="B556" s="19">
        <f>Analysis!E556</f>
        <v>0.36999999999999744</v>
      </c>
      <c r="C556" s="20">
        <f>Analysis!F556</f>
        <v>0.44360665147561484</v>
      </c>
      <c r="D556" s="19">
        <f t="shared" si="45"/>
        <v>0.27</v>
      </c>
      <c r="E556" s="19">
        <f>Solar!D556</f>
        <v>1360.9</v>
      </c>
      <c r="F556" s="30">
        <v>0.12</v>
      </c>
      <c r="G556" s="20">
        <f t="shared" si="41"/>
        <v>-0.25607406580867276</v>
      </c>
      <c r="H556" s="20">
        <f t="shared" si="42"/>
        <v>0.64769558545192352</v>
      </c>
      <c r="I556" s="20">
        <f t="shared" si="43"/>
        <v>-0.27769558545192607</v>
      </c>
      <c r="J556" s="20">
        <f t="shared" si="44"/>
        <v>0.34649980212981901</v>
      </c>
    </row>
    <row r="557" spans="1:10" ht="15" customHeight="1">
      <c r="A557" s="18" t="str">
        <f>Analysis!A557</f>
        <v>6/2004</v>
      </c>
      <c r="B557" s="19">
        <f>Analysis!E557</f>
        <v>0.44000000000000483</v>
      </c>
      <c r="C557" s="20">
        <f>Analysis!F557</f>
        <v>0.44007895337646558</v>
      </c>
      <c r="D557" s="19">
        <f t="shared" si="45"/>
        <v>0.19</v>
      </c>
      <c r="E557" s="19">
        <f>Solar!D557</f>
        <v>1360.93</v>
      </c>
      <c r="F557" s="30">
        <v>0.22</v>
      </c>
      <c r="G557" s="20">
        <f t="shared" si="41"/>
        <v>-0.17643085135757486</v>
      </c>
      <c r="H557" s="20">
        <f t="shared" si="42"/>
        <v>0.6310426963279685</v>
      </c>
      <c r="I557" s="20">
        <f t="shared" si="43"/>
        <v>-0.19104269632796367</v>
      </c>
      <c r="J557" s="20">
        <f t="shared" si="44"/>
        <v>0.42346282372099042</v>
      </c>
    </row>
    <row r="558" spans="1:10" ht="15" customHeight="1">
      <c r="A558" s="18" t="str">
        <f>Analysis!A558</f>
        <v>7/2004</v>
      </c>
      <c r="B558" s="19">
        <f>Analysis!E558</f>
        <v>0.25999999999999979</v>
      </c>
      <c r="C558" s="20">
        <f>Analysis!F558</f>
        <v>0.43162295971329212</v>
      </c>
      <c r="D558" s="19">
        <f t="shared" si="45"/>
        <v>0.1</v>
      </c>
      <c r="E558" s="19">
        <f>Solar!D558</f>
        <v>1360.53</v>
      </c>
      <c r="F558" s="30">
        <v>0.39</v>
      </c>
      <c r="G558" s="20">
        <f t="shared" si="41"/>
        <v>-0.33331578935419925</v>
      </c>
      <c r="H558" s="20">
        <f t="shared" si="42"/>
        <v>0.599982406257763</v>
      </c>
      <c r="I558" s="20">
        <f t="shared" si="43"/>
        <v>-0.33998240625776321</v>
      </c>
      <c r="J558" s="20">
        <f t="shared" si="44"/>
        <v>0.25129622301104482</v>
      </c>
    </row>
    <row r="559" spans="1:10" ht="15" customHeight="1">
      <c r="A559" s="18" t="str">
        <f>Analysis!A559</f>
        <v>8/2004</v>
      </c>
      <c r="B559" s="19">
        <f>Analysis!E559</f>
        <v>0.44999999999999751</v>
      </c>
      <c r="C559" s="20">
        <f>Analysis!F559</f>
        <v>0.42595796965197702</v>
      </c>
      <c r="D559" s="19">
        <f t="shared" si="45"/>
        <v>0.12</v>
      </c>
      <c r="E559" s="19">
        <f>Solar!D559</f>
        <v>1360.71</v>
      </c>
      <c r="F559" s="30">
        <v>0.54</v>
      </c>
      <c r="G559" s="20">
        <f t="shared" si="41"/>
        <v>-0.12783013483129013</v>
      </c>
      <c r="H559" s="20">
        <f t="shared" si="42"/>
        <v>0.5861625888043912</v>
      </c>
      <c r="I559" s="20">
        <f t="shared" si="43"/>
        <v>-0.13616258880439369</v>
      </c>
      <c r="J559" s="20">
        <f t="shared" si="44"/>
        <v>0.43955546761325154</v>
      </c>
    </row>
    <row r="560" spans="1:10" ht="15" customHeight="1">
      <c r="A560" s="18" t="str">
        <f>Analysis!A560</f>
        <v>9/2004</v>
      </c>
      <c r="B560" s="19">
        <f>Analysis!E560</f>
        <v>0.5</v>
      </c>
      <c r="C560" s="20">
        <f>Analysis!F560</f>
        <v>0.41926920368406412</v>
      </c>
      <c r="D560" s="19">
        <f t="shared" si="45"/>
        <v>0.22</v>
      </c>
      <c r="E560" s="19">
        <f>Solar!D560</f>
        <v>1360.98</v>
      </c>
      <c r="F560" s="30">
        <v>0.57999999999999996</v>
      </c>
      <c r="G560" s="20">
        <f t="shared" si="41"/>
        <v>-5.954591582249702E-2</v>
      </c>
      <c r="H560" s="20">
        <f t="shared" si="42"/>
        <v>0.57649368923053457</v>
      </c>
      <c r="I560" s="20">
        <f t="shared" si="43"/>
        <v>-7.6493689230534567E-2</v>
      </c>
      <c r="J560" s="20">
        <f t="shared" si="44"/>
        <v>0.48085169062429906</v>
      </c>
    </row>
    <row r="561" spans="1:10" ht="15" customHeight="1">
      <c r="A561" s="18" t="str">
        <f>Analysis!A561</f>
        <v>10/2004</v>
      </c>
      <c r="B561" s="19">
        <f>Analysis!E561</f>
        <v>0.61000000000000121</v>
      </c>
      <c r="C561" s="20">
        <f>Analysis!F561</f>
        <v>0.42003960662918038</v>
      </c>
      <c r="D561" s="19">
        <f t="shared" si="45"/>
        <v>0.39</v>
      </c>
      <c r="E561" s="19">
        <f>Solar!D561</f>
        <v>1360.97</v>
      </c>
      <c r="F561" s="30">
        <v>0.61</v>
      </c>
      <c r="G561" s="20">
        <f t="shared" si="41"/>
        <v>4.8348132759694518E-2</v>
      </c>
      <c r="H561" s="20">
        <f t="shared" si="42"/>
        <v>0.59340624995004188</v>
      </c>
      <c r="I561" s="20">
        <f t="shared" si="43"/>
        <v>1.6593750049959333E-2</v>
      </c>
      <c r="J561" s="20">
        <f t="shared" si="44"/>
        <v>0.57605526974307686</v>
      </c>
    </row>
    <row r="562" spans="1:10" ht="15" customHeight="1">
      <c r="A562" s="18" t="str">
        <f>Analysis!A562</f>
        <v>11/2004</v>
      </c>
      <c r="B562" s="19">
        <f>Analysis!E562</f>
        <v>0.7300000000000022</v>
      </c>
      <c r="C562" s="20">
        <f>Analysis!F562</f>
        <v>0.42657147452910854</v>
      </c>
      <c r="D562" s="19">
        <f t="shared" si="45"/>
        <v>0.54</v>
      </c>
      <c r="E562" s="19">
        <f>Solar!D562</f>
        <v>1360.88</v>
      </c>
      <c r="F562" s="30">
        <v>0.64</v>
      </c>
      <c r="G562" s="20">
        <f t="shared" si="41"/>
        <v>0.15049280581423197</v>
      </c>
      <c r="H562" s="20">
        <f t="shared" si="42"/>
        <v>0.62440362498828483</v>
      </c>
      <c r="I562" s="20">
        <f t="shared" si="43"/>
        <v>0.10559637501171737</v>
      </c>
      <c r="J562" s="20">
        <f t="shared" si="44"/>
        <v>0.68299960425964534</v>
      </c>
    </row>
    <row r="563" spans="1:10" ht="15" customHeight="1">
      <c r="A563" s="18" t="str">
        <f>Analysis!A563</f>
        <v>12/2004</v>
      </c>
      <c r="B563" s="19">
        <f>Analysis!E563</f>
        <v>0.50999999999999801</v>
      </c>
      <c r="C563" s="20">
        <f>Analysis!F563</f>
        <v>0.43173756088430215</v>
      </c>
      <c r="D563" s="19">
        <f t="shared" si="45"/>
        <v>0.57999999999999996</v>
      </c>
      <c r="E563" s="19">
        <f>Solar!D563</f>
        <v>1361.07</v>
      </c>
      <c r="F563" s="30">
        <v>0.71</v>
      </c>
      <c r="G563" s="20">
        <f t="shared" si="41"/>
        <v>-8.3629059831814456E-2</v>
      </c>
      <c r="H563" s="20">
        <f t="shared" si="42"/>
        <v>0.64207532185927263</v>
      </c>
      <c r="I563" s="20">
        <f t="shared" si="43"/>
        <v>-0.13207532185927462</v>
      </c>
      <c r="J563" s="20">
        <f t="shared" si="44"/>
        <v>0.4595180934640592</v>
      </c>
    </row>
    <row r="564" spans="1:10" ht="15" customHeight="1">
      <c r="A564" s="18" t="str">
        <f>Analysis!A564</f>
        <v>1/2005</v>
      </c>
      <c r="B564" s="19">
        <f>Analysis!E564</f>
        <v>0.75</v>
      </c>
      <c r="C564" s="20">
        <f>Analysis!F564</f>
        <v>0.43536189749141069</v>
      </c>
      <c r="D564" s="19">
        <f t="shared" si="45"/>
        <v>0.61</v>
      </c>
      <c r="E564" s="19">
        <f>Solar!D564</f>
        <v>1360.62</v>
      </c>
      <c r="F564" s="30">
        <v>0.62</v>
      </c>
      <c r="G564" s="20">
        <f t="shared" si="41"/>
        <v>0.14646355746054784</v>
      </c>
      <c r="H564" s="20">
        <f t="shared" si="42"/>
        <v>0.65464176876968805</v>
      </c>
      <c r="I564" s="20">
        <f t="shared" si="43"/>
        <v>9.5358231230311952E-2</v>
      </c>
      <c r="J564" s="20">
        <f t="shared" si="44"/>
        <v>0.69690696036737476</v>
      </c>
    </row>
    <row r="565" spans="1:10" ht="15" customHeight="1">
      <c r="A565" s="18" t="str">
        <f>Analysis!A565</f>
        <v>2/2005</v>
      </c>
      <c r="B565" s="19">
        <f>Analysis!E565</f>
        <v>0.60000000000000142</v>
      </c>
      <c r="C565" s="20">
        <f>Analysis!F565</f>
        <v>0.4402308599854548</v>
      </c>
      <c r="D565" s="19">
        <f t="shared" si="45"/>
        <v>0.64</v>
      </c>
      <c r="E565" s="19">
        <f>Solar!D565</f>
        <v>1360.8</v>
      </c>
      <c r="F565" s="30">
        <v>0.55000000000000004</v>
      </c>
      <c r="G565" s="20">
        <f t="shared" si="41"/>
        <v>-1.6846098911606489E-2</v>
      </c>
      <c r="H565" s="20">
        <f t="shared" si="42"/>
        <v>0.67062694926595023</v>
      </c>
      <c r="I565" s="20">
        <f t="shared" si="43"/>
        <v>-7.0626949265948813E-2</v>
      </c>
      <c r="J565" s="20">
        <f t="shared" si="44"/>
        <v>0.54429582727068959</v>
      </c>
    </row>
    <row r="566" spans="1:10" ht="15" customHeight="1">
      <c r="A566" s="18" t="str">
        <f>Analysis!A566</f>
        <v>3/2005</v>
      </c>
      <c r="B566" s="19">
        <f>Analysis!E566</f>
        <v>0.73999999999999666</v>
      </c>
      <c r="C566" s="20">
        <f>Analysis!F566</f>
        <v>0.44417482806617692</v>
      </c>
      <c r="D566" s="19">
        <f t="shared" si="45"/>
        <v>0.71</v>
      </c>
      <c r="E566" s="19">
        <f>Solar!D566</f>
        <v>1360.75</v>
      </c>
      <c r="F566" s="30">
        <v>0.4</v>
      </c>
      <c r="G566" s="20">
        <f t="shared" si="41"/>
        <v>0.1123727829423008</v>
      </c>
      <c r="H566" s="20">
        <f t="shared" si="42"/>
        <v>0.68755286947088501</v>
      </c>
      <c r="I566" s="20">
        <f t="shared" si="43"/>
        <v>5.2447130529111652E-2</v>
      </c>
      <c r="J566" s="20">
        <f t="shared" si="44"/>
        <v>0.67820318337841645</v>
      </c>
    </row>
    <row r="567" spans="1:10" ht="15" customHeight="1">
      <c r="A567" s="18" t="str">
        <f>Analysis!A567</f>
        <v>4/2005</v>
      </c>
      <c r="B567" s="19">
        <f>Analysis!E567</f>
        <v>0.66999999999999993</v>
      </c>
      <c r="C567" s="20">
        <f>Analysis!F567</f>
        <v>0.44995748362800358</v>
      </c>
      <c r="D567" s="19">
        <f t="shared" si="45"/>
        <v>0.62</v>
      </c>
      <c r="E567" s="19">
        <f>Solar!D567</f>
        <v>1360.72</v>
      </c>
      <c r="F567" s="30">
        <v>0.37</v>
      </c>
      <c r="G567" s="20">
        <f t="shared" si="41"/>
        <v>2.6565481378450495E-2</v>
      </c>
      <c r="H567" s="20">
        <f t="shared" si="42"/>
        <v>0.69560324617497016</v>
      </c>
      <c r="I567" s="20">
        <f t="shared" si="43"/>
        <v>-2.5603246174970229E-2</v>
      </c>
      <c r="J567" s="20">
        <f t="shared" si="44"/>
        <v>0.61603658266847916</v>
      </c>
    </row>
    <row r="568" spans="1:10" ht="15" customHeight="1">
      <c r="A568" s="18" t="str">
        <f>Analysis!A568</f>
        <v>5/2005</v>
      </c>
      <c r="B568" s="19">
        <f>Analysis!E568</f>
        <v>0.63000000000000256</v>
      </c>
      <c r="C568" s="20">
        <f>Analysis!F568</f>
        <v>0.45056086926661437</v>
      </c>
      <c r="D568" s="19">
        <f t="shared" si="45"/>
        <v>0.55000000000000004</v>
      </c>
      <c r="E568" s="19">
        <f>Solar!D568</f>
        <v>1360.66</v>
      </c>
      <c r="F568" s="30">
        <v>0.27</v>
      </c>
      <c r="G568" s="20">
        <f t="shared" si="41"/>
        <v>-1.5083916315537516E-2</v>
      </c>
      <c r="H568" s="20">
        <f t="shared" si="42"/>
        <v>0.69116797962764431</v>
      </c>
      <c r="I568" s="20">
        <f t="shared" si="43"/>
        <v>-6.1167979627641755E-2</v>
      </c>
      <c r="J568" s="20">
        <f t="shared" si="44"/>
        <v>0.58212922656075028</v>
      </c>
    </row>
    <row r="569" spans="1:10" ht="15" customHeight="1">
      <c r="A569" s="18" t="str">
        <f>Analysis!A569</f>
        <v>6/2005</v>
      </c>
      <c r="B569" s="19">
        <f>Analysis!E569</f>
        <v>0.65000000000000213</v>
      </c>
      <c r="C569" s="20">
        <f>Analysis!F569</f>
        <v>0.44965569614841971</v>
      </c>
      <c r="D569" s="19">
        <f t="shared" si="45"/>
        <v>0.4</v>
      </c>
      <c r="E569" s="19">
        <f>Solar!D569</f>
        <v>1360.64</v>
      </c>
      <c r="F569" s="30">
        <v>0.09</v>
      </c>
      <c r="G569" s="20">
        <f t="shared" si="41"/>
        <v>7.3904389860731667E-3</v>
      </c>
      <c r="H569" s="20">
        <f t="shared" si="42"/>
        <v>0.67562598811431018</v>
      </c>
      <c r="I569" s="20">
        <f t="shared" si="43"/>
        <v>-2.5625988114308051E-2</v>
      </c>
      <c r="J569" s="20">
        <f t="shared" si="44"/>
        <v>0.61518489204418225</v>
      </c>
    </row>
    <row r="570" spans="1:10" ht="15" customHeight="1">
      <c r="A570" s="18" t="str">
        <f>Analysis!A570</f>
        <v>7/2005</v>
      </c>
      <c r="B570" s="19">
        <f>Analysis!E570</f>
        <v>0.61000000000000121</v>
      </c>
      <c r="C570" s="20">
        <f>Analysis!F570</f>
        <v>0.44409908411483445</v>
      </c>
      <c r="D570" s="19">
        <f t="shared" si="45"/>
        <v>0.37</v>
      </c>
      <c r="E570" s="19">
        <f>Solar!D570</f>
        <v>1360.7</v>
      </c>
      <c r="F570" s="30">
        <v>-0.04</v>
      </c>
      <c r="G570" s="20">
        <f t="shared" si="41"/>
        <v>-1.7420165562459178E-2</v>
      </c>
      <c r="H570" s="20">
        <f t="shared" si="42"/>
        <v>0.65775197451502698</v>
      </c>
      <c r="I570" s="20">
        <f t="shared" si="43"/>
        <v>-4.7751974515025775E-2</v>
      </c>
      <c r="J570" s="20">
        <f t="shared" si="44"/>
        <v>0.57779602514086781</v>
      </c>
    </row>
    <row r="571" spans="1:10" ht="15" customHeight="1">
      <c r="A571" s="18" t="str">
        <f>Analysis!A571</f>
        <v>8/2005</v>
      </c>
      <c r="B571" s="19">
        <f>Analysis!E571</f>
        <v>0.60000000000000142</v>
      </c>
      <c r="C571" s="20">
        <f>Analysis!F571</f>
        <v>0.43650453579040066</v>
      </c>
      <c r="D571" s="19">
        <f t="shared" si="45"/>
        <v>0.27</v>
      </c>
      <c r="E571" s="19">
        <f>Solar!D571</f>
        <v>1360.78</v>
      </c>
      <c r="F571" s="30">
        <v>-0.14000000000000001</v>
      </c>
      <c r="G571" s="20">
        <f t="shared" si="41"/>
        <v>-6.6599258556242491E-3</v>
      </c>
      <c r="H571" s="20">
        <f t="shared" si="42"/>
        <v>0.628187521479874</v>
      </c>
      <c r="I571" s="20">
        <f t="shared" si="43"/>
        <v>-2.8187521479872579E-2</v>
      </c>
      <c r="J571" s="20">
        <f t="shared" si="44"/>
        <v>0.57649980212982299</v>
      </c>
    </row>
    <row r="572" spans="1:10" ht="15" customHeight="1">
      <c r="A572" s="18" t="str">
        <f>Analysis!A572</f>
        <v>9/2005</v>
      </c>
      <c r="B572" s="19">
        <f>Analysis!E572</f>
        <v>0.72000000000000242</v>
      </c>
      <c r="C572" s="20">
        <f>Analysis!F572</f>
        <v>0.42871668939795532</v>
      </c>
      <c r="D572" s="19">
        <f t="shared" si="45"/>
        <v>0.09</v>
      </c>
      <c r="E572" s="19">
        <f>Solar!D572</f>
        <v>1360.64</v>
      </c>
      <c r="F572" s="30">
        <v>-0.11</v>
      </c>
      <c r="G572" s="20">
        <f t="shared" si="41"/>
        <v>0.13462870791170867</v>
      </c>
      <c r="H572" s="20">
        <f t="shared" si="42"/>
        <v>0.59112909646587253</v>
      </c>
      <c r="I572" s="20">
        <f t="shared" si="43"/>
        <v>0.12887090353412989</v>
      </c>
      <c r="J572" s="20">
        <f t="shared" si="44"/>
        <v>0.71216660070994298</v>
      </c>
    </row>
    <row r="573" spans="1:10" ht="15" customHeight="1">
      <c r="A573" s="18" t="str">
        <f>Analysis!A573</f>
        <v>10/2005</v>
      </c>
      <c r="B573" s="19">
        <f>Analysis!E573</f>
        <v>0.75999999999999801</v>
      </c>
      <c r="C573" s="20">
        <f>Analysis!F573</f>
        <v>0.42986460085324052</v>
      </c>
      <c r="D573" s="19">
        <f t="shared" si="45"/>
        <v>-0.04</v>
      </c>
      <c r="E573" s="19">
        <f>Solar!D573</f>
        <v>1360.78</v>
      </c>
      <c r="F573" s="30">
        <v>-0.27</v>
      </c>
      <c r="G573" s="20">
        <f t="shared" si="41"/>
        <v>0.1714908100465643</v>
      </c>
      <c r="H573" s="20">
        <f t="shared" si="42"/>
        <v>0.58296726513823738</v>
      </c>
      <c r="I573" s="20">
        <f t="shared" si="43"/>
        <v>0.17703273486176063</v>
      </c>
      <c r="J573" s="20">
        <f t="shared" si="44"/>
        <v>0.76348151079558002</v>
      </c>
    </row>
    <row r="574" spans="1:10" ht="15" customHeight="1">
      <c r="A574" s="18" t="str">
        <f>Analysis!A574</f>
        <v>11/2005</v>
      </c>
      <c r="B574" s="19">
        <f>Analysis!E574</f>
        <v>0.73999999999999666</v>
      </c>
      <c r="C574" s="20">
        <f>Analysis!F574</f>
        <v>0.43501892945440074</v>
      </c>
      <c r="D574" s="19">
        <f t="shared" si="45"/>
        <v>-0.14000000000000001</v>
      </c>
      <c r="E574" s="19">
        <f>Solar!D574</f>
        <v>1360.62</v>
      </c>
      <c r="F574" s="30">
        <v>-0.56999999999999995</v>
      </c>
      <c r="G574" s="20">
        <f t="shared" si="41"/>
        <v>0.13740108506007298</v>
      </c>
      <c r="H574" s="20">
        <f t="shared" si="42"/>
        <v>0.58842137807125783</v>
      </c>
      <c r="I574" s="20">
        <f t="shared" si="43"/>
        <v>0.15157862192873883</v>
      </c>
      <c r="J574" s="20">
        <f t="shared" si="44"/>
        <v>0.75218528778453364</v>
      </c>
    </row>
    <row r="575" spans="1:10" ht="15" customHeight="1">
      <c r="A575" s="18" t="str">
        <f>Analysis!A575</f>
        <v>12/2005</v>
      </c>
      <c r="B575" s="19">
        <f>Analysis!E575</f>
        <v>0.67999999999999972</v>
      </c>
      <c r="C575" s="20">
        <f>Analysis!F575</f>
        <v>0.44174904700923706</v>
      </c>
      <c r="D575" s="19">
        <f t="shared" si="45"/>
        <v>-0.11</v>
      </c>
      <c r="E575" s="19">
        <f>Solar!D575</f>
        <v>1360.72</v>
      </c>
      <c r="F575" s="30">
        <v>-0.82</v>
      </c>
      <c r="G575" s="20">
        <f t="shared" si="41"/>
        <v>5.9003828538043757E-2</v>
      </c>
      <c r="H575" s="20">
        <f t="shared" si="42"/>
        <v>0.60951877211022876</v>
      </c>
      <c r="I575" s="20">
        <f t="shared" si="43"/>
        <v>7.0481227889770959E-2</v>
      </c>
      <c r="J575" s="20">
        <f t="shared" si="44"/>
        <v>0.68957415468785022</v>
      </c>
    </row>
    <row r="576" spans="1:10" ht="15" customHeight="1">
      <c r="A576" s="18" t="str">
        <f>Analysis!A576</f>
        <v>1/2006</v>
      </c>
      <c r="B576" s="19">
        <f>Analysis!E576</f>
        <v>0.55999999999999872</v>
      </c>
      <c r="C576" s="20">
        <f>Analysis!F576</f>
        <v>0.44655872924400647</v>
      </c>
      <c r="D576" s="19">
        <f t="shared" si="45"/>
        <v>-0.27</v>
      </c>
      <c r="E576" s="19">
        <f>Solar!D576</f>
        <v>1360.77</v>
      </c>
      <c r="F576" s="30">
        <v>-0.86</v>
      </c>
      <c r="G576" s="20">
        <f t="shared" si="41"/>
        <v>-7.414378101580954E-2</v>
      </c>
      <c r="H576" s="20">
        <f t="shared" si="42"/>
        <v>0.60880394553993811</v>
      </c>
      <c r="I576" s="20">
        <f t="shared" si="43"/>
        <v>-4.8803945539939386E-2</v>
      </c>
      <c r="J576" s="20">
        <f t="shared" si="44"/>
        <v>0.58350019787017715</v>
      </c>
    </row>
    <row r="577" spans="1:10" ht="15" customHeight="1">
      <c r="A577" s="18" t="str">
        <f>Analysis!A577</f>
        <v>2/2006</v>
      </c>
      <c r="B577" s="19">
        <f>Analysis!E577</f>
        <v>0.73999999999999666</v>
      </c>
      <c r="C577" s="20">
        <f>Analysis!F577</f>
        <v>0.44965569614841971</v>
      </c>
      <c r="D577" s="19">
        <f t="shared" si="45"/>
        <v>-0.56999999999999995</v>
      </c>
      <c r="E577" s="19">
        <f>Solar!D577</f>
        <v>1360.74</v>
      </c>
      <c r="F577" s="30">
        <v>-0.8</v>
      </c>
      <c r="G577" s="20">
        <f t="shared" si="41"/>
        <v>9.7390438986067696E-2</v>
      </c>
      <c r="H577" s="20">
        <f t="shared" si="42"/>
        <v>0.59119935132144696</v>
      </c>
      <c r="I577" s="20">
        <f t="shared" si="43"/>
        <v>0.1488006486785497</v>
      </c>
      <c r="J577" s="20">
        <f t="shared" si="44"/>
        <v>0.78961152883704</v>
      </c>
    </row>
    <row r="578" spans="1:10" ht="15" customHeight="1">
      <c r="A578" s="18" t="str">
        <f>Analysis!A578</f>
        <v>3/2006</v>
      </c>
      <c r="B578" s="19">
        <f>Analysis!E578</f>
        <v>0.63000000000000256</v>
      </c>
      <c r="C578" s="20">
        <f>Analysis!F578</f>
        <v>0.4513901126832936</v>
      </c>
      <c r="D578" s="19">
        <f t="shared" si="45"/>
        <v>-0.82</v>
      </c>
      <c r="E578" s="19">
        <f>Solar!D578</f>
        <v>1360.68</v>
      </c>
      <c r="F578" s="30">
        <v>-0.63</v>
      </c>
      <c r="G578" s="20">
        <f t="shared" ref="G578:G641" si="46">B578-($N$4+$N$5*C578)</f>
        <v>-1.7350712360562182E-2</v>
      </c>
      <c r="H578" s="20">
        <f t="shared" ref="H578:H641" si="47">IF(D578="","",$N$14+$N$15*C578+$N$16*D578)</f>
        <v>0.57420399749759299</v>
      </c>
      <c r="I578" s="20">
        <f t="shared" ref="I578:I641" si="48">IF(D578="","",B578-H578)</f>
        <v>5.579600250240957E-2</v>
      </c>
      <c r="J578" s="20">
        <f t="shared" ref="J578:J641" si="49">IF(D578="","",B578-$N$16*D578)</f>
        <v>0.70137097130943327</v>
      </c>
    </row>
    <row r="579" spans="1:10" ht="15" customHeight="1">
      <c r="A579" s="18" t="str">
        <f>Analysis!A579</f>
        <v>4/2006</v>
      </c>
      <c r="B579" s="19">
        <f>Analysis!E579</f>
        <v>0.47000000000000242</v>
      </c>
      <c r="C579" s="20">
        <f>Analysis!F579</f>
        <v>0.45868197193771321</v>
      </c>
      <c r="D579" s="19">
        <f t="shared" si="45"/>
        <v>-0.86</v>
      </c>
      <c r="E579" s="19">
        <f>Solar!D579</f>
        <v>1360.65</v>
      </c>
      <c r="F579" s="30">
        <v>-0.45</v>
      </c>
      <c r="G579" s="20">
        <f t="shared" si="46"/>
        <v>-0.19728352989800813</v>
      </c>
      <c r="H579" s="20">
        <f t="shared" si="47"/>
        <v>0.59075173757813337</v>
      </c>
      <c r="I579" s="20">
        <f t="shared" si="48"/>
        <v>-0.12075173757813096</v>
      </c>
      <c r="J579" s="20">
        <f t="shared" si="49"/>
        <v>0.54485248210501513</v>
      </c>
    </row>
    <row r="580" spans="1:10" ht="15" customHeight="1">
      <c r="A580" s="18" t="str">
        <f>Analysis!A580</f>
        <v>5/2006</v>
      </c>
      <c r="B580" s="19">
        <f>Analysis!E580</f>
        <v>0.47999999999999865</v>
      </c>
      <c r="C580" s="20">
        <f>Analysis!F580</f>
        <v>0.46025578035116405</v>
      </c>
      <c r="D580" s="19">
        <f t="shared" si="45"/>
        <v>-0.8</v>
      </c>
      <c r="E580" s="19">
        <f>Solar!D580</f>
        <v>1360.84</v>
      </c>
      <c r="F580" s="30">
        <v>-0.19</v>
      </c>
      <c r="G580" s="20">
        <f t="shared" si="46"/>
        <v>-0.19158564748553941</v>
      </c>
      <c r="H580" s="20">
        <f t="shared" si="47"/>
        <v>0.60029693465156331</v>
      </c>
      <c r="I580" s="20">
        <f t="shared" si="48"/>
        <v>-0.12029693465156466</v>
      </c>
      <c r="J580" s="20">
        <f t="shared" si="49"/>
        <v>0.54963021591163841</v>
      </c>
    </row>
    <row r="581" spans="1:10" ht="15" customHeight="1">
      <c r="A581" s="18" t="str">
        <f>Analysis!A581</f>
        <v>6/2006</v>
      </c>
      <c r="B581" s="19">
        <f>Analysis!E581</f>
        <v>0.66999999999999993</v>
      </c>
      <c r="C581" s="20">
        <f>Analysis!F581</f>
        <v>0.45658088651772205</v>
      </c>
      <c r="D581" s="19">
        <f t="shared" ref="D581:D644" si="50">IF(F578="","",F578)</f>
        <v>-0.63</v>
      </c>
      <c r="E581" s="19">
        <f>Solar!D581</f>
        <v>1360.71</v>
      </c>
      <c r="F581" s="30">
        <v>-0.05</v>
      </c>
      <c r="G581" s="20">
        <f t="shared" si="46"/>
        <v>8.4599370074821545E-3</v>
      </c>
      <c r="H581" s="20">
        <f t="shared" si="47"/>
        <v>0.60499917132475878</v>
      </c>
      <c r="I581" s="20">
        <f t="shared" si="48"/>
        <v>6.5000828675241151E-2</v>
      </c>
      <c r="J581" s="20">
        <f t="shared" si="49"/>
        <v>0.72483379503041623</v>
      </c>
    </row>
    <row r="582" spans="1:10" ht="15" customHeight="1">
      <c r="A582" s="18" t="str">
        <f>Analysis!A582</f>
        <v>7/2006</v>
      </c>
      <c r="B582" s="19">
        <f>Analysis!E582</f>
        <v>0.53999999999999915</v>
      </c>
      <c r="C582" s="20">
        <f>Analysis!F582</f>
        <v>0.45059857249129948</v>
      </c>
      <c r="D582" s="19">
        <f t="shared" si="50"/>
        <v>-0.45</v>
      </c>
      <c r="E582" s="19">
        <f>Solar!D582</f>
        <v>1360.68</v>
      </c>
      <c r="F582" s="30">
        <v>0.12</v>
      </c>
      <c r="G582" s="20">
        <f t="shared" si="46"/>
        <v>-0.10518698077029798</v>
      </c>
      <c r="H582" s="20">
        <f t="shared" si="47"/>
        <v>0.60423377281024249</v>
      </c>
      <c r="I582" s="20">
        <f t="shared" si="48"/>
        <v>-6.4233772810243339E-2</v>
      </c>
      <c r="J582" s="20">
        <f t="shared" si="49"/>
        <v>0.57916699645029646</v>
      </c>
    </row>
    <row r="583" spans="1:10" ht="15" customHeight="1">
      <c r="A583" s="18" t="str">
        <f>Analysis!A583</f>
        <v>8/2006</v>
      </c>
      <c r="B583" s="19">
        <f>Analysis!E583</f>
        <v>0.71000000000000085</v>
      </c>
      <c r="C583" s="20">
        <f>Analysis!F583</f>
        <v>0.44284873444169331</v>
      </c>
      <c r="D583" s="19">
        <f t="shared" si="50"/>
        <v>-0.19</v>
      </c>
      <c r="E583" s="19">
        <f>Solar!D583</f>
        <v>1360.54</v>
      </c>
      <c r="F583" s="30">
        <v>0.33</v>
      </c>
      <c r="G583" s="20">
        <f t="shared" si="46"/>
        <v>8.599775448003466E-2</v>
      </c>
      <c r="H583" s="20">
        <f t="shared" si="47"/>
        <v>0.6055763677171595</v>
      </c>
      <c r="I583" s="20">
        <f t="shared" si="48"/>
        <v>0.10442363228284135</v>
      </c>
      <c r="J583" s="20">
        <f t="shared" si="49"/>
        <v>0.72653717627901526</v>
      </c>
    </row>
    <row r="584" spans="1:10" ht="15" customHeight="1">
      <c r="A584" s="18" t="str">
        <f>Analysis!A584</f>
        <v>9/2006</v>
      </c>
      <c r="B584" s="19">
        <f>Analysis!E584</f>
        <v>0.66000000000000369</v>
      </c>
      <c r="C584" s="20">
        <f>Analysis!F584</f>
        <v>0.4369232765205403</v>
      </c>
      <c r="D584" s="19">
        <f t="shared" si="50"/>
        <v>-0.05</v>
      </c>
      <c r="E584" s="19">
        <f>Solar!D584</f>
        <v>1360.72</v>
      </c>
      <c r="F584" s="30">
        <v>0.54</v>
      </c>
      <c r="G584" s="20">
        <f t="shared" si="46"/>
        <v>5.2195416481887968E-2</v>
      </c>
      <c r="H584" s="20">
        <f t="shared" si="47"/>
        <v>0.60148563053772763</v>
      </c>
      <c r="I584" s="20">
        <f t="shared" si="48"/>
        <v>5.8514369462276061E-2</v>
      </c>
      <c r="J584" s="20">
        <f t="shared" si="49"/>
        <v>0.66435188849448112</v>
      </c>
    </row>
    <row r="585" spans="1:10" ht="15" customHeight="1">
      <c r="A585" s="18" t="str">
        <f>Analysis!A585</f>
        <v>10/2006</v>
      </c>
      <c r="B585" s="19">
        <f>Analysis!E585</f>
        <v>0.71000000000000085</v>
      </c>
      <c r="C585" s="20">
        <f>Analysis!F585</f>
        <v>0.43802664712394201</v>
      </c>
      <c r="D585" s="19">
        <f t="shared" si="50"/>
        <v>0.12</v>
      </c>
      <c r="E585" s="19">
        <f>Solar!D585</f>
        <v>1360.74</v>
      </c>
      <c r="F585" s="30">
        <v>0.71</v>
      </c>
      <c r="G585" s="20">
        <f t="shared" si="46"/>
        <v>9.9179274213305635E-2</v>
      </c>
      <c r="H585" s="20">
        <f t="shared" si="47"/>
        <v>0.61931278553679292</v>
      </c>
      <c r="I585" s="20">
        <f t="shared" si="48"/>
        <v>9.0687214463207932E-2</v>
      </c>
      <c r="J585" s="20">
        <f t="shared" si="49"/>
        <v>0.69955546761325493</v>
      </c>
    </row>
    <row r="586" spans="1:10" ht="15" customHeight="1">
      <c r="A586" s="18" t="str">
        <f>Analysis!A586</f>
        <v>11/2006</v>
      </c>
      <c r="B586" s="19">
        <f>Analysis!E586</f>
        <v>0.7300000000000022</v>
      </c>
      <c r="C586" s="20">
        <f>Analysis!F586</f>
        <v>0.44190077787897852</v>
      </c>
      <c r="D586" s="19">
        <f t="shared" si="50"/>
        <v>0.33</v>
      </c>
      <c r="E586" s="19">
        <f>Solar!D586</f>
        <v>1360.53</v>
      </c>
      <c r="F586" s="30">
        <v>0.88</v>
      </c>
      <c r="G586" s="20">
        <f t="shared" si="46"/>
        <v>0.10858906137979074</v>
      </c>
      <c r="H586" s="20">
        <f t="shared" si="47"/>
        <v>0.6482321646294269</v>
      </c>
      <c r="I586" s="20">
        <f t="shared" si="48"/>
        <v>8.1767835370575304E-2</v>
      </c>
      <c r="J586" s="20">
        <f t="shared" si="49"/>
        <v>0.70127753593645081</v>
      </c>
    </row>
    <row r="587" spans="1:10" ht="15" customHeight="1">
      <c r="A587" s="18" t="str">
        <f>Analysis!A587</f>
        <v>12/2006</v>
      </c>
      <c r="B587" s="19">
        <f>Analysis!E587</f>
        <v>0.79000000000000092</v>
      </c>
      <c r="C587" s="20">
        <f>Analysis!F587</f>
        <v>0.44822134288530163</v>
      </c>
      <c r="D587" s="19">
        <f t="shared" si="50"/>
        <v>0.54</v>
      </c>
      <c r="E587" s="19">
        <f>Solar!D587</f>
        <v>1360.55</v>
      </c>
      <c r="F587" s="30">
        <v>0.88</v>
      </c>
      <c r="G587" s="20">
        <f t="shared" si="46"/>
        <v>0.15131134597020546</v>
      </c>
      <c r="H587" s="20">
        <f t="shared" si="47"/>
        <v>0.68387139988786083</v>
      </c>
      <c r="I587" s="20">
        <f t="shared" si="48"/>
        <v>0.10612860011214009</v>
      </c>
      <c r="J587" s="20">
        <f t="shared" si="49"/>
        <v>0.74299960425964406</v>
      </c>
    </row>
    <row r="588" spans="1:10" ht="15" customHeight="1">
      <c r="A588" s="18" t="str">
        <f>Analysis!A588</f>
        <v>1/2007</v>
      </c>
      <c r="B588" s="19">
        <f>Analysis!E588</f>
        <v>1.0099999999999998</v>
      </c>
      <c r="C588" s="20">
        <f>Analysis!F588</f>
        <v>0.45229419859155129</v>
      </c>
      <c r="D588" s="19">
        <f t="shared" si="50"/>
        <v>0.71</v>
      </c>
      <c r="E588" s="19">
        <f>Solar!D588</f>
        <v>1360.53</v>
      </c>
      <c r="F588" s="30">
        <v>0.62</v>
      </c>
      <c r="G588" s="20">
        <f t="shared" si="46"/>
        <v>0.36017790430375773</v>
      </c>
      <c r="H588" s="20">
        <f t="shared" si="47"/>
        <v>0.70985512511444404</v>
      </c>
      <c r="I588" s="20">
        <f t="shared" si="48"/>
        <v>0.30014487488555575</v>
      </c>
      <c r="J588" s="20">
        <f t="shared" si="49"/>
        <v>0.94820318337841958</v>
      </c>
    </row>
    <row r="589" spans="1:10" ht="15" customHeight="1">
      <c r="A589" s="18" t="str">
        <f>Analysis!A589</f>
        <v>2/2007</v>
      </c>
      <c r="B589" s="19">
        <f>Analysis!E589</f>
        <v>0.70000000000000107</v>
      </c>
      <c r="C589" s="20">
        <f>Analysis!F589</f>
        <v>0.45613025554704617</v>
      </c>
      <c r="D589" s="19">
        <f t="shared" si="50"/>
        <v>0.88</v>
      </c>
      <c r="E589" s="19">
        <f>Solar!D589</f>
        <v>1360.59</v>
      </c>
      <c r="F589" s="30">
        <v>0.19</v>
      </c>
      <c r="G589" s="20">
        <f t="shared" si="46"/>
        <v>3.96917689178099E-2</v>
      </c>
      <c r="H589" s="20">
        <f t="shared" si="47"/>
        <v>0.7351884124457615</v>
      </c>
      <c r="I589" s="20">
        <f t="shared" si="48"/>
        <v>-3.5188412445760431E-2</v>
      </c>
      <c r="J589" s="20">
        <f t="shared" si="49"/>
        <v>0.6234067624971974</v>
      </c>
    </row>
    <row r="590" spans="1:10" ht="15" customHeight="1">
      <c r="A590" s="18" t="str">
        <f>Analysis!A590</f>
        <v>3/2007</v>
      </c>
      <c r="B590" s="19">
        <f>Analysis!E590</f>
        <v>0.71000000000000085</v>
      </c>
      <c r="C590" s="20">
        <f>Analysis!F590</f>
        <v>0.45871946352542553</v>
      </c>
      <c r="D590" s="19">
        <f t="shared" si="50"/>
        <v>0.88</v>
      </c>
      <c r="E590" s="19">
        <f>Solar!D590</f>
        <v>1360.66</v>
      </c>
      <c r="F590" s="30">
        <v>-0.12</v>
      </c>
      <c r="G590" s="20">
        <f t="shared" si="46"/>
        <v>4.2613984171998465E-2</v>
      </c>
      <c r="H590" s="20">
        <f t="shared" si="47"/>
        <v>0.74230043893447695</v>
      </c>
      <c r="I590" s="20">
        <f t="shared" si="48"/>
        <v>-3.2300438934476094E-2</v>
      </c>
      <c r="J590" s="20">
        <f t="shared" si="49"/>
        <v>0.63340676249719718</v>
      </c>
    </row>
    <row r="591" spans="1:10" ht="15" customHeight="1">
      <c r="A591" s="18" t="str">
        <f>Analysis!A591</f>
        <v>4/2007</v>
      </c>
      <c r="B591" s="19">
        <f>Analysis!E591</f>
        <v>0.77000000000000135</v>
      </c>
      <c r="C591" s="20">
        <f>Analysis!F591</f>
        <v>0.46589985649655991</v>
      </c>
      <c r="D591" s="19">
        <f t="shared" si="50"/>
        <v>0.62</v>
      </c>
      <c r="E591" s="19">
        <f>Solar!D591</f>
        <v>1360.59</v>
      </c>
      <c r="F591" s="30">
        <v>-0.32</v>
      </c>
      <c r="G591" s="20">
        <f t="shared" si="46"/>
        <v>8.2985867672900171E-2</v>
      </c>
      <c r="H591" s="20">
        <f t="shared" si="47"/>
        <v>0.73939369448230208</v>
      </c>
      <c r="I591" s="20">
        <f t="shared" si="48"/>
        <v>3.0606305517699273E-2</v>
      </c>
      <c r="J591" s="20">
        <f t="shared" si="49"/>
        <v>0.71603658266848058</v>
      </c>
    </row>
    <row r="592" spans="1:10" ht="15" customHeight="1">
      <c r="A592" s="18" t="str">
        <f>Analysis!A592</f>
        <v>5/2007</v>
      </c>
      <c r="B592" s="19">
        <f>Analysis!E592</f>
        <v>0.69000000000000128</v>
      </c>
      <c r="C592" s="20">
        <f>Analysis!F592</f>
        <v>0.46608636928151376</v>
      </c>
      <c r="D592" s="19">
        <f t="shared" si="50"/>
        <v>0.19</v>
      </c>
      <c r="E592" s="19">
        <f>Solar!D592</f>
        <v>1360.57</v>
      </c>
      <c r="F592" s="30">
        <v>-0.34</v>
      </c>
      <c r="G592" s="20">
        <f t="shared" si="46"/>
        <v>2.476021667763173E-3</v>
      </c>
      <c r="H592" s="20">
        <f t="shared" si="47"/>
        <v>0.70247976602814721</v>
      </c>
      <c r="I592" s="20">
        <f t="shared" si="48"/>
        <v>-1.2479766028145933E-2</v>
      </c>
      <c r="J592" s="20">
        <f t="shared" si="49"/>
        <v>0.67346282372098687</v>
      </c>
    </row>
    <row r="593" spans="1:10" ht="15" customHeight="1">
      <c r="A593" s="18" t="str">
        <f>Analysis!A593</f>
        <v>6/2007</v>
      </c>
      <c r="B593" s="19">
        <f>Analysis!E593</f>
        <v>0.61000000000000121</v>
      </c>
      <c r="C593" s="20">
        <f>Analysis!F593</f>
        <v>0.4644068855296089</v>
      </c>
      <c r="D593" s="19">
        <f t="shared" si="50"/>
        <v>-0.12</v>
      </c>
      <c r="E593" s="19">
        <f>Solar!D593</f>
        <v>1360.65</v>
      </c>
      <c r="F593" s="30">
        <v>-0.41</v>
      </c>
      <c r="G593" s="20">
        <f t="shared" si="46"/>
        <v>-7.2932989667235826E-2</v>
      </c>
      <c r="H593" s="20">
        <f t="shared" si="47"/>
        <v>0.67088485787024299</v>
      </c>
      <c r="I593" s="20">
        <f t="shared" si="48"/>
        <v>-6.0884857870241782E-2</v>
      </c>
      <c r="J593" s="20">
        <f t="shared" si="49"/>
        <v>0.62044453238674713</v>
      </c>
    </row>
    <row r="594" spans="1:10" ht="15" customHeight="1">
      <c r="A594" s="18" t="str">
        <f>Analysis!A594</f>
        <v>7/2007</v>
      </c>
      <c r="B594" s="19">
        <f>Analysis!E594</f>
        <v>0.60000000000000142</v>
      </c>
      <c r="C594" s="20">
        <f>Analysis!F594</f>
        <v>0.45841950353975386</v>
      </c>
      <c r="D594" s="19">
        <f t="shared" si="50"/>
        <v>-0.32</v>
      </c>
      <c r="E594" s="19">
        <f>Solar!D594</f>
        <v>1360.61</v>
      </c>
      <c r="F594" s="30">
        <v>-0.49</v>
      </c>
      <c r="G594" s="20">
        <f t="shared" si="46"/>
        <v>-6.6566053805379055E-2</v>
      </c>
      <c r="H594" s="20">
        <f t="shared" si="47"/>
        <v>0.63703118613528809</v>
      </c>
      <c r="I594" s="20">
        <f t="shared" si="48"/>
        <v>-3.7031186135286664E-2</v>
      </c>
      <c r="J594" s="20">
        <f t="shared" si="49"/>
        <v>0.62785208636465728</v>
      </c>
    </row>
    <row r="595" spans="1:10" ht="15" customHeight="1">
      <c r="A595" s="18" t="str">
        <f>Analysis!A595</f>
        <v>8/2007</v>
      </c>
      <c r="B595" s="19">
        <f>Analysis!E595</f>
        <v>0.60000000000000142</v>
      </c>
      <c r="C595" s="20">
        <f>Analysis!F595</f>
        <v>0.44905193173664115</v>
      </c>
      <c r="D595" s="19">
        <f t="shared" si="50"/>
        <v>-0.34</v>
      </c>
      <c r="E595" s="19">
        <f>Solar!D595</f>
        <v>1360.66</v>
      </c>
      <c r="F595" s="30">
        <v>-0.77</v>
      </c>
      <c r="G595" s="20">
        <f t="shared" si="46"/>
        <v>-4.0959127916457949E-2</v>
      </c>
      <c r="H595" s="20">
        <f t="shared" si="47"/>
        <v>0.6095596206384245</v>
      </c>
      <c r="I595" s="20">
        <f t="shared" si="48"/>
        <v>-9.5596206384230831E-3</v>
      </c>
      <c r="J595" s="20">
        <f t="shared" si="49"/>
        <v>0.62959284176244834</v>
      </c>
    </row>
    <row r="596" spans="1:10" ht="15" customHeight="1">
      <c r="A596" s="18" t="str">
        <f>Analysis!A596</f>
        <v>9/2007</v>
      </c>
      <c r="B596" s="19">
        <f>Analysis!E596</f>
        <v>0.60000000000000142</v>
      </c>
      <c r="C596" s="20">
        <f>Analysis!F596</f>
        <v>0.44512129207761308</v>
      </c>
      <c r="D596" s="19">
        <f t="shared" si="50"/>
        <v>-0.41</v>
      </c>
      <c r="E596" s="19">
        <f>Solar!D596</f>
        <v>1360.6</v>
      </c>
      <c r="F596" s="30">
        <v>-1.05</v>
      </c>
      <c r="G596" s="20">
        <f t="shared" si="46"/>
        <v>-3.0214443962037429E-2</v>
      </c>
      <c r="H596" s="20">
        <f t="shared" si="47"/>
        <v>0.59267031089079225</v>
      </c>
      <c r="I596" s="20">
        <f t="shared" si="48"/>
        <v>7.3296891092091698E-3</v>
      </c>
      <c r="J596" s="20">
        <f t="shared" si="49"/>
        <v>0.63568548565471672</v>
      </c>
    </row>
    <row r="597" spans="1:10" ht="15" customHeight="1">
      <c r="A597" s="18" t="str">
        <f>Analysis!A597</f>
        <v>10/2007</v>
      </c>
      <c r="B597" s="19">
        <f>Analysis!E597</f>
        <v>0.58999999999999986</v>
      </c>
      <c r="C597" s="20">
        <f>Analysis!F597</f>
        <v>0.44576453312043945</v>
      </c>
      <c r="D597" s="19">
        <f t="shared" si="50"/>
        <v>-0.49</v>
      </c>
      <c r="E597" s="19">
        <f>Solar!D597</f>
        <v>1360.6</v>
      </c>
      <c r="F597" s="30">
        <v>-1.38</v>
      </c>
      <c r="G597" s="20">
        <f t="shared" si="46"/>
        <v>-4.1972789247088582E-2</v>
      </c>
      <c r="H597" s="20">
        <f t="shared" si="47"/>
        <v>0.58747414131515241</v>
      </c>
      <c r="I597" s="20">
        <f t="shared" si="48"/>
        <v>2.5258586848474485E-3</v>
      </c>
      <c r="J597" s="20">
        <f t="shared" si="49"/>
        <v>0.63264850724587918</v>
      </c>
    </row>
    <row r="598" spans="1:10" ht="15" customHeight="1">
      <c r="A598" s="18" t="str">
        <f>Analysis!A598</f>
        <v>11/2007</v>
      </c>
      <c r="B598" s="19">
        <f>Analysis!E598</f>
        <v>0.58999999999999986</v>
      </c>
      <c r="C598" s="20">
        <f>Analysis!F598</f>
        <v>0.4507870738361669</v>
      </c>
      <c r="D598" s="19">
        <f t="shared" si="50"/>
        <v>-0.77</v>
      </c>
      <c r="E598" s="19">
        <f>Solar!D598</f>
        <v>1360.59</v>
      </c>
      <c r="F598" s="30">
        <v>-1.57</v>
      </c>
      <c r="G598" s="20">
        <f t="shared" si="46"/>
        <v>-5.5702262645839329E-2</v>
      </c>
      <c r="H598" s="20">
        <f t="shared" si="47"/>
        <v>0.57689946121263891</v>
      </c>
      <c r="I598" s="20">
        <f t="shared" si="48"/>
        <v>1.3100538787360949E-2</v>
      </c>
      <c r="J598" s="20">
        <f t="shared" si="49"/>
        <v>0.65701908281495314</v>
      </c>
    </row>
    <row r="599" spans="1:10" ht="15" customHeight="1">
      <c r="A599" s="18" t="str">
        <f>Analysis!A599</f>
        <v>12/2007</v>
      </c>
      <c r="B599" s="19">
        <f>Analysis!E599</f>
        <v>0.5</v>
      </c>
      <c r="C599" s="20">
        <f>Analysis!F599</f>
        <v>0.45639314071876497</v>
      </c>
      <c r="D599" s="19">
        <f t="shared" si="50"/>
        <v>-1.05</v>
      </c>
      <c r="E599" s="19">
        <f>Solar!D599</f>
        <v>1360.6</v>
      </c>
      <c r="F599" s="30">
        <v>-1.72</v>
      </c>
      <c r="G599" s="20">
        <f t="shared" si="46"/>
        <v>-0.16102684645562892</v>
      </c>
      <c r="H599" s="20">
        <f t="shared" si="47"/>
        <v>0.56792760853468804</v>
      </c>
      <c r="I599" s="20">
        <f t="shared" si="48"/>
        <v>-6.7927608534688044E-2</v>
      </c>
      <c r="J599" s="20">
        <f t="shared" si="49"/>
        <v>0.59138965838402713</v>
      </c>
    </row>
    <row r="600" spans="1:10" ht="15" customHeight="1">
      <c r="A600" s="18" t="str">
        <f>Analysis!A600</f>
        <v>1/2008</v>
      </c>
      <c r="B600" s="19">
        <f>Analysis!E600</f>
        <v>0.30000000000000249</v>
      </c>
      <c r="C600" s="20">
        <f>Analysis!F600</f>
        <v>0.46235152448856948</v>
      </c>
      <c r="D600" s="19">
        <f t="shared" si="50"/>
        <v>-1.38</v>
      </c>
      <c r="E600" s="19">
        <f>Solar!D600</f>
        <v>1360.69</v>
      </c>
      <c r="F600" s="30">
        <v>-1.76</v>
      </c>
      <c r="G600" s="20">
        <f t="shared" si="46"/>
        <v>-0.37731451361398627</v>
      </c>
      <c r="H600" s="20">
        <f t="shared" si="47"/>
        <v>0.55557161002918998</v>
      </c>
      <c r="I600" s="20">
        <f t="shared" si="48"/>
        <v>-0.25557161002918749</v>
      </c>
      <c r="J600" s="20">
        <f t="shared" si="49"/>
        <v>0.420112122447581</v>
      </c>
    </row>
    <row r="601" spans="1:10" ht="15" customHeight="1">
      <c r="A601" s="18" t="str">
        <f>Analysis!A601</f>
        <v>2/2008</v>
      </c>
      <c r="B601" s="19">
        <f>Analysis!E601</f>
        <v>0.38000000000000256</v>
      </c>
      <c r="C601" s="20">
        <f>Analysis!F601</f>
        <v>0.46339825601108536</v>
      </c>
      <c r="D601" s="19">
        <f t="shared" si="50"/>
        <v>-1.57</v>
      </c>
      <c r="E601" s="19">
        <f>Solar!D601</f>
        <v>1360.63</v>
      </c>
      <c r="F601" s="30">
        <v>-1.61</v>
      </c>
      <c r="G601" s="20">
        <f t="shared" si="46"/>
        <v>-0.3001758289138331</v>
      </c>
      <c r="H601" s="20">
        <f t="shared" si="47"/>
        <v>0.54190959185909127</v>
      </c>
      <c r="I601" s="20">
        <f t="shared" si="48"/>
        <v>-0.16190959185908871</v>
      </c>
      <c r="J601" s="20">
        <f t="shared" si="49"/>
        <v>0.51664929872659549</v>
      </c>
    </row>
    <row r="602" spans="1:10" ht="15" customHeight="1">
      <c r="A602" s="18" t="str">
        <f>Analysis!A602</f>
        <v>3/2008</v>
      </c>
      <c r="B602" s="19">
        <f>Analysis!E602</f>
        <v>0.75</v>
      </c>
      <c r="C602" s="20">
        <f>Analysis!F602</f>
        <v>0.46422015547914297</v>
      </c>
      <c r="D602" s="19">
        <f t="shared" si="50"/>
        <v>-1.72</v>
      </c>
      <c r="E602" s="19">
        <f>Solar!D602</f>
        <v>1360.57</v>
      </c>
      <c r="F602" s="30">
        <v>-1.37</v>
      </c>
      <c r="G602" s="20">
        <f t="shared" si="46"/>
        <v>6.7577450248678894E-2</v>
      </c>
      <c r="H602" s="20">
        <f t="shared" si="47"/>
        <v>0.53111151666454137</v>
      </c>
      <c r="I602" s="20">
        <f t="shared" si="48"/>
        <v>0.21888848333545863</v>
      </c>
      <c r="J602" s="20">
        <f t="shared" si="49"/>
        <v>0.89970496421002544</v>
      </c>
    </row>
    <row r="603" spans="1:10" ht="15" customHeight="1">
      <c r="A603" s="18" t="str">
        <f>Analysis!A603</f>
        <v>4/2008</v>
      </c>
      <c r="B603" s="19">
        <f>Analysis!E603</f>
        <v>0.53999999999999915</v>
      </c>
      <c r="C603" s="20">
        <f>Analysis!F603</f>
        <v>0.46813642006500927</v>
      </c>
      <c r="D603" s="19">
        <f t="shared" si="50"/>
        <v>-1.76</v>
      </c>
      <c r="E603" s="19">
        <f>Solar!D603</f>
        <v>1360.66</v>
      </c>
      <c r="F603" s="30">
        <v>-1.05</v>
      </c>
      <c r="G603" s="20">
        <f t="shared" si="46"/>
        <v>-0.15312793841761041</v>
      </c>
      <c r="H603" s="20">
        <f t="shared" si="47"/>
        <v>0.53838718632880544</v>
      </c>
      <c r="I603" s="20">
        <f t="shared" si="48"/>
        <v>1.6128136711937024E-3</v>
      </c>
      <c r="J603" s="20">
        <f t="shared" si="49"/>
        <v>0.69318647500560648</v>
      </c>
    </row>
    <row r="604" spans="1:10" ht="15" customHeight="1">
      <c r="A604" s="18" t="str">
        <f>Analysis!A604</f>
        <v>5/2008</v>
      </c>
      <c r="B604" s="19">
        <f>Analysis!E604</f>
        <v>0.5</v>
      </c>
      <c r="C604" s="20">
        <f>Analysis!F604</f>
        <v>0.47352717715675879</v>
      </c>
      <c r="D604" s="19">
        <f t="shared" si="50"/>
        <v>-1.61</v>
      </c>
      <c r="E604" s="19">
        <f>Solar!D604</f>
        <v>1360.64</v>
      </c>
      <c r="F604" s="30">
        <v>-0.85</v>
      </c>
      <c r="G604" s="20">
        <f t="shared" si="46"/>
        <v>-0.20786395755201725</v>
      </c>
      <c r="H604" s="20">
        <f t="shared" si="47"/>
        <v>0.56625016260028482</v>
      </c>
      <c r="I604" s="20">
        <f t="shared" si="48"/>
        <v>-6.6250162600284823E-2</v>
      </c>
      <c r="J604" s="20">
        <f t="shared" si="49"/>
        <v>0.64013080952217494</v>
      </c>
    </row>
    <row r="605" spans="1:10" ht="15" customHeight="1">
      <c r="A605" s="18" t="str">
        <f>Analysis!A605</f>
        <v>6/2008</v>
      </c>
      <c r="B605" s="19">
        <f>Analysis!E605</f>
        <v>0.5</v>
      </c>
      <c r="C605" s="20">
        <f>Analysis!F605</f>
        <v>0.47059264190111394</v>
      </c>
      <c r="D605" s="19">
        <f t="shared" si="50"/>
        <v>-1.37</v>
      </c>
      <c r="E605" s="19">
        <f>Solar!D605</f>
        <v>1360.6</v>
      </c>
      <c r="F605" s="30">
        <v>-0.56000000000000005</v>
      </c>
      <c r="G605" s="20">
        <f t="shared" si="46"/>
        <v>-0.19984219605510989</v>
      </c>
      <c r="H605" s="20">
        <f t="shared" si="47"/>
        <v>0.57907865725175856</v>
      </c>
      <c r="I605" s="20">
        <f t="shared" si="48"/>
        <v>-7.9078657251758555E-2</v>
      </c>
      <c r="J605" s="20">
        <f t="shared" si="49"/>
        <v>0.6192417447486831</v>
      </c>
    </row>
    <row r="606" spans="1:10" ht="15" customHeight="1">
      <c r="A606" s="18" t="str">
        <f>Analysis!A606</f>
        <v>7/2008</v>
      </c>
      <c r="B606" s="19">
        <f>Analysis!E606</f>
        <v>0.60000000000000142</v>
      </c>
      <c r="C606" s="20">
        <f>Analysis!F606</f>
        <v>0.46548944347381965</v>
      </c>
      <c r="D606" s="19">
        <f t="shared" si="50"/>
        <v>-1.05</v>
      </c>
      <c r="E606" s="19">
        <f>Solar!D606</f>
        <v>1360.6</v>
      </c>
      <c r="F606" s="30">
        <v>-0.33</v>
      </c>
      <c r="G606" s="20">
        <f t="shared" si="46"/>
        <v>-8.5892239046957974E-2</v>
      </c>
      <c r="H606" s="20">
        <f t="shared" si="47"/>
        <v>0.59291329785881031</v>
      </c>
      <c r="I606" s="20">
        <f t="shared" si="48"/>
        <v>7.0867021411911146E-3</v>
      </c>
      <c r="J606" s="20">
        <f t="shared" si="49"/>
        <v>0.69138965838402855</v>
      </c>
    </row>
    <row r="607" spans="1:10" ht="15" customHeight="1">
      <c r="A607" s="18" t="str">
        <f>Analysis!A607</f>
        <v>8/2008</v>
      </c>
      <c r="B607" s="19">
        <f>Analysis!E607</f>
        <v>0.44999999999999751</v>
      </c>
      <c r="C607" s="20">
        <f>Analysis!F607</f>
        <v>0.45688122898594291</v>
      </c>
      <c r="D607" s="19">
        <f t="shared" si="50"/>
        <v>-0.85</v>
      </c>
      <c r="E607" s="19">
        <f>Solar!D607</f>
        <v>1360.59</v>
      </c>
      <c r="F607" s="30">
        <v>-0.2</v>
      </c>
      <c r="G607" s="20">
        <f t="shared" si="46"/>
        <v>-0.21236107055848008</v>
      </c>
      <c r="H607" s="20">
        <f t="shared" si="47"/>
        <v>0.58667584148237828</v>
      </c>
      <c r="I607" s="20">
        <f t="shared" si="48"/>
        <v>-0.13667584148238077</v>
      </c>
      <c r="J607" s="20">
        <f t="shared" si="49"/>
        <v>0.5239821044061147</v>
      </c>
    </row>
    <row r="608" spans="1:10" ht="15" customHeight="1">
      <c r="A608" s="18" t="str">
        <f>Analysis!A608</f>
        <v>9/2008</v>
      </c>
      <c r="B608" s="19">
        <f>Analysis!E608</f>
        <v>0.60000000000000142</v>
      </c>
      <c r="C608" s="20">
        <f>Analysis!F608</f>
        <v>0.45346113832373852</v>
      </c>
      <c r="D608" s="19">
        <f t="shared" si="50"/>
        <v>-0.56000000000000005</v>
      </c>
      <c r="E608" s="19">
        <f>Solar!D608</f>
        <v>1360.58</v>
      </c>
      <c r="F608" s="30">
        <v>-0.25</v>
      </c>
      <c r="G608" s="20">
        <f t="shared" si="46"/>
        <v>-5.3012008713937298E-2</v>
      </c>
      <c r="H608" s="20">
        <f t="shared" si="47"/>
        <v>0.60252250291032672</v>
      </c>
      <c r="I608" s="20">
        <f t="shared" si="48"/>
        <v>-2.5225029103252972E-3</v>
      </c>
      <c r="J608" s="20">
        <f t="shared" si="49"/>
        <v>0.64874115113814923</v>
      </c>
    </row>
    <row r="609" spans="1:10" ht="15" customHeight="1">
      <c r="A609" s="18" t="str">
        <f>Analysis!A609</f>
        <v>10/2008</v>
      </c>
      <c r="B609" s="19">
        <f>Analysis!E609</f>
        <v>0.66999999999999993</v>
      </c>
      <c r="C609" s="20">
        <f>Analysis!F609</f>
        <v>0.45274602917491535</v>
      </c>
      <c r="D609" s="19">
        <f t="shared" si="50"/>
        <v>-0.33</v>
      </c>
      <c r="E609" s="19">
        <f>Solar!D609</f>
        <v>1360.6</v>
      </c>
      <c r="F609" s="30">
        <v>-0.36</v>
      </c>
      <c r="G609" s="20">
        <f t="shared" si="46"/>
        <v>1.8942793166557226E-2</v>
      </c>
      <c r="H609" s="20">
        <f t="shared" si="47"/>
        <v>0.6205769309330349</v>
      </c>
      <c r="I609" s="20">
        <f t="shared" si="48"/>
        <v>4.9423069066965031E-2</v>
      </c>
      <c r="J609" s="20">
        <f t="shared" si="49"/>
        <v>0.69872246406355132</v>
      </c>
    </row>
    <row r="610" spans="1:10" ht="15" customHeight="1">
      <c r="A610" s="18" t="str">
        <f>Analysis!A610</f>
        <v>11/2008</v>
      </c>
      <c r="B610" s="19">
        <f>Analysis!E610</f>
        <v>0.69000000000000128</v>
      </c>
      <c r="C610" s="20">
        <f>Analysis!F610</f>
        <v>0.45721903954172527</v>
      </c>
      <c r="D610" s="19">
        <f t="shared" si="50"/>
        <v>-0.2</v>
      </c>
      <c r="E610" s="19">
        <f>Solar!D610</f>
        <v>1360.59</v>
      </c>
      <c r="F610" s="30">
        <v>-0.56999999999999995</v>
      </c>
      <c r="G610" s="20">
        <f t="shared" si="46"/>
        <v>2.6715500184911201E-2</v>
      </c>
      <c r="H610" s="20">
        <f t="shared" si="47"/>
        <v>0.64417828864230964</v>
      </c>
      <c r="I610" s="20">
        <f t="shared" si="48"/>
        <v>4.5821711357691641E-2</v>
      </c>
      <c r="J610" s="20">
        <f t="shared" si="49"/>
        <v>0.70740755397791122</v>
      </c>
    </row>
    <row r="611" spans="1:10" ht="15" customHeight="1">
      <c r="A611" s="18" t="str">
        <f>Analysis!A611</f>
        <v>12/2008</v>
      </c>
      <c r="B611" s="19">
        <f>Analysis!E611</f>
        <v>0.53999999999999915</v>
      </c>
      <c r="C611" s="20">
        <f>Analysis!F611</f>
        <v>0.4623889208373384</v>
      </c>
      <c r="D611" s="19">
        <f t="shared" si="50"/>
        <v>-0.25</v>
      </c>
      <c r="E611" s="19">
        <f>Solar!D611</f>
        <v>1360.57</v>
      </c>
      <c r="F611" s="30">
        <v>-0.79</v>
      </c>
      <c r="G611" s="20">
        <f t="shared" si="46"/>
        <v>-0.1374167392015343</v>
      </c>
      <c r="H611" s="20">
        <f t="shared" si="47"/>
        <v>0.65402701015094578</v>
      </c>
      <c r="I611" s="20">
        <f t="shared" si="48"/>
        <v>-0.11402701015094663</v>
      </c>
      <c r="J611" s="20">
        <f t="shared" si="49"/>
        <v>0.56175944247238652</v>
      </c>
    </row>
    <row r="612" spans="1:10" ht="15" customHeight="1">
      <c r="A612" s="18" t="str">
        <f>Analysis!A612</f>
        <v>1/2009</v>
      </c>
      <c r="B612" s="19">
        <f>Analysis!E612</f>
        <v>0.65000000000000213</v>
      </c>
      <c r="C612" s="20">
        <f>Analysis!F612</f>
        <v>0.46754034205383838</v>
      </c>
      <c r="D612" s="19">
        <f t="shared" si="50"/>
        <v>-0.36</v>
      </c>
      <c r="E612" s="19">
        <f>Solar!D612</f>
        <v>1360.56</v>
      </c>
      <c r="F612" s="30">
        <v>-0.89</v>
      </c>
      <c r="G612" s="20">
        <f t="shared" si="46"/>
        <v>-4.1498516644614347E-2</v>
      </c>
      <c r="H612" s="20">
        <f t="shared" si="47"/>
        <v>0.65860275939209956</v>
      </c>
      <c r="I612" s="20">
        <f t="shared" si="48"/>
        <v>-8.6027593920974255E-3</v>
      </c>
      <c r="J612" s="20">
        <f t="shared" si="49"/>
        <v>0.68133359716024</v>
      </c>
    </row>
    <row r="613" spans="1:10" ht="15" customHeight="1">
      <c r="A613" s="18" t="str">
        <f>Analysis!A613</f>
        <v>2/2009</v>
      </c>
      <c r="B613" s="19">
        <f>Analysis!E613</f>
        <v>0.52999999999999758</v>
      </c>
      <c r="C613" s="20">
        <f>Analysis!F613</f>
        <v>0.46951390791885167</v>
      </c>
      <c r="D613" s="19">
        <f t="shared" si="50"/>
        <v>-0.56999999999999995</v>
      </c>
      <c r="E613" s="19">
        <f>Solar!D613</f>
        <v>1360.58</v>
      </c>
      <c r="F613" s="30">
        <v>-0.84</v>
      </c>
      <c r="G613" s="20">
        <f t="shared" si="46"/>
        <v>-0.16689339974821105</v>
      </c>
      <c r="H613" s="20">
        <f t="shared" si="47"/>
        <v>0.64574581082148119</v>
      </c>
      <c r="I613" s="20">
        <f t="shared" si="48"/>
        <v>-0.11574581082148361</v>
      </c>
      <c r="J613" s="20">
        <f t="shared" si="49"/>
        <v>0.57961152883704092</v>
      </c>
    </row>
    <row r="614" spans="1:10" ht="15" customHeight="1">
      <c r="A614" s="18" t="str">
        <f>Analysis!A614</f>
        <v>3/2009</v>
      </c>
      <c r="B614" s="19">
        <f>Analysis!E614</f>
        <v>0.52999999999999758</v>
      </c>
      <c r="C614" s="20">
        <f>Analysis!F614</f>
        <v>0.47449166951900662</v>
      </c>
      <c r="D614" s="19">
        <f t="shared" si="50"/>
        <v>-0.79</v>
      </c>
      <c r="E614" s="19">
        <f>Solar!D614</f>
        <v>1360.59</v>
      </c>
      <c r="F614" s="30">
        <v>-0.63</v>
      </c>
      <c r="G614" s="20">
        <f t="shared" si="46"/>
        <v>-0.18050046623960758</v>
      </c>
      <c r="H614" s="20">
        <f t="shared" si="47"/>
        <v>0.64027039781039452</v>
      </c>
      <c r="I614" s="20">
        <f t="shared" si="48"/>
        <v>-0.11027039781039694</v>
      </c>
      <c r="J614" s="20">
        <f t="shared" si="49"/>
        <v>0.59875983821274181</v>
      </c>
    </row>
    <row r="615" spans="1:10" ht="15" customHeight="1">
      <c r="A615" s="18" t="str">
        <f>Analysis!A615</f>
        <v>4/2009</v>
      </c>
      <c r="B615" s="19">
        <f>Analysis!E615</f>
        <v>0.61000000000000121</v>
      </c>
      <c r="C615" s="20">
        <f>Analysis!F615</f>
        <v>0.47715921118664112</v>
      </c>
      <c r="D615" s="19">
        <f t="shared" si="50"/>
        <v>-0.89</v>
      </c>
      <c r="E615" s="19">
        <f>Solar!D615</f>
        <v>1360.58</v>
      </c>
      <c r="F615" s="30">
        <v>-0.35</v>
      </c>
      <c r="G615" s="20">
        <f t="shared" si="46"/>
        <v>-0.10779238171400995</v>
      </c>
      <c r="H615" s="20">
        <f t="shared" si="47"/>
        <v>0.63889381398567646</v>
      </c>
      <c r="I615" s="20">
        <f t="shared" si="48"/>
        <v>-2.8893813985675254E-2</v>
      </c>
      <c r="J615" s="20">
        <f t="shared" si="49"/>
        <v>0.68746361520170041</v>
      </c>
    </row>
    <row r="616" spans="1:10" ht="15" customHeight="1">
      <c r="A616" s="18" t="str">
        <f>Analysis!A616</f>
        <v>5/2009</v>
      </c>
      <c r="B616" s="19">
        <f>Analysis!E616</f>
        <v>0.65000000000000213</v>
      </c>
      <c r="C616" s="20">
        <f>Analysis!F616</f>
        <v>0.47937840104259694</v>
      </c>
      <c r="D616" s="19">
        <f t="shared" si="50"/>
        <v>-0.84</v>
      </c>
      <c r="E616" s="19">
        <f>Solar!D616</f>
        <v>1360.64</v>
      </c>
      <c r="F616" s="30">
        <v>0.03</v>
      </c>
      <c r="G616" s="20">
        <f t="shared" si="46"/>
        <v>-7.3858695521822448E-2</v>
      </c>
      <c r="H616" s="20">
        <f t="shared" si="47"/>
        <v>0.64934136461731651</v>
      </c>
      <c r="I616" s="20">
        <f t="shared" si="48"/>
        <v>6.5863538268562394E-4</v>
      </c>
      <c r="J616" s="20">
        <f t="shared" si="49"/>
        <v>0.72311172670722379</v>
      </c>
    </row>
    <row r="617" spans="1:10" ht="15" customHeight="1">
      <c r="A617" s="18" t="str">
        <f>Analysis!A617</f>
        <v>6/2009</v>
      </c>
      <c r="B617" s="19">
        <f>Analysis!E617</f>
        <v>0.63000000000000256</v>
      </c>
      <c r="C617" s="20">
        <f>Analysis!F617</f>
        <v>0.47693710433670838</v>
      </c>
      <c r="D617" s="19">
        <f t="shared" si="50"/>
        <v>-0.63</v>
      </c>
      <c r="E617" s="19">
        <f>Solar!D617</f>
        <v>1360.62</v>
      </c>
      <c r="F617" s="30">
        <v>0.34</v>
      </c>
      <c r="G617" s="20">
        <f t="shared" si="46"/>
        <v>-8.7185236792657661E-2</v>
      </c>
      <c r="H617" s="20">
        <f t="shared" si="47"/>
        <v>0.66091355191820644</v>
      </c>
      <c r="I617" s="20">
        <f t="shared" si="48"/>
        <v>-3.0913551918203885E-2</v>
      </c>
      <c r="J617" s="20">
        <f t="shared" si="49"/>
        <v>0.68483379503041886</v>
      </c>
    </row>
    <row r="618" spans="1:10" ht="15" customHeight="1">
      <c r="A618" s="18" t="str">
        <f>Analysis!A618</f>
        <v>7/2009</v>
      </c>
      <c r="B618" s="19">
        <f>Analysis!E618</f>
        <v>0.73999999999999666</v>
      </c>
      <c r="C618" s="20">
        <f>Analysis!F618</f>
        <v>0.47152193804450682</v>
      </c>
      <c r="D618" s="19">
        <f t="shared" si="50"/>
        <v>-0.35</v>
      </c>
      <c r="E618" s="19">
        <f>Solar!D618</f>
        <v>1360.59</v>
      </c>
      <c r="F618" s="30">
        <v>0.5</v>
      </c>
      <c r="G618" s="20">
        <f t="shared" si="46"/>
        <v>3.7617506632747211E-2</v>
      </c>
      <c r="H618" s="20">
        <f t="shared" si="47"/>
        <v>0.6704097696015755</v>
      </c>
      <c r="I618" s="20">
        <f t="shared" si="48"/>
        <v>6.959023039842116E-2</v>
      </c>
      <c r="J618" s="20">
        <f t="shared" si="49"/>
        <v>0.770463219461339</v>
      </c>
    </row>
    <row r="619" spans="1:10" ht="15" customHeight="1">
      <c r="A619" s="18" t="str">
        <f>Analysis!A619</f>
        <v>8/2009</v>
      </c>
      <c r="B619" s="19">
        <f>Analysis!E619</f>
        <v>0.69000000000000128</v>
      </c>
      <c r="C619" s="20">
        <f>Analysis!F619</f>
        <v>0.46425750342278521</v>
      </c>
      <c r="D619" s="19">
        <f t="shared" si="50"/>
        <v>0.03</v>
      </c>
      <c r="E619" s="19">
        <f>Solar!D619</f>
        <v>1360.59</v>
      </c>
      <c r="F619" s="30">
        <v>0.56000000000000005</v>
      </c>
      <c r="G619" s="20">
        <f t="shared" si="46"/>
        <v>7.4753569800026787E-3</v>
      </c>
      <c r="H619" s="20">
        <f t="shared" si="47"/>
        <v>0.68353020115880281</v>
      </c>
      <c r="I619" s="20">
        <f t="shared" si="48"/>
        <v>6.4697988411984708E-3</v>
      </c>
      <c r="J619" s="20">
        <f t="shared" si="49"/>
        <v>0.6873888669033148</v>
      </c>
    </row>
    <row r="620" spans="1:10" ht="15" customHeight="1">
      <c r="A620" s="18" t="str">
        <f>Analysis!A620</f>
        <v>9/2009</v>
      </c>
      <c r="B620" s="19">
        <f>Analysis!E620</f>
        <v>0.72000000000000242</v>
      </c>
      <c r="C620" s="20">
        <f>Analysis!F620</f>
        <v>0.45924424347749254</v>
      </c>
      <c r="D620" s="19">
        <f t="shared" si="50"/>
        <v>0.34</v>
      </c>
      <c r="E620" s="19">
        <f>Solar!D620</f>
        <v>1360.59</v>
      </c>
      <c r="F620" s="30">
        <v>0.66</v>
      </c>
      <c r="G620" s="20">
        <f t="shared" si="46"/>
        <v>5.117946073059898E-2</v>
      </c>
      <c r="H620" s="20">
        <f t="shared" si="47"/>
        <v>0.69674150674243818</v>
      </c>
      <c r="I620" s="20">
        <f t="shared" si="48"/>
        <v>2.3258493257564239E-2</v>
      </c>
      <c r="J620" s="20">
        <f t="shared" si="49"/>
        <v>0.6904071582375555</v>
      </c>
    </row>
    <row r="621" spans="1:10" ht="15" customHeight="1">
      <c r="A621" s="18" t="str">
        <f>Analysis!A621</f>
        <v>10/2009</v>
      </c>
      <c r="B621" s="19">
        <f>Analysis!E621</f>
        <v>0.65000000000000213</v>
      </c>
      <c r="C621" s="20">
        <f>Analysis!F621</f>
        <v>0.45808197399149425</v>
      </c>
      <c r="D621" s="19">
        <f t="shared" si="50"/>
        <v>0.5</v>
      </c>
      <c r="E621" s="19">
        <f>Solar!D621</f>
        <v>1360.6</v>
      </c>
      <c r="F621" s="30">
        <v>0.92</v>
      </c>
      <c r="G621" s="20">
        <f t="shared" si="46"/>
        <v>-1.5643392702878844E-2</v>
      </c>
      <c r="H621" s="20">
        <f t="shared" si="47"/>
        <v>0.7074750325833743</v>
      </c>
      <c r="I621" s="20">
        <f t="shared" si="48"/>
        <v>-5.7475032583372165E-2</v>
      </c>
      <c r="J621" s="20">
        <f t="shared" si="49"/>
        <v>0.60648111505522728</v>
      </c>
    </row>
    <row r="622" spans="1:10" ht="15" customHeight="1">
      <c r="A622" s="18" t="str">
        <f>Analysis!A622</f>
        <v>11/2009</v>
      </c>
      <c r="B622" s="19">
        <f>Analysis!E622</f>
        <v>0.79999999999999893</v>
      </c>
      <c r="C622" s="20">
        <f>Analysis!F622</f>
        <v>0.46403340125681564</v>
      </c>
      <c r="D622" s="19">
        <f t="shared" si="50"/>
        <v>0.56000000000000005</v>
      </c>
      <c r="E622" s="19">
        <f>Solar!D622</f>
        <v>1360.68</v>
      </c>
      <c r="F622" s="30">
        <v>1.31</v>
      </c>
      <c r="G622" s="20">
        <f t="shared" si="46"/>
        <v>0.11808795624010127</v>
      </c>
      <c r="H622" s="20">
        <f t="shared" si="47"/>
        <v>0.72904465623511694</v>
      </c>
      <c r="I622" s="20">
        <f t="shared" si="48"/>
        <v>7.0955343764881995E-2</v>
      </c>
      <c r="J622" s="20">
        <f t="shared" si="49"/>
        <v>0.75125884886185113</v>
      </c>
    </row>
    <row r="623" spans="1:10" ht="15" customHeight="1">
      <c r="A623" s="18" t="str">
        <f>Analysis!A623</f>
        <v>12/2009</v>
      </c>
      <c r="B623" s="19">
        <f>Analysis!E623</f>
        <v>0.66999999999999993</v>
      </c>
      <c r="C623" s="20">
        <f>Analysis!F623</f>
        <v>0.46925340296447982</v>
      </c>
      <c r="D623" s="19">
        <f t="shared" si="50"/>
        <v>0.66</v>
      </c>
      <c r="E623" s="19">
        <f>Solar!D623</f>
        <v>1360.67</v>
      </c>
      <c r="F623" s="30">
        <v>1.5</v>
      </c>
      <c r="G623" s="20">
        <f t="shared" si="46"/>
        <v>-2.6181290868714346E-2</v>
      </c>
      <c r="H623" s="20">
        <f t="shared" si="47"/>
        <v>0.75208671378169833</v>
      </c>
      <c r="I623" s="20">
        <f t="shared" si="48"/>
        <v>-8.2086713781698406E-2</v>
      </c>
      <c r="J623" s="20">
        <f t="shared" si="49"/>
        <v>0.61255507187289715</v>
      </c>
    </row>
    <row r="624" spans="1:10" ht="15" customHeight="1">
      <c r="A624" s="18" t="str">
        <f>Analysis!A624</f>
        <v>1/2010</v>
      </c>
      <c r="B624" s="19">
        <f>Analysis!E624</f>
        <v>0.75</v>
      </c>
      <c r="C624" s="20">
        <f>Analysis!F624</f>
        <v>0.47400950393751357</v>
      </c>
      <c r="D624" s="19">
        <f t="shared" si="50"/>
        <v>0.92</v>
      </c>
      <c r="E624" s="19">
        <f>Solar!D624</f>
        <v>1360.69</v>
      </c>
      <c r="F624" s="30">
        <v>1.47</v>
      </c>
      <c r="G624" s="20">
        <f t="shared" si="46"/>
        <v>4.0817567779347086E-2</v>
      </c>
      <c r="H624" s="20">
        <f t="shared" si="47"/>
        <v>0.78778057376194</v>
      </c>
      <c r="I624" s="20">
        <f t="shared" si="48"/>
        <v>-3.7780573761939995E-2</v>
      </c>
      <c r="J624" s="20">
        <f t="shared" si="49"/>
        <v>0.66992525170161432</v>
      </c>
    </row>
    <row r="625" spans="1:10" ht="15" customHeight="1">
      <c r="A625" s="18" t="str">
        <f>Analysis!A625</f>
        <v>2/2010</v>
      </c>
      <c r="B625" s="19">
        <f>Analysis!E625</f>
        <v>0.83999999999999986</v>
      </c>
      <c r="C625" s="20">
        <f>Analysis!F625</f>
        <v>0.47956317953598965</v>
      </c>
      <c r="D625" s="19">
        <f t="shared" si="50"/>
        <v>1.31</v>
      </c>
      <c r="E625" s="19">
        <f>Solar!D625</f>
        <v>1360.8</v>
      </c>
      <c r="F625" s="30">
        <v>1.21</v>
      </c>
      <c r="G625" s="20">
        <f t="shared" si="46"/>
        <v>0.11563619928276048</v>
      </c>
      <c r="H625" s="20">
        <f t="shared" si="47"/>
        <v>0.83698011873282874</v>
      </c>
      <c r="I625" s="20">
        <f t="shared" si="48"/>
        <v>3.0198812671711206E-3</v>
      </c>
      <c r="J625" s="20">
        <f t="shared" si="49"/>
        <v>0.72598052144468983</v>
      </c>
    </row>
    <row r="626" spans="1:10" ht="15" customHeight="1">
      <c r="A626" s="18" t="str">
        <f>Analysis!A626</f>
        <v>3/2010</v>
      </c>
      <c r="B626" s="19">
        <f>Analysis!E626</f>
        <v>0.91999999999999993</v>
      </c>
      <c r="C626" s="20">
        <f>Analysis!F626</f>
        <v>0.48310634496717497</v>
      </c>
      <c r="D626" s="19">
        <f t="shared" si="50"/>
        <v>1.5</v>
      </c>
      <c r="E626" s="19">
        <f>Solar!D626</f>
        <v>1360.76</v>
      </c>
      <c r="F626" s="30">
        <v>0.88</v>
      </c>
      <c r="G626" s="20">
        <f t="shared" si="46"/>
        <v>0.18595070377597389</v>
      </c>
      <c r="H626" s="20">
        <f t="shared" si="47"/>
        <v>0.86324964815261485</v>
      </c>
      <c r="I626" s="20">
        <f t="shared" si="48"/>
        <v>5.6750351847385083E-2</v>
      </c>
      <c r="J626" s="20">
        <f t="shared" si="49"/>
        <v>0.78944334516567549</v>
      </c>
    </row>
    <row r="627" spans="1:10" ht="15" customHeight="1">
      <c r="A627" s="18" t="str">
        <f>Analysis!A627</f>
        <v>4/2010</v>
      </c>
      <c r="B627" s="19">
        <f>Analysis!E627</f>
        <v>0.8500000000000032</v>
      </c>
      <c r="C627" s="20">
        <f>Analysis!F627</f>
        <v>0.4878905530991211</v>
      </c>
      <c r="D627" s="19">
        <f t="shared" si="50"/>
        <v>1.47</v>
      </c>
      <c r="E627" s="19">
        <f>Solar!D627</f>
        <v>1360.83</v>
      </c>
      <c r="F627" s="30">
        <v>0.38</v>
      </c>
      <c r="G627" s="20">
        <f t="shared" si="46"/>
        <v>0.10287272949973925</v>
      </c>
      <c r="H627" s="20">
        <f t="shared" si="47"/>
        <v>0.87377975950058151</v>
      </c>
      <c r="I627" s="20">
        <f t="shared" si="48"/>
        <v>-2.3779759500578312E-2</v>
      </c>
      <c r="J627" s="20">
        <f t="shared" si="49"/>
        <v>0.72205447826236524</v>
      </c>
    </row>
    <row r="628" spans="1:10" ht="15" customHeight="1">
      <c r="A628" s="18" t="str">
        <f>Analysis!A628</f>
        <v>5/2010</v>
      </c>
      <c r="B628" s="19">
        <f>Analysis!E628</f>
        <v>0.75</v>
      </c>
      <c r="C628" s="20">
        <f>Analysis!F628</f>
        <v>0.4898731851668387</v>
      </c>
      <c r="D628" s="19">
        <f t="shared" si="50"/>
        <v>1.21</v>
      </c>
      <c r="E628" s="19">
        <f>Solar!D628</f>
        <v>1360.8</v>
      </c>
      <c r="F628" s="30">
        <v>-0.16</v>
      </c>
      <c r="G628" s="20">
        <f t="shared" si="46"/>
        <v>-2.5469367158111877E-3</v>
      </c>
      <c r="H628" s="20">
        <f t="shared" si="47"/>
        <v>0.85659582544610646</v>
      </c>
      <c r="I628" s="20">
        <f t="shared" si="48"/>
        <v>-0.10659582544610646</v>
      </c>
      <c r="J628" s="20">
        <f t="shared" si="49"/>
        <v>0.64468429843364494</v>
      </c>
    </row>
    <row r="629" spans="1:10" ht="15" customHeight="1">
      <c r="A629" s="18" t="str">
        <f>Analysis!A629</f>
        <v>6/2010</v>
      </c>
      <c r="B629" s="19">
        <f>Analysis!E629</f>
        <v>0.67999999999999972</v>
      </c>
      <c r="C629" s="20">
        <f>Analysis!F629</f>
        <v>0.4868246806556118</v>
      </c>
      <c r="D629" s="19">
        <f t="shared" si="50"/>
        <v>0.88</v>
      </c>
      <c r="E629" s="19">
        <f>Solar!D629</f>
        <v>1360.76</v>
      </c>
      <c r="F629" s="30">
        <v>-0.66</v>
      </c>
      <c r="G629" s="20">
        <f t="shared" si="46"/>
        <v>-6.421363212719966E-2</v>
      </c>
      <c r="H629" s="20">
        <f t="shared" si="47"/>
        <v>0.81949974094887112</v>
      </c>
      <c r="I629" s="20">
        <f t="shared" si="48"/>
        <v>-0.13949974094887141</v>
      </c>
      <c r="J629" s="20">
        <f t="shared" si="49"/>
        <v>0.60340676249719605</v>
      </c>
    </row>
    <row r="630" spans="1:10" ht="15" customHeight="1">
      <c r="A630" s="18" t="str">
        <f>Analysis!A630</f>
        <v>7/2010</v>
      </c>
      <c r="B630" s="19">
        <f>Analysis!E630</f>
        <v>0.63000000000000256</v>
      </c>
      <c r="C630" s="20">
        <f>Analysis!F630</f>
        <v>0.47956317953598965</v>
      </c>
      <c r="D630" s="19">
        <f t="shared" si="50"/>
        <v>0.38</v>
      </c>
      <c r="E630" s="19">
        <f>Solar!D630</f>
        <v>1360.86</v>
      </c>
      <c r="F630" s="30">
        <v>-0.98</v>
      </c>
      <c r="G630" s="20">
        <f t="shared" si="46"/>
        <v>-9.4363800717236823E-2</v>
      </c>
      <c r="H630" s="20">
        <f t="shared" si="47"/>
        <v>0.75603499273554753</v>
      </c>
      <c r="I630" s="20">
        <f t="shared" si="48"/>
        <v>-0.12603499273554497</v>
      </c>
      <c r="J630" s="20">
        <f t="shared" si="49"/>
        <v>0.59692564744197374</v>
      </c>
    </row>
    <row r="631" spans="1:10" ht="15" customHeight="1">
      <c r="A631" s="18" t="str">
        <f>Analysis!A631</f>
        <v>8/2010</v>
      </c>
      <c r="B631" s="19">
        <f>Analysis!E631</f>
        <v>0.66999999999999993</v>
      </c>
      <c r="C631" s="20">
        <f>Analysis!F631</f>
        <v>0.47263630384637006</v>
      </c>
      <c r="D631" s="19">
        <f t="shared" si="50"/>
        <v>-0.16</v>
      </c>
      <c r="E631" s="19">
        <f>Solar!D631</f>
        <v>1360.82</v>
      </c>
      <c r="F631" s="30">
        <v>-1.24</v>
      </c>
      <c r="G631" s="20">
        <f t="shared" si="46"/>
        <v>-3.5428691795318046E-2</v>
      </c>
      <c r="H631" s="20">
        <f t="shared" si="47"/>
        <v>0.69000788156715864</v>
      </c>
      <c r="I631" s="20">
        <f t="shared" si="48"/>
        <v>-2.0007881567158714E-2</v>
      </c>
      <c r="J631" s="20">
        <f t="shared" si="49"/>
        <v>0.68392604318232786</v>
      </c>
    </row>
    <row r="632" spans="1:10" ht="15" customHeight="1">
      <c r="A632" s="18" t="str">
        <f>Analysis!A632</f>
        <v>9/2010</v>
      </c>
      <c r="B632" s="19">
        <f>Analysis!E632</f>
        <v>0.63000000000000256</v>
      </c>
      <c r="C632" s="20">
        <f>Analysis!F632</f>
        <v>0.46701857168978234</v>
      </c>
      <c r="D632" s="19">
        <f t="shared" si="50"/>
        <v>-0.66</v>
      </c>
      <c r="E632" s="19">
        <f>Solar!D632</f>
        <v>1360.81</v>
      </c>
      <c r="F632" s="30">
        <v>-1.43</v>
      </c>
      <c r="G632" s="20">
        <f t="shared" si="46"/>
        <v>-6.0072220126771492E-2</v>
      </c>
      <c r="H632" s="20">
        <f t="shared" si="47"/>
        <v>0.63105823160165764</v>
      </c>
      <c r="I632" s="20">
        <f t="shared" si="48"/>
        <v>-1.0582316016550797E-3</v>
      </c>
      <c r="J632" s="20">
        <f t="shared" si="49"/>
        <v>0.68744492812710534</v>
      </c>
    </row>
    <row r="633" spans="1:10" ht="15" customHeight="1">
      <c r="A633" s="18" t="str">
        <f>Analysis!A633</f>
        <v>10/2010</v>
      </c>
      <c r="B633" s="19">
        <f>Analysis!E633</f>
        <v>0.71000000000000085</v>
      </c>
      <c r="C633" s="20">
        <f>Analysis!F633</f>
        <v>0.46850884379594554</v>
      </c>
      <c r="D633" s="19">
        <f t="shared" si="50"/>
        <v>-0.98</v>
      </c>
      <c r="E633" s="19">
        <f>Solar!D633</f>
        <v>1360.71</v>
      </c>
      <c r="F633" s="30">
        <v>-1.54</v>
      </c>
      <c r="G633" s="20">
        <f t="shared" si="46"/>
        <v>1.5854014741886524E-2</v>
      </c>
      <c r="H633" s="20">
        <f t="shared" si="47"/>
        <v>0.60729961891039153</v>
      </c>
      <c r="I633" s="20">
        <f t="shared" si="48"/>
        <v>0.10270038108960933</v>
      </c>
      <c r="J633" s="20">
        <f t="shared" si="49"/>
        <v>0.79529701449175949</v>
      </c>
    </row>
    <row r="634" spans="1:10" ht="15" customHeight="1">
      <c r="A634" s="18" t="str">
        <f>Analysis!A634</f>
        <v>11/2010</v>
      </c>
      <c r="B634" s="19">
        <f>Analysis!E634</f>
        <v>0.81000000000000227</v>
      </c>
      <c r="C634" s="20">
        <f>Analysis!F634</f>
        <v>0.47386111287143712</v>
      </c>
      <c r="D634" s="19">
        <f t="shared" si="50"/>
        <v>-1.24</v>
      </c>
      <c r="E634" s="19">
        <f>Solar!D634</f>
        <v>1360.82</v>
      </c>
      <c r="F634" s="30">
        <v>-1.57</v>
      </c>
      <c r="G634" s="20">
        <f t="shared" si="46"/>
        <v>0.10122320534599549</v>
      </c>
      <c r="H634" s="20">
        <f t="shared" si="47"/>
        <v>0.59937139079254254</v>
      </c>
      <c r="I634" s="20">
        <f t="shared" si="48"/>
        <v>0.21062860920745974</v>
      </c>
      <c r="J634" s="20">
        <f t="shared" si="49"/>
        <v>0.91792683466304381</v>
      </c>
    </row>
    <row r="635" spans="1:10" ht="15" customHeight="1">
      <c r="A635" s="18" t="str">
        <f>Analysis!A635</f>
        <v>12/2010</v>
      </c>
      <c r="B635" s="19">
        <f>Analysis!E635</f>
        <v>0.44999999999999751</v>
      </c>
      <c r="C635" s="20">
        <f>Analysis!F635</f>
        <v>0.47801030414984191</v>
      </c>
      <c r="D635" s="19">
        <f t="shared" si="50"/>
        <v>-1.43</v>
      </c>
      <c r="E635" s="19">
        <f>Solar!D635</f>
        <v>1360.77</v>
      </c>
      <c r="F635" s="30">
        <v>-1.48</v>
      </c>
      <c r="G635" s="20">
        <f t="shared" si="46"/>
        <v>-0.2701189050533942</v>
      </c>
      <c r="H635" s="20">
        <f t="shared" si="47"/>
        <v>0.59423119711406569</v>
      </c>
      <c r="I635" s="20">
        <f t="shared" si="48"/>
        <v>-0.14423119711406818</v>
      </c>
      <c r="J635" s="20">
        <f t="shared" si="49"/>
        <v>0.57446401094205357</v>
      </c>
    </row>
    <row r="636" spans="1:10" ht="15" customHeight="1">
      <c r="A636" s="18" t="str">
        <f>Analysis!A636</f>
        <v>1/2011</v>
      </c>
      <c r="B636" s="19">
        <f>Analysis!E636</f>
        <v>0.5199999999999978</v>
      </c>
      <c r="C636" s="20">
        <f>Analysis!F636</f>
        <v>0.48358548034607413</v>
      </c>
      <c r="D636" s="19">
        <f t="shared" si="50"/>
        <v>-1.54</v>
      </c>
      <c r="E636" s="19">
        <f>Solar!D636</f>
        <v>1360.79</v>
      </c>
      <c r="F636" s="30">
        <v>-1.29</v>
      </c>
      <c r="G636" s="20">
        <f t="shared" si="46"/>
        <v>-0.2153590469679888</v>
      </c>
      <c r="H636" s="20">
        <f t="shared" si="47"/>
        <v>0.59997091489917032</v>
      </c>
      <c r="I636" s="20">
        <f t="shared" si="48"/>
        <v>-7.9970914899172518E-2</v>
      </c>
      <c r="J636" s="20">
        <f t="shared" si="49"/>
        <v>0.65403816562990424</v>
      </c>
    </row>
    <row r="637" spans="1:10" ht="15" customHeight="1">
      <c r="A637" s="18" t="str">
        <f>Analysis!A637</f>
        <v>2/2011</v>
      </c>
      <c r="B637" s="19">
        <f>Analysis!E637</f>
        <v>0.47000000000000242</v>
      </c>
      <c r="C637" s="20">
        <f>Analysis!F637</f>
        <v>0.48561083266005051</v>
      </c>
      <c r="D637" s="19">
        <f t="shared" si="50"/>
        <v>-1.57</v>
      </c>
      <c r="E637" s="19">
        <f>Solar!D637</f>
        <v>1360.82</v>
      </c>
      <c r="F637" s="30">
        <v>-1.06</v>
      </c>
      <c r="G637" s="20">
        <f t="shared" si="46"/>
        <v>-0.27089549202471874</v>
      </c>
      <c r="H637" s="20">
        <f t="shared" si="47"/>
        <v>0.60292301172694818</v>
      </c>
      <c r="I637" s="20">
        <f t="shared" si="48"/>
        <v>-0.13292301172694576</v>
      </c>
      <c r="J637" s="20">
        <f t="shared" si="49"/>
        <v>0.60664929872659534</v>
      </c>
    </row>
    <row r="638" spans="1:10" ht="15" customHeight="1">
      <c r="A638" s="18" t="str">
        <f>Analysis!A638</f>
        <v>3/2011</v>
      </c>
      <c r="B638" s="19">
        <f>Analysis!E638</f>
        <v>0.65000000000000213</v>
      </c>
      <c r="C638" s="20">
        <f>Analysis!F638</f>
        <v>0.48836810248236423</v>
      </c>
      <c r="D638" s="19">
        <f t="shared" si="50"/>
        <v>-1.48</v>
      </c>
      <c r="E638" s="19">
        <f>Solar!D638</f>
        <v>1360.82</v>
      </c>
      <c r="F638" s="30">
        <v>-0.85</v>
      </c>
      <c r="G638" s="20">
        <f t="shared" si="46"/>
        <v>-9.8432685811937648E-2</v>
      </c>
      <c r="H638" s="20">
        <f t="shared" si="47"/>
        <v>0.61833006913044564</v>
      </c>
      <c r="I638" s="20">
        <f t="shared" si="48"/>
        <v>3.1669930869556495E-2</v>
      </c>
      <c r="J638" s="20">
        <f t="shared" si="49"/>
        <v>0.77881589943653562</v>
      </c>
    </row>
    <row r="639" spans="1:10" ht="15" customHeight="1">
      <c r="A639" s="18" t="str">
        <f>Analysis!A639</f>
        <v>4/2011</v>
      </c>
      <c r="B639" s="19">
        <f>Analysis!E639</f>
        <v>0.64000000000000234</v>
      </c>
      <c r="C639" s="20">
        <f>Analysis!F639</f>
        <v>0.49071681287639107</v>
      </c>
      <c r="D639" s="19">
        <f t="shared" si="50"/>
        <v>-1.29</v>
      </c>
      <c r="E639" s="19">
        <f>Solar!D639</f>
        <v>1361.19</v>
      </c>
      <c r="F639" s="30">
        <v>-0.68</v>
      </c>
      <c r="G639" s="20">
        <f t="shared" si="46"/>
        <v>-0.11485305325170458</v>
      </c>
      <c r="H639" s="20">
        <f t="shared" si="47"/>
        <v>0.64131867406104937</v>
      </c>
      <c r="I639" s="20">
        <f t="shared" si="48"/>
        <v>-1.3186740610470205E-3</v>
      </c>
      <c r="J639" s="20">
        <f t="shared" si="49"/>
        <v>0.75227872315752142</v>
      </c>
    </row>
    <row r="640" spans="1:10" ht="15" customHeight="1">
      <c r="A640" s="18" t="str">
        <f>Analysis!A640</f>
        <v>5/2011</v>
      </c>
      <c r="B640" s="19">
        <f>Analysis!E640</f>
        <v>0.52999999999999758</v>
      </c>
      <c r="C640" s="20">
        <f>Analysis!F640</f>
        <v>0.49426930357072107</v>
      </c>
      <c r="D640" s="19">
        <f t="shared" si="50"/>
        <v>-1.06</v>
      </c>
      <c r="E640" s="19">
        <f>Solar!D640</f>
        <v>1361.17</v>
      </c>
      <c r="F640" s="30">
        <v>-0.5</v>
      </c>
      <c r="G640" s="20">
        <f t="shared" si="46"/>
        <v>-0.23456404003064846</v>
      </c>
      <c r="H640" s="20">
        <f t="shared" si="47"/>
        <v>0.67109532887325674</v>
      </c>
      <c r="I640" s="20">
        <f t="shared" si="48"/>
        <v>-0.14109532887325915</v>
      </c>
      <c r="J640" s="20">
        <f t="shared" si="49"/>
        <v>0.62226003608292024</v>
      </c>
    </row>
    <row r="641" spans="1:10" ht="15" customHeight="1">
      <c r="A641" s="18" t="str">
        <f>Analysis!A641</f>
        <v>6/2011</v>
      </c>
      <c r="B641" s="19">
        <f>Analysis!E641</f>
        <v>0.62000000000000099</v>
      </c>
      <c r="C641" s="20">
        <f>Analysis!F641</f>
        <v>0.49258570776646082</v>
      </c>
      <c r="D641" s="19">
        <f t="shared" si="50"/>
        <v>-0.85</v>
      </c>
      <c r="E641" s="19">
        <f>Solar!D641</f>
        <v>1361.08</v>
      </c>
      <c r="F641" s="30">
        <v>-0.34</v>
      </c>
      <c r="G641" s="20">
        <f t="shared" si="46"/>
        <v>-0.13996181077714043</v>
      </c>
      <c r="H641" s="20">
        <f t="shared" si="47"/>
        <v>0.68474876608836821</v>
      </c>
      <c r="I641" s="20">
        <f t="shared" si="48"/>
        <v>-6.4748766088367216E-2</v>
      </c>
      <c r="J641" s="20">
        <f t="shared" si="49"/>
        <v>0.69398210440611818</v>
      </c>
    </row>
    <row r="642" spans="1:10" ht="15" customHeight="1">
      <c r="A642" s="18" t="str">
        <f>Analysis!A642</f>
        <v>7/2011</v>
      </c>
      <c r="B642" s="19">
        <f>Analysis!E642</f>
        <v>0.71000000000000085</v>
      </c>
      <c r="C642" s="20">
        <f>Analysis!F642</f>
        <v>0.48807424464635712</v>
      </c>
      <c r="D642" s="19">
        <f t="shared" si="50"/>
        <v>-0.68</v>
      </c>
      <c r="E642" s="19">
        <f>Solar!D642</f>
        <v>1361.04</v>
      </c>
      <c r="F642" s="30">
        <v>-0.37</v>
      </c>
      <c r="G642" s="20">
        <f t="shared" ref="G642:G705" si="51">B642-($N$4+$N$5*C642)</f>
        <v>-3.7629404450806425E-2</v>
      </c>
      <c r="H642" s="20">
        <f t="shared" ref="H642:H705" si="52">IF(D642="","",$N$14+$N$15*C642+$N$16*D642)</f>
        <v>0.68715311747151908</v>
      </c>
      <c r="I642" s="20">
        <f t="shared" ref="I642:I705" si="53">IF(D642="","",B642-H642)</f>
        <v>2.2846882528481771E-2</v>
      </c>
      <c r="J642" s="20">
        <f t="shared" ref="J642:J705" si="54">IF(D642="","",B642-$N$16*D642)</f>
        <v>0.76918568352489458</v>
      </c>
    </row>
    <row r="643" spans="1:10" ht="15" customHeight="1">
      <c r="A643" s="18" t="str">
        <f>Analysis!A643</f>
        <v>8/2011</v>
      </c>
      <c r="B643" s="19">
        <f>Analysis!E643</f>
        <v>0.73999999999999666</v>
      </c>
      <c r="C643" s="20">
        <f>Analysis!F643</f>
        <v>0.47926752258572419</v>
      </c>
      <c r="D643" s="19">
        <f t="shared" si="50"/>
        <v>-0.5</v>
      </c>
      <c r="E643" s="19">
        <f>Solar!D643</f>
        <v>1360.98</v>
      </c>
      <c r="F643" s="30">
        <v>-0.5</v>
      </c>
      <c r="G643" s="20">
        <f t="shared" si="51"/>
        <v>1.6444398651079939E-2</v>
      </c>
      <c r="H643" s="20">
        <f t="shared" si="52"/>
        <v>0.67862964586207175</v>
      </c>
      <c r="I643" s="20">
        <f t="shared" si="53"/>
        <v>6.137035413792491E-2</v>
      </c>
      <c r="J643" s="20">
        <f t="shared" si="54"/>
        <v>0.78351888494477151</v>
      </c>
    </row>
    <row r="644" spans="1:10" ht="15" customHeight="1">
      <c r="A644" s="18" t="str">
        <f>Analysis!A644</f>
        <v>9/2011</v>
      </c>
      <c r="B644" s="19">
        <f>Analysis!E644</f>
        <v>0.55999999999999872</v>
      </c>
      <c r="C644" s="20">
        <f>Analysis!F644</f>
        <v>0.47538139821873787</v>
      </c>
      <c r="D644" s="19">
        <f t="shared" si="50"/>
        <v>-0.34</v>
      </c>
      <c r="E644" s="19">
        <f>Solar!D644</f>
        <v>1361</v>
      </c>
      <c r="F644" s="30">
        <v>-0.76</v>
      </c>
      <c r="G644" s="20">
        <f t="shared" si="51"/>
        <v>-0.152932603121407</v>
      </c>
      <c r="H644" s="20">
        <f t="shared" si="52"/>
        <v>0.68188129762152572</v>
      </c>
      <c r="I644" s="20">
        <f t="shared" si="53"/>
        <v>-0.121881297621527</v>
      </c>
      <c r="J644" s="20">
        <f t="shared" si="54"/>
        <v>0.58959284176244564</v>
      </c>
    </row>
    <row r="645" spans="1:10" ht="15" customHeight="1">
      <c r="A645" s="18" t="str">
        <f>Analysis!A645</f>
        <v>10/2011</v>
      </c>
      <c r="B645" s="19">
        <f>Analysis!E645</f>
        <v>0.65000000000000213</v>
      </c>
      <c r="C645" s="20">
        <f>Analysis!F645</f>
        <v>0.47504781425465853</v>
      </c>
      <c r="D645" s="19">
        <f t="shared" ref="D645:D708" si="55">IF(F642="","",F642)</f>
        <v>-0.37</v>
      </c>
      <c r="E645" s="19">
        <f>Solar!D645</f>
        <v>1361.16</v>
      </c>
      <c r="F645" s="30">
        <v>-0.94</v>
      </c>
      <c r="G645" s="20">
        <f t="shared" si="51"/>
        <v>-6.2020727554773392E-2</v>
      </c>
      <c r="H645" s="20">
        <f t="shared" si="52"/>
        <v>0.67835387737890362</v>
      </c>
      <c r="I645" s="20">
        <f t="shared" si="53"/>
        <v>-2.8353877378901493E-2</v>
      </c>
      <c r="J645" s="20">
        <f t="shared" si="54"/>
        <v>0.68220397485913553</v>
      </c>
    </row>
    <row r="646" spans="1:10" ht="15" customHeight="1">
      <c r="A646" s="18" t="str">
        <f>Analysis!A646</f>
        <v>11/2011</v>
      </c>
      <c r="B646" s="19">
        <f>Analysis!E646</f>
        <v>0.60000000000000142</v>
      </c>
      <c r="C646" s="20">
        <f>Analysis!F646</f>
        <v>0.47982182967399284</v>
      </c>
      <c r="D646" s="19">
        <f t="shared" si="55"/>
        <v>-0.5</v>
      </c>
      <c r="E646" s="19">
        <f>Solar!D646</f>
        <v>1361.28</v>
      </c>
      <c r="F646" s="30">
        <v>-1.02</v>
      </c>
      <c r="G646" s="20">
        <f t="shared" si="51"/>
        <v>-0.12507083932384966</v>
      </c>
      <c r="H646" s="20">
        <f t="shared" si="52"/>
        <v>0.68015221443422513</v>
      </c>
      <c r="I646" s="20">
        <f t="shared" si="53"/>
        <v>-8.0152214434223712E-2</v>
      </c>
      <c r="J646" s="20">
        <f t="shared" si="54"/>
        <v>0.64351888494477627</v>
      </c>
    </row>
    <row r="647" spans="1:10" ht="15" customHeight="1">
      <c r="A647" s="18" t="str">
        <f>Analysis!A647</f>
        <v>12/2011</v>
      </c>
      <c r="B647" s="19">
        <f>Analysis!E647</f>
        <v>0.60000000000000142</v>
      </c>
      <c r="C647" s="20">
        <f>Analysis!F647</f>
        <v>0.48564763094194874</v>
      </c>
      <c r="D647" s="19">
        <f t="shared" si="55"/>
        <v>-0.76</v>
      </c>
      <c r="E647" s="19">
        <f>Solar!D647</f>
        <v>1361.47</v>
      </c>
      <c r="F647" s="30">
        <v>-0.92</v>
      </c>
      <c r="G647" s="20">
        <f t="shared" si="51"/>
        <v>-0.14099608275380227</v>
      </c>
      <c r="H647" s="20">
        <f t="shared" si="52"/>
        <v>0.67352468271627441</v>
      </c>
      <c r="I647" s="20">
        <f t="shared" si="53"/>
        <v>-7.3524682716272993E-2</v>
      </c>
      <c r="J647" s="20">
        <f t="shared" si="54"/>
        <v>0.66614870511605917</v>
      </c>
    </row>
    <row r="648" spans="1:10" ht="15" customHeight="1">
      <c r="A648" s="18" t="str">
        <f>Analysis!A648</f>
        <v>1/2012</v>
      </c>
      <c r="B648" s="19">
        <f>Analysis!E648</f>
        <v>0.47000000000000242</v>
      </c>
      <c r="C648" s="20">
        <f>Analysis!F648</f>
        <v>0.4902400404403634</v>
      </c>
      <c r="D648" s="19">
        <f t="shared" si="55"/>
        <v>-0.94</v>
      </c>
      <c r="E648" s="19">
        <f>Solar!D648</f>
        <v>1361.26</v>
      </c>
      <c r="F648" s="30">
        <v>-0.71</v>
      </c>
      <c r="G648" s="20">
        <f t="shared" si="51"/>
        <v>-0.28354976178067626</v>
      </c>
      <c r="H648" s="20">
        <f t="shared" si="52"/>
        <v>0.67047229683397092</v>
      </c>
      <c r="I648" s="20">
        <f t="shared" si="53"/>
        <v>-0.2004722968339685</v>
      </c>
      <c r="J648" s="20">
        <f t="shared" si="54"/>
        <v>0.55181550369617904</v>
      </c>
    </row>
    <row r="649" spans="1:10" ht="15" customHeight="1">
      <c r="A649" s="18" t="str">
        <f>Analysis!A649</f>
        <v>2/2012</v>
      </c>
      <c r="B649" s="19">
        <f>Analysis!E649</f>
        <v>0.47999999999999865</v>
      </c>
      <c r="C649" s="20">
        <f>Analysis!F649</f>
        <v>0.49291526157867827</v>
      </c>
      <c r="D649" s="19">
        <f t="shared" si="55"/>
        <v>-1.02</v>
      </c>
      <c r="E649" s="19">
        <f>Solar!D649</f>
        <v>1361.24</v>
      </c>
      <c r="F649" s="30">
        <v>-0.56000000000000005</v>
      </c>
      <c r="G649" s="20">
        <f t="shared" si="51"/>
        <v>-0.28086266963611173</v>
      </c>
      <c r="H649" s="20">
        <f t="shared" si="52"/>
        <v>0.67085756234748994</v>
      </c>
      <c r="I649" s="20">
        <f t="shared" si="53"/>
        <v>-0.19085756234749129</v>
      </c>
      <c r="J649" s="20">
        <f t="shared" si="54"/>
        <v>0.5687785252873393</v>
      </c>
    </row>
    <row r="650" spans="1:10" ht="15" customHeight="1">
      <c r="A650" s="18" t="str">
        <f>Analysis!A650</f>
        <v>3/2012</v>
      </c>
      <c r="B650" s="19">
        <f>Analysis!E650</f>
        <v>0.57000000000000028</v>
      </c>
      <c r="C650" s="20">
        <f>Analysis!F650</f>
        <v>0.49492756747912453</v>
      </c>
      <c r="D650" s="19">
        <f t="shared" si="55"/>
        <v>-0.92</v>
      </c>
      <c r="E650" s="19">
        <f>Solar!D650</f>
        <v>1361.01</v>
      </c>
      <c r="F650" s="30">
        <v>-0.44</v>
      </c>
      <c r="G650" s="20">
        <f t="shared" si="51"/>
        <v>-0.19636345139061395</v>
      </c>
      <c r="H650" s="20">
        <f t="shared" si="52"/>
        <v>0.68508873342254317</v>
      </c>
      <c r="I650" s="20">
        <f t="shared" si="53"/>
        <v>-0.11508873342254289</v>
      </c>
      <c r="J650" s="20">
        <f t="shared" si="54"/>
        <v>0.65007474829838596</v>
      </c>
    </row>
    <row r="651" spans="1:10" ht="15" customHeight="1">
      <c r="A651" s="18" t="str">
        <f>Analysis!A651</f>
        <v>4/2012</v>
      </c>
      <c r="B651" s="19">
        <f>Analysis!E651</f>
        <v>0.7300000000000022</v>
      </c>
      <c r="C651" s="20">
        <f>Analysis!F651</f>
        <v>0.50145734365703309</v>
      </c>
      <c r="D651" s="19">
        <f t="shared" si="55"/>
        <v>-0.71</v>
      </c>
      <c r="E651" s="19">
        <f>Solar!D651</f>
        <v>1361.13</v>
      </c>
      <c r="F651" s="30">
        <v>-0.35</v>
      </c>
      <c r="G651" s="20">
        <f t="shared" si="51"/>
        <v>-5.4213060464693208E-2</v>
      </c>
      <c r="H651" s="20">
        <f t="shared" si="52"/>
        <v>0.72130262912018295</v>
      </c>
      <c r="I651" s="20">
        <f t="shared" si="53"/>
        <v>8.6973708798192551E-3</v>
      </c>
      <c r="J651" s="20">
        <f t="shared" si="54"/>
        <v>0.79179681662158241</v>
      </c>
    </row>
    <row r="652" spans="1:10" ht="15" customHeight="1">
      <c r="A652" s="18" t="str">
        <f>Analysis!A652</f>
        <v>5/2012</v>
      </c>
      <c r="B652" s="19">
        <f>Analysis!E652</f>
        <v>0.77999999999999758</v>
      </c>
      <c r="C652" s="20">
        <f>Analysis!F652</f>
        <v>0.50345777829071003</v>
      </c>
      <c r="D652" s="19">
        <f t="shared" si="55"/>
        <v>-0.56000000000000005</v>
      </c>
      <c r="E652" s="19">
        <f>Solar!D652</f>
        <v>1361.05</v>
      </c>
      <c r="F652" s="30">
        <v>-0.18</v>
      </c>
      <c r="G652" s="20">
        <f t="shared" si="51"/>
        <v>-9.6813912644869715E-3</v>
      </c>
      <c r="H652" s="20">
        <f t="shared" si="52"/>
        <v>0.73985308073993794</v>
      </c>
      <c r="I652" s="20">
        <f t="shared" si="53"/>
        <v>4.0146919260059644E-2</v>
      </c>
      <c r="J652" s="20">
        <f t="shared" si="54"/>
        <v>0.82874115113814539</v>
      </c>
    </row>
    <row r="653" spans="1:10" ht="15" customHeight="1">
      <c r="A653" s="18" t="str">
        <f>Analysis!A653</f>
        <v>6/2012</v>
      </c>
      <c r="B653" s="19">
        <f>Analysis!E653</f>
        <v>0.65000000000000213</v>
      </c>
      <c r="C653" s="20">
        <f>Analysis!F653</f>
        <v>0.49974568063274527</v>
      </c>
      <c r="D653" s="19">
        <f t="shared" si="55"/>
        <v>-0.44</v>
      </c>
      <c r="E653" s="19">
        <f>Solar!D653</f>
        <v>1361.19</v>
      </c>
      <c r="F653" s="30">
        <v>0.03</v>
      </c>
      <c r="G653" s="20">
        <f t="shared" si="51"/>
        <v>-0.12953410746268046</v>
      </c>
      <c r="H653" s="20">
        <f t="shared" si="52"/>
        <v>0.74010123759694779</v>
      </c>
      <c r="I653" s="20">
        <f t="shared" si="53"/>
        <v>-9.010123759694566E-2</v>
      </c>
      <c r="J653" s="20">
        <f t="shared" si="54"/>
        <v>0.68829661875140402</v>
      </c>
    </row>
    <row r="654" spans="1:10" ht="15" customHeight="1">
      <c r="A654" s="18" t="str">
        <f>Analysis!A654</f>
        <v>7/2012</v>
      </c>
      <c r="B654" s="19">
        <f>Analysis!E654</f>
        <v>0.58999999999999986</v>
      </c>
      <c r="C654" s="20">
        <f>Analysis!F654</f>
        <v>0.49481787768314806</v>
      </c>
      <c r="D654" s="19">
        <f t="shared" si="55"/>
        <v>-0.35</v>
      </c>
      <c r="E654" s="19">
        <f>Solar!D654</f>
        <v>1360.96</v>
      </c>
      <c r="F654" s="30">
        <v>0.28000000000000003</v>
      </c>
      <c r="G654" s="20">
        <f t="shared" si="51"/>
        <v>-0.17606360650707609</v>
      </c>
      <c r="H654" s="20">
        <f t="shared" si="52"/>
        <v>0.73439896675106009</v>
      </c>
      <c r="I654" s="20">
        <f t="shared" si="53"/>
        <v>-0.14439896675106023</v>
      </c>
      <c r="J654" s="20">
        <f t="shared" si="54"/>
        <v>0.6204632194613422</v>
      </c>
    </row>
    <row r="655" spans="1:10" ht="15" customHeight="1">
      <c r="A655" s="18" t="str">
        <f>Analysis!A655</f>
        <v>8/2012</v>
      </c>
      <c r="B655" s="19">
        <f>Analysis!E655</f>
        <v>0.66000000000000369</v>
      </c>
      <c r="C655" s="20">
        <f>Analysis!F655</f>
        <v>0.48759659796662874</v>
      </c>
      <c r="D655" s="19">
        <f t="shared" si="55"/>
        <v>-0.18</v>
      </c>
      <c r="E655" s="19">
        <f>Solar!D655</f>
        <v>1361.32</v>
      </c>
      <c r="F655" s="30">
        <v>0.39</v>
      </c>
      <c r="G655" s="20">
        <f t="shared" si="51"/>
        <v>-8.6323723172243239E-2</v>
      </c>
      <c r="H655" s="20">
        <f t="shared" si="52"/>
        <v>0.7293600043586479</v>
      </c>
      <c r="I655" s="20">
        <f t="shared" si="53"/>
        <v>-6.9360004358644201E-2</v>
      </c>
      <c r="J655" s="20">
        <f t="shared" si="54"/>
        <v>0.67566679858012269</v>
      </c>
    </row>
    <row r="656" spans="1:10" ht="15" customHeight="1">
      <c r="A656" s="18" t="str">
        <f>Analysis!A656</f>
        <v>9/2012</v>
      </c>
      <c r="B656" s="19">
        <f>Analysis!E656</f>
        <v>0.72000000000000242</v>
      </c>
      <c r="C656" s="20">
        <f>Analysis!F656</f>
        <v>0.48292201974993032</v>
      </c>
      <c r="D656" s="19">
        <f t="shared" si="55"/>
        <v>0.03</v>
      </c>
      <c r="E656" s="19">
        <f>Solar!D656</f>
        <v>1361.46</v>
      </c>
      <c r="F656" s="30">
        <v>0.37</v>
      </c>
      <c r="G656" s="20">
        <f t="shared" si="51"/>
        <v>-1.3545430091300381E-2</v>
      </c>
      <c r="H656" s="20">
        <f t="shared" si="52"/>
        <v>0.7347978226191717</v>
      </c>
      <c r="I656" s="20">
        <f t="shared" si="53"/>
        <v>-1.4797822619169287E-2</v>
      </c>
      <c r="J656" s="20">
        <f t="shared" si="54"/>
        <v>0.71738886690331594</v>
      </c>
    </row>
    <row r="657" spans="1:10" ht="15" customHeight="1">
      <c r="A657" s="18" t="str">
        <f>Analysis!A657</f>
        <v>10/2012</v>
      </c>
      <c r="B657" s="19">
        <f>Analysis!E657</f>
        <v>0.79999999999999893</v>
      </c>
      <c r="C657" s="20">
        <f>Analysis!F657</f>
        <v>0.48273767097945647</v>
      </c>
      <c r="D657" s="19">
        <f t="shared" si="55"/>
        <v>0.28000000000000003</v>
      </c>
      <c r="E657" s="19">
        <f>Solar!D657</f>
        <v>1361.25</v>
      </c>
      <c r="F657" s="30">
        <v>0.28000000000000003</v>
      </c>
      <c r="G657" s="20">
        <f t="shared" si="51"/>
        <v>6.6958500425852052E-2</v>
      </c>
      <c r="H657" s="20">
        <f t="shared" si="52"/>
        <v>0.75605089659983504</v>
      </c>
      <c r="I657" s="20">
        <f t="shared" si="53"/>
        <v>4.3949103400163891E-2</v>
      </c>
      <c r="J657" s="20">
        <f t="shared" si="54"/>
        <v>0.77562942443092497</v>
      </c>
    </row>
    <row r="658" spans="1:10" ht="15" customHeight="1">
      <c r="A658" s="18" t="str">
        <f>Analysis!A658</f>
        <v>11/2012</v>
      </c>
      <c r="B658" s="19">
        <f>Analysis!E658</f>
        <v>0.77999999999999758</v>
      </c>
      <c r="C658" s="20">
        <f>Analysis!F658</f>
        <v>0.48983649450825167</v>
      </c>
      <c r="D658" s="19">
        <f t="shared" si="55"/>
        <v>0.39</v>
      </c>
      <c r="E658" s="19">
        <f>Solar!D658</f>
        <v>1361.23</v>
      </c>
      <c r="F658" s="30">
        <v>0.13</v>
      </c>
      <c r="G658" s="20">
        <f t="shared" si="51"/>
        <v>2.7553359817268919E-2</v>
      </c>
      <c r="H658" s="20">
        <f t="shared" si="52"/>
        <v>0.78512407237718085</v>
      </c>
      <c r="I658" s="20">
        <f t="shared" si="53"/>
        <v>-5.1240723771832641E-3</v>
      </c>
      <c r="J658" s="20">
        <f t="shared" si="54"/>
        <v>0.74605526974307323</v>
      </c>
    </row>
    <row r="659" spans="1:10" ht="15" customHeight="1">
      <c r="A659" s="18" t="str">
        <f>Analysis!A659</f>
        <v>12/2012</v>
      </c>
      <c r="B659" s="19">
        <f>Analysis!E659</f>
        <v>0.52999999999999758</v>
      </c>
      <c r="C659" s="20">
        <f>Analysis!F659</f>
        <v>0.49485444187513067</v>
      </c>
      <c r="D659" s="19">
        <f t="shared" si="55"/>
        <v>0.37</v>
      </c>
      <c r="E659" s="19">
        <f>Solar!D659</f>
        <v>1361.22</v>
      </c>
      <c r="F659" s="30">
        <v>-0.03</v>
      </c>
      <c r="G659" s="20">
        <f t="shared" si="51"/>
        <v>-0.23616355733467465</v>
      </c>
      <c r="H659" s="20">
        <f t="shared" si="52"/>
        <v>0.79716659545304946</v>
      </c>
      <c r="I659" s="20">
        <f t="shared" si="53"/>
        <v>-0.26716659545305188</v>
      </c>
      <c r="J659" s="20">
        <f t="shared" si="54"/>
        <v>0.49779602514086418</v>
      </c>
    </row>
    <row r="660" spans="1:10" ht="15" customHeight="1">
      <c r="A660" s="18" t="str">
        <f>Analysis!A660</f>
        <v>1/2013</v>
      </c>
      <c r="B660" s="19">
        <f>Analysis!E660</f>
        <v>0.71000000000000085</v>
      </c>
      <c r="C660" s="20">
        <f>Analysis!F660</f>
        <v>0.49927188316908833</v>
      </c>
      <c r="D660" s="19">
        <f t="shared" si="55"/>
        <v>0.28000000000000003</v>
      </c>
      <c r="E660" s="19">
        <f>Solar!D660</f>
        <v>1361.16</v>
      </c>
      <c r="F660" s="30">
        <v>-0.24</v>
      </c>
      <c r="G660" s="20">
        <f t="shared" si="51"/>
        <v>-6.8238948290889723E-2</v>
      </c>
      <c r="H660" s="20">
        <f t="shared" si="52"/>
        <v>0.80146700687163663</v>
      </c>
      <c r="I660" s="20">
        <f t="shared" si="53"/>
        <v>-9.1467006871635781E-2</v>
      </c>
      <c r="J660" s="20">
        <f t="shared" si="54"/>
        <v>0.68562942443092689</v>
      </c>
    </row>
    <row r="661" spans="1:10" ht="15" customHeight="1">
      <c r="A661" s="18" t="str">
        <f>Analysis!A661</f>
        <v>2/2013</v>
      </c>
      <c r="B661" s="19">
        <f>Analysis!E661</f>
        <v>0.62000000000000099</v>
      </c>
      <c r="C661" s="20">
        <f>Analysis!F661</f>
        <v>0.50382119585545315</v>
      </c>
      <c r="D661" s="19">
        <f t="shared" si="55"/>
        <v>0.13</v>
      </c>
      <c r="E661" s="19">
        <f>Solar!D661</f>
        <v>1361.2</v>
      </c>
      <c r="F661" s="30">
        <v>-0.28000000000000003</v>
      </c>
      <c r="G661" s="20">
        <f t="shared" si="51"/>
        <v>-0.17067481910712001</v>
      </c>
      <c r="H661" s="20">
        <f t="shared" si="52"/>
        <v>0.80090737592890093</v>
      </c>
      <c r="I661" s="20">
        <f t="shared" si="53"/>
        <v>-0.18090737592889994</v>
      </c>
      <c r="J661" s="20">
        <f t="shared" si="54"/>
        <v>0.60868508991435955</v>
      </c>
    </row>
    <row r="662" spans="1:10" ht="15" customHeight="1">
      <c r="A662" s="18" t="str">
        <f>Analysis!A662</f>
        <v>3/2013</v>
      </c>
      <c r="B662" s="19">
        <f>Analysis!E662</f>
        <v>0.66999999999999993</v>
      </c>
      <c r="C662" s="20">
        <f>Analysis!F662</f>
        <v>0.50610862382400879</v>
      </c>
      <c r="D662" s="19">
        <f t="shared" si="55"/>
        <v>-0.03</v>
      </c>
      <c r="E662" s="19">
        <f>Solar!D662</f>
        <v>1361.25</v>
      </c>
      <c r="F662" s="30">
        <v>-0.23</v>
      </c>
      <c r="G662" s="20">
        <f t="shared" si="51"/>
        <v>-0.12692766666443445</v>
      </c>
      <c r="H662" s="20">
        <f t="shared" si="52"/>
        <v>0.79326443106823785</v>
      </c>
      <c r="I662" s="20">
        <f t="shared" si="53"/>
        <v>-0.12326443106823792</v>
      </c>
      <c r="J662" s="20">
        <f t="shared" si="54"/>
        <v>0.67261113309668641</v>
      </c>
    </row>
    <row r="663" spans="1:10" ht="15" customHeight="1">
      <c r="A663" s="18" t="str">
        <f>Analysis!A663</f>
        <v>4/2013</v>
      </c>
      <c r="B663" s="19">
        <f>Analysis!E663</f>
        <v>0.52999999999999758</v>
      </c>
      <c r="C663" s="20">
        <f>Analysis!F663</f>
        <v>0.50965965196384122</v>
      </c>
      <c r="D663" s="19">
        <f t="shared" si="55"/>
        <v>-0.24</v>
      </c>
      <c r="E663" s="19">
        <f>Solar!D663</f>
        <v>1361.09</v>
      </c>
      <c r="F663" s="30">
        <v>-0.2</v>
      </c>
      <c r="G663" s="20">
        <f t="shared" si="51"/>
        <v>-0.27663465544630539</v>
      </c>
      <c r="H663" s="20">
        <f t="shared" si="52"/>
        <v>0.78474044978999036</v>
      </c>
      <c r="I663" s="20">
        <f t="shared" si="53"/>
        <v>-0.25474044978999277</v>
      </c>
      <c r="J663" s="20">
        <f t="shared" si="54"/>
        <v>0.55088906477348953</v>
      </c>
    </row>
    <row r="664" spans="1:10" ht="15" customHeight="1">
      <c r="A664" s="18" t="str">
        <f>Analysis!A664</f>
        <v>5/2013</v>
      </c>
      <c r="B664" s="19">
        <f>Analysis!E664</f>
        <v>0.60000000000000142</v>
      </c>
      <c r="C664" s="20">
        <f>Analysis!F664</f>
        <v>0.51464530577849399</v>
      </c>
      <c r="D664" s="19">
        <f t="shared" si="55"/>
        <v>-0.28000000000000003</v>
      </c>
      <c r="E664" s="19">
        <f>Solar!D664</f>
        <v>1361.33</v>
      </c>
      <c r="F664" s="30">
        <v>-0.3</v>
      </c>
      <c r="G664" s="20">
        <f t="shared" si="51"/>
        <v>-0.22026329586912785</v>
      </c>
      <c r="H664" s="20">
        <f t="shared" si="52"/>
        <v>0.79495351366336575</v>
      </c>
      <c r="I664" s="20">
        <f t="shared" si="53"/>
        <v>-0.19495351366336433</v>
      </c>
      <c r="J664" s="20">
        <f t="shared" si="54"/>
        <v>0.62437057556907538</v>
      </c>
    </row>
    <row r="665" spans="1:10" ht="15" customHeight="1">
      <c r="A665" s="18" t="str">
        <f>Analysis!A665</f>
        <v>6/2013</v>
      </c>
      <c r="B665" s="19">
        <f>Analysis!E665</f>
        <v>0.70000000000000107</v>
      </c>
      <c r="C665" s="20">
        <f>Analysis!F665</f>
        <v>0.5102747580160486</v>
      </c>
      <c r="D665" s="19">
        <f t="shared" si="55"/>
        <v>-0.23</v>
      </c>
      <c r="E665" s="19">
        <f>Solar!D665</f>
        <v>1361.32</v>
      </c>
      <c r="F665" s="30">
        <v>-0.38</v>
      </c>
      <c r="G665" s="20">
        <f t="shared" si="51"/>
        <v>-0.10831609172709633</v>
      </c>
      <c r="H665" s="20">
        <f t="shared" si="52"/>
        <v>0.78730039842069111</v>
      </c>
      <c r="I665" s="20">
        <f t="shared" si="53"/>
        <v>-8.730039842069004E-2</v>
      </c>
      <c r="J665" s="20">
        <f t="shared" si="54"/>
        <v>0.72001868707459749</v>
      </c>
    </row>
    <row r="666" spans="1:10" ht="15" customHeight="1">
      <c r="A666" s="18" t="str">
        <f>Analysis!A666</f>
        <v>7/2013</v>
      </c>
      <c r="B666" s="19">
        <f>Analysis!E666</f>
        <v>0.60000000000000142</v>
      </c>
      <c r="C666" s="20">
        <f>Analysis!F666</f>
        <v>0.50556432698509302</v>
      </c>
      <c r="D666" s="19">
        <f t="shared" si="55"/>
        <v>-0.2</v>
      </c>
      <c r="E666" s="19">
        <f>Solar!D666</f>
        <v>1361.36</v>
      </c>
      <c r="F666" s="30">
        <v>-0.45</v>
      </c>
      <c r="G666" s="20">
        <f t="shared" si="51"/>
        <v>-0.19543979242032428</v>
      </c>
      <c r="H666" s="20">
        <f t="shared" si="52"/>
        <v>0.77697293772917508</v>
      </c>
      <c r="I666" s="20">
        <f t="shared" si="53"/>
        <v>-0.17697293772917366</v>
      </c>
      <c r="J666" s="20">
        <f t="shared" si="54"/>
        <v>0.61740755397791136</v>
      </c>
    </row>
    <row r="667" spans="1:10" ht="15" customHeight="1">
      <c r="A667" s="18" t="str">
        <f>Analysis!A667</f>
        <v>8/2013</v>
      </c>
      <c r="B667" s="19">
        <f>Analysis!E667</f>
        <v>0.70000000000000107</v>
      </c>
      <c r="C667" s="20">
        <f>Analysis!F667</f>
        <v>0.49784955645922896</v>
      </c>
      <c r="D667" s="19">
        <f t="shared" si="55"/>
        <v>-0.3</v>
      </c>
      <c r="E667" s="19">
        <f>Solar!D667</f>
        <v>1361.42</v>
      </c>
      <c r="F667" s="30">
        <v>-0.34</v>
      </c>
      <c r="G667" s="20">
        <f t="shared" si="51"/>
        <v>-7.435091674816896E-2</v>
      </c>
      <c r="H667" s="20">
        <f t="shared" si="52"/>
        <v>0.74707825881481726</v>
      </c>
      <c r="I667" s="20">
        <f t="shared" si="53"/>
        <v>-4.7078258814816198E-2</v>
      </c>
      <c r="J667" s="20">
        <f t="shared" si="54"/>
        <v>0.72611133096686598</v>
      </c>
    </row>
    <row r="668" spans="1:10" ht="15" customHeight="1">
      <c r="A668" s="18" t="str">
        <f>Analysis!A668</f>
        <v>9/2013</v>
      </c>
      <c r="B668" s="19">
        <f>Analysis!E668</f>
        <v>0.77000000000000135</v>
      </c>
      <c r="C668" s="20">
        <f>Analysis!F668</f>
        <v>0.49174317251988486</v>
      </c>
      <c r="D668" s="19">
        <f t="shared" si="55"/>
        <v>-0.38</v>
      </c>
      <c r="E668" s="19">
        <f>Solar!D668</f>
        <v>1361.39</v>
      </c>
      <c r="F668" s="30">
        <v>-0.32</v>
      </c>
      <c r="G668" s="20">
        <f t="shared" si="51"/>
        <v>1.2341319433263664E-2</v>
      </c>
      <c r="H668" s="20">
        <f t="shared" si="52"/>
        <v>0.72334224537072955</v>
      </c>
      <c r="I668" s="20">
        <f t="shared" si="53"/>
        <v>4.6657754629271797E-2</v>
      </c>
      <c r="J668" s="20">
        <f t="shared" si="54"/>
        <v>0.80307435255803017</v>
      </c>
    </row>
    <row r="669" spans="1:10" ht="15" customHeight="1">
      <c r="A669" s="18" t="str">
        <f>Analysis!A669</f>
        <v>10/2013</v>
      </c>
      <c r="B669" s="19">
        <f>Analysis!E669</f>
        <v>0.69000000000000128</v>
      </c>
      <c r="C669" s="20">
        <f>Analysis!F669</f>
        <v>0.49240258978171431</v>
      </c>
      <c r="D669" s="19">
        <f t="shared" si="55"/>
        <v>-0.45</v>
      </c>
      <c r="E669" s="19">
        <f>Solar!D669</f>
        <v>1361.09</v>
      </c>
      <c r="F669" s="30">
        <v>-0.14000000000000001</v>
      </c>
      <c r="G669" s="20">
        <f t="shared" si="51"/>
        <v>-6.9461244700585012E-2</v>
      </c>
      <c r="H669" s="20">
        <f t="shared" si="52"/>
        <v>0.71906088626995257</v>
      </c>
      <c r="I669" s="20">
        <f t="shared" si="53"/>
        <v>-2.9060886269951292E-2</v>
      </c>
      <c r="J669" s="20">
        <f t="shared" si="54"/>
        <v>0.72916699645029859</v>
      </c>
    </row>
    <row r="670" spans="1:10" ht="15" customHeight="1">
      <c r="A670" s="18" t="str">
        <f>Analysis!A670</f>
        <v>11/2013</v>
      </c>
      <c r="B670" s="19">
        <f>Analysis!E670</f>
        <v>0.83000000000000362</v>
      </c>
      <c r="C670" s="20">
        <f>Analysis!F670</f>
        <v>0.49774008860909347</v>
      </c>
      <c r="D670" s="19">
        <f t="shared" si="55"/>
        <v>-0.34</v>
      </c>
      <c r="E670" s="19">
        <f>Solar!D670</f>
        <v>1361.09</v>
      </c>
      <c r="F670" s="30">
        <v>-0.12</v>
      </c>
      <c r="G670" s="20">
        <f t="shared" si="51"/>
        <v>5.5948321430579928E-2</v>
      </c>
      <c r="H670" s="20">
        <f t="shared" si="52"/>
        <v>0.74329606215068889</v>
      </c>
      <c r="I670" s="20">
        <f t="shared" si="53"/>
        <v>8.6703937849314738E-2</v>
      </c>
      <c r="J670" s="20">
        <f t="shared" si="54"/>
        <v>0.85959284176245054</v>
      </c>
    </row>
    <row r="671" spans="1:10" ht="15" customHeight="1">
      <c r="A671" s="18" t="str">
        <f>Analysis!A671</f>
        <v>12/2013</v>
      </c>
      <c r="B671" s="19">
        <f>Analysis!E671</f>
        <v>0.70000000000000107</v>
      </c>
      <c r="C671" s="20">
        <f>Analysis!F671</f>
        <v>0.50382119585545315</v>
      </c>
      <c r="D671" s="19">
        <f t="shared" si="55"/>
        <v>-0.32</v>
      </c>
      <c r="E671" s="19">
        <f>Solar!D671</f>
        <v>1361.45</v>
      </c>
      <c r="F671" s="30">
        <v>-0.11</v>
      </c>
      <c r="G671" s="20">
        <f t="shared" si="51"/>
        <v>-9.0674819107119942E-2</v>
      </c>
      <c r="H671" s="20">
        <f t="shared" si="52"/>
        <v>0.76174037947860362</v>
      </c>
      <c r="I671" s="20">
        <f t="shared" si="53"/>
        <v>-6.1740379478602558E-2</v>
      </c>
      <c r="J671" s="20">
        <f t="shared" si="54"/>
        <v>0.72785208636465692</v>
      </c>
    </row>
    <row r="672" spans="1:10" ht="15" customHeight="1">
      <c r="A672" s="18" t="str">
        <f>Analysis!A672</f>
        <v>1/2014</v>
      </c>
      <c r="B672" s="19">
        <f>Analysis!E672</f>
        <v>0.75999999999999801</v>
      </c>
      <c r="C672" s="20">
        <f>Analysis!F672</f>
        <v>0.50748659078948732</v>
      </c>
      <c r="D672" s="19">
        <f t="shared" si="55"/>
        <v>-0.14000000000000001</v>
      </c>
      <c r="E672" s="19">
        <f>Solar!D672</f>
        <v>1361.27</v>
      </c>
      <c r="F672" s="30">
        <v>-0.24</v>
      </c>
      <c r="G672" s="20">
        <f t="shared" si="51"/>
        <v>-4.0694437680876994E-2</v>
      </c>
      <c r="H672" s="20">
        <f t="shared" si="52"/>
        <v>0.78747527072649348</v>
      </c>
      <c r="I672" s="20">
        <f t="shared" si="53"/>
        <v>-2.7475270726495471E-2</v>
      </c>
      <c r="J672" s="20">
        <f t="shared" si="54"/>
        <v>0.77218528778453499</v>
      </c>
    </row>
    <row r="673" spans="1:10" ht="15" customHeight="1">
      <c r="A673" s="18" t="str">
        <f>Analysis!A673</f>
        <v>2/2014</v>
      </c>
      <c r="B673" s="19">
        <f>Analysis!E673</f>
        <v>0.54999999999999893</v>
      </c>
      <c r="C673" s="20">
        <f>Analysis!F673</f>
        <v>0.50831998448950766</v>
      </c>
      <c r="D673" s="19">
        <f t="shared" si="55"/>
        <v>-0.12</v>
      </c>
      <c r="E673" s="19">
        <f>Solar!D673</f>
        <v>1361.01</v>
      </c>
      <c r="F673" s="30">
        <v>-0.21</v>
      </c>
      <c r="G673" s="20">
        <f t="shared" si="51"/>
        <v>-0.25297257882153146</v>
      </c>
      <c r="H673" s="20">
        <f t="shared" si="52"/>
        <v>0.79150518872519038</v>
      </c>
      <c r="I673" s="20">
        <f t="shared" si="53"/>
        <v>-0.24150518872519144</v>
      </c>
      <c r="J673" s="20">
        <f t="shared" si="54"/>
        <v>0.56044453238674485</v>
      </c>
    </row>
    <row r="674" spans="1:10" ht="15" customHeight="1">
      <c r="A674" s="18" t="str">
        <f>Analysis!A674</f>
        <v>3/2014</v>
      </c>
      <c r="B674" s="19">
        <f>Analysis!E674</f>
        <v>0.77999999999999758</v>
      </c>
      <c r="C674" s="20">
        <f>Analysis!F674</f>
        <v>0.51424852992186132</v>
      </c>
      <c r="D674" s="19">
        <f t="shared" si="55"/>
        <v>-0.11</v>
      </c>
      <c r="E674" s="19">
        <f>Solar!D674</f>
        <v>1361.77</v>
      </c>
      <c r="F674" s="30">
        <v>-0.02</v>
      </c>
      <c r="G674" s="20">
        <f t="shared" si="51"/>
        <v>-3.9178680755540651E-2</v>
      </c>
      <c r="H674" s="20">
        <f t="shared" si="52"/>
        <v>0.80866007215191227</v>
      </c>
      <c r="I674" s="20">
        <f t="shared" si="53"/>
        <v>-2.8660072151914684E-2</v>
      </c>
      <c r="J674" s="20">
        <f t="shared" si="54"/>
        <v>0.78957415468784808</v>
      </c>
    </row>
    <row r="675" spans="1:10" ht="15" customHeight="1">
      <c r="A675" s="18" t="str">
        <f>Analysis!A675</f>
        <v>4/2014</v>
      </c>
      <c r="B675" s="19">
        <f>Analysis!E675</f>
        <v>0.81000000000000227</v>
      </c>
      <c r="C675" s="20">
        <f>Analysis!F675</f>
        <v>0.52000909275354024</v>
      </c>
      <c r="D675" s="19">
        <f t="shared" si="55"/>
        <v>-0.24</v>
      </c>
      <c r="E675" s="19">
        <f>Solar!D675</f>
        <v>1361.49</v>
      </c>
      <c r="F675" s="30">
        <v>0.25</v>
      </c>
      <c r="G675" s="20">
        <f t="shared" si="51"/>
        <v>-2.492559026524066E-2</v>
      </c>
      <c r="H675" s="20">
        <f t="shared" si="52"/>
        <v>0.8131682538344549</v>
      </c>
      <c r="I675" s="20">
        <f t="shared" si="53"/>
        <v>-3.1682538344526279E-3</v>
      </c>
      <c r="J675" s="20">
        <f t="shared" si="54"/>
        <v>0.83088906477349422</v>
      </c>
    </row>
    <row r="676" spans="1:10" ht="15" customHeight="1">
      <c r="A676" s="18" t="str">
        <f>Analysis!A676</f>
        <v>5/2014</v>
      </c>
      <c r="B676" s="19">
        <f>Analysis!E676</f>
        <v>0.86999999999999744</v>
      </c>
      <c r="C676" s="20">
        <f>Analysis!F676</f>
        <v>0.52162511534624834</v>
      </c>
      <c r="D676" s="19">
        <f t="shared" si="55"/>
        <v>-0.21</v>
      </c>
      <c r="E676" s="19">
        <f>Solar!D676</f>
        <v>1361.38</v>
      </c>
      <c r="F676" s="30">
        <v>0.35</v>
      </c>
      <c r="G676" s="20">
        <f t="shared" si="51"/>
        <v>3.0656896676296008E-2</v>
      </c>
      <c r="H676" s="20">
        <f t="shared" si="52"/>
        <v>0.82021827155596649</v>
      </c>
      <c r="I676" s="20">
        <f t="shared" si="53"/>
        <v>4.9781728444030948E-2</v>
      </c>
      <c r="J676" s="20">
        <f t="shared" si="54"/>
        <v>0.88827793167680291</v>
      </c>
    </row>
    <row r="677" spans="1:10" ht="15" customHeight="1">
      <c r="A677" s="18" t="str">
        <f>Analysis!A677</f>
        <v>6/2014</v>
      </c>
      <c r="B677" s="19">
        <f>Analysis!E677</f>
        <v>0.66999999999999993</v>
      </c>
      <c r="C677" s="20">
        <f>Analysis!F677</f>
        <v>0.5197216102426353</v>
      </c>
      <c r="D677" s="19">
        <f t="shared" si="55"/>
        <v>-0.02</v>
      </c>
      <c r="E677" s="19">
        <f>Solar!D677</f>
        <v>1361.24</v>
      </c>
      <c r="F677" s="30">
        <v>0.22</v>
      </c>
      <c r="G677" s="20">
        <f t="shared" si="51"/>
        <v>-0.16413973631014878</v>
      </c>
      <c r="H677" s="20">
        <f t="shared" si="52"/>
        <v>0.8315269073579914</v>
      </c>
      <c r="I677" s="20">
        <f t="shared" si="53"/>
        <v>-0.16152690735799147</v>
      </c>
      <c r="J677" s="20">
        <f t="shared" si="54"/>
        <v>0.67174075539779088</v>
      </c>
    </row>
    <row r="678" spans="1:10" ht="15" customHeight="1">
      <c r="A678" s="18" t="str">
        <f>Analysis!A678</f>
        <v>7/2014</v>
      </c>
      <c r="B678" s="19">
        <f>Analysis!E678</f>
        <v>0.58000000000000007</v>
      </c>
      <c r="C678" s="20">
        <f>Analysis!F678</f>
        <v>0.51193784891495564</v>
      </c>
      <c r="D678" s="19">
        <f t="shared" si="55"/>
        <v>0.25</v>
      </c>
      <c r="E678" s="19">
        <f>Solar!D678</f>
        <v>1361.27</v>
      </c>
      <c r="F678" s="30">
        <v>7.0000000000000007E-2</v>
      </c>
      <c r="G678" s="20">
        <f t="shared" si="51"/>
        <v>-0.23286226935881837</v>
      </c>
      <c r="H678" s="20">
        <f t="shared" si="52"/>
        <v>0.83364669963443006</v>
      </c>
      <c r="I678" s="20">
        <f t="shared" si="53"/>
        <v>-0.25364669963442998</v>
      </c>
      <c r="J678" s="20">
        <f t="shared" si="54"/>
        <v>0.5582405575276127</v>
      </c>
    </row>
    <row r="679" spans="1:10" ht="15" customHeight="1">
      <c r="A679" s="18" t="str">
        <f>Analysis!A679</f>
        <v>8/2014</v>
      </c>
      <c r="B679" s="19">
        <f>Analysis!E679</f>
        <v>0.83000000000000362</v>
      </c>
      <c r="C679" s="20">
        <f>Analysis!F679</f>
        <v>0.50436615061227197</v>
      </c>
      <c r="D679" s="19">
        <f t="shared" si="55"/>
        <v>0.35</v>
      </c>
      <c r="E679" s="19">
        <f>Solar!D679</f>
        <v>1361.49</v>
      </c>
      <c r="F679" s="30">
        <v>7.0000000000000007E-2</v>
      </c>
      <c r="G679" s="20">
        <f t="shared" si="51"/>
        <v>3.7835508183244104E-2</v>
      </c>
      <c r="H679" s="20">
        <f t="shared" si="52"/>
        <v>0.82155256492879991</v>
      </c>
      <c r="I679" s="20">
        <f t="shared" si="53"/>
        <v>8.4474350712037127E-3</v>
      </c>
      <c r="J679" s="20">
        <f t="shared" si="54"/>
        <v>0.79953678053866128</v>
      </c>
    </row>
    <row r="680" spans="1:10" ht="15" customHeight="1">
      <c r="A680" s="18" t="str">
        <f>Analysis!A680</f>
        <v>9/2014</v>
      </c>
      <c r="B680" s="19">
        <f>Analysis!E680</f>
        <v>0.88000000000000256</v>
      </c>
      <c r="C680" s="20">
        <f>Analysis!F680</f>
        <v>0.49839677115263525</v>
      </c>
      <c r="D680" s="19">
        <f t="shared" si="55"/>
        <v>0.22</v>
      </c>
      <c r="E680" s="19">
        <f>Solar!D680</f>
        <v>1361.51</v>
      </c>
      <c r="F680" s="30">
        <v>0.24</v>
      </c>
      <c r="G680" s="20">
        <f t="shared" si="51"/>
        <v>0.10415323284428857</v>
      </c>
      <c r="H680" s="20">
        <f t="shared" si="52"/>
        <v>0.79384098636668332</v>
      </c>
      <c r="I680" s="20">
        <f t="shared" si="53"/>
        <v>8.6159013633319237E-2</v>
      </c>
      <c r="J680" s="20">
        <f t="shared" si="54"/>
        <v>0.86085169062430167</v>
      </c>
    </row>
    <row r="681" spans="1:10" ht="15" customHeight="1">
      <c r="A681" s="18" t="str">
        <f>Analysis!A681</f>
        <v>10/2014</v>
      </c>
      <c r="B681" s="19">
        <f>Analysis!E681</f>
        <v>0.79999999999999893</v>
      </c>
      <c r="C681" s="20">
        <f>Analysis!F681</f>
        <v>0.50065639249457372</v>
      </c>
      <c r="D681" s="19">
        <f t="shared" si="55"/>
        <v>7.0000000000000007E-2</v>
      </c>
      <c r="E681" s="19">
        <f>Solar!D681</f>
        <v>1361.14</v>
      </c>
      <c r="F681" s="30">
        <v>0.51</v>
      </c>
      <c r="G681" s="20">
        <f t="shared" si="51"/>
        <v>1.7976396684799556E-2</v>
      </c>
      <c r="H681" s="20">
        <f t="shared" si="52"/>
        <v>0.78699204007017087</v>
      </c>
      <c r="I681" s="20">
        <f t="shared" si="53"/>
        <v>1.3007959929828061E-2</v>
      </c>
      <c r="J681" s="20">
        <f t="shared" si="54"/>
        <v>0.79390735610773044</v>
      </c>
    </row>
    <row r="682" spans="1:10" ht="15" customHeight="1">
      <c r="A682" s="18" t="str">
        <f>Analysis!A682</f>
        <v>11/2014</v>
      </c>
      <c r="B682" s="19">
        <f>Analysis!E682</f>
        <v>0.66999999999999993</v>
      </c>
      <c r="C682" s="20">
        <f>Analysis!F682</f>
        <v>0.50516504541734131</v>
      </c>
      <c r="D682" s="19">
        <f t="shared" si="55"/>
        <v>7.0000000000000007E-2</v>
      </c>
      <c r="E682" s="19">
        <f>Solar!D682</f>
        <v>1361.55</v>
      </c>
      <c r="F682" s="30">
        <v>0.7</v>
      </c>
      <c r="G682" s="20">
        <f t="shared" si="51"/>
        <v>-0.1243483277666112</v>
      </c>
      <c r="H682" s="20">
        <f t="shared" si="52"/>
        <v>0.79937639052903919</v>
      </c>
      <c r="I682" s="20">
        <f t="shared" si="53"/>
        <v>-0.12937639052903926</v>
      </c>
      <c r="J682" s="20">
        <f t="shared" si="54"/>
        <v>0.66390735610773144</v>
      </c>
    </row>
    <row r="683" spans="1:10" ht="15" customHeight="1">
      <c r="A683" s="18" t="str">
        <f>Analysis!A683</f>
        <v>12/2014</v>
      </c>
      <c r="B683" s="19">
        <f>Analysis!E683</f>
        <v>0.79000000000000092</v>
      </c>
      <c r="C683" s="20">
        <f>Analysis!F683</f>
        <v>0.51125115244612851</v>
      </c>
      <c r="D683" s="19">
        <f t="shared" si="55"/>
        <v>0.24</v>
      </c>
      <c r="E683" s="19">
        <f>Solar!D683</f>
        <v>1361.48</v>
      </c>
      <c r="F683" s="30">
        <v>0.8</v>
      </c>
      <c r="G683" s="20">
        <f t="shared" si="51"/>
        <v>-2.0985135566301882E-2</v>
      </c>
      <c r="H683" s="20">
        <f t="shared" si="52"/>
        <v>0.83089010672347463</v>
      </c>
      <c r="I683" s="20">
        <f t="shared" si="53"/>
        <v>-4.0890106723473707E-2</v>
      </c>
      <c r="J683" s="20">
        <f t="shared" si="54"/>
        <v>0.76911093522650897</v>
      </c>
    </row>
    <row r="684" spans="1:10" ht="15" customHeight="1">
      <c r="A684" s="18" t="str">
        <f>Analysis!A684</f>
        <v>1/2015</v>
      </c>
      <c r="B684" s="19">
        <f>Analysis!E684</f>
        <v>0.86000000000000121</v>
      </c>
      <c r="C684" s="20">
        <f>Analysis!F684</f>
        <v>0.51522223956909252</v>
      </c>
      <c r="D684" s="19">
        <f t="shared" si="55"/>
        <v>0.51</v>
      </c>
      <c r="E684" s="19">
        <f>Solar!D684</f>
        <v>1361.52</v>
      </c>
      <c r="F684" s="30">
        <v>0.73</v>
      </c>
      <c r="G684" s="20">
        <f t="shared" si="51"/>
        <v>3.8159614450730683E-2</v>
      </c>
      <c r="H684" s="20">
        <f t="shared" si="52"/>
        <v>0.86529807138695425</v>
      </c>
      <c r="I684" s="20">
        <f t="shared" si="53"/>
        <v>-5.2980713869530405E-3</v>
      </c>
      <c r="J684" s="20">
        <f t="shared" si="54"/>
        <v>0.81561073735633083</v>
      </c>
    </row>
    <row r="685" spans="1:10" ht="15" customHeight="1">
      <c r="A685" s="18" t="str">
        <f>Analysis!A685</f>
        <v>2/2015</v>
      </c>
      <c r="B685" s="19">
        <f>Analysis!E685</f>
        <v>0.91000000000000014</v>
      </c>
      <c r="C685" s="20">
        <f>Analysis!F685</f>
        <v>0.51655551596218474</v>
      </c>
      <c r="D685" s="19">
        <f t="shared" si="55"/>
        <v>0.7</v>
      </c>
      <c r="E685" s="19">
        <f>Solar!D685</f>
        <v>1361.91</v>
      </c>
      <c r="F685" s="30">
        <v>0.65</v>
      </c>
      <c r="G685" s="20">
        <f t="shared" si="51"/>
        <v>8.4515008302526229E-2</v>
      </c>
      <c r="H685" s="20">
        <f t="shared" si="52"/>
        <v>0.88549748612021073</v>
      </c>
      <c r="I685" s="20">
        <f t="shared" si="53"/>
        <v>2.4502513879789412E-2</v>
      </c>
      <c r="J685" s="20">
        <f t="shared" si="54"/>
        <v>0.84907356107731535</v>
      </c>
    </row>
    <row r="686" spans="1:10" ht="15" customHeight="1">
      <c r="A686" s="18" t="str">
        <f>Analysis!A686</f>
        <v>3/2015</v>
      </c>
      <c r="B686" s="19">
        <f>Analysis!E686</f>
        <v>0.95999999999999908</v>
      </c>
      <c r="C686" s="20">
        <f>Analysis!F686</f>
        <v>0.52083528601459983</v>
      </c>
      <c r="D686" s="19">
        <f t="shared" si="55"/>
        <v>0.8</v>
      </c>
      <c r="E686" s="19">
        <f>Solar!D686</f>
        <v>1361.71</v>
      </c>
      <c r="F686" s="30">
        <v>0.72</v>
      </c>
      <c r="G686" s="20">
        <f t="shared" si="51"/>
        <v>0.12281595150774283</v>
      </c>
      <c r="H686" s="20">
        <f t="shared" si="52"/>
        <v>0.90595691898252639</v>
      </c>
      <c r="I686" s="20">
        <f t="shared" si="53"/>
        <v>5.4043081017472683E-2</v>
      </c>
      <c r="J686" s="20">
        <f t="shared" si="54"/>
        <v>0.89036978408835932</v>
      </c>
    </row>
    <row r="687" spans="1:10" ht="15" customHeight="1">
      <c r="A687" s="18" t="str">
        <f>Analysis!A687</f>
        <v>4/2015</v>
      </c>
      <c r="B687" s="19">
        <f>Analysis!E687</f>
        <v>0.75</v>
      </c>
      <c r="C687" s="20">
        <f>Analysis!F687</f>
        <v>0.52660542876170069</v>
      </c>
      <c r="D687" s="19">
        <f t="shared" si="55"/>
        <v>0.73</v>
      </c>
      <c r="E687" s="19">
        <f>Solar!D687</f>
        <v>1361.7</v>
      </c>
      <c r="F687" s="30">
        <v>0.86</v>
      </c>
      <c r="G687" s="20">
        <f t="shared" si="51"/>
        <v>-0.10295714538428247</v>
      </c>
      <c r="H687" s="20">
        <f t="shared" si="52"/>
        <v>0.91571368093317429</v>
      </c>
      <c r="I687" s="20">
        <f t="shared" si="53"/>
        <v>-0.16571368093317429</v>
      </c>
      <c r="J687" s="20">
        <f t="shared" si="54"/>
        <v>0.68646242798062873</v>
      </c>
    </row>
    <row r="688" spans="1:10" ht="15" customHeight="1">
      <c r="A688" s="18" t="str">
        <f>Analysis!A688</f>
        <v>5/2015</v>
      </c>
      <c r="B688" s="19">
        <f>Analysis!E688</f>
        <v>0.79999999999999893</v>
      </c>
      <c r="C688" s="20">
        <f>Analysis!F688</f>
        <v>0.52946402049003916</v>
      </c>
      <c r="D688" s="19">
        <f t="shared" si="55"/>
        <v>0.65</v>
      </c>
      <c r="E688" s="19">
        <f>Solar!D688</f>
        <v>1361.48</v>
      </c>
      <c r="F688" s="30">
        <v>1.04</v>
      </c>
      <c r="G688" s="20">
        <f t="shared" si="51"/>
        <v>-6.0771309830818354E-2</v>
      </c>
      <c r="H688" s="20">
        <f t="shared" si="52"/>
        <v>0.91660262807612924</v>
      </c>
      <c r="I688" s="20">
        <f t="shared" si="53"/>
        <v>-0.11660262807613031</v>
      </c>
      <c r="J688" s="20">
        <f t="shared" si="54"/>
        <v>0.74342544957179169</v>
      </c>
    </row>
    <row r="689" spans="1:10" ht="15" customHeight="1">
      <c r="A689" s="18" t="str">
        <f>Analysis!A689</f>
        <v>6/2015</v>
      </c>
      <c r="B689" s="19">
        <f>Analysis!E689</f>
        <v>0.82000000000000028</v>
      </c>
      <c r="C689" s="20">
        <f>Analysis!F689</f>
        <v>0.52524561093224054</v>
      </c>
      <c r="D689" s="19">
        <f t="shared" si="55"/>
        <v>0.72</v>
      </c>
      <c r="E689" s="19">
        <f>Solar!D689</f>
        <v>1361.29</v>
      </c>
      <c r="F689" s="30">
        <v>1.19</v>
      </c>
      <c r="G689" s="20">
        <f t="shared" si="51"/>
        <v>-2.9239986326067169E-2</v>
      </c>
      <c r="H689" s="20">
        <f t="shared" si="52"/>
        <v>0.9111081608649888</v>
      </c>
      <c r="I689" s="20">
        <f t="shared" si="53"/>
        <v>-9.1108160864988519E-2</v>
      </c>
      <c r="J689" s="20">
        <f t="shared" si="54"/>
        <v>0.75733280567952455</v>
      </c>
    </row>
    <row r="690" spans="1:10" ht="15" customHeight="1">
      <c r="A690" s="18" t="str">
        <f>Analysis!A690</f>
        <v>7/2015</v>
      </c>
      <c r="B690" s="19">
        <f>Analysis!E690</f>
        <v>0.7300000000000022</v>
      </c>
      <c r="C690" s="20">
        <f>Analysis!F690</f>
        <v>0.51982942289753653</v>
      </c>
      <c r="D690" s="19">
        <f t="shared" si="55"/>
        <v>0.86</v>
      </c>
      <c r="E690" s="19">
        <f>Solar!D690</f>
        <v>1361.41</v>
      </c>
      <c r="F690" s="30">
        <v>1.44</v>
      </c>
      <c r="G690" s="20">
        <f t="shared" si="51"/>
        <v>-0.1044344498946238</v>
      </c>
      <c r="H690" s="20">
        <f t="shared" si="52"/>
        <v>0.90841628424545584</v>
      </c>
      <c r="I690" s="20">
        <f t="shared" si="53"/>
        <v>-0.17841628424545364</v>
      </c>
      <c r="J690" s="20">
        <f t="shared" si="54"/>
        <v>0.65514751789498948</v>
      </c>
    </row>
    <row r="691" spans="1:10" ht="15" customHeight="1">
      <c r="A691" s="18" t="str">
        <f>Analysis!A691</f>
        <v>8/2015</v>
      </c>
      <c r="B691" s="19">
        <f>Analysis!E691</f>
        <v>0.79999999999999893</v>
      </c>
      <c r="C691" s="20">
        <f>Analysis!F691</f>
        <v>0.51135959993669367</v>
      </c>
      <c r="D691" s="19">
        <f t="shared" si="55"/>
        <v>1.04</v>
      </c>
      <c r="E691" s="19">
        <f>Solar!D691</f>
        <v>1361.09</v>
      </c>
      <c r="F691" s="30">
        <v>1.73</v>
      </c>
      <c r="G691" s="20">
        <f t="shared" si="51"/>
        <v>-1.1281584519363119E-2</v>
      </c>
      <c r="H691" s="20">
        <f t="shared" si="52"/>
        <v>0.90081820578392846</v>
      </c>
      <c r="I691" s="20">
        <f t="shared" si="53"/>
        <v>-0.10081820578392953</v>
      </c>
      <c r="J691" s="20">
        <f t="shared" si="54"/>
        <v>0.70948071931486734</v>
      </c>
    </row>
    <row r="692" spans="1:10" ht="15" customHeight="1">
      <c r="A692" s="18" t="str">
        <f>Analysis!A692</f>
        <v>9/2015</v>
      </c>
      <c r="B692" s="19">
        <f>Analysis!E692</f>
        <v>0.83999999999999986</v>
      </c>
      <c r="C692" s="20">
        <f>Analysis!F692</f>
        <v>0.50668898086543035</v>
      </c>
      <c r="D692" s="19">
        <f t="shared" si="55"/>
        <v>1.19</v>
      </c>
      <c r="E692" s="19">
        <f>Solar!D692</f>
        <v>1361.05</v>
      </c>
      <c r="F692" s="30">
        <v>2.02</v>
      </c>
      <c r="G692" s="20">
        <f t="shared" si="51"/>
        <v>4.1485885955054536E-2</v>
      </c>
      <c r="H692" s="20">
        <f t="shared" si="52"/>
        <v>0.9010446328164905</v>
      </c>
      <c r="I692" s="20">
        <f t="shared" si="53"/>
        <v>-6.104463281649064E-2</v>
      </c>
      <c r="J692" s="20">
        <f t="shared" si="54"/>
        <v>0.73642505383143575</v>
      </c>
    </row>
    <row r="693" spans="1:10" ht="15" customHeight="1">
      <c r="A693" s="18" t="str">
        <f>Analysis!A693</f>
        <v>10/2015</v>
      </c>
      <c r="B693" s="19">
        <f>Analysis!E693</f>
        <v>1.0800000000000036</v>
      </c>
      <c r="C693" s="20">
        <f>Analysis!F693</f>
        <v>0.50911669345346611</v>
      </c>
      <c r="D693" s="19">
        <f t="shared" si="55"/>
        <v>1.44</v>
      </c>
      <c r="E693" s="19">
        <f>Solar!D693</f>
        <v>1361.24</v>
      </c>
      <c r="F693" s="30">
        <v>2.2799999999999998</v>
      </c>
      <c r="G693" s="20">
        <f t="shared" si="51"/>
        <v>0.27484956038125541</v>
      </c>
      <c r="H693" s="20">
        <f t="shared" si="52"/>
        <v>0.9294725068622679</v>
      </c>
      <c r="I693" s="20">
        <f t="shared" si="53"/>
        <v>0.15052749313773572</v>
      </c>
      <c r="J693" s="20">
        <f t="shared" si="54"/>
        <v>0.95466561135905215</v>
      </c>
    </row>
    <row r="694" spans="1:10" ht="15" customHeight="1">
      <c r="A694" s="18" t="str">
        <f>Analysis!A694</f>
        <v>11/2015</v>
      </c>
      <c r="B694" s="19">
        <f>Analysis!E694</f>
        <v>1.0600000000000023</v>
      </c>
      <c r="C694" s="20">
        <f>Analysis!F694</f>
        <v>0.51554666346621814</v>
      </c>
      <c r="D694" s="19">
        <f t="shared" si="55"/>
        <v>1.73</v>
      </c>
      <c r="E694" s="19">
        <f>Solar!D694</f>
        <v>1361.34</v>
      </c>
      <c r="F694" s="30">
        <v>2.4500000000000002</v>
      </c>
      <c r="G694" s="20">
        <f t="shared" si="51"/>
        <v>0.23727277858067952</v>
      </c>
      <c r="H694" s="20">
        <f t="shared" si="52"/>
        <v>0.97237527696156167</v>
      </c>
      <c r="I694" s="20">
        <f t="shared" si="53"/>
        <v>8.76247230384406E-2</v>
      </c>
      <c r="J694" s="20">
        <f t="shared" si="54"/>
        <v>0.90942465809108142</v>
      </c>
    </row>
    <row r="695" spans="1:10" ht="15" customHeight="1">
      <c r="A695" s="18" t="str">
        <f>Analysis!A695</f>
        <v>12/2015</v>
      </c>
      <c r="B695" s="19">
        <f>Analysis!E695</f>
        <v>1.1699999999999964</v>
      </c>
      <c r="C695" s="20">
        <f>Analysis!F695</f>
        <v>0.52198398578437877</v>
      </c>
      <c r="D695" s="19">
        <f t="shared" si="55"/>
        <v>2.02</v>
      </c>
      <c r="E695" s="19">
        <f>Solar!D695</f>
        <v>1361.22</v>
      </c>
      <c r="F695" s="30">
        <v>2.59</v>
      </c>
      <c r="G695" s="20">
        <f t="shared" si="51"/>
        <v>0.32967589872868619</v>
      </c>
      <c r="H695" s="20">
        <f t="shared" si="52"/>
        <v>1.0152982423449943</v>
      </c>
      <c r="I695" s="20">
        <f t="shared" si="53"/>
        <v>0.15470175765500205</v>
      </c>
      <c r="J695" s="20">
        <f t="shared" si="54"/>
        <v>0.99418370482310603</v>
      </c>
    </row>
    <row r="696" spans="1:10" ht="15" customHeight="1">
      <c r="A696" s="18" t="str">
        <f>Analysis!A696</f>
        <v>1/2016</v>
      </c>
      <c r="B696" s="19">
        <f>Analysis!E696</f>
        <v>1.1799999999999997</v>
      </c>
      <c r="C696" s="20">
        <f>Analysis!F696</f>
        <v>0.52438611777087951</v>
      </c>
      <c r="D696" s="19">
        <f t="shared" si="55"/>
        <v>2.2799999999999998</v>
      </c>
      <c r="E696" s="19">
        <f>Solar!D696</f>
        <v>1361.2</v>
      </c>
      <c r="F696" s="30">
        <v>2.5</v>
      </c>
      <c r="G696" s="20">
        <f t="shared" si="51"/>
        <v>0.33310949955432811</v>
      </c>
      <c r="H696" s="20">
        <f t="shared" si="52"/>
        <v>1.0445262293920325</v>
      </c>
      <c r="I696" s="20">
        <f t="shared" si="53"/>
        <v>0.13547377060796717</v>
      </c>
      <c r="J696" s="20">
        <f t="shared" si="54"/>
        <v>0.98155388465182658</v>
      </c>
    </row>
    <row r="697" spans="1:10" ht="15" customHeight="1">
      <c r="A697" s="18" t="str">
        <f>Analysis!A697</f>
        <v>2/2016</v>
      </c>
      <c r="B697" s="19">
        <f>Analysis!E697</f>
        <v>1.370000000000001</v>
      </c>
      <c r="C697" s="20">
        <f>Analysis!F697</f>
        <v>0.52982094652869527</v>
      </c>
      <c r="D697" s="19">
        <f t="shared" si="55"/>
        <v>2.4500000000000002</v>
      </c>
      <c r="E697" s="19">
        <f>Solar!D697</f>
        <v>1361.23</v>
      </c>
      <c r="F697" s="30">
        <v>2.21</v>
      </c>
      <c r="G697" s="20">
        <f t="shared" si="51"/>
        <v>0.50825300737626866</v>
      </c>
      <c r="H697" s="20">
        <f t="shared" si="52"/>
        <v>1.0742510169436741</v>
      </c>
      <c r="I697" s="20">
        <f t="shared" si="53"/>
        <v>0.29574898305632691</v>
      </c>
      <c r="J697" s="20">
        <f t="shared" si="54"/>
        <v>1.1567574637706044</v>
      </c>
    </row>
    <row r="698" spans="1:10" ht="15" customHeight="1">
      <c r="A698" s="18" t="str">
        <f>Analysis!A698</f>
        <v>3/2016</v>
      </c>
      <c r="B698" s="19">
        <f>Analysis!E698</f>
        <v>1.3499999999999979</v>
      </c>
      <c r="C698" s="20">
        <f>Analysis!F698</f>
        <v>0.53270879759518996</v>
      </c>
      <c r="D698" s="19">
        <f t="shared" si="55"/>
        <v>2.59</v>
      </c>
      <c r="E698" s="19">
        <f>Solar!D698</f>
        <v>1361.07</v>
      </c>
      <c r="F698" s="30">
        <v>1.69</v>
      </c>
      <c r="G698" s="20">
        <f t="shared" si="51"/>
        <v>0.48035886044126153</v>
      </c>
      <c r="H698" s="20">
        <f t="shared" si="52"/>
        <v>1.0943686428995276</v>
      </c>
      <c r="I698" s="20">
        <f t="shared" si="53"/>
        <v>0.25563135710047025</v>
      </c>
      <c r="J698" s="20">
        <f t="shared" si="54"/>
        <v>1.1245721759860643</v>
      </c>
    </row>
    <row r="699" spans="1:10" ht="15" customHeight="1">
      <c r="A699" s="18" t="str">
        <f>Analysis!A699</f>
        <v>4/2016</v>
      </c>
      <c r="B699" s="19">
        <f>Analysis!E699</f>
        <v>1.0899999999999999</v>
      </c>
      <c r="C699" s="20">
        <f>Analysis!F699</f>
        <v>0.54172722433348508</v>
      </c>
      <c r="D699" s="19">
        <f t="shared" si="55"/>
        <v>2.5</v>
      </c>
      <c r="E699" s="19">
        <f>Solar!D699</f>
        <v>1360.8</v>
      </c>
      <c r="F699" s="30">
        <v>1.1100000000000001</v>
      </c>
      <c r="G699" s="20">
        <f t="shared" si="51"/>
        <v>0.19570634749810656</v>
      </c>
      <c r="H699" s="20">
        <f t="shared" si="52"/>
        <v>1.1113070233911144</v>
      </c>
      <c r="I699" s="20">
        <f t="shared" si="53"/>
        <v>-2.1307023391114566E-2</v>
      </c>
      <c r="J699" s="20">
        <f t="shared" si="54"/>
        <v>0.87240557527612572</v>
      </c>
    </row>
    <row r="700" spans="1:10" ht="15" customHeight="1">
      <c r="A700" s="18" t="str">
        <f>Analysis!A700</f>
        <v>5/2016</v>
      </c>
      <c r="B700" s="19">
        <f>Analysis!E700</f>
        <v>0.95999999999999908</v>
      </c>
      <c r="C700" s="20">
        <f>Analysis!F700</f>
        <v>0.5427886799601942</v>
      </c>
      <c r="D700" s="19">
        <f t="shared" si="55"/>
        <v>2.21</v>
      </c>
      <c r="E700" s="19">
        <f>Solar!D700</f>
        <v>1360.94</v>
      </c>
      <c r="F700" s="30">
        <v>0.56999999999999995</v>
      </c>
      <c r="G700" s="20">
        <f t="shared" si="51"/>
        <v>6.2804782808899229E-2</v>
      </c>
      <c r="H700" s="20">
        <f t="shared" si="52"/>
        <v>1.0889816723446692</v>
      </c>
      <c r="I700" s="20">
        <f t="shared" si="53"/>
        <v>-0.12898167234467017</v>
      </c>
      <c r="J700" s="20">
        <f t="shared" si="54"/>
        <v>0.76764652854409432</v>
      </c>
    </row>
    <row r="701" spans="1:10" ht="15" customHeight="1">
      <c r="A701" s="18" t="str">
        <f>Analysis!A701</f>
        <v>6/2016</v>
      </c>
      <c r="B701" s="19">
        <f>Analysis!E701</f>
        <v>0.81000000000000227</v>
      </c>
      <c r="C701" s="20">
        <f>Analysis!F701</f>
        <v>0.53956651983320436</v>
      </c>
      <c r="D701" s="19">
        <f t="shared" si="55"/>
        <v>1.69</v>
      </c>
      <c r="E701" s="19">
        <f>Solar!D701</f>
        <v>1360.99</v>
      </c>
      <c r="F701" s="30">
        <v>0.09</v>
      </c>
      <c r="G701" s="20">
        <f t="shared" si="51"/>
        <v>-7.8387212586676136E-2</v>
      </c>
      <c r="H701" s="20">
        <f t="shared" si="52"/>
        <v>1.0348714149928131</v>
      </c>
      <c r="I701" s="20">
        <f t="shared" si="53"/>
        <v>-0.22487141499281083</v>
      </c>
      <c r="J701" s="20">
        <f t="shared" si="54"/>
        <v>0.66290616888666332</v>
      </c>
    </row>
    <row r="702" spans="1:10" ht="15" customHeight="1">
      <c r="A702" s="18" t="str">
        <f>Analysis!A702</f>
        <v>7/2016</v>
      </c>
      <c r="B702" s="19">
        <f>Analysis!E702</f>
        <v>0.83999999999999986</v>
      </c>
      <c r="C702" s="20">
        <f>Analysis!F702</f>
        <v>0.53103383496841972</v>
      </c>
      <c r="D702" s="19">
        <f t="shared" si="55"/>
        <v>1.1100000000000001</v>
      </c>
      <c r="E702" s="19">
        <f>Solar!D702</f>
        <v>1360.91</v>
      </c>
      <c r="F702" s="30">
        <v>-0.19</v>
      </c>
      <c r="G702" s="20">
        <f t="shared" si="51"/>
        <v>-2.5062509711867631E-2</v>
      </c>
      <c r="H702" s="20">
        <f t="shared" si="52"/>
        <v>0.96095196257993232</v>
      </c>
      <c r="I702" s="20">
        <f t="shared" si="53"/>
        <v>-0.12095196257993246</v>
      </c>
      <c r="J702" s="20">
        <f t="shared" si="54"/>
        <v>0.74338807542259977</v>
      </c>
    </row>
    <row r="703" spans="1:10" ht="15" customHeight="1">
      <c r="A703" s="18" t="str">
        <f>Analysis!A703</f>
        <v>8/2016</v>
      </c>
      <c r="B703" s="19">
        <f>Analysis!E703</f>
        <v>1.0099999999999998</v>
      </c>
      <c r="C703" s="20">
        <f>Analysis!F703</f>
        <v>0.52338272814934861</v>
      </c>
      <c r="D703" s="19">
        <f t="shared" si="55"/>
        <v>0.56999999999999995</v>
      </c>
      <c r="E703" s="19">
        <f>Solar!D703</f>
        <v>1360.92</v>
      </c>
      <c r="F703" s="30">
        <v>-0.34</v>
      </c>
      <c r="G703" s="20">
        <f t="shared" si="51"/>
        <v>0.16585233667543953</v>
      </c>
      <c r="H703" s="20">
        <f t="shared" si="52"/>
        <v>0.89293553613844756</v>
      </c>
      <c r="I703" s="20">
        <f t="shared" si="53"/>
        <v>0.11706446386155223</v>
      </c>
      <c r="J703" s="20">
        <f t="shared" si="54"/>
        <v>0.96038847116295645</v>
      </c>
    </row>
    <row r="704" spans="1:10" ht="15" customHeight="1">
      <c r="A704" s="18" t="str">
        <f>Analysis!A704</f>
        <v>9/2016</v>
      </c>
      <c r="B704" s="19">
        <f>Analysis!E704</f>
        <v>0.89999999999999858</v>
      </c>
      <c r="C704" s="20">
        <f>Analysis!F704</f>
        <v>0.51900265323929839</v>
      </c>
      <c r="D704" s="19">
        <f t="shared" si="55"/>
        <v>0.09</v>
      </c>
      <c r="E704" s="19">
        <f>Solar!D704</f>
        <v>1360.92</v>
      </c>
      <c r="F704" s="30">
        <v>-0.42</v>
      </c>
      <c r="G704" s="20">
        <f t="shared" si="51"/>
        <v>6.7825583955198776E-2</v>
      </c>
      <c r="H704" s="20">
        <f t="shared" si="52"/>
        <v>0.83912623372201589</v>
      </c>
      <c r="I704" s="20">
        <f t="shared" si="53"/>
        <v>6.0873766277982688E-2</v>
      </c>
      <c r="J704" s="20">
        <f t="shared" si="54"/>
        <v>0.89216660070993914</v>
      </c>
    </row>
    <row r="705" spans="1:10" ht="15" customHeight="1">
      <c r="A705" s="18" t="str">
        <f>Analysis!A705</f>
        <v>10/2016</v>
      </c>
      <c r="B705" s="19">
        <f>Analysis!E705</f>
        <v>0.86999999999999744</v>
      </c>
      <c r="C705" s="20">
        <f>Analysis!F705</f>
        <v>0.52101483065422127</v>
      </c>
      <c r="D705" s="19">
        <f t="shared" si="55"/>
        <v>-0.19</v>
      </c>
      <c r="E705" s="19">
        <f>Solar!D705</f>
        <v>1360.86</v>
      </c>
      <c r="F705" s="30">
        <v>-0.51</v>
      </c>
      <c r="G705" s="20">
        <f t="shared" si="51"/>
        <v>3.2325153425039388E-2</v>
      </c>
      <c r="H705" s="20">
        <f t="shared" si="52"/>
        <v>0.82028269931550013</v>
      </c>
      <c r="I705" s="20">
        <f t="shared" si="53"/>
        <v>4.9717300684497312E-2</v>
      </c>
      <c r="J705" s="20">
        <f t="shared" si="54"/>
        <v>0.88653717627901185</v>
      </c>
    </row>
    <row r="706" spans="1:10" ht="15" customHeight="1">
      <c r="A706" s="18" t="str">
        <f>Analysis!A706</f>
        <v>11/2016</v>
      </c>
      <c r="B706" s="19">
        <f>Analysis!E706</f>
        <v>0.91000000000000014</v>
      </c>
      <c r="C706" s="20">
        <f>Analysis!F706</f>
        <v>0.52792823149882584</v>
      </c>
      <c r="D706" s="19">
        <f t="shared" si="55"/>
        <v>-0.34</v>
      </c>
      <c r="E706" s="19">
        <f>Solar!D706</f>
        <v>1360.86</v>
      </c>
      <c r="F706" s="30">
        <v>-0.49</v>
      </c>
      <c r="G706" s="20">
        <f t="shared" ref="G706:G769" si="56">B706-($N$4+$N$5*C706)</f>
        <v>5.3426878953383272E-2</v>
      </c>
      <c r="H706" s="20">
        <f t="shared" ref="H706:H769" si="57">IF(D706="","",$N$14+$N$15*C706+$N$16*D706)</f>
        <v>0.82621673660778361</v>
      </c>
      <c r="I706" s="20">
        <f t="shared" ref="I706:I769" si="58">IF(D706="","",B706-H706)</f>
        <v>8.3783263392216534E-2</v>
      </c>
      <c r="J706" s="20">
        <f t="shared" ref="J706:J769" si="59">IF(D706="","",B706-$N$16*D706)</f>
        <v>0.93959284176244706</v>
      </c>
    </row>
    <row r="707" spans="1:10" ht="15" customHeight="1">
      <c r="A707" s="18" t="str">
        <f>Analysis!A707</f>
        <v>12/2016</v>
      </c>
      <c r="B707" s="19">
        <f>Analysis!E707</f>
        <v>0.86000000000000121</v>
      </c>
      <c r="C707" s="20">
        <f>Analysis!F707</f>
        <v>0.53121211494354725</v>
      </c>
      <c r="D707" s="19">
        <f t="shared" si="55"/>
        <v>-0.42</v>
      </c>
      <c r="E707" s="19">
        <f>Solar!D707</f>
        <v>1360.75</v>
      </c>
      <c r="F707" s="30">
        <v>-0.37</v>
      </c>
      <c r="G707" s="20">
        <f t="shared" si="56"/>
        <v>-5.5498507439416533E-3</v>
      </c>
      <c r="H707" s="20">
        <f t="shared" si="57"/>
        <v>0.82827387339699499</v>
      </c>
      <c r="I707" s="20">
        <f t="shared" si="58"/>
        <v>3.1726126603006222E-2</v>
      </c>
      <c r="J707" s="20">
        <f t="shared" si="59"/>
        <v>0.89655586335361204</v>
      </c>
    </row>
    <row r="708" spans="1:10" ht="15" customHeight="1">
      <c r="A708" s="18" t="str">
        <f>Analysis!A708</f>
        <v>1/2017</v>
      </c>
      <c r="B708" s="19">
        <f>Analysis!E708</f>
        <v>1.0200000000000014</v>
      </c>
      <c r="C708" s="20">
        <f>Analysis!F708</f>
        <v>0.5373315704079159</v>
      </c>
      <c r="D708" s="19">
        <f t="shared" si="55"/>
        <v>-0.51</v>
      </c>
      <c r="E708" s="19">
        <f>Solar!D708</f>
        <v>1360.66</v>
      </c>
      <c r="F708" s="30">
        <v>-0.08</v>
      </c>
      <c r="G708" s="20">
        <f t="shared" si="56"/>
        <v>0.13772218112833368</v>
      </c>
      <c r="H708" s="20">
        <f t="shared" si="57"/>
        <v>0.83724937077438133</v>
      </c>
      <c r="I708" s="20">
        <f t="shared" si="58"/>
        <v>0.18275062922562002</v>
      </c>
      <c r="J708" s="20">
        <f t="shared" si="59"/>
        <v>1.0643892626436717</v>
      </c>
    </row>
    <row r="709" spans="1:10" ht="15" customHeight="1">
      <c r="A709" s="18" t="str">
        <f>Analysis!A709</f>
        <v>2/2017</v>
      </c>
      <c r="B709" s="19">
        <f>Analysis!E709</f>
        <v>1.1299999999999955</v>
      </c>
      <c r="C709" s="20">
        <f>Analysis!F709</f>
        <v>0.53839626385189021</v>
      </c>
      <c r="D709" s="19">
        <f t="shared" ref="D709:D772" si="60">IF(F706="","",F706)</f>
        <v>-0.49</v>
      </c>
      <c r="E709" s="19">
        <f>Solar!D709</f>
        <v>1360.67</v>
      </c>
      <c r="F709" s="30">
        <v>0.08</v>
      </c>
      <c r="G709" s="20">
        <f t="shared" si="56"/>
        <v>0.24481176563461238</v>
      </c>
      <c r="H709" s="20">
        <f t="shared" si="57"/>
        <v>0.84191462201767264</v>
      </c>
      <c r="I709" s="20">
        <f t="shared" si="58"/>
        <v>0.28808537798232281</v>
      </c>
      <c r="J709" s="20">
        <f t="shared" si="59"/>
        <v>1.1726485072458748</v>
      </c>
    </row>
    <row r="710" spans="1:10" ht="15" customHeight="1">
      <c r="A710" s="18" t="str">
        <f>Analysis!A710</f>
        <v>3/2017</v>
      </c>
      <c r="B710" s="19">
        <f>Analysis!E710</f>
        <v>1.1600000000000001</v>
      </c>
      <c r="C710" s="20">
        <f>Analysis!F710</f>
        <v>0.54151483946067869</v>
      </c>
      <c r="D710" s="19">
        <f t="shared" si="60"/>
        <v>-0.37</v>
      </c>
      <c r="E710" s="19">
        <f>Solar!D710</f>
        <v>1360.6</v>
      </c>
      <c r="F710" s="30">
        <v>0.27</v>
      </c>
      <c r="G710" s="20">
        <f t="shared" si="56"/>
        <v>0.2662869167013312</v>
      </c>
      <c r="H710" s="20">
        <f t="shared" si="57"/>
        <v>0.86092524585862795</v>
      </c>
      <c r="I710" s="20">
        <f t="shared" si="58"/>
        <v>0.29907475414137219</v>
      </c>
      <c r="J710" s="20">
        <f t="shared" si="59"/>
        <v>1.1922039748591335</v>
      </c>
    </row>
    <row r="711" spans="1:10" ht="15" customHeight="1">
      <c r="A711" s="18" t="str">
        <f>Analysis!A711</f>
        <v>4/2017</v>
      </c>
      <c r="B711" s="19">
        <f>Analysis!E711</f>
        <v>0.93999999999999773</v>
      </c>
      <c r="C711" s="20">
        <f>Analysis!F711</f>
        <v>0.54744982914396567</v>
      </c>
      <c r="D711" s="19">
        <f t="shared" si="60"/>
        <v>-0.08</v>
      </c>
      <c r="E711" s="19">
        <f>Solar!D711</f>
        <v>1360.66</v>
      </c>
      <c r="F711" s="30">
        <v>0.32</v>
      </c>
      <c r="G711" s="20">
        <f t="shared" si="56"/>
        <v>3.0063198947605119E-2</v>
      </c>
      <c r="H711" s="20">
        <f t="shared" si="57"/>
        <v>0.90246840589803268</v>
      </c>
      <c r="I711" s="20">
        <f t="shared" si="58"/>
        <v>3.7531594101965049E-2</v>
      </c>
      <c r="J711" s="20">
        <f t="shared" si="59"/>
        <v>0.94696302159116175</v>
      </c>
    </row>
    <row r="712" spans="1:10" ht="15" customHeight="1">
      <c r="A712" s="18" t="str">
        <f>Analysis!A712</f>
        <v>5/2017</v>
      </c>
      <c r="B712" s="19">
        <f>Analysis!E712</f>
        <v>0.91000000000000014</v>
      </c>
      <c r="C712" s="20">
        <f>Analysis!F712</f>
        <v>0.54980996610473554</v>
      </c>
      <c r="D712" s="19">
        <f t="shared" si="60"/>
        <v>0.08</v>
      </c>
      <c r="E712" s="19">
        <f>Solar!D712</f>
        <v>1360.71</v>
      </c>
      <c r="F712" s="30">
        <v>0.35</v>
      </c>
      <c r="G712" s="20">
        <f t="shared" si="56"/>
        <v>-6.3884038276235122E-3</v>
      </c>
      <c r="H712" s="20">
        <f t="shared" si="57"/>
        <v>0.92287726418140881</v>
      </c>
      <c r="I712" s="20">
        <f t="shared" si="58"/>
        <v>-1.2877264181408665E-2</v>
      </c>
      <c r="J712" s="20">
        <f t="shared" si="59"/>
        <v>0.90303697840883612</v>
      </c>
    </row>
    <row r="713" spans="1:10" ht="15" customHeight="1">
      <c r="A713" s="18" t="str">
        <f>Analysis!A713</f>
        <v>6/2017</v>
      </c>
      <c r="B713" s="19">
        <f>Analysis!E713</f>
        <v>0.71000000000000085</v>
      </c>
      <c r="C713" s="20">
        <f>Analysis!F713</f>
        <v>0.54695617814141118</v>
      </c>
      <c r="D713" s="19">
        <f t="shared" si="60"/>
        <v>0.27</v>
      </c>
      <c r="E713" s="19">
        <f>Solar!D713</f>
        <v>1360.75</v>
      </c>
      <c r="F713" s="30">
        <v>0.32</v>
      </c>
      <c r="G713" s="20">
        <f t="shared" si="56"/>
        <v>-0.19858737081549693</v>
      </c>
      <c r="H713" s="20">
        <f t="shared" si="57"/>
        <v>0.93157566668951741</v>
      </c>
      <c r="I713" s="20">
        <f t="shared" si="58"/>
        <v>-0.22157566668951656</v>
      </c>
      <c r="J713" s="20">
        <f t="shared" si="59"/>
        <v>0.68649980212982242</v>
      </c>
    </row>
    <row r="714" spans="1:10" ht="15" customHeight="1">
      <c r="A714" s="18" t="str">
        <f>Analysis!A714</f>
        <v>7/2017</v>
      </c>
      <c r="B714" s="19">
        <f>Analysis!E714</f>
        <v>0.82000000000000028</v>
      </c>
      <c r="C714" s="20">
        <f>Analysis!F714</f>
        <v>0.54077124608923599</v>
      </c>
      <c r="D714" s="19">
        <f t="shared" si="60"/>
        <v>0.32</v>
      </c>
      <c r="E714" s="19">
        <f>Solar!D714</f>
        <v>1360.59</v>
      </c>
      <c r="F714" s="30">
        <v>0.14000000000000001</v>
      </c>
      <c r="G714" s="20">
        <f t="shared" si="56"/>
        <v>-7.1680417763326898E-2</v>
      </c>
      <c r="H714" s="20">
        <f t="shared" si="57"/>
        <v>0.9189388076776982</v>
      </c>
      <c r="I714" s="20">
        <f t="shared" si="58"/>
        <v>-9.8938807677697915E-2</v>
      </c>
      <c r="J714" s="20">
        <f t="shared" si="59"/>
        <v>0.79214791363534443</v>
      </c>
    </row>
    <row r="715" spans="1:10" ht="15" customHeight="1">
      <c r="A715" s="18" t="str">
        <f>Analysis!A715</f>
        <v>8/2017</v>
      </c>
      <c r="B715" s="19">
        <f>Analysis!E715</f>
        <v>0.86999999999999744</v>
      </c>
      <c r="C715" s="20">
        <f>Analysis!F715</f>
        <v>0.53363453792318827</v>
      </c>
      <c r="D715" s="19">
        <f t="shared" si="60"/>
        <v>0.35</v>
      </c>
      <c r="E715" s="19">
        <f>Solar!D715</f>
        <v>1360.59</v>
      </c>
      <c r="F715" s="30">
        <v>-7.0000000000000007E-2</v>
      </c>
      <c r="G715" s="20">
        <f t="shared" si="56"/>
        <v>-2.1717167957943095E-3</v>
      </c>
      <c r="H715" s="20">
        <f t="shared" si="57"/>
        <v>0.90194685830940091</v>
      </c>
      <c r="I715" s="20">
        <f t="shared" si="58"/>
        <v>-3.194685830940347E-2</v>
      </c>
      <c r="J715" s="20">
        <f t="shared" si="59"/>
        <v>0.8395367805386551</v>
      </c>
    </row>
    <row r="716" spans="1:10" ht="15" customHeight="1">
      <c r="A716" s="18" t="str">
        <f>Analysis!A716</f>
        <v>9/2017</v>
      </c>
      <c r="B716" s="19">
        <f>Analysis!E716</f>
        <v>0.73999999999999666</v>
      </c>
      <c r="C716" s="20">
        <f>Analysis!F716</f>
        <v>0.52739210629320266</v>
      </c>
      <c r="D716" s="19">
        <f t="shared" si="60"/>
        <v>0.32</v>
      </c>
      <c r="E716" s="19">
        <f>Solar!D716</f>
        <v>1360.46</v>
      </c>
      <c r="F716" s="30">
        <v>-0.23</v>
      </c>
      <c r="G716" s="20">
        <f t="shared" si="56"/>
        <v>-0.11510758454515313</v>
      </c>
      <c r="H716" s="20">
        <f t="shared" si="57"/>
        <v>0.88218903808785776</v>
      </c>
      <c r="I716" s="20">
        <f t="shared" si="58"/>
        <v>-0.1421890380878611</v>
      </c>
      <c r="J716" s="20">
        <f t="shared" si="59"/>
        <v>0.7121479136353408</v>
      </c>
    </row>
    <row r="717" spans="1:10" ht="15" customHeight="1">
      <c r="A717" s="18" t="str">
        <f>Analysis!A717</f>
        <v>10/2017</v>
      </c>
      <c r="B717" s="19">
        <f>Analysis!E717</f>
        <v>0.88000000000000256</v>
      </c>
      <c r="C717" s="20">
        <f>Analysis!F717</f>
        <v>0.52828553765041275</v>
      </c>
      <c r="D717" s="19">
        <f t="shared" si="60"/>
        <v>0.14000000000000001</v>
      </c>
      <c r="E717" s="19">
        <f>Solar!D717</f>
        <v>1360.81</v>
      </c>
      <c r="F717" s="30">
        <v>-0.44</v>
      </c>
      <c r="G717" s="20">
        <f t="shared" si="56"/>
        <v>2.24501570946537E-2</v>
      </c>
      <c r="H717" s="20">
        <f t="shared" si="57"/>
        <v>0.86897631331385494</v>
      </c>
      <c r="I717" s="20">
        <f t="shared" si="58"/>
        <v>1.1023686686147616E-2</v>
      </c>
      <c r="J717" s="20">
        <f t="shared" si="59"/>
        <v>0.86781471221546558</v>
      </c>
    </row>
    <row r="718" spans="1:10" ht="15" customHeight="1">
      <c r="A718" s="18" t="str">
        <f>Analysis!A718</f>
        <v>11/2017</v>
      </c>
      <c r="B718" s="19">
        <f>Analysis!E718</f>
        <v>0.86999999999999744</v>
      </c>
      <c r="C718" s="20">
        <f>Analysis!F718</f>
        <v>0.53359894350795678</v>
      </c>
      <c r="D718" s="19">
        <f t="shared" si="60"/>
        <v>-7.0000000000000007E-2</v>
      </c>
      <c r="E718" s="19">
        <f>Solar!D718</f>
        <v>1360.76</v>
      </c>
      <c r="F718" s="30">
        <v>-0.61</v>
      </c>
      <c r="G718" s="20">
        <f t="shared" si="56"/>
        <v>-2.0744169221397213E-3</v>
      </c>
      <c r="H718" s="20">
        <f t="shared" si="57"/>
        <v>0.86529322435331602</v>
      </c>
      <c r="I718" s="20">
        <f t="shared" si="58"/>
        <v>4.706775646681427E-3</v>
      </c>
      <c r="J718" s="20">
        <f t="shared" si="59"/>
        <v>0.87609264389226593</v>
      </c>
    </row>
    <row r="719" spans="1:10" ht="15" customHeight="1">
      <c r="A719" s="18" t="str">
        <f>Analysis!A719</f>
        <v>12/2017</v>
      </c>
      <c r="B719" s="19">
        <f>Analysis!E719</f>
        <v>0.92999999999999794</v>
      </c>
      <c r="C719" s="20">
        <f>Analysis!F719</f>
        <v>0.53960196732128063</v>
      </c>
      <c r="D719" s="19">
        <f t="shared" si="60"/>
        <v>-0.23</v>
      </c>
      <c r="E719" s="19">
        <f>Solar!D719</f>
        <v>1360.66</v>
      </c>
      <c r="F719" s="30">
        <v>-0.76</v>
      </c>
      <c r="G719" s="20">
        <f t="shared" si="56"/>
        <v>4.1515889175526843E-2</v>
      </c>
      <c r="H719" s="20">
        <f t="shared" si="57"/>
        <v>0.86785626382840853</v>
      </c>
      <c r="I719" s="20">
        <f t="shared" si="58"/>
        <v>6.2143736171589414E-2</v>
      </c>
      <c r="J719" s="20">
        <f t="shared" si="59"/>
        <v>0.95001868707459436</v>
      </c>
    </row>
    <row r="720" spans="1:10" ht="15" customHeight="1">
      <c r="A720" s="18" t="str">
        <f>Analysis!A720</f>
        <v>1/2018</v>
      </c>
      <c r="B720" s="19">
        <f>Analysis!E720</f>
        <v>0.82000000000000028</v>
      </c>
      <c r="C720" s="20">
        <f>Analysis!F720</f>
        <v>0.54367263013850597</v>
      </c>
      <c r="D720" s="19">
        <f t="shared" si="60"/>
        <v>-0.44</v>
      </c>
      <c r="E720" s="19">
        <f>Solar!D720</f>
        <v>1360.61</v>
      </c>
      <c r="F720" s="30">
        <v>-0.71</v>
      </c>
      <c r="G720" s="20">
        <f t="shared" si="56"/>
        <v>-7.9611558072309463E-2</v>
      </c>
      <c r="H720" s="20">
        <f t="shared" si="57"/>
        <v>0.86075961307784876</v>
      </c>
      <c r="I720" s="20">
        <f t="shared" si="58"/>
        <v>-4.0759613077848478E-2</v>
      </c>
      <c r="J720" s="20">
        <f t="shared" si="59"/>
        <v>0.85829661875140217</v>
      </c>
    </row>
    <row r="721" spans="1:10" ht="15" customHeight="1">
      <c r="A721" s="18" t="str">
        <f>Analysis!A721</f>
        <v>2/2018</v>
      </c>
      <c r="B721" s="19">
        <f>Analysis!E721</f>
        <v>0.8500000000000032</v>
      </c>
      <c r="C721" s="20">
        <f>Analysis!F721</f>
        <v>0.54497988325580371</v>
      </c>
      <c r="D721" s="19">
        <f t="shared" si="60"/>
        <v>-0.61</v>
      </c>
      <c r="E721" s="19">
        <f>Solar!D721</f>
        <v>1360.53</v>
      </c>
      <c r="F721" s="30">
        <v>-0.67</v>
      </c>
      <c r="G721" s="20">
        <f t="shared" si="56"/>
        <v>-5.3185027739395818E-2</v>
      </c>
      <c r="H721" s="20">
        <f t="shared" si="57"/>
        <v>0.84955395001728407</v>
      </c>
      <c r="I721" s="20">
        <f t="shared" si="58"/>
        <v>4.4604998271913221E-4</v>
      </c>
      <c r="J721" s="20">
        <f t="shared" si="59"/>
        <v>0.90309303963262844</v>
      </c>
    </row>
    <row r="722" spans="1:10" ht="15" customHeight="1">
      <c r="A722" s="18" t="str">
        <f>Analysis!A722</f>
        <v>3/2018</v>
      </c>
      <c r="B722" s="19">
        <f>Analysis!E722</f>
        <v>0.88000000000000256</v>
      </c>
      <c r="C722" s="20">
        <f>Analysis!F722</f>
        <v>0.54875366569081085</v>
      </c>
      <c r="D722" s="19">
        <f t="shared" si="60"/>
        <v>-0.76</v>
      </c>
      <c r="E722" s="19">
        <f>Solar!D722</f>
        <v>1360.56</v>
      </c>
      <c r="F722" s="30">
        <v>-0.55000000000000004</v>
      </c>
      <c r="G722" s="20">
        <f t="shared" si="56"/>
        <v>-3.3500931280379231E-2</v>
      </c>
      <c r="H722" s="20">
        <f t="shared" si="57"/>
        <v>0.84686409557125586</v>
      </c>
      <c r="I722" s="20">
        <f t="shared" si="58"/>
        <v>3.3135904428746699E-2</v>
      </c>
      <c r="J722" s="20">
        <f t="shared" si="59"/>
        <v>0.94614870511606031</v>
      </c>
    </row>
    <row r="723" spans="1:10" ht="15" customHeight="1">
      <c r="A723" s="18" t="str">
        <f>Analysis!A723</f>
        <v>4/2018</v>
      </c>
      <c r="B723" s="19">
        <f>Analysis!E723</f>
        <v>0.88000000000000256</v>
      </c>
      <c r="C723" s="20">
        <f>Analysis!F723</f>
        <v>0.55177966000822387</v>
      </c>
      <c r="D723" s="19">
        <f t="shared" si="60"/>
        <v>-0.71</v>
      </c>
      <c r="E723" s="19">
        <f>Solar!D723</f>
        <v>1360.63</v>
      </c>
      <c r="F723" s="30">
        <v>-0.35</v>
      </c>
      <c r="G723" s="20">
        <f t="shared" si="56"/>
        <v>-4.1772702648125049E-2</v>
      </c>
      <c r="H723" s="20">
        <f t="shared" si="57"/>
        <v>0.85952777358586863</v>
      </c>
      <c r="I723" s="20">
        <f t="shared" si="58"/>
        <v>2.0472226414133932E-2</v>
      </c>
      <c r="J723" s="20">
        <f t="shared" si="59"/>
        <v>0.94179681662158277</v>
      </c>
    </row>
    <row r="724" spans="1:10" ht="15" customHeight="1">
      <c r="A724" s="18" t="str">
        <f>Analysis!A724</f>
        <v>5/2018</v>
      </c>
      <c r="B724" s="19">
        <f>Analysis!E724</f>
        <v>0.81000000000000227</v>
      </c>
      <c r="C724" s="20">
        <f>Analysis!F724</f>
        <v>0.55525523163276624</v>
      </c>
      <c r="D724" s="19">
        <f t="shared" si="60"/>
        <v>-0.67</v>
      </c>
      <c r="E724" s="19">
        <f>Solar!D724</f>
        <v>1360.69</v>
      </c>
      <c r="F724" s="30">
        <v>-7.0000000000000007E-2</v>
      </c>
      <c r="G724" s="20">
        <f t="shared" si="56"/>
        <v>-0.12127342566171595</v>
      </c>
      <c r="H724" s="20">
        <f t="shared" si="57"/>
        <v>0.8725559711148374</v>
      </c>
      <c r="I724" s="20">
        <f t="shared" si="58"/>
        <v>-6.2555971114835129E-2</v>
      </c>
      <c r="J724" s="20">
        <f t="shared" si="59"/>
        <v>0.86831530582600058</v>
      </c>
    </row>
    <row r="725" spans="1:10" ht="15" customHeight="1">
      <c r="A725" s="18" t="str">
        <f>Analysis!A725</f>
        <v>6/2018</v>
      </c>
      <c r="B725" s="19">
        <f>Analysis!E725</f>
        <v>0.77000000000000135</v>
      </c>
      <c r="C725" s="20">
        <f>Analysis!F725</f>
        <v>0.55367646424055572</v>
      </c>
      <c r="D725" s="19">
        <f t="shared" si="60"/>
        <v>-0.55000000000000004</v>
      </c>
      <c r="E725" s="19">
        <f>Solar!D725</f>
        <v>1360.73</v>
      </c>
      <c r="F725" s="30">
        <v>0.13</v>
      </c>
      <c r="G725" s="20">
        <f t="shared" si="56"/>
        <v>-0.15695775235193266</v>
      </c>
      <c r="H725" s="20">
        <f t="shared" si="57"/>
        <v>0.87866395131779573</v>
      </c>
      <c r="I725" s="20">
        <f t="shared" si="58"/>
        <v>-0.10866395131779438</v>
      </c>
      <c r="J725" s="20">
        <f t="shared" si="59"/>
        <v>0.81787077343925363</v>
      </c>
    </row>
    <row r="726" spans="1:10" ht="15" customHeight="1">
      <c r="A726" s="18" t="str">
        <f>Analysis!A726</f>
        <v>7/2018</v>
      </c>
      <c r="B726" s="19">
        <f>Analysis!E726</f>
        <v>0.83999999999999986</v>
      </c>
      <c r="C726" s="20">
        <f>Analysis!F726</f>
        <v>0.54632123569403679</v>
      </c>
      <c r="D726" s="19">
        <f t="shared" si="60"/>
        <v>-0.35</v>
      </c>
      <c r="E726" s="19">
        <f>Solar!D726</f>
        <v>1360.71</v>
      </c>
      <c r="F726" s="30">
        <v>0.2</v>
      </c>
      <c r="G726" s="20">
        <f t="shared" si="56"/>
        <v>-6.6851710333211245E-2</v>
      </c>
      <c r="H726" s="20">
        <f t="shared" si="57"/>
        <v>0.87586819189245346</v>
      </c>
      <c r="I726" s="20">
        <f t="shared" si="58"/>
        <v>-3.5868191892453605E-2</v>
      </c>
      <c r="J726" s="20">
        <f t="shared" si="59"/>
        <v>0.8704632194613422</v>
      </c>
    </row>
    <row r="727" spans="1:10" ht="15" customHeight="1">
      <c r="A727" s="18" t="str">
        <f>Analysis!A727</f>
        <v>8/2018</v>
      </c>
      <c r="B727" s="19">
        <f>Analysis!E727</f>
        <v>0.77999999999999758</v>
      </c>
      <c r="C727" s="20">
        <f>Analysis!F727</f>
        <v>0.54016900871244178</v>
      </c>
      <c r="D727" s="19">
        <f t="shared" si="60"/>
        <v>-7.0000000000000007E-2</v>
      </c>
      <c r="E727" s="19">
        <f>Solar!D727</f>
        <v>1360.66</v>
      </c>
      <c r="F727" s="30">
        <v>0.3</v>
      </c>
      <c r="G727" s="20">
        <f t="shared" si="56"/>
        <v>-0.11003415892494173</v>
      </c>
      <c r="H727" s="20">
        <f t="shared" si="57"/>
        <v>0.88333985411696014</v>
      </c>
      <c r="I727" s="20">
        <f t="shared" si="58"/>
        <v>-0.10333985411696256</v>
      </c>
      <c r="J727" s="20">
        <f t="shared" si="59"/>
        <v>0.78609264389226607</v>
      </c>
    </row>
    <row r="728" spans="1:10" ht="15" customHeight="1">
      <c r="A728" s="18" t="str">
        <f>Analysis!A728</f>
        <v>9/2018</v>
      </c>
      <c r="B728" s="19">
        <f>Analysis!E728</f>
        <v>0.79999999999999893</v>
      </c>
      <c r="C728" s="20">
        <f>Analysis!F728</f>
        <v>0.53502203557263439</v>
      </c>
      <c r="D728" s="19">
        <f t="shared" si="60"/>
        <v>0.13</v>
      </c>
      <c r="E728" s="19">
        <f>Solar!D728</f>
        <v>1360.65</v>
      </c>
      <c r="F728" s="30">
        <v>0.52</v>
      </c>
      <c r="G728" s="20">
        <f t="shared" si="56"/>
        <v>-7.5964540616861753E-2</v>
      </c>
      <c r="H728" s="20">
        <f t="shared" si="57"/>
        <v>0.88660972212576938</v>
      </c>
      <c r="I728" s="20">
        <f t="shared" si="58"/>
        <v>-8.660972212577045E-2</v>
      </c>
      <c r="J728" s="20">
        <f t="shared" si="59"/>
        <v>0.78868508991435748</v>
      </c>
    </row>
    <row r="729" spans="1:10" ht="15" customHeight="1">
      <c r="A729" s="18" t="str">
        <f>Analysis!A729</f>
        <v>10/2018</v>
      </c>
      <c r="B729" s="19">
        <f>Analysis!E729</f>
        <v>1.0200000000000014</v>
      </c>
      <c r="C729" s="20">
        <f>Analysis!F729</f>
        <v>0.53672789516201203</v>
      </c>
      <c r="D729" s="19">
        <f t="shared" si="60"/>
        <v>0.2</v>
      </c>
      <c r="E729" s="19">
        <f>Solar!D729</f>
        <v>1360.65</v>
      </c>
      <c r="F729" s="30">
        <v>0.82</v>
      </c>
      <c r="G729" s="20">
        <f t="shared" si="56"/>
        <v>0.139372370484523</v>
      </c>
      <c r="H729" s="20">
        <f t="shared" si="57"/>
        <v>0.89738801455882322</v>
      </c>
      <c r="I729" s="20">
        <f t="shared" si="58"/>
        <v>0.12261198544117813</v>
      </c>
      <c r="J729" s="20">
        <f t="shared" si="59"/>
        <v>1.0025924460220914</v>
      </c>
    </row>
    <row r="730" spans="1:10" ht="15" customHeight="1">
      <c r="A730" s="18" t="str">
        <f>Analysis!A730</f>
        <v>11/2018</v>
      </c>
      <c r="B730" s="19">
        <f>Analysis!E730</f>
        <v>0.83000000000000362</v>
      </c>
      <c r="C730" s="20">
        <f>Analysis!F730</f>
        <v>0.54388469761513192</v>
      </c>
      <c r="D730" s="19">
        <f t="shared" si="60"/>
        <v>0.3</v>
      </c>
      <c r="E730" s="19">
        <f>Solar!D730</f>
        <v>1360.62</v>
      </c>
      <c r="F730" s="30">
        <v>1.04</v>
      </c>
      <c r="G730" s="20">
        <f t="shared" si="56"/>
        <v>-7.0191259650425386E-2</v>
      </c>
      <c r="H730" s="20">
        <f t="shared" si="57"/>
        <v>0.92575006892299028</v>
      </c>
      <c r="I730" s="20">
        <f t="shared" si="58"/>
        <v>-9.5750068922986653E-2</v>
      </c>
      <c r="J730" s="20">
        <f t="shared" si="59"/>
        <v>0.80388866903313871</v>
      </c>
    </row>
    <row r="731" spans="1:10" ht="15" customHeight="1">
      <c r="A731" s="18" t="str">
        <f>Analysis!A731</f>
        <v>12/2018</v>
      </c>
      <c r="B731" s="19">
        <f>Analysis!E731</f>
        <v>0.92999999999999794</v>
      </c>
      <c r="C731" s="20">
        <f>Analysis!F731</f>
        <v>0.54762609214567415</v>
      </c>
      <c r="D731" s="19">
        <f t="shared" si="60"/>
        <v>0.52</v>
      </c>
      <c r="E731" s="19">
        <f>Solar!D731</f>
        <v>1360.63</v>
      </c>
      <c r="F731" s="30">
        <v>1.05</v>
      </c>
      <c r="G731" s="20">
        <f t="shared" si="56"/>
        <v>1.9581371456279473E-2</v>
      </c>
      <c r="H731" s="20">
        <f t="shared" si="57"/>
        <v>0.95517522636502805</v>
      </c>
      <c r="I731" s="20">
        <f t="shared" si="58"/>
        <v>-2.5175226365030112E-2</v>
      </c>
      <c r="J731" s="20">
        <f t="shared" si="59"/>
        <v>0.88474035965743214</v>
      </c>
    </row>
    <row r="732" spans="1:10" ht="15" customHeight="1">
      <c r="A732" s="18" t="str">
        <f>Analysis!A732</f>
        <v>1/2019</v>
      </c>
      <c r="B732" s="19">
        <f>Analysis!E732</f>
        <v>0.92999999999999794</v>
      </c>
      <c r="C732" s="20">
        <f>Analysis!F732</f>
        <v>0.55381686910097527</v>
      </c>
      <c r="D732" s="19">
        <f t="shared" si="60"/>
        <v>0.82</v>
      </c>
      <c r="E732" s="19">
        <f>Solar!D732</f>
        <v>1360.6</v>
      </c>
      <c r="F732" s="30">
        <v>0.99</v>
      </c>
      <c r="G732" s="20">
        <f t="shared" si="56"/>
        <v>2.6584409443871637E-3</v>
      </c>
      <c r="H732" s="20">
        <f t="shared" si="57"/>
        <v>0.99829135959555271</v>
      </c>
      <c r="I732" s="20">
        <f t="shared" si="58"/>
        <v>-6.8291359595554768E-2</v>
      </c>
      <c r="J732" s="20">
        <f t="shared" si="59"/>
        <v>0.85862902869056723</v>
      </c>
    </row>
    <row r="733" spans="1:10" ht="15" customHeight="1">
      <c r="A733" s="18" t="str">
        <f>Analysis!A733</f>
        <v>2/2019</v>
      </c>
      <c r="B733" s="19">
        <f>Analysis!E733</f>
        <v>0.95999999999999908</v>
      </c>
      <c r="C733" s="20">
        <f>Analysis!F733</f>
        <v>0.55707743595872172</v>
      </c>
      <c r="D733" s="19">
        <f t="shared" si="60"/>
        <v>1.04</v>
      </c>
      <c r="E733" s="19">
        <f>Solar!D733</f>
        <v>1360.62</v>
      </c>
      <c r="F733" s="30">
        <v>0.94</v>
      </c>
      <c r="G733" s="20">
        <f t="shared" si="56"/>
        <v>2.3745448801169133E-2</v>
      </c>
      <c r="H733" s="20">
        <f t="shared" si="57"/>
        <v>1.0263957814404558</v>
      </c>
      <c r="I733" s="20">
        <f t="shared" si="58"/>
        <v>-6.6395781440456769E-2</v>
      </c>
      <c r="J733" s="20">
        <f t="shared" si="59"/>
        <v>0.86948071931486748</v>
      </c>
    </row>
    <row r="734" spans="1:10" ht="15" customHeight="1">
      <c r="A734" s="18" t="str">
        <f>Analysis!A734</f>
        <v>3/2019</v>
      </c>
      <c r="B734" s="19">
        <f>Analysis!E734</f>
        <v>1.1699999999999964</v>
      </c>
      <c r="C734" s="20">
        <f>Analysis!F734</f>
        <v>0.55784767624929055</v>
      </c>
      <c r="D734" s="19">
        <f t="shared" si="60"/>
        <v>1.05</v>
      </c>
      <c r="E734" s="19">
        <f>Solar!D734</f>
        <v>1360.61</v>
      </c>
      <c r="F734" s="30">
        <v>0.87</v>
      </c>
      <c r="G734" s="20">
        <f t="shared" si="56"/>
        <v>0.23163994201116733</v>
      </c>
      <c r="H734" s="20">
        <f t="shared" si="57"/>
        <v>1.0293818521987517</v>
      </c>
      <c r="I734" s="20">
        <f t="shared" si="58"/>
        <v>0.14061814780124471</v>
      </c>
      <c r="J734" s="20">
        <f t="shared" si="59"/>
        <v>1.0786103416159691</v>
      </c>
    </row>
    <row r="735" spans="1:10" ht="15" customHeight="1">
      <c r="A735" s="18" t="str">
        <f>Analysis!A735</f>
        <v>4/2019</v>
      </c>
      <c r="B735" s="19">
        <f>Analysis!E735</f>
        <v>1.0099999999999998</v>
      </c>
      <c r="C735" s="20">
        <f>Analysis!F735</f>
        <v>0.56260005485176923</v>
      </c>
      <c r="D735" s="19">
        <f t="shared" si="60"/>
        <v>0.99</v>
      </c>
      <c r="E735" s="19">
        <f>Solar!D735</f>
        <v>1360.62</v>
      </c>
      <c r="F735" s="30">
        <v>0.82</v>
      </c>
      <c r="G735" s="20">
        <f t="shared" si="56"/>
        <v>5.8648976024731181E-2</v>
      </c>
      <c r="H735" s="20">
        <f t="shared" si="57"/>
        <v>1.0372134012212537</v>
      </c>
      <c r="I735" s="20">
        <f t="shared" si="58"/>
        <v>-2.721340122125393E-2</v>
      </c>
      <c r="J735" s="20">
        <f t="shared" si="59"/>
        <v>0.92383260780934562</v>
      </c>
    </row>
    <row r="736" spans="1:10" ht="15" customHeight="1">
      <c r="A736" s="18" t="str">
        <f>Analysis!A736</f>
        <v>5/2019</v>
      </c>
      <c r="B736" s="19">
        <f>Analysis!E736</f>
        <v>0.86000000000000121</v>
      </c>
      <c r="C736" s="20">
        <f>Analysis!F736</f>
        <v>0.5671977348752254</v>
      </c>
      <c r="D736" s="19">
        <f t="shared" si="60"/>
        <v>0.94</v>
      </c>
      <c r="E736" s="19">
        <f>Solar!D736</f>
        <v>1360.63</v>
      </c>
      <c r="F736" s="30">
        <v>0.71</v>
      </c>
      <c r="G736" s="20">
        <f t="shared" si="56"/>
        <v>-0.10391911035838908</v>
      </c>
      <c r="H736" s="20">
        <f t="shared" si="57"/>
        <v>1.0454904024824478</v>
      </c>
      <c r="I736" s="20">
        <f t="shared" si="58"/>
        <v>-0.18549040248244664</v>
      </c>
      <c r="J736" s="20">
        <f t="shared" si="59"/>
        <v>0.77818449630382458</v>
      </c>
    </row>
    <row r="737" spans="1:10" ht="15" customHeight="1">
      <c r="A737" s="18" t="str">
        <f>Analysis!A737</f>
        <v>6/2019</v>
      </c>
      <c r="B737" s="19">
        <f>Analysis!E737</f>
        <v>0.89999999999999858</v>
      </c>
      <c r="C737" s="20">
        <f>Analysis!F737</f>
        <v>0.56472656147689648</v>
      </c>
      <c r="D737" s="19">
        <f t="shared" si="60"/>
        <v>0.87</v>
      </c>
      <c r="E737" s="19">
        <f>Solar!D737</f>
        <v>1360.71</v>
      </c>
      <c r="F737" s="30">
        <v>0.59</v>
      </c>
      <c r="G737" s="20">
        <f t="shared" si="56"/>
        <v>-5.7163981558775112E-2</v>
      </c>
      <c r="H737" s="20">
        <f t="shared" si="57"/>
        <v>1.0326099490306997</v>
      </c>
      <c r="I737" s="20">
        <f t="shared" si="58"/>
        <v>-0.13260994903070111</v>
      </c>
      <c r="J737" s="20">
        <f t="shared" si="59"/>
        <v>0.82427714019609033</v>
      </c>
    </row>
    <row r="738" spans="1:10" ht="15" customHeight="1">
      <c r="A738" s="18" t="str">
        <f>Analysis!A738</f>
        <v>7/2019</v>
      </c>
      <c r="B738" s="19">
        <f>Analysis!E738</f>
        <v>0.93999999999999773</v>
      </c>
      <c r="C738" s="20">
        <f>Analysis!F738</f>
        <v>0.55707743595872172</v>
      </c>
      <c r="D738" s="19">
        <f t="shared" si="60"/>
        <v>0.82</v>
      </c>
      <c r="E738" s="19">
        <f>Solar!D738</f>
        <v>1360.68</v>
      </c>
      <c r="F738" s="30">
        <v>0.38</v>
      </c>
      <c r="G738" s="20">
        <f t="shared" si="56"/>
        <v>3.7454488011677833E-3</v>
      </c>
      <c r="H738" s="20">
        <f t="shared" si="57"/>
        <v>1.0072474720647548</v>
      </c>
      <c r="I738" s="20">
        <f t="shared" si="58"/>
        <v>-6.7247472064757119E-2</v>
      </c>
      <c r="J738" s="20">
        <f t="shared" si="59"/>
        <v>0.86862902869056702</v>
      </c>
    </row>
    <row r="739" spans="1:10" ht="15" customHeight="1">
      <c r="A739" s="18" t="str">
        <f>Analysis!A739</f>
        <v>8/2019</v>
      </c>
      <c r="B739" s="19">
        <f>Analysis!E739</f>
        <v>0.94999999999999751</v>
      </c>
      <c r="C739" s="20">
        <f>Analysis!F739</f>
        <v>0.55079514920632977</v>
      </c>
      <c r="D739" s="19">
        <f t="shared" si="60"/>
        <v>0.71</v>
      </c>
      <c r="E739" s="19">
        <f>Solar!D739</f>
        <v>1360.66</v>
      </c>
      <c r="F739" s="30">
        <v>0.2</v>
      </c>
      <c r="G739" s="20">
        <f t="shared" si="56"/>
        <v>3.0918527872522694E-2</v>
      </c>
      <c r="H739" s="20">
        <f t="shared" si="57"/>
        <v>0.98041715635553883</v>
      </c>
      <c r="I739" s="20">
        <f t="shared" si="58"/>
        <v>-3.0417156355541319E-2</v>
      </c>
      <c r="J739" s="20">
        <f t="shared" si="59"/>
        <v>0.8882031833784173</v>
      </c>
    </row>
    <row r="740" spans="1:10" ht="15" customHeight="1">
      <c r="A740" s="18" t="str">
        <f>Analysis!A740</f>
        <v>9/2019</v>
      </c>
      <c r="B740" s="19">
        <f>Analysis!E740</f>
        <v>0.92999999999999794</v>
      </c>
      <c r="C740" s="20">
        <f>Analysis!F740</f>
        <v>0.54582719830025894</v>
      </c>
      <c r="D740" s="19">
        <f t="shared" si="60"/>
        <v>0.59</v>
      </c>
      <c r="E740" s="19">
        <f>Solar!D740</f>
        <v>1360.63</v>
      </c>
      <c r="F740" s="30">
        <v>0.31</v>
      </c>
      <c r="G740" s="20">
        <f t="shared" si="56"/>
        <v>2.4498776131659405E-2</v>
      </c>
      <c r="H740" s="20">
        <f t="shared" si="57"/>
        <v>0.95632667558085016</v>
      </c>
      <c r="I740" s="20">
        <f t="shared" si="58"/>
        <v>-2.6326675580852221E-2</v>
      </c>
      <c r="J740" s="20">
        <f t="shared" si="59"/>
        <v>0.87864771576516365</v>
      </c>
    </row>
    <row r="741" spans="1:10" ht="15" customHeight="1">
      <c r="A741" s="18" t="str">
        <f>Analysis!A741</f>
        <v>10/2019</v>
      </c>
      <c r="B741" s="19">
        <f>Analysis!E741</f>
        <v>1</v>
      </c>
      <c r="C741" s="20">
        <f>Analysis!F741</f>
        <v>0.54575660771720447</v>
      </c>
      <c r="D741" s="19">
        <f t="shared" si="60"/>
        <v>0.38</v>
      </c>
      <c r="E741" s="19">
        <f>Solar!D741</f>
        <v>1360.66</v>
      </c>
      <c r="F741" s="30">
        <v>0.51</v>
      </c>
      <c r="G741" s="20">
        <f t="shared" si="56"/>
        <v>9.4691740526995027E-2</v>
      </c>
      <c r="H741" s="20">
        <f t="shared" si="57"/>
        <v>0.93785484596277102</v>
      </c>
      <c r="I741" s="20">
        <f t="shared" si="58"/>
        <v>6.2145154037228978E-2</v>
      </c>
      <c r="J741" s="20">
        <f t="shared" si="59"/>
        <v>0.96692564744197118</v>
      </c>
    </row>
    <row r="742" spans="1:10" ht="15" customHeight="1">
      <c r="A742" s="18" t="str">
        <f>Analysis!A742</f>
        <v>11/2019</v>
      </c>
      <c r="B742" s="19">
        <f>Analysis!E742</f>
        <v>0.99000000000000021</v>
      </c>
      <c r="C742" s="20">
        <f>Analysis!F742</f>
        <v>0.55184995650684376</v>
      </c>
      <c r="D742" s="19">
        <f t="shared" si="60"/>
        <v>0.2</v>
      </c>
      <c r="E742" s="19">
        <f>Solar!D742</f>
        <v>1360.69</v>
      </c>
      <c r="F742" s="30">
        <v>0.72</v>
      </c>
      <c r="G742" s="20">
        <f t="shared" si="56"/>
        <v>6.8035136857323431E-2</v>
      </c>
      <c r="H742" s="20">
        <f t="shared" si="57"/>
        <v>0.93892523433664199</v>
      </c>
      <c r="I742" s="20">
        <f t="shared" si="58"/>
        <v>5.1074765663358224E-2</v>
      </c>
      <c r="J742" s="20">
        <f t="shared" si="59"/>
        <v>0.97259244602209027</v>
      </c>
    </row>
    <row r="743" spans="1:10" ht="15" customHeight="1">
      <c r="A743" s="18" t="str">
        <f>Analysis!A743</f>
        <v>12/2019</v>
      </c>
      <c r="B743" s="19">
        <f>Analysis!E743</f>
        <v>1.120000000000001</v>
      </c>
      <c r="C743" s="20">
        <f>Analysis!F743</f>
        <v>0.55711245580363478</v>
      </c>
      <c r="D743" s="19">
        <f t="shared" si="60"/>
        <v>0.31</v>
      </c>
      <c r="E743" s="19">
        <f>Solar!D743</f>
        <v>1360.67</v>
      </c>
      <c r="F743" s="30">
        <v>0.75</v>
      </c>
      <c r="G743" s="20">
        <f t="shared" si="56"/>
        <v>0.18364971955647691</v>
      </c>
      <c r="H743" s="20">
        <f t="shared" si="57"/>
        <v>0.96295440179602398</v>
      </c>
      <c r="I743" s="20">
        <f t="shared" si="58"/>
        <v>0.15704559820397701</v>
      </c>
      <c r="J743" s="20">
        <f t="shared" si="59"/>
        <v>1.0930182913342406</v>
      </c>
    </row>
    <row r="744" spans="1:10" ht="15" customHeight="1">
      <c r="A744" s="18" t="str">
        <f>Analysis!A744</f>
        <v>1/2020</v>
      </c>
      <c r="B744" s="19">
        <f>Analysis!E744</f>
        <v>1.1799999999999997</v>
      </c>
      <c r="C744" s="20">
        <f>Analysis!F744</f>
        <v>0.56277447665277325</v>
      </c>
      <c r="D744" s="19">
        <f t="shared" si="60"/>
        <v>0.51</v>
      </c>
      <c r="E744" s="19">
        <f>Solar!D744</f>
        <v>1360.65</v>
      </c>
      <c r="F744" s="30">
        <v>0.71</v>
      </c>
      <c r="G744" s="20">
        <f t="shared" si="56"/>
        <v>0.22817218158689856</v>
      </c>
      <c r="H744" s="20">
        <f t="shared" si="57"/>
        <v>0.99591437280454143</v>
      </c>
      <c r="I744" s="20">
        <f t="shared" si="58"/>
        <v>0.18408562719545829</v>
      </c>
      <c r="J744" s="20">
        <f t="shared" si="59"/>
        <v>1.1356107373563293</v>
      </c>
    </row>
    <row r="745" spans="1:10" ht="15" customHeight="1">
      <c r="A745" s="18" t="str">
        <f>Analysis!A745</f>
        <v>2/2020</v>
      </c>
      <c r="B745" s="19">
        <f>Analysis!E745</f>
        <v>1.240000000000002</v>
      </c>
      <c r="C745" s="20">
        <f>Analysis!F745</f>
        <v>0.5653186364111572</v>
      </c>
      <c r="D745" s="19">
        <f t="shared" si="60"/>
        <v>0.72</v>
      </c>
      <c r="E745" s="19">
        <f>Solar!D745</f>
        <v>1360.62</v>
      </c>
      <c r="F745" s="30">
        <v>0.66</v>
      </c>
      <c r="G745" s="20">
        <f t="shared" si="56"/>
        <v>0.28121753936458382</v>
      </c>
      <c r="H745" s="20">
        <f t="shared" si="57"/>
        <v>1.0211805926931254</v>
      </c>
      <c r="I745" s="20">
        <f t="shared" si="58"/>
        <v>0.21881940730687655</v>
      </c>
      <c r="J745" s="20">
        <f t="shared" si="59"/>
        <v>1.1773328056795263</v>
      </c>
    </row>
    <row r="746" spans="1:10" ht="15" customHeight="1">
      <c r="A746" s="18" t="str">
        <f>Analysis!A746</f>
        <v>3/2020</v>
      </c>
      <c r="B746" s="19">
        <f>Analysis!E746</f>
        <v>1.1799999999999997</v>
      </c>
      <c r="C746" s="20">
        <f>Analysis!F746</f>
        <v>0.56671079616493381</v>
      </c>
      <c r="D746" s="19">
        <f t="shared" si="60"/>
        <v>0.75</v>
      </c>
      <c r="E746" s="19">
        <f>Solar!D746</f>
        <v>1360.64</v>
      </c>
      <c r="F746" s="30">
        <v>0.56999999999999995</v>
      </c>
      <c r="G746" s="20">
        <f t="shared" si="56"/>
        <v>0.21741197134868961</v>
      </c>
      <c r="H746" s="20">
        <f t="shared" si="57"/>
        <v>1.0276157048320749</v>
      </c>
      <c r="I746" s="20">
        <f t="shared" si="58"/>
        <v>0.15238429516792484</v>
      </c>
      <c r="J746" s="20">
        <f t="shared" si="59"/>
        <v>1.1147216725828375</v>
      </c>
    </row>
    <row r="747" spans="1:10" ht="15" customHeight="1">
      <c r="A747" s="18" t="str">
        <f>Analysis!A747</f>
        <v>4/2020</v>
      </c>
      <c r="B747" s="19">
        <f>Analysis!E747</f>
        <v>1.120000000000001</v>
      </c>
      <c r="C747" s="20">
        <f>Analysis!F747</f>
        <v>0.57261253351296471</v>
      </c>
      <c r="D747" s="19">
        <f t="shared" si="60"/>
        <v>0.71</v>
      </c>
      <c r="E747" s="19">
        <f>Solar!D747</f>
        <v>1360.68</v>
      </c>
      <c r="F747" s="30">
        <v>0.33</v>
      </c>
      <c r="G747" s="20">
        <f t="shared" si="56"/>
        <v>0.14127915122590429</v>
      </c>
      <c r="H747" s="20">
        <f t="shared" si="57"/>
        <v>1.0403450634216975</v>
      </c>
      <c r="I747" s="20">
        <f t="shared" si="58"/>
        <v>7.965493657830347E-2</v>
      </c>
      <c r="J747" s="20">
        <f t="shared" si="59"/>
        <v>1.0582031833784207</v>
      </c>
    </row>
    <row r="748" spans="1:10" ht="15" customHeight="1">
      <c r="A748" s="18" t="str">
        <f>Analysis!A748</f>
        <v>5/2020</v>
      </c>
      <c r="B748" s="19">
        <f>Analysis!E748</f>
        <v>0.99000000000000021</v>
      </c>
      <c r="C748" s="20">
        <f>Analysis!F748</f>
        <v>0.57558894751138634</v>
      </c>
      <c r="D748" s="19">
        <f t="shared" si="60"/>
        <v>0.66</v>
      </c>
      <c r="E748" s="19">
        <f>Solar!D748</f>
        <v>1360.74</v>
      </c>
      <c r="F748" s="30">
        <v>0.04</v>
      </c>
      <c r="G748" s="20">
        <f t="shared" si="56"/>
        <v>3.1429111976172264E-3</v>
      </c>
      <c r="H748" s="20">
        <f t="shared" si="57"/>
        <v>1.0441687774183759</v>
      </c>
      <c r="I748" s="20">
        <f t="shared" si="58"/>
        <v>-5.4168777418375669E-2</v>
      </c>
      <c r="J748" s="20">
        <f t="shared" si="59"/>
        <v>0.93255507187289743</v>
      </c>
    </row>
    <row r="749" spans="1:10" ht="15" customHeight="1">
      <c r="A749" s="18" t="str">
        <f>Analysis!A749</f>
        <v>6/2020</v>
      </c>
      <c r="B749" s="19">
        <f>Analysis!E749</f>
        <v>0.91000000000000014</v>
      </c>
      <c r="C749" s="20">
        <f>Analysis!F749</f>
        <v>0.57316675010211449</v>
      </c>
      <c r="D749" s="19">
        <f t="shared" si="60"/>
        <v>0.56999999999999995</v>
      </c>
      <c r="E749" s="19">
        <f>Solar!D749</f>
        <v>1360.75</v>
      </c>
      <c r="F749" s="30">
        <v>-0.18</v>
      </c>
      <c r="G749" s="20">
        <f t="shared" si="56"/>
        <v>-7.0235839363232411E-2</v>
      </c>
      <c r="H749" s="20">
        <f t="shared" si="57"/>
        <v>1.0296820956266832</v>
      </c>
      <c r="I749" s="20">
        <f t="shared" si="58"/>
        <v>-0.11968209562668308</v>
      </c>
      <c r="J749" s="20">
        <f t="shared" si="59"/>
        <v>0.8603884711629568</v>
      </c>
    </row>
    <row r="750" spans="1:10" ht="15" customHeight="1">
      <c r="A750" s="18" t="str">
        <f>Analysis!A750</f>
        <v>7/2020</v>
      </c>
      <c r="B750" s="19">
        <f>Analysis!E750</f>
        <v>0.8900000000000059</v>
      </c>
      <c r="C750" s="20">
        <f>Analysis!F750</f>
        <v>0.56622369304750153</v>
      </c>
      <c r="D750" s="19">
        <f t="shared" si="60"/>
        <v>0.33</v>
      </c>
      <c r="E750" s="19">
        <f>Solar!D750</f>
        <v>1360.73</v>
      </c>
      <c r="F750" s="30">
        <v>-0.28999999999999998</v>
      </c>
      <c r="G750" s="20">
        <f t="shared" si="56"/>
        <v>-7.1256497525574614E-2</v>
      </c>
      <c r="H750" s="20">
        <f t="shared" si="57"/>
        <v>0.98972186851420529</v>
      </c>
      <c r="I750" s="20">
        <f t="shared" si="58"/>
        <v>-9.9721868514199397E-2</v>
      </c>
      <c r="J750" s="20">
        <f t="shared" si="59"/>
        <v>0.86127753593645451</v>
      </c>
    </row>
    <row r="751" spans="1:10" ht="15" customHeight="1">
      <c r="A751" s="18" t="str">
        <f>Analysis!A751</f>
        <v>8/2020</v>
      </c>
      <c r="B751" s="19">
        <f>Analysis!E751</f>
        <v>0.86000000000000121</v>
      </c>
      <c r="C751" s="20">
        <f>Analysis!F751</f>
        <v>0.55984138796829153</v>
      </c>
      <c r="D751" s="19">
        <f t="shared" si="60"/>
        <v>0.04</v>
      </c>
      <c r="E751" s="19">
        <f>Solar!D751</f>
        <v>1360.81</v>
      </c>
      <c r="F751" s="30">
        <v>-0.43</v>
      </c>
      <c r="G751" s="20">
        <f t="shared" si="56"/>
        <v>-8.3810011221678082E-2</v>
      </c>
      <c r="H751" s="20">
        <f t="shared" si="57"/>
        <v>0.94695002427052666</v>
      </c>
      <c r="I751" s="20">
        <f t="shared" si="58"/>
        <v>-8.695002427052545E-2</v>
      </c>
      <c r="J751" s="20">
        <f t="shared" si="59"/>
        <v>0.8565184892044192</v>
      </c>
    </row>
    <row r="752" spans="1:10" ht="15" customHeight="1">
      <c r="A752" s="18" t="str">
        <f>Analysis!A752</f>
        <v>9/2020</v>
      </c>
      <c r="B752" s="19">
        <f>Analysis!E752</f>
        <v>0.95999999999999908</v>
      </c>
      <c r="C752" s="20">
        <f>Analysis!F752</f>
        <v>0.5554656034766593</v>
      </c>
      <c r="D752" s="19">
        <f t="shared" si="60"/>
        <v>-0.18</v>
      </c>
      <c r="E752" s="19">
        <f>Solar!D752</f>
        <v>1360.76</v>
      </c>
      <c r="F752" s="30">
        <v>-0.77</v>
      </c>
      <c r="G752" s="20">
        <f t="shared" si="56"/>
        <v>2.8151507893218297E-2</v>
      </c>
      <c r="H752" s="20">
        <f t="shared" si="57"/>
        <v>0.91578232693014061</v>
      </c>
      <c r="I752" s="20">
        <f t="shared" si="58"/>
        <v>4.4217673069858465E-2</v>
      </c>
      <c r="J752" s="20">
        <f t="shared" si="59"/>
        <v>0.97566679858011807</v>
      </c>
    </row>
    <row r="753" spans="1:10" ht="15" customHeight="1">
      <c r="A753" s="18" t="str">
        <f>Analysis!A753</f>
        <v>10/2020</v>
      </c>
      <c r="B753" s="19">
        <f>Analysis!E753</f>
        <v>0.86999999999999744</v>
      </c>
      <c r="C753" s="20">
        <f>Analysis!F753</f>
        <v>0.55543054363289546</v>
      </c>
      <c r="D753" s="19">
        <f t="shared" si="60"/>
        <v>-0.28999999999999998</v>
      </c>
      <c r="E753" s="19">
        <f>Solar!D753</f>
        <v>1360.8</v>
      </c>
      <c r="F753" s="30">
        <v>-1</v>
      </c>
      <c r="G753" s="20">
        <f t="shared" si="56"/>
        <v>-6.1752653522376799E-2</v>
      </c>
      <c r="H753" s="20">
        <f t="shared" si="57"/>
        <v>0.90611186999866178</v>
      </c>
      <c r="I753" s="20">
        <f t="shared" si="58"/>
        <v>-3.6111869998664337E-2</v>
      </c>
      <c r="J753" s="20">
        <f t="shared" si="59"/>
        <v>0.89524095326796682</v>
      </c>
    </row>
    <row r="754" spans="1:10" ht="15" customHeight="1">
      <c r="A754" s="18" t="str">
        <f>Analysis!A754</f>
        <v>11/2020</v>
      </c>
      <c r="B754" s="19">
        <f>Analysis!E754</f>
        <v>1.0899999999999999</v>
      </c>
      <c r="C754" s="20">
        <f>Analysis!F754</f>
        <v>0.56106423302379171</v>
      </c>
      <c r="D754" s="19">
        <f t="shared" si="60"/>
        <v>-0.43</v>
      </c>
      <c r="E754" s="19">
        <f>Solar!D754</f>
        <v>1360.8</v>
      </c>
      <c r="F754" s="30">
        <v>-1.1100000000000001</v>
      </c>
      <c r="G754" s="20">
        <f t="shared" si="56"/>
        <v>0.14284725457056957</v>
      </c>
      <c r="H754" s="20">
        <f t="shared" si="57"/>
        <v>0.9094011785045043</v>
      </c>
      <c r="I754" s="20">
        <f t="shared" si="58"/>
        <v>0.18059882149549555</v>
      </c>
      <c r="J754" s="20">
        <f t="shared" si="59"/>
        <v>1.1274262410525062</v>
      </c>
    </row>
    <row r="755" spans="1:10" ht="15" customHeight="1">
      <c r="A755" s="18" t="str">
        <f>Analysis!A755</f>
        <v>12/2020</v>
      </c>
      <c r="B755" s="19">
        <f>Analysis!E755</f>
        <v>0.79999999999999893</v>
      </c>
      <c r="C755" s="20">
        <f>Analysis!F755</f>
        <v>0.56500521524359781</v>
      </c>
      <c r="D755" s="19">
        <f t="shared" si="60"/>
        <v>-0.77</v>
      </c>
      <c r="E755" s="19">
        <f>Solar!D755</f>
        <v>1361</v>
      </c>
      <c r="F755" s="30">
        <v>-1.06</v>
      </c>
      <c r="G755" s="20">
        <f t="shared" si="56"/>
        <v>-0.15792570151166785</v>
      </c>
      <c r="H755" s="20">
        <f t="shared" si="57"/>
        <v>0.89063341150347586</v>
      </c>
      <c r="I755" s="20">
        <f t="shared" si="58"/>
        <v>-9.0633411503476924E-2</v>
      </c>
      <c r="J755" s="20">
        <f t="shared" si="59"/>
        <v>0.86701908281495221</v>
      </c>
    </row>
    <row r="756" spans="1:10" ht="15" customHeight="1">
      <c r="A756" s="18" t="str">
        <f>Analysis!A756</f>
        <v>1/2021</v>
      </c>
      <c r="B756" s="19">
        <f>Analysis!E756</f>
        <v>0.82000000000000028</v>
      </c>
      <c r="C756" s="20">
        <f>Analysis!F756</f>
        <v>0.56938692750523079</v>
      </c>
      <c r="D756" s="19">
        <f t="shared" si="60"/>
        <v>-1</v>
      </c>
      <c r="E756" s="19">
        <f>Solar!D756</f>
        <v>1360.9</v>
      </c>
      <c r="F756" s="30">
        <v>-0.99</v>
      </c>
      <c r="G756" s="20">
        <f t="shared" si="56"/>
        <v>-0.14990342460880146</v>
      </c>
      <c r="H756" s="20">
        <f t="shared" si="57"/>
        <v>0.88265039476933971</v>
      </c>
      <c r="I756" s="20">
        <f t="shared" si="58"/>
        <v>-6.2650394769339424E-2</v>
      </c>
      <c r="J756" s="20">
        <f t="shared" si="59"/>
        <v>0.90703776988954998</v>
      </c>
    </row>
    <row r="757" spans="1:10" ht="15" customHeight="1">
      <c r="A757" s="18" t="str">
        <f>Analysis!A757</f>
        <v>2/2021</v>
      </c>
      <c r="B757" s="19">
        <f>Analysis!E757</f>
        <v>0.64000000000000234</v>
      </c>
      <c r="C757" s="20">
        <f>Analysis!F757</f>
        <v>0.57365151503101131</v>
      </c>
      <c r="D757" s="19">
        <f t="shared" si="60"/>
        <v>-1.1100000000000001</v>
      </c>
      <c r="E757" s="19">
        <f>Solar!D757</f>
        <v>1360.79</v>
      </c>
      <c r="F757" s="30">
        <v>-0.85</v>
      </c>
      <c r="G757" s="20">
        <f t="shared" si="56"/>
        <v>-0.3415609788837709</v>
      </c>
      <c r="H757" s="20">
        <f t="shared" si="57"/>
        <v>0.88479019264924763</v>
      </c>
      <c r="I757" s="20">
        <f t="shared" si="58"/>
        <v>-0.24479019264924529</v>
      </c>
      <c r="J757" s="20">
        <f t="shared" si="59"/>
        <v>0.73661192457740243</v>
      </c>
    </row>
    <row r="758" spans="1:10" ht="15" customHeight="1">
      <c r="A758" s="18" t="str">
        <f>Analysis!A758</f>
        <v>3/2021</v>
      </c>
      <c r="B758" s="19">
        <f>Analysis!E758</f>
        <v>0.8900000000000059</v>
      </c>
      <c r="C758" s="20">
        <f>Analysis!F758</f>
        <v>0.57672943161896173</v>
      </c>
      <c r="D758" s="19">
        <f t="shared" si="60"/>
        <v>-1.06</v>
      </c>
      <c r="E758" s="19">
        <f>Solar!D758</f>
        <v>1360.86</v>
      </c>
      <c r="F758" s="30">
        <v>-0.74</v>
      </c>
      <c r="G758" s="20">
        <f t="shared" si="56"/>
        <v>-9.9974683482619731E-2</v>
      </c>
      <c r="H758" s="20">
        <f t="shared" si="57"/>
        <v>0.89759649055631374</v>
      </c>
      <c r="I758" s="20">
        <f t="shared" si="58"/>
        <v>-7.5964905563078444E-3</v>
      </c>
      <c r="J758" s="20">
        <f t="shared" si="59"/>
        <v>0.98226003608292856</v>
      </c>
    </row>
    <row r="759" spans="1:10" ht="15" customHeight="1">
      <c r="A759" s="18" t="str">
        <f>Analysis!A759</f>
        <v>4/2021</v>
      </c>
      <c r="B759" s="19">
        <f>Analysis!E759</f>
        <v>0.75999999999999801</v>
      </c>
      <c r="C759" s="20">
        <f>Analysis!F759</f>
        <v>0.58155784820606116</v>
      </c>
      <c r="D759" s="19">
        <f t="shared" si="60"/>
        <v>-0.99</v>
      </c>
      <c r="E759" s="19">
        <f>Solar!D759</f>
        <v>1360.86</v>
      </c>
      <c r="F759" s="30">
        <v>-0.56000000000000005</v>
      </c>
      <c r="G759" s="20">
        <f t="shared" si="56"/>
        <v>-0.2431735047252479</v>
      </c>
      <c r="H759" s="20">
        <f t="shared" si="57"/>
        <v>0.9169518105073432</v>
      </c>
      <c r="I759" s="20">
        <f t="shared" si="58"/>
        <v>-0.15695181050734519</v>
      </c>
      <c r="J759" s="20">
        <f t="shared" si="59"/>
        <v>0.84616739219065218</v>
      </c>
    </row>
    <row r="760" spans="1:10" ht="15" customHeight="1">
      <c r="A760" s="18" t="str">
        <f>Analysis!A760</f>
        <v>5/2021</v>
      </c>
      <c r="B760" s="19">
        <f>Analysis!E760</f>
        <v>0.79000000000000092</v>
      </c>
      <c r="C760" s="20">
        <f>Analysis!F760</f>
        <v>0.58183327024071485</v>
      </c>
      <c r="D760" s="19">
        <f t="shared" si="60"/>
        <v>-0.85</v>
      </c>
      <c r="E760" s="19">
        <f>Solar!D760</f>
        <v>1360.91</v>
      </c>
      <c r="F760" s="30">
        <v>-0.4</v>
      </c>
      <c r="G760" s="20">
        <f t="shared" si="56"/>
        <v>-0.21392639050800533</v>
      </c>
      <c r="H760" s="20">
        <f t="shared" si="57"/>
        <v>0.92989362647439389</v>
      </c>
      <c r="I760" s="20">
        <f t="shared" si="58"/>
        <v>-0.13989362647439296</v>
      </c>
      <c r="J760" s="20">
        <f t="shared" si="59"/>
        <v>0.86398210440611811</v>
      </c>
    </row>
    <row r="761" spans="1:10" ht="15" customHeight="1">
      <c r="A761" s="18" t="str">
        <f>Analysis!A761</f>
        <v>6/2021</v>
      </c>
      <c r="B761" s="19">
        <f>Analysis!E761</f>
        <v>0.8500000000000032</v>
      </c>
      <c r="C761" s="20">
        <f>Analysis!F761</f>
        <v>0.5812823735810958</v>
      </c>
      <c r="D761" s="19">
        <f t="shared" si="60"/>
        <v>-0.74</v>
      </c>
      <c r="E761" s="19">
        <f>Solar!D761</f>
        <v>1361.03</v>
      </c>
      <c r="F761" s="30">
        <v>-0.31</v>
      </c>
      <c r="G761" s="20">
        <f t="shared" si="56"/>
        <v>-0.15242047518311264</v>
      </c>
      <c r="H761" s="20">
        <f t="shared" si="57"/>
        <v>0.93795458034235191</v>
      </c>
      <c r="I761" s="20">
        <f t="shared" si="58"/>
        <v>-8.7954580342348709E-2</v>
      </c>
      <c r="J761" s="20">
        <f t="shared" si="59"/>
        <v>0.91440794971827</v>
      </c>
    </row>
    <row r="762" spans="1:10" ht="15" customHeight="1">
      <c r="A762" s="18" t="str">
        <f>Analysis!A762</f>
        <v>7/2021</v>
      </c>
      <c r="B762" s="19">
        <f>Analysis!E762</f>
        <v>0.91999999999999993</v>
      </c>
      <c r="C762" s="20">
        <f>Analysis!F762</f>
        <v>0.57427454497606012</v>
      </c>
      <c r="D762" s="19">
        <f t="shared" si="60"/>
        <v>-0.56000000000000005</v>
      </c>
      <c r="E762" s="19">
        <f>Solar!D762</f>
        <v>1361.12</v>
      </c>
      <c r="F762" s="30">
        <v>-0.35</v>
      </c>
      <c r="G762" s="20">
        <f t="shared" si="56"/>
        <v>-6.3264075691010224E-2</v>
      </c>
      <c r="H762" s="20">
        <f t="shared" si="57"/>
        <v>0.93437230233860036</v>
      </c>
      <c r="I762" s="20">
        <f t="shared" si="58"/>
        <v>-1.4372302338600429E-2</v>
      </c>
      <c r="J762" s="20">
        <f t="shared" si="59"/>
        <v>0.96874115113814774</v>
      </c>
    </row>
    <row r="763" spans="1:10" ht="15" customHeight="1">
      <c r="A763" s="18" t="str">
        <f>Analysis!A763</f>
        <v>8/2021</v>
      </c>
      <c r="B763" s="19">
        <f>Analysis!E763</f>
        <v>0.81000000000000227</v>
      </c>
      <c r="C763" s="20">
        <f>Analysis!F763</f>
        <v>0.56566680231310262</v>
      </c>
      <c r="D763" s="19">
        <f t="shared" si="60"/>
        <v>-0.4</v>
      </c>
      <c r="E763" s="19">
        <f>Solar!D763</f>
        <v>1361.04</v>
      </c>
      <c r="F763" s="30">
        <v>-0.46</v>
      </c>
      <c r="G763" s="20">
        <f t="shared" si="56"/>
        <v>-0.14973419696960699</v>
      </c>
      <c r="H763" s="20">
        <f t="shared" si="57"/>
        <v>0.92465463117345481</v>
      </c>
      <c r="I763" s="20">
        <f t="shared" si="58"/>
        <v>-0.11465463117345254</v>
      </c>
      <c r="J763" s="20">
        <f t="shared" si="59"/>
        <v>0.84481510795582215</v>
      </c>
    </row>
    <row r="764" spans="1:10" ht="15" customHeight="1">
      <c r="A764" s="18" t="str">
        <f>Analysis!A764</f>
        <v>9/2021</v>
      </c>
      <c r="B764" s="19">
        <f>Analysis!E764</f>
        <v>0.91999999999999993</v>
      </c>
      <c r="C764" s="20">
        <f>Analysis!F764</f>
        <v>0.56162290287573691</v>
      </c>
      <c r="D764" s="19">
        <f t="shared" si="60"/>
        <v>-0.31</v>
      </c>
      <c r="E764" s="19">
        <f>Solar!D764</f>
        <v>1360.96</v>
      </c>
      <c r="F764" s="30">
        <v>-0.64</v>
      </c>
      <c r="G764" s="20">
        <f t="shared" si="56"/>
        <v>-2.8679909330152298E-2</v>
      </c>
      <c r="H764" s="20">
        <f t="shared" si="57"/>
        <v>0.92138026308584353</v>
      </c>
      <c r="I764" s="20">
        <f t="shared" si="58"/>
        <v>-1.3802630858436027E-3</v>
      </c>
      <c r="J764" s="20">
        <f t="shared" si="59"/>
        <v>0.94698170866576037</v>
      </c>
    </row>
    <row r="765" spans="1:10" ht="15" customHeight="1">
      <c r="A765" s="18" t="str">
        <f>Analysis!A765</f>
        <v>10/2021</v>
      </c>
      <c r="B765" s="19">
        <f>Analysis!E765</f>
        <v>0.97999999999999865</v>
      </c>
      <c r="C765" s="20">
        <f>Analysis!F765</f>
        <v>0.56385542139796185</v>
      </c>
      <c r="D765" s="19">
        <f t="shared" si="60"/>
        <v>-0.35</v>
      </c>
      <c r="E765" s="19">
        <f>Solar!D765</f>
        <v>1361.03</v>
      </c>
      <c r="F765" s="30">
        <v>-0.77</v>
      </c>
      <c r="G765" s="20">
        <f t="shared" si="56"/>
        <v>2.5217342001801923E-2</v>
      </c>
      <c r="H765" s="20">
        <f t="shared" si="57"/>
        <v>0.92403102555652528</v>
      </c>
      <c r="I765" s="20">
        <f t="shared" si="58"/>
        <v>5.5968974443473374E-2</v>
      </c>
      <c r="J765" s="20">
        <f t="shared" si="59"/>
        <v>1.010463219461341</v>
      </c>
    </row>
    <row r="766" spans="1:10" ht="15" customHeight="1">
      <c r="A766" s="18" t="str">
        <f>Analysis!A766</f>
        <v>11/2021</v>
      </c>
      <c r="B766" s="19">
        <f>Analysis!E766</f>
        <v>0.92999999999999794</v>
      </c>
      <c r="C766" s="20">
        <f>Analysis!F766</f>
        <v>0.56758021431180217</v>
      </c>
      <c r="D766" s="19">
        <f t="shared" si="60"/>
        <v>-0.46</v>
      </c>
      <c r="E766" s="19">
        <f>Solar!D766</f>
        <v>1361.09</v>
      </c>
      <c r="F766" s="30">
        <v>-0.91</v>
      </c>
      <c r="G766" s="20">
        <f t="shared" si="56"/>
        <v>-3.4964645187728016E-2</v>
      </c>
      <c r="H766" s="20">
        <f t="shared" si="57"/>
        <v>0.9246881176782854</v>
      </c>
      <c r="I766" s="20">
        <f t="shared" si="58"/>
        <v>5.3118823217125355E-3</v>
      </c>
      <c r="J766" s="20">
        <f t="shared" si="59"/>
        <v>0.97003737414919078</v>
      </c>
    </row>
    <row r="767" spans="1:10" ht="15" customHeight="1">
      <c r="A767" s="18" t="str">
        <f>Analysis!A767</f>
        <v>12/2021</v>
      </c>
      <c r="B767" s="19">
        <f>Analysis!E767</f>
        <v>0.88000000000000256</v>
      </c>
      <c r="C767" s="20">
        <f>Analysis!F767</f>
        <v>0.5734784033974879</v>
      </c>
      <c r="D767" s="19">
        <f t="shared" si="60"/>
        <v>-0.64</v>
      </c>
      <c r="E767" s="19">
        <f>Solar!D767</f>
        <v>1361.1</v>
      </c>
      <c r="F767" s="30">
        <v>-0.83</v>
      </c>
      <c r="G767" s="20">
        <f t="shared" si="56"/>
        <v>-0.10108776588222523</v>
      </c>
      <c r="H767" s="20">
        <f t="shared" si="57"/>
        <v>0.92522244213004656</v>
      </c>
      <c r="I767" s="20">
        <f t="shared" si="58"/>
        <v>-4.5222442130044005E-2</v>
      </c>
      <c r="J767" s="20">
        <f t="shared" si="59"/>
        <v>0.93570417272931439</v>
      </c>
    </row>
    <row r="768" spans="1:10" ht="15" customHeight="1">
      <c r="A768" s="18" t="str">
        <f>Analysis!A768</f>
        <v>1/2022</v>
      </c>
      <c r="B768" s="19">
        <f>Analysis!E768</f>
        <v>0.91000000000000014</v>
      </c>
      <c r="C768" s="20">
        <f>Analysis!F768</f>
        <v>0.57852473043934227</v>
      </c>
      <c r="D768" s="19">
        <f t="shared" si="60"/>
        <v>-0.77</v>
      </c>
      <c r="E768" s="19">
        <f>Solar!D768</f>
        <v>1361.2</v>
      </c>
      <c r="F768" s="30">
        <v>-0.76</v>
      </c>
      <c r="G768" s="20">
        <f t="shared" si="56"/>
        <v>-8.4882260900572271E-2</v>
      </c>
      <c r="H768" s="20">
        <f t="shared" si="57"/>
        <v>0.92776876369982986</v>
      </c>
      <c r="I768" s="20">
        <f t="shared" si="58"/>
        <v>-1.7768763699829715E-2</v>
      </c>
      <c r="J768" s="20">
        <f t="shared" si="59"/>
        <v>0.97701908281495342</v>
      </c>
    </row>
    <row r="769" spans="1:10" ht="15" customHeight="1">
      <c r="A769" s="18" t="str">
        <f>Analysis!A769</f>
        <v>2/2022</v>
      </c>
      <c r="B769" s="19">
        <f>Analysis!E769</f>
        <v>0.8900000000000059</v>
      </c>
      <c r="C769" s="20">
        <f>Analysis!F769</f>
        <v>0.58234954487825097</v>
      </c>
      <c r="D769" s="19">
        <f t="shared" si="60"/>
        <v>-0.91</v>
      </c>
      <c r="E769" s="19">
        <f>Solar!D769</f>
        <v>1361.35</v>
      </c>
      <c r="F769" s="30">
        <v>-0.68</v>
      </c>
      <c r="G769" s="20">
        <f t="shared" si="56"/>
        <v>-0.115337664065287</v>
      </c>
      <c r="H769" s="20">
        <f t="shared" si="57"/>
        <v>0.92608946146418913</v>
      </c>
      <c r="I769" s="20">
        <f t="shared" si="58"/>
        <v>-3.6089461464183237E-2</v>
      </c>
      <c r="J769" s="20">
        <f t="shared" si="59"/>
        <v>0.96920437059949605</v>
      </c>
    </row>
    <row r="770" spans="1:10" ht="15" customHeight="1">
      <c r="A770" s="18" t="str">
        <f>Analysis!A770</f>
        <v>3/2022</v>
      </c>
      <c r="B770" s="19">
        <f>Analysis!E770</f>
        <v>1.0500000000000025</v>
      </c>
      <c r="C770" s="20">
        <f>Analysis!F770</f>
        <v>0.5806968152950519</v>
      </c>
      <c r="D770" s="19">
        <f t="shared" si="60"/>
        <v>-0.83</v>
      </c>
      <c r="E770" s="19">
        <f>Solar!D770</f>
        <v>1361.27</v>
      </c>
      <c r="F770" s="30">
        <v>-0.77</v>
      </c>
      <c r="G770" s="20">
        <f t="shared" ref="G770:G823" si="61">B770-($N$4+$N$5*C770)</f>
        <v>4.9180190170675431E-2</v>
      </c>
      <c r="H770" s="20">
        <f t="shared" ref="H770:H823" si="62">IF(D770="","",$N$14+$N$15*C770+$N$16*D770)</f>
        <v>0.92851277181062208</v>
      </c>
      <c r="I770" s="20">
        <f t="shared" ref="I770:I823" si="63">IF(D770="","",B770-H770)</f>
        <v>0.1214872281893804</v>
      </c>
      <c r="J770" s="20">
        <f t="shared" ref="J770:J823" si="64">IF(D770="","",B770-$N$16*D770)</f>
        <v>1.1222413490083287</v>
      </c>
    </row>
    <row r="771" spans="1:10" ht="15" customHeight="1">
      <c r="A771" s="18" t="str">
        <f>Analysis!A771</f>
        <v>4/2022</v>
      </c>
      <c r="B771" s="19">
        <f>Analysis!E771</f>
        <v>0.83000000000000362</v>
      </c>
      <c r="C771" s="20">
        <f>Analysis!F771</f>
        <v>0.5856150008995481</v>
      </c>
      <c r="D771" s="19">
        <f t="shared" si="60"/>
        <v>-0.76</v>
      </c>
      <c r="E771" s="19">
        <f>Solar!D771</f>
        <v>1361.38</v>
      </c>
      <c r="F771" s="30">
        <v>-0.86</v>
      </c>
      <c r="G771" s="20">
        <f t="shared" si="61"/>
        <v>-0.18426402108591056</v>
      </c>
      <c r="H771" s="20">
        <f t="shared" si="62"/>
        <v>0.94811466895240748</v>
      </c>
      <c r="I771" s="20">
        <f t="shared" si="63"/>
        <v>-0.11811466895240386</v>
      </c>
      <c r="J771" s="20">
        <f t="shared" si="64"/>
        <v>0.89614870511606137</v>
      </c>
    </row>
    <row r="772" spans="1:10" ht="15" customHeight="1">
      <c r="A772" s="18" t="str">
        <f>Analysis!A772</f>
        <v>5/2022</v>
      </c>
      <c r="B772" s="19">
        <f>Analysis!E772</f>
        <v>0.83999999999999986</v>
      </c>
      <c r="C772" s="20">
        <f>Analysis!F772</f>
        <v>0.58829059758610203</v>
      </c>
      <c r="D772" s="19">
        <f t="shared" si="60"/>
        <v>-0.68</v>
      </c>
      <c r="E772" s="19">
        <f>Solar!D772</f>
        <v>1361.62</v>
      </c>
      <c r="F772" s="30">
        <v>-0.83</v>
      </c>
      <c r="G772" s="20">
        <f t="shared" si="61"/>
        <v>-0.18157795552925249</v>
      </c>
      <c r="H772" s="20">
        <f t="shared" si="62"/>
        <v>0.96242700920270929</v>
      </c>
      <c r="I772" s="20">
        <f t="shared" si="63"/>
        <v>-0.12242700920270944</v>
      </c>
      <c r="J772" s="20">
        <f t="shared" si="64"/>
        <v>0.89918568352489359</v>
      </c>
    </row>
    <row r="773" spans="1:10" ht="15" customHeight="1">
      <c r="A773" s="18" t="str">
        <f>Analysis!A773</f>
        <v>6/2022</v>
      </c>
      <c r="B773" s="19">
        <f>Analysis!E773</f>
        <v>0.92999999999999794</v>
      </c>
      <c r="C773" s="20">
        <f>Analysis!F773</f>
        <v>0.58818778172396691</v>
      </c>
      <c r="D773" s="19">
        <f t="shared" ref="D773:D823" si="65">IF(F770="","",F770)</f>
        <v>-0.77</v>
      </c>
      <c r="E773" s="19">
        <f>Solar!D773</f>
        <v>1361.65</v>
      </c>
      <c r="F773" s="30">
        <v>-0.73</v>
      </c>
      <c r="G773" s="20">
        <f t="shared" si="61"/>
        <v>-9.1296901034318534E-2</v>
      </c>
      <c r="H773" s="20">
        <f t="shared" si="62"/>
        <v>0.95431119569908684</v>
      </c>
      <c r="I773" s="20">
        <f t="shared" si="63"/>
        <v>-2.4311195699088906E-2</v>
      </c>
      <c r="J773" s="20">
        <f t="shared" si="64"/>
        <v>0.99701908281495122</v>
      </c>
    </row>
    <row r="774" spans="1:10" ht="15" customHeight="1">
      <c r="A774" s="18" t="str">
        <f>Analysis!A774</f>
        <v>7/2022</v>
      </c>
      <c r="B774" s="19">
        <f>Analysis!E774</f>
        <v>0.93999999999999773</v>
      </c>
      <c r="C774" s="20">
        <f>Analysis!F774</f>
        <v>0.58100684634573119</v>
      </c>
      <c r="D774" s="19">
        <f t="shared" si="65"/>
        <v>-0.86</v>
      </c>
      <c r="E774" s="19">
        <f>Solar!D774</f>
        <v>1361.38</v>
      </c>
      <c r="F774" s="30">
        <v>-0.7</v>
      </c>
      <c r="G774" s="20">
        <f t="shared" si="61"/>
        <v>-6.1667301826708432E-2</v>
      </c>
      <c r="H774" s="20">
        <f t="shared" si="62"/>
        <v>0.92675323080818517</v>
      </c>
      <c r="I774" s="20">
        <f t="shared" si="63"/>
        <v>1.3246769191812557E-2</v>
      </c>
      <c r="J774" s="20">
        <f t="shared" si="64"/>
        <v>1.0148524821050104</v>
      </c>
    </row>
    <row r="775" spans="1:10" ht="15" customHeight="1">
      <c r="A775" s="18" t="str">
        <f>Analysis!A775</f>
        <v>8/2022</v>
      </c>
      <c r="B775" s="19">
        <f>Analysis!E775</f>
        <v>0.93999999999999773</v>
      </c>
      <c r="C775" s="20">
        <f>Analysis!F775</f>
        <v>0.57513941823551418</v>
      </c>
      <c r="D775" s="19">
        <f t="shared" si="65"/>
        <v>-0.83</v>
      </c>
      <c r="E775" s="19">
        <f>Solar!D775</f>
        <v>1361.42</v>
      </c>
      <c r="F775" s="30">
        <v>-0.78</v>
      </c>
      <c r="G775" s="20">
        <f t="shared" si="61"/>
        <v>-4.5628268453409171E-2</v>
      </c>
      <c r="H775" s="20">
        <f t="shared" si="62"/>
        <v>0.91324773500176704</v>
      </c>
      <c r="I775" s="20">
        <f t="shared" si="63"/>
        <v>2.675226499823069E-2</v>
      </c>
      <c r="J775" s="20">
        <f t="shared" si="64"/>
        <v>1.012241349008324</v>
      </c>
    </row>
    <row r="776" spans="1:10" ht="15" customHeight="1">
      <c r="A776" s="18" t="str">
        <f>Analysis!A776</f>
        <v>9/2022</v>
      </c>
      <c r="B776" s="19">
        <f>Analysis!E776</f>
        <v>0.88000000000000256</v>
      </c>
      <c r="C776" s="20">
        <f>Analysis!F776</f>
        <v>0.57084454590484046</v>
      </c>
      <c r="D776" s="19">
        <f t="shared" si="65"/>
        <v>-0.73</v>
      </c>
      <c r="E776" s="19">
        <f>Solar!D776</f>
        <v>1361.68</v>
      </c>
      <c r="F776" s="30">
        <v>-0.87</v>
      </c>
      <c r="G776" s="20">
        <f t="shared" si="61"/>
        <v>-9.3887928503472273E-2</v>
      </c>
      <c r="H776" s="20">
        <f t="shared" si="62"/>
        <v>0.91015437323768844</v>
      </c>
      <c r="I776" s="20">
        <f t="shared" si="63"/>
        <v>-3.0154373237685883E-2</v>
      </c>
      <c r="J776" s="20">
        <f t="shared" si="64"/>
        <v>0.94353757201937383</v>
      </c>
    </row>
    <row r="777" spans="1:10" ht="15" customHeight="1">
      <c r="A777" s="18" t="str">
        <f>Analysis!A777</f>
        <v>10/2022</v>
      </c>
      <c r="B777" s="19">
        <f>Analysis!E777</f>
        <v>0.96999999999999886</v>
      </c>
      <c r="C777" s="20">
        <f>Analysis!F777</f>
        <v>0.57025473490173317</v>
      </c>
      <c r="D777" s="19">
        <f t="shared" si="65"/>
        <v>-0.7</v>
      </c>
      <c r="E777" s="19">
        <f>Solar!D777</f>
        <v>1361.78</v>
      </c>
      <c r="F777" s="30">
        <v>-0.89</v>
      </c>
      <c r="G777" s="20">
        <f t="shared" si="61"/>
        <v>-2.2756380441683044E-3</v>
      </c>
      <c r="H777" s="20">
        <f t="shared" si="62"/>
        <v>0.9111454157458776</v>
      </c>
      <c r="I777" s="20">
        <f t="shared" si="63"/>
        <v>5.8854584254121267E-2</v>
      </c>
      <c r="J777" s="20">
        <f t="shared" si="64"/>
        <v>1.0309264389226835</v>
      </c>
    </row>
    <row r="778" spans="1:10" ht="15" customHeight="1">
      <c r="A778" s="18" t="str">
        <f>Analysis!A778</f>
        <v>11/2022</v>
      </c>
      <c r="B778" s="19">
        <f>Analysis!E778</f>
        <v>0.7300000000000022</v>
      </c>
      <c r="C778" s="20">
        <f>Analysis!F778</f>
        <v>0.57624569998219233</v>
      </c>
      <c r="D778" s="19">
        <f t="shared" si="65"/>
        <v>-0.78</v>
      </c>
      <c r="E778" s="19">
        <f>Solar!D778</f>
        <v>1361.69</v>
      </c>
      <c r="F778" s="30">
        <v>-0.82</v>
      </c>
      <c r="G778" s="20">
        <f t="shared" si="61"/>
        <v>-0.25865236853983686</v>
      </c>
      <c r="H778" s="20">
        <f t="shared" si="62"/>
        <v>0.92063835393121052</v>
      </c>
      <c r="I778" s="20">
        <f t="shared" si="63"/>
        <v>-0.19063835393120832</v>
      </c>
      <c r="J778" s="20">
        <f t="shared" si="64"/>
        <v>0.7978894605138509</v>
      </c>
    </row>
    <row r="779" spans="1:10" ht="15" customHeight="1">
      <c r="A779" s="18" t="str">
        <f>Analysis!A779</f>
        <v>12/2022</v>
      </c>
      <c r="B779" s="19">
        <f>Analysis!E779</f>
        <v>0.79999999999999893</v>
      </c>
      <c r="C779" s="20">
        <f>Analysis!F779</f>
        <v>0.5814889844809461</v>
      </c>
      <c r="D779" s="19">
        <f t="shared" si="65"/>
        <v>-0.87</v>
      </c>
      <c r="E779" s="19">
        <f>Solar!D779</f>
        <v>1361.5</v>
      </c>
      <c r="F779" s="30">
        <v>-0.7</v>
      </c>
      <c r="G779" s="20">
        <f t="shared" si="61"/>
        <v>-0.20298526081929991</v>
      </c>
      <c r="H779" s="20">
        <f t="shared" si="62"/>
        <v>0.92720718827954285</v>
      </c>
      <c r="I779" s="20">
        <f t="shared" si="63"/>
        <v>-0.12720718827954391</v>
      </c>
      <c r="J779" s="20">
        <f t="shared" si="64"/>
        <v>0.87572285980390718</v>
      </c>
    </row>
    <row r="780" spans="1:10" ht="15" customHeight="1">
      <c r="A780" s="18" t="str">
        <f>Analysis!A780</f>
        <v>1/2023</v>
      </c>
      <c r="B780" s="19">
        <f>Analysis!E780</f>
        <v>0.88000000000000256</v>
      </c>
      <c r="C780" s="20">
        <f>Analysis!F780</f>
        <v>0.58317520020842994</v>
      </c>
      <c r="D780" s="19">
        <f t="shared" si="65"/>
        <v>-0.89</v>
      </c>
      <c r="E780" s="19">
        <f>Solar!D780</f>
        <v>1361.7</v>
      </c>
      <c r="F780" s="30">
        <v>-0.55000000000000004</v>
      </c>
      <c r="G780" s="20">
        <f t="shared" si="61"/>
        <v>-0.12759465181986096</v>
      </c>
      <c r="H780" s="20">
        <f t="shared" si="62"/>
        <v>0.93009812373845202</v>
      </c>
      <c r="I780" s="20">
        <f t="shared" si="63"/>
        <v>-5.0098123738449463E-2</v>
      </c>
      <c r="J780" s="20">
        <f t="shared" si="64"/>
        <v>0.95746361520170176</v>
      </c>
    </row>
    <row r="781" spans="1:10" ht="15" customHeight="1">
      <c r="A781" s="18" t="str">
        <f>Analysis!A781</f>
        <v>2/2023</v>
      </c>
      <c r="B781" s="19">
        <f>Analysis!E781</f>
        <v>0.96999999999999886</v>
      </c>
      <c r="C781" s="20">
        <f>Analysis!F781</f>
        <v>0.58602695427511742</v>
      </c>
      <c r="D781" s="19">
        <f t="shared" si="65"/>
        <v>-0.82</v>
      </c>
      <c r="E781" s="19">
        <f>Solar!D781</f>
        <v>1361.9</v>
      </c>
      <c r="F781" s="30">
        <v>-0.33</v>
      </c>
      <c r="G781" s="20">
        <f t="shared" si="61"/>
        <v>-4.5390125030417394E-2</v>
      </c>
      <c r="H781" s="20">
        <f t="shared" si="62"/>
        <v>0.94402395470218881</v>
      </c>
      <c r="I781" s="20">
        <f t="shared" si="63"/>
        <v>2.5976045297810058E-2</v>
      </c>
      <c r="J781" s="20">
        <f t="shared" si="64"/>
        <v>1.0413709713094295</v>
      </c>
    </row>
    <row r="782" spans="1:10" ht="15" customHeight="1">
      <c r="A782" s="18" t="str">
        <f>Analysis!A782</f>
        <v>3/2023</v>
      </c>
      <c r="B782" s="19">
        <f>Analysis!E782</f>
        <v>1.2299999999999986</v>
      </c>
      <c r="C782" s="20">
        <f>Analysis!F782</f>
        <v>0.58835913742367907</v>
      </c>
      <c r="D782" s="19">
        <f t="shared" si="65"/>
        <v>-0.7</v>
      </c>
      <c r="E782" s="19">
        <f>Solar!D782</f>
        <v>1362.12</v>
      </c>
      <c r="F782" s="30">
        <v>-0.11</v>
      </c>
      <c r="G782" s="20">
        <f t="shared" si="61"/>
        <v>0.20823468593449368</v>
      </c>
      <c r="H782" s="20">
        <f t="shared" si="62"/>
        <v>0.96087451876642394</v>
      </c>
      <c r="I782" s="20">
        <f t="shared" si="63"/>
        <v>0.26912548123357471</v>
      </c>
      <c r="J782" s="20">
        <f t="shared" si="64"/>
        <v>1.2909264389226833</v>
      </c>
    </row>
    <row r="783" spans="1:10" ht="15" customHeight="1">
      <c r="A783" s="18" t="str">
        <f>Analysis!A783</f>
        <v>4/2023</v>
      </c>
      <c r="B783" s="19">
        <f>Analysis!E783</f>
        <v>0.99000000000000021</v>
      </c>
      <c r="C783" s="20">
        <f>Analysis!F783</f>
        <v>0.59642406189270203</v>
      </c>
      <c r="D783" s="19">
        <f t="shared" si="65"/>
        <v>-0.55000000000000004</v>
      </c>
      <c r="E783" s="19">
        <f>Solar!D783</f>
        <v>1362.04</v>
      </c>
      <c r="F783" s="30">
        <v>0.19</v>
      </c>
      <c r="G783" s="20">
        <f t="shared" si="61"/>
        <v>-5.3811360524353091E-2</v>
      </c>
      <c r="H783" s="20">
        <f t="shared" si="62"/>
        <v>0.99608288767582209</v>
      </c>
      <c r="I783" s="20">
        <f t="shared" si="63"/>
        <v>-6.0828876758218797E-3</v>
      </c>
      <c r="J783" s="20">
        <f t="shared" si="64"/>
        <v>1.0378707734392525</v>
      </c>
    </row>
    <row r="784" spans="1:10" ht="15" customHeight="1">
      <c r="A784" s="18" t="str">
        <f>Analysis!A784</f>
        <v>5/2023</v>
      </c>
      <c r="B784" s="19">
        <f>Analysis!E784</f>
        <v>0.93999999999999773</v>
      </c>
      <c r="C784" s="20">
        <f>Analysis!F784</f>
        <v>0.59863743761823274</v>
      </c>
      <c r="D784" s="19">
        <f t="shared" si="65"/>
        <v>-0.33</v>
      </c>
      <c r="E784" s="19">
        <f>Solar!D784</f>
        <v>1361.67</v>
      </c>
      <c r="F784" s="30">
        <v>0.46</v>
      </c>
      <c r="G784" s="20">
        <f t="shared" si="61"/>
        <v>-0.10986178099182053</v>
      </c>
      <c r="H784" s="20">
        <f t="shared" si="62"/>
        <v>1.0213108889576583</v>
      </c>
      <c r="I784" s="20">
        <f t="shared" si="63"/>
        <v>-8.1310888957660588E-2</v>
      </c>
      <c r="J784" s="20">
        <f t="shared" si="64"/>
        <v>0.96872246406354912</v>
      </c>
    </row>
    <row r="785" spans="1:10" ht="15" customHeight="1">
      <c r="A785" s="18" t="str">
        <f>Analysis!A785</f>
        <v>6/2023</v>
      </c>
      <c r="B785" s="19">
        <f>Analysis!E785</f>
        <v>1.0899999999999999</v>
      </c>
      <c r="C785" s="20">
        <f>Analysis!F785</f>
        <v>0.59754820008752652</v>
      </c>
      <c r="D785" s="19">
        <f t="shared" si="65"/>
        <v>-0.11</v>
      </c>
      <c r="E785" s="19">
        <f>Solar!D785</f>
        <v>1362.05</v>
      </c>
      <c r="F785" s="30">
        <v>0.73</v>
      </c>
      <c r="G785" s="20">
        <f t="shared" si="61"/>
        <v>4.3115727514170032E-2</v>
      </c>
      <c r="H785" s="20">
        <f t="shared" si="62"/>
        <v>1.0374672848850877</v>
      </c>
      <c r="I785" s="20">
        <f t="shared" si="63"/>
        <v>5.2532715114912198E-2</v>
      </c>
      <c r="J785" s="20">
        <f t="shared" si="64"/>
        <v>1.0995741546878504</v>
      </c>
    </row>
    <row r="786" spans="1:10" ht="15" customHeight="1">
      <c r="A786" s="18" t="str">
        <f>Analysis!A786</f>
        <v>7/2023</v>
      </c>
      <c r="B786" s="19">
        <f>Analysis!E786</f>
        <v>1.1899999999999977</v>
      </c>
      <c r="C786" s="20">
        <f>Analysis!F786</f>
        <v>0.59123487420164555</v>
      </c>
      <c r="D786" s="19">
        <f t="shared" si="65"/>
        <v>0.19</v>
      </c>
      <c r="E786" s="19">
        <f>Solar!D786</f>
        <v>1361.65</v>
      </c>
      <c r="F786" s="30">
        <v>1</v>
      </c>
      <c r="G786" s="20">
        <f t="shared" si="61"/>
        <v>0.16037365427152084</v>
      </c>
      <c r="H786" s="20">
        <f t="shared" si="62"/>
        <v>1.0462371966584341</v>
      </c>
      <c r="I786" s="20">
        <f t="shared" si="63"/>
        <v>0.14376280334156366</v>
      </c>
      <c r="J786" s="20">
        <f t="shared" si="64"/>
        <v>1.1734628237209832</v>
      </c>
    </row>
    <row r="787" spans="1:10" ht="15" customHeight="1">
      <c r="A787" s="18" t="str">
        <f>Analysis!A787</f>
        <v>8/2023</v>
      </c>
      <c r="B787" s="19">
        <f>Analysis!E787</f>
        <v>1.1899999999999977</v>
      </c>
      <c r="C787" s="20">
        <f>Analysis!F787</f>
        <v>0.58386288554529309</v>
      </c>
      <c r="D787" s="19">
        <f t="shared" si="65"/>
        <v>0.46</v>
      </c>
      <c r="E787" s="19">
        <f>Solar!D787</f>
        <v>1362.24</v>
      </c>
      <c r="F787" s="30">
        <v>1.25</v>
      </c>
      <c r="G787" s="20">
        <f t="shared" si="61"/>
        <v>0.18052551124628735</v>
      </c>
      <c r="H787" s="20">
        <f t="shared" si="62"/>
        <v>1.0494880445203112</v>
      </c>
      <c r="I787" s="20">
        <f t="shared" si="63"/>
        <v>0.14051195547968653</v>
      </c>
      <c r="J787" s="20">
        <f t="shared" si="64"/>
        <v>1.1499626258508049</v>
      </c>
    </row>
    <row r="788" spans="1:10" ht="15" customHeight="1">
      <c r="A788" s="18" t="str">
        <f>Analysis!A788</f>
        <v>9/2023</v>
      </c>
      <c r="B788" s="19">
        <f>Analysis!E788</f>
        <v>1.4800000000000022</v>
      </c>
      <c r="C788" s="20">
        <f>Analysis!F788</f>
        <v>0.57980079560537734</v>
      </c>
      <c r="D788" s="19">
        <f t="shared" si="65"/>
        <v>0.73</v>
      </c>
      <c r="E788" s="19">
        <f>Solar!D788</f>
        <v>1362.19</v>
      </c>
      <c r="F788" s="30">
        <v>1.5</v>
      </c>
      <c r="G788" s="20">
        <f t="shared" si="61"/>
        <v>0.48162952392234015</v>
      </c>
      <c r="H788" s="20">
        <f t="shared" si="62"/>
        <v>1.0618305094105733</v>
      </c>
      <c r="I788" s="20">
        <f t="shared" si="63"/>
        <v>0.41816949058942887</v>
      </c>
      <c r="J788" s="20">
        <f t="shared" si="64"/>
        <v>1.416462427980631</v>
      </c>
    </row>
    <row r="789" spans="1:10" ht="15" customHeight="1">
      <c r="A789" s="18" t="str">
        <f>Analysis!A789</f>
        <v>10/2023</v>
      </c>
      <c r="B789" s="19">
        <f>Analysis!E789</f>
        <v>1.3499999999999979</v>
      </c>
      <c r="C789" s="20">
        <f>Analysis!F789</f>
        <v>0.58090351006474894</v>
      </c>
      <c r="D789" s="19">
        <f t="shared" si="65"/>
        <v>1</v>
      </c>
      <c r="E789" s="19">
        <f>Solar!D789</f>
        <v>1362.38</v>
      </c>
      <c r="F789" s="30">
        <v>1.74</v>
      </c>
      <c r="G789" s="20">
        <f t="shared" si="61"/>
        <v>0.34861517527027752</v>
      </c>
      <c r="H789" s="20">
        <f t="shared" si="62"/>
        <v>1.0883596391047023</v>
      </c>
      <c r="I789" s="20">
        <f t="shared" si="63"/>
        <v>0.26164036089529552</v>
      </c>
      <c r="J789" s="20">
        <f t="shared" si="64"/>
        <v>1.2629622301104482</v>
      </c>
    </row>
    <row r="790" spans="1:10" ht="15" customHeight="1">
      <c r="A790" s="18" t="str">
        <f>Analysis!A790</f>
        <v>11/2023</v>
      </c>
      <c r="B790" s="19">
        <f>Analysis!E790</f>
        <v>1.3999999999999986</v>
      </c>
      <c r="C790" s="20">
        <f>Analysis!F790</f>
        <v>0.58654173063114645</v>
      </c>
      <c r="D790" s="19">
        <f t="shared" si="65"/>
        <v>1.25</v>
      </c>
      <c r="E790" s="19">
        <f>Solar!D790</f>
        <v>1362.12</v>
      </c>
      <c r="F790" s="30">
        <v>1.9</v>
      </c>
      <c r="G790" s="20">
        <f t="shared" si="61"/>
        <v>0.38320269707169574</v>
      </c>
      <c r="H790" s="20">
        <f t="shared" si="62"/>
        <v>1.1256061240828599</v>
      </c>
      <c r="I790" s="20">
        <f t="shared" si="63"/>
        <v>0.27439387591713871</v>
      </c>
      <c r="J790" s="20">
        <f t="shared" si="64"/>
        <v>1.2912027876380616</v>
      </c>
    </row>
    <row r="791" spans="1:10" ht="15" customHeight="1">
      <c r="A791" s="18" t="str">
        <f>Analysis!A791</f>
        <v>12/2023</v>
      </c>
      <c r="B791" s="19">
        <f>Analysis!E791</f>
        <v>1.3599999999999977</v>
      </c>
      <c r="C791" s="20">
        <f>Analysis!F791</f>
        <v>0.59133747314496576</v>
      </c>
      <c r="D791" s="19">
        <f t="shared" si="65"/>
        <v>1.5</v>
      </c>
      <c r="E791" s="19">
        <f>Solar!D791</f>
        <v>1361.97</v>
      </c>
      <c r="F791" s="30">
        <v>1.99</v>
      </c>
      <c r="G791" s="20">
        <f t="shared" si="61"/>
        <v>0.33009319273964222</v>
      </c>
      <c r="H791" s="20">
        <f t="shared" si="62"/>
        <v>1.160538493595543</v>
      </c>
      <c r="I791" s="20">
        <f t="shared" si="63"/>
        <v>0.1994615064044547</v>
      </c>
      <c r="J791" s="20">
        <f t="shared" si="64"/>
        <v>1.2294433451656732</v>
      </c>
    </row>
    <row r="792" spans="1:10" ht="15" customHeight="1">
      <c r="A792" s="18" t="str">
        <f>Analysis!A792</f>
        <v>1/2024</v>
      </c>
      <c r="B792" s="19">
        <f>Analysis!E792</f>
        <v>1.25</v>
      </c>
      <c r="C792" s="20">
        <f>Analysis!F792</f>
        <v>0.5945485495503543</v>
      </c>
      <c r="D792" s="19">
        <f t="shared" si="65"/>
        <v>1.74</v>
      </c>
      <c r="E792" s="18"/>
      <c r="F792" s="30">
        <v>1.84</v>
      </c>
      <c r="G792" s="20">
        <f t="shared" si="61"/>
        <v>0.2113154862790303</v>
      </c>
      <c r="H792" s="20">
        <f t="shared" si="62"/>
        <v>1.1902477306545796</v>
      </c>
      <c r="I792" s="20">
        <f t="shared" si="63"/>
        <v>5.9752269345420439E-2</v>
      </c>
      <c r="J792" s="20">
        <f t="shared" si="64"/>
        <v>1.0985542803921835</v>
      </c>
    </row>
    <row r="793" spans="1:10" ht="15" customHeight="1">
      <c r="A793" s="18" t="str">
        <f>Analysis!A793</f>
        <v>2/2024</v>
      </c>
      <c r="B793" s="19">
        <f>Analysis!E793</f>
        <v>1.4400000000000013</v>
      </c>
      <c r="C793" s="20">
        <f>Analysis!F793</f>
        <v>0.60050764534578571</v>
      </c>
      <c r="D793" s="19">
        <f t="shared" si="65"/>
        <v>1.9</v>
      </c>
      <c r="E793" s="18"/>
      <c r="F793" s="30">
        <v>1.53</v>
      </c>
      <c r="G793" s="20">
        <f t="shared" si="61"/>
        <v>0.38502587274781863</v>
      </c>
      <c r="H793" s="20">
        <f t="shared" si="62"/>
        <v>1.2205421951842066</v>
      </c>
      <c r="I793" s="20">
        <f t="shared" si="63"/>
        <v>0.21945780481579469</v>
      </c>
      <c r="J793" s="20">
        <f t="shared" si="64"/>
        <v>1.274628237209857</v>
      </c>
    </row>
    <row r="794" spans="1:10" ht="15" customHeight="1">
      <c r="A794" s="18" t="str">
        <f>Analysis!A794</f>
        <v>3/2024</v>
      </c>
      <c r="B794" s="19">
        <f>Analysis!E794</f>
        <v>1.3999999999999986</v>
      </c>
      <c r="C794" s="20">
        <f>Analysis!F794</f>
        <v>0.6033253768403416</v>
      </c>
      <c r="D794" s="19">
        <f t="shared" si="65"/>
        <v>1.99</v>
      </c>
      <c r="E794" s="18"/>
      <c r="F794" s="30">
        <v>1.18</v>
      </c>
      <c r="G794" s="20">
        <f t="shared" si="61"/>
        <v>0.33732340266565508</v>
      </c>
      <c r="H794" s="20">
        <f t="shared" si="62"/>
        <v>1.2361153284758246</v>
      </c>
      <c r="I794" s="20">
        <f t="shared" si="63"/>
        <v>0.16388467152417396</v>
      </c>
      <c r="J794" s="20">
        <f t="shared" si="64"/>
        <v>1.2267948379197948</v>
      </c>
    </row>
    <row r="795" spans="1:10" ht="15" customHeight="1">
      <c r="A795" s="18" t="str">
        <f>Analysis!A795</f>
        <v>4/2024</v>
      </c>
      <c r="B795" s="19">
        <f>Analysis!E795</f>
        <v>1.3200000000000003</v>
      </c>
      <c r="C795" s="20">
        <f>Analysis!F795</f>
        <v>0.60715274035522215</v>
      </c>
      <c r="D795" s="19">
        <f t="shared" si="65"/>
        <v>1.84</v>
      </c>
      <c r="E795" s="18"/>
      <c r="F795" s="30">
        <v>0.77</v>
      </c>
      <c r="G795" s="20">
        <f t="shared" si="61"/>
        <v>0.24686103141989335</v>
      </c>
      <c r="H795" s="20">
        <f t="shared" si="62"/>
        <v>1.2335726503333362</v>
      </c>
      <c r="I795" s="20">
        <f t="shared" si="63"/>
        <v>8.6427349666664099E-2</v>
      </c>
      <c r="J795" s="20">
        <f t="shared" si="64"/>
        <v>1.1598505034032289</v>
      </c>
    </row>
    <row r="796" spans="1:10" ht="15" customHeight="1">
      <c r="A796" s="18" t="str">
        <f>Analysis!A796</f>
        <v>5/2024</v>
      </c>
      <c r="B796" s="19">
        <f>Analysis!E796</f>
        <v>1.1600000000000001</v>
      </c>
      <c r="C796" s="20">
        <f>Analysis!F796</f>
        <v>0.60847133541530962</v>
      </c>
      <c r="D796" s="19">
        <f t="shared" si="65"/>
        <v>1.53</v>
      </c>
      <c r="E796" s="18"/>
      <c r="F796" s="30">
        <v>0.43</v>
      </c>
      <c r="G796" s="20">
        <f t="shared" si="61"/>
        <v>8.325655774295404E-2</v>
      </c>
      <c r="H796" s="20">
        <f t="shared" si="62"/>
        <v>1.2102128534929446</v>
      </c>
      <c r="I796" s="20">
        <f t="shared" si="63"/>
        <v>-5.0212853492944465E-2</v>
      </c>
      <c r="J796" s="20">
        <f t="shared" si="64"/>
        <v>1.0268322120689892</v>
      </c>
    </row>
    <row r="797" spans="1:10" ht="15" customHeight="1">
      <c r="A797" s="18" t="str">
        <f>Analysis!A797</f>
        <v>6/2024</v>
      </c>
      <c r="B797" s="19">
        <f>Analysis!E797</f>
        <v>1.2299999999999986</v>
      </c>
      <c r="C797" s="20">
        <f>Analysis!F797</f>
        <v>0.60850512970305437</v>
      </c>
      <c r="D797" s="19">
        <f t="shared" si="65"/>
        <v>1.18</v>
      </c>
      <c r="E797" s="18"/>
      <c r="F797" s="30">
        <v>0.18</v>
      </c>
      <c r="G797" s="20">
        <f t="shared" si="61"/>
        <v>0.15316417864622034</v>
      </c>
      <c r="H797" s="20">
        <f t="shared" si="62"/>
        <v>1.1798424600508388</v>
      </c>
      <c r="I797" s="20">
        <f t="shared" si="63"/>
        <v>5.0157539949159835E-2</v>
      </c>
      <c r="J797" s="20">
        <f t="shared" si="64"/>
        <v>1.1272954315303301</v>
      </c>
    </row>
    <row r="798" spans="1:10" ht="15" customHeight="1">
      <c r="A798" s="18" t="str">
        <f>Analysis!A798</f>
        <v>7/2024</v>
      </c>
      <c r="B798" s="19">
        <f>Analysis!E798</f>
        <v>1.2000000000000011</v>
      </c>
      <c r="C798" s="20">
        <f>Analysis!F798</f>
        <v>0.60390182416318638</v>
      </c>
      <c r="D798" s="19">
        <f t="shared" si="65"/>
        <v>0.77</v>
      </c>
      <c r="E798" s="18"/>
      <c r="F798" s="30">
        <v>0.06</v>
      </c>
      <c r="G798" s="20">
        <f t="shared" si="61"/>
        <v>0.13574764277983009</v>
      </c>
      <c r="H798" s="20">
        <f t="shared" si="62"/>
        <v>1.1315126324936688</v>
      </c>
      <c r="I798" s="20">
        <f t="shared" si="63"/>
        <v>6.848736750633222E-2</v>
      </c>
      <c r="J798" s="20">
        <f t="shared" si="64"/>
        <v>1.1329809171850478</v>
      </c>
    </row>
    <row r="799" spans="1:10" ht="15" customHeight="1">
      <c r="A799" s="18" t="str">
        <f>Analysis!A799</f>
        <v>8/2024</v>
      </c>
      <c r="B799" s="19">
        <f>Analysis!E799</f>
        <v>1.3000000000000043</v>
      </c>
      <c r="C799" s="20">
        <f>Analysis!F799</f>
        <v>0.5951967295060876</v>
      </c>
      <c r="D799" s="19">
        <f t="shared" si="65"/>
        <v>0.43</v>
      </c>
      <c r="E799" s="18"/>
      <c r="F799" s="30">
        <v>-0.04</v>
      </c>
      <c r="G799" s="20">
        <f t="shared" si="61"/>
        <v>0.25954364012316855</v>
      </c>
      <c r="H799" s="20">
        <f t="shared" si="62"/>
        <v>1.0780086703017173</v>
      </c>
      <c r="I799" s="20">
        <f t="shared" si="63"/>
        <v>0.22199132969828694</v>
      </c>
      <c r="J799" s="20">
        <f t="shared" si="64"/>
        <v>1.2625737589474979</v>
      </c>
    </row>
    <row r="800" spans="1:10" ht="15" customHeight="1">
      <c r="A800" s="18" t="str">
        <f>Analysis!A800</f>
        <v>9/2024</v>
      </c>
      <c r="B800" s="19">
        <f>Analysis!E800</f>
        <v>1.2099999999999991</v>
      </c>
      <c r="C800" s="20">
        <f>Analysis!F800</f>
        <v>0.59191872937568002</v>
      </c>
      <c r="D800" s="19">
        <f t="shared" si="65"/>
        <v>0.18</v>
      </c>
      <c r="E800" s="18"/>
      <c r="F800" s="30">
        <v>-0.12</v>
      </c>
      <c r="G800" s="20">
        <f t="shared" si="61"/>
        <v>0.17850428736104496</v>
      </c>
      <c r="H800" s="20">
        <f t="shared" si="62"/>
        <v>1.0472452297140205</v>
      </c>
      <c r="I800" s="20">
        <f t="shared" si="63"/>
        <v>0.16275477028597862</v>
      </c>
      <c r="J800" s="20">
        <f t="shared" si="64"/>
        <v>1.1943332014198802</v>
      </c>
    </row>
    <row r="801" spans="1:10" ht="15" customHeight="1">
      <c r="A801" s="18" t="str">
        <f>Analysis!A801</f>
        <v>10/2024</v>
      </c>
      <c r="B801" s="19">
        <f>Analysis!E801</f>
        <v>1.3499999999999979</v>
      </c>
      <c r="C801" s="20">
        <f>Analysis!F801</f>
        <v>0.59311469648461523</v>
      </c>
      <c r="D801" s="19">
        <f t="shared" si="65"/>
        <v>0.06</v>
      </c>
      <c r="E801" s="18"/>
      <c r="F801" s="30">
        <v>-0.19</v>
      </c>
      <c r="G801" s="20">
        <f t="shared" si="61"/>
        <v>0.31523502593793795</v>
      </c>
      <c r="H801" s="20">
        <f t="shared" si="62"/>
        <v>1.0400857751693811</v>
      </c>
      <c r="I801" s="20">
        <f t="shared" si="63"/>
        <v>0.30991422483061681</v>
      </c>
      <c r="J801" s="20">
        <f t="shared" si="64"/>
        <v>1.3447777338066249</v>
      </c>
    </row>
    <row r="802" spans="1:10" ht="15" customHeight="1">
      <c r="A802" s="18" t="str">
        <f>Analysis!A802</f>
        <v>11/2024</v>
      </c>
      <c r="B802" s="19">
        <f>Analysis!E802</f>
        <v>1.3000000000000043</v>
      </c>
      <c r="C802" s="20">
        <f>Analysis!F802</f>
        <v>0.59812695991960418</v>
      </c>
      <c r="D802" s="19">
        <f t="shared" si="65"/>
        <v>-0.04</v>
      </c>
      <c r="E802" s="18"/>
      <c r="F802" s="30">
        <v>-0.28999999999999998</v>
      </c>
      <c r="G802" s="20">
        <f t="shared" si="61"/>
        <v>0.25153364621936403</v>
      </c>
      <c r="H802" s="20">
        <f t="shared" si="62"/>
        <v>1.0451496640518927</v>
      </c>
      <c r="I802" s="20">
        <f t="shared" si="63"/>
        <v>0.25485033594811157</v>
      </c>
      <c r="J802" s="20">
        <f t="shared" si="64"/>
        <v>1.3034815107955862</v>
      </c>
    </row>
    <row r="803" spans="1:10" ht="15" customHeight="1">
      <c r="A803" s="18" t="str">
        <f>Analysis!A803</f>
        <v>12/2024</v>
      </c>
      <c r="B803" s="19">
        <f>Analysis!E803</f>
        <v>1.2700000000000014</v>
      </c>
      <c r="C803" s="20">
        <f>Analysis!F803</f>
        <v>0.60339320612834335</v>
      </c>
      <c r="D803" s="19">
        <f t="shared" si="65"/>
        <v>-0.12</v>
      </c>
      <c r="E803" s="18"/>
      <c r="F803" s="30">
        <v>-0.43</v>
      </c>
      <c r="G803" s="20">
        <f t="shared" si="61"/>
        <v>0.20713798646736592</v>
      </c>
      <c r="H803" s="20">
        <f t="shared" si="62"/>
        <v>1.0526519472355478</v>
      </c>
      <c r="I803" s="20">
        <f t="shared" si="63"/>
        <v>0.21734805276445357</v>
      </c>
      <c r="J803" s="20">
        <f t="shared" si="64"/>
        <v>1.2804445323867473</v>
      </c>
    </row>
    <row r="804" spans="1:10" ht="15" customHeight="1">
      <c r="A804" s="18" t="str">
        <f>Analysis!A804</f>
        <v>1/2025</v>
      </c>
      <c r="B804" s="19">
        <f>Analysis!E804</f>
        <v>1.379999999999999</v>
      </c>
      <c r="C804" s="20">
        <f>Analysis!F804</f>
        <v>0.60762622084548734</v>
      </c>
      <c r="D804" s="19">
        <f t="shared" si="65"/>
        <v>-0.19</v>
      </c>
      <c r="E804" s="18"/>
      <c r="F804" s="30">
        <v>-0.46</v>
      </c>
      <c r="G804" s="20">
        <f t="shared" si="61"/>
        <v>0.30556673871748208</v>
      </c>
      <c r="H804" s="20">
        <f t="shared" si="62"/>
        <v>1.0581865318420474</v>
      </c>
      <c r="I804" s="20">
        <f t="shared" si="63"/>
        <v>0.32181346815795164</v>
      </c>
      <c r="J804" s="20">
        <f t="shared" si="64"/>
        <v>1.3965371762790135</v>
      </c>
    </row>
    <row r="805" spans="1:10" ht="15" customHeight="1">
      <c r="A805" s="18" t="str">
        <f>Analysis!A805</f>
        <v>2/2025</v>
      </c>
      <c r="B805" s="19">
        <f>Analysis!E805</f>
        <v>1.2600000000000033</v>
      </c>
      <c r="C805" s="20">
        <f>Analysis!F805</f>
        <v>0.60911329155599458</v>
      </c>
      <c r="D805" s="19">
        <f t="shared" si="65"/>
        <v>-0.28999999999999998</v>
      </c>
      <c r="E805" s="18"/>
      <c r="F805" s="30">
        <v>-0.22</v>
      </c>
      <c r="G805" s="20">
        <f t="shared" si="61"/>
        <v>0.18150172482958737</v>
      </c>
      <c r="H805" s="20">
        <f t="shared" si="62"/>
        <v>1.053567434945242</v>
      </c>
      <c r="I805" s="20">
        <f t="shared" si="63"/>
        <v>0.20643256505476137</v>
      </c>
      <c r="J805" s="20">
        <f t="shared" si="64"/>
        <v>1.2852409532679727</v>
      </c>
    </row>
    <row r="806" spans="1:10" ht="15" customHeight="1">
      <c r="A806" s="18" t="str">
        <f>Analysis!A806</f>
        <v>3/2025</v>
      </c>
      <c r="B806" s="19">
        <f>Analysis!E806</f>
        <v>1.370000000000001</v>
      </c>
      <c r="C806" s="20">
        <f>Analysis!F806</f>
        <v>0.61268949829656494</v>
      </c>
      <c r="D806" s="19">
        <f t="shared" si="65"/>
        <v>-0.43</v>
      </c>
      <c r="E806" s="18"/>
      <c r="F806" s="30">
        <v>-0.08</v>
      </c>
      <c r="G806" s="20">
        <f t="shared" si="61"/>
        <v>0.28172590854613633</v>
      </c>
      <c r="H806" s="20">
        <f t="shared" si="62"/>
        <v>1.0512052580426587</v>
      </c>
      <c r="I806" s="20">
        <f t="shared" si="63"/>
        <v>0.31879474195734225</v>
      </c>
      <c r="J806" s="20">
        <f t="shared" si="64"/>
        <v>1.4074262410525074</v>
      </c>
    </row>
    <row r="807" spans="1:10" ht="15" customHeight="1">
      <c r="A807" s="18" t="str">
        <f>Analysis!A807</f>
        <v>4/2025</v>
      </c>
      <c r="B807" s="19">
        <f>Analysis!E807</f>
        <v>1.25</v>
      </c>
      <c r="C807" s="20">
        <f>Analysis!F807</f>
        <v>0.61770148904698363</v>
      </c>
      <c r="D807" s="19">
        <f t="shared" si="65"/>
        <v>-0.46</v>
      </c>
      <c r="E807" s="18"/>
      <c r="F807" s="30">
        <v>0.02</v>
      </c>
      <c r="G807" s="20">
        <f t="shared" si="61"/>
        <v>0.14802527423028344</v>
      </c>
      <c r="H807" s="20">
        <f t="shared" si="62"/>
        <v>1.0623610418085128</v>
      </c>
      <c r="I807" s="20">
        <f t="shared" si="63"/>
        <v>0.18763895819148724</v>
      </c>
      <c r="J807" s="20">
        <f t="shared" si="64"/>
        <v>1.2900373741491928</v>
      </c>
    </row>
    <row r="808" spans="1:10" ht="15" customHeight="1">
      <c r="A808" s="18" t="str">
        <f>Analysis!A808</f>
        <v>5/2025</v>
      </c>
      <c r="B808" s="19">
        <f>Analysis!E808</f>
        <v>1.0800000000000036</v>
      </c>
      <c r="C808" s="20">
        <f>Analysis!F808</f>
        <v>0.62061992214258854</v>
      </c>
      <c r="D808" s="19">
        <f t="shared" si="65"/>
        <v>-0.22</v>
      </c>
      <c r="E808" s="18"/>
      <c r="F808" s="30">
        <v>-0.04</v>
      </c>
      <c r="G808" s="20">
        <f t="shared" si="61"/>
        <v>-2.9952470863281011E-2</v>
      </c>
      <c r="H808" s="20">
        <f t="shared" si="62"/>
        <v>1.0912664473529294</v>
      </c>
      <c r="I808" s="20">
        <f t="shared" si="63"/>
        <v>-1.1266447352925812E-2</v>
      </c>
      <c r="J808" s="20">
        <f t="shared" si="64"/>
        <v>1.0991483093757046</v>
      </c>
    </row>
    <row r="809" spans="1:10" ht="15" customHeight="1">
      <c r="A809" s="18" t="str">
        <f>Analysis!A809</f>
        <v>6/2025</v>
      </c>
      <c r="B809" s="19">
        <f>Analysis!E809</f>
        <v>1.0700000000000021</v>
      </c>
      <c r="C809" s="20">
        <f>Analysis!F809</f>
        <v>0.61760074804903375</v>
      </c>
      <c r="D809" s="19">
        <f t="shared" si="65"/>
        <v>-0.08</v>
      </c>
      <c r="E809" s="18"/>
      <c r="F809" s="30">
        <v>-0.02</v>
      </c>
      <c r="G809" s="20">
        <f t="shared" si="61"/>
        <v>-3.1699343064067964E-2</v>
      </c>
      <c r="H809" s="20">
        <f t="shared" si="62"/>
        <v>1.0951586793819199</v>
      </c>
      <c r="I809" s="20">
        <f t="shared" si="63"/>
        <v>-2.5158679381917848E-2</v>
      </c>
      <c r="J809" s="20">
        <f t="shared" si="64"/>
        <v>1.0769630215911661</v>
      </c>
    </row>
    <row r="810" spans="1:10" ht="15" customHeight="1">
      <c r="A810" s="18" t="str">
        <f>Analysis!A810</f>
        <v>7/2025</v>
      </c>
      <c r="B810" s="19">
        <f>Analysis!E810</f>
        <v>1.0200000000000014</v>
      </c>
      <c r="C810" s="20">
        <f>Analysis!F810</f>
        <v>0.61174570112861226</v>
      </c>
      <c r="D810" s="19">
        <f t="shared" si="65"/>
        <v>0.02</v>
      </c>
      <c r="E810" s="18"/>
      <c r="F810" s="30">
        <v>-0.11</v>
      </c>
      <c r="G810" s="20">
        <f t="shared" si="61"/>
        <v>-6.5694154556458884E-2</v>
      </c>
      <c r="H810" s="20">
        <f t="shared" si="62"/>
        <v>1.087779836072148</v>
      </c>
      <c r="I810" s="20">
        <f t="shared" si="63"/>
        <v>-6.777983607214666E-2</v>
      </c>
      <c r="J810" s="20">
        <f t="shared" si="64"/>
        <v>1.0182592446022103</v>
      </c>
    </row>
    <row r="811" spans="1:10" ht="15" customHeight="1">
      <c r="A811" s="18" t="str">
        <f>Analysis!A811</f>
        <v>8/2025</v>
      </c>
      <c r="B811" s="19">
        <f>Analysis!E811</f>
        <v>1.1799999999999997</v>
      </c>
      <c r="C811" s="20">
        <f>Analysis!F811</f>
        <v>0.60366449139444733</v>
      </c>
      <c r="D811" s="19">
        <f t="shared" si="65"/>
        <v>-0.04</v>
      </c>
      <c r="E811" s="18"/>
      <c r="F811" s="30">
        <v>-0.26</v>
      </c>
      <c r="G811" s="20">
        <f t="shared" si="61"/>
        <v>0.11639640883658764</v>
      </c>
      <c r="H811" s="20">
        <f t="shared" si="62"/>
        <v>1.0603601341493281</v>
      </c>
      <c r="I811" s="20">
        <f t="shared" si="63"/>
        <v>0.11963986585067166</v>
      </c>
      <c r="J811" s="20">
        <f t="shared" si="64"/>
        <v>1.1834815107955816</v>
      </c>
    </row>
    <row r="812" spans="1:10" ht="15" customHeight="1">
      <c r="A812" s="18" t="str">
        <f>Analysis!A812</f>
        <v>9/2025</v>
      </c>
      <c r="B812" s="19">
        <f>Analysis!E812</f>
        <v>1.25</v>
      </c>
      <c r="C812" s="20">
        <f>Analysis!F812</f>
        <v>0.59989584420727626</v>
      </c>
      <c r="D812" s="19">
        <f t="shared" si="65"/>
        <v>-0.02</v>
      </c>
      <c r="E812" s="18"/>
      <c r="F812" s="30">
        <v>-0.43</v>
      </c>
      <c r="G812" s="20">
        <f t="shared" si="61"/>
        <v>0.19669827481121693</v>
      </c>
      <c r="H812" s="20">
        <f t="shared" si="62"/>
        <v>1.0517491839886646</v>
      </c>
      <c r="I812" s="20">
        <f t="shared" si="63"/>
        <v>0.19825081601133543</v>
      </c>
      <c r="J812" s="20">
        <f t="shared" si="64"/>
        <v>1.2517407553977911</v>
      </c>
    </row>
    <row r="813" spans="1:10" ht="15" customHeight="1">
      <c r="A813" s="18" t="str">
        <f>Analysis!A813</f>
        <v>10/2025</v>
      </c>
      <c r="B813" s="19">
        <f>Analysis!E813</f>
        <v>1.1899999999999977</v>
      </c>
      <c r="C813" s="20">
        <f>Analysis!F813</f>
        <v>0.60159465162047843</v>
      </c>
      <c r="D813" s="19">
        <f t="shared" si="65"/>
        <v>-0.11</v>
      </c>
      <c r="E813" s="18"/>
      <c r="F813" s="30">
        <v>-0.56999999999999995</v>
      </c>
      <c r="G813" s="20">
        <f t="shared" si="61"/>
        <v>0.13205446353933725</v>
      </c>
      <c r="H813" s="20">
        <f t="shared" si="62"/>
        <v>1.0485820623490711</v>
      </c>
      <c r="I813" s="20">
        <f t="shared" si="63"/>
        <v>0.14141793765092658</v>
      </c>
      <c r="J813" s="20">
        <f t="shared" si="64"/>
        <v>1.1995741546878482</v>
      </c>
    </row>
    <row r="814" spans="1:10" ht="15" customHeight="1">
      <c r="A814" s="18" t="str">
        <f>Analysis!A814</f>
        <v>11/2025</v>
      </c>
      <c r="B814" s="19">
        <f>Analysis!E814</f>
        <v>1.2099999999999991</v>
      </c>
      <c r="C814" s="20">
        <f>Analysis!F814</f>
        <v>0.60698360251420269</v>
      </c>
      <c r="D814" s="19">
        <f t="shared" si="65"/>
        <v>-0.26</v>
      </c>
      <c r="E814" s="18"/>
      <c r="F814" s="30">
        <v>-0.61</v>
      </c>
      <c r="G814" s="20">
        <f t="shared" si="61"/>
        <v>0.13732338177610304</v>
      </c>
      <c r="H814" s="20">
        <f t="shared" si="62"/>
        <v>1.0503287463959163</v>
      </c>
      <c r="I814" s="20">
        <f t="shared" si="63"/>
        <v>0.15967125360408274</v>
      </c>
      <c r="J814" s="20">
        <f t="shared" si="64"/>
        <v>1.232629820171282</v>
      </c>
    </row>
    <row r="815" spans="1:10" ht="15" customHeight="1">
      <c r="A815" s="18" t="str">
        <f>Analysis!A815</f>
        <v>12/2025</v>
      </c>
      <c r="B815" s="19">
        <f>Analysis!E815</f>
        <v>1.0600000000000023</v>
      </c>
      <c r="C815" s="20">
        <f>Analysis!F815</f>
        <v>0.61046384518116448</v>
      </c>
      <c r="D815" s="19">
        <f t="shared" si="65"/>
        <v>-0.43</v>
      </c>
      <c r="E815" s="18"/>
      <c r="F815" s="30">
        <v>-0.6</v>
      </c>
      <c r="G815" s="20">
        <f t="shared" si="61"/>
        <v>-2.2190109865211305E-2</v>
      </c>
      <c r="H815" s="20">
        <f t="shared" si="62"/>
        <v>1.0450918426493816</v>
      </c>
      <c r="I815" s="20">
        <f t="shared" si="63"/>
        <v>1.4908157350620677E-2</v>
      </c>
      <c r="J815" s="20">
        <f t="shared" si="64"/>
        <v>1.0974262410525086</v>
      </c>
    </row>
    <row r="816" spans="1:10" ht="15" customHeight="1">
      <c r="A816" s="18" t="str">
        <f>Analysis!A816</f>
        <v>1/2026</v>
      </c>
      <c r="B816" s="19">
        <f>Analysis!E816</f>
        <v>1.0899999999999999</v>
      </c>
      <c r="C816" s="20">
        <f>Analysis!F816</f>
        <v>0.61427234255403185</v>
      </c>
      <c r="D816" s="19">
        <f t="shared" si="65"/>
        <v>-0.56999999999999995</v>
      </c>
      <c r="E816" s="18"/>
      <c r="F816" s="30">
        <v>-0.39</v>
      </c>
      <c r="G816" s="20">
        <f t="shared" si="61"/>
        <v>-2.6009091657068772E-3</v>
      </c>
      <c r="H816" s="20">
        <f t="shared" si="62"/>
        <v>1.0433677207596717</v>
      </c>
      <c r="I816" s="20">
        <f t="shared" si="63"/>
        <v>4.66322792403282E-2</v>
      </c>
      <c r="J816" s="20">
        <f t="shared" si="64"/>
        <v>1.1396115288370432</v>
      </c>
    </row>
    <row r="817" spans="1:10" ht="15" customHeight="1">
      <c r="A817" s="18" t="str">
        <f>Analysis!A817</f>
        <v>2/2026</v>
      </c>
      <c r="B817" s="19">
        <f>Analysis!E817</f>
        <v>1.25</v>
      </c>
      <c r="C817" s="20">
        <f>Analysis!F817</f>
        <v>0.61672736460373478</v>
      </c>
      <c r="D817" s="19">
        <f t="shared" si="65"/>
        <v>-0.61</v>
      </c>
      <c r="E817" s="18"/>
      <c r="F817" s="30">
        <v>-0.21</v>
      </c>
      <c r="G817" s="20">
        <f t="shared" si="61"/>
        <v>0.15068811289852535</v>
      </c>
      <c r="H817" s="20">
        <f t="shared" si="62"/>
        <v>1.0466296550614578</v>
      </c>
      <c r="I817" s="20">
        <f t="shared" si="63"/>
        <v>0.20337034493854222</v>
      </c>
      <c r="J817" s="20">
        <f t="shared" si="64"/>
        <v>1.3030930396326252</v>
      </c>
    </row>
    <row r="818" spans="1:10" ht="15" customHeight="1">
      <c r="A818" s="18" t="str">
        <f>Analysis!A818</f>
        <v>3/2026</v>
      </c>
      <c r="B818" s="19">
        <f>Analysis!E818</f>
        <v>1.3200000000000003</v>
      </c>
      <c r="C818" s="20">
        <f>Analysis!F818</f>
        <v>0.61941301059793685</v>
      </c>
      <c r="D818" s="19">
        <f t="shared" si="65"/>
        <v>-0.6</v>
      </c>
      <c r="E818" s="18"/>
      <c r="F818" s="30">
        <v>0.11</v>
      </c>
      <c r="G818" s="20">
        <f t="shared" si="61"/>
        <v>0.21334670795572519</v>
      </c>
      <c r="H818" s="20">
        <f t="shared" si="62"/>
        <v>1.0548769548189794</v>
      </c>
      <c r="I818" s="20">
        <f t="shared" si="63"/>
        <v>0.26512304518102092</v>
      </c>
      <c r="J818" s="20">
        <f t="shared" si="64"/>
        <v>1.3722226619337301</v>
      </c>
    </row>
    <row r="819" spans="1:10" ht="15" customHeight="1">
      <c r="A819" s="18" t="str">
        <f>Analysis!A819</f>
        <v>4/2026</v>
      </c>
      <c r="B819" s="19">
        <f>Analysis!E819</f>
        <v>1.1699999999999964</v>
      </c>
      <c r="C819" s="20">
        <f>Analysis!F819</f>
        <v>0.6226626646700556</v>
      </c>
      <c r="D819" s="19">
        <f t="shared" si="65"/>
        <v>-0.39</v>
      </c>
      <c r="E819" s="18"/>
      <c r="F819" s="30">
        <v>0.46</v>
      </c>
      <c r="G819" s="20">
        <f t="shared" si="61"/>
        <v>5.4463546690629361E-2</v>
      </c>
      <c r="H819" s="20">
        <f t="shared" si="62"/>
        <v>1.082081023767514</v>
      </c>
      <c r="I819" s="20">
        <f t="shared" si="63"/>
        <v>8.7918976232482349E-2</v>
      </c>
      <c r="J819" s="20">
        <f t="shared" si="64"/>
        <v>1.2039447302569208</v>
      </c>
    </row>
    <row r="820" spans="1:10" ht="15" customHeight="1">
      <c r="A820" s="18" t="str">
        <f>Analysis!A820</f>
        <v>5/2026</v>
      </c>
      <c r="B820" s="19">
        <f>Analysis!E820</f>
        <v>1.1299999999999955</v>
      </c>
      <c r="C820" s="20">
        <f>Analysis!F820</f>
        <v>0.62673949306079169</v>
      </c>
      <c r="D820" s="19">
        <f t="shared" si="65"/>
        <v>-0.21</v>
      </c>
      <c r="E820" s="18"/>
      <c r="F820" s="30">
        <v>0.95</v>
      </c>
      <c r="G820" s="20">
        <f t="shared" si="61"/>
        <v>3.3192454076922395E-3</v>
      </c>
      <c r="H820" s="20">
        <f t="shared" si="62"/>
        <v>1.1089460388474182</v>
      </c>
      <c r="I820" s="20">
        <f t="shared" si="63"/>
        <v>2.1053961152577294E-2</v>
      </c>
      <c r="J820" s="20">
        <f t="shared" si="64"/>
        <v>1.1482779316768008</v>
      </c>
    </row>
    <row r="821" spans="1:10" ht="15" customHeight="1">
      <c r="A821" s="18" t="str">
        <f>Analysis!A821</f>
        <v>6/2026</v>
      </c>
      <c r="B821" s="19">
        <f>Analysis!E821</f>
        <v>1.1799999999999997</v>
      </c>
      <c r="C821" s="20">
        <f>Analysis!F821</f>
        <v>0.6236996723378585</v>
      </c>
      <c r="D821" s="19">
        <f t="shared" si="65"/>
        <v>0.11</v>
      </c>
      <c r="E821" s="18"/>
      <c r="F821" s="30">
        <v>1.39</v>
      </c>
      <c r="G821" s="20">
        <f t="shared" si="61"/>
        <v>6.1628812241429465E-2</v>
      </c>
      <c r="H821" s="20">
        <f t="shared" si="62"/>
        <v>1.1284483573745827</v>
      </c>
      <c r="I821" s="20">
        <f t="shared" si="63"/>
        <v>5.1551642625417005E-2</v>
      </c>
      <c r="J821" s="20">
        <f t="shared" si="64"/>
        <v>1.1704258453121492</v>
      </c>
    </row>
    <row r="822" spans="1:10" ht="15" customHeight="1">
      <c r="A822" s="18" t="str">
        <f>Analysis!A822</f>
        <v>7/2026</v>
      </c>
      <c r="B822" s="19">
        <f>Analysis!E822</f>
        <v>1.25</v>
      </c>
      <c r="C822" s="20">
        <f>Analysis!F822</f>
        <v>0.61598793464393697</v>
      </c>
      <c r="D822" s="19">
        <f t="shared" si="65"/>
        <v>0.46</v>
      </c>
      <c r="E822" s="18"/>
      <c r="F822" s="30">
        <v>1.8</v>
      </c>
      <c r="G822" s="20">
        <f t="shared" si="61"/>
        <v>0.15270939745108159</v>
      </c>
      <c r="H822" s="20">
        <f t="shared" si="62"/>
        <v>1.1377290054816047</v>
      </c>
      <c r="I822" s="20">
        <f t="shared" si="63"/>
        <v>0.11227099451839528</v>
      </c>
      <c r="J822" s="20">
        <f t="shared" si="64"/>
        <v>1.2099626258508072</v>
      </c>
    </row>
    <row r="823" spans="1:10" ht="15" customHeight="1">
      <c r="A823" s="18" t="str">
        <f>Analysis!A823</f>
        <v>8/2026</v>
      </c>
      <c r="B823" s="19">
        <f>Analysis!E823</f>
        <v>1.3999999999999986</v>
      </c>
      <c r="C823" s="20">
        <f>Analysis!F823</f>
        <v>0.61066631922353776</v>
      </c>
      <c r="D823" s="19">
        <f t="shared" si="65"/>
        <v>0.95</v>
      </c>
      <c r="E823" s="18"/>
      <c r="G823" s="20">
        <f t="shared" si="61"/>
        <v>0.31725641289367568</v>
      </c>
      <c r="H823" s="20">
        <f t="shared" si="62"/>
        <v>1.1657601200156305</v>
      </c>
      <c r="I823" s="20">
        <f t="shared" si="63"/>
        <v>0.23423987998436813</v>
      </c>
      <c r="J823" s="20">
        <f t="shared" si="64"/>
        <v>1.3173141186049264</v>
      </c>
    </row>
  </sheetData>
  <pageMargins left="0.75" right="0.75" top="1" bottom="1" header="0.511811023622047" footer="0.511811023622047"/>
  <pageSetup paperSize="9" orientation="portrait" horizontalDpi="300" verticalDpi="300"/>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262BA-F005-4882-9176-7D2BE82439F8}">
  <dimension ref="A1:Q823"/>
  <sheetViews>
    <sheetView zoomScaleNormal="100" workbookViewId="0">
      <pane ySplit="1" topLeftCell="A29" activePane="bottomLeft" state="frozen"/>
      <selection pane="bottomLeft" activeCell="M45" sqref="M45"/>
    </sheetView>
  </sheetViews>
  <sheetFormatPr defaultColWidth="8.5703125" defaultRowHeight="15"/>
  <cols>
    <col min="1" max="1" width="11" customWidth="1"/>
    <col min="2" max="2" width="10" customWidth="1"/>
    <col min="3" max="5" width="12" customWidth="1"/>
    <col min="6" max="6" width="10" customWidth="1"/>
    <col min="7" max="8" width="12" customWidth="1"/>
    <col min="9" max="9" width="13" customWidth="1"/>
    <col min="10" max="11" width="14" customWidth="1"/>
    <col min="12" max="12" width="9" customWidth="1"/>
    <col min="13" max="13" width="52" customWidth="1"/>
    <col min="14" max="14" width="11" customWidth="1"/>
    <col min="15" max="15" width="3" customWidth="1"/>
    <col min="16" max="17" width="8" customWidth="1"/>
  </cols>
  <sheetData>
    <row r="1" spans="1:17" ht="31.5" customHeight="1">
      <c r="A1" s="31" t="s">
        <v>63</v>
      </c>
      <c r="B1" s="31" t="s">
        <v>1892</v>
      </c>
      <c r="C1" s="31" t="s">
        <v>1893</v>
      </c>
      <c r="D1" s="31" t="s">
        <v>1923</v>
      </c>
      <c r="E1" s="31" t="s">
        <v>1955</v>
      </c>
      <c r="F1" s="31" t="s">
        <v>1924</v>
      </c>
      <c r="G1" s="31" t="s">
        <v>1956</v>
      </c>
      <c r="H1" s="31" t="s">
        <v>1957</v>
      </c>
      <c r="I1" s="31" t="s">
        <v>1958</v>
      </c>
      <c r="J1" s="31" t="s">
        <v>1959</v>
      </c>
      <c r="K1" s="31" t="s">
        <v>1960</v>
      </c>
      <c r="L1" s="17" t="s">
        <v>1961</v>
      </c>
    </row>
    <row r="2" spans="1:17" ht="15" customHeight="1">
      <c r="A2" s="18" t="str">
        <f>Analysis!A2</f>
        <v>3/1958</v>
      </c>
      <c r="B2" s="19">
        <f>Analysis!E2</f>
        <v>8.0000000000000071E-2</v>
      </c>
      <c r="C2" s="20">
        <f>Analysis!F2</f>
        <v>0.17317313104772078</v>
      </c>
      <c r="D2" s="19">
        <f>ENSO!D2</f>
        <v>0</v>
      </c>
      <c r="E2" s="32">
        <v>1.0059999999999999E-2</v>
      </c>
      <c r="F2" s="19">
        <f>Solar!D2</f>
        <v>1361.03</v>
      </c>
      <c r="G2" s="32">
        <v>6.4000000000000003E-3</v>
      </c>
      <c r="H2" s="33">
        <v>0.1767</v>
      </c>
      <c r="I2" s="20">
        <f t="shared" ref="I2:I65" si="0">IF(OR(D2="",E2=""),"",$N$14+$N$15*C2+$N$16*D2+$N$17*E2)</f>
        <v>-0.1101035562004458</v>
      </c>
      <c r="J2" s="20">
        <f t="shared" ref="J2:J65" si="1">IF(I2="","",B2-I2)</f>
        <v>0.19010355620044589</v>
      </c>
      <c r="K2" s="20" t="str">
        <f>ENSO!I2</f>
        <v/>
      </c>
      <c r="L2" s="19">
        <f>Analysis!B2</f>
        <v>1958.2083333333333</v>
      </c>
      <c r="M2" s="17" t="s">
        <v>1930</v>
      </c>
    </row>
    <row r="3" spans="1:17" ht="15" customHeight="1">
      <c r="A3" s="18" t="str">
        <f>Analysis!A3</f>
        <v>4/1958</v>
      </c>
      <c r="B3" s="19">
        <f>Analysis!E3</f>
        <v>1.0000000000001563E-2</v>
      </c>
      <c r="C3" s="20">
        <f>Analysis!F3</f>
        <v>0.1811025507537978</v>
      </c>
      <c r="D3" s="19">
        <f>ENSO!D3</f>
        <v>0</v>
      </c>
      <c r="E3" s="32">
        <v>9.5200000000000007E-3</v>
      </c>
      <c r="F3" s="19">
        <f>Solar!D3</f>
        <v>1361.85</v>
      </c>
      <c r="G3" s="32">
        <v>6.11E-3</v>
      </c>
      <c r="H3" s="33">
        <v>0.18229999999999999</v>
      </c>
      <c r="I3" s="20">
        <f t="shared" si="0"/>
        <v>-8.7288461465420075E-2</v>
      </c>
      <c r="J3" s="20">
        <f t="shared" si="1"/>
        <v>9.7288461465421638E-2</v>
      </c>
      <c r="K3" s="20" t="str">
        <f>ENSO!I3</f>
        <v/>
      </c>
      <c r="L3" s="19">
        <f>Analysis!B3</f>
        <v>1958.2916666666667</v>
      </c>
      <c r="M3" s="17" t="s">
        <v>1962</v>
      </c>
      <c r="P3" s="17" t="s">
        <v>1963</v>
      </c>
      <c r="Q3" s="17" t="s">
        <v>1938</v>
      </c>
    </row>
    <row r="4" spans="1:17" ht="15" customHeight="1">
      <c r="A4" s="18" t="str">
        <f>Analysis!A4</f>
        <v>5/1958</v>
      </c>
      <c r="B4" s="19">
        <f>Analysis!E4</f>
        <v>5.9999999999998721E-2</v>
      </c>
      <c r="C4" s="20">
        <f>Analysis!F4</f>
        <v>0.18137520321288492</v>
      </c>
      <c r="D4" s="19">
        <f>ENSO!D4</f>
        <v>0</v>
      </c>
      <c r="E4" s="32">
        <v>9.0299999999999998E-3</v>
      </c>
      <c r="F4" s="19">
        <f>Solar!D4</f>
        <v>1362.07</v>
      </c>
      <c r="G4" s="32">
        <v>5.8700000000000002E-3</v>
      </c>
      <c r="H4" s="33">
        <v>0.18709999999999999</v>
      </c>
      <c r="I4" s="20">
        <f t="shared" si="0"/>
        <v>-8.546664948897395E-2</v>
      </c>
      <c r="J4" s="20">
        <f t="shared" si="1"/>
        <v>0.14546664948897267</v>
      </c>
      <c r="K4" s="20" t="str">
        <f>ENSO!I4</f>
        <v/>
      </c>
      <c r="L4" s="19">
        <f>Analysis!B4</f>
        <v>1958.375</v>
      </c>
      <c r="P4" s="18">
        <v>0</v>
      </c>
      <c r="Q4" s="20">
        <f t="shared" ref="Q4:Q16" ca="1" si="2">CORREL($K$14:$K$823,OFFSET($G$14:$G$823,-P4,0))</f>
        <v>-0.19418603505299159</v>
      </c>
    </row>
    <row r="5" spans="1:17" ht="15" customHeight="1">
      <c r="A5" s="18" t="str">
        <f>Analysis!A5</f>
        <v>6/1958</v>
      </c>
      <c r="B5" s="19">
        <f>Analysis!E5</f>
        <v>-9.0000000000001634E-2</v>
      </c>
      <c r="C5" s="20">
        <f>Analysis!F5</f>
        <v>0.1802842840714132</v>
      </c>
      <c r="D5" s="19" t="str">
        <f>ENSO!D5</f>
        <v/>
      </c>
      <c r="E5" s="32">
        <v>8.43E-3</v>
      </c>
      <c r="F5" s="19">
        <f>Solar!D5</f>
        <v>1362.08</v>
      </c>
      <c r="G5" s="32">
        <v>5.7000000000000002E-3</v>
      </c>
      <c r="H5" s="33">
        <v>0.19070000000000001</v>
      </c>
      <c r="I5" s="20" t="str">
        <f t="shared" si="0"/>
        <v/>
      </c>
      <c r="J5" s="20" t="str">
        <f t="shared" si="1"/>
        <v/>
      </c>
      <c r="K5" s="20" t="str">
        <f>ENSO!I5</f>
        <v/>
      </c>
      <c r="L5" s="19">
        <f>Analysis!B5</f>
        <v>1958.4583333333333</v>
      </c>
      <c r="P5" s="18">
        <v>1</v>
      </c>
      <c r="Q5" s="20">
        <f t="shared" ca="1" si="2"/>
        <v>-0.21331488395942036</v>
      </c>
    </row>
    <row r="6" spans="1:17" ht="15" customHeight="1">
      <c r="A6" s="18" t="str">
        <f>Analysis!A6</f>
        <v>7/1958</v>
      </c>
      <c r="B6" s="19">
        <f>Analysis!E6</f>
        <v>5.0000000000004263E-2</v>
      </c>
      <c r="C6" s="20">
        <f>Analysis!F6</f>
        <v>0.17390409533246803</v>
      </c>
      <c r="D6" s="19" t="str">
        <f>ENSO!D6</f>
        <v/>
      </c>
      <c r="E6" s="32">
        <v>7.8499999999999993E-3</v>
      </c>
      <c r="F6" s="19">
        <f>Solar!D6</f>
        <v>1361.68</v>
      </c>
      <c r="G6" s="32">
        <v>5.5599999999999998E-3</v>
      </c>
      <c r="H6" s="33">
        <v>0.19339999999999999</v>
      </c>
      <c r="I6" s="20" t="str">
        <f t="shared" si="0"/>
        <v/>
      </c>
      <c r="J6" s="20" t="str">
        <f t="shared" si="1"/>
        <v/>
      </c>
      <c r="K6" s="20" t="str">
        <f>ENSO!I6</f>
        <v/>
      </c>
      <c r="L6" s="19">
        <f>Analysis!B6</f>
        <v>1958.5416666666667</v>
      </c>
      <c r="P6" s="18">
        <v>2</v>
      </c>
      <c r="Q6" s="20">
        <f t="shared" ca="1" si="2"/>
        <v>-0.23279067956203031</v>
      </c>
    </row>
    <row r="7" spans="1:17" ht="15" customHeight="1">
      <c r="A7" s="18" t="str">
        <f>Analysis!A7</f>
        <v>8/1958</v>
      </c>
      <c r="B7" s="19">
        <f>Analysis!E7</f>
        <v>-5.0000000000000711E-2</v>
      </c>
      <c r="C7" s="20">
        <f>Analysis!F7</f>
        <v>0.16960436691695893</v>
      </c>
      <c r="D7" s="19" t="str">
        <f>ENSO!D7</f>
        <v/>
      </c>
      <c r="E7" s="32">
        <v>7.3299999999999997E-3</v>
      </c>
      <c r="F7" s="19">
        <f>Solar!D7</f>
        <v>1361.92</v>
      </c>
      <c r="G7" s="32">
        <v>5.47E-3</v>
      </c>
      <c r="H7" s="33">
        <v>0.19520000000000001</v>
      </c>
      <c r="I7" s="20" t="str">
        <f t="shared" si="0"/>
        <v/>
      </c>
      <c r="J7" s="20" t="str">
        <f t="shared" si="1"/>
        <v/>
      </c>
      <c r="K7" s="20" t="str">
        <f>ENSO!I7</f>
        <v/>
      </c>
      <c r="L7" s="19">
        <f>Analysis!B7</f>
        <v>1958.625</v>
      </c>
      <c r="P7" s="18">
        <v>3</v>
      </c>
      <c r="Q7" s="20">
        <f t="shared" ca="1" si="2"/>
        <v>-0.25141813446882039</v>
      </c>
    </row>
    <row r="8" spans="1:17" ht="15" customHeight="1">
      <c r="A8" s="18" t="str">
        <f>Analysis!A8</f>
        <v>9/1958</v>
      </c>
      <c r="B8" s="19">
        <f>Analysis!E8</f>
        <v>-2.9999999999999361E-2</v>
      </c>
      <c r="C8" s="20">
        <f>Analysis!F8</f>
        <v>0.1617034477834195</v>
      </c>
      <c r="D8" s="19" t="str">
        <f>ENSO!D8</f>
        <v/>
      </c>
      <c r="E8" s="32">
        <v>6.8100000000000001E-3</v>
      </c>
      <c r="F8" s="19">
        <f>Solar!D8</f>
        <v>1362.04</v>
      </c>
      <c r="G8" s="32">
        <v>5.3600000000000002E-3</v>
      </c>
      <c r="H8" s="33">
        <v>0.1973</v>
      </c>
      <c r="I8" s="20" t="str">
        <f t="shared" si="0"/>
        <v/>
      </c>
      <c r="J8" s="20" t="str">
        <f t="shared" si="1"/>
        <v/>
      </c>
      <c r="K8" s="20" t="str">
        <f>ENSO!I8</f>
        <v/>
      </c>
      <c r="L8" s="19">
        <f>Analysis!B8</f>
        <v>1958.7083333333333</v>
      </c>
      <c r="P8" s="18">
        <v>4</v>
      </c>
      <c r="Q8" s="20">
        <f t="shared" ca="1" si="2"/>
        <v>-0.2671866163341311</v>
      </c>
    </row>
    <row r="9" spans="1:17" ht="15" customHeight="1">
      <c r="A9" s="18" t="str">
        <f>Analysis!A9</f>
        <v>10/1958</v>
      </c>
      <c r="B9" s="19">
        <f>Analysis!E9</f>
        <v>3.9999999999999147E-2</v>
      </c>
      <c r="C9" s="20">
        <f>Analysis!F9</f>
        <v>0.1580599853917147</v>
      </c>
      <c r="D9" s="19">
        <f>ENSO!D9</f>
        <v>0.43</v>
      </c>
      <c r="E9" s="34">
        <f t="shared" ref="E9:E72" si="3">IF(G2="","",G2)</f>
        <v>6.4000000000000003E-3</v>
      </c>
      <c r="F9" s="19">
        <f>Solar!D9</f>
        <v>1361.99</v>
      </c>
      <c r="G9" s="32">
        <v>5.2900000000000004E-3</v>
      </c>
      <c r="H9" s="33">
        <v>0.1988</v>
      </c>
      <c r="I9" s="20">
        <f t="shared" si="0"/>
        <v>-0.103368394860835</v>
      </c>
      <c r="J9" s="20">
        <f t="shared" si="1"/>
        <v>0.14336839486083414</v>
      </c>
      <c r="K9" s="20">
        <f>ENSO!I9</f>
        <v>0.16271685244220668</v>
      </c>
      <c r="L9" s="19">
        <f>Analysis!B9</f>
        <v>1958.7916666666667</v>
      </c>
      <c r="P9" s="18">
        <v>5</v>
      </c>
      <c r="Q9" s="20">
        <f t="shared" ca="1" si="2"/>
        <v>-0.2795141362314994</v>
      </c>
    </row>
    <row r="10" spans="1:17" ht="15" customHeight="1">
      <c r="A10" s="18" t="str">
        <f>Analysis!A10</f>
        <v>11/1958</v>
      </c>
      <c r="B10" s="19">
        <f>Analysis!E10</f>
        <v>2.0000000000003126E-2</v>
      </c>
      <c r="C10" s="20">
        <f>Analysis!F10</f>
        <v>0.16225608099765507</v>
      </c>
      <c r="D10" s="19">
        <f>ENSO!D10</f>
        <v>0.32</v>
      </c>
      <c r="E10" s="34">
        <f t="shared" si="3"/>
        <v>6.11E-3</v>
      </c>
      <c r="F10" s="19">
        <f>Solar!D10</f>
        <v>1362.07</v>
      </c>
      <c r="G10" s="32">
        <v>5.0800000000000003E-3</v>
      </c>
      <c r="H10" s="33">
        <v>0.20300000000000001</v>
      </c>
      <c r="I10" s="20">
        <f t="shared" si="0"/>
        <v>-0.10149320466842188</v>
      </c>
      <c r="J10" s="20">
        <f t="shared" si="1"/>
        <v>0.121493204668425</v>
      </c>
      <c r="K10" s="20">
        <f>ENSO!I10</f>
        <v>0.14076518790355383</v>
      </c>
      <c r="L10" s="19">
        <f>Analysis!B10</f>
        <v>1958.875</v>
      </c>
      <c r="P10" s="18">
        <v>6</v>
      </c>
      <c r="Q10" s="20">
        <f t="shared" ca="1" si="2"/>
        <v>-0.29003076191322791</v>
      </c>
    </row>
    <row r="11" spans="1:17" ht="15" customHeight="1">
      <c r="A11" s="18" t="str">
        <f>Analysis!A11</f>
        <v>12/1958</v>
      </c>
      <c r="B11" s="19">
        <f>Analysis!E11</f>
        <v>1.0000000000001563E-2</v>
      </c>
      <c r="C11" s="20">
        <f>Analysis!F11</f>
        <v>0.16841281440122227</v>
      </c>
      <c r="D11" s="19">
        <f>ENSO!D11</f>
        <v>0.28000000000000003</v>
      </c>
      <c r="E11" s="34">
        <f t="shared" si="3"/>
        <v>5.8700000000000002E-3</v>
      </c>
      <c r="F11" s="19">
        <f>Solar!D11</f>
        <v>1361.54</v>
      </c>
      <c r="G11" s="32">
        <v>4.8500000000000001E-3</v>
      </c>
      <c r="H11" s="33">
        <v>0.20749999999999999</v>
      </c>
      <c r="I11" s="20">
        <f t="shared" si="0"/>
        <v>-8.7884886729467565E-2</v>
      </c>
      <c r="J11" s="20">
        <f t="shared" si="1"/>
        <v>9.7884886729469128E-2</v>
      </c>
      <c r="K11" s="20">
        <f>ENSO!I11</f>
        <v>0.11733540713207485</v>
      </c>
      <c r="L11" s="19">
        <f>Analysis!B11</f>
        <v>1958.9583333333333</v>
      </c>
      <c r="P11" s="18">
        <v>7</v>
      </c>
      <c r="Q11" s="20">
        <f t="shared" ca="1" si="2"/>
        <v>-0.29239949111070396</v>
      </c>
    </row>
    <row r="12" spans="1:17" ht="15" customHeight="1">
      <c r="A12" s="18" t="str">
        <f>Analysis!A12</f>
        <v>1/1959</v>
      </c>
      <c r="B12" s="19">
        <f>Analysis!E12</f>
        <v>8.0000000000000071E-2</v>
      </c>
      <c r="C12" s="20">
        <f>Analysis!F12</f>
        <v>0.17257894974287927</v>
      </c>
      <c r="D12" s="19">
        <f>ENSO!D12</f>
        <v>0.3</v>
      </c>
      <c r="E12" s="34">
        <f t="shared" si="3"/>
        <v>5.7000000000000002E-3</v>
      </c>
      <c r="F12" s="19">
        <f>Solar!D12</f>
        <v>1361.36</v>
      </c>
      <c r="G12" s="32">
        <v>4.6600000000000001E-3</v>
      </c>
      <c r="H12" s="33">
        <v>0.2114</v>
      </c>
      <c r="I12" s="20">
        <f t="shared" si="0"/>
        <v>-7.4292101185522569E-2</v>
      </c>
      <c r="J12" s="20">
        <f t="shared" si="1"/>
        <v>0.15429210118552264</v>
      </c>
      <c r="K12" s="20">
        <f>ENSO!I12</f>
        <v>0.17415112724615511</v>
      </c>
      <c r="L12" s="19">
        <f>Analysis!B12</f>
        <v>1959.0416666666667</v>
      </c>
      <c r="P12" s="18">
        <v>8</v>
      </c>
      <c r="Q12" s="20">
        <f t="shared" ca="1" si="2"/>
        <v>-0.28865991746285763</v>
      </c>
    </row>
    <row r="13" spans="1:17" ht="15" customHeight="1">
      <c r="A13" s="18" t="str">
        <f>Analysis!A13</f>
        <v>2/1959</v>
      </c>
      <c r="B13" s="19">
        <f>Analysis!E13</f>
        <v>7.0000000000000284E-2</v>
      </c>
      <c r="C13" s="20">
        <f>Analysis!F13</f>
        <v>0.17673308898155007</v>
      </c>
      <c r="D13" s="19">
        <f>ENSO!D13</f>
        <v>0.36</v>
      </c>
      <c r="E13" s="34">
        <f t="shared" si="3"/>
        <v>5.5599999999999998E-3</v>
      </c>
      <c r="F13" s="19">
        <f>Solar!D13</f>
        <v>1361.98</v>
      </c>
      <c r="G13" s="32">
        <v>4.4400000000000004E-3</v>
      </c>
      <c r="H13" s="33">
        <v>0.2157</v>
      </c>
      <c r="I13" s="20">
        <f t="shared" si="0"/>
        <v>-5.7086244068745011E-2</v>
      </c>
      <c r="J13" s="20">
        <f t="shared" si="1"/>
        <v>0.1270862440687453</v>
      </c>
      <c r="K13" s="20">
        <f>ENSO!I13</f>
        <v>0.14751828741406992</v>
      </c>
      <c r="L13" s="19">
        <f>Analysis!B13</f>
        <v>1959.125</v>
      </c>
      <c r="M13" s="17" t="s">
        <v>1964</v>
      </c>
      <c r="P13" s="18">
        <v>9</v>
      </c>
      <c r="Q13" s="20">
        <f t="shared" ca="1" si="2"/>
        <v>-0.28190370700963929</v>
      </c>
    </row>
    <row r="14" spans="1:17" ht="15" customHeight="1">
      <c r="A14" s="18" t="str">
        <f>Analysis!A14</f>
        <v>3/1959</v>
      </c>
      <c r="B14" s="19">
        <f>Analysis!E14</f>
        <v>0.17999999999999972</v>
      </c>
      <c r="C14" s="20">
        <f>Analysis!F14</f>
        <v>0.17746225223598333</v>
      </c>
      <c r="D14" s="19">
        <f>ENSO!D14</f>
        <v>0.56000000000000005</v>
      </c>
      <c r="E14" s="34">
        <f t="shared" si="3"/>
        <v>5.47E-3</v>
      </c>
      <c r="F14" s="19">
        <f>Solar!D14</f>
        <v>1361.39</v>
      </c>
      <c r="G14" s="32">
        <v>4.3E-3</v>
      </c>
      <c r="H14" s="33">
        <v>0.21859999999999999</v>
      </c>
      <c r="I14" s="20">
        <f t="shared" si="0"/>
        <v>-3.6340470524642184E-2</v>
      </c>
      <c r="J14" s="20">
        <f t="shared" si="1"/>
        <v>0.21634047052464189</v>
      </c>
      <c r="K14" s="20">
        <f>ENSO!I14</f>
        <v>0.23810787062118643</v>
      </c>
      <c r="L14" s="19">
        <f>Analysis!B14</f>
        <v>1959.2083333333333</v>
      </c>
      <c r="M14" s="18" t="s">
        <v>1940</v>
      </c>
      <c r="N14" s="20">
        <f>INDEX(LINEST($B$9:$B$822,$C$9:$C$822:$E$9:$E$822),1,4)</f>
        <v>-0.56028489187596064</v>
      </c>
      <c r="P14" s="18">
        <v>10</v>
      </c>
      <c r="Q14" s="20">
        <f t="shared" ca="1" si="2"/>
        <v>-0.27008853901918944</v>
      </c>
    </row>
    <row r="15" spans="1:17" ht="15" customHeight="1">
      <c r="A15" s="18" t="str">
        <f>Analysis!A15</f>
        <v>4/1959</v>
      </c>
      <c r="B15" s="19">
        <f>Analysis!E15</f>
        <v>0.16000000000000014</v>
      </c>
      <c r="C15" s="20">
        <f>Analysis!F15</f>
        <v>0.18232908124013067</v>
      </c>
      <c r="D15" s="19">
        <f>ENSO!D15</f>
        <v>0.6</v>
      </c>
      <c r="E15" s="34">
        <f t="shared" si="3"/>
        <v>5.3600000000000002E-3</v>
      </c>
      <c r="F15" s="19">
        <f>Solar!D15</f>
        <v>1361.71</v>
      </c>
      <c r="G15" s="32">
        <v>4.2599999999999999E-3</v>
      </c>
      <c r="H15" s="33">
        <v>0.21929999999999999</v>
      </c>
      <c r="I15" s="20">
        <f t="shared" si="0"/>
        <v>-1.911271577575855E-2</v>
      </c>
      <c r="J15" s="20">
        <f t="shared" si="1"/>
        <v>0.17911271577575869</v>
      </c>
      <c r="K15" s="20">
        <f>ENSO!I15</f>
        <v>0.20125817268784932</v>
      </c>
      <c r="L15" s="19">
        <f>Analysis!B15</f>
        <v>1959.2916666666667</v>
      </c>
      <c r="M15" s="18" t="s">
        <v>1910</v>
      </c>
      <c r="N15" s="20">
        <f>INDEX(LINEST($B$9:$B$822,$C$9:$C$822:$E$9:$E$822),1,3)</f>
        <v>2.7274258799243318</v>
      </c>
      <c r="P15" s="18">
        <v>11</v>
      </c>
      <c r="Q15" s="20">
        <f t="shared" ca="1" si="2"/>
        <v>-0.2523445493292264</v>
      </c>
    </row>
    <row r="16" spans="1:17" ht="15" customHeight="1">
      <c r="A16" s="18" t="str">
        <f>Analysis!A16</f>
        <v>5/1959</v>
      </c>
      <c r="B16" s="19">
        <f>Analysis!E16</f>
        <v>3.9999999999999147E-2</v>
      </c>
      <c r="C16" s="20">
        <f>Analysis!F16</f>
        <v>0.18491500408245293</v>
      </c>
      <c r="D16" s="19">
        <f>ENSO!D16</f>
        <v>0.64</v>
      </c>
      <c r="E16" s="34">
        <f t="shared" si="3"/>
        <v>5.2900000000000004E-3</v>
      </c>
      <c r="F16" s="19">
        <f>Solar!D16</f>
        <v>1361.74</v>
      </c>
      <c r="G16" s="32">
        <v>4.2500000000000003E-3</v>
      </c>
      <c r="H16" s="33">
        <v>0.21970000000000001</v>
      </c>
      <c r="I16" s="20">
        <f t="shared" si="0"/>
        <v>-8.1939776123813902E-3</v>
      </c>
      <c r="J16" s="20">
        <f t="shared" si="1"/>
        <v>4.8193977612380534E-2</v>
      </c>
      <c r="K16" s="20">
        <f>ENSO!I16</f>
        <v>7.0673659002601974E-2</v>
      </c>
      <c r="L16" s="19">
        <f>Analysis!B16</f>
        <v>1959.375</v>
      </c>
      <c r="M16" s="18" t="s">
        <v>1941</v>
      </c>
      <c r="N16" s="25">
        <f>INDEX(LINEST($B$9:$B$822,$C$9:$C$822:$E$9:$E$822),1,2)</f>
        <v>9.2795015553117519E-2</v>
      </c>
      <c r="P16" s="18">
        <v>12</v>
      </c>
      <c r="Q16" s="20">
        <f t="shared" ca="1" si="2"/>
        <v>-0.23280758569115509</v>
      </c>
    </row>
    <row r="17" spans="1:14" ht="15" customHeight="1">
      <c r="A17" s="18" t="str">
        <f>Analysis!A17</f>
        <v>6/1959</v>
      </c>
      <c r="B17" s="19">
        <f>Analysis!E17</f>
        <v>2.9999999999997584E-2</v>
      </c>
      <c r="C17" s="20">
        <f>Analysis!F17</f>
        <v>0.1842802944193824</v>
      </c>
      <c r="D17" s="19">
        <f>ENSO!D17</f>
        <v>0.48</v>
      </c>
      <c r="E17" s="34">
        <f t="shared" si="3"/>
        <v>5.0800000000000003E-3</v>
      </c>
      <c r="F17" s="19">
        <f>Solar!D17</f>
        <v>1361.6</v>
      </c>
      <c r="G17" s="32">
        <v>4.2700000000000004E-3</v>
      </c>
      <c r="H17" s="33">
        <v>0.21929999999999999</v>
      </c>
      <c r="I17" s="20">
        <f t="shared" si="0"/>
        <v>-2.4310229689330932E-2</v>
      </c>
      <c r="J17" s="20">
        <f t="shared" si="1"/>
        <v>5.4310229689328512E-2</v>
      </c>
      <c r="K17" s="20">
        <f>ENSO!I17</f>
        <v>7.6343120239443521E-2</v>
      </c>
      <c r="L17" s="19">
        <f>Analysis!B17</f>
        <v>1959.4583333333333</v>
      </c>
      <c r="M17" s="18" t="s">
        <v>1965</v>
      </c>
      <c r="N17" s="19">
        <f>INDEX(LINEST($B$9:$B$822,$C$9:$C$822:$E$9:$E$822),1,1)</f>
        <v>-2.2003522516467848</v>
      </c>
    </row>
    <row r="18" spans="1:14" ht="15" customHeight="1">
      <c r="A18" s="18" t="str">
        <f>Analysis!A18</f>
        <v>7/1959</v>
      </c>
      <c r="B18" s="19">
        <f>Analysis!E18</f>
        <v>2.9999999999997584E-2</v>
      </c>
      <c r="C18" s="20">
        <f>Analysis!F18</f>
        <v>0.17696099208944205</v>
      </c>
      <c r="D18" s="19">
        <f>ENSO!D18</f>
        <v>0.39</v>
      </c>
      <c r="E18" s="34">
        <f t="shared" si="3"/>
        <v>4.8500000000000001E-3</v>
      </c>
      <c r="F18" s="19">
        <f>Solar!D18</f>
        <v>1361.81</v>
      </c>
      <c r="G18" s="32">
        <v>4.3099999999999996E-3</v>
      </c>
      <c r="H18" s="33">
        <v>0.2185</v>
      </c>
      <c r="I18" s="20">
        <f t="shared" si="0"/>
        <v>-5.2118554668902521E-2</v>
      </c>
      <c r="J18" s="20">
        <f t="shared" si="1"/>
        <v>8.2118554668900112E-2</v>
      </c>
      <c r="K18" s="20">
        <f>ENSO!I18</f>
        <v>0.10428115093962079</v>
      </c>
      <c r="L18" s="19">
        <f>Analysis!B18</f>
        <v>1959.5416666666667</v>
      </c>
      <c r="M18" s="18" t="s">
        <v>1912</v>
      </c>
      <c r="N18" s="20">
        <f>INDEX(LINEST($B$9:$B$822,$C$9:$C$822:$E$9:$E$822,TRUE(),TRUE()),3,1)</f>
        <v>0.90076358738862705</v>
      </c>
    </row>
    <row r="19" spans="1:14" ht="15" customHeight="1">
      <c r="A19" s="18" t="str">
        <f>Analysis!A19</f>
        <v>8/1959</v>
      </c>
      <c r="B19" s="19">
        <f>Analysis!E19</f>
        <v>-9.9999999999980105E-3</v>
      </c>
      <c r="C19" s="20">
        <f>Analysis!F19</f>
        <v>0.16900871367515766</v>
      </c>
      <c r="D19" s="19">
        <f>ENSO!D19</f>
        <v>0.24</v>
      </c>
      <c r="E19" s="34">
        <f t="shared" si="3"/>
        <v>4.6600000000000001E-3</v>
      </c>
      <c r="F19" s="19">
        <f>Solar!D19</f>
        <v>1361.19</v>
      </c>
      <c r="G19" s="32">
        <v>4.3699999999999998E-3</v>
      </c>
      <c r="H19" s="33">
        <v>0.2172</v>
      </c>
      <c r="I19" s="20">
        <f t="shared" si="0"/>
        <v>-8.7308990025540129E-2</v>
      </c>
      <c r="J19" s="20">
        <f t="shared" si="1"/>
        <v>7.7308990025542118E-2</v>
      </c>
      <c r="K19" s="20">
        <f>ENSO!I19</f>
        <v>9.9180104100330985E-2</v>
      </c>
      <c r="L19" s="19">
        <f>Analysis!B19</f>
        <v>1959.625</v>
      </c>
      <c r="M19" s="18" t="s">
        <v>1942</v>
      </c>
      <c r="N19" s="22">
        <f>COUNT($E$9:$E$822)</f>
        <v>814</v>
      </c>
    </row>
    <row r="20" spans="1:14" ht="15" customHeight="1">
      <c r="A20" s="18" t="str">
        <f>Analysis!A20</f>
        <v>9/1959</v>
      </c>
      <c r="B20" s="19">
        <f>Analysis!E20</f>
        <v>-6.0000000000000497E-2</v>
      </c>
      <c r="C20" s="20">
        <f>Analysis!F20</f>
        <v>0.16460241335740428</v>
      </c>
      <c r="D20" s="19">
        <f>ENSO!D20</f>
        <v>0.02</v>
      </c>
      <c r="E20" s="34">
        <f t="shared" si="3"/>
        <v>4.4400000000000004E-3</v>
      </c>
      <c r="F20" s="19">
        <f>Solar!D20</f>
        <v>1361.64</v>
      </c>
      <c r="G20" s="32">
        <v>4.4099999999999999E-3</v>
      </c>
      <c r="H20" s="33">
        <v>0.2165</v>
      </c>
      <c r="I20" s="20">
        <f t="shared" si="0"/>
        <v>-0.11925767347322305</v>
      </c>
      <c r="J20" s="20">
        <f t="shared" si="1"/>
        <v>5.9257673473222555E-2</v>
      </c>
      <c r="K20" s="20">
        <f>ENSO!I20</f>
        <v>8.0431622194207686E-2</v>
      </c>
      <c r="L20" s="19">
        <f>Analysis!B20</f>
        <v>1959.7083333333333</v>
      </c>
      <c r="M20" s="18" t="s">
        <v>1934</v>
      </c>
      <c r="N20" s="20">
        <f>STDEV($J$9:$J$822)</f>
        <v>0.1220848768623428</v>
      </c>
    </row>
    <row r="21" spans="1:14" ht="15" customHeight="1">
      <c r="A21" s="18" t="str">
        <f>Analysis!A21</f>
        <v>10/1959</v>
      </c>
      <c r="B21" s="19">
        <f>Analysis!E21</f>
        <v>-7.0000000000000284E-2</v>
      </c>
      <c r="C21" s="20">
        <f>Analysis!F21</f>
        <v>0.16225608099765507</v>
      </c>
      <c r="D21" s="19">
        <f>ENSO!D21</f>
        <v>-0.19</v>
      </c>
      <c r="E21" s="34">
        <f t="shared" si="3"/>
        <v>4.3E-3</v>
      </c>
      <c r="F21" s="19">
        <f>Solar!D21</f>
        <v>1361.6</v>
      </c>
      <c r="G21" s="32">
        <v>4.45E-3</v>
      </c>
      <c r="H21" s="33">
        <v>0.2155</v>
      </c>
      <c r="I21" s="20">
        <f t="shared" si="0"/>
        <v>-0.14483602502503112</v>
      </c>
      <c r="J21" s="20">
        <f t="shared" si="1"/>
        <v>7.4836025025030839E-2</v>
      </c>
      <c r="K21" s="20">
        <f>ENSO!I21</f>
        <v>9.5154450547220742E-2</v>
      </c>
      <c r="L21" s="19">
        <f>Analysis!B21</f>
        <v>1959.7916666666667</v>
      </c>
      <c r="M21" s="18" t="s">
        <v>1943</v>
      </c>
      <c r="N21" s="19">
        <f>CORREL($J$9:$J$821,$J$10:$J$822)</f>
        <v>0.50280223948212055</v>
      </c>
    </row>
    <row r="22" spans="1:14" ht="15" customHeight="1">
      <c r="A22" s="18" t="str">
        <f>Analysis!A22</f>
        <v>11/1959</v>
      </c>
      <c r="B22" s="19">
        <f>Analysis!E22</f>
        <v>-8.0000000000001847E-2</v>
      </c>
      <c r="C22" s="20">
        <f>Analysis!F22</f>
        <v>0.16905454188757499</v>
      </c>
      <c r="D22" s="19">
        <f>ENSO!D22</f>
        <v>-0.23</v>
      </c>
      <c r="E22" s="34">
        <f t="shared" si="3"/>
        <v>4.2599999999999999E-3</v>
      </c>
      <c r="F22" s="19">
        <f>Solar!D22</f>
        <v>1361.37</v>
      </c>
      <c r="G22" s="32">
        <v>4.3499999999999997E-3</v>
      </c>
      <c r="H22" s="33">
        <v>0.2175</v>
      </c>
      <c r="I22" s="20">
        <f t="shared" si="0"/>
        <v>-0.12991751338226895</v>
      </c>
      <c r="J22" s="20">
        <f t="shared" si="1"/>
        <v>4.9917513382267104E-2</v>
      </c>
      <c r="K22" s="20">
        <f>ENSO!I22</f>
        <v>6.9961975191302039E-2</v>
      </c>
      <c r="L22" s="19">
        <f>Analysis!B22</f>
        <v>1959.875</v>
      </c>
      <c r="M22" s="18" t="s">
        <v>1966</v>
      </c>
      <c r="N22" s="20">
        <f>INDEX(LINEST($B$9:$B$822,$C$9:$C$822:$D$9:$D$822,TRUE(),TRUE()),3,1)</f>
        <v>0.89120225263536146</v>
      </c>
    </row>
    <row r="23" spans="1:14" ht="15" customHeight="1">
      <c r="A23" s="18" t="str">
        <f>Analysis!A23</f>
        <v>12/1959</v>
      </c>
      <c r="B23" s="19">
        <f>Analysis!E23</f>
        <v>0</v>
      </c>
      <c r="C23" s="20">
        <f>Analysis!F23</f>
        <v>0.17257894974287927</v>
      </c>
      <c r="D23" s="19">
        <f>ENSO!D23</f>
        <v>-0.04</v>
      </c>
      <c r="E23" s="34">
        <f t="shared" si="3"/>
        <v>4.2500000000000003E-3</v>
      </c>
      <c r="F23" s="19">
        <f>Solar!D23</f>
        <v>1361.39</v>
      </c>
      <c r="G23" s="32">
        <v>4.2199999999999998E-3</v>
      </c>
      <c r="H23" s="33">
        <v>0.22020000000000001</v>
      </c>
      <c r="I23" s="20">
        <f t="shared" si="0"/>
        <v>-0.10265189570869468</v>
      </c>
      <c r="J23" s="20">
        <f t="shared" si="1"/>
        <v>0.10265189570869468</v>
      </c>
      <c r="K23" s="20">
        <f>ENSO!I23</f>
        <v>0.12374396900860193</v>
      </c>
      <c r="L23" s="19">
        <f>Analysis!B23</f>
        <v>1959.9583333333333</v>
      </c>
    </row>
    <row r="24" spans="1:14" ht="15" customHeight="1">
      <c r="A24" s="18" t="str">
        <f>Analysis!A24</f>
        <v>1/1960</v>
      </c>
      <c r="B24" s="19">
        <f>Analysis!E24</f>
        <v>0</v>
      </c>
      <c r="C24" s="20">
        <f>Analysis!F24</f>
        <v>0.17645955772100325</v>
      </c>
      <c r="D24" s="19">
        <f>ENSO!D24</f>
        <v>0.11</v>
      </c>
      <c r="E24" s="34">
        <f t="shared" si="3"/>
        <v>4.2700000000000004E-3</v>
      </c>
      <c r="F24" s="19">
        <f>Solar!D24</f>
        <v>1361.48</v>
      </c>
      <c r="G24" s="32">
        <v>4.1099999999999999E-3</v>
      </c>
      <c r="H24" s="33">
        <v>0.22239999999999999</v>
      </c>
      <c r="I24" s="20">
        <f t="shared" si="0"/>
        <v>-7.8192579791383762E-2</v>
      </c>
      <c r="J24" s="20">
        <f t="shared" si="1"/>
        <v>7.8192579791383762E-2</v>
      </c>
      <c r="K24" s="20">
        <f>ENSO!I24</f>
        <v>0.10002906449794639</v>
      </c>
      <c r="L24" s="19">
        <f>Analysis!B24</f>
        <v>1960.0416666666667</v>
      </c>
      <c r="M24" s="17" t="s">
        <v>1967</v>
      </c>
    </row>
    <row r="25" spans="1:14" ht="15" customHeight="1">
      <c r="A25" s="18" t="str">
        <f>Analysis!A25</f>
        <v>2/1960</v>
      </c>
      <c r="B25" s="19">
        <f>Analysis!E25</f>
        <v>0.12999999999999901</v>
      </c>
      <c r="C25" s="20">
        <f>Analysis!F25</f>
        <v>0.17896498855382964</v>
      </c>
      <c r="D25" s="19">
        <f>ENSO!D25</f>
        <v>0.23</v>
      </c>
      <c r="E25" s="34">
        <f t="shared" si="3"/>
        <v>4.3099999999999996E-3</v>
      </c>
      <c r="F25" s="19">
        <f>Solar!D25</f>
        <v>1361.54</v>
      </c>
      <c r="G25" s="32">
        <v>3.9699999999999996E-3</v>
      </c>
      <c r="H25" s="33">
        <v>0.2253</v>
      </c>
      <c r="I25" s="20">
        <f t="shared" si="0"/>
        <v>-6.0311815121264448E-2</v>
      </c>
      <c r="J25" s="20">
        <f t="shared" si="1"/>
        <v>0.19031181512126344</v>
      </c>
      <c r="K25" s="20">
        <f>ENSO!I25</f>
        <v>0.21270262436276932</v>
      </c>
      <c r="L25" s="19">
        <f>Analysis!B25</f>
        <v>1960.125</v>
      </c>
      <c r="M25" s="18" t="s">
        <v>1910</v>
      </c>
      <c r="N25" s="20">
        <f>INDEX(LINEST($B$9:$B$791,$C$9:$C$791:$F$9:$F$791),1,4)</f>
        <v>2.6436323213675288</v>
      </c>
    </row>
    <row r="26" spans="1:14" ht="15" customHeight="1">
      <c r="A26" s="18" t="str">
        <f>Analysis!A26</f>
        <v>3/1960</v>
      </c>
      <c r="B26" s="19">
        <f>Analysis!E26</f>
        <v>-0.35000000000000142</v>
      </c>
      <c r="C26" s="20">
        <f>Analysis!F26</f>
        <v>0.1816932326363403</v>
      </c>
      <c r="D26" s="19">
        <f>ENSO!D26</f>
        <v>0.14000000000000001</v>
      </c>
      <c r="E26" s="34">
        <f t="shared" si="3"/>
        <v>4.3699999999999998E-3</v>
      </c>
      <c r="F26" s="19">
        <f>Solar!D26</f>
        <v>1361.63</v>
      </c>
      <c r="G26" s="32">
        <v>3.8899999999999998E-3</v>
      </c>
      <c r="H26" s="33">
        <v>0.22689999999999999</v>
      </c>
      <c r="I26" s="20">
        <f t="shared" si="0"/>
        <v>-6.1354304138753861E-2</v>
      </c>
      <c r="J26" s="20">
        <f t="shared" si="1"/>
        <v>-0.28864569586124755</v>
      </c>
      <c r="K26" s="20">
        <f>ENSO!I26</f>
        <v>-0.2669579066704677</v>
      </c>
      <c r="L26" s="19">
        <f>Analysis!B26</f>
        <v>1960.2083333333333</v>
      </c>
      <c r="M26" s="18" t="s">
        <v>1941</v>
      </c>
      <c r="N26" s="25">
        <f>INDEX(LINEST($B$9:$B$791,$C$9:$C$791:$F$9:$F$791),1,3)</f>
        <v>9.0695761435715672E-2</v>
      </c>
    </row>
    <row r="27" spans="1:14" ht="15" customHeight="1">
      <c r="A27" s="18" t="str">
        <f>Analysis!A27</f>
        <v>4/1960</v>
      </c>
      <c r="B27" s="19">
        <f>Analysis!E27</f>
        <v>-0.14999999999999858</v>
      </c>
      <c r="C27" s="20">
        <f>Analysis!F27</f>
        <v>0.18826526709013644</v>
      </c>
      <c r="D27" s="19">
        <f>ENSO!D27</f>
        <v>0.02</v>
      </c>
      <c r="E27" s="34">
        <f t="shared" si="3"/>
        <v>4.4099999999999999E-3</v>
      </c>
      <c r="F27" s="19">
        <f>Solar!D27</f>
        <v>1361.28</v>
      </c>
      <c r="G27" s="32">
        <v>3.9100000000000003E-3</v>
      </c>
      <c r="H27" s="33">
        <v>0.22650000000000001</v>
      </c>
      <c r="I27" s="20">
        <f t="shared" si="0"/>
        <v>-5.465298324215586E-2</v>
      </c>
      <c r="J27" s="20">
        <f t="shared" si="1"/>
        <v>-9.5347016757842712E-2</v>
      </c>
      <c r="K27" s="20">
        <f>ENSO!I27</f>
        <v>-7.4565413173775671E-2</v>
      </c>
      <c r="L27" s="19">
        <f>Analysis!B27</f>
        <v>1960.2916666666667</v>
      </c>
      <c r="M27" s="18" t="s">
        <v>1968</v>
      </c>
      <c r="N27" s="19">
        <f>INDEX(LINEST($B$9:$B$791,$C$9:$C$791:$F$9:$F$791),1,2)</f>
        <v>-2.1585874374272405</v>
      </c>
    </row>
    <row r="28" spans="1:14" ht="15" customHeight="1">
      <c r="A28" s="18" t="str">
        <f>Analysis!A28</f>
        <v>5/1960</v>
      </c>
      <c r="B28" s="19">
        <f>Analysis!E28</f>
        <v>-8.0000000000001847E-2</v>
      </c>
      <c r="C28" s="20">
        <f>Analysis!F28</f>
        <v>0.19278032426290692</v>
      </c>
      <c r="D28" s="19">
        <f>ENSO!D28</f>
        <v>0.03</v>
      </c>
      <c r="E28" s="34">
        <f t="shared" si="3"/>
        <v>4.45E-3</v>
      </c>
      <c r="F28" s="19">
        <f>Solar!D28</f>
        <v>1361.33</v>
      </c>
      <c r="G28" s="32">
        <v>3.9399999999999999E-3</v>
      </c>
      <c r="H28" s="33">
        <v>0.2258</v>
      </c>
      <c r="I28" s="20">
        <f t="shared" si="0"/>
        <v>-4.1498563394338328E-2</v>
      </c>
      <c r="J28" s="20">
        <f t="shared" si="1"/>
        <v>-3.8501436605663519E-2</v>
      </c>
      <c r="K28" s="20">
        <f>ENSO!I28</f>
        <v>-1.7837732500750277E-2</v>
      </c>
      <c r="L28" s="19">
        <f>Analysis!B28</f>
        <v>1960.375</v>
      </c>
      <c r="M28" s="18" t="s">
        <v>1969</v>
      </c>
      <c r="N28" s="25">
        <f>INDEX(LINEST($B$9:$B$791,$C$9:$C$791:$F$9:$F$791),1,1)</f>
        <v>5.2957800507588366E-2</v>
      </c>
    </row>
    <row r="29" spans="1:14" ht="15" customHeight="1">
      <c r="A29" s="18" t="str">
        <f>Analysis!A29</f>
        <v>6/1960</v>
      </c>
      <c r="B29" s="19">
        <f>Analysis!E29</f>
        <v>-3.9999999999999147E-2</v>
      </c>
      <c r="C29" s="20">
        <f>Analysis!F29</f>
        <v>0.19075029697903845</v>
      </c>
      <c r="D29" s="19">
        <f>ENSO!D29</f>
        <v>0.06</v>
      </c>
      <c r="E29" s="34">
        <f t="shared" si="3"/>
        <v>4.3499999999999997E-3</v>
      </c>
      <c r="F29" s="19">
        <f>Solar!D29</f>
        <v>1361.56</v>
      </c>
      <c r="G29" s="32">
        <v>4.0000000000000001E-3</v>
      </c>
      <c r="H29" s="33">
        <v>0.22459999999999999</v>
      </c>
      <c r="I29" s="20">
        <f t="shared" si="0"/>
        <v>-4.4031426653555569E-2</v>
      </c>
      <c r="J29" s="20">
        <f t="shared" si="1"/>
        <v>4.0314266535564219E-3</v>
      </c>
      <c r="K29" s="20">
        <f>ENSO!I29</f>
        <v>2.5127205516298864E-2</v>
      </c>
      <c r="L29" s="19">
        <f>Analysis!B29</f>
        <v>1960.4583333333333</v>
      </c>
      <c r="M29" s="18" t="s">
        <v>1912</v>
      </c>
      <c r="N29" s="20">
        <f>INDEX(LINEST($B$9:$B$791,$C$9:$C$791:$F$9:$F$791,TRUE(),TRUE()),3,1)</f>
        <v>0.89324050025852886</v>
      </c>
    </row>
    <row r="30" spans="1:14" ht="15" customHeight="1">
      <c r="A30" s="18" t="str">
        <f>Analysis!A30</f>
        <v>7/1960</v>
      </c>
      <c r="B30" s="19">
        <f>Analysis!E30</f>
        <v>-3.9999999999999147E-2</v>
      </c>
      <c r="C30" s="20">
        <f>Analysis!F30</f>
        <v>0.1844163271422109</v>
      </c>
      <c r="D30" s="19">
        <f>ENSO!D30</f>
        <v>0.17</v>
      </c>
      <c r="E30" s="34">
        <f t="shared" si="3"/>
        <v>4.2199999999999998E-3</v>
      </c>
      <c r="F30" s="19">
        <f>Solar!D30</f>
        <v>1361.34</v>
      </c>
      <c r="G30" s="32">
        <v>4.0800000000000003E-3</v>
      </c>
      <c r="H30" s="33">
        <v>0.223</v>
      </c>
      <c r="I30" s="20">
        <f t="shared" si="0"/>
        <v>-5.0813362405622085E-2</v>
      </c>
      <c r="J30" s="20">
        <f t="shared" si="1"/>
        <v>1.0813362405622938E-2</v>
      </c>
      <c r="K30" s="20">
        <f>ENSO!I30</f>
        <v>3.2951174746805437E-2</v>
      </c>
      <c r="L30" s="19">
        <f>Analysis!B30</f>
        <v>1960.5416666666667</v>
      </c>
      <c r="M30" s="18" t="s">
        <v>1970</v>
      </c>
      <c r="N30" s="20">
        <f>INDEX(LINEST($B$9:$B$791,$C$9:$C$791:$E$9:$E$791,TRUE(),TRUE()),3,1)</f>
        <v>0.88957834055845042</v>
      </c>
    </row>
    <row r="31" spans="1:14" ht="15" customHeight="1">
      <c r="A31" s="18" t="str">
        <f>Analysis!A31</f>
        <v>8/1960</v>
      </c>
      <c r="B31" s="19">
        <f>Analysis!E31</f>
        <v>2.0000000000003126E-2</v>
      </c>
      <c r="C31" s="20">
        <f>Analysis!F31</f>
        <v>0.17404110991454413</v>
      </c>
      <c r="D31" s="19">
        <f>ENSO!D31</f>
        <v>0.04</v>
      </c>
      <c r="E31" s="34">
        <f t="shared" si="3"/>
        <v>4.1099999999999999E-3</v>
      </c>
      <c r="F31" s="19">
        <f>Solar!D31</f>
        <v>1361.38</v>
      </c>
      <c r="G31" s="32">
        <v>4.1799999999999997E-3</v>
      </c>
      <c r="H31" s="33">
        <v>0.22109999999999999</v>
      </c>
      <c r="I31" s="20">
        <f t="shared" si="0"/>
        <v>-9.0932311656421363E-2</v>
      </c>
      <c r="J31" s="20">
        <f t="shared" si="1"/>
        <v>0.11093231165642449</v>
      </c>
      <c r="K31" s="20">
        <f>ENSO!I31</f>
        <v>0.13276469149730666</v>
      </c>
      <c r="L31" s="19">
        <f>Analysis!B31</f>
        <v>1960.625</v>
      </c>
      <c r="M31" s="18" t="s">
        <v>1971</v>
      </c>
      <c r="N31" s="20">
        <f>SLOPE($B$9:$B$791,$C$9:$C$791)</f>
        <v>2.6398983612407423</v>
      </c>
    </row>
    <row r="32" spans="1:14" ht="15" customHeight="1">
      <c r="A32" s="18" t="str">
        <f>Analysis!A32</f>
        <v>9/1960</v>
      </c>
      <c r="B32" s="19">
        <f>Analysis!E32</f>
        <v>7.0000000000000284E-2</v>
      </c>
      <c r="C32" s="20">
        <f>Analysis!F32</f>
        <v>0.16611859751788685</v>
      </c>
      <c r="D32" s="19">
        <f>ENSO!D32</f>
        <v>0</v>
      </c>
      <c r="E32" s="34">
        <f t="shared" si="3"/>
        <v>3.9699999999999996E-3</v>
      </c>
      <c r="F32" s="19">
        <f>Solar!D32</f>
        <v>1361.59</v>
      </c>
      <c r="G32" s="32">
        <v>4.2399999999999998E-3</v>
      </c>
      <c r="H32" s="33">
        <v>0.2198</v>
      </c>
      <c r="I32" s="20">
        <f t="shared" si="0"/>
        <v>-0.11594412830797993</v>
      </c>
      <c r="J32" s="20">
        <f t="shared" si="1"/>
        <v>0.18594412830798021</v>
      </c>
      <c r="K32" s="20">
        <f>ENSO!I32</f>
        <v>0.20800772878774526</v>
      </c>
      <c r="L32" s="19">
        <f>Analysis!B32</f>
        <v>1960.7083333333333</v>
      </c>
      <c r="M32" s="17" t="s">
        <v>1972</v>
      </c>
    </row>
    <row r="33" spans="1:14" ht="15" customHeight="1">
      <c r="A33" s="18" t="str">
        <f>Analysis!A33</f>
        <v>10/1960</v>
      </c>
      <c r="B33" s="19">
        <f>Analysis!E33</f>
        <v>5.9999999999998721E-2</v>
      </c>
      <c r="C33" s="20">
        <f>Analysis!F33</f>
        <v>0.16455644349932552</v>
      </c>
      <c r="D33" s="19">
        <f>ENSO!D33</f>
        <v>0.01</v>
      </c>
      <c r="E33" s="34">
        <f t="shared" si="3"/>
        <v>3.8899999999999998E-3</v>
      </c>
      <c r="F33" s="19">
        <f>Solar!D33</f>
        <v>1361.44</v>
      </c>
      <c r="G33" s="32">
        <v>4.3099999999999996E-3</v>
      </c>
      <c r="H33" s="33">
        <v>0.21840000000000001</v>
      </c>
      <c r="I33" s="20">
        <f t="shared" si="0"/>
        <v>-0.11910080927096894</v>
      </c>
      <c r="J33" s="20">
        <f t="shared" si="1"/>
        <v>0.17910080927096766</v>
      </c>
      <c r="K33" s="20">
        <f>ENSO!I33</f>
        <v>0.20142826972197234</v>
      </c>
      <c r="L33" s="19">
        <f>Analysis!B33</f>
        <v>1960.7916666666667</v>
      </c>
      <c r="M33" s="18" t="s">
        <v>1973</v>
      </c>
      <c r="N33" s="19">
        <f>$N$17*MAX($G$66:$G$83)</f>
        <v>-0.17794248659067549</v>
      </c>
    </row>
    <row r="34" spans="1:14" ht="15" customHeight="1">
      <c r="A34" s="18" t="str">
        <f>Analysis!A34</f>
        <v>11/1960</v>
      </c>
      <c r="B34" s="19">
        <f>Analysis!E34</f>
        <v>-0.10999999999999766</v>
      </c>
      <c r="C34" s="20">
        <f>Analysis!F34</f>
        <v>0.16992500144231237</v>
      </c>
      <c r="D34" s="19">
        <f>ENSO!D34</f>
        <v>0.15</v>
      </c>
      <c r="E34" s="34">
        <f t="shared" si="3"/>
        <v>3.9100000000000003E-3</v>
      </c>
      <c r="F34" s="19">
        <f>Solar!D34</f>
        <v>1361.23</v>
      </c>
      <c r="G34" s="32">
        <v>4.2300000000000003E-3</v>
      </c>
      <c r="H34" s="33">
        <v>0.22</v>
      </c>
      <c r="I34" s="20">
        <f t="shared" si="0"/>
        <v>-9.151117026698978E-2</v>
      </c>
      <c r="J34" s="20">
        <f t="shared" si="1"/>
        <v>-1.8488829733007875E-2</v>
      </c>
      <c r="K34" s="20">
        <f>ENSO!I34</f>
        <v>4.4966476855936577E-3</v>
      </c>
      <c r="L34" s="19">
        <f>Analysis!B34</f>
        <v>1960.875</v>
      </c>
      <c r="M34" s="18" t="s">
        <v>1974</v>
      </c>
      <c r="N34" s="19">
        <f>$N$17*MAX($G$292:$G$311)</f>
        <v>-0.12654225799220659</v>
      </c>
    </row>
    <row r="35" spans="1:14" ht="15" customHeight="1">
      <c r="A35" s="18" t="str">
        <f>Analysis!A35</f>
        <v>12/1960</v>
      </c>
      <c r="B35" s="19">
        <f>Analysis!E35</f>
        <v>0.19000000000000128</v>
      </c>
      <c r="C35" s="20">
        <f>Analysis!F35</f>
        <v>0.17536491377542907</v>
      </c>
      <c r="D35" s="19">
        <f>ENSO!D35</f>
        <v>0.19</v>
      </c>
      <c r="E35" s="34">
        <f t="shared" si="3"/>
        <v>3.9399999999999999E-3</v>
      </c>
      <c r="F35" s="19">
        <f>Solar!D35</f>
        <v>1361.34</v>
      </c>
      <c r="G35" s="32">
        <v>4.1200000000000004E-3</v>
      </c>
      <c r="H35" s="33">
        <v>0.2223</v>
      </c>
      <c r="I35" s="20">
        <f t="shared" si="0"/>
        <v>-7.3028422530552431E-2</v>
      </c>
      <c r="J35" s="20">
        <f t="shared" si="1"/>
        <v>0.2630284225305537</v>
      </c>
      <c r="K35" s="20">
        <f>ENSO!I35</f>
        <v>0.28607280667456281</v>
      </c>
      <c r="L35" s="19">
        <f>Analysis!B35</f>
        <v>1960.9583333333333</v>
      </c>
      <c r="M35" s="18" t="s">
        <v>1975</v>
      </c>
      <c r="N35" s="19">
        <f>$N$17*MAX($G$400:$G$419)</f>
        <v>-0.25189632576852394</v>
      </c>
    </row>
    <row r="36" spans="1:14" ht="15" customHeight="1">
      <c r="A36" s="18" t="str">
        <f>Analysis!A36</f>
        <v>1/1961</v>
      </c>
      <c r="B36" s="19">
        <f>Analysis!E36</f>
        <v>7.0000000000000284E-2</v>
      </c>
      <c r="C36" s="20">
        <f>Analysis!F36</f>
        <v>0.17855530658575247</v>
      </c>
      <c r="D36" s="19">
        <f>ENSO!D36</f>
        <v>0.08</v>
      </c>
      <c r="E36" s="34">
        <f t="shared" si="3"/>
        <v>4.0000000000000001E-3</v>
      </c>
      <c r="F36" s="19">
        <f>Solar!D36</f>
        <v>1361.24</v>
      </c>
      <c r="G36" s="32">
        <v>4.0200000000000001E-3</v>
      </c>
      <c r="H36" s="33">
        <v>0.22420000000000001</v>
      </c>
      <c r="I36" s="20">
        <f t="shared" si="0"/>
        <v>-7.4666335458493591E-2</v>
      </c>
      <c r="J36" s="20">
        <f t="shared" si="1"/>
        <v>0.14466633545849389</v>
      </c>
      <c r="K36" s="20">
        <f>ENSO!I36</f>
        <v>0.1668836026960181</v>
      </c>
      <c r="L36" s="19">
        <f>Analysis!B36</f>
        <v>1961.0416666666667</v>
      </c>
      <c r="M36" s="18" t="s">
        <v>1976</v>
      </c>
      <c r="N36" s="19">
        <f>$N$17/(MIN($H$400:$H$419)/MAX($G$400:$G$419))</f>
        <v>0.12689351960532161</v>
      </c>
    </row>
    <row r="37" spans="1:14" ht="15" customHeight="1">
      <c r="A37" s="18" t="str">
        <f>Analysis!A37</f>
        <v>2/1961</v>
      </c>
      <c r="B37" s="19">
        <f>Analysis!E37</f>
        <v>0.19000000000000128</v>
      </c>
      <c r="C37" s="20">
        <f>Analysis!F37</f>
        <v>0.18223826288116377</v>
      </c>
      <c r="D37" s="19">
        <f>ENSO!D37</f>
        <v>-7.0000000000000007E-2</v>
      </c>
      <c r="E37" s="34">
        <f t="shared" si="3"/>
        <v>4.0800000000000003E-3</v>
      </c>
      <c r="F37" s="19">
        <f>Solar!D37</f>
        <v>1361.13</v>
      </c>
      <c r="G37" s="32">
        <v>3.8899999999999998E-3</v>
      </c>
      <c r="H37" s="33">
        <v>0.2268</v>
      </c>
      <c r="I37" s="20">
        <f t="shared" si="0"/>
        <v>-7.8716625656857969E-2</v>
      </c>
      <c r="J37" s="20">
        <f t="shared" si="1"/>
        <v>0.26871662565685928</v>
      </c>
      <c r="K37" s="20">
        <f>ENSO!I37</f>
        <v>0.28982293803198234</v>
      </c>
      <c r="L37" s="19">
        <f>Analysis!B37</f>
        <v>1961.125</v>
      </c>
    </row>
    <row r="38" spans="1:14" ht="15" customHeight="1">
      <c r="A38" s="18" t="str">
        <f>Analysis!A38</f>
        <v>3/1961</v>
      </c>
      <c r="B38" s="19">
        <f>Analysis!E38</f>
        <v>8.9999999999999858E-2</v>
      </c>
      <c r="C38" s="20">
        <f>Analysis!F38</f>
        <v>0.18604772012519621</v>
      </c>
      <c r="D38" s="19">
        <f>ENSO!D38</f>
        <v>-7.0000000000000007E-2</v>
      </c>
      <c r="E38" s="34">
        <f t="shared" si="3"/>
        <v>4.1799999999999997E-3</v>
      </c>
      <c r="F38" s="19">
        <f>Solar!D38</f>
        <v>1361.04</v>
      </c>
      <c r="G38" s="32">
        <v>3.82E-3</v>
      </c>
      <c r="H38" s="33">
        <v>0.2281</v>
      </c>
      <c r="I38" s="20">
        <f t="shared" si="0"/>
        <v>-6.8546648606183286E-2</v>
      </c>
      <c r="J38" s="20">
        <f t="shared" si="1"/>
        <v>0.15854664860618314</v>
      </c>
      <c r="K38" s="20">
        <f>ENSO!I38</f>
        <v>0.17935913556673977</v>
      </c>
      <c r="L38" s="19">
        <f>Analysis!B38</f>
        <v>1961.2083333333333</v>
      </c>
      <c r="M38" s="17" t="s">
        <v>1949</v>
      </c>
    </row>
    <row r="39" spans="1:14" ht="15" customHeight="1">
      <c r="A39" s="18" t="str">
        <f>Analysis!A39</f>
        <v>4/1961</v>
      </c>
      <c r="B39" s="19">
        <f>Analysis!E39</f>
        <v>0.12999999999999901</v>
      </c>
      <c r="C39" s="20">
        <f>Analysis!F39</f>
        <v>0.19029879162659466</v>
      </c>
      <c r="D39" s="19">
        <f>ENSO!D39</f>
        <v>0</v>
      </c>
      <c r="E39" s="34">
        <f t="shared" si="3"/>
        <v>4.2399999999999998E-3</v>
      </c>
      <c r="F39" s="19">
        <f>Solar!D39</f>
        <v>1360.93</v>
      </c>
      <c r="G39" s="32">
        <v>3.8500000000000001E-3</v>
      </c>
      <c r="H39" s="33">
        <v>0.2276</v>
      </c>
      <c r="I39" s="20">
        <f t="shared" si="0"/>
        <v>-5.0588536222240965E-2</v>
      </c>
      <c r="J39" s="20">
        <f t="shared" si="1"/>
        <v>0.18058853622223997</v>
      </c>
      <c r="K39" s="20">
        <f>ENSO!I39</f>
        <v>0.20158966487035501</v>
      </c>
      <c r="L39" s="19">
        <f>Analysis!B39</f>
        <v>1961.2916666666667</v>
      </c>
      <c r="M39" s="18" t="s">
        <v>1977</v>
      </c>
      <c r="N39" s="19">
        <f>AVERAGEIFS($J$2:$J$823,Analysis!$B$2:$B$823,"&gt;=2023",Analysis!$B$2:$B$823,"&lt;2026")</f>
        <v>0.15129879294277743</v>
      </c>
    </row>
    <row r="40" spans="1:14" ht="15" customHeight="1">
      <c r="A40" s="18" t="str">
        <f>Analysis!A40</f>
        <v>5/1961</v>
      </c>
      <c r="B40" s="19">
        <f>Analysis!E40</f>
        <v>0.11999999999999744</v>
      </c>
      <c r="C40" s="20">
        <f>Analysis!F40</f>
        <v>0.1952575958242399</v>
      </c>
      <c r="D40" s="19">
        <f>ENSO!D40</f>
        <v>0.03</v>
      </c>
      <c r="E40" s="34">
        <f t="shared" si="3"/>
        <v>4.3099999999999996E-3</v>
      </c>
      <c r="F40" s="19">
        <f>Solar!D40</f>
        <v>1361.01</v>
      </c>
      <c r="G40" s="32">
        <v>3.8899999999999998E-3</v>
      </c>
      <c r="H40" s="33">
        <v>0.22670000000000001</v>
      </c>
      <c r="I40" s="20">
        <f t="shared" si="0"/>
        <v>-3.4433939511127713E-2</v>
      </c>
      <c r="J40" s="20">
        <f t="shared" si="1"/>
        <v>0.15443393951112516</v>
      </c>
      <c r="K40" s="20">
        <f>ENSO!I40</f>
        <v>0.1753577075291497</v>
      </c>
      <c r="L40" s="19">
        <f>Analysis!B40</f>
        <v>1961.375</v>
      </c>
      <c r="M40" s="18" t="s">
        <v>1951</v>
      </c>
      <c r="N40" s="19">
        <f>AVERAGEIFS($J$2:$J$823,Analysis!$B$2:$B$823,"&gt;=1959",Analysis!$B$2:$B$823,"&lt;2023")</f>
        <v>-8.6544580053860305E-3</v>
      </c>
    </row>
    <row r="41" spans="1:14" ht="15" customHeight="1">
      <c r="A41" s="18" t="str">
        <f>Analysis!A41</f>
        <v>6/1961</v>
      </c>
      <c r="B41" s="19">
        <f>Analysis!E41</f>
        <v>0.10999999999999766</v>
      </c>
      <c r="C41" s="20">
        <f>Analysis!F41</f>
        <v>0.19160776805384336</v>
      </c>
      <c r="D41" s="19">
        <f>ENSO!D41</f>
        <v>0.01</v>
      </c>
      <c r="E41" s="34">
        <f t="shared" si="3"/>
        <v>4.2300000000000003E-3</v>
      </c>
      <c r="F41" s="19">
        <f>Solar!D41</f>
        <v>1360.82</v>
      </c>
      <c r="G41" s="32">
        <v>3.96E-3</v>
      </c>
      <c r="H41" s="33">
        <v>0.2253</v>
      </c>
      <c r="I41" s="20">
        <f t="shared" si="0"/>
        <v>-4.606844636030441E-2</v>
      </c>
      <c r="J41" s="20">
        <f t="shared" si="1"/>
        <v>0.15606844636030207</v>
      </c>
      <c r="K41" s="20">
        <f>ENSO!I41</f>
        <v>0.17712379576967277</v>
      </c>
      <c r="L41" s="19">
        <f>Analysis!B41</f>
        <v>1961.4583333333333</v>
      </c>
      <c r="M41" s="18" t="s">
        <v>1978</v>
      </c>
      <c r="N41" s="19">
        <f>AVERAGEIFS($J$2:$J$823,Analysis!$B$2:$B$823,"&gt;=2026")</f>
        <v>0.11958867370530446</v>
      </c>
    </row>
    <row r="42" spans="1:14" ht="15" customHeight="1">
      <c r="A42" s="18" t="str">
        <f>Analysis!A42</f>
        <v>7/1961</v>
      </c>
      <c r="B42" s="19">
        <f>Analysis!E42</f>
        <v>1.0000000000001563E-2</v>
      </c>
      <c r="C42" s="20">
        <f>Analysis!F42</f>
        <v>0.18613829900081141</v>
      </c>
      <c r="D42" s="19">
        <f>ENSO!D42</f>
        <v>0.05</v>
      </c>
      <c r="E42" s="34">
        <f t="shared" si="3"/>
        <v>4.1200000000000004E-3</v>
      </c>
      <c r="F42" s="19">
        <f>Solar!D42</f>
        <v>1360.94</v>
      </c>
      <c r="G42" s="32">
        <v>4.0499999999999998E-3</v>
      </c>
      <c r="H42" s="33">
        <v>0.22359999999999999</v>
      </c>
      <c r="I42" s="20">
        <f t="shared" si="0"/>
        <v>-5.7032178435183101E-2</v>
      </c>
      <c r="J42" s="20">
        <f t="shared" si="1"/>
        <v>6.7032178435184664E-2</v>
      </c>
      <c r="K42" s="20">
        <f>ENSO!I42</f>
        <v>8.8665801473808592E-2</v>
      </c>
      <c r="L42" s="19">
        <f>Analysis!B42</f>
        <v>1961.5416666666667</v>
      </c>
    </row>
    <row r="43" spans="1:14" ht="15" customHeight="1">
      <c r="A43" s="18" t="str">
        <f>Analysis!A43</f>
        <v>8/1961</v>
      </c>
      <c r="B43" s="19">
        <f>Analysis!E43</f>
        <v>1.0000000000001563E-2</v>
      </c>
      <c r="C43" s="20">
        <f>Analysis!F43</f>
        <v>0.17809996791233229</v>
      </c>
      <c r="D43" s="19">
        <f>ENSO!D43</f>
        <v>0.22</v>
      </c>
      <c r="E43" s="34">
        <f t="shared" si="3"/>
        <v>4.0200000000000001E-3</v>
      </c>
      <c r="F43" s="19">
        <f>Solar!D43</f>
        <v>1361.23</v>
      </c>
      <c r="G43" s="32">
        <v>4.15E-3</v>
      </c>
      <c r="H43" s="33">
        <v>0.22159999999999999</v>
      </c>
      <c r="I43" s="20">
        <f t="shared" si="0"/>
        <v>-6.2960942808106685E-2</v>
      </c>
      <c r="J43" s="20">
        <f t="shared" si="1"/>
        <v>7.2960942808108248E-2</v>
      </c>
      <c r="K43" s="20">
        <f>ENSO!I43</f>
        <v>9.5949037423440658E-2</v>
      </c>
      <c r="L43" s="19">
        <f>Analysis!B43</f>
        <v>1961.625</v>
      </c>
      <c r="M43" s="17" t="s">
        <v>1886</v>
      </c>
    </row>
    <row r="44" spans="1:14" ht="15" customHeight="1">
      <c r="A44" s="18" t="str">
        <f>Analysis!A44</f>
        <v>9/1961</v>
      </c>
      <c r="B44" s="19">
        <f>Analysis!E44</f>
        <v>8.0000000000000071E-2</v>
      </c>
      <c r="C44" s="20">
        <f>Analysis!F44</f>
        <v>0.16987920087274735</v>
      </c>
      <c r="D44" s="19">
        <f>ENSO!D44</f>
        <v>0.22</v>
      </c>
      <c r="E44" s="34">
        <f t="shared" si="3"/>
        <v>3.8899999999999998E-3</v>
      </c>
      <c r="F44" s="19">
        <f>Solar!D44</f>
        <v>1360.78</v>
      </c>
      <c r="G44" s="32">
        <v>4.2199999999999998E-3</v>
      </c>
      <c r="H44" s="33">
        <v>0.22020000000000001</v>
      </c>
      <c r="I44" s="20">
        <f t="shared" si="0"/>
        <v>-8.509642979198552E-2</v>
      </c>
      <c r="J44" s="20">
        <f t="shared" si="1"/>
        <v>0.16509642979198558</v>
      </c>
      <c r="K44" s="20">
        <f>ENSO!I44</f>
        <v>0.18852980862115623</v>
      </c>
      <c r="L44" s="19">
        <f>Analysis!B44</f>
        <v>1961.7083333333333</v>
      </c>
      <c r="M44" s="29" t="s">
        <v>1979</v>
      </c>
    </row>
    <row r="45" spans="1:14" ht="15" customHeight="1">
      <c r="A45" s="18" t="str">
        <f>Analysis!A45</f>
        <v>10/1961</v>
      </c>
      <c r="B45" s="19">
        <f>Analysis!E45</f>
        <v>0</v>
      </c>
      <c r="C45" s="20">
        <f>Analysis!F45</f>
        <v>0.17134409839059492</v>
      </c>
      <c r="D45" s="19">
        <f>ENSO!D45</f>
        <v>0.08</v>
      </c>
      <c r="E45" s="34">
        <f t="shared" si="3"/>
        <v>3.82E-3</v>
      </c>
      <c r="F45" s="19">
        <f>Solar!D45</f>
        <v>1361.02</v>
      </c>
      <c r="G45" s="32">
        <v>4.3E-3</v>
      </c>
      <c r="H45" s="33">
        <v>0.21859999999999999</v>
      </c>
      <c r="I45" s="20">
        <f t="shared" si="0"/>
        <v>-9.3938307910192337E-2</v>
      </c>
      <c r="J45" s="20">
        <f t="shared" si="1"/>
        <v>9.3938307910192337E-2</v>
      </c>
      <c r="K45" s="20">
        <f>ENSO!I45</f>
        <v>0.1166913215536217</v>
      </c>
      <c r="L45" s="19">
        <f>Analysis!B45</f>
        <v>1961.7916666666667</v>
      </c>
      <c r="M45" s="29" t="s">
        <v>2457</v>
      </c>
    </row>
    <row r="46" spans="1:14" ht="15" customHeight="1">
      <c r="A46" s="18" t="str">
        <f>Analysis!A46</f>
        <v>11/1961</v>
      </c>
      <c r="B46" s="19">
        <f>Analysis!E46</f>
        <v>2.9999999999997584E-2</v>
      </c>
      <c r="C46" s="20">
        <f>Analysis!F46</f>
        <v>0.17495420807216977</v>
      </c>
      <c r="D46" s="19">
        <f>ENSO!D46</f>
        <v>-0.2</v>
      </c>
      <c r="E46" s="34">
        <f t="shared" si="3"/>
        <v>3.8500000000000001E-3</v>
      </c>
      <c r="F46" s="19">
        <f>Solar!D46</f>
        <v>1360.89</v>
      </c>
      <c r="G46" s="32">
        <v>4.2199999999999998E-3</v>
      </c>
      <c r="H46" s="33">
        <v>0.22020000000000001</v>
      </c>
      <c r="I46" s="20">
        <f t="shared" si="0"/>
        <v>-0.11014061625772198</v>
      </c>
      <c r="J46" s="20">
        <f t="shared" si="1"/>
        <v>0.14014061625771956</v>
      </c>
      <c r="K46" s="20">
        <f>ENSO!I46</f>
        <v>0.16114566177314837</v>
      </c>
      <c r="L46" s="19">
        <f>Analysis!B46</f>
        <v>1961.875</v>
      </c>
      <c r="M46" s="29" t="s">
        <v>2610</v>
      </c>
    </row>
    <row r="47" spans="1:14" ht="15" customHeight="1">
      <c r="A47" s="18" t="str">
        <f>Analysis!A47</f>
        <v>12/1961</v>
      </c>
      <c r="B47" s="19">
        <f>Analysis!E47</f>
        <v>-0.16000000000000014</v>
      </c>
      <c r="C47" s="20">
        <f>Analysis!F47</f>
        <v>0.17910152336118931</v>
      </c>
      <c r="D47" s="19">
        <f>ENSO!D47</f>
        <v>-0.32</v>
      </c>
      <c r="E47" s="34">
        <f t="shared" si="3"/>
        <v>3.8899999999999998E-3</v>
      </c>
      <c r="F47" s="19">
        <f>Solar!D47</f>
        <v>1360.91</v>
      </c>
      <c r="G47" s="32">
        <v>4.1099999999999999E-3</v>
      </c>
      <c r="H47" s="33">
        <v>0.2225</v>
      </c>
      <c r="I47" s="20">
        <f t="shared" si="0"/>
        <v>-0.11005253716268418</v>
      </c>
      <c r="J47" s="20">
        <f t="shared" si="1"/>
        <v>-4.9947462837315965E-2</v>
      </c>
      <c r="K47" s="20">
        <f>ENSO!I47</f>
        <v>-2.9801635480232985E-2</v>
      </c>
      <c r="L47" s="19">
        <f>Analysis!B47</f>
        <v>1961.9583333333333</v>
      </c>
      <c r="M47" s="29" t="s">
        <v>1980</v>
      </c>
    </row>
    <row r="48" spans="1:14" ht="15" customHeight="1">
      <c r="A48" s="18" t="str">
        <f>Analysis!A48</f>
        <v>1/1962</v>
      </c>
      <c r="B48" s="19">
        <f>Analysis!E48</f>
        <v>5.0000000000004263E-2</v>
      </c>
      <c r="C48" s="20">
        <f>Analysis!F48</f>
        <v>0.18332770604480075</v>
      </c>
      <c r="D48" s="19">
        <f>ENSO!D48</f>
        <v>-0.22</v>
      </c>
      <c r="E48" s="34">
        <f t="shared" si="3"/>
        <v>3.96E-3</v>
      </c>
      <c r="F48" s="19">
        <f>Solar!D48</f>
        <v>1360.76</v>
      </c>
      <c r="G48" s="32">
        <v>4.0099999999999997E-3</v>
      </c>
      <c r="H48" s="33">
        <v>0.2243</v>
      </c>
      <c r="I48" s="20">
        <f t="shared" si="0"/>
        <v>-8.9400460240417867E-2</v>
      </c>
      <c r="J48" s="20">
        <f t="shared" si="1"/>
        <v>0.13940046024042213</v>
      </c>
      <c r="K48" s="20">
        <f>ENSO!I48</f>
        <v>0.15988612523540482</v>
      </c>
      <c r="L48" s="19">
        <f>Analysis!B48</f>
        <v>1962.0416666666667</v>
      </c>
      <c r="M48" s="29" t="s">
        <v>1981</v>
      </c>
    </row>
    <row r="49" spans="1:13" ht="15" customHeight="1">
      <c r="A49" s="18" t="str">
        <f>Analysis!A49</f>
        <v>2/1962</v>
      </c>
      <c r="B49" s="19">
        <f>Analysis!E49</f>
        <v>0.14999999999999858</v>
      </c>
      <c r="C49" s="20">
        <f>Analysis!F49</f>
        <v>0.18609301027387254</v>
      </c>
      <c r="D49" s="19">
        <f>ENSO!D49</f>
        <v>-0.11</v>
      </c>
      <c r="E49" s="34">
        <f t="shared" si="3"/>
        <v>4.0499999999999998E-3</v>
      </c>
      <c r="F49" s="19">
        <f>Solar!D49</f>
        <v>1360.67</v>
      </c>
      <c r="G49" s="32">
        <v>3.8899999999999998E-3</v>
      </c>
      <c r="H49" s="33">
        <v>0.22689999999999999</v>
      </c>
      <c r="I49" s="20">
        <f t="shared" si="0"/>
        <v>-7.1848877911988518E-2</v>
      </c>
      <c r="J49" s="20">
        <f t="shared" si="1"/>
        <v>0.2218488779119871</v>
      </c>
      <c r="K49" s="20">
        <f>ENSO!I49</f>
        <v>0.24271624355661553</v>
      </c>
      <c r="L49" s="19">
        <f>Analysis!B49</f>
        <v>1962.125</v>
      </c>
      <c r="M49" s="29" t="s">
        <v>1982</v>
      </c>
    </row>
    <row r="50" spans="1:13" ht="15" customHeight="1">
      <c r="A50" s="18" t="str">
        <f>Analysis!A50</f>
        <v>3/1962</v>
      </c>
      <c r="B50" s="19">
        <f>Analysis!E50</f>
        <v>9.9999999999997868E-2</v>
      </c>
      <c r="C50" s="20">
        <f>Analysis!F50</f>
        <v>0.19120166107272715</v>
      </c>
      <c r="D50" s="19">
        <f>ENSO!D50</f>
        <v>-0.05</v>
      </c>
      <c r="E50" s="34">
        <f t="shared" si="3"/>
        <v>4.15E-3</v>
      </c>
      <c r="F50" s="19">
        <f>Solar!D50</f>
        <v>1360.96</v>
      </c>
      <c r="G50" s="32">
        <v>3.82E-3</v>
      </c>
      <c r="H50" s="33">
        <v>0.22819999999999999</v>
      </c>
      <c r="I50" s="20">
        <f t="shared" si="0"/>
        <v>-5.2567745803674001E-2</v>
      </c>
      <c r="J50" s="20">
        <f t="shared" si="1"/>
        <v>0.15256774580367188</v>
      </c>
      <c r="K50" s="20">
        <f>ENSO!I50</f>
        <v>0.17346155505246502</v>
      </c>
      <c r="L50" s="19">
        <f>Analysis!B50</f>
        <v>1962.2083333333333</v>
      </c>
    </row>
    <row r="51" spans="1:13" ht="15" customHeight="1">
      <c r="A51" s="18" t="str">
        <f>Analysis!A51</f>
        <v>4/1962</v>
      </c>
      <c r="B51" s="19">
        <f>Analysis!E51</f>
        <v>5.0000000000004263E-2</v>
      </c>
      <c r="C51" s="20">
        <f>Analysis!F51</f>
        <v>0.19521259246961153</v>
      </c>
      <c r="D51" s="19">
        <f>ENSO!D51</f>
        <v>-0.16</v>
      </c>
      <c r="E51" s="34">
        <f t="shared" si="3"/>
        <v>4.2199999999999998E-3</v>
      </c>
      <c r="F51" s="19">
        <f>Solar!D51</f>
        <v>1360.85</v>
      </c>
      <c r="G51" s="32">
        <v>3.8500000000000001E-3</v>
      </c>
      <c r="H51" s="33">
        <v>0.2276</v>
      </c>
      <c r="I51" s="20">
        <f t="shared" si="0"/>
        <v>-5.1989704077668612E-2</v>
      </c>
      <c r="J51" s="20">
        <f t="shared" si="1"/>
        <v>0.10198970407767288</v>
      </c>
      <c r="K51" s="20">
        <f>ENSO!I51</f>
        <v>0.12201849884909112</v>
      </c>
      <c r="L51" s="19">
        <f>Analysis!B51</f>
        <v>1962.2916666666667</v>
      </c>
    </row>
    <row r="52" spans="1:13" ht="15" customHeight="1">
      <c r="A52" s="18" t="str">
        <f>Analysis!A52</f>
        <v>5/1962</v>
      </c>
      <c r="B52" s="19">
        <f>Analysis!E52</f>
        <v>-6.0000000000000497E-2</v>
      </c>
      <c r="C52" s="20">
        <f>Analysis!F52</f>
        <v>0.19723635491870628</v>
      </c>
      <c r="D52" s="19">
        <f>ENSO!D52</f>
        <v>-0.17</v>
      </c>
      <c r="E52" s="34">
        <f t="shared" si="3"/>
        <v>4.3E-3</v>
      </c>
      <c r="F52" s="19">
        <f>Solar!D52</f>
        <v>1360.84</v>
      </c>
      <c r="G52" s="32">
        <v>3.8899999999999998E-3</v>
      </c>
      <c r="H52" s="33">
        <v>0.22670000000000001</v>
      </c>
      <c r="I52" s="20">
        <f t="shared" si="0"/>
        <v>-4.7574020334851558E-2</v>
      </c>
      <c r="J52" s="20">
        <f t="shared" si="1"/>
        <v>-1.242597966514894E-2</v>
      </c>
      <c r="K52" s="20">
        <f>ENSO!I52</f>
        <v>7.3300136582425818E-3</v>
      </c>
      <c r="L52" s="19">
        <f>Analysis!B52</f>
        <v>1962.375</v>
      </c>
    </row>
    <row r="53" spans="1:13" ht="15" customHeight="1">
      <c r="A53" s="18" t="str">
        <f>Analysis!A53</f>
        <v>6/1962</v>
      </c>
      <c r="B53" s="19">
        <f>Analysis!E53</f>
        <v>2.9999999999997584E-2</v>
      </c>
      <c r="C53" s="20">
        <f>Analysis!F53</f>
        <v>0.19543759520574477</v>
      </c>
      <c r="D53" s="19">
        <f>ENSO!D53</f>
        <v>-0.15</v>
      </c>
      <c r="E53" s="34">
        <f t="shared" si="3"/>
        <v>4.2199999999999998E-3</v>
      </c>
      <c r="F53" s="19">
        <f>Solar!D53</f>
        <v>1360.93</v>
      </c>
      <c r="G53" s="32">
        <v>3.9699999999999996E-3</v>
      </c>
      <c r="H53" s="33">
        <v>0.2253</v>
      </c>
      <c r="I53" s="20">
        <f t="shared" si="0"/>
        <v>-5.0448075636553874E-2</v>
      </c>
      <c r="J53" s="20">
        <f t="shared" si="1"/>
        <v>8.0448075636551458E-2</v>
      </c>
      <c r="K53" s="20">
        <f>ENSO!I53</f>
        <v>0.10053008450238948</v>
      </c>
      <c r="L53" s="19">
        <f>Analysis!B53</f>
        <v>1962.4583333333333</v>
      </c>
    </row>
    <row r="54" spans="1:13" ht="15" customHeight="1">
      <c r="A54" s="18" t="str">
        <f>Analysis!A54</f>
        <v>7/1962</v>
      </c>
      <c r="B54" s="19">
        <f>Analysis!E54</f>
        <v>2.0000000000003126E-2</v>
      </c>
      <c r="C54" s="20">
        <f>Analysis!F54</f>
        <v>0.19088572103529255</v>
      </c>
      <c r="D54" s="19">
        <f>ENSO!D54</f>
        <v>-0.2</v>
      </c>
      <c r="E54" s="34">
        <f t="shared" si="3"/>
        <v>4.1099999999999999E-3</v>
      </c>
      <c r="F54" s="19">
        <f>Solar!D54</f>
        <v>1360.8</v>
      </c>
      <c r="G54" s="32">
        <v>4.0499999999999998E-3</v>
      </c>
      <c r="H54" s="33">
        <v>0.22359999999999999</v>
      </c>
      <c r="I54" s="20">
        <f t="shared" si="0"/>
        <v>-6.7260687081179063E-2</v>
      </c>
      <c r="J54" s="20">
        <f t="shared" si="1"/>
        <v>8.7260687081182189E-2</v>
      </c>
      <c r="K54" s="20">
        <f>ENSO!I54</f>
        <v>0.10738504341218125</v>
      </c>
      <c r="L54" s="19">
        <f>Analysis!B54</f>
        <v>1962.5416666666667</v>
      </c>
    </row>
    <row r="55" spans="1:13" ht="15" customHeight="1">
      <c r="A55" s="18" t="str">
        <f>Analysis!A55</f>
        <v>8/1962</v>
      </c>
      <c r="B55" s="19">
        <f>Analysis!E55</f>
        <v>-9.9999999999980105E-3</v>
      </c>
      <c r="C55" s="20">
        <f>Analysis!F55</f>
        <v>0.18087530100285296</v>
      </c>
      <c r="D55" s="19">
        <f>ENSO!D55</f>
        <v>-0.19</v>
      </c>
      <c r="E55" s="34">
        <f t="shared" si="3"/>
        <v>4.0099999999999997E-3</v>
      </c>
      <c r="F55" s="19">
        <f>Solar!D55</f>
        <v>1360.76</v>
      </c>
      <c r="G55" s="32">
        <v>4.1599999999999996E-3</v>
      </c>
      <c r="H55" s="33">
        <v>0.2215</v>
      </c>
      <c r="I55" s="20">
        <f t="shared" si="0"/>
        <v>-9.3415380365871992E-2</v>
      </c>
      <c r="J55" s="20">
        <f t="shared" si="1"/>
        <v>8.3415380365873981E-2</v>
      </c>
      <c r="K55" s="20">
        <f>ENSO!I55</f>
        <v>0.10401124884927568</v>
      </c>
      <c r="L55" s="19">
        <f>Analysis!B55</f>
        <v>1962.625</v>
      </c>
    </row>
    <row r="56" spans="1:13" ht="15" customHeight="1">
      <c r="A56" s="18" t="str">
        <f>Analysis!A56</f>
        <v>9/1962</v>
      </c>
      <c r="B56" s="19">
        <f>Analysis!E56</f>
        <v>0</v>
      </c>
      <c r="C56" s="20">
        <f>Analysis!F56</f>
        <v>0.17559303309992255</v>
      </c>
      <c r="D56" s="19">
        <f>ENSO!D56</f>
        <v>-0.13</v>
      </c>
      <c r="E56" s="34">
        <f t="shared" si="3"/>
        <v>3.8899999999999998E-3</v>
      </c>
      <c r="F56" s="19">
        <f>Solar!D56</f>
        <v>1360.64</v>
      </c>
      <c r="G56" s="32">
        <v>4.2300000000000003E-3</v>
      </c>
      <c r="H56" s="33">
        <v>0.22009999999999999</v>
      </c>
      <c r="I56" s="20">
        <f t="shared" si="0"/>
        <v>-0.10199063134563333</v>
      </c>
      <c r="J56" s="20">
        <f t="shared" si="1"/>
        <v>0.10199063134563333</v>
      </c>
      <c r="K56" s="20">
        <f>ENSO!I56</f>
        <v>0.12329829575853041</v>
      </c>
      <c r="L56" s="19">
        <f>Analysis!B56</f>
        <v>1962.7083333333333</v>
      </c>
    </row>
    <row r="57" spans="1:13" ht="15" customHeight="1">
      <c r="A57" s="18" t="str">
        <f>Analysis!A57</f>
        <v>10/1962</v>
      </c>
      <c r="B57" s="19">
        <f>Analysis!E57</f>
        <v>1.0000000000001563E-2</v>
      </c>
      <c r="C57" s="20">
        <f>Analysis!F57</f>
        <v>0.17184731357334099</v>
      </c>
      <c r="D57" s="19">
        <f>ENSO!D57</f>
        <v>0</v>
      </c>
      <c r="E57" s="34">
        <f t="shared" si="3"/>
        <v>3.82E-3</v>
      </c>
      <c r="F57" s="19">
        <f>Solar!D57</f>
        <v>1360.8</v>
      </c>
      <c r="G57" s="32">
        <v>4.3E-3</v>
      </c>
      <c r="H57" s="33">
        <v>0.2185</v>
      </c>
      <c r="I57" s="20">
        <f t="shared" si="0"/>
        <v>-9.9989427041849238E-2</v>
      </c>
      <c r="J57" s="20">
        <f t="shared" si="1"/>
        <v>0.1099894270418508</v>
      </c>
      <c r="K57" s="20">
        <f>ENSO!I57</f>
        <v>0.13227211362166719</v>
      </c>
      <c r="L57" s="19">
        <f>Analysis!B57</f>
        <v>1962.7916666666667</v>
      </c>
    </row>
    <row r="58" spans="1:13" ht="15" customHeight="1">
      <c r="A58" s="18" t="str">
        <f>Analysis!A58</f>
        <v>11/1962</v>
      </c>
      <c r="B58" s="19">
        <f>Analysis!E58</f>
        <v>5.9999999999998721E-2</v>
      </c>
      <c r="C58" s="20">
        <f>Analysis!F58</f>
        <v>0.17764448548104073</v>
      </c>
      <c r="D58" s="19">
        <f>ENSO!D58</f>
        <v>-0.1</v>
      </c>
      <c r="E58" s="34">
        <f t="shared" si="3"/>
        <v>3.8500000000000001E-3</v>
      </c>
      <c r="F58" s="19">
        <f>Solar!D58</f>
        <v>1360.76</v>
      </c>
      <c r="G58" s="32">
        <v>4.2300000000000003E-3</v>
      </c>
      <c r="H58" s="33">
        <v>0.22009999999999999</v>
      </c>
      <c r="I58" s="20">
        <f t="shared" si="0"/>
        <v>-9.3523582473279812E-2</v>
      </c>
      <c r="J58" s="20">
        <f t="shared" si="1"/>
        <v>0.15352358247327852</v>
      </c>
      <c r="K58" s="20">
        <f>ENSO!I58</f>
        <v>0.17505224117361862</v>
      </c>
      <c r="L58" s="19">
        <f>Analysis!B58</f>
        <v>1962.875</v>
      </c>
    </row>
    <row r="59" spans="1:13" ht="15" customHeight="1">
      <c r="A59" s="18" t="str">
        <f>Analysis!A59</f>
        <v>12/1962</v>
      </c>
      <c r="B59" s="19">
        <f>Analysis!E59</f>
        <v>-2.9999999999999361E-2</v>
      </c>
      <c r="C59" s="20">
        <f>Analysis!F59</f>
        <v>0.18223826288116377</v>
      </c>
      <c r="D59" s="19">
        <f>ENSO!D59</f>
        <v>-0.16</v>
      </c>
      <c r="E59" s="34">
        <f t="shared" si="3"/>
        <v>3.8899999999999998E-3</v>
      </c>
      <c r="F59" s="19">
        <f>Solar!D59</f>
        <v>1360.8</v>
      </c>
      <c r="G59" s="32">
        <v>4.1099999999999999E-3</v>
      </c>
      <c r="H59" s="33">
        <v>0.2223</v>
      </c>
      <c r="I59" s="20">
        <f t="shared" si="0"/>
        <v>-8.6650110128825647E-2</v>
      </c>
      <c r="J59" s="20">
        <f t="shared" si="1"/>
        <v>5.6650110128826286E-2</v>
      </c>
      <c r="K59" s="20">
        <f>ENSO!I59</f>
        <v>7.765633732204115E-2</v>
      </c>
      <c r="L59" s="19">
        <f>Analysis!B59</f>
        <v>1962.9583333333333</v>
      </c>
    </row>
    <row r="60" spans="1:13" ht="15" customHeight="1">
      <c r="A60" s="18" t="str">
        <f>Analysis!A60</f>
        <v>1/1963</v>
      </c>
      <c r="B60" s="19">
        <f>Analysis!E60</f>
        <v>-2.9999999999999361E-2</v>
      </c>
      <c r="C60" s="20">
        <f>Analysis!F60</f>
        <v>0.18695325307037156</v>
      </c>
      <c r="D60" s="19">
        <f>ENSO!D60</f>
        <v>-0.25</v>
      </c>
      <c r="E60" s="34">
        <f t="shared" si="3"/>
        <v>3.9699999999999996E-3</v>
      </c>
      <c r="F60" s="19">
        <f>Solar!D60</f>
        <v>1360.71</v>
      </c>
      <c r="G60" s="32">
        <v>4.0200000000000001E-3</v>
      </c>
      <c r="H60" s="33">
        <v>0.22420000000000001</v>
      </c>
      <c r="I60" s="20">
        <f t="shared" si="0"/>
        <v>-8.2317903443103302E-2</v>
      </c>
      <c r="J60" s="20">
        <f t="shared" si="1"/>
        <v>5.2317903443103941E-2</v>
      </c>
      <c r="K60" s="20">
        <f>ENSO!I60</f>
        <v>7.2538619745594987E-2</v>
      </c>
      <c r="L60" s="19">
        <f>Analysis!B60</f>
        <v>1963.0416666666667</v>
      </c>
    </row>
    <row r="61" spans="1:13" ht="15" customHeight="1">
      <c r="A61" s="18" t="str">
        <f>Analysis!A61</f>
        <v>2/1963</v>
      </c>
      <c r="B61" s="19">
        <f>Analysis!E61</f>
        <v>0.17999999999999972</v>
      </c>
      <c r="C61" s="20">
        <f>Analysis!F61</f>
        <v>0.18844614093972484</v>
      </c>
      <c r="D61" s="19">
        <f>ENSO!D61</f>
        <v>-0.25</v>
      </c>
      <c r="E61" s="34">
        <f t="shared" si="3"/>
        <v>4.0499999999999998E-3</v>
      </c>
      <c r="F61" s="19">
        <f>Solar!D61</f>
        <v>1360.8</v>
      </c>
      <c r="G61" s="32">
        <v>3.8899999999999998E-3</v>
      </c>
      <c r="H61" s="33">
        <v>0.22670000000000001</v>
      </c>
      <c r="I61" s="20">
        <f t="shared" si="0"/>
        <v>-7.8422190612535872E-2</v>
      </c>
      <c r="J61" s="20">
        <f t="shared" si="1"/>
        <v>0.25842219061253557</v>
      </c>
      <c r="K61" s="20">
        <f>ENSO!I61</f>
        <v>0.27843796110396252</v>
      </c>
      <c r="L61" s="19">
        <f>Analysis!B61</f>
        <v>1963.125</v>
      </c>
    </row>
    <row r="62" spans="1:13" ht="15" customHeight="1">
      <c r="A62" s="18" t="str">
        <f>Analysis!A62</f>
        <v>3/1963</v>
      </c>
      <c r="B62" s="19">
        <f>Analysis!E62</f>
        <v>-0.13999999999999879</v>
      </c>
      <c r="C62" s="20">
        <f>Analysis!F62</f>
        <v>0.19201376075129936</v>
      </c>
      <c r="D62" s="19">
        <f>ENSO!D62</f>
        <v>-0.32</v>
      </c>
      <c r="E62" s="34">
        <f t="shared" si="3"/>
        <v>4.1599999999999996E-3</v>
      </c>
      <c r="F62" s="19">
        <f>Solar!D62</f>
        <v>1360.78</v>
      </c>
      <c r="G62" s="32">
        <v>5.0600000000000003E-3</v>
      </c>
      <c r="H62" s="33">
        <v>0.2034</v>
      </c>
      <c r="I62" s="20">
        <f t="shared" si="0"/>
        <v>-7.542946184511605E-2</v>
      </c>
      <c r="J62" s="20">
        <f t="shared" si="1"/>
        <v>-6.4570538154882742E-2</v>
      </c>
      <c r="K62" s="20">
        <f>ENSO!I62</f>
        <v>-4.5268919342274255E-2</v>
      </c>
      <c r="L62" s="19">
        <f>Analysis!B62</f>
        <v>1963.2083333333333</v>
      </c>
    </row>
    <row r="63" spans="1:13" ht="15" customHeight="1">
      <c r="A63" s="18" t="str">
        <f>Analysis!A63</f>
        <v>4/1963</v>
      </c>
      <c r="B63" s="19">
        <f>Analysis!E63</f>
        <v>-7.0000000000000284E-2</v>
      </c>
      <c r="C63" s="20">
        <f>Analysis!F63</f>
        <v>0.198853323377887</v>
      </c>
      <c r="D63" s="19">
        <f>ENSO!D63</f>
        <v>-0.33</v>
      </c>
      <c r="E63" s="34">
        <f t="shared" si="3"/>
        <v>4.2300000000000003E-3</v>
      </c>
      <c r="F63" s="19">
        <f>Solar!D63</f>
        <v>1360.67</v>
      </c>
      <c r="G63" s="32">
        <v>2.034E-2</v>
      </c>
      <c r="H63" s="33">
        <v>-0.1022</v>
      </c>
      <c r="I63" s="20">
        <f t="shared" si="0"/>
        <v>-5.7857036543144197E-2</v>
      </c>
      <c r="J63" s="20">
        <f t="shared" si="1"/>
        <v>-1.2142963456856087E-2</v>
      </c>
      <c r="K63" s="20">
        <f>ENSO!I63</f>
        <v>6.8145741133667226E-3</v>
      </c>
      <c r="L63" s="19">
        <f>Analysis!B63</f>
        <v>1963.2916666666667</v>
      </c>
    </row>
    <row r="64" spans="1:13" ht="15" customHeight="1">
      <c r="A64" s="18" t="str">
        <f>Analysis!A64</f>
        <v>5/1963</v>
      </c>
      <c r="B64" s="19">
        <f>Analysis!E64</f>
        <v>-6.0000000000000497E-2</v>
      </c>
      <c r="C64" s="20">
        <f>Analysis!F64</f>
        <v>0.20270876128709345</v>
      </c>
      <c r="D64" s="19">
        <f>ENSO!D64</f>
        <v>-0.17</v>
      </c>
      <c r="E64" s="34">
        <f t="shared" si="3"/>
        <v>4.3E-3</v>
      </c>
      <c r="F64" s="19">
        <f>Solar!D64</f>
        <v>1360.71</v>
      </c>
      <c r="G64" s="32">
        <v>3.2120000000000003E-2</v>
      </c>
      <c r="H64" s="33">
        <v>-0.33779999999999999</v>
      </c>
      <c r="I64" s="20">
        <f t="shared" si="0"/>
        <v>-3.2648437580249573E-2</v>
      </c>
      <c r="J64" s="20">
        <f t="shared" si="1"/>
        <v>-2.7351562419750924E-2</v>
      </c>
      <c r="K64" s="20">
        <f>ENSO!I64</f>
        <v>-7.7015710479601124E-3</v>
      </c>
      <c r="L64" s="19">
        <f>Analysis!B64</f>
        <v>1963.375</v>
      </c>
    </row>
    <row r="65" spans="1:12" ht="15" customHeight="1">
      <c r="A65" s="18" t="str">
        <f>Analysis!A65</f>
        <v>6/1963</v>
      </c>
      <c r="B65" s="19">
        <f>Analysis!E65</f>
        <v>5.0000000000004263E-2</v>
      </c>
      <c r="C65" s="20">
        <f>Analysis!F65</f>
        <v>0.19934703581133892</v>
      </c>
      <c r="D65" s="19">
        <f>ENSO!D65</f>
        <v>0.01</v>
      </c>
      <c r="E65" s="34">
        <f t="shared" si="3"/>
        <v>4.2300000000000003E-3</v>
      </c>
      <c r="F65" s="19">
        <f>Solar!D65</f>
        <v>1360.76</v>
      </c>
      <c r="G65" s="32">
        <v>5.5280000000000003E-2</v>
      </c>
      <c r="H65" s="33">
        <v>-0.80110000000000003</v>
      </c>
      <c r="I65" s="20">
        <f t="shared" si="0"/>
        <v>-2.4960167186847047E-2</v>
      </c>
      <c r="J65" s="20">
        <f t="shared" si="1"/>
        <v>7.4960167186851306E-2</v>
      </c>
      <c r="K65" s="20">
        <f>ENSO!I65</f>
        <v>9.5865604942914434E-2</v>
      </c>
      <c r="L65" s="19">
        <f>Analysis!B65</f>
        <v>1963.4583333333333</v>
      </c>
    </row>
    <row r="66" spans="1:12" ht="15" customHeight="1">
      <c r="A66" s="18" t="str">
        <f>Analysis!A66</f>
        <v>7/1963</v>
      </c>
      <c r="B66" s="19">
        <f>Analysis!E66</f>
        <v>5.9999999999998721E-2</v>
      </c>
      <c r="C66" s="20">
        <f>Analysis!F66</f>
        <v>0.19147241176149948</v>
      </c>
      <c r="D66" s="19">
        <f>ENSO!D66</f>
        <v>0.13</v>
      </c>
      <c r="E66" s="34">
        <f t="shared" si="3"/>
        <v>4.1099999999999999E-3</v>
      </c>
      <c r="F66" s="19">
        <f>Solar!D66</f>
        <v>1360.76</v>
      </c>
      <c r="G66" s="32">
        <v>6.9760000000000003E-2</v>
      </c>
      <c r="H66" s="33">
        <v>-1.0907</v>
      </c>
      <c r="I66" s="20">
        <f t="shared" ref="I66:I129" si="4">IF(OR(D66="",E66=""),"",$N$14+$N$15*C66+$N$16*D66+$N$17*E66)</f>
        <v>-3.5038176478481953E-2</v>
      </c>
      <c r="J66" s="20">
        <f t="shared" ref="J66:J129" si="5">IF(I66="","",B66-I66)</f>
        <v>9.5038176478480674E-2</v>
      </c>
      <c r="K66" s="20">
        <f>ENSO!I66</f>
        <v>0.11705105952468342</v>
      </c>
      <c r="L66" s="19">
        <f>Analysis!B66</f>
        <v>1963.5416666666667</v>
      </c>
    </row>
    <row r="67" spans="1:12" ht="15" customHeight="1">
      <c r="A67" s="18" t="str">
        <f>Analysis!A67</f>
        <v>8/1963</v>
      </c>
      <c r="B67" s="19">
        <f>Analysis!E67</f>
        <v>0.22000000000000242</v>
      </c>
      <c r="C67" s="20">
        <f>Analysis!F67</f>
        <v>0.18255610212855772</v>
      </c>
      <c r="D67" s="19">
        <f>ENSO!D67</f>
        <v>0.12</v>
      </c>
      <c r="E67" s="34">
        <f t="shared" si="3"/>
        <v>4.0200000000000001E-3</v>
      </c>
      <c r="F67" s="19">
        <f>Solar!D67</f>
        <v>1360.72</v>
      </c>
      <c r="G67" s="32">
        <v>7.7710000000000001E-2</v>
      </c>
      <c r="H67" s="33">
        <v>-1.2496</v>
      </c>
      <c r="I67" s="20">
        <f t="shared" si="4"/>
        <v>-6.0086668577668881E-2</v>
      </c>
      <c r="J67" s="20">
        <f t="shared" si="5"/>
        <v>0.28008666857767128</v>
      </c>
      <c r="K67" s="20">
        <f>ENSO!I67</f>
        <v>0.30241272213409914</v>
      </c>
      <c r="L67" s="19">
        <f>Analysis!B67</f>
        <v>1963.625</v>
      </c>
    </row>
    <row r="68" spans="1:12" ht="15" customHeight="1">
      <c r="A68" s="18" t="str">
        <f>Analysis!A68</f>
        <v>9/1963</v>
      </c>
      <c r="B68" s="19">
        <f>Analysis!E68</f>
        <v>0.16999999999999993</v>
      </c>
      <c r="C68" s="20">
        <f>Analysis!F68</f>
        <v>0.17545616583370666</v>
      </c>
      <c r="D68" s="19">
        <f>ENSO!D68</f>
        <v>0.45</v>
      </c>
      <c r="E68" s="34">
        <f t="shared" si="3"/>
        <v>3.8899999999999998E-3</v>
      </c>
      <c r="F68" s="19">
        <f>Solar!D68</f>
        <v>1360.57</v>
      </c>
      <c r="G68" s="32">
        <v>8.0869999999999997E-2</v>
      </c>
      <c r="H68" s="33">
        <v>-1.3127</v>
      </c>
      <c r="I68" s="20">
        <f t="shared" si="4"/>
        <v>-4.8542817648816877E-2</v>
      </c>
      <c r="J68" s="20">
        <f t="shared" si="5"/>
        <v>0.21854281764881681</v>
      </c>
      <c r="K68" s="20">
        <f>ENSO!I68</f>
        <v>0.24319233570155105</v>
      </c>
      <c r="L68" s="19">
        <f>Analysis!B68</f>
        <v>1963.7083333333333</v>
      </c>
    </row>
    <row r="69" spans="1:12" ht="15" customHeight="1">
      <c r="A69" s="18" t="str">
        <f>Analysis!A69</f>
        <v>10/1963</v>
      </c>
      <c r="B69" s="19">
        <f>Analysis!E69</f>
        <v>0.14999999999999858</v>
      </c>
      <c r="C69" s="20">
        <f>Analysis!F69</f>
        <v>0.17445207560337639</v>
      </c>
      <c r="D69" s="19">
        <f>ENSO!D69</f>
        <v>0.76</v>
      </c>
      <c r="E69" s="34">
        <f t="shared" si="3"/>
        <v>5.0600000000000003E-3</v>
      </c>
      <c r="F69" s="19">
        <f>Solar!D69</f>
        <v>1360.7</v>
      </c>
      <c r="G69" s="32">
        <v>8.0670000000000006E-2</v>
      </c>
      <c r="H69" s="33">
        <v>-1.3089</v>
      </c>
      <c r="I69" s="20">
        <f t="shared" si="4"/>
        <v>-2.508935664175916E-2</v>
      </c>
      <c r="J69" s="20">
        <f t="shared" si="5"/>
        <v>0.17508935664175773</v>
      </c>
      <c r="K69" s="20">
        <f>ENSO!I69</f>
        <v>0.19896865820779236</v>
      </c>
      <c r="L69" s="19">
        <f>Analysis!B69</f>
        <v>1963.7916666666667</v>
      </c>
    </row>
    <row r="70" spans="1:12" ht="15" customHeight="1">
      <c r="A70" s="18" t="str">
        <f>Analysis!A70</f>
        <v>11/1963</v>
      </c>
      <c r="B70" s="19">
        <f>Analysis!E70</f>
        <v>0.14999999999999858</v>
      </c>
      <c r="C70" s="20">
        <f>Analysis!F70</f>
        <v>0.179374554217585</v>
      </c>
      <c r="D70" s="19">
        <f>ENSO!D70</f>
        <v>1.0900000000000001</v>
      </c>
      <c r="E70" s="34">
        <f t="shared" si="3"/>
        <v>2.034E-2</v>
      </c>
      <c r="F70" s="19">
        <f>Solar!D70</f>
        <v>1360.84</v>
      </c>
      <c r="G70" s="32">
        <v>7.8039999999999998E-2</v>
      </c>
      <c r="H70" s="33">
        <v>-1.2563</v>
      </c>
      <c r="I70" s="20">
        <f t="shared" si="4"/>
        <v>-1.4662688348626635E-2</v>
      </c>
      <c r="J70" s="20">
        <f t="shared" si="5"/>
        <v>0.16466268834862521</v>
      </c>
      <c r="K70" s="20">
        <f>ENSO!I70</f>
        <v>0.15672514887220368</v>
      </c>
      <c r="L70" s="19">
        <f>Analysis!B70</f>
        <v>1963.875</v>
      </c>
    </row>
    <row r="71" spans="1:12" ht="15" customHeight="1">
      <c r="A71" s="18" t="str">
        <f>Analysis!A71</f>
        <v>12/1963</v>
      </c>
      <c r="B71" s="19">
        <f>Analysis!E71</f>
        <v>-2.9999999999999361E-2</v>
      </c>
      <c r="C71" s="20">
        <f>Analysis!F71</f>
        <v>0.18518693705150802</v>
      </c>
      <c r="D71" s="19">
        <f>ENSO!D71</f>
        <v>1.0900000000000001</v>
      </c>
      <c r="E71" s="34">
        <f t="shared" si="3"/>
        <v>3.2120000000000003E-2</v>
      </c>
      <c r="F71" s="19">
        <f>Solar!D71</f>
        <v>1360.78</v>
      </c>
      <c r="G71" s="32">
        <v>7.3910000000000003E-2</v>
      </c>
      <c r="H71" s="33">
        <v>-1.1737</v>
      </c>
      <c r="I71" s="20">
        <f t="shared" si="4"/>
        <v>-2.4729994507756162E-2</v>
      </c>
      <c r="J71" s="20">
        <f t="shared" si="5"/>
        <v>-5.2700054922431988E-3</v>
      </c>
      <c r="K71" s="20">
        <f>ENSO!I71</f>
        <v>-3.9240281878278216E-2</v>
      </c>
      <c r="L71" s="19">
        <f>Analysis!B71</f>
        <v>1963.9583333333333</v>
      </c>
    </row>
    <row r="72" spans="1:12" ht="15" customHeight="1">
      <c r="A72" s="18" t="str">
        <f>Analysis!A72</f>
        <v>1/1964</v>
      </c>
      <c r="B72" s="19">
        <f>Analysis!E72</f>
        <v>-9.0000000000001634E-2</v>
      </c>
      <c r="C72" s="20">
        <f>Analysis!F72</f>
        <v>0.1907051528018969</v>
      </c>
      <c r="D72" s="19">
        <f>ENSO!D72</f>
        <v>1.1299999999999999</v>
      </c>
      <c r="E72" s="34">
        <f t="shared" si="3"/>
        <v>5.5280000000000003E-2</v>
      </c>
      <c r="F72" s="19">
        <f>Solar!D72</f>
        <v>1360.71</v>
      </c>
      <c r="G72" s="32">
        <v>6.8930000000000005E-2</v>
      </c>
      <c r="H72" s="33">
        <v>-1.0740000000000001</v>
      </c>
      <c r="I72" s="20">
        <f t="shared" si="4"/>
        <v>-5.692782758515437E-2</v>
      </c>
      <c r="J72" s="20">
        <f t="shared" si="5"/>
        <v>-3.3072172414847265E-2</v>
      </c>
      <c r="K72" s="20">
        <f>ENSO!I72</f>
        <v>-0.11787920641386558</v>
      </c>
      <c r="L72" s="19">
        <f>Analysis!B72</f>
        <v>1964.0416666666667</v>
      </c>
    </row>
    <row r="73" spans="1:12" ht="15" customHeight="1">
      <c r="A73" s="18" t="str">
        <f>Analysis!A73</f>
        <v>2/1964</v>
      </c>
      <c r="B73" s="19">
        <f>Analysis!E73</f>
        <v>-0.10000000000000142</v>
      </c>
      <c r="C73" s="20">
        <f>Analysis!F73</f>
        <v>0.19282540355239119</v>
      </c>
      <c r="D73" s="19">
        <f>ENSO!D73</f>
        <v>1.19</v>
      </c>
      <c r="E73" s="34">
        <f t="shared" ref="E73:E136" si="6">IF(G66="","",G66)</f>
        <v>6.9760000000000003E-2</v>
      </c>
      <c r="F73" s="19">
        <f>Solar!D73</f>
        <v>1360.74</v>
      </c>
      <c r="G73" s="32">
        <v>6.3469999999999999E-2</v>
      </c>
      <c r="H73" s="33">
        <v>-0.96479999999999999</v>
      </c>
      <c r="I73" s="20">
        <f t="shared" si="4"/>
        <v>-7.7438400486985623E-2</v>
      </c>
      <c r="J73" s="20">
        <f t="shared" si="5"/>
        <v>-2.2561599513015798E-2</v>
      </c>
      <c r="K73" s="20">
        <f>ENSO!I73</f>
        <v>-0.13892536919111684</v>
      </c>
      <c r="L73" s="19">
        <f>Analysis!B73</f>
        <v>1964.125</v>
      </c>
    </row>
    <row r="74" spans="1:12" ht="15" customHeight="1">
      <c r="A74" s="18" t="str">
        <f>Analysis!A74</f>
        <v>3/1964</v>
      </c>
      <c r="B74" s="19">
        <f>Analysis!E74</f>
        <v>-0.20999999999999908</v>
      </c>
      <c r="C74" s="20">
        <f>Analysis!F74</f>
        <v>0.19602243814471609</v>
      </c>
      <c r="D74" s="19">
        <f>ENSO!D74</f>
        <v>1.1299999999999999</v>
      </c>
      <c r="E74" s="34">
        <f t="shared" si="6"/>
        <v>7.7710000000000001E-2</v>
      </c>
      <c r="F74" s="19">
        <f>Solar!D74</f>
        <v>1360.71</v>
      </c>
      <c r="G74" s="32">
        <v>5.7950000000000002E-2</v>
      </c>
      <c r="H74" s="33">
        <v>-0.85440000000000005</v>
      </c>
      <c r="I74" s="20">
        <f t="shared" si="4"/>
        <v>-9.177922693464427E-2</v>
      </c>
      <c r="J74" s="20">
        <f t="shared" si="5"/>
        <v>-0.11822077306535481</v>
      </c>
      <c r="K74" s="20">
        <f>ENSO!I74</f>
        <v>-0.2524847052853208</v>
      </c>
      <c r="L74" s="19">
        <f>Analysis!B74</f>
        <v>1964.2083333333333</v>
      </c>
    </row>
    <row r="75" spans="1:12" ht="15" customHeight="1">
      <c r="A75" s="18" t="str">
        <f>Analysis!A75</f>
        <v>4/1964</v>
      </c>
      <c r="B75" s="19">
        <f>Analysis!E75</f>
        <v>-0.32000000000000206</v>
      </c>
      <c r="C75" s="20">
        <f>Analysis!F75</f>
        <v>0.20091681590593874</v>
      </c>
      <c r="D75" s="19">
        <f>ENSO!D75</f>
        <v>0.95</v>
      </c>
      <c r="E75" s="34">
        <f t="shared" si="6"/>
        <v>8.0869999999999997E-2</v>
      </c>
      <c r="F75" s="19">
        <f>Solar!D75</f>
        <v>1360.78</v>
      </c>
      <c r="G75" s="32">
        <v>5.262E-2</v>
      </c>
      <c r="H75" s="33">
        <v>-0.74770000000000003</v>
      </c>
      <c r="I75" s="20">
        <f t="shared" si="4"/>
        <v>-0.10208639027732451</v>
      </c>
      <c r="J75" s="20">
        <f t="shared" si="5"/>
        <v>-0.21791360972267754</v>
      </c>
      <c r="K75" s="20">
        <f>ENSO!I75</f>
        <v>-0.36026176466264226</v>
      </c>
      <c r="L75" s="19">
        <f>Analysis!B75</f>
        <v>1964.2916666666667</v>
      </c>
    </row>
    <row r="76" spans="1:12" ht="15" customHeight="1">
      <c r="A76" s="18" t="str">
        <f>Analysis!A76</f>
        <v>5/1964</v>
      </c>
      <c r="B76" s="19">
        <f>Analysis!E76</f>
        <v>-0.25</v>
      </c>
      <c r="C76" s="20">
        <f>Analysis!F76</f>
        <v>0.20275353141668456</v>
      </c>
      <c r="D76" s="19">
        <f>ENSO!D76</f>
        <v>0.52</v>
      </c>
      <c r="E76" s="34">
        <f t="shared" si="6"/>
        <v>8.0670000000000006E-2</v>
      </c>
      <c r="F76" s="19">
        <f>Solar!D76</f>
        <v>1360.71</v>
      </c>
      <c r="G76" s="32">
        <v>4.7509999999999997E-2</v>
      </c>
      <c r="H76" s="33">
        <v>-0.64570000000000005</v>
      </c>
      <c r="I76" s="20">
        <f t="shared" si="4"/>
        <v>-0.13653867109676915</v>
      </c>
      <c r="J76" s="20">
        <f t="shared" si="5"/>
        <v>-0.11346132890323085</v>
      </c>
      <c r="K76" s="20">
        <f>ENSO!I76</f>
        <v>-0.25788060669103618</v>
      </c>
      <c r="L76" s="19">
        <f>Analysis!B76</f>
        <v>1964.375</v>
      </c>
    </row>
    <row r="77" spans="1:12" ht="15" customHeight="1">
      <c r="A77" s="18" t="str">
        <f>Analysis!A77</f>
        <v>6/1964</v>
      </c>
      <c r="B77" s="19">
        <f>Analysis!E77</f>
        <v>-3.9999999999999147E-2</v>
      </c>
      <c r="C77" s="20">
        <f>Analysis!F77</f>
        <v>0.20114093083670029</v>
      </c>
      <c r="D77" s="19">
        <f>ENSO!D77</f>
        <v>0.06</v>
      </c>
      <c r="E77" s="34">
        <f t="shared" si="6"/>
        <v>7.8039999999999998E-2</v>
      </c>
      <c r="F77" s="19">
        <f>Solar!D77</f>
        <v>1360.73</v>
      </c>
      <c r="G77" s="32">
        <v>4.2759999999999999E-2</v>
      </c>
      <c r="H77" s="33">
        <v>-0.55059999999999998</v>
      </c>
      <c r="I77" s="20">
        <f t="shared" si="4"/>
        <v>-0.17783570038520216</v>
      </c>
      <c r="J77" s="20">
        <f t="shared" si="5"/>
        <v>0.13783570038520301</v>
      </c>
      <c r="K77" s="20">
        <f>ENSO!I77</f>
        <v>-3.4137474883687777E-3</v>
      </c>
      <c r="L77" s="19">
        <f>Analysis!B77</f>
        <v>1964.4583333333333</v>
      </c>
    </row>
    <row r="78" spans="1:12" ht="15" customHeight="1">
      <c r="A78" s="18" t="str">
        <f>Analysis!A78</f>
        <v>7/1964</v>
      </c>
      <c r="B78" s="19">
        <f>Analysis!E78</f>
        <v>-3.9999999999999147E-2</v>
      </c>
      <c r="C78" s="20">
        <f>Analysis!F78</f>
        <v>0.19462742107482237</v>
      </c>
      <c r="D78" s="19">
        <f>ENSO!D78</f>
        <v>-0.35</v>
      </c>
      <c r="E78" s="34">
        <f t="shared" si="6"/>
        <v>7.3910000000000003E-2</v>
      </c>
      <c r="F78" s="19">
        <f>Solar!D78</f>
        <v>1360.7</v>
      </c>
      <c r="G78" s="32">
        <v>3.8379999999999997E-2</v>
      </c>
      <c r="H78" s="33">
        <v>-0.46289999999999998</v>
      </c>
      <c r="I78" s="20">
        <f t="shared" si="4"/>
        <v>-0.22455931705636475</v>
      </c>
      <c r="J78" s="20">
        <f t="shared" si="5"/>
        <v>0.18455931705636561</v>
      </c>
      <c r="K78" s="20">
        <f>ENSO!I78</f>
        <v>5.0163021658365878E-2</v>
      </c>
      <c r="L78" s="19">
        <f>Analysis!B78</f>
        <v>1964.5416666666667</v>
      </c>
    </row>
    <row r="79" spans="1:12" ht="15" customHeight="1">
      <c r="A79" s="18" t="str">
        <f>Analysis!A79</f>
        <v>8/1964</v>
      </c>
      <c r="B79" s="19">
        <f>Analysis!E79</f>
        <v>-0.21999999999999886</v>
      </c>
      <c r="C79" s="20">
        <f>Analysis!F79</f>
        <v>0.18672692311353747</v>
      </c>
      <c r="D79" s="19">
        <f>ENSO!D79</f>
        <v>-0.6</v>
      </c>
      <c r="E79" s="34">
        <f t="shared" si="6"/>
        <v>6.8930000000000005E-2</v>
      </c>
      <c r="F79" s="19">
        <f>Solar!D79</f>
        <v>1360.71</v>
      </c>
      <c r="G79" s="32">
        <v>3.44E-2</v>
      </c>
      <c r="H79" s="33">
        <v>-0.38340000000000002</v>
      </c>
      <c r="I79" s="20">
        <f t="shared" si="4"/>
        <v>-0.25834833933534102</v>
      </c>
      <c r="J79" s="20">
        <f t="shared" si="5"/>
        <v>3.8348339335342152E-2</v>
      </c>
      <c r="K79" s="20">
        <f>ENSO!I79</f>
        <v>-8.6376478540560547E-2</v>
      </c>
      <c r="L79" s="19">
        <f>Analysis!B79</f>
        <v>1964.625</v>
      </c>
    </row>
    <row r="80" spans="1:12" ht="15" customHeight="1">
      <c r="A80" s="18" t="str">
        <f>Analysis!A80</f>
        <v>9/1964</v>
      </c>
      <c r="B80" s="19">
        <f>Analysis!E80</f>
        <v>-0.30000000000000249</v>
      </c>
      <c r="C80" s="20">
        <f>Analysis!F80</f>
        <v>0.17773559347228587</v>
      </c>
      <c r="D80" s="19">
        <f>ENSO!D80</f>
        <v>-0.66</v>
      </c>
      <c r="E80" s="34">
        <f t="shared" si="6"/>
        <v>6.3469999999999999E-2</v>
      </c>
      <c r="F80" s="19">
        <f>Solar!D80</f>
        <v>1360.71</v>
      </c>
      <c r="G80" s="32">
        <v>3.0769999999999999E-2</v>
      </c>
      <c r="H80" s="33">
        <v>-0.31090000000000001</v>
      </c>
      <c r="I80" s="20">
        <f t="shared" si="4"/>
        <v>-0.27642530213301703</v>
      </c>
      <c r="J80" s="20">
        <f t="shared" si="5"/>
        <v>-2.3574697866985461E-2</v>
      </c>
      <c r="K80" s="20">
        <f>ENSO!I80</f>
        <v>-0.13645686276719327</v>
      </c>
      <c r="L80" s="19">
        <f>Analysis!B80</f>
        <v>1964.7083333333333</v>
      </c>
    </row>
    <row r="81" spans="1:12" ht="15" customHeight="1">
      <c r="A81" s="18" t="str">
        <f>Analysis!A81</f>
        <v>10/1964</v>
      </c>
      <c r="B81" s="19">
        <f>Analysis!E81</f>
        <v>-0.31000000000000227</v>
      </c>
      <c r="C81" s="20">
        <f>Analysis!F81</f>
        <v>0.17846425034734256</v>
      </c>
      <c r="D81" s="19">
        <f>ENSO!D81</f>
        <v>-0.67</v>
      </c>
      <c r="E81" s="34">
        <f t="shared" si="6"/>
        <v>5.7950000000000002E-2</v>
      </c>
      <c r="F81" s="19">
        <f>Solar!D81</f>
        <v>1360.75</v>
      </c>
      <c r="G81" s="32">
        <v>2.7529999999999999E-2</v>
      </c>
      <c r="H81" s="33">
        <v>-0.246</v>
      </c>
      <c r="I81" s="20">
        <f t="shared" si="4"/>
        <v>-0.26321995024084355</v>
      </c>
      <c r="J81" s="20">
        <f t="shared" si="5"/>
        <v>-4.6780049759158726E-2</v>
      </c>
      <c r="K81" s="20">
        <f>ENSO!I81</f>
        <v>-0.14758795696235202</v>
      </c>
      <c r="L81" s="19">
        <f>Analysis!B81</f>
        <v>1964.7916666666667</v>
      </c>
    </row>
    <row r="82" spans="1:12" ht="15" customHeight="1">
      <c r="A82" s="18" t="str">
        <f>Analysis!A82</f>
        <v>11/1964</v>
      </c>
      <c r="B82" s="19">
        <f>Analysis!E82</f>
        <v>-0.20999999999999908</v>
      </c>
      <c r="C82" s="20">
        <f>Analysis!F82</f>
        <v>0.18214743880477707</v>
      </c>
      <c r="D82" s="19">
        <f>ENSO!D82</f>
        <v>-0.7</v>
      </c>
      <c r="E82" s="34">
        <f t="shared" si="6"/>
        <v>5.262E-2</v>
      </c>
      <c r="F82" s="19">
        <f>Solar!D82</f>
        <v>1360.73</v>
      </c>
      <c r="G82" s="32">
        <v>2.462E-2</v>
      </c>
      <c r="H82" s="33">
        <v>-0.18779999999999999</v>
      </c>
      <c r="I82" s="20">
        <f t="shared" si="4"/>
        <v>-0.2442302996867142</v>
      </c>
      <c r="J82" s="20">
        <f t="shared" si="5"/>
        <v>3.4230299686715121E-2</v>
      </c>
      <c r="K82" s="20">
        <f>ENSO!I82</f>
        <v>-5.5093791714881407E-2</v>
      </c>
      <c r="L82" s="19">
        <f>Analysis!B82</f>
        <v>1964.875</v>
      </c>
    </row>
    <row r="83" spans="1:12" ht="15" customHeight="1">
      <c r="A83" s="18" t="str">
        <f>Analysis!A83</f>
        <v>12/1964</v>
      </c>
      <c r="B83" s="19">
        <f>Analysis!E83</f>
        <v>-0.30000000000000249</v>
      </c>
      <c r="C83" s="20">
        <f>Analysis!F83</f>
        <v>0.18681745935711205</v>
      </c>
      <c r="D83" s="19">
        <f>ENSO!D83</f>
        <v>-0.72</v>
      </c>
      <c r="E83" s="34">
        <f t="shared" si="6"/>
        <v>4.7509999999999997E-2</v>
      </c>
      <c r="F83" s="19">
        <f>Solar!D83</f>
        <v>1360.76</v>
      </c>
      <c r="G83" s="32">
        <v>2.2419999999999999E-2</v>
      </c>
      <c r="H83" s="33">
        <v>-0.14380000000000001</v>
      </c>
      <c r="I83" s="20">
        <f t="shared" si="4"/>
        <v>-0.22210526507764453</v>
      </c>
      <c r="J83" s="20">
        <f t="shared" si="5"/>
        <v>-7.7894734922357961E-2</v>
      </c>
      <c r="K83" s="20">
        <f>ENSO!I83</f>
        <v>-0.15618063075848032</v>
      </c>
      <c r="L83" s="19">
        <f>Analysis!B83</f>
        <v>1964.9583333333333</v>
      </c>
    </row>
    <row r="84" spans="1:12" ht="15" customHeight="1">
      <c r="A84" s="18" t="str">
        <f>Analysis!A84</f>
        <v>1/1965</v>
      </c>
      <c r="B84" s="19">
        <f>Analysis!E84</f>
        <v>-8.0000000000001847E-2</v>
      </c>
      <c r="C84" s="20">
        <f>Analysis!F84</f>
        <v>0.19011814991335674</v>
      </c>
      <c r="D84" s="19">
        <f>ENSO!D84</f>
        <v>-0.8</v>
      </c>
      <c r="E84" s="34">
        <f t="shared" si="6"/>
        <v>4.2759999999999999E-2</v>
      </c>
      <c r="F84" s="19">
        <f>Solar!D84</f>
        <v>1360.72</v>
      </c>
      <c r="G84" s="32">
        <v>2.01E-2</v>
      </c>
      <c r="H84" s="33">
        <v>-9.74E-2</v>
      </c>
      <c r="I84" s="20">
        <f t="shared" si="4"/>
        <v>-0.2100748042818481</v>
      </c>
      <c r="J84" s="20">
        <f t="shared" si="5"/>
        <v>0.13007480428184626</v>
      </c>
      <c r="K84" s="20">
        <f>ENSO!I84</f>
        <v>6.1716066743200154E-2</v>
      </c>
      <c r="L84" s="19">
        <f>Analysis!B84</f>
        <v>1965.0416666666667</v>
      </c>
    </row>
    <row r="85" spans="1:12" ht="15" customHeight="1">
      <c r="A85" s="18" t="str">
        <f>Analysis!A85</f>
        <v>2/1965</v>
      </c>
      <c r="B85" s="19">
        <f>Analysis!E85</f>
        <v>-0.16999999999999638</v>
      </c>
      <c r="C85" s="20">
        <f>Analysis!F85</f>
        <v>0.19462742107482237</v>
      </c>
      <c r="D85" s="19">
        <f>ENSO!D85</f>
        <v>-0.79</v>
      </c>
      <c r="E85" s="34">
        <f t="shared" si="6"/>
        <v>3.8379999999999997E-2</v>
      </c>
      <c r="F85" s="19">
        <f>Solar!D85</f>
        <v>1360.73</v>
      </c>
      <c r="G85" s="32">
        <v>1.789E-2</v>
      </c>
      <c r="H85" s="33">
        <v>-5.3199999999999997E-2</v>
      </c>
      <c r="I85" s="20">
        <f t="shared" si="4"/>
        <v>-0.18721060839872622</v>
      </c>
      <c r="J85" s="20">
        <f t="shared" si="5"/>
        <v>1.7210608398729843E-2</v>
      </c>
      <c r="K85" s="20">
        <f>ENSO!I85</f>
        <v>-4.1540359590229503E-2</v>
      </c>
      <c r="L85" s="19">
        <f>Analysis!B85</f>
        <v>1965.125</v>
      </c>
    </row>
    <row r="86" spans="1:12" ht="15" customHeight="1">
      <c r="A86" s="18" t="str">
        <f>Analysis!A86</f>
        <v>3/1965</v>
      </c>
      <c r="B86" s="19">
        <f>Analysis!E86</f>
        <v>-0.13000000000000256</v>
      </c>
      <c r="C86" s="20">
        <f>Analysis!F86</f>
        <v>0.19665200397268703</v>
      </c>
      <c r="D86" s="19">
        <f>ENSO!D86</f>
        <v>-0.75</v>
      </c>
      <c r="E86" s="34">
        <f t="shared" si="6"/>
        <v>3.44E-2</v>
      </c>
      <c r="F86" s="19">
        <f>Solar!D86</f>
        <v>1360.75</v>
      </c>
      <c r="G86" s="32">
        <v>1.5949999999999999E-2</v>
      </c>
      <c r="H86" s="33">
        <v>-1.44E-2</v>
      </c>
      <c r="I86" s="20">
        <f t="shared" si="4"/>
        <v>-0.16921950602335903</v>
      </c>
      <c r="J86" s="20">
        <f t="shared" si="5"/>
        <v>3.9219506023356471E-2</v>
      </c>
      <c r="K86" s="20">
        <f>ENSO!I86</f>
        <v>-1.0582986881073814E-2</v>
      </c>
      <c r="L86" s="19">
        <f>Analysis!B86</f>
        <v>1965.2083333333333</v>
      </c>
    </row>
    <row r="87" spans="1:12" ht="15" customHeight="1">
      <c r="A87" s="18" t="str">
        <f>Analysis!A87</f>
        <v>4/1965</v>
      </c>
      <c r="B87" s="19">
        <f>Analysis!E87</f>
        <v>-0.18999999999999773</v>
      </c>
      <c r="C87" s="20">
        <f>Analysis!F87</f>
        <v>0.20226098356200239</v>
      </c>
      <c r="D87" s="19">
        <f>ENSO!D87</f>
        <v>-0.51</v>
      </c>
      <c r="E87" s="34">
        <f t="shared" si="6"/>
        <v>3.0769999999999999E-2</v>
      </c>
      <c r="F87" s="19">
        <f>Solar!D87</f>
        <v>1360.77</v>
      </c>
      <c r="G87" s="32">
        <v>1.4330000000000001E-2</v>
      </c>
      <c r="H87" s="33">
        <v>1.7999999999999999E-2</v>
      </c>
      <c r="I87" s="20">
        <f t="shared" si="4"/>
        <v>-0.12366334752526693</v>
      </c>
      <c r="J87" s="20">
        <f t="shared" si="5"/>
        <v>-6.6336652474730792E-2</v>
      </c>
      <c r="K87" s="20">
        <f>ENSO!I87</f>
        <v>-0.10687877515726091</v>
      </c>
      <c r="L87" s="19">
        <f>Analysis!B87</f>
        <v>1965.2916666666667</v>
      </c>
    </row>
    <row r="88" spans="1:12" ht="15" customHeight="1">
      <c r="A88" s="18" t="str">
        <f>Analysis!A88</f>
        <v>5/1965</v>
      </c>
      <c r="B88" s="19">
        <f>Analysis!E88</f>
        <v>-0.11999999999999744</v>
      </c>
      <c r="C88" s="20">
        <f>Analysis!F88</f>
        <v>0.20239533147297081</v>
      </c>
      <c r="D88" s="19">
        <f>ENSO!D88</f>
        <v>-0.25</v>
      </c>
      <c r="E88" s="34">
        <f t="shared" si="6"/>
        <v>2.7529999999999999E-2</v>
      </c>
      <c r="F88" s="19">
        <f>Solar!D88</f>
        <v>1360.76</v>
      </c>
      <c r="G88" s="32">
        <v>1.295E-2</v>
      </c>
      <c r="H88" s="33">
        <v>4.5600000000000002E-2</v>
      </c>
      <c r="I88" s="20">
        <f t="shared" si="4"/>
        <v>-9.2041078216831801E-2</v>
      </c>
      <c r="J88" s="20">
        <f t="shared" si="5"/>
        <v>-2.7958921783165641E-2</v>
      </c>
      <c r="K88" s="20">
        <f>ENSO!I88</f>
        <v>-5.9877621652226168E-2</v>
      </c>
      <c r="L88" s="19">
        <f>Analysis!B88</f>
        <v>1965.375</v>
      </c>
    </row>
    <row r="89" spans="1:12" ht="15" customHeight="1">
      <c r="A89" s="18" t="str">
        <f>Analysis!A89</f>
        <v>6/1965</v>
      </c>
      <c r="B89" s="19">
        <f>Analysis!E89</f>
        <v>-8.0000000000001847E-2</v>
      </c>
      <c r="C89" s="20">
        <f>Analysis!F89</f>
        <v>0.20105128904215877</v>
      </c>
      <c r="D89" s="19">
        <f>ENSO!D89</f>
        <v>-0.04</v>
      </c>
      <c r="E89" s="34">
        <f t="shared" si="6"/>
        <v>2.462E-2</v>
      </c>
      <c r="F89" s="19">
        <f>Solar!D89</f>
        <v>1360.83</v>
      </c>
      <c r="G89" s="32">
        <v>1.1809999999999999E-2</v>
      </c>
      <c r="H89" s="33">
        <v>6.8500000000000005E-2</v>
      </c>
      <c r="I89" s="20">
        <f t="shared" si="4"/>
        <v>-6.9816876007898113E-2</v>
      </c>
      <c r="J89" s="20">
        <f t="shared" si="5"/>
        <v>-1.0183123992103735E-2</v>
      </c>
      <c r="K89" s="20">
        <f>ENSO!I89</f>
        <v>-3.4463742763908643E-2</v>
      </c>
      <c r="L89" s="19">
        <f>Analysis!B89</f>
        <v>1965.4583333333333</v>
      </c>
    </row>
    <row r="90" spans="1:12" ht="15" customHeight="1">
      <c r="A90" s="18" t="str">
        <f>Analysis!A90</f>
        <v>7/1965</v>
      </c>
      <c r="B90" s="19">
        <f>Analysis!E90</f>
        <v>-0.13000000000000256</v>
      </c>
      <c r="C90" s="20">
        <f>Analysis!F90</f>
        <v>0.19808998077164383</v>
      </c>
      <c r="D90" s="19">
        <f>ENSO!D90</f>
        <v>0.16</v>
      </c>
      <c r="E90" s="34">
        <f t="shared" si="6"/>
        <v>2.2419999999999999E-2</v>
      </c>
      <c r="F90" s="19">
        <f>Solar!D90</f>
        <v>1360.82</v>
      </c>
      <c r="G90" s="32">
        <v>1.0829999999999999E-2</v>
      </c>
      <c r="H90" s="33">
        <v>8.7999999999999995E-2</v>
      </c>
      <c r="I90" s="20">
        <f t="shared" si="4"/>
        <v>-5.449384675908809E-2</v>
      </c>
      <c r="J90" s="20">
        <f t="shared" si="5"/>
        <v>-7.5506153240914475E-2</v>
      </c>
      <c r="K90" s="20">
        <f>ENSO!I90</f>
        <v>-9.373718660581655E-2</v>
      </c>
      <c r="L90" s="19">
        <f>Analysis!B90</f>
        <v>1965.5416666666667</v>
      </c>
    </row>
    <row r="91" spans="1:12" ht="15" customHeight="1">
      <c r="A91" s="18" t="str">
        <f>Analysis!A91</f>
        <v>8/1965</v>
      </c>
      <c r="B91" s="19">
        <f>Analysis!E91</f>
        <v>-3.9999999999999147E-2</v>
      </c>
      <c r="C91" s="20">
        <f>Analysis!F91</f>
        <v>0.18754154484093474</v>
      </c>
      <c r="D91" s="19">
        <f>ENSO!D91</f>
        <v>0.47</v>
      </c>
      <c r="E91" s="34">
        <f t="shared" si="6"/>
        <v>2.01E-2</v>
      </c>
      <c r="F91" s="19">
        <f>Solar!D91</f>
        <v>1360.83</v>
      </c>
      <c r="G91" s="32">
        <v>1.001E-2</v>
      </c>
      <c r="H91" s="33">
        <v>0.10440000000000001</v>
      </c>
      <c r="I91" s="20">
        <f t="shared" si="4"/>
        <v>-4.9392651863940804E-2</v>
      </c>
      <c r="J91" s="20">
        <f t="shared" si="5"/>
        <v>9.3926518639416562E-3</v>
      </c>
      <c r="K91" s="20">
        <f>ENSO!I91</f>
        <v>-1.744492141285324E-3</v>
      </c>
      <c r="L91" s="19">
        <f>Analysis!B91</f>
        <v>1965.625</v>
      </c>
    </row>
    <row r="92" spans="1:12" ht="15" customHeight="1">
      <c r="A92" s="18" t="str">
        <f>Analysis!A92</f>
        <v>9/1965</v>
      </c>
      <c r="B92" s="19">
        <f>Analysis!E92</f>
        <v>-0.14999999999999858</v>
      </c>
      <c r="C92" s="20">
        <f>Analysis!F92</f>
        <v>0.18278308729885059</v>
      </c>
      <c r="D92" s="19">
        <f>ENSO!D92</f>
        <v>0.79</v>
      </c>
      <c r="E92" s="34">
        <f t="shared" si="6"/>
        <v>1.789E-2</v>
      </c>
      <c r="F92" s="19">
        <f>Solar!D92</f>
        <v>1360.75</v>
      </c>
      <c r="G92" s="32">
        <v>9.2800000000000001E-3</v>
      </c>
      <c r="H92" s="33">
        <v>0.11899999999999999</v>
      </c>
      <c r="I92" s="20">
        <f t="shared" si="4"/>
        <v>-2.7813808659605248E-2</v>
      </c>
      <c r="J92" s="20">
        <f t="shared" si="5"/>
        <v>-0.12218619134039332</v>
      </c>
      <c r="K92" s="20">
        <f>ENSO!I92</f>
        <v>-0.12652606568220315</v>
      </c>
      <c r="L92" s="19">
        <f>Analysis!B92</f>
        <v>1965.7083333333333</v>
      </c>
    </row>
    <row r="93" spans="1:12" ht="15" customHeight="1">
      <c r="A93" s="18" t="str">
        <f>Analysis!A93</f>
        <v>10/1965</v>
      </c>
      <c r="B93" s="19">
        <f>Analysis!E93</f>
        <v>-5.0000000000000711E-2</v>
      </c>
      <c r="C93" s="20">
        <f>Analysis!F93</f>
        <v>0.18042069408530895</v>
      </c>
      <c r="D93" s="19">
        <f>ENSO!D93</f>
        <v>1.1000000000000001</v>
      </c>
      <c r="E93" s="34">
        <f t="shared" si="6"/>
        <v>1.5949999999999999E-2</v>
      </c>
      <c r="F93" s="19">
        <f>Solar!D93</f>
        <v>1360.8</v>
      </c>
      <c r="G93" s="32">
        <v>9.1400000000000006E-3</v>
      </c>
      <c r="H93" s="33">
        <v>0.1217</v>
      </c>
      <c r="I93" s="20">
        <f t="shared" si="4"/>
        <v>-1.2219228591151474E-3</v>
      </c>
      <c r="J93" s="20">
        <f t="shared" si="5"/>
        <v>-4.8778077140885563E-2</v>
      </c>
      <c r="K93" s="20">
        <f>ENSO!I93</f>
        <v>-4.7018761780506194E-2</v>
      </c>
      <c r="L93" s="19">
        <f>Analysis!B93</f>
        <v>1965.7916666666667</v>
      </c>
    </row>
    <row r="94" spans="1:12" ht="15" customHeight="1">
      <c r="A94" s="18" t="str">
        <f>Analysis!A94</f>
        <v>11/1965</v>
      </c>
      <c r="B94" s="19">
        <f>Analysis!E94</f>
        <v>-6.0000000000000497E-2</v>
      </c>
      <c r="C94" s="20">
        <f>Analysis!F94</f>
        <v>0.18754154484093474</v>
      </c>
      <c r="D94" s="19">
        <f>ENSO!D94</f>
        <v>1.27</v>
      </c>
      <c r="E94" s="34">
        <f t="shared" si="6"/>
        <v>1.4330000000000001E-2</v>
      </c>
      <c r="F94" s="19">
        <f>Solar!D94</f>
        <v>1360.76</v>
      </c>
      <c r="G94" s="32">
        <v>8.7299999999999999E-3</v>
      </c>
      <c r="H94" s="33">
        <v>0.13009999999999999</v>
      </c>
      <c r="I94" s="20">
        <f t="shared" si="4"/>
        <v>3.7539393070555163E-2</v>
      </c>
      <c r="J94" s="20">
        <f t="shared" si="5"/>
        <v>-9.7539393070555661E-2</v>
      </c>
      <c r="K94" s="20">
        <f>ENSO!I94</f>
        <v>-9.1374708052926412E-2</v>
      </c>
      <c r="L94" s="19">
        <f>Analysis!B94</f>
        <v>1965.875</v>
      </c>
    </row>
    <row r="95" spans="1:12" ht="15" customHeight="1">
      <c r="A95" s="18" t="str">
        <f>Analysis!A95</f>
        <v>12/1965</v>
      </c>
      <c r="B95" s="19">
        <f>Analysis!E95</f>
        <v>-8.0000000000001847E-2</v>
      </c>
      <c r="C95" s="20">
        <f>Analysis!F95</f>
        <v>0.19002782057413631</v>
      </c>
      <c r="D95" s="19">
        <f>ENSO!D95</f>
        <v>1.55</v>
      </c>
      <c r="E95" s="34">
        <f t="shared" si="6"/>
        <v>1.295E-2</v>
      </c>
      <c r="F95" s="19">
        <f>Solar!D95</f>
        <v>1360.75</v>
      </c>
      <c r="G95" s="32">
        <v>8.1399999999999997E-3</v>
      </c>
      <c r="H95" s="33">
        <v>0.14180000000000001</v>
      </c>
      <c r="I95" s="20">
        <f t="shared" si="4"/>
        <v>7.33396163120624E-2</v>
      </c>
      <c r="J95" s="20">
        <f t="shared" si="5"/>
        <v>-0.15333961631206425</v>
      </c>
      <c r="K95" s="20">
        <f>ENSO!I95</f>
        <v>-0.14257457621666147</v>
      </c>
      <c r="L95" s="19">
        <f>Analysis!B95</f>
        <v>1965.9583333333333</v>
      </c>
    </row>
    <row r="96" spans="1:12" ht="15" customHeight="1">
      <c r="A96" s="18" t="str">
        <f>Analysis!A96</f>
        <v>1/1966</v>
      </c>
      <c r="B96" s="19">
        <f>Analysis!E96</f>
        <v>-0.18999999999999773</v>
      </c>
      <c r="C96" s="20">
        <f>Analysis!F96</f>
        <v>0.19543759520574477</v>
      </c>
      <c r="D96" s="19">
        <f>ENSO!D96</f>
        <v>1.7</v>
      </c>
      <c r="E96" s="34">
        <f t="shared" si="6"/>
        <v>1.1809999999999999E-2</v>
      </c>
      <c r="F96" s="19">
        <f>Solar!D96</f>
        <v>1360.83</v>
      </c>
      <c r="G96" s="32">
        <v>7.5900000000000004E-3</v>
      </c>
      <c r="H96" s="33">
        <v>0.15290000000000001</v>
      </c>
      <c r="I96" s="20">
        <f t="shared" si="4"/>
        <v>0.10452202954671443</v>
      </c>
      <c r="J96" s="20">
        <f t="shared" si="5"/>
        <v>-0.29452202954671214</v>
      </c>
      <c r="K96" s="20">
        <f>ENSO!I96</f>
        <v>-0.28048978979327266</v>
      </c>
      <c r="L96" s="19">
        <f>Analysis!B96</f>
        <v>1966.0416666666667</v>
      </c>
    </row>
    <row r="97" spans="1:12" ht="15" customHeight="1">
      <c r="A97" s="18" t="str">
        <f>Analysis!A97</f>
        <v>2/1966</v>
      </c>
      <c r="B97" s="19">
        <f>Analysis!E97</f>
        <v>-3.9999999999999147E-2</v>
      </c>
      <c r="C97" s="20">
        <f>Analysis!F97</f>
        <v>0.19984057934659985</v>
      </c>
      <c r="D97" s="19">
        <f>ENSO!D97</f>
        <v>1.82</v>
      </c>
      <c r="E97" s="34">
        <f t="shared" si="6"/>
        <v>1.0829999999999999E-2</v>
      </c>
      <c r="F97" s="19">
        <f>Solar!D97</f>
        <v>1360.87</v>
      </c>
      <c r="G97" s="32">
        <v>7.0299999999999998E-3</v>
      </c>
      <c r="H97" s="33">
        <v>0.16389999999999999</v>
      </c>
      <c r="I97" s="20">
        <f t="shared" si="4"/>
        <v>0.1298225895143669</v>
      </c>
      <c r="J97" s="20">
        <f t="shared" si="5"/>
        <v>-0.16982258951436605</v>
      </c>
      <c r="K97" s="20">
        <f>ENSO!I97</f>
        <v>-0.15302842203628417</v>
      </c>
      <c r="L97" s="19">
        <f>Analysis!B97</f>
        <v>1966.125</v>
      </c>
    </row>
    <row r="98" spans="1:12" ht="15" customHeight="1">
      <c r="A98" s="18" t="str">
        <f>Analysis!A98</f>
        <v>3/1966</v>
      </c>
      <c r="B98" s="19">
        <f>Analysis!E98</f>
        <v>2.9999999999997584E-2</v>
      </c>
      <c r="C98" s="20">
        <f>Analysis!F98</f>
        <v>0.20338016739614553</v>
      </c>
      <c r="D98" s="19">
        <f>ENSO!D98</f>
        <v>1.6</v>
      </c>
      <c r="E98" s="34">
        <f t="shared" si="6"/>
        <v>1.001E-2</v>
      </c>
      <c r="F98" s="19">
        <f>Solar!D98</f>
        <v>1360.78</v>
      </c>
      <c r="G98" s="32">
        <v>6.5900000000000004E-3</v>
      </c>
      <c r="H98" s="33">
        <v>0.17280000000000001</v>
      </c>
      <c r="I98" s="20">
        <f t="shared" si="4"/>
        <v>0.1208659389896332</v>
      </c>
      <c r="J98" s="20">
        <f t="shared" si="5"/>
        <v>-9.0865938989635617E-2</v>
      </c>
      <c r="K98" s="20">
        <f>ENSO!I98</f>
        <v>-7.3602639463268005E-2</v>
      </c>
      <c r="L98" s="19">
        <f>Analysis!B98</f>
        <v>1966.2083333333333</v>
      </c>
    </row>
    <row r="99" spans="1:12" ht="15" customHeight="1">
      <c r="A99" s="18" t="str">
        <f>Analysis!A99</f>
        <v>4/1966</v>
      </c>
      <c r="B99" s="19">
        <f>Analysis!E99</f>
        <v>-0.13000000000000256</v>
      </c>
      <c r="C99" s="20">
        <f>Analysis!F99</f>
        <v>0.20923053837684438</v>
      </c>
      <c r="D99" s="19">
        <f>ENSO!D99</f>
        <v>1.24</v>
      </c>
      <c r="E99" s="34">
        <f t="shared" si="6"/>
        <v>9.2800000000000001E-3</v>
      </c>
      <c r="F99" s="19">
        <f>Solar!D99</f>
        <v>1360.76</v>
      </c>
      <c r="G99" s="32">
        <v>6.28E-3</v>
      </c>
      <c r="H99" s="33">
        <v>0.17899999999999999</v>
      </c>
      <c r="I99" s="20">
        <f t="shared" si="4"/>
        <v>0.1050224437541294</v>
      </c>
      <c r="J99" s="20">
        <f t="shared" si="5"/>
        <v>-0.23502244375413195</v>
      </c>
      <c r="K99" s="20">
        <f>ENSO!I99</f>
        <v>-0.21833881874856181</v>
      </c>
      <c r="L99" s="19">
        <f>Analysis!B99</f>
        <v>1966.2916666666667</v>
      </c>
    </row>
    <row r="100" spans="1:12" ht="15" customHeight="1">
      <c r="A100" s="18" t="str">
        <f>Analysis!A100</f>
        <v>5/1966</v>
      </c>
      <c r="B100" s="19">
        <f>Analysis!E100</f>
        <v>-0.11999999999999744</v>
      </c>
      <c r="C100" s="20">
        <f>Analysis!F100</f>
        <v>0.21092316296674554</v>
      </c>
      <c r="D100" s="19">
        <f>ENSO!D100</f>
        <v>0.95</v>
      </c>
      <c r="E100" s="34">
        <f t="shared" si="6"/>
        <v>9.1400000000000006E-3</v>
      </c>
      <c r="F100" s="19">
        <f>Solar!D100</f>
        <v>1361.12</v>
      </c>
      <c r="G100" s="32">
        <v>6.5799999999999999E-3</v>
      </c>
      <c r="H100" s="33">
        <v>0.17299999999999999</v>
      </c>
      <c r="I100" s="20">
        <f t="shared" si="4"/>
        <v>8.3036446670448572E-2</v>
      </c>
      <c r="J100" s="20">
        <f t="shared" si="5"/>
        <v>-0.20303644667044601</v>
      </c>
      <c r="K100" s="20">
        <f>ENSO!I100</f>
        <v>-0.18774716017585669</v>
      </c>
      <c r="L100" s="19">
        <f>Analysis!B100</f>
        <v>1966.375</v>
      </c>
    </row>
    <row r="101" spans="1:12" ht="15" customHeight="1">
      <c r="A101" s="18" t="str">
        <f>Analysis!A101</f>
        <v>6/1966</v>
      </c>
      <c r="B101" s="19">
        <f>Analysis!E101</f>
        <v>1.0000000000001563E-2</v>
      </c>
      <c r="C101" s="20">
        <f>Analysis!F101</f>
        <v>0.20945336562894978</v>
      </c>
      <c r="D101" s="19">
        <f>ENSO!D101</f>
        <v>0.76</v>
      </c>
      <c r="E101" s="34">
        <f t="shared" si="6"/>
        <v>8.7299999999999999E-3</v>
      </c>
      <c r="F101" s="19">
        <f>Solar!D101</f>
        <v>1361.08</v>
      </c>
      <c r="G101" s="32">
        <v>6.6E-3</v>
      </c>
      <c r="H101" s="33">
        <v>0.17249999999999999</v>
      </c>
      <c r="I101" s="20">
        <f t="shared" si="4"/>
        <v>6.229877484118343E-2</v>
      </c>
      <c r="J101" s="20">
        <f t="shared" si="5"/>
        <v>-5.2298774841181866E-2</v>
      </c>
      <c r="K101" s="20">
        <f>ENSO!I101</f>
        <v>-3.7172750238236282E-2</v>
      </c>
      <c r="L101" s="19">
        <f>Analysis!B101</f>
        <v>1966.4583333333333</v>
      </c>
    </row>
    <row r="102" spans="1:12" ht="15" customHeight="1">
      <c r="A102" s="18" t="str">
        <f>Analysis!A102</f>
        <v>7/1966</v>
      </c>
      <c r="B102" s="19">
        <f>Analysis!E102</f>
        <v>8.0000000000000071E-2</v>
      </c>
      <c r="C102" s="20">
        <f>Analysis!F102</f>
        <v>0.20329066463286302</v>
      </c>
      <c r="D102" s="19">
        <f>ENSO!D102</f>
        <v>0.43</v>
      </c>
      <c r="E102" s="34">
        <f t="shared" si="6"/>
        <v>8.1399999999999997E-3</v>
      </c>
      <c r="F102" s="19">
        <f>Solar!D102</f>
        <v>1361</v>
      </c>
      <c r="G102" s="32">
        <v>6.4799999999999996E-3</v>
      </c>
      <c r="H102" s="33">
        <v>0.1749</v>
      </c>
      <c r="I102" s="20">
        <f t="shared" si="4"/>
        <v>1.6166317350163759E-2</v>
      </c>
      <c r="J102" s="20">
        <f t="shared" si="5"/>
        <v>6.3833682649836312E-2</v>
      </c>
      <c r="K102" s="20">
        <f>ENSO!I102</f>
        <v>7.847739715248947E-2</v>
      </c>
      <c r="L102" s="19">
        <f>Analysis!B102</f>
        <v>1966.5416666666667</v>
      </c>
    </row>
    <row r="103" spans="1:12" ht="15" customHeight="1">
      <c r="A103" s="18" t="str">
        <f>Analysis!A103</f>
        <v>8/1966</v>
      </c>
      <c r="B103" s="19">
        <f>Analysis!E103</f>
        <v>-9.0000000000001634E-2</v>
      </c>
      <c r="C103" s="20">
        <f>Analysis!F103</f>
        <v>0.19426719759207978</v>
      </c>
      <c r="D103" s="19">
        <f>ENSO!D103</f>
        <v>0.24</v>
      </c>
      <c r="E103" s="34">
        <f t="shared" si="6"/>
        <v>7.5900000000000004E-3</v>
      </c>
      <c r="F103" s="19">
        <f>Solar!D103</f>
        <v>1361.19</v>
      </c>
      <c r="G103" s="32">
        <v>6.5500000000000003E-3</v>
      </c>
      <c r="H103" s="33">
        <v>0.1736</v>
      </c>
      <c r="I103" s="20">
        <f t="shared" si="4"/>
        <v>-2.4865379400199273E-2</v>
      </c>
      <c r="J103" s="20">
        <f t="shared" si="5"/>
        <v>-6.5134620599802365E-2</v>
      </c>
      <c r="K103" s="20">
        <f>ENSO!I103</f>
        <v>-5.0199802103416867E-2</v>
      </c>
      <c r="L103" s="19">
        <f>Analysis!B103</f>
        <v>1966.625</v>
      </c>
    </row>
    <row r="104" spans="1:12" ht="15" customHeight="1">
      <c r="A104" s="18" t="str">
        <f>Analysis!A104</f>
        <v>9/1966</v>
      </c>
      <c r="B104" s="19">
        <f>Analysis!E104</f>
        <v>-2.9999999999999361E-2</v>
      </c>
      <c r="C104" s="20">
        <f>Analysis!F104</f>
        <v>0.18650055764449477</v>
      </c>
      <c r="D104" s="19">
        <f>ENSO!D104</f>
        <v>0.18</v>
      </c>
      <c r="E104" s="34">
        <f t="shared" si="6"/>
        <v>7.0299999999999998E-3</v>
      </c>
      <c r="F104" s="19">
        <f>Solar!D104</f>
        <v>1360.94</v>
      </c>
      <c r="G104" s="32">
        <v>6.9100000000000003E-3</v>
      </c>
      <c r="H104" s="33">
        <v>0.16639999999999999</v>
      </c>
      <c r="I104" s="20">
        <f t="shared" si="4"/>
        <v>-5.0383817865561648E-2</v>
      </c>
      <c r="J104" s="20">
        <f t="shared" si="5"/>
        <v>2.0383817865562287E-2</v>
      </c>
      <c r="K104" s="20">
        <f>ENSO!I104</f>
        <v>3.6355840742889389E-2</v>
      </c>
      <c r="L104" s="19">
        <f>Analysis!B104</f>
        <v>1966.7083333333333</v>
      </c>
    </row>
    <row r="105" spans="1:12" ht="15" customHeight="1">
      <c r="A105" s="18" t="str">
        <f>Analysis!A105</f>
        <v>10/1966</v>
      </c>
      <c r="B105" s="19">
        <f>Analysis!E105</f>
        <v>-0.16999999999999638</v>
      </c>
      <c r="C105" s="20">
        <f>Analysis!F105</f>
        <v>0.18405354470718463</v>
      </c>
      <c r="D105" s="19">
        <f>ENSO!D105</f>
        <v>0.25</v>
      </c>
      <c r="E105" s="34">
        <f t="shared" si="6"/>
        <v>6.5900000000000004E-3</v>
      </c>
      <c r="F105" s="19">
        <f>Solar!D105</f>
        <v>1361.12</v>
      </c>
      <c r="G105" s="32">
        <v>6.8799999999999998E-3</v>
      </c>
      <c r="H105" s="33">
        <v>0.16689999999999999</v>
      </c>
      <c r="I105" s="20">
        <f t="shared" si="4"/>
        <v>-4.9594058199848204E-2</v>
      </c>
      <c r="J105" s="20">
        <f t="shared" si="5"/>
        <v>-0.12040594180014817</v>
      </c>
      <c r="K105" s="20">
        <f>ENSO!I105</f>
        <v>-0.10301535745103844</v>
      </c>
      <c r="L105" s="19">
        <f>Analysis!B105</f>
        <v>1966.7916666666667</v>
      </c>
    </row>
    <row r="106" spans="1:12" ht="15" customHeight="1">
      <c r="A106" s="18" t="str">
        <f>Analysis!A106</f>
        <v>11/1966</v>
      </c>
      <c r="B106" s="19">
        <f>Analysis!E106</f>
        <v>-9.9999999999980105E-3</v>
      </c>
      <c r="C106" s="20">
        <f>Analysis!F106</f>
        <v>0.19165288399602148</v>
      </c>
      <c r="D106" s="19">
        <f>ENSO!D106</f>
        <v>0.13</v>
      </c>
      <c r="E106" s="34">
        <f t="shared" si="6"/>
        <v>6.28E-3</v>
      </c>
      <c r="F106" s="19">
        <f>Solar!D106</f>
        <v>1361.18</v>
      </c>
      <c r="G106" s="32">
        <v>6.6100000000000004E-3</v>
      </c>
      <c r="H106" s="33">
        <v>0.17230000000000001</v>
      </c>
      <c r="I106" s="20">
        <f t="shared" si="4"/>
        <v>-3.932071622151237E-2</v>
      </c>
      <c r="J106" s="20">
        <f t="shared" si="5"/>
        <v>2.9320716221514359E-2</v>
      </c>
      <c r="K106" s="20">
        <f>ENSO!I106</f>
        <v>4.6555339086963625E-2</v>
      </c>
      <c r="L106" s="19">
        <f>Analysis!B106</f>
        <v>1966.875</v>
      </c>
    </row>
    <row r="107" spans="1:12" ht="15" customHeight="1">
      <c r="A107" s="18" t="str">
        <f>Analysis!A107</f>
        <v>12/1966</v>
      </c>
      <c r="B107" s="19">
        <f>Analysis!E107</f>
        <v>-2.9999999999999361E-2</v>
      </c>
      <c r="C107" s="20">
        <f>Analysis!F107</f>
        <v>0.19723635491870628</v>
      </c>
      <c r="D107" s="19">
        <f>ENSO!D107</f>
        <v>-0.09</v>
      </c>
      <c r="E107" s="34">
        <f t="shared" si="6"/>
        <v>6.5799999999999999E-3</v>
      </c>
      <c r="F107" s="19">
        <f>Solar!D107</f>
        <v>1361.14</v>
      </c>
      <c r="G107" s="32">
        <v>6.3E-3</v>
      </c>
      <c r="H107" s="33">
        <v>0.1787</v>
      </c>
      <c r="I107" s="20">
        <f t="shared" si="4"/>
        <v>-4.5167222224356818E-2</v>
      </c>
      <c r="J107" s="20">
        <f t="shared" si="5"/>
        <v>1.5167222224357457E-2</v>
      </c>
      <c r="K107" s="20">
        <f>ENSO!I107</f>
        <v>3.036699206707974E-2</v>
      </c>
      <c r="L107" s="19">
        <f>Analysis!B107</f>
        <v>1966.9583333333333</v>
      </c>
    </row>
    <row r="108" spans="1:12" ht="15" customHeight="1">
      <c r="A108" s="18" t="str">
        <f>Analysis!A108</f>
        <v>1/1967</v>
      </c>
      <c r="B108" s="19">
        <f>Analysis!E108</f>
        <v>-8.0000000000001847E-2</v>
      </c>
      <c r="C108" s="20">
        <f>Analysis!F108</f>
        <v>0.20311164244670007</v>
      </c>
      <c r="D108" s="19">
        <f>ENSO!D108</f>
        <v>-0.12</v>
      </c>
      <c r="E108" s="34">
        <f t="shared" si="6"/>
        <v>6.6E-3</v>
      </c>
      <c r="F108" s="19">
        <f>Solar!D108</f>
        <v>1360.94</v>
      </c>
      <c r="G108" s="32">
        <v>6.0000000000000001E-3</v>
      </c>
      <c r="H108" s="33">
        <v>0.18459999999999999</v>
      </c>
      <c r="I108" s="20">
        <f t="shared" si="4"/>
        <v>-3.1970668480136313E-2</v>
      </c>
      <c r="J108" s="20">
        <f t="shared" si="5"/>
        <v>-4.8029331519865534E-2</v>
      </c>
      <c r="K108" s="20">
        <f>ENSO!I108</f>
        <v>-3.3160091957777096E-2</v>
      </c>
      <c r="L108" s="19">
        <f>Analysis!B108</f>
        <v>1967.0416666666667</v>
      </c>
    </row>
    <row r="109" spans="1:12" ht="15" customHeight="1">
      <c r="A109" s="18" t="str">
        <f>Analysis!A109</f>
        <v>2/1967</v>
      </c>
      <c r="B109" s="19">
        <f>Analysis!E109</f>
        <v>-0.20999999999999908</v>
      </c>
      <c r="C109" s="20">
        <f>Analysis!F109</f>
        <v>0.20387233336564989</v>
      </c>
      <c r="D109" s="19">
        <f>ENSO!D109</f>
        <v>-0.23</v>
      </c>
      <c r="E109" s="34">
        <f t="shared" si="6"/>
        <v>6.4799999999999996E-3</v>
      </c>
      <c r="F109" s="19">
        <f>Solar!D109</f>
        <v>1361.28</v>
      </c>
      <c r="G109" s="32">
        <v>5.6800000000000002E-3</v>
      </c>
      <c r="H109" s="33">
        <v>0.191</v>
      </c>
      <c r="I109" s="20">
        <f t="shared" si="4"/>
        <v>-3.9839349821814488E-2</v>
      </c>
      <c r="J109" s="20">
        <f t="shared" si="5"/>
        <v>-0.1701606501781846</v>
      </c>
      <c r="K109" s="20">
        <f>ENSO!I109</f>
        <v>-0.15567540015219217</v>
      </c>
      <c r="L109" s="19">
        <f>Analysis!B109</f>
        <v>1967.125</v>
      </c>
    </row>
    <row r="110" spans="1:12" ht="15" customHeight="1">
      <c r="A110" s="18" t="str">
        <f>Analysis!A110</f>
        <v>3/1967</v>
      </c>
      <c r="B110" s="19">
        <f>Analysis!E110</f>
        <v>5.0000000000004263E-2</v>
      </c>
      <c r="C110" s="20">
        <f>Analysis!F110</f>
        <v>0.20624132797002478</v>
      </c>
      <c r="D110" s="19">
        <f>ENSO!D110</f>
        <v>-0.35</v>
      </c>
      <c r="E110" s="34">
        <f t="shared" si="6"/>
        <v>6.5500000000000003E-3</v>
      </c>
      <c r="F110" s="19">
        <f>Solar!D110</f>
        <v>1361.04</v>
      </c>
      <c r="G110" s="32">
        <v>5.4299999999999999E-3</v>
      </c>
      <c r="H110" s="33">
        <v>0.19600000000000001</v>
      </c>
      <c r="I110" s="20">
        <f t="shared" si="4"/>
        <v>-4.4667519152430654E-2</v>
      </c>
      <c r="J110" s="20">
        <f t="shared" si="5"/>
        <v>9.4667519152434917E-2</v>
      </c>
      <c r="K110" s="20">
        <f>ENSO!I110</f>
        <v>0.10826198699221783</v>
      </c>
      <c r="L110" s="19">
        <f>Analysis!B110</f>
        <v>1967.2083333333333</v>
      </c>
    </row>
    <row r="111" spans="1:12" ht="15" customHeight="1">
      <c r="A111" s="18" t="str">
        <f>Analysis!A111</f>
        <v>4/1967</v>
      </c>
      <c r="B111" s="19">
        <f>Analysis!E111</f>
        <v>-5.0000000000000711E-2</v>
      </c>
      <c r="C111" s="20">
        <f>Analysis!F111</f>
        <v>0.21239146441962328</v>
      </c>
      <c r="D111" s="19">
        <f>ENSO!D111</f>
        <v>-0.46</v>
      </c>
      <c r="E111" s="34">
        <f t="shared" si="6"/>
        <v>6.9100000000000003E-3</v>
      </c>
      <c r="F111" s="19">
        <f>Solar!D111</f>
        <v>1361.6</v>
      </c>
      <c r="G111" s="32">
        <v>5.2900000000000004E-3</v>
      </c>
      <c r="H111" s="33">
        <v>0.1988</v>
      </c>
      <c r="I111" s="20">
        <f t="shared" si="4"/>
        <v>-3.8893056356165551E-2</v>
      </c>
      <c r="J111" s="20">
        <f t="shared" si="5"/>
        <v>-1.110694364383516E-2</v>
      </c>
      <c r="K111" s="20">
        <f>ENSO!I111</f>
        <v>9.4297060072135591E-4</v>
      </c>
      <c r="L111" s="19">
        <f>Analysis!B111</f>
        <v>1967.2916666666667</v>
      </c>
    </row>
    <row r="112" spans="1:12" ht="15" customHeight="1">
      <c r="A112" s="18" t="str">
        <f>Analysis!A112</f>
        <v>5/1967</v>
      </c>
      <c r="B112" s="19">
        <f>Analysis!E112</f>
        <v>0.11999999999999744</v>
      </c>
      <c r="C112" s="20">
        <f>Analysis!F112</f>
        <v>0.21501289097085052</v>
      </c>
      <c r="D112" s="19">
        <f>ENSO!D112</f>
        <v>-0.48</v>
      </c>
      <c r="E112" s="34">
        <f t="shared" si="6"/>
        <v>6.8799999999999998E-3</v>
      </c>
      <c r="F112" s="19">
        <f>Solar!D112</f>
        <v>1360.99</v>
      </c>
      <c r="G112" s="32">
        <v>5.1799999999999997E-3</v>
      </c>
      <c r="H112" s="33">
        <v>0.20100000000000001</v>
      </c>
      <c r="I112" s="20">
        <f t="shared" si="4"/>
        <v>-3.353319948154055E-2</v>
      </c>
      <c r="J112" s="20">
        <f t="shared" si="5"/>
        <v>0.15353319948153799</v>
      </c>
      <c r="K112" s="20">
        <f>ENSO!I112</f>
        <v>0.16548320165815994</v>
      </c>
      <c r="L112" s="19">
        <f>Analysis!B112</f>
        <v>1967.375</v>
      </c>
    </row>
    <row r="113" spans="1:12" ht="15" customHeight="1">
      <c r="A113" s="18" t="str">
        <f>Analysis!A113</f>
        <v>6/1967</v>
      </c>
      <c r="B113" s="19">
        <f>Analysis!E113</f>
        <v>-8.0000000000001847E-2</v>
      </c>
      <c r="C113" s="20">
        <f>Analysis!F113</f>
        <v>0.21096767891290158</v>
      </c>
      <c r="D113" s="19">
        <f>ENSO!D113</f>
        <v>-0.5</v>
      </c>
      <c r="E113" s="34">
        <f t="shared" si="6"/>
        <v>6.6100000000000004E-3</v>
      </c>
      <c r="F113" s="19">
        <f>Solar!D113</f>
        <v>1361.25</v>
      </c>
      <c r="G113" s="32">
        <v>5.11E-3</v>
      </c>
      <c r="H113" s="33">
        <v>0.2024</v>
      </c>
      <c r="I113" s="20">
        <f t="shared" si="4"/>
        <v>-4.5828020741290144E-2</v>
      </c>
      <c r="J113" s="20">
        <f t="shared" si="5"/>
        <v>-3.4171979258711703E-2</v>
      </c>
      <c r="K113" s="20">
        <f>ENSO!I113</f>
        <v>-2.1664670065222345E-2</v>
      </c>
      <c r="L113" s="19">
        <f>Analysis!B113</f>
        <v>1967.4583333333333</v>
      </c>
    </row>
    <row r="114" spans="1:12" ht="15" customHeight="1">
      <c r="A114" s="18" t="str">
        <f>Analysis!A114</f>
        <v>7/1967</v>
      </c>
      <c r="B114" s="19">
        <f>Analysis!E114</f>
        <v>2.0000000000003126E-2</v>
      </c>
      <c r="C114" s="20">
        <f>Analysis!F114</f>
        <v>0.20405126118938038</v>
      </c>
      <c r="D114" s="19">
        <f>ENSO!D114</f>
        <v>-0.37</v>
      </c>
      <c r="E114" s="34">
        <f t="shared" si="6"/>
        <v>6.3E-3</v>
      </c>
      <c r="F114" s="19">
        <f>Solar!D114</f>
        <v>1361.11</v>
      </c>
      <c r="G114" s="32">
        <v>5.0600000000000003E-3</v>
      </c>
      <c r="H114" s="33">
        <v>0.20330000000000001</v>
      </c>
      <c r="I114" s="20">
        <f t="shared" si="4"/>
        <v>-5.1946576216873451E-2</v>
      </c>
      <c r="J114" s="20">
        <f t="shared" si="5"/>
        <v>7.1946576216876584E-2</v>
      </c>
      <c r="K114" s="20">
        <f>ENSO!I114</f>
        <v>8.6018409376229482E-2</v>
      </c>
      <c r="L114" s="19">
        <f>Analysis!B114</f>
        <v>1967.5416666666667</v>
      </c>
    </row>
    <row r="115" spans="1:12" ht="15" customHeight="1">
      <c r="A115" s="18" t="str">
        <f>Analysis!A115</f>
        <v>8/1967</v>
      </c>
      <c r="B115" s="19">
        <f>Analysis!E115</f>
        <v>1.0000000000001563E-2</v>
      </c>
      <c r="C115" s="20">
        <f>Analysis!F115</f>
        <v>0.1967868752001786</v>
      </c>
      <c r="D115" s="19">
        <f>ENSO!D115</f>
        <v>-0.15</v>
      </c>
      <c r="E115" s="34">
        <f t="shared" si="6"/>
        <v>6.0000000000000001E-3</v>
      </c>
      <c r="F115" s="19">
        <f>Solar!D115</f>
        <v>1361.17</v>
      </c>
      <c r="G115" s="32">
        <v>5.0499999999999998E-3</v>
      </c>
      <c r="H115" s="33">
        <v>0.2036</v>
      </c>
      <c r="I115" s="20">
        <f t="shared" si="4"/>
        <v>-5.068464146840216E-2</v>
      </c>
      <c r="J115" s="20">
        <f t="shared" si="5"/>
        <v>6.0684641468403723E-2</v>
      </c>
      <c r="K115" s="20">
        <f>ENSO!I115</f>
        <v>7.6823887417710568E-2</v>
      </c>
      <c r="L115" s="19">
        <f>Analysis!B115</f>
        <v>1967.625</v>
      </c>
    </row>
    <row r="116" spans="1:12" ht="15" customHeight="1">
      <c r="A116" s="18" t="str">
        <f>Analysis!A116</f>
        <v>9/1967</v>
      </c>
      <c r="B116" s="19">
        <f>Analysis!E116</f>
        <v>-6.0000000000000497E-2</v>
      </c>
      <c r="C116" s="20">
        <f>Analysis!F116</f>
        <v>0.18925979275775742</v>
      </c>
      <c r="D116" s="19">
        <f>ENSO!D116</f>
        <v>0.05</v>
      </c>
      <c r="E116" s="34">
        <f t="shared" si="6"/>
        <v>5.6800000000000002E-3</v>
      </c>
      <c r="F116" s="19">
        <f>Solar!D116</f>
        <v>1361.5</v>
      </c>
      <c r="G116" s="32">
        <v>5.0200000000000002E-3</v>
      </c>
      <c r="H116" s="33">
        <v>0.20430000000000001</v>
      </c>
      <c r="I116" s="20">
        <f t="shared" si="4"/>
        <v>-5.1951085091035229E-2</v>
      </c>
      <c r="J116" s="20">
        <f t="shared" si="5"/>
        <v>-8.0489149089652684E-3</v>
      </c>
      <c r="K116" s="20">
        <f>ENSO!I116</f>
        <v>1.0091694461493106E-2</v>
      </c>
      <c r="L116" s="19">
        <f>Analysis!B116</f>
        <v>1967.7083333333333</v>
      </c>
    </row>
    <row r="117" spans="1:12" ht="15" customHeight="1">
      <c r="A117" s="18" t="str">
        <f>Analysis!A117</f>
        <v>10/1967</v>
      </c>
      <c r="B117" s="19">
        <f>Analysis!E117</f>
        <v>8.9999999999999858E-2</v>
      </c>
      <c r="C117" s="20">
        <f>Analysis!F117</f>
        <v>0.18989231596006176</v>
      </c>
      <c r="D117" s="19">
        <f>ENSO!D117</f>
        <v>-0.02</v>
      </c>
      <c r="E117" s="34">
        <f t="shared" si="6"/>
        <v>5.4299999999999999E-3</v>
      </c>
      <c r="F117" s="19">
        <f>Solar!D117</f>
        <v>1361.37</v>
      </c>
      <c r="G117" s="32">
        <v>5.0000000000000001E-3</v>
      </c>
      <c r="H117" s="33">
        <v>0.20449999999999999</v>
      </c>
      <c r="I117" s="20">
        <f t="shared" si="4"/>
        <v>-5.6171487965224372E-2</v>
      </c>
      <c r="J117" s="20">
        <f t="shared" si="5"/>
        <v>0.14617148796522422</v>
      </c>
      <c r="K117" s="20">
        <f>ENSO!I117</f>
        <v>0.16444692606124639</v>
      </c>
      <c r="L117" s="19">
        <f>Analysis!B117</f>
        <v>1967.7916666666667</v>
      </c>
    </row>
    <row r="118" spans="1:12" ht="15" customHeight="1">
      <c r="A118" s="18" t="str">
        <f>Analysis!A118</f>
        <v>11/1967</v>
      </c>
      <c r="B118" s="19">
        <f>Analysis!E118</f>
        <v>-5.0000000000000711E-2</v>
      </c>
      <c r="C118" s="20">
        <f>Analysis!F118</f>
        <v>0.19593247773807179</v>
      </c>
      <c r="D118" s="19">
        <f>ENSO!D118</f>
        <v>-0.26</v>
      </c>
      <c r="E118" s="34">
        <f t="shared" si="6"/>
        <v>5.2900000000000004E-3</v>
      </c>
      <c r="F118" s="19">
        <f>Solar!D118</f>
        <v>1361.23</v>
      </c>
      <c r="G118" s="32">
        <v>4.8399999999999997E-3</v>
      </c>
      <c r="H118" s="33">
        <v>0.20780000000000001</v>
      </c>
      <c r="I118" s="20">
        <f t="shared" si="4"/>
        <v>-6.1660148830467665E-2</v>
      </c>
      <c r="J118" s="20">
        <f t="shared" si="5"/>
        <v>1.1660148830466954E-2</v>
      </c>
      <c r="K118" s="20">
        <f>ENSO!I118</f>
        <v>2.8744897759154578E-2</v>
      </c>
      <c r="L118" s="19">
        <f>Analysis!B118</f>
        <v>1967.875</v>
      </c>
    </row>
    <row r="119" spans="1:12" ht="15" customHeight="1">
      <c r="A119" s="18" t="str">
        <f>Analysis!A119</f>
        <v>12/1967</v>
      </c>
      <c r="B119" s="19">
        <f>Analysis!E119</f>
        <v>-5.0000000000000711E-2</v>
      </c>
      <c r="C119" s="20">
        <f>Analysis!F119</f>
        <v>0.20145463326198595</v>
      </c>
      <c r="D119" s="19">
        <f>ENSO!D119</f>
        <v>-0.4</v>
      </c>
      <c r="E119" s="34">
        <f t="shared" si="6"/>
        <v>5.1799999999999997E-3</v>
      </c>
      <c r="F119" s="19">
        <f>Solar!D119</f>
        <v>1361.22</v>
      </c>
      <c r="G119" s="32">
        <v>4.6499999999999996E-3</v>
      </c>
      <c r="H119" s="33">
        <v>0.21149999999999999</v>
      </c>
      <c r="I119" s="20">
        <f t="shared" si="4"/>
        <v>-5.9348142371332409E-2</v>
      </c>
      <c r="J119" s="20">
        <f t="shared" si="5"/>
        <v>9.3481423713316983E-3</v>
      </c>
      <c r="K119" s="20">
        <f>ENSO!I119</f>
        <v>2.5761950048964408E-2</v>
      </c>
      <c r="L119" s="19">
        <f>Analysis!B119</f>
        <v>1967.9583333333333</v>
      </c>
    </row>
    <row r="120" spans="1:12" ht="15" customHeight="1">
      <c r="A120" s="18" t="str">
        <f>Analysis!A120</f>
        <v>1/1968</v>
      </c>
      <c r="B120" s="19">
        <f>Analysis!E120</f>
        <v>-0.25999999999999979</v>
      </c>
      <c r="C120" s="20">
        <f>Analysis!F120</f>
        <v>0.20418544249569365</v>
      </c>
      <c r="D120" s="19">
        <f>ENSO!D120</f>
        <v>-0.4</v>
      </c>
      <c r="E120" s="34">
        <f t="shared" si="6"/>
        <v>5.11E-3</v>
      </c>
      <c r="F120" s="19">
        <f>Solar!D120</f>
        <v>1361.36</v>
      </c>
      <c r="G120" s="32">
        <v>4.4999999999999997E-3</v>
      </c>
      <c r="H120" s="33">
        <v>0.2147</v>
      </c>
      <c r="I120" s="20">
        <f t="shared" si="4"/>
        <v>-5.1746037936566465E-2</v>
      </c>
      <c r="J120" s="20">
        <f t="shared" si="5"/>
        <v>-0.20825396206343333</v>
      </c>
      <c r="K120" s="20">
        <f>ENSO!I120</f>
        <v>-0.19173902622174532</v>
      </c>
      <c r="L120" s="19">
        <f>Analysis!B120</f>
        <v>1968.0416666666667</v>
      </c>
    </row>
    <row r="121" spans="1:12" ht="15" customHeight="1">
      <c r="A121" s="18" t="str">
        <f>Analysis!A121</f>
        <v>2/1968</v>
      </c>
      <c r="B121" s="19">
        <f>Analysis!E121</f>
        <v>-0.13999999999999879</v>
      </c>
      <c r="C121" s="20">
        <f>Analysis!F121</f>
        <v>0.20677716444561006</v>
      </c>
      <c r="D121" s="19">
        <f>ENSO!D121</f>
        <v>-0.36</v>
      </c>
      <c r="E121" s="34">
        <f t="shared" si="6"/>
        <v>5.0600000000000003E-3</v>
      </c>
      <c r="F121" s="19">
        <f>Solar!D121</f>
        <v>1361.48</v>
      </c>
      <c r="G121" s="32">
        <v>4.3099999999999996E-3</v>
      </c>
      <c r="H121" s="33">
        <v>0.21840000000000001</v>
      </c>
      <c r="I121" s="20">
        <f t="shared" si="4"/>
        <v>-4.0855490182089421E-2</v>
      </c>
      <c r="J121" s="20">
        <f t="shared" si="5"/>
        <v>-9.9144509817909371E-2</v>
      </c>
      <c r="K121" s="20">
        <f>ENSO!I121</f>
        <v>-8.2339468873363741E-2</v>
      </c>
      <c r="L121" s="19">
        <f>Analysis!B121</f>
        <v>1968.125</v>
      </c>
    </row>
    <row r="122" spans="1:12" ht="15" customHeight="1">
      <c r="A122" s="18" t="str">
        <f>Analysis!A122</f>
        <v>3/1968</v>
      </c>
      <c r="B122" s="19">
        <f>Analysis!E122</f>
        <v>0.20000000000000107</v>
      </c>
      <c r="C122" s="20">
        <f>Analysis!F122</f>
        <v>0.21007709890320869</v>
      </c>
      <c r="D122" s="19">
        <f>ENSO!D122</f>
        <v>-0.42</v>
      </c>
      <c r="E122" s="34">
        <f t="shared" si="6"/>
        <v>5.0499999999999998E-3</v>
      </c>
      <c r="F122" s="19">
        <f>Solar!D122</f>
        <v>1361.47</v>
      </c>
      <c r="G122" s="32">
        <v>4.1900000000000001E-3</v>
      </c>
      <c r="H122" s="33">
        <v>0.22070000000000001</v>
      </c>
      <c r="I122" s="20">
        <f t="shared" si="4"/>
        <v>-3.7400860951051426E-2</v>
      </c>
      <c r="J122" s="20">
        <f t="shared" si="5"/>
        <v>0.23740086095105251</v>
      </c>
      <c r="K122" s="20">
        <f>ENSO!I122</f>
        <v>0.2538185500793696</v>
      </c>
      <c r="L122" s="19">
        <f>Analysis!B122</f>
        <v>1968.2083333333333</v>
      </c>
    </row>
    <row r="123" spans="1:12" ht="15" customHeight="1">
      <c r="A123" s="18" t="str">
        <f>Analysis!A123</f>
        <v>4/1968</v>
      </c>
      <c r="B123" s="19">
        <f>Analysis!E123</f>
        <v>-6.0000000000000497E-2</v>
      </c>
      <c r="C123" s="20">
        <f>Analysis!F123</f>
        <v>0.21510166947251774</v>
      </c>
      <c r="D123" s="19">
        <f>ENSO!D123</f>
        <v>-0.62</v>
      </c>
      <c r="E123" s="34">
        <f t="shared" si="6"/>
        <v>5.0200000000000002E-3</v>
      </c>
      <c r="F123" s="19">
        <f>Solar!D123</f>
        <v>1361.48</v>
      </c>
      <c r="G123" s="32">
        <v>4.1799999999999997E-3</v>
      </c>
      <c r="H123" s="33">
        <v>0.221</v>
      </c>
      <c r="I123" s="20">
        <f t="shared" si="4"/>
        <v>-4.2189709687885893E-2</v>
      </c>
      <c r="J123" s="20">
        <f t="shared" si="5"/>
        <v>-1.7810290312114604E-2</v>
      </c>
      <c r="K123" s="20">
        <f>ENSO!I123</f>
        <v>-2.5753670032714129E-3</v>
      </c>
      <c r="L123" s="19">
        <f>Analysis!B123</f>
        <v>1968.2916666666667</v>
      </c>
    </row>
    <row r="124" spans="1:12" ht="15" customHeight="1">
      <c r="A124" s="18" t="str">
        <f>Analysis!A124</f>
        <v>5/1968</v>
      </c>
      <c r="B124" s="19">
        <f>Analysis!E124</f>
        <v>-0.13999999999999879</v>
      </c>
      <c r="C124" s="20">
        <f>Analysis!F124</f>
        <v>0.21754093986252426</v>
      </c>
      <c r="D124" s="19">
        <f>ENSO!D124</f>
        <v>-0.73</v>
      </c>
      <c r="E124" s="34">
        <f t="shared" si="6"/>
        <v>5.0000000000000001E-3</v>
      </c>
      <c r="F124" s="19">
        <f>Solar!D124</f>
        <v>1361.15</v>
      </c>
      <c r="G124" s="32">
        <v>4.1900000000000001E-3</v>
      </c>
      <c r="H124" s="33">
        <v>0.2208</v>
      </c>
      <c r="I124" s="20">
        <f t="shared" si="4"/>
        <v>-4.570022516385893E-2</v>
      </c>
      <c r="J124" s="20">
        <f t="shared" si="5"/>
        <v>-9.4299774836139855E-2</v>
      </c>
      <c r="K124" s="20">
        <f>ENSO!I124</f>
        <v>-7.9701390814685552E-2</v>
      </c>
      <c r="L124" s="19">
        <f>Analysis!B124</f>
        <v>1968.375</v>
      </c>
    </row>
    <row r="125" spans="1:12" ht="15" customHeight="1">
      <c r="A125" s="18" t="str">
        <f>Analysis!A125</f>
        <v>6/1968</v>
      </c>
      <c r="B125" s="19">
        <f>Analysis!E125</f>
        <v>-9.0000000000001634E-2</v>
      </c>
      <c r="C125" s="20">
        <f>Analysis!F125</f>
        <v>0.21661006874244201</v>
      </c>
      <c r="D125" s="19">
        <f>ENSO!D125</f>
        <v>-0.63</v>
      </c>
      <c r="E125" s="34">
        <f t="shared" si="6"/>
        <v>4.8399999999999997E-3</v>
      </c>
      <c r="F125" s="19">
        <f>Solar!D125</f>
        <v>1361.12</v>
      </c>
      <c r="G125" s="32">
        <v>5.4400000000000004E-3</v>
      </c>
      <c r="H125" s="33">
        <v>0.1958</v>
      </c>
      <c r="I125" s="20">
        <f t="shared" si="4"/>
        <v>-3.860754923207018E-2</v>
      </c>
      <c r="J125" s="20">
        <f t="shared" si="5"/>
        <v>-5.1392450767931454E-2</v>
      </c>
      <c r="K125" s="20">
        <f>ENSO!I125</f>
        <v>-3.5848254601271182E-2</v>
      </c>
      <c r="L125" s="19">
        <f>Analysis!B125</f>
        <v>1968.4583333333333</v>
      </c>
    </row>
    <row r="126" spans="1:12" ht="15" customHeight="1">
      <c r="A126" s="18" t="str">
        <f>Analysis!A126</f>
        <v>7/1968</v>
      </c>
      <c r="B126" s="19">
        <f>Analysis!E126</f>
        <v>-0.13000000000000256</v>
      </c>
      <c r="C126" s="20">
        <f>Analysis!F126</f>
        <v>0.21119023804218459</v>
      </c>
      <c r="D126" s="19">
        <f>ENSO!D126</f>
        <v>-0.48</v>
      </c>
      <c r="E126" s="34">
        <f t="shared" si="6"/>
        <v>4.6499999999999996E-3</v>
      </c>
      <c r="F126" s="19">
        <f>Solar!D126</f>
        <v>1361.32</v>
      </c>
      <c r="G126" s="32">
        <v>1.0580000000000001E-2</v>
      </c>
      <c r="H126" s="33">
        <v>9.2999999999999999E-2</v>
      </c>
      <c r="I126" s="20">
        <f t="shared" si="4"/>
        <v>-3.9052416487980163E-2</v>
      </c>
      <c r="J126" s="20">
        <f t="shared" si="5"/>
        <v>-9.0947583512022395E-2</v>
      </c>
      <c r="K126" s="20">
        <f>ENSO!I126</f>
        <v>-7.4016750020941949E-2</v>
      </c>
      <c r="L126" s="19">
        <f>Analysis!B126</f>
        <v>1968.5416666666667</v>
      </c>
    </row>
    <row r="127" spans="1:12" ht="15" customHeight="1">
      <c r="A127" s="18" t="str">
        <f>Analysis!A127</f>
        <v>8/1968</v>
      </c>
      <c r="B127" s="19">
        <f>Analysis!E127</f>
        <v>-8.0000000000001847E-2</v>
      </c>
      <c r="C127" s="20">
        <f>Analysis!F127</f>
        <v>0.20212662313900553</v>
      </c>
      <c r="D127" s="19">
        <f>ENSO!D127</f>
        <v>-0.1</v>
      </c>
      <c r="E127" s="34">
        <f t="shared" si="6"/>
        <v>4.4999999999999997E-3</v>
      </c>
      <c r="F127" s="19">
        <f>Solar!D127</f>
        <v>1361.19</v>
      </c>
      <c r="G127" s="32">
        <v>1.392E-2</v>
      </c>
      <c r="H127" s="33">
        <v>2.63E-2</v>
      </c>
      <c r="I127" s="20">
        <f t="shared" si="4"/>
        <v>-2.8180595592646906E-2</v>
      </c>
      <c r="J127" s="20">
        <f t="shared" si="5"/>
        <v>-5.1819404407354941E-2</v>
      </c>
      <c r="K127" s="20">
        <f>ENSO!I127</f>
        <v>-3.21952001203063E-2</v>
      </c>
      <c r="L127" s="19">
        <f>Analysis!B127</f>
        <v>1968.625</v>
      </c>
    </row>
    <row r="128" spans="1:12" ht="15" customHeight="1">
      <c r="A128" s="18" t="str">
        <f>Analysis!A128</f>
        <v>9/1968</v>
      </c>
      <c r="B128" s="19">
        <f>Analysis!E128</f>
        <v>-0.18999999999999773</v>
      </c>
      <c r="C128" s="20">
        <f>Analysis!F128</f>
        <v>0.19413209059412975</v>
      </c>
      <c r="D128" s="19">
        <f>ENSO!D128</f>
        <v>0.17</v>
      </c>
      <c r="E128" s="34">
        <f t="shared" si="6"/>
        <v>4.3099999999999996E-3</v>
      </c>
      <c r="F128" s="19">
        <f>Solar!D128</f>
        <v>1361.33</v>
      </c>
      <c r="G128" s="32">
        <v>1.6070000000000001E-2</v>
      </c>
      <c r="H128" s="33">
        <v>-1.6899999999999998E-2</v>
      </c>
      <c r="I128" s="20">
        <f t="shared" si="4"/>
        <v>-2.451236942628391E-2</v>
      </c>
      <c r="J128" s="20">
        <f t="shared" si="5"/>
        <v>-0.16548763057371382</v>
      </c>
      <c r="K128" s="20">
        <f>ENSO!I128</f>
        <v>-0.14373604683026853</v>
      </c>
      <c r="L128" s="19">
        <f>Analysis!B128</f>
        <v>1968.7083333333333</v>
      </c>
    </row>
    <row r="129" spans="1:12" ht="15" customHeight="1">
      <c r="A129" s="18" t="str">
        <f>Analysis!A129</f>
        <v>10/1968</v>
      </c>
      <c r="B129" s="19">
        <f>Analysis!E129</f>
        <v>8.9999999999999858E-2</v>
      </c>
      <c r="C129" s="20">
        <f>Analysis!F129</f>
        <v>0.19377174339668018</v>
      </c>
      <c r="D129" s="19">
        <f>ENSO!D129</f>
        <v>0.44</v>
      </c>
      <c r="E129" s="34">
        <f t="shared" si="6"/>
        <v>4.1900000000000001E-3</v>
      </c>
      <c r="F129" s="19">
        <f>Solar!D129</f>
        <v>1361.27</v>
      </c>
      <c r="G129" s="32">
        <v>1.738E-2</v>
      </c>
      <c r="H129" s="33">
        <v>-4.2999999999999997E-2</v>
      </c>
      <c r="I129" s="20">
        <f t="shared" si="4"/>
        <v>-1.7649322882663972E-4</v>
      </c>
      <c r="J129" s="20">
        <f t="shared" si="5"/>
        <v>9.0176493228826496E-2</v>
      </c>
      <c r="K129" s="20">
        <f>ENSO!I129</f>
        <v>0.11375355559168469</v>
      </c>
      <c r="L129" s="19">
        <f>Analysis!B129</f>
        <v>1968.7916666666667</v>
      </c>
    </row>
    <row r="130" spans="1:12" ht="15" customHeight="1">
      <c r="A130" s="18" t="str">
        <f>Analysis!A130</f>
        <v>11/1968</v>
      </c>
      <c r="B130" s="19">
        <f>Analysis!E130</f>
        <v>-5.0000000000000711E-2</v>
      </c>
      <c r="C130" s="20">
        <f>Analysis!F130</f>
        <v>0.19858395445706917</v>
      </c>
      <c r="D130" s="19">
        <f>ENSO!D130</f>
        <v>0.38</v>
      </c>
      <c r="E130" s="34">
        <f t="shared" si="6"/>
        <v>4.1799999999999997E-3</v>
      </c>
      <c r="F130" s="19">
        <f>Solar!D130</f>
        <v>1361.4</v>
      </c>
      <c r="G130" s="32">
        <v>1.7930000000000001E-2</v>
      </c>
      <c r="H130" s="33">
        <v>-5.3900000000000003E-2</v>
      </c>
      <c r="I130" s="20">
        <f t="shared" ref="I130:I193" si="7">IF(OR(D130="",E130=""),"",$N$14+$N$15*C130+$N$16*D130+$N$17*E130)</f>
        <v>7.4027583462657753E-3</v>
      </c>
      <c r="J130" s="20">
        <f t="shared" ref="J130:J193" si="8">IF(I130="","",B130-I130)</f>
        <v>-5.7402758346266486E-2</v>
      </c>
      <c r="K130" s="20">
        <f>ENSO!I130</f>
        <v>-3.4242340995438485E-2</v>
      </c>
      <c r="L130" s="19">
        <f>Analysis!B130</f>
        <v>1968.875</v>
      </c>
    </row>
    <row r="131" spans="1:12" ht="15" customHeight="1">
      <c r="A131" s="18" t="str">
        <f>Analysis!A131</f>
        <v>12/1968</v>
      </c>
      <c r="B131" s="19">
        <f>Analysis!E131</f>
        <v>-0.13999999999999879</v>
      </c>
      <c r="C131" s="20">
        <f>Analysis!F131</f>
        <v>0.20561593377604628</v>
      </c>
      <c r="D131" s="19">
        <f>ENSO!D131</f>
        <v>0.34</v>
      </c>
      <c r="E131" s="34">
        <f t="shared" si="6"/>
        <v>4.1900000000000001E-3</v>
      </c>
      <c r="F131" s="19">
        <f>Solar!D131</f>
        <v>1361.08</v>
      </c>
      <c r="G131" s="32">
        <v>1.7989999999999999E-2</v>
      </c>
      <c r="H131" s="33">
        <v>-5.5199999999999999E-2</v>
      </c>
      <c r="I131" s="20">
        <f t="shared" si="7"/>
        <v>2.284815658329542E-2</v>
      </c>
      <c r="J131" s="20">
        <f t="shared" si="8"/>
        <v>-0.16284815658329421</v>
      </c>
      <c r="K131" s="20">
        <f>ENSO!I131</f>
        <v>-0.14007624387163262</v>
      </c>
      <c r="L131" s="19">
        <f>Analysis!B131</f>
        <v>1968.9583333333333</v>
      </c>
    </row>
    <row r="132" spans="1:12" ht="15" customHeight="1">
      <c r="A132" s="18" t="str">
        <f>Analysis!A132</f>
        <v>1/1969</v>
      </c>
      <c r="B132" s="19">
        <f>Analysis!E132</f>
        <v>-0.10999999999999766</v>
      </c>
      <c r="C132" s="20">
        <f>Analysis!F132</f>
        <v>0.21056698593965839</v>
      </c>
      <c r="D132" s="19">
        <f>ENSO!D132</f>
        <v>0.5</v>
      </c>
      <c r="E132" s="34">
        <f t="shared" si="6"/>
        <v>5.4400000000000004E-3</v>
      </c>
      <c r="F132" s="19">
        <f>Solar!D132</f>
        <v>1361.27</v>
      </c>
      <c r="G132" s="32">
        <v>1.7749999999999998E-2</v>
      </c>
      <c r="H132" s="33">
        <v>-5.0299999999999997E-2</v>
      </c>
      <c r="I132" s="20">
        <f t="shared" si="7"/>
        <v>4.8448546561126765E-2</v>
      </c>
      <c r="J132" s="20">
        <f t="shared" si="8"/>
        <v>-0.15844854656112442</v>
      </c>
      <c r="K132" s="20">
        <f>ENSO!I132</f>
        <v>-0.13760181804129309</v>
      </c>
      <c r="L132" s="19">
        <f>Analysis!B132</f>
        <v>1969.0416666666667</v>
      </c>
    </row>
    <row r="133" spans="1:12" ht="15" customHeight="1">
      <c r="A133" s="18" t="str">
        <f>Analysis!A133</f>
        <v>2/1969</v>
      </c>
      <c r="B133" s="19">
        <f>Analysis!E133</f>
        <v>-0.17999999999999794</v>
      </c>
      <c r="C133" s="20">
        <f>Analysis!F133</f>
        <v>0.21239146441962328</v>
      </c>
      <c r="D133" s="19">
        <f>ENSO!D133</f>
        <v>0.66</v>
      </c>
      <c r="E133" s="34">
        <f t="shared" si="6"/>
        <v>1.0580000000000001E-2</v>
      </c>
      <c r="F133" s="19">
        <f>Solar!D133</f>
        <v>1361.47</v>
      </c>
      <c r="G133" s="32">
        <v>1.7219999999999999E-2</v>
      </c>
      <c r="H133" s="33">
        <v>-3.9899999999999998E-2</v>
      </c>
      <c r="I133" s="20">
        <f t="shared" si="7"/>
        <v>5.6962068299782377E-2</v>
      </c>
      <c r="J133" s="20">
        <f t="shared" si="8"/>
        <v>-0.23696206829978031</v>
      </c>
      <c r="K133" s="20">
        <f>ENSO!I133</f>
        <v>-0.2265393316755715</v>
      </c>
      <c r="L133" s="19">
        <f>Analysis!B133</f>
        <v>1969.125</v>
      </c>
    </row>
    <row r="134" spans="1:12" ht="15" customHeight="1">
      <c r="A134" s="18" t="str">
        <f>Analysis!A134</f>
        <v>3/1969</v>
      </c>
      <c r="B134" s="19">
        <f>Analysis!E134</f>
        <v>1.0000000000001563E-2</v>
      </c>
      <c r="C134" s="20">
        <f>Analysis!F134</f>
        <v>0.21780679275778927</v>
      </c>
      <c r="D134" s="19">
        <f>ENSO!D134</f>
        <v>0.93</v>
      </c>
      <c r="E134" s="34">
        <f t="shared" si="6"/>
        <v>1.392E-2</v>
      </c>
      <c r="F134" s="19">
        <f>Solar!D134</f>
        <v>1361.33</v>
      </c>
      <c r="G134" s="32">
        <v>1.6590000000000001E-2</v>
      </c>
      <c r="H134" s="33">
        <v>-2.7199999999999998E-2</v>
      </c>
      <c r="I134" s="20">
        <f t="shared" si="7"/>
        <v>8.9437452636425385E-2</v>
      </c>
      <c r="J134" s="20">
        <f t="shared" si="8"/>
        <v>-7.9437452636423822E-2</v>
      </c>
      <c r="K134" s="20">
        <f>ENSO!I134</f>
        <v>-7.4914332538685485E-2</v>
      </c>
      <c r="L134" s="19">
        <f>Analysis!B134</f>
        <v>1969.2083333333333</v>
      </c>
    </row>
    <row r="135" spans="1:12" ht="15" customHeight="1">
      <c r="A135" s="18" t="str">
        <f>Analysis!A135</f>
        <v>4/1969</v>
      </c>
      <c r="B135" s="19">
        <f>Analysis!E135</f>
        <v>0.16999999999999993</v>
      </c>
      <c r="C135" s="20">
        <f>Analysis!F135</f>
        <v>0.22236297828007129</v>
      </c>
      <c r="D135" s="19">
        <f>ENSO!D135</f>
        <v>0.98</v>
      </c>
      <c r="E135" s="34">
        <f t="shared" si="6"/>
        <v>1.6070000000000001E-2</v>
      </c>
      <c r="F135" s="19">
        <f>Solar!D135</f>
        <v>1361.38</v>
      </c>
      <c r="G135" s="32">
        <v>1.593E-2</v>
      </c>
      <c r="H135" s="33">
        <v>-1.3899999999999999E-2</v>
      </c>
      <c r="I135" s="20">
        <f t="shared" si="7"/>
        <v>0.10177310438024924</v>
      </c>
      <c r="J135" s="20">
        <f t="shared" si="8"/>
        <v>6.8226895619750691E-2</v>
      </c>
      <c r="K135" s="20">
        <f>ENSO!I135</f>
        <v>6.8218866146949025E-2</v>
      </c>
      <c r="L135" s="19">
        <f>Analysis!B135</f>
        <v>1969.2916666666667</v>
      </c>
    </row>
    <row r="136" spans="1:12" ht="15" customHeight="1">
      <c r="A136" s="18" t="str">
        <f>Analysis!A136</f>
        <v>5/1969</v>
      </c>
      <c r="B136" s="19">
        <f>Analysis!E136</f>
        <v>0.17999999999999972</v>
      </c>
      <c r="C136" s="20">
        <f>Analysis!F136</f>
        <v>0.22553936152588727</v>
      </c>
      <c r="D136" s="19">
        <f>ENSO!D136</f>
        <v>0.98</v>
      </c>
      <c r="E136" s="34">
        <f t="shared" si="6"/>
        <v>1.738E-2</v>
      </c>
      <c r="F136" s="19">
        <f>Solar!D136</f>
        <v>1361.6</v>
      </c>
      <c r="G136" s="32">
        <v>1.52E-2</v>
      </c>
      <c r="H136" s="33">
        <v>5.9999999999999995E-4</v>
      </c>
      <c r="I136" s="20">
        <f t="shared" si="7"/>
        <v>0.10755399279978854</v>
      </c>
      <c r="J136" s="20">
        <f t="shared" si="8"/>
        <v>7.2446007200211174E-2</v>
      </c>
      <c r="K136" s="20">
        <f>ENSO!I136</f>
        <v>6.9493988898310238E-2</v>
      </c>
      <c r="L136" s="19">
        <f>Analysis!B136</f>
        <v>1969.375</v>
      </c>
    </row>
    <row r="137" spans="1:12" ht="15" customHeight="1">
      <c r="A137" s="18" t="str">
        <f>Analysis!A137</f>
        <v>6/1969</v>
      </c>
      <c r="B137" s="19">
        <f>Analysis!E137</f>
        <v>2.9999999999997584E-2</v>
      </c>
      <c r="C137" s="20">
        <f>Analysis!F137</f>
        <v>0.22258378655772451</v>
      </c>
      <c r="D137" s="19">
        <f>ENSO!D137</f>
        <v>0.77</v>
      </c>
      <c r="E137" s="34">
        <f t="shared" ref="E137:E200" si="9">IF(G130="","",G130)</f>
        <v>1.7930000000000001E-2</v>
      </c>
      <c r="F137" s="19">
        <f>Solar!D137</f>
        <v>1361.16</v>
      </c>
      <c r="G137" s="32">
        <v>1.4449999999999999E-2</v>
      </c>
      <c r="H137" s="33">
        <v>1.5599999999999999E-2</v>
      </c>
      <c r="I137" s="20">
        <f t="shared" si="7"/>
        <v>7.8795734137004469E-2</v>
      </c>
      <c r="J137" s="20">
        <f t="shared" si="8"/>
        <v>-4.8795734137006885E-2</v>
      </c>
      <c r="K137" s="20">
        <f>ENSO!I137</f>
        <v>-5.4109717501671997E-2</v>
      </c>
      <c r="L137" s="19">
        <f>Analysis!B137</f>
        <v>1969.4583333333333</v>
      </c>
    </row>
    <row r="138" spans="1:12" ht="15" customHeight="1">
      <c r="A138" s="18" t="str">
        <f>Analysis!A138</f>
        <v>7/1969</v>
      </c>
      <c r="B138" s="19">
        <f>Analysis!E138</f>
        <v>-3.9999999999999147E-2</v>
      </c>
      <c r="C138" s="20">
        <f>Analysis!F138</f>
        <v>0.21891398613294744</v>
      </c>
      <c r="D138" s="19">
        <f>ENSO!D138</f>
        <v>0.69</v>
      </c>
      <c r="E138" s="34">
        <f t="shared" si="9"/>
        <v>1.7989999999999999E-2</v>
      </c>
      <c r="F138" s="19">
        <f>Solar!D138</f>
        <v>1361.54</v>
      </c>
      <c r="G138" s="32">
        <v>1.37E-2</v>
      </c>
      <c r="H138" s="33">
        <v>3.0599999999999999E-2</v>
      </c>
      <c r="I138" s="20">
        <f t="shared" si="7"/>
        <v>6.1231003104961934E-2</v>
      </c>
      <c r="J138" s="20">
        <f t="shared" si="8"/>
        <v>-0.10123100310496108</v>
      </c>
      <c r="K138" s="20">
        <f>ENSO!I138</f>
        <v>-0.10706650225775283</v>
      </c>
      <c r="L138" s="19">
        <f>Analysis!B138</f>
        <v>1969.5416666666667</v>
      </c>
    </row>
    <row r="139" spans="1:12" ht="15" customHeight="1">
      <c r="A139" s="18" t="str">
        <f>Analysis!A139</f>
        <v>8/1969</v>
      </c>
      <c r="B139" s="19">
        <f>Analysis!E139</f>
        <v>3.9999999999999147E-2</v>
      </c>
      <c r="C139" s="20">
        <f>Analysis!F139</f>
        <v>0.20905225179222678</v>
      </c>
      <c r="D139" s="19">
        <f>ENSO!D139</f>
        <v>0.62</v>
      </c>
      <c r="E139" s="34">
        <f t="shared" si="9"/>
        <v>1.7749999999999998E-2</v>
      </c>
      <c r="F139" s="19">
        <f>Solar!D139</f>
        <v>1361.3</v>
      </c>
      <c r="G139" s="32">
        <v>1.3010000000000001E-2</v>
      </c>
      <c r="H139" s="33">
        <v>4.4499999999999998E-2</v>
      </c>
      <c r="I139" s="20">
        <f t="shared" si="7"/>
        <v>2.8366287094818858E-2</v>
      </c>
      <c r="J139" s="20">
        <f t="shared" si="8"/>
        <v>1.1633712905180289E-2</v>
      </c>
      <c r="K139" s="20">
        <f>ENSO!I139</f>
        <v>6.1143154859560692E-3</v>
      </c>
      <c r="L139" s="19">
        <f>Analysis!B139</f>
        <v>1969.625</v>
      </c>
    </row>
    <row r="140" spans="1:12" ht="15" customHeight="1">
      <c r="A140" s="18" t="str">
        <f>Analysis!A140</f>
        <v>9/1969</v>
      </c>
      <c r="B140" s="19">
        <f>Analysis!E140</f>
        <v>8.0000000000000071E-2</v>
      </c>
      <c r="C140" s="20">
        <f>Analysis!F140</f>
        <v>0.20333541670858227</v>
      </c>
      <c r="D140" s="19">
        <f>ENSO!D140</f>
        <v>0.48</v>
      </c>
      <c r="E140" s="34">
        <f t="shared" si="9"/>
        <v>1.7219999999999999E-2</v>
      </c>
      <c r="F140" s="19">
        <f>Solar!D140</f>
        <v>1361.6</v>
      </c>
      <c r="G140" s="32">
        <v>1.23E-2</v>
      </c>
      <c r="H140" s="33">
        <v>5.8700000000000002E-2</v>
      </c>
      <c r="I140" s="20">
        <f t="shared" si="7"/>
        <v>9.4892765236376242E-4</v>
      </c>
      <c r="J140" s="20">
        <f t="shared" si="8"/>
        <v>7.9051072347636309E-2</v>
      </c>
      <c r="K140" s="20">
        <f>ENSO!I140</f>
        <v>7.4002583829030313E-2</v>
      </c>
      <c r="L140" s="19">
        <f>Analysis!B140</f>
        <v>1969.7083333333333</v>
      </c>
    </row>
    <row r="141" spans="1:12" ht="15" customHeight="1">
      <c r="A141" s="18" t="str">
        <f>Analysis!A141</f>
        <v>10/1969</v>
      </c>
      <c r="B141" s="19">
        <f>Analysis!E141</f>
        <v>8.9999999999999858E-2</v>
      </c>
      <c r="C141" s="20">
        <f>Analysis!F141</f>
        <v>0.20064783202506462</v>
      </c>
      <c r="D141" s="19">
        <f>ENSO!D141</f>
        <v>0.37</v>
      </c>
      <c r="E141" s="34">
        <f t="shared" si="9"/>
        <v>1.6590000000000001E-2</v>
      </c>
      <c r="F141" s="19">
        <f>Solar!D141</f>
        <v>1361.28</v>
      </c>
      <c r="G141" s="32">
        <v>1.163E-2</v>
      </c>
      <c r="H141" s="33">
        <v>7.2099999999999997E-2</v>
      </c>
      <c r="I141" s="20">
        <f t="shared" si="7"/>
        <v>-1.5202490160255953E-2</v>
      </c>
      <c r="J141" s="20">
        <f t="shared" si="8"/>
        <v>0.10520249016025582</v>
      </c>
      <c r="K141" s="20">
        <f>ENSO!I141</f>
        <v>0.10095898575984155</v>
      </c>
      <c r="L141" s="19">
        <f>Analysis!B141</f>
        <v>1969.7916666666667</v>
      </c>
    </row>
    <row r="142" spans="1:12" ht="15" customHeight="1">
      <c r="A142" s="18" t="str">
        <f>Analysis!A142</f>
        <v>11/1969</v>
      </c>
      <c r="B142" s="19">
        <f>Analysis!E142</f>
        <v>0.11999999999999744</v>
      </c>
      <c r="C142" s="20">
        <f>Analysis!F142</f>
        <v>0.2054371999150208</v>
      </c>
      <c r="D142" s="19">
        <f>ENSO!D142</f>
        <v>0.41</v>
      </c>
      <c r="E142" s="34">
        <f t="shared" si="9"/>
        <v>1.593E-2</v>
      </c>
      <c r="F142" s="19">
        <f>Solar!D142</f>
        <v>1361.17</v>
      </c>
      <c r="G142" s="32">
        <v>1.0840000000000001E-2</v>
      </c>
      <c r="H142" s="33">
        <v>8.7900000000000006E-2</v>
      </c>
      <c r="I142" s="20">
        <f t="shared" si="7"/>
        <v>3.0241888795006638E-3</v>
      </c>
      <c r="J142" s="20">
        <f t="shared" si="8"/>
        <v>0.11697581112049678</v>
      </c>
      <c r="K142" s="20">
        <f>ENSO!I142</f>
        <v>0.11432205771620269</v>
      </c>
      <c r="L142" s="19">
        <f>Analysis!B142</f>
        <v>1969.875</v>
      </c>
    </row>
    <row r="143" spans="1:12" ht="15" customHeight="1">
      <c r="A143" s="18" t="str">
        <f>Analysis!A143</f>
        <v>12/1969</v>
      </c>
      <c r="B143" s="19">
        <f>Analysis!E143</f>
        <v>0.24000000000000199</v>
      </c>
      <c r="C143" s="20">
        <f>Analysis!F143</f>
        <v>0.21105670668466028</v>
      </c>
      <c r="D143" s="19">
        <f>ENSO!D143</f>
        <v>0.61</v>
      </c>
      <c r="E143" s="34">
        <f t="shared" si="9"/>
        <v>1.52E-2</v>
      </c>
      <c r="F143" s="19">
        <f>Solar!D143</f>
        <v>1361.42</v>
      </c>
      <c r="G143" s="32">
        <v>1.0059999999999999E-2</v>
      </c>
      <c r="H143" s="33">
        <v>0.10349999999999999</v>
      </c>
      <c r="I143" s="20">
        <f t="shared" si="7"/>
        <v>3.8516237329751138E-2</v>
      </c>
      <c r="J143" s="20">
        <f t="shared" si="8"/>
        <v>0.20148376267025087</v>
      </c>
      <c r="K143" s="20">
        <f>ENSO!I143</f>
        <v>0.20147886421728517</v>
      </c>
      <c r="L143" s="19">
        <f>Analysis!B143</f>
        <v>1969.9583333333333</v>
      </c>
    </row>
    <row r="144" spans="1:12" ht="15" customHeight="1">
      <c r="A144" s="18" t="str">
        <f>Analysis!A144</f>
        <v>1/1970</v>
      </c>
      <c r="B144" s="19">
        <f>Analysis!E144</f>
        <v>8.0000000000000071E-2</v>
      </c>
      <c r="C144" s="20">
        <f>Analysis!F144</f>
        <v>0.21527921008816014</v>
      </c>
      <c r="D144" s="19">
        <f>ENSO!D144</f>
        <v>0.71</v>
      </c>
      <c r="E144" s="34">
        <f t="shared" si="9"/>
        <v>1.4449999999999999E-2</v>
      </c>
      <c r="F144" s="19">
        <f>Solar!D144</f>
        <v>1361.36</v>
      </c>
      <c r="G144" s="32">
        <v>9.3399999999999993E-3</v>
      </c>
      <c r="H144" s="33">
        <v>0.1178</v>
      </c>
      <c r="I144" s="20">
        <f t="shared" si="7"/>
        <v>6.0962568134572008E-2</v>
      </c>
      <c r="J144" s="20">
        <f t="shared" si="8"/>
        <v>1.9037431865428063E-2</v>
      </c>
      <c r="K144" s="20">
        <f>ENSO!I144</f>
        <v>2.1176731165336651E-2</v>
      </c>
      <c r="L144" s="19">
        <f>Analysis!B144</f>
        <v>1970.0416666666667</v>
      </c>
    </row>
    <row r="145" spans="1:12" ht="15" customHeight="1">
      <c r="A145" s="18" t="str">
        <f>Analysis!A145</f>
        <v>2/1970</v>
      </c>
      <c r="B145" s="19">
        <f>Analysis!E145</f>
        <v>0.22000000000000242</v>
      </c>
      <c r="C145" s="20">
        <f>Analysis!F145</f>
        <v>0.21940088215824097</v>
      </c>
      <c r="D145" s="19">
        <f>ENSO!D145</f>
        <v>0.81</v>
      </c>
      <c r="E145" s="34">
        <f t="shared" si="9"/>
        <v>1.37E-2</v>
      </c>
      <c r="F145" s="19">
        <f>Solar!D145</f>
        <v>1361.09</v>
      </c>
      <c r="G145" s="32">
        <v>8.6400000000000001E-3</v>
      </c>
      <c r="H145" s="33">
        <v>0.1318</v>
      </c>
      <c r="I145" s="20">
        <f t="shared" si="7"/>
        <v>8.3133888951118659E-2</v>
      </c>
      <c r="J145" s="20">
        <f t="shared" si="8"/>
        <v>0.13686611104888374</v>
      </c>
      <c r="K145" s="20">
        <f>ENSO!I145</f>
        <v>0.14115156123113209</v>
      </c>
      <c r="L145" s="19">
        <f>Analysis!B145</f>
        <v>1970.125</v>
      </c>
    </row>
    <row r="146" spans="1:12" ht="15" customHeight="1">
      <c r="A146" s="18" t="str">
        <f>Analysis!A146</f>
        <v>3/1970</v>
      </c>
      <c r="B146" s="19">
        <f>Analysis!E146</f>
        <v>5.9999999999998721E-2</v>
      </c>
      <c r="C146" s="20">
        <f>Analysis!F146</f>
        <v>0.22355494169199039</v>
      </c>
      <c r="D146" s="19">
        <f>ENSO!D146</f>
        <v>0.71</v>
      </c>
      <c r="E146" s="34">
        <f t="shared" si="9"/>
        <v>1.3010000000000001E-2</v>
      </c>
      <c r="F146" s="19">
        <f>Solar!D146</f>
        <v>1361.64</v>
      </c>
      <c r="G146" s="32">
        <v>8.0499999999999999E-3</v>
      </c>
      <c r="H146" s="33">
        <v>0.14349999999999999</v>
      </c>
      <c r="I146" s="20">
        <f t="shared" si="7"/>
        <v>8.6702519928537697E-2</v>
      </c>
      <c r="J146" s="20">
        <f t="shared" si="8"/>
        <v>-2.6702519928538976E-2</v>
      </c>
      <c r="K146" s="20">
        <f>ENSO!I146</f>
        <v>-2.1555016485458364E-2</v>
      </c>
      <c r="L146" s="19">
        <f>Analysis!B146</f>
        <v>1970.2083333333333</v>
      </c>
    </row>
    <row r="147" spans="1:12" ht="15" customHeight="1">
      <c r="A147" s="18" t="str">
        <f>Analysis!A147</f>
        <v>4/1970</v>
      </c>
      <c r="B147" s="19">
        <f>Analysis!E147</f>
        <v>5.0000000000004263E-2</v>
      </c>
      <c r="C147" s="20">
        <f>Analysis!F147</f>
        <v>0.22884067425281851</v>
      </c>
      <c r="D147" s="19">
        <f>ENSO!D147</f>
        <v>0.46</v>
      </c>
      <c r="E147" s="34">
        <f t="shared" si="9"/>
        <v>1.23E-2</v>
      </c>
      <c r="F147" s="19">
        <f>Solar!D147</f>
        <v>1361.35</v>
      </c>
      <c r="G147" s="32">
        <v>7.6099999999999996E-3</v>
      </c>
      <c r="H147" s="33">
        <v>0.15240000000000001</v>
      </c>
      <c r="I147" s="20">
        <f t="shared" si="7"/>
        <v>7.9482459919688886E-2</v>
      </c>
      <c r="J147" s="20">
        <f t="shared" si="8"/>
        <v>-2.9482459919684623E-2</v>
      </c>
      <c r="K147" s="20">
        <f>ENSO!I147</f>
        <v>-2.4314403824645781E-2</v>
      </c>
      <c r="L147" s="19">
        <f>Analysis!B147</f>
        <v>1970.2916666666667</v>
      </c>
    </row>
    <row r="148" spans="1:12" ht="15" customHeight="1">
      <c r="A148" s="18" t="str">
        <f>Analysis!A148</f>
        <v>5/1970</v>
      </c>
      <c r="B148" s="19">
        <f>Analysis!E148</f>
        <v>-2.9999999999999361E-2</v>
      </c>
      <c r="C148" s="20">
        <f>Analysis!F148</f>
        <v>0.22862082160752503</v>
      </c>
      <c r="D148" s="19">
        <f>ENSO!D148</f>
        <v>0.23</v>
      </c>
      <c r="E148" s="34">
        <f t="shared" si="9"/>
        <v>1.163E-2</v>
      </c>
      <c r="F148" s="19">
        <f>Solar!D148</f>
        <v>1361.24</v>
      </c>
      <c r="G148" s="32">
        <v>7.2300000000000003E-3</v>
      </c>
      <c r="H148" s="33">
        <v>0.16009999999999999</v>
      </c>
      <c r="I148" s="20">
        <f t="shared" si="7"/>
        <v>5.9014210556531957E-2</v>
      </c>
      <c r="J148" s="20">
        <f t="shared" si="8"/>
        <v>-8.9014210556531317E-2</v>
      </c>
      <c r="K148" s="20">
        <f>ENSO!I148</f>
        <v>-8.3691826351908971E-2</v>
      </c>
      <c r="L148" s="19">
        <f>Analysis!B148</f>
        <v>1970.375</v>
      </c>
    </row>
    <row r="149" spans="1:12" ht="15" customHeight="1">
      <c r="A149" s="18" t="str">
        <f>Analysis!A149</f>
        <v>6/1970</v>
      </c>
      <c r="B149" s="19">
        <f>Analysis!E149</f>
        <v>-1.9999999999999574E-2</v>
      </c>
      <c r="C149" s="20">
        <f>Analysis!F149</f>
        <v>0.22681676504986711</v>
      </c>
      <c r="D149" s="19">
        <f>ENSO!D149</f>
        <v>0.23</v>
      </c>
      <c r="E149" s="34">
        <f t="shared" si="9"/>
        <v>1.0840000000000001E-2</v>
      </c>
      <c r="F149" s="19">
        <f>Solar!D149</f>
        <v>1361.54</v>
      </c>
      <c r="G149" s="32">
        <v>6.9100000000000003E-3</v>
      </c>
      <c r="H149" s="33">
        <v>0.1663</v>
      </c>
      <c r="I149" s="20">
        <f t="shared" si="7"/>
        <v>5.5832058291129472E-2</v>
      </c>
      <c r="J149" s="20">
        <f t="shared" si="8"/>
        <v>-7.5832058291129045E-2</v>
      </c>
      <c r="K149" s="20">
        <f>ENSO!I149</f>
        <v>-6.8736450757386547E-2</v>
      </c>
      <c r="L149" s="19">
        <f>Analysis!B149</f>
        <v>1970.4583333333333</v>
      </c>
    </row>
    <row r="150" spans="1:12" ht="15" customHeight="1">
      <c r="A150" s="18" t="str">
        <f>Analysis!A150</f>
        <v>7/1970</v>
      </c>
      <c r="B150" s="19">
        <f>Analysis!E150</f>
        <v>2.0000000000003126E-2</v>
      </c>
      <c r="C150" s="20">
        <f>Analysis!F150</f>
        <v>0.2209490044667792</v>
      </c>
      <c r="D150" s="19">
        <f>ENSO!D150</f>
        <v>0.28000000000000003</v>
      </c>
      <c r="E150" s="34">
        <f t="shared" si="9"/>
        <v>1.0059999999999999E-2</v>
      </c>
      <c r="F150" s="19">
        <f>Solar!D150</f>
        <v>1361.33</v>
      </c>
      <c r="G150" s="32">
        <v>6.6499999999999997E-3</v>
      </c>
      <c r="H150" s="33">
        <v>0.17150000000000001</v>
      </c>
      <c r="I150" s="20">
        <f t="shared" si="7"/>
        <v>4.6184201753556017E-2</v>
      </c>
      <c r="J150" s="20">
        <f t="shared" si="8"/>
        <v>-2.6184201753552891E-2</v>
      </c>
      <c r="K150" s="20">
        <f>ENSO!I150</f>
        <v>-1.6970797113557368E-2</v>
      </c>
      <c r="L150" s="19">
        <f>Analysis!B150</f>
        <v>1970.5416666666667</v>
      </c>
    </row>
    <row r="151" spans="1:12" ht="15" customHeight="1">
      <c r="A151" s="18" t="str">
        <f>Analysis!A151</f>
        <v>8/1970</v>
      </c>
      <c r="B151" s="19">
        <f>Analysis!E151</f>
        <v>-0.10000000000000142</v>
      </c>
      <c r="C151" s="20">
        <f>Analysis!F151</f>
        <v>0.21359169145595572</v>
      </c>
      <c r="D151" s="19">
        <f>ENSO!D151</f>
        <v>0.11</v>
      </c>
      <c r="E151" s="34">
        <f t="shared" si="9"/>
        <v>9.3399999999999993E-3</v>
      </c>
      <c r="F151" s="19">
        <f>Solar!D151</f>
        <v>1361.3</v>
      </c>
      <c r="G151" s="32">
        <v>6.45E-3</v>
      </c>
      <c r="H151" s="33">
        <v>0.17560000000000001</v>
      </c>
      <c r="I151" s="20">
        <f t="shared" si="7"/>
        <v>1.1926776818287757E-2</v>
      </c>
      <c r="J151" s="20">
        <f t="shared" si="8"/>
        <v>-0.11192677681828918</v>
      </c>
      <c r="K151" s="20">
        <f>ENSO!I151</f>
        <v>-0.10196533723057395</v>
      </c>
      <c r="L151" s="19">
        <f>Analysis!B151</f>
        <v>1970.625</v>
      </c>
    </row>
    <row r="152" spans="1:12" ht="15" customHeight="1">
      <c r="A152" s="18" t="str">
        <f>Analysis!A152</f>
        <v>9/1970</v>
      </c>
      <c r="B152" s="19">
        <f>Analysis!E152</f>
        <v>0.11999999999999744</v>
      </c>
      <c r="C152" s="20">
        <f>Analysis!F152</f>
        <v>0.20655392343303489</v>
      </c>
      <c r="D152" s="19">
        <f>ENSO!D152</f>
        <v>-0.26</v>
      </c>
      <c r="E152" s="34">
        <f t="shared" si="9"/>
        <v>8.6400000000000001E-3</v>
      </c>
      <c r="F152" s="19">
        <f>Solar!D152</f>
        <v>1361.34</v>
      </c>
      <c r="G152" s="32">
        <v>6.2500000000000003E-3</v>
      </c>
      <c r="H152" s="33">
        <v>0.17960000000000001</v>
      </c>
      <c r="I152" s="20">
        <f t="shared" si="7"/>
        <v>-4.0062123002831185E-2</v>
      </c>
      <c r="J152" s="20">
        <f t="shared" si="8"/>
        <v>0.16006212300282863</v>
      </c>
      <c r="K152" s="20">
        <f>ENSO!I152</f>
        <v>0.16956995169000244</v>
      </c>
      <c r="L152" s="19">
        <f>Analysis!B152</f>
        <v>1970.7083333333333</v>
      </c>
    </row>
    <row r="153" spans="1:12" ht="15" customHeight="1">
      <c r="A153" s="18" t="str">
        <f>Analysis!A153</f>
        <v>10/1970</v>
      </c>
      <c r="B153" s="19">
        <f>Analysis!E153</f>
        <v>2.9999999999997584E-2</v>
      </c>
      <c r="C153" s="20">
        <f>Analysis!F153</f>
        <v>0.20637530574791263</v>
      </c>
      <c r="D153" s="19">
        <f>ENSO!D153</f>
        <v>-0.55000000000000004</v>
      </c>
      <c r="E153" s="34">
        <f t="shared" si="9"/>
        <v>8.0499999999999999E-3</v>
      </c>
      <c r="F153" s="19">
        <f>Solar!D153</f>
        <v>1361.39</v>
      </c>
      <c r="G153" s="32">
        <v>6.0899999999999999E-3</v>
      </c>
      <c r="H153" s="33">
        <v>0.18290000000000001</v>
      </c>
      <c r="I153" s="20">
        <f t="shared" si="7"/>
        <v>-6.6161636181778297E-2</v>
      </c>
      <c r="J153" s="20">
        <f t="shared" si="8"/>
        <v>9.6161636181775881E-2</v>
      </c>
      <c r="K153" s="20">
        <f>ENSO!I153</f>
        <v>0.10530153132655654</v>
      </c>
      <c r="L153" s="19">
        <f>Analysis!B153</f>
        <v>1970.7916666666667</v>
      </c>
    </row>
    <row r="154" spans="1:12" ht="15" customHeight="1">
      <c r="A154" s="18" t="str">
        <f>Analysis!A154</f>
        <v>11/1970</v>
      </c>
      <c r="B154" s="19">
        <f>Analysis!E154</f>
        <v>2.0000000000003126E-2</v>
      </c>
      <c r="C154" s="20">
        <f>Analysis!F154</f>
        <v>0.21061151287723645</v>
      </c>
      <c r="D154" s="19">
        <f>ENSO!D154</f>
        <v>-0.72</v>
      </c>
      <c r="E154" s="34">
        <f t="shared" si="9"/>
        <v>7.6099999999999996E-3</v>
      </c>
      <c r="F154" s="19">
        <f>Solar!D154</f>
        <v>1361.37</v>
      </c>
      <c r="G154" s="32">
        <v>5.79E-3</v>
      </c>
      <c r="H154" s="33">
        <v>0.1888</v>
      </c>
      <c r="I154" s="20">
        <f t="shared" si="7"/>
        <v>-6.9414692877845963E-2</v>
      </c>
      <c r="J154" s="20">
        <f t="shared" si="8"/>
        <v>8.9414692877849089E-2</v>
      </c>
      <c r="K154" s="20">
        <f>ENSO!I154</f>
        <v>9.8461954803554477E-2</v>
      </c>
      <c r="L154" s="19">
        <f>Analysis!B154</f>
        <v>1970.875</v>
      </c>
    </row>
    <row r="155" spans="1:12" ht="15" customHeight="1">
      <c r="A155" s="18" t="str">
        <f>Analysis!A155</f>
        <v>12/1970</v>
      </c>
      <c r="B155" s="19">
        <f>Analysis!E155</f>
        <v>-0.11999999999999744</v>
      </c>
      <c r="C155" s="20">
        <f>Analysis!F155</f>
        <v>0.21558985360237096</v>
      </c>
      <c r="D155" s="19">
        <f>ENSO!D155</f>
        <v>-0.69</v>
      </c>
      <c r="E155" s="34">
        <f t="shared" si="9"/>
        <v>7.2300000000000003E-3</v>
      </c>
      <c r="F155" s="19">
        <f>Solar!D155</f>
        <v>1361.54</v>
      </c>
      <c r="G155" s="32">
        <v>5.4900000000000001E-3</v>
      </c>
      <c r="H155" s="33">
        <v>0.19489999999999999</v>
      </c>
      <c r="I155" s="20">
        <f t="shared" si="7"/>
        <v>-5.2216653222813464E-2</v>
      </c>
      <c r="J155" s="20">
        <f t="shared" si="8"/>
        <v>-6.7783346777183978E-2</v>
      </c>
      <c r="K155" s="20">
        <f>ENSO!I155</f>
        <v>-5.7823665396007029E-2</v>
      </c>
      <c r="L155" s="19">
        <f>Analysis!B155</f>
        <v>1970.9583333333333</v>
      </c>
    </row>
    <row r="156" spans="1:12" ht="15" customHeight="1">
      <c r="A156" s="18" t="str">
        <f>Analysis!A156</f>
        <v>1/1971</v>
      </c>
      <c r="B156" s="19">
        <f>Analysis!E156</f>
        <v>-1.9999999999999574E-2</v>
      </c>
      <c r="C156" s="20">
        <f>Analysis!F156</f>
        <v>0.22019726683057364</v>
      </c>
      <c r="D156" s="19">
        <f>ENSO!D156</f>
        <v>-0.72</v>
      </c>
      <c r="E156" s="34">
        <f t="shared" si="9"/>
        <v>6.9100000000000003E-3</v>
      </c>
      <c r="F156" s="19">
        <f>Solar!D156</f>
        <v>1361.07</v>
      </c>
      <c r="G156" s="32">
        <v>5.2199999999999998E-3</v>
      </c>
      <c r="H156" s="33">
        <v>0.2001</v>
      </c>
      <c r="I156" s="20">
        <f t="shared" si="7"/>
        <v>-4.1730012890774347E-2</v>
      </c>
      <c r="J156" s="20">
        <f t="shared" si="8"/>
        <v>2.1730012890774773E-2</v>
      </c>
      <c r="K156" s="20">
        <f>ENSO!I156</f>
        <v>3.2131842815747783E-2</v>
      </c>
      <c r="L156" s="19">
        <f>Analysis!B156</f>
        <v>1971.0416666666667</v>
      </c>
    </row>
    <row r="157" spans="1:12" ht="15" customHeight="1">
      <c r="A157" s="18" t="str">
        <f>Analysis!A157</f>
        <v>2/1971</v>
      </c>
      <c r="B157" s="19">
        <f>Analysis!E157</f>
        <v>-0.14999999999999858</v>
      </c>
      <c r="C157" s="20">
        <f>Analysis!F157</f>
        <v>0.22249546730205641</v>
      </c>
      <c r="D157" s="19">
        <f>ENSO!D157</f>
        <v>-0.78</v>
      </c>
      <c r="E157" s="34">
        <f t="shared" si="9"/>
        <v>6.6499999999999997E-3</v>
      </c>
      <c r="F157" s="19">
        <f>Solar!D157</f>
        <v>1361.08</v>
      </c>
      <c r="G157" s="32">
        <v>4.9500000000000004E-3</v>
      </c>
      <c r="H157" s="33">
        <v>0.20569999999999999</v>
      </c>
      <c r="I157" s="20">
        <f t="shared" si="7"/>
        <v>-4.0457450795356856E-2</v>
      </c>
      <c r="J157" s="20">
        <f t="shared" si="8"/>
        <v>-0.10954254920464172</v>
      </c>
      <c r="K157" s="20">
        <f>ENSO!I157</f>
        <v>-9.8958579182034948E-2</v>
      </c>
      <c r="L157" s="19">
        <f>Analysis!B157</f>
        <v>1971.125</v>
      </c>
    </row>
    <row r="158" spans="1:12" ht="15" customHeight="1">
      <c r="A158" s="18" t="str">
        <f>Analysis!A158</f>
        <v>3/1971</v>
      </c>
      <c r="B158" s="19">
        <f>Analysis!E158</f>
        <v>-0.17999999999999794</v>
      </c>
      <c r="C158" s="20">
        <f>Analysis!F158</f>
        <v>0.22465773412073844</v>
      </c>
      <c r="D158" s="19">
        <f>ENSO!D158</f>
        <v>-1.1000000000000001</v>
      </c>
      <c r="E158" s="34">
        <f t="shared" si="9"/>
        <v>6.45E-3</v>
      </c>
      <c r="F158" s="19">
        <f>Solar!D158</f>
        <v>1361.33</v>
      </c>
      <c r="G158" s="32">
        <v>4.7499999999999999E-3</v>
      </c>
      <c r="H158" s="33">
        <v>0.20960000000000001</v>
      </c>
      <c r="I158" s="20">
        <f t="shared" si="7"/>
        <v>-6.3814362841450104E-2</v>
      </c>
      <c r="J158" s="20">
        <f t="shared" si="8"/>
        <v>-0.11618563715854784</v>
      </c>
      <c r="K158" s="20">
        <f>ENSO!I158</f>
        <v>-0.10704579897530346</v>
      </c>
      <c r="L158" s="19">
        <f>Analysis!B158</f>
        <v>1971.2083333333333</v>
      </c>
    </row>
    <row r="159" spans="1:12" ht="15" customHeight="1">
      <c r="A159" s="18" t="str">
        <f>Analysis!A159</f>
        <v>4/1971</v>
      </c>
      <c r="B159" s="19">
        <f>Analysis!E159</f>
        <v>-7.0000000000000284E-2</v>
      </c>
      <c r="C159" s="20">
        <f>Analysis!F159</f>
        <v>0.22730100169945941</v>
      </c>
      <c r="D159" s="19">
        <f>ENSO!D159</f>
        <v>-1.29</v>
      </c>
      <c r="E159" s="34">
        <f t="shared" si="9"/>
        <v>6.2500000000000003E-3</v>
      </c>
      <c r="F159" s="19">
        <f>Solar!D159</f>
        <v>1361.09</v>
      </c>
      <c r="G159" s="32">
        <v>4.6699999999999997E-3</v>
      </c>
      <c r="H159" s="33">
        <v>0.2112</v>
      </c>
      <c r="I159" s="20">
        <f t="shared" si="7"/>
        <v>-7.3796028944444481E-2</v>
      </c>
      <c r="J159" s="20">
        <f t="shared" si="8"/>
        <v>3.7960289444441964E-3</v>
      </c>
      <c r="K159" s="20">
        <f>ENSO!I159</f>
        <v>1.2230860113276773E-2</v>
      </c>
      <c r="L159" s="19">
        <f>Analysis!B159</f>
        <v>1971.2916666666667</v>
      </c>
    </row>
    <row r="160" spans="1:12" ht="15" customHeight="1">
      <c r="A160" s="18" t="str">
        <f>Analysis!A160</f>
        <v>5/1971</v>
      </c>
      <c r="B160" s="19">
        <f>Analysis!E160</f>
        <v>-5.0000000000000711E-2</v>
      </c>
      <c r="C160" s="20">
        <f>Analysis!F160</f>
        <v>0.23235376773902855</v>
      </c>
      <c r="D160" s="19">
        <f>ENSO!D160</f>
        <v>-1.36</v>
      </c>
      <c r="E160" s="34">
        <f t="shared" si="9"/>
        <v>6.0899999999999999E-3</v>
      </c>
      <c r="F160" s="19">
        <f>Solar!D160</f>
        <v>1361.07</v>
      </c>
      <c r="G160" s="32">
        <v>4.62E-3</v>
      </c>
      <c r="H160" s="33">
        <v>0.21229999999999999</v>
      </c>
      <c r="I160" s="20">
        <f t="shared" si="7"/>
        <v>-6.6158578811375574E-2</v>
      </c>
      <c r="J160" s="20">
        <f t="shared" si="8"/>
        <v>1.6158578811374863E-2</v>
      </c>
      <c r="K160" s="20">
        <f>ENSO!I160</f>
        <v>2.4444585736031782E-2</v>
      </c>
      <c r="L160" s="19">
        <f>Analysis!B160</f>
        <v>1971.375</v>
      </c>
    </row>
    <row r="161" spans="1:12" ht="15" customHeight="1">
      <c r="A161" s="18" t="str">
        <f>Analysis!A161</f>
        <v>6/1971</v>
      </c>
      <c r="B161" s="19">
        <f>Analysis!E161</f>
        <v>-0.16000000000000014</v>
      </c>
      <c r="C161" s="20">
        <f>Analysis!F161</f>
        <v>0.23077393422839654</v>
      </c>
      <c r="D161" s="19">
        <f>ENSO!D161</f>
        <v>-1.08</v>
      </c>
      <c r="E161" s="34">
        <f t="shared" si="9"/>
        <v>5.79E-3</v>
      </c>
      <c r="F161" s="19">
        <f>Solar!D161</f>
        <v>1361.14</v>
      </c>
      <c r="G161" s="32">
        <v>4.5999999999999999E-3</v>
      </c>
      <c r="H161" s="33">
        <v>0.21249999999999999</v>
      </c>
      <c r="I161" s="20">
        <f t="shared" si="7"/>
        <v>-4.3824747583878207E-2</v>
      </c>
      <c r="J161" s="20">
        <f t="shared" si="8"/>
        <v>-0.11617525241612194</v>
      </c>
      <c r="K161" s="20">
        <f>ENSO!I161</f>
        <v>-0.10558650923928556</v>
      </c>
      <c r="L161" s="19">
        <f>Analysis!B161</f>
        <v>1971.4583333333333</v>
      </c>
    </row>
    <row r="162" spans="1:12" ht="15" customHeight="1">
      <c r="A162" s="18" t="str">
        <f>Analysis!A162</f>
        <v>7/1971</v>
      </c>
      <c r="B162" s="19">
        <f>Analysis!E162</f>
        <v>-7.0000000000000284E-2</v>
      </c>
      <c r="C162" s="20">
        <f>Analysis!F162</f>
        <v>0.22545122302563764</v>
      </c>
      <c r="D162" s="19">
        <f>ENSO!D162</f>
        <v>-0.81</v>
      </c>
      <c r="E162" s="34">
        <f t="shared" si="9"/>
        <v>5.4900000000000001E-3</v>
      </c>
      <c r="F162" s="19">
        <f>Solar!D162</f>
        <v>1360.92</v>
      </c>
      <c r="G162" s="32">
        <v>4.6100000000000004E-3</v>
      </c>
      <c r="H162" s="33">
        <v>0.21229999999999999</v>
      </c>
      <c r="I162" s="20">
        <f t="shared" si="7"/>
        <v>-3.2627287994810135E-2</v>
      </c>
      <c r="J162" s="20">
        <f t="shared" si="8"/>
        <v>-3.7372712005190149E-2</v>
      </c>
      <c r="K162" s="20">
        <f>ENSO!I162</f>
        <v>-2.4466304506850889E-2</v>
      </c>
      <c r="L162" s="19">
        <f>Analysis!B162</f>
        <v>1971.5416666666667</v>
      </c>
    </row>
    <row r="163" spans="1:12" ht="15" customHeight="1">
      <c r="A163" s="18" t="str">
        <f>Analysis!A163</f>
        <v>8/1971</v>
      </c>
      <c r="B163" s="19">
        <f>Analysis!E163</f>
        <v>-9.9999999999980105E-3</v>
      </c>
      <c r="C163" s="20">
        <f>Analysis!F163</f>
        <v>0.21692042585687715</v>
      </c>
      <c r="D163" s="19">
        <f>ENSO!D163</f>
        <v>-0.72</v>
      </c>
      <c r="E163" s="34">
        <f t="shared" si="9"/>
        <v>5.2199999999999998E-3</v>
      </c>
      <c r="F163" s="19">
        <f>Solar!D163</f>
        <v>1360.89</v>
      </c>
      <c r="G163" s="32">
        <v>4.6600000000000001E-3</v>
      </c>
      <c r="H163" s="33">
        <v>0.21149999999999999</v>
      </c>
      <c r="I163" s="20">
        <f t="shared" si="7"/>
        <v>-4.6948758461547523E-2</v>
      </c>
      <c r="J163" s="20">
        <f t="shared" si="8"/>
        <v>3.6948758461549512E-2</v>
      </c>
      <c r="K163" s="20">
        <f>ENSO!I163</f>
        <v>5.1132656963875492E-2</v>
      </c>
      <c r="L163" s="19">
        <f>Analysis!B163</f>
        <v>1971.625</v>
      </c>
    </row>
    <row r="164" spans="1:12" ht="15" customHeight="1">
      <c r="A164" s="18" t="str">
        <f>Analysis!A164</f>
        <v>9/1971</v>
      </c>
      <c r="B164" s="19">
        <f>Analysis!E164</f>
        <v>-5.0000000000000711E-2</v>
      </c>
      <c r="C164" s="20">
        <f>Analysis!F164</f>
        <v>0.2077143996600441</v>
      </c>
      <c r="D164" s="19">
        <f>ENSO!D164</f>
        <v>-0.69</v>
      </c>
      <c r="E164" s="34">
        <f t="shared" si="9"/>
        <v>4.9500000000000004E-3</v>
      </c>
      <c r="F164" s="19">
        <f>Solar!D164</f>
        <v>1361.09</v>
      </c>
      <c r="G164" s="32">
        <v>4.6699999999999997E-3</v>
      </c>
      <c r="H164" s="33">
        <v>0.2112</v>
      </c>
      <c r="I164" s="20">
        <f t="shared" si="7"/>
        <v>-6.8679566987513194E-2</v>
      </c>
      <c r="J164" s="20">
        <f t="shared" si="8"/>
        <v>1.8679566987512483E-2</v>
      </c>
      <c r="K164" s="20">
        <f>ENSO!I164</f>
        <v>3.3808601117993775E-2</v>
      </c>
      <c r="L164" s="19">
        <f>Analysis!B164</f>
        <v>1971.7083333333333</v>
      </c>
    </row>
    <row r="165" spans="1:12" ht="15" customHeight="1">
      <c r="A165" s="18" t="str">
        <f>Analysis!A165</f>
        <v>10/1971</v>
      </c>
      <c r="B165" s="19">
        <f>Analysis!E165</f>
        <v>-3.9999999999999147E-2</v>
      </c>
      <c r="C165" s="20">
        <f>Analysis!F165</f>
        <v>0.20860643891488381</v>
      </c>
      <c r="D165" s="19">
        <f>ENSO!D165</f>
        <v>-0.68</v>
      </c>
      <c r="E165" s="34">
        <f t="shared" si="9"/>
        <v>4.7499999999999999E-3</v>
      </c>
      <c r="F165" s="19">
        <f>Solar!D165</f>
        <v>1360.84</v>
      </c>
      <c r="G165" s="32">
        <v>4.7000000000000002E-3</v>
      </c>
      <c r="H165" s="33">
        <v>0.21049999999999999</v>
      </c>
      <c r="I165" s="20">
        <f t="shared" si="7"/>
        <v>-6.4878575432094479E-2</v>
      </c>
      <c r="J165" s="20">
        <f t="shared" si="8"/>
        <v>2.4878575432095332E-2</v>
      </c>
      <c r="K165" s="20">
        <f>ENSO!I165</f>
        <v>4.0487973434405619E-2</v>
      </c>
      <c r="L165" s="19">
        <f>Analysis!B165</f>
        <v>1971.7916666666667</v>
      </c>
    </row>
    <row r="166" spans="1:12" ht="15" customHeight="1">
      <c r="A166" s="18" t="str">
        <f>Analysis!A166</f>
        <v>11/1971</v>
      </c>
      <c r="B166" s="19">
        <f>Analysis!E166</f>
        <v>-7.0000000000000284E-2</v>
      </c>
      <c r="C166" s="20">
        <f>Analysis!F166</f>
        <v>0.21412480535284761</v>
      </c>
      <c r="D166" s="19">
        <f>ENSO!D166</f>
        <v>-0.6</v>
      </c>
      <c r="E166" s="34">
        <f t="shared" si="9"/>
        <v>4.6699999999999997E-3</v>
      </c>
      <c r="F166" s="19">
        <f>Solar!D166</f>
        <v>1360.99</v>
      </c>
      <c r="G166" s="32">
        <v>4.5799999999999999E-3</v>
      </c>
      <c r="H166" s="33">
        <v>0.21299999999999999</v>
      </c>
      <c r="I166" s="20">
        <f t="shared" si="7"/>
        <v>-4.2228010569904995E-2</v>
      </c>
      <c r="J166" s="20">
        <f t="shared" si="8"/>
        <v>-2.777198943009529E-2</v>
      </c>
      <c r="K166" s="20">
        <f>ENSO!I166</f>
        <v>-1.1632875804812232E-2</v>
      </c>
      <c r="L166" s="19">
        <f>Analysis!B166</f>
        <v>1971.875</v>
      </c>
    </row>
    <row r="167" spans="1:12" ht="15" customHeight="1">
      <c r="A167" s="18" t="str">
        <f>Analysis!A167</f>
        <v>12/1971</v>
      </c>
      <c r="B167" s="19">
        <f>Analysis!E167</f>
        <v>-8.0000000000001847E-2</v>
      </c>
      <c r="C167" s="20">
        <f>Analysis!F167</f>
        <v>0.21948939105648271</v>
      </c>
      <c r="D167" s="19">
        <f>ENSO!D167</f>
        <v>-0.68</v>
      </c>
      <c r="E167" s="34">
        <f t="shared" si="9"/>
        <v>4.62E-3</v>
      </c>
      <c r="F167" s="19">
        <f>Solar!D167</f>
        <v>1360.97</v>
      </c>
      <c r="G167" s="32">
        <v>4.4299999999999999E-3</v>
      </c>
      <c r="H167" s="33">
        <v>0.216</v>
      </c>
      <c r="I167" s="20">
        <f t="shared" si="7"/>
        <v>-3.4910084318405539E-2</v>
      </c>
      <c r="J167" s="20">
        <f t="shared" si="8"/>
        <v>-4.5089915681596308E-2</v>
      </c>
      <c r="K167" s="20">
        <f>ENSO!I167</f>
        <v>-2.9405277533764276E-2</v>
      </c>
      <c r="L167" s="19">
        <f>Analysis!B167</f>
        <v>1971.9583333333333</v>
      </c>
    </row>
    <row r="168" spans="1:12" ht="15" customHeight="1">
      <c r="A168" s="18" t="str">
        <f>Analysis!A168</f>
        <v>1/1972</v>
      </c>
      <c r="B168" s="19">
        <f>Analysis!E168</f>
        <v>-0.21999999999999886</v>
      </c>
      <c r="C168" s="20">
        <f>Analysis!F168</f>
        <v>0.22284871188886418</v>
      </c>
      <c r="D168" s="19">
        <f>ENSO!D168</f>
        <v>-0.78</v>
      </c>
      <c r="E168" s="34">
        <f t="shared" si="9"/>
        <v>4.5999999999999999E-3</v>
      </c>
      <c r="F168" s="19">
        <f>Solar!D168</f>
        <v>1361.26</v>
      </c>
      <c r="G168" s="32">
        <v>4.3E-3</v>
      </c>
      <c r="H168" s="33">
        <v>0.21859999999999999</v>
      </c>
      <c r="I168" s="20">
        <f t="shared" si="7"/>
        <v>-3.498328025147817E-2</v>
      </c>
      <c r="J168" s="20">
        <f t="shared" si="8"/>
        <v>-0.18501671974852069</v>
      </c>
      <c r="K168" s="20">
        <f>ENSO!I168</f>
        <v>-0.16992887005065233</v>
      </c>
      <c r="L168" s="19">
        <f>Analysis!B168</f>
        <v>1972.0416666666667</v>
      </c>
    </row>
    <row r="169" spans="1:12" ht="15" customHeight="1">
      <c r="A169" s="18" t="str">
        <f>Analysis!A169</f>
        <v>2/1972</v>
      </c>
      <c r="B169" s="19">
        <f>Analysis!E169</f>
        <v>-0.17999999999999794</v>
      </c>
      <c r="C169" s="20">
        <f>Analysis!F169</f>
        <v>0.22664063869031495</v>
      </c>
      <c r="D169" s="19">
        <f>ENSO!D169</f>
        <v>-0.86</v>
      </c>
      <c r="E169" s="34">
        <f t="shared" si="9"/>
        <v>4.6100000000000004E-3</v>
      </c>
      <c r="F169" s="19">
        <f>Solar!D169</f>
        <v>1361.02</v>
      </c>
      <c r="G169" s="32">
        <v>4.15E-3</v>
      </c>
      <c r="H169" s="33">
        <v>0.22170000000000001</v>
      </c>
      <c r="I169" s="20">
        <f t="shared" si="7"/>
        <v>-3.2086685725188573E-2</v>
      </c>
      <c r="J169" s="20">
        <f t="shared" si="8"/>
        <v>-0.14791331427480936</v>
      </c>
      <c r="K169" s="20">
        <f>ENSO!I169</f>
        <v>-0.13338149837265834</v>
      </c>
      <c r="L169" s="19">
        <f>Analysis!B169</f>
        <v>1972.125</v>
      </c>
    </row>
    <row r="170" spans="1:12" ht="15" customHeight="1">
      <c r="A170" s="18" t="str">
        <f>Analysis!A170</f>
        <v>3/1972</v>
      </c>
      <c r="B170" s="19">
        <f>Analysis!E170</f>
        <v>2.9999999999997584E-2</v>
      </c>
      <c r="C170" s="20">
        <f>Analysis!F170</f>
        <v>0.22716895327678804</v>
      </c>
      <c r="D170" s="19">
        <f>ENSO!D170</f>
        <v>-0.78</v>
      </c>
      <c r="E170" s="34">
        <f t="shared" si="9"/>
        <v>4.6600000000000001E-3</v>
      </c>
      <c r="F170" s="19">
        <f>Solar!D170</f>
        <v>1361.06</v>
      </c>
      <c r="G170" s="32">
        <v>4.0499999999999998E-3</v>
      </c>
      <c r="H170" s="33">
        <v>0.2235</v>
      </c>
      <c r="I170" s="20">
        <f t="shared" si="7"/>
        <v>-2.3332163217633258E-2</v>
      </c>
      <c r="J170" s="20">
        <f t="shared" si="8"/>
        <v>5.3332163217630846E-2</v>
      </c>
      <c r="K170" s="20">
        <f>ENSO!I170</f>
        <v>6.8204307567701503E-2</v>
      </c>
      <c r="L170" s="19">
        <f>Analysis!B170</f>
        <v>1972.2083333333333</v>
      </c>
    </row>
    <row r="171" spans="1:12" ht="15" customHeight="1">
      <c r="A171" s="18" t="str">
        <f>Analysis!A171</f>
        <v>4/1972</v>
      </c>
      <c r="B171" s="19">
        <f>Analysis!E171</f>
        <v>0</v>
      </c>
      <c r="C171" s="20">
        <f>Analysis!F171</f>
        <v>0.23581457280650558</v>
      </c>
      <c r="D171" s="19">
        <f>ENSO!D171</f>
        <v>-0.56999999999999995</v>
      </c>
      <c r="E171" s="34">
        <f t="shared" si="9"/>
        <v>4.6699999999999997E-3</v>
      </c>
      <c r="F171" s="19">
        <f>Solar!D171</f>
        <v>1361.41</v>
      </c>
      <c r="G171" s="32">
        <v>4.0699999999999998E-3</v>
      </c>
      <c r="H171" s="33">
        <v>0.2233</v>
      </c>
      <c r="I171" s="20">
        <f t="shared" si="7"/>
        <v>1.9713072979335843E-2</v>
      </c>
      <c r="J171" s="20">
        <f t="shared" si="8"/>
        <v>-1.9713072979335843E-2</v>
      </c>
      <c r="K171" s="20">
        <f>ENSO!I171</f>
        <v>-3.8213784881045293E-3</v>
      </c>
      <c r="L171" s="19">
        <f>Analysis!B171</f>
        <v>1972.2916666666667</v>
      </c>
    </row>
    <row r="172" spans="1:12" ht="15" customHeight="1">
      <c r="A172" s="18" t="str">
        <f>Analysis!A172</f>
        <v>5/1972</v>
      </c>
      <c r="B172" s="19">
        <f>Analysis!E172</f>
        <v>-2.9999999999999361E-2</v>
      </c>
      <c r="C172" s="20">
        <f>Analysis!F172</f>
        <v>0.23734519106890656</v>
      </c>
      <c r="D172" s="19">
        <f>ENSO!D172</f>
        <v>-0.27</v>
      </c>
      <c r="E172" s="34">
        <f t="shared" si="9"/>
        <v>4.7000000000000002E-3</v>
      </c>
      <c r="F172" s="19">
        <f>Solar!D172</f>
        <v>1360.91</v>
      </c>
      <c r="G172" s="32">
        <v>4.0899999999999999E-3</v>
      </c>
      <c r="H172" s="33">
        <v>0.2228</v>
      </c>
      <c r="I172" s="20">
        <f t="shared" si="7"/>
        <v>5.166021493887886E-2</v>
      </c>
      <c r="J172" s="20">
        <f t="shared" si="8"/>
        <v>-8.166021493887822E-2</v>
      </c>
      <c r="K172" s="20">
        <f>ENSO!I172</f>
        <v>-6.4137005794701635E-2</v>
      </c>
      <c r="L172" s="19">
        <f>Analysis!B172</f>
        <v>1972.375</v>
      </c>
    </row>
    <row r="173" spans="1:12" ht="15" customHeight="1">
      <c r="A173" s="18" t="str">
        <f>Analysis!A173</f>
        <v>6/1972</v>
      </c>
      <c r="B173" s="19">
        <f>Analysis!E173</f>
        <v>3.9999999999999147E-2</v>
      </c>
      <c r="C173" s="20">
        <f>Analysis!F173</f>
        <v>0.23305536103738234</v>
      </c>
      <c r="D173" s="19">
        <f>ENSO!D173</f>
        <v>0.04</v>
      </c>
      <c r="E173" s="34">
        <f t="shared" si="9"/>
        <v>4.5799999999999999E-3</v>
      </c>
      <c r="F173" s="19">
        <f>Solar!D173</f>
        <v>1361.13</v>
      </c>
      <c r="G173" s="32">
        <v>4.15E-3</v>
      </c>
      <c r="H173" s="33">
        <v>0.22159999999999999</v>
      </c>
      <c r="I173" s="20">
        <f t="shared" si="7"/>
        <v>6.8990518582087171E-2</v>
      </c>
      <c r="J173" s="20">
        <f t="shared" si="8"/>
        <v>-2.8990518582088023E-2</v>
      </c>
      <c r="K173" s="20">
        <f>ENSO!I173</f>
        <v>-9.3354258752861088E-3</v>
      </c>
      <c r="L173" s="19">
        <f>Analysis!B173</f>
        <v>1972.4583333333333</v>
      </c>
    </row>
    <row r="174" spans="1:12" ht="15" customHeight="1">
      <c r="A174" s="18" t="str">
        <f>Analysis!A174</f>
        <v>7/1972</v>
      </c>
      <c r="B174" s="19">
        <f>Analysis!E174</f>
        <v>1.0000000000001563E-2</v>
      </c>
      <c r="C174" s="20">
        <f>Analysis!F174</f>
        <v>0.2284449153656577</v>
      </c>
      <c r="D174" s="19">
        <f>ENSO!D174</f>
        <v>0.25</v>
      </c>
      <c r="E174" s="34">
        <f t="shared" si="9"/>
        <v>4.4299999999999999E-3</v>
      </c>
      <c r="F174" s="19">
        <f>Solar!D174</f>
        <v>1361.25</v>
      </c>
      <c r="G174" s="32">
        <v>4.2199999999999998E-3</v>
      </c>
      <c r="H174" s="33">
        <v>0.22009999999999999</v>
      </c>
      <c r="I174" s="20">
        <f t="shared" si="7"/>
        <v>7.623287584294193E-2</v>
      </c>
      <c r="J174" s="20">
        <f t="shared" si="8"/>
        <v>-6.6232875842940367E-2</v>
      </c>
      <c r="K174" s="20">
        <f>ENSO!I174</f>
        <v>-4.4949403162989274E-2</v>
      </c>
      <c r="L174" s="19">
        <f>Analysis!B174</f>
        <v>1972.5416666666667</v>
      </c>
    </row>
    <row r="175" spans="1:12" ht="15" customHeight="1">
      <c r="A175" s="18" t="str">
        <f>Analysis!A175</f>
        <v>8/1972</v>
      </c>
      <c r="B175" s="19">
        <f>Analysis!E175</f>
        <v>0.16000000000000014</v>
      </c>
      <c r="C175" s="20">
        <f>Analysis!F175</f>
        <v>0.22086058507283202</v>
      </c>
      <c r="D175" s="19">
        <f>ENSO!D175</f>
        <v>0.48</v>
      </c>
      <c r="E175" s="34">
        <f t="shared" si="9"/>
        <v>4.3E-3</v>
      </c>
      <c r="F175" s="19">
        <f>Solar!D175</f>
        <v>1361.11</v>
      </c>
      <c r="G175" s="32">
        <v>4.3200000000000001E-3</v>
      </c>
      <c r="H175" s="33">
        <v>0.21820000000000001</v>
      </c>
      <c r="I175" s="20">
        <f t="shared" si="7"/>
        <v>7.7176076490326151E-2</v>
      </c>
      <c r="J175" s="20">
        <f t="shared" si="8"/>
        <v>8.2823923509673991E-2</v>
      </c>
      <c r="K175" s="20">
        <f>ENSO!I175</f>
        <v>0.10586451895879974</v>
      </c>
      <c r="L175" s="19">
        <f>Analysis!B175</f>
        <v>1972.625</v>
      </c>
    </row>
    <row r="176" spans="1:12" ht="15" customHeight="1">
      <c r="A176" s="18" t="str">
        <f>Analysis!A176</f>
        <v>9/1972</v>
      </c>
      <c r="B176" s="19">
        <f>Analysis!E176</f>
        <v>2.0000000000003126E-2</v>
      </c>
      <c r="C176" s="20">
        <f>Analysis!F176</f>
        <v>0.21430246621642873</v>
      </c>
      <c r="D176" s="19">
        <f>ENSO!D176</f>
        <v>0.7</v>
      </c>
      <c r="E176" s="34">
        <f t="shared" si="9"/>
        <v>4.15E-3</v>
      </c>
      <c r="F176" s="19">
        <f>Solar!D176</f>
        <v>1361.28</v>
      </c>
      <c r="G176" s="32">
        <v>4.3800000000000002E-3</v>
      </c>
      <c r="H176" s="33">
        <v>0.217</v>
      </c>
      <c r="I176" s="20">
        <f t="shared" si="7"/>
        <v>8.0034249657184947E-2</v>
      </c>
      <c r="J176" s="20">
        <f t="shared" si="8"/>
        <v>-6.0034249657181821E-2</v>
      </c>
      <c r="K176" s="20">
        <f>ENSO!I176</f>
        <v>-3.5269974836089145E-2</v>
      </c>
      <c r="L176" s="19">
        <f>Analysis!B176</f>
        <v>1972.7083333333333</v>
      </c>
    </row>
    <row r="177" spans="1:12" ht="15" customHeight="1">
      <c r="A177" s="18" t="str">
        <f>Analysis!A177</f>
        <v>10/1972</v>
      </c>
      <c r="B177" s="19">
        <f>Analysis!E177</f>
        <v>8.0000000000000071E-2</v>
      </c>
      <c r="C177" s="20">
        <f>Analysis!F177</f>
        <v>0.21590043024269898</v>
      </c>
      <c r="D177" s="19">
        <f>ENSO!D177</f>
        <v>1</v>
      </c>
      <c r="E177" s="34">
        <f t="shared" si="9"/>
        <v>4.0499999999999998E-3</v>
      </c>
      <c r="F177" s="19">
        <f>Solar!D177</f>
        <v>1360.9</v>
      </c>
      <c r="G177" s="32">
        <v>4.45E-3</v>
      </c>
      <c r="H177" s="33">
        <v>0.2155</v>
      </c>
      <c r="I177" s="20">
        <f t="shared" si="7"/>
        <v>0.11245111798872248</v>
      </c>
      <c r="J177" s="20">
        <f t="shared" si="8"/>
        <v>-3.2451117988722411E-2</v>
      </c>
      <c r="K177" s="20">
        <f>ENSO!I177</f>
        <v>-5.7705872271407027E-3</v>
      </c>
      <c r="L177" s="19">
        <f>Analysis!B177</f>
        <v>1972.7916666666667</v>
      </c>
    </row>
    <row r="178" spans="1:12" ht="15" customHeight="1">
      <c r="A178" s="18" t="str">
        <f>Analysis!A178</f>
        <v>11/1972</v>
      </c>
      <c r="B178" s="19">
        <f>Analysis!E178</f>
        <v>2.0000000000003126E-2</v>
      </c>
      <c r="C178" s="20">
        <f>Analysis!F178</f>
        <v>0.22165616460146442</v>
      </c>
      <c r="D178" s="19">
        <f>ENSO!D178</f>
        <v>1.26</v>
      </c>
      <c r="E178" s="34">
        <f t="shared" si="9"/>
        <v>4.0699999999999998E-3</v>
      </c>
      <c r="F178" s="19">
        <f>Solar!D178</f>
        <v>1361.03</v>
      </c>
      <c r="G178" s="32">
        <v>4.3699999999999998E-3</v>
      </c>
      <c r="H178" s="33">
        <v>0.21729999999999999</v>
      </c>
      <c r="I178" s="20">
        <f t="shared" si="7"/>
        <v>0.15223215383556671</v>
      </c>
      <c r="J178" s="20">
        <f t="shared" si="8"/>
        <v>-0.13223215383556358</v>
      </c>
      <c r="K178" s="20">
        <f>ENSO!I178</f>
        <v>-0.10421023633582879</v>
      </c>
      <c r="L178" s="19">
        <f>Analysis!B178</f>
        <v>1972.875</v>
      </c>
    </row>
    <row r="179" spans="1:12" ht="15" customHeight="1">
      <c r="A179" s="18" t="str">
        <f>Analysis!A179</f>
        <v>12/1972</v>
      </c>
      <c r="B179" s="19">
        <f>Analysis!E179</f>
        <v>0.17999999999999972</v>
      </c>
      <c r="C179" s="20">
        <f>Analysis!F179</f>
        <v>0.22628832145277814</v>
      </c>
      <c r="D179" s="19">
        <f>ENSO!D179</f>
        <v>1.49</v>
      </c>
      <c r="E179" s="34">
        <f t="shared" si="9"/>
        <v>4.0899999999999999E-3</v>
      </c>
      <c r="F179" s="19">
        <f>Solar!D179</f>
        <v>1360.85</v>
      </c>
      <c r="G179" s="32">
        <v>4.2500000000000003E-3</v>
      </c>
      <c r="H179" s="33">
        <v>0.21970000000000001</v>
      </c>
      <c r="I179" s="20">
        <f t="shared" si="7"/>
        <v>0.18616486484389255</v>
      </c>
      <c r="J179" s="20">
        <f t="shared" si="8"/>
        <v>-6.1648648438928366E-3</v>
      </c>
      <c r="K179" s="20">
        <f>ENSO!I179</f>
        <v>2.3047486016113977E-2</v>
      </c>
      <c r="L179" s="19">
        <f>Analysis!B179</f>
        <v>1972.9583333333333</v>
      </c>
    </row>
    <row r="180" spans="1:12" ht="15" customHeight="1">
      <c r="A180" s="18" t="str">
        <f>Analysis!A180</f>
        <v>1/1973</v>
      </c>
      <c r="B180" s="19">
        <f>Analysis!E180</f>
        <v>0.28999999999999559</v>
      </c>
      <c r="C180" s="20">
        <f>Analysis!F180</f>
        <v>0.23068611495390581</v>
      </c>
      <c r="D180" s="19">
        <f>ENSO!D180</f>
        <v>1.69</v>
      </c>
      <c r="E180" s="34">
        <f t="shared" si="9"/>
        <v>4.15E-3</v>
      </c>
      <c r="F180" s="19">
        <f>Solar!D180</f>
        <v>1360.99</v>
      </c>
      <c r="G180" s="32">
        <v>4.15E-3</v>
      </c>
      <c r="H180" s="33">
        <v>0.22170000000000001</v>
      </c>
      <c r="I180" s="20">
        <f t="shared" si="7"/>
        <v>0.21658650262895587</v>
      </c>
      <c r="J180" s="20">
        <f t="shared" si="8"/>
        <v>7.3413497371039721E-2</v>
      </c>
      <c r="K180" s="20">
        <f>ENSO!I180</f>
        <v>0.10356008981111925</v>
      </c>
      <c r="L180" s="19">
        <f>Analysis!B180</f>
        <v>1973.0416666666667</v>
      </c>
    </row>
    <row r="181" spans="1:12" ht="15" customHeight="1">
      <c r="A181" s="18" t="str">
        <f>Analysis!A181</f>
        <v>2/1973</v>
      </c>
      <c r="B181" s="19">
        <f>Analysis!E181</f>
        <v>0.32000000000000028</v>
      </c>
      <c r="C181" s="20">
        <f>Analysis!F181</f>
        <v>0.23515809611228167</v>
      </c>
      <c r="D181" s="19">
        <f>ENSO!D181</f>
        <v>1.84</v>
      </c>
      <c r="E181" s="34">
        <f t="shared" si="9"/>
        <v>4.2199999999999998E-3</v>
      </c>
      <c r="F181" s="19">
        <f>Solar!D181</f>
        <v>1360.99</v>
      </c>
      <c r="G181" s="32">
        <v>4.0099999999999997E-3</v>
      </c>
      <c r="H181" s="33">
        <v>0.22439999999999999</v>
      </c>
      <c r="I181" s="20">
        <f t="shared" si="7"/>
        <v>0.24254872745019657</v>
      </c>
      <c r="J181" s="20">
        <f t="shared" si="8"/>
        <v>7.7451272549803718E-2</v>
      </c>
      <c r="K181" s="20">
        <f>ENSO!I181</f>
        <v>0.10822080372981532</v>
      </c>
      <c r="L181" s="19">
        <f>Analysis!B181</f>
        <v>1973.125</v>
      </c>
    </row>
    <row r="182" spans="1:12" ht="15" customHeight="1">
      <c r="A182" s="18" t="str">
        <f>Analysis!A182</f>
        <v>3/1973</v>
      </c>
      <c r="B182" s="19">
        <f>Analysis!E182</f>
        <v>0.28999999999999559</v>
      </c>
      <c r="C182" s="20">
        <f>Analysis!F182</f>
        <v>0.23835014245319641</v>
      </c>
      <c r="D182" s="19">
        <f>ENSO!D182</f>
        <v>1.77</v>
      </c>
      <c r="E182" s="34">
        <f t="shared" si="9"/>
        <v>4.3200000000000001E-3</v>
      </c>
      <c r="F182" s="19">
        <f>Solar!D182</f>
        <v>1360.78</v>
      </c>
      <c r="G182" s="32">
        <v>3.9399999999999999E-3</v>
      </c>
      <c r="H182" s="33">
        <v>0.2258</v>
      </c>
      <c r="I182" s="20">
        <f t="shared" si="7"/>
        <v>0.24453911093644232</v>
      </c>
      <c r="J182" s="20">
        <f t="shared" si="8"/>
        <v>4.5460889063553278E-2</v>
      </c>
      <c r="K182" s="20">
        <f>ENSO!I182</f>
        <v>7.5545547044234079E-2</v>
      </c>
      <c r="L182" s="19">
        <f>Analysis!B182</f>
        <v>1973.2083333333333</v>
      </c>
    </row>
    <row r="183" spans="1:12" ht="15" customHeight="1">
      <c r="A183" s="18" t="str">
        <f>Analysis!A183</f>
        <v>4/1973</v>
      </c>
      <c r="B183" s="19">
        <f>Analysis!E183</f>
        <v>0.27000000000000135</v>
      </c>
      <c r="C183" s="20">
        <f>Analysis!F183</f>
        <v>0.24358204316762133</v>
      </c>
      <c r="D183" s="19">
        <f>ENSO!D183</f>
        <v>1.55</v>
      </c>
      <c r="E183" s="34">
        <f t="shared" si="9"/>
        <v>4.3800000000000002E-3</v>
      </c>
      <c r="F183" s="19">
        <f>Solar!D183</f>
        <v>1360.89</v>
      </c>
      <c r="G183" s="32">
        <v>3.9699999999999996E-3</v>
      </c>
      <c r="H183" s="33">
        <v>0.22520000000000001</v>
      </c>
      <c r="I183" s="20">
        <f t="shared" si="7"/>
        <v>0.23826180778937475</v>
      </c>
      <c r="J183" s="20">
        <f t="shared" si="8"/>
        <v>3.1738192210626598E-2</v>
      </c>
      <c r="K183" s="20">
        <f>ENSO!I183</f>
        <v>6.0322891716437121E-2</v>
      </c>
      <c r="L183" s="19">
        <f>Analysis!B183</f>
        <v>1973.2916666666667</v>
      </c>
    </row>
    <row r="184" spans="1:12" ht="15" customHeight="1">
      <c r="A184" s="18" t="str">
        <f>Analysis!A184</f>
        <v>5/1973</v>
      </c>
      <c r="B184" s="19">
        <f>Analysis!E184</f>
        <v>0.2300000000000022</v>
      </c>
      <c r="C184" s="20">
        <f>Analysis!F184</f>
        <v>0.24784073218452071</v>
      </c>
      <c r="D184" s="19">
        <f>ENSO!D184</f>
        <v>1.1299999999999999</v>
      </c>
      <c r="E184" s="34">
        <f t="shared" si="9"/>
        <v>4.45E-3</v>
      </c>
      <c r="F184" s="19">
        <f>Solar!D184</f>
        <v>1361</v>
      </c>
      <c r="G184" s="32">
        <v>4.0099999999999997E-3</v>
      </c>
      <c r="H184" s="33">
        <v>0.22439999999999999</v>
      </c>
      <c r="I184" s="20">
        <f t="shared" si="7"/>
        <v>0.21074913523869107</v>
      </c>
      <c r="J184" s="20">
        <f t="shared" si="8"/>
        <v>1.9250864761311132E-2</v>
      </c>
      <c r="K184" s="20">
        <f>ENSO!I184</f>
        <v>4.5181004503735356E-2</v>
      </c>
      <c r="L184" s="19">
        <f>Analysis!B184</f>
        <v>1973.375</v>
      </c>
    </row>
    <row r="185" spans="1:12" ht="15" customHeight="1">
      <c r="A185" s="18" t="str">
        <f>Analysis!A185</f>
        <v>6/1973</v>
      </c>
      <c r="B185" s="19">
        <f>Analysis!E185</f>
        <v>0.19000000000000128</v>
      </c>
      <c r="C185" s="20">
        <f>Analysis!F185</f>
        <v>0.24606056502835677</v>
      </c>
      <c r="D185" s="19">
        <f>ENSO!D185</f>
        <v>0.56000000000000005</v>
      </c>
      <c r="E185" s="34">
        <f t="shared" si="9"/>
        <v>4.3699999999999998E-3</v>
      </c>
      <c r="F185" s="19">
        <f>Solar!D185</f>
        <v>1360.93</v>
      </c>
      <c r="G185" s="32">
        <v>4.0800000000000003E-3</v>
      </c>
      <c r="H185" s="33">
        <v>0.22289999999999999</v>
      </c>
      <c r="I185" s="20">
        <f t="shared" si="7"/>
        <v>0.15317673058123293</v>
      </c>
      <c r="J185" s="20">
        <f t="shared" si="8"/>
        <v>3.6823269418768345E-2</v>
      </c>
      <c r="K185" s="20">
        <f>ENSO!I185</f>
        <v>5.9682289619415463E-2</v>
      </c>
      <c r="L185" s="19">
        <f>Analysis!B185</f>
        <v>1973.4583333333333</v>
      </c>
    </row>
    <row r="186" spans="1:12" ht="15" customHeight="1">
      <c r="A186" s="18" t="str">
        <f>Analysis!A186</f>
        <v>7/1973</v>
      </c>
      <c r="B186" s="19">
        <f>Analysis!E186</f>
        <v>0.12999999999999901</v>
      </c>
      <c r="C186" s="20">
        <f>Analysis!F186</f>
        <v>0.24083766117617278</v>
      </c>
      <c r="D186" s="19">
        <f>ENSO!D186</f>
        <v>-0.03</v>
      </c>
      <c r="E186" s="34">
        <f t="shared" si="9"/>
        <v>4.2500000000000003E-3</v>
      </c>
      <c r="F186" s="19">
        <f>Solar!D186</f>
        <v>1360.85</v>
      </c>
      <c r="G186" s="32">
        <v>4.3400000000000001E-3</v>
      </c>
      <c r="H186" s="33">
        <v>0.21779999999999999</v>
      </c>
      <c r="I186" s="20">
        <f t="shared" si="7"/>
        <v>8.4446630540288101E-2</v>
      </c>
      <c r="J186" s="20">
        <f t="shared" si="8"/>
        <v>4.5553369459710905E-2</v>
      </c>
      <c r="K186" s="20">
        <f>ENSO!I186</f>
        <v>6.5380826011247742E-2</v>
      </c>
      <c r="L186" s="19">
        <f>Analysis!B186</f>
        <v>1973.5416666666667</v>
      </c>
    </row>
    <row r="187" spans="1:12" ht="15" customHeight="1">
      <c r="A187" s="18" t="str">
        <f>Analysis!A187</f>
        <v>8/1973</v>
      </c>
      <c r="B187" s="19">
        <f>Analysis!E187</f>
        <v>5.0000000000004263E-2</v>
      </c>
      <c r="C187" s="20">
        <f>Analysis!F187</f>
        <v>0.23401949506170835</v>
      </c>
      <c r="D187" s="19">
        <f>ENSO!D187</f>
        <v>-0.51</v>
      </c>
      <c r="E187" s="34">
        <f t="shared" si="9"/>
        <v>4.15E-3</v>
      </c>
      <c r="F187" s="19">
        <f>Solar!D187</f>
        <v>1360.85</v>
      </c>
      <c r="G187" s="32">
        <v>5.0800000000000003E-3</v>
      </c>
      <c r="H187" s="33">
        <v>0.20300000000000001</v>
      </c>
      <c r="I187" s="20">
        <f t="shared" si="7"/>
        <v>2.1529015585743043E-2</v>
      </c>
      <c r="J187" s="20">
        <f t="shared" si="8"/>
        <v>2.847098441426122E-2</v>
      </c>
      <c r="K187" s="20">
        <f>ENSO!I187</f>
        <v>4.5887067944513971E-2</v>
      </c>
      <c r="L187" s="19">
        <f>Analysis!B187</f>
        <v>1973.625</v>
      </c>
    </row>
    <row r="188" spans="1:12" ht="15" customHeight="1">
      <c r="A188" s="18" t="str">
        <f>Analysis!A188</f>
        <v>9/1973</v>
      </c>
      <c r="B188" s="19">
        <f>Analysis!E188</f>
        <v>8.9999999999999858E-2</v>
      </c>
      <c r="C188" s="20">
        <f>Analysis!F188</f>
        <v>0.22615618030371948</v>
      </c>
      <c r="D188" s="19">
        <f>ENSO!D188</f>
        <v>-0.8</v>
      </c>
      <c r="E188" s="34">
        <f t="shared" si="9"/>
        <v>4.0099999999999997E-3</v>
      </c>
      <c r="F188" s="19">
        <f>Solar!D188</f>
        <v>1360.68</v>
      </c>
      <c r="G188" s="32">
        <v>5.13E-3</v>
      </c>
      <c r="H188" s="33">
        <v>0.2021</v>
      </c>
      <c r="I188" s="20">
        <f t="shared" si="7"/>
        <v>-2.6520097782360356E-2</v>
      </c>
      <c r="J188" s="20">
        <f t="shared" si="8"/>
        <v>0.11652009778236022</v>
      </c>
      <c r="K188" s="20">
        <f>ENSO!I188</f>
        <v>0.13272694386176295</v>
      </c>
      <c r="L188" s="19">
        <f>Analysis!B188</f>
        <v>1973.7083333333333</v>
      </c>
    </row>
    <row r="189" spans="1:12" ht="15" customHeight="1">
      <c r="A189" s="18" t="str">
        <f>Analysis!A189</f>
        <v>10/1973</v>
      </c>
      <c r="B189" s="19">
        <f>Analysis!E189</f>
        <v>9.9999999999997868E-2</v>
      </c>
      <c r="C189" s="20">
        <f>Analysis!F189</f>
        <v>0.22470182828890004</v>
      </c>
      <c r="D189" s="19">
        <f>ENSO!D189</f>
        <v>-0.99</v>
      </c>
      <c r="E189" s="34">
        <f t="shared" si="9"/>
        <v>3.9399999999999999E-3</v>
      </c>
      <c r="F189" s="19">
        <f>Solar!D189</f>
        <v>1360.84</v>
      </c>
      <c r="G189" s="32">
        <v>5.13E-3</v>
      </c>
      <c r="H189" s="33">
        <v>0.20200000000000001</v>
      </c>
      <c r="I189" s="20">
        <f t="shared" si="7"/>
        <v>-4.7963763403575992E-2</v>
      </c>
      <c r="J189" s="20">
        <f t="shared" si="8"/>
        <v>0.14796376340357387</v>
      </c>
      <c r="K189" s="20">
        <f>ENSO!I189</f>
        <v>0.16325892864580205</v>
      </c>
      <c r="L189" s="19">
        <f>Analysis!B189</f>
        <v>1973.7916666666667</v>
      </c>
    </row>
    <row r="190" spans="1:12" ht="15" customHeight="1">
      <c r="A190" s="18" t="str">
        <f>Analysis!A190</f>
        <v>11/1973</v>
      </c>
      <c r="B190" s="19">
        <f>Analysis!E190</f>
        <v>3.9999999999999147E-2</v>
      </c>
      <c r="C190" s="20">
        <f>Analysis!F190</f>
        <v>0.22901653224979263</v>
      </c>
      <c r="D190" s="19">
        <f>ENSO!D190</f>
        <v>-1.1100000000000001</v>
      </c>
      <c r="E190" s="34">
        <f t="shared" si="9"/>
        <v>3.9699999999999996E-3</v>
      </c>
      <c r="F190" s="19">
        <f>Solar!D190</f>
        <v>1360.78</v>
      </c>
      <c r="G190" s="32">
        <v>4.9699999999999996E-3</v>
      </c>
      <c r="H190" s="33">
        <v>0.20519999999999999</v>
      </c>
      <c r="I190" s="20">
        <f t="shared" si="7"/>
        <v>-4.7397140590349086E-2</v>
      </c>
      <c r="J190" s="20">
        <f t="shared" si="8"/>
        <v>8.7397140590348227E-2</v>
      </c>
      <c r="K190" s="20">
        <f>ENSO!I190</f>
        <v>0.10185184883411895</v>
      </c>
      <c r="L190" s="19">
        <f>Analysis!B190</f>
        <v>1973.875</v>
      </c>
    </row>
    <row r="191" spans="1:12" ht="15" customHeight="1">
      <c r="A191" s="18" t="str">
        <f>Analysis!A191</f>
        <v>12/1973</v>
      </c>
      <c r="B191" s="19">
        <f>Analysis!E191</f>
        <v>-7.0000000000000284E-2</v>
      </c>
      <c r="C191" s="20">
        <f>Analysis!F191</f>
        <v>0.23112515787904964</v>
      </c>
      <c r="D191" s="19">
        <f>ENSO!D191</f>
        <v>-1.26</v>
      </c>
      <c r="E191" s="34">
        <f t="shared" si="9"/>
        <v>4.0099999999999997E-3</v>
      </c>
      <c r="F191" s="19">
        <f>Solar!D191</f>
        <v>1360.8</v>
      </c>
      <c r="G191" s="32">
        <v>4.7800000000000004E-3</v>
      </c>
      <c r="H191" s="33">
        <v>0.20899999999999999</v>
      </c>
      <c r="I191" s="20">
        <f t="shared" si="7"/>
        <v>-5.5653286901075301E-2</v>
      </c>
      <c r="J191" s="20">
        <f t="shared" si="8"/>
        <v>-1.4346713098924983E-2</v>
      </c>
      <c r="K191" s="20">
        <f>ENSO!I191</f>
        <v>-8.8445042814880304E-4</v>
      </c>
      <c r="L191" s="19">
        <f>Analysis!B191</f>
        <v>1973.9583333333333</v>
      </c>
    </row>
    <row r="192" spans="1:12" ht="15" customHeight="1">
      <c r="A192" s="18" t="str">
        <f>Analysis!A192</f>
        <v>1/1974</v>
      </c>
      <c r="B192" s="19">
        <f>Analysis!E192</f>
        <v>-0.10000000000000142</v>
      </c>
      <c r="C192" s="20">
        <f>Analysis!F192</f>
        <v>0.23423852660157829</v>
      </c>
      <c r="D192" s="19">
        <f>ENSO!D192</f>
        <v>-1.58</v>
      </c>
      <c r="E192" s="34">
        <f t="shared" si="9"/>
        <v>4.0800000000000003E-3</v>
      </c>
      <c r="F192" s="19">
        <f>Solar!D192</f>
        <v>1360.77</v>
      </c>
      <c r="G192" s="32">
        <v>4.6100000000000004E-3</v>
      </c>
      <c r="H192" s="33">
        <v>0.21240000000000001</v>
      </c>
      <c r="I192" s="20">
        <f t="shared" si="7"/>
        <v>-7.7010234108116513E-2</v>
      </c>
      <c r="J192" s="20">
        <f t="shared" si="8"/>
        <v>-2.2989765891884908E-2</v>
      </c>
      <c r="K192" s="20">
        <f>ENSO!I192</f>
        <v>-1.1584153262607311E-2</v>
      </c>
      <c r="L192" s="19">
        <f>Analysis!B192</f>
        <v>1974.0416666666667</v>
      </c>
    </row>
    <row r="193" spans="1:12" ht="15" customHeight="1">
      <c r="A193" s="18" t="str">
        <f>Analysis!A193</f>
        <v>2/1974</v>
      </c>
      <c r="B193" s="19">
        <f>Analysis!E193</f>
        <v>-0.27000000000000135</v>
      </c>
      <c r="C193" s="20">
        <f>Analysis!F193</f>
        <v>0.24013984319182427</v>
      </c>
      <c r="D193" s="19">
        <f>ENSO!D193</f>
        <v>-1.89</v>
      </c>
      <c r="E193" s="34">
        <f t="shared" si="9"/>
        <v>4.3400000000000001E-3</v>
      </c>
      <c r="F193" s="19">
        <f>Solar!D193</f>
        <v>1360.73</v>
      </c>
      <c r="G193" s="32">
        <v>4.4099999999999999E-3</v>
      </c>
      <c r="H193" s="33">
        <v>0.21629999999999999</v>
      </c>
      <c r="I193" s="20">
        <f t="shared" si="7"/>
        <v>-9.0253376921147432E-2</v>
      </c>
      <c r="J193" s="20">
        <f t="shared" si="8"/>
        <v>-0.17974662307885392</v>
      </c>
      <c r="K193" s="20">
        <f>ENSO!I193</f>
        <v>-0.17081215824619073</v>
      </c>
      <c r="L193" s="19">
        <f>Analysis!B193</f>
        <v>1974.125</v>
      </c>
    </row>
    <row r="194" spans="1:12" ht="15" customHeight="1">
      <c r="A194" s="18" t="str">
        <f>Analysis!A194</f>
        <v>3/1974</v>
      </c>
      <c r="B194" s="19">
        <f>Analysis!E194</f>
        <v>-5.0000000000000711E-2</v>
      </c>
      <c r="C194" s="20">
        <f>Analysis!F194</f>
        <v>0.24353852229879974</v>
      </c>
      <c r="D194" s="19">
        <f>ENSO!D194</f>
        <v>-2.04</v>
      </c>
      <c r="E194" s="34">
        <f t="shared" si="9"/>
        <v>5.0800000000000003E-3</v>
      </c>
      <c r="F194" s="19">
        <f>Solar!D194</f>
        <v>1360.85</v>
      </c>
      <c r="G194" s="32">
        <v>4.2900000000000004E-3</v>
      </c>
      <c r="H194" s="33">
        <v>0.21879999999999999</v>
      </c>
      <c r="I194" s="20">
        <f t="shared" ref="I194:I257" si="10">IF(OR(D194="",E194=""),"",$N$14+$N$15*C194+$N$16*D194+$N$17*E194)</f>
        <v>-9.6531244566410657E-2</v>
      </c>
      <c r="J194" s="20">
        <f t="shared" ref="J194:J257" si="11">IF(I194="","",B194-I194)</f>
        <v>4.6531244566409946E-2</v>
      </c>
      <c r="K194" s="20">
        <f>ENSO!I194</f>
        <v>5.2908028574542132E-2</v>
      </c>
      <c r="L194" s="19">
        <f>Analysis!B194</f>
        <v>1974.2083333333333</v>
      </c>
    </row>
    <row r="195" spans="1:12" ht="15" customHeight="1">
      <c r="A195" s="18" t="str">
        <f>Analysis!A195</f>
        <v>4/1974</v>
      </c>
      <c r="B195" s="19">
        <f>Analysis!E195</f>
        <v>-0.11999999999999744</v>
      </c>
      <c r="C195" s="20">
        <f>Analysis!F195</f>
        <v>0.24857820654980772</v>
      </c>
      <c r="D195" s="19">
        <f>ENSO!D195</f>
        <v>-1.87</v>
      </c>
      <c r="E195" s="34">
        <f t="shared" si="9"/>
        <v>5.13E-3</v>
      </c>
      <c r="F195" s="19">
        <f>Solar!D195</f>
        <v>1360.69</v>
      </c>
      <c r="G195" s="32">
        <v>4.2700000000000004E-3</v>
      </c>
      <c r="H195" s="33">
        <v>0.21920000000000001</v>
      </c>
      <c r="I195" s="20">
        <f t="shared" si="10"/>
        <v>-6.712074428211684E-2</v>
      </c>
      <c r="J195" s="20">
        <f t="shared" si="11"/>
        <v>-5.2879255717880602E-2</v>
      </c>
      <c r="K195" s="20">
        <f>ENSO!I195</f>
        <v>-4.5731377569826231E-2</v>
      </c>
      <c r="L195" s="19">
        <f>Analysis!B195</f>
        <v>1974.2916666666667</v>
      </c>
    </row>
    <row r="196" spans="1:12" ht="15" customHeight="1">
      <c r="A196" s="18" t="str">
        <f>Analysis!A196</f>
        <v>5/1974</v>
      </c>
      <c r="B196" s="19">
        <f>Analysis!E196</f>
        <v>-3.9999999999999147E-2</v>
      </c>
      <c r="C196" s="20">
        <f>Analysis!F196</f>
        <v>0.25091827471297862</v>
      </c>
      <c r="D196" s="19">
        <f>ENSO!D196</f>
        <v>-1.59</v>
      </c>
      <c r="E196" s="34">
        <f t="shared" si="9"/>
        <v>5.13E-3</v>
      </c>
      <c r="F196" s="19">
        <f>Solar!D196</f>
        <v>1360.9</v>
      </c>
      <c r="G196" s="32">
        <v>4.2700000000000004E-3</v>
      </c>
      <c r="H196" s="33">
        <v>0.21920000000000001</v>
      </c>
      <c r="I196" s="20">
        <f t="shared" si="10"/>
        <v>-3.4755777458224557E-2</v>
      </c>
      <c r="J196" s="20">
        <f t="shared" si="11"/>
        <v>-5.2442225417745902E-3</v>
      </c>
      <c r="K196" s="20">
        <f>ENSO!I196</f>
        <v>3.4703566558916543E-3</v>
      </c>
      <c r="L196" s="19">
        <f>Analysis!B196</f>
        <v>1974.375</v>
      </c>
    </row>
    <row r="197" spans="1:12" ht="15" customHeight="1">
      <c r="A197" s="18" t="str">
        <f>Analysis!A197</f>
        <v>6/1974</v>
      </c>
      <c r="B197" s="19">
        <f>Analysis!E197</f>
        <v>-5.0000000000000711E-2</v>
      </c>
      <c r="C197" s="20">
        <f>Analysis!F197</f>
        <v>0.24662524613004733</v>
      </c>
      <c r="D197" s="19">
        <f>ENSO!D197</f>
        <v>-1.24</v>
      </c>
      <c r="E197" s="34">
        <f t="shared" si="9"/>
        <v>4.9699999999999996E-3</v>
      </c>
      <c r="F197" s="19">
        <f>Solar!D197</f>
        <v>1360.94</v>
      </c>
      <c r="G197" s="32">
        <v>4.3E-3</v>
      </c>
      <c r="H197" s="33">
        <v>0.2185</v>
      </c>
      <c r="I197" s="20">
        <f t="shared" si="10"/>
        <v>-1.363438291471167E-2</v>
      </c>
      <c r="J197" s="20">
        <f t="shared" si="11"/>
        <v>-3.6365617085289043E-2</v>
      </c>
      <c r="K197" s="20">
        <f>ENSO!I197</f>
        <v>-2.5200788451606407E-2</v>
      </c>
      <c r="L197" s="19">
        <f>Analysis!B197</f>
        <v>1974.4583333333333</v>
      </c>
    </row>
    <row r="198" spans="1:12" ht="15" customHeight="1">
      <c r="A198" s="18" t="str">
        <f>Analysis!A198</f>
        <v>7/1974</v>
      </c>
      <c r="B198" s="19">
        <f>Analysis!E198</f>
        <v>-2.9999999999999361E-2</v>
      </c>
      <c r="C198" s="20">
        <f>Analysis!F198</f>
        <v>0.24170945927557155</v>
      </c>
      <c r="D198" s="19">
        <f>ENSO!D198</f>
        <v>-0.99</v>
      </c>
      <c r="E198" s="34">
        <f t="shared" si="9"/>
        <v>4.7800000000000004E-3</v>
      </c>
      <c r="F198" s="19">
        <f>Solar!D198</f>
        <v>1360.62</v>
      </c>
      <c r="G198" s="32">
        <v>4.3600000000000002E-3</v>
      </c>
      <c r="H198" s="33">
        <v>0.21740000000000001</v>
      </c>
      <c r="I198" s="20">
        <f t="shared" si="10"/>
        <v>-3.4250063857084647E-3</v>
      </c>
      <c r="J198" s="20">
        <f t="shared" si="11"/>
        <v>-2.6574993614290894E-2</v>
      </c>
      <c r="K198" s="20">
        <f>ENSO!I198</f>
        <v>-1.345756655177989E-2</v>
      </c>
      <c r="L198" s="19">
        <f>Analysis!B198</f>
        <v>1974.5416666666667</v>
      </c>
    </row>
    <row r="199" spans="1:12" ht="15" customHeight="1">
      <c r="A199" s="18" t="str">
        <f>Analysis!A199</f>
        <v>8/1974</v>
      </c>
      <c r="B199" s="19">
        <f>Analysis!E199</f>
        <v>9.9999999999997868E-2</v>
      </c>
      <c r="C199" s="20">
        <f>Analysis!F199</f>
        <v>0.23331837058615809</v>
      </c>
      <c r="D199" s="19">
        <f>ENSO!D199</f>
        <v>-0.71</v>
      </c>
      <c r="E199" s="34">
        <f t="shared" si="9"/>
        <v>4.6100000000000004E-3</v>
      </c>
      <c r="F199" s="19">
        <f>Solar!D199</f>
        <v>1360.8</v>
      </c>
      <c r="G199" s="32">
        <v>4.4400000000000004E-3</v>
      </c>
      <c r="H199" s="33">
        <v>0.21579999999999999</v>
      </c>
      <c r="I199" s="20">
        <f t="shared" si="10"/>
        <v>4.5585399697780846E-5</v>
      </c>
      <c r="J199" s="20">
        <f t="shared" si="11"/>
        <v>9.9954414600300093E-2</v>
      </c>
      <c r="K199" s="20">
        <f>ENSO!I199</f>
        <v>0.11522046792769718</v>
      </c>
      <c r="L199" s="19">
        <f>Analysis!B199</f>
        <v>1974.625</v>
      </c>
    </row>
    <row r="200" spans="1:12" ht="15" customHeight="1">
      <c r="A200" s="18" t="str">
        <f>Analysis!A200</f>
        <v>9/1974</v>
      </c>
      <c r="B200" s="19">
        <f>Analysis!E200</f>
        <v>-8.0000000000001847E-2</v>
      </c>
      <c r="C200" s="20">
        <f>Analysis!F200</f>
        <v>0.22531900517823794</v>
      </c>
      <c r="D200" s="19">
        <f>ENSO!D200</f>
        <v>-0.64</v>
      </c>
      <c r="E200" s="34">
        <f t="shared" si="9"/>
        <v>4.4099999999999999E-3</v>
      </c>
      <c r="F200" s="19">
        <f>Solar!D200</f>
        <v>1360.7</v>
      </c>
      <c r="G200" s="32">
        <v>4.4799999999999996E-3</v>
      </c>
      <c r="H200" s="33">
        <v>0.21490000000000001</v>
      </c>
      <c r="I200" s="20">
        <f t="shared" si="10"/>
        <v>-1.4836369297787493E-2</v>
      </c>
      <c r="J200" s="20">
        <f t="shared" si="11"/>
        <v>-6.5163630702214356E-2</v>
      </c>
      <c r="K200" s="20">
        <f>ENSO!I200</f>
        <v>-4.8899549914788447E-2</v>
      </c>
      <c r="L200" s="19">
        <f>Analysis!B200</f>
        <v>1974.7083333333333</v>
      </c>
    </row>
    <row r="201" spans="1:12" ht="15" customHeight="1">
      <c r="A201" s="18" t="str">
        <f>Analysis!A201</f>
        <v>10/1974</v>
      </c>
      <c r="B201" s="19">
        <f>Analysis!E201</f>
        <v>-6.0000000000000497E-2</v>
      </c>
      <c r="C201" s="20">
        <f>Analysis!F201</f>
        <v>0.22509861516835514</v>
      </c>
      <c r="D201" s="19">
        <f>ENSO!D201</f>
        <v>-0.46</v>
      </c>
      <c r="E201" s="34">
        <f t="shared" ref="E201:E264" si="12">IF(G194="","",G194)</f>
        <v>4.2900000000000004E-3</v>
      </c>
      <c r="F201" s="19">
        <f>Solar!D201</f>
        <v>1360.7</v>
      </c>
      <c r="G201" s="32">
        <v>4.6800000000000001E-3</v>
      </c>
      <c r="H201" s="33">
        <v>0.21099999999999999</v>
      </c>
      <c r="I201" s="20">
        <f t="shared" si="10"/>
        <v>1.5296783553401024E-3</v>
      </c>
      <c r="J201" s="20">
        <f t="shared" si="11"/>
        <v>-6.1529678355340602E-2</v>
      </c>
      <c r="K201" s="20">
        <f>ENSO!I201</f>
        <v>-4.3960982065780578E-2</v>
      </c>
      <c r="L201" s="19">
        <f>Analysis!B201</f>
        <v>1974.7916666666667</v>
      </c>
    </row>
    <row r="202" spans="1:12" ht="15" customHeight="1">
      <c r="A202" s="18" t="str">
        <f>Analysis!A202</f>
        <v>11/1974</v>
      </c>
      <c r="B202" s="19">
        <f>Analysis!E202</f>
        <v>-8.0000000000001847E-2</v>
      </c>
      <c r="C202" s="20">
        <f>Analysis!F202</f>
        <v>0.22963186648323872</v>
      </c>
      <c r="D202" s="19">
        <f>ENSO!D202</f>
        <v>-0.4</v>
      </c>
      <c r="E202" s="34">
        <f t="shared" si="12"/>
        <v>4.2700000000000004E-3</v>
      </c>
      <c r="F202" s="19">
        <f>Solar!D202</f>
        <v>1360.85</v>
      </c>
      <c r="G202" s="32">
        <v>5.1799999999999997E-3</v>
      </c>
      <c r="H202" s="33">
        <v>0.20100000000000001</v>
      </c>
      <c r="I202" s="20">
        <f t="shared" si="10"/>
        <v>1.9505493289974633E-2</v>
      </c>
      <c r="J202" s="20">
        <f t="shared" si="11"/>
        <v>-9.9505493289976488E-2</v>
      </c>
      <c r="K202" s="20">
        <f>ENSO!I202</f>
        <v>-8.1635165486614106E-2</v>
      </c>
      <c r="L202" s="19">
        <f>Analysis!B202</f>
        <v>1974.875</v>
      </c>
    </row>
    <row r="203" spans="1:12" ht="15" customHeight="1">
      <c r="A203" s="18" t="str">
        <f>Analysis!A203</f>
        <v>12/1974</v>
      </c>
      <c r="B203" s="19">
        <f>Analysis!E203</f>
        <v>-8.0000000000001847E-2</v>
      </c>
      <c r="C203" s="20">
        <f>Analysis!F203</f>
        <v>0.23520187051995831</v>
      </c>
      <c r="D203" s="19">
        <f>ENSO!D203</f>
        <v>-0.47</v>
      </c>
      <c r="E203" s="34">
        <f t="shared" si="12"/>
        <v>4.2700000000000004E-3</v>
      </c>
      <c r="F203" s="19">
        <f>Solar!D203</f>
        <v>1360.71</v>
      </c>
      <c r="G203" s="32">
        <v>5.13E-3</v>
      </c>
      <c r="H203" s="33">
        <v>0.2021</v>
      </c>
      <c r="I203" s="20">
        <f t="shared" si="10"/>
        <v>2.8201615362288449E-2</v>
      </c>
      <c r="J203" s="20">
        <f t="shared" si="11"/>
        <v>-0.1082016153622903</v>
      </c>
      <c r="K203" s="20">
        <f>ENSO!I203</f>
        <v>-9.084218719950013E-2</v>
      </c>
      <c r="L203" s="19">
        <f>Analysis!B203</f>
        <v>1974.9583333333333</v>
      </c>
    </row>
    <row r="204" spans="1:12" ht="15" customHeight="1">
      <c r="A204" s="18" t="str">
        <f>Analysis!A204</f>
        <v>1/1975</v>
      </c>
      <c r="B204" s="19">
        <f>Analysis!E204</f>
        <v>9.9999999999997868E-2</v>
      </c>
      <c r="C204" s="20">
        <f>Analysis!F204</f>
        <v>0.24022708890066147</v>
      </c>
      <c r="D204" s="19">
        <f>ENSO!D204</f>
        <v>-0.69</v>
      </c>
      <c r="E204" s="34">
        <f t="shared" si="12"/>
        <v>4.3E-3</v>
      </c>
      <c r="F204" s="19">
        <f>Solar!D204</f>
        <v>1360.66</v>
      </c>
      <c r="G204" s="32">
        <v>5.0000000000000001E-3</v>
      </c>
      <c r="H204" s="33">
        <v>0.20449999999999999</v>
      </c>
      <c r="I204" s="20">
        <f t="shared" si="10"/>
        <v>2.142661203685442E-2</v>
      </c>
      <c r="J204" s="20">
        <f t="shared" si="11"/>
        <v>7.8573387963143448E-2</v>
      </c>
      <c r="K204" s="20">
        <f>ENSO!I204</f>
        <v>9.4502871709812197E-2</v>
      </c>
      <c r="L204" s="19">
        <f>Analysis!B204</f>
        <v>1975.0416666666667</v>
      </c>
    </row>
    <row r="205" spans="1:12" ht="15" customHeight="1">
      <c r="A205" s="18" t="str">
        <f>Analysis!A205</f>
        <v>2/1975</v>
      </c>
      <c r="B205" s="19">
        <f>Analysis!E205</f>
        <v>8.0000000000000071E-2</v>
      </c>
      <c r="C205" s="20">
        <f>Analysis!F205</f>
        <v>0.24340795181458158</v>
      </c>
      <c r="D205" s="19">
        <f>ENSO!D205</f>
        <v>-0.88</v>
      </c>
      <c r="E205" s="34">
        <f t="shared" si="12"/>
        <v>4.3600000000000002E-3</v>
      </c>
      <c r="F205" s="19">
        <f>Solar!D205</f>
        <v>1360.64</v>
      </c>
      <c r="G205" s="32">
        <v>4.8300000000000001E-3</v>
      </c>
      <c r="H205" s="33">
        <v>0.20799999999999999</v>
      </c>
      <c r="I205" s="20">
        <f t="shared" si="10"/>
        <v>1.2339105778580531E-2</v>
      </c>
      <c r="J205" s="20">
        <f t="shared" si="11"/>
        <v>6.7660894221419535E-2</v>
      </c>
      <c r="K205" s="20">
        <f>ENSO!I205</f>
        <v>8.2302866005119518E-2</v>
      </c>
      <c r="L205" s="19">
        <f>Analysis!B205</f>
        <v>1975.125</v>
      </c>
    </row>
    <row r="206" spans="1:12" ht="15" customHeight="1">
      <c r="A206" s="18" t="str">
        <f>Analysis!A206</f>
        <v>3/1975</v>
      </c>
      <c r="B206" s="19">
        <f>Analysis!E206</f>
        <v>0.11999999999999744</v>
      </c>
      <c r="C206" s="20">
        <f>Analysis!F206</f>
        <v>0.24549566281992086</v>
      </c>
      <c r="D206" s="19">
        <f>ENSO!D206</f>
        <v>-0.71</v>
      </c>
      <c r="E206" s="34">
        <f t="shared" si="12"/>
        <v>4.4400000000000004E-3</v>
      </c>
      <c r="F206" s="19">
        <f>Solar!D206</f>
        <v>1360.71</v>
      </c>
      <c r="G206" s="32">
        <v>4.7099999999999998E-3</v>
      </c>
      <c r="H206" s="33">
        <v>0.2104</v>
      </c>
      <c r="I206" s="20">
        <f t="shared" si="10"/>
        <v>3.3632307268243955E-2</v>
      </c>
      <c r="J206" s="20">
        <f t="shared" si="11"/>
        <v>8.6367692731753487E-2</v>
      </c>
      <c r="K206" s="20">
        <f>ENSO!I206</f>
        <v>0.10177192858650445</v>
      </c>
      <c r="L206" s="19">
        <f>Analysis!B206</f>
        <v>1975.2083333333333</v>
      </c>
    </row>
    <row r="207" spans="1:12" ht="15" customHeight="1">
      <c r="A207" s="18" t="str">
        <f>Analysis!A207</f>
        <v>4/1975</v>
      </c>
      <c r="B207" s="19">
        <f>Analysis!E207</f>
        <v>3.9999999999999147E-2</v>
      </c>
      <c r="C207" s="20">
        <f>Analysis!F207</f>
        <v>0.25057183736095789</v>
      </c>
      <c r="D207" s="19">
        <f>ENSO!D207</f>
        <v>-0.56000000000000005</v>
      </c>
      <c r="E207" s="34">
        <f t="shared" si="12"/>
        <v>4.4799999999999996E-3</v>
      </c>
      <c r="F207" s="19">
        <f>Solar!D207</f>
        <v>1360.8</v>
      </c>
      <c r="G207" s="32">
        <v>4.6800000000000001E-3</v>
      </c>
      <c r="H207" s="33">
        <v>0.21099999999999999</v>
      </c>
      <c r="I207" s="20">
        <f t="shared" si="10"/>
        <v>6.1308435325383076E-2</v>
      </c>
      <c r="J207" s="20">
        <f t="shared" si="11"/>
        <v>-2.1308435325383929E-2</v>
      </c>
      <c r="K207" s="20">
        <f>ENSO!I207</f>
        <v>-5.2269535479872939E-3</v>
      </c>
      <c r="L207" s="19">
        <f>Analysis!B207</f>
        <v>1975.2916666666667</v>
      </c>
    </row>
    <row r="208" spans="1:12" ht="15" customHeight="1">
      <c r="A208" s="18" t="str">
        <f>Analysis!A208</f>
        <v>5/1975</v>
      </c>
      <c r="B208" s="19">
        <f>Analysis!E208</f>
        <v>0.16000000000000014</v>
      </c>
      <c r="C208" s="20">
        <f>Analysis!F208</f>
        <v>0.25420528705036982</v>
      </c>
      <c r="D208" s="19">
        <f>ENSO!D208</f>
        <v>-0.55000000000000004</v>
      </c>
      <c r="E208" s="34">
        <f t="shared" si="12"/>
        <v>4.6800000000000001E-3</v>
      </c>
      <c r="F208" s="19">
        <f>Solar!D208</f>
        <v>1360.79</v>
      </c>
      <c r="G208" s="32">
        <v>4.6699999999999997E-3</v>
      </c>
      <c r="H208" s="33">
        <v>0.2112</v>
      </c>
      <c r="I208" s="20">
        <f t="shared" si="10"/>
        <v>7.1706279746890006E-2</v>
      </c>
      <c r="J208" s="20">
        <f t="shared" si="11"/>
        <v>8.8293720253110136E-2</v>
      </c>
      <c r="K208" s="20">
        <f>ENSO!I208</f>
        <v>0.10392232316006647</v>
      </c>
      <c r="L208" s="19">
        <f>Analysis!B208</f>
        <v>1975.375</v>
      </c>
    </row>
    <row r="209" spans="1:12" ht="15" customHeight="1">
      <c r="A209" s="18" t="str">
        <f>Analysis!A209</f>
        <v>6/1975</v>
      </c>
      <c r="B209" s="19">
        <f>Analysis!E209</f>
        <v>-9.9999999999980105E-3</v>
      </c>
      <c r="C209" s="20">
        <f>Analysis!F209</f>
        <v>0.25191381895195386</v>
      </c>
      <c r="D209" s="19">
        <f>ENSO!D209</f>
        <v>-0.61</v>
      </c>
      <c r="E209" s="34">
        <f t="shared" si="12"/>
        <v>5.1799999999999997E-3</v>
      </c>
      <c r="F209" s="19">
        <f>Solar!D209</f>
        <v>1360.7</v>
      </c>
      <c r="G209" s="32">
        <v>4.6800000000000001E-3</v>
      </c>
      <c r="H209" s="33">
        <v>0.2109</v>
      </c>
      <c r="I209" s="20">
        <f t="shared" si="10"/>
        <v>5.8788593293238878E-2</v>
      </c>
      <c r="J209" s="20">
        <f t="shared" si="11"/>
        <v>-6.8788593293236888E-2</v>
      </c>
      <c r="K209" s="20">
        <f>ENSO!I209</f>
        <v>-5.4561214911775964E-2</v>
      </c>
      <c r="L209" s="19">
        <f>Analysis!B209</f>
        <v>1975.4583333333333</v>
      </c>
    </row>
    <row r="210" spans="1:12" ht="15" customHeight="1">
      <c r="A210" s="18" t="str">
        <f>Analysis!A210</f>
        <v>7/1975</v>
      </c>
      <c r="B210" s="19">
        <f>Analysis!E210</f>
        <v>-9.9999999999980105E-3</v>
      </c>
      <c r="C210" s="20">
        <f>Analysis!F210</f>
        <v>0.24562604450194436</v>
      </c>
      <c r="D210" s="19">
        <f>ENSO!D210</f>
        <v>-0.66</v>
      </c>
      <c r="E210" s="34">
        <f t="shared" si="12"/>
        <v>5.13E-3</v>
      </c>
      <c r="F210" s="19">
        <f>Solar!D210</f>
        <v>1360.65</v>
      </c>
      <c r="G210" s="32">
        <v>5.0499999999999998E-3</v>
      </c>
      <c r="H210" s="33">
        <v>0.2036</v>
      </c>
      <c r="I210" s="20">
        <f t="shared" si="10"/>
        <v>3.7109421366082473E-2</v>
      </c>
      <c r="J210" s="20">
        <f t="shared" si="11"/>
        <v>-4.7109421366080484E-2</v>
      </c>
      <c r="K210" s="20">
        <f>ENSO!I210</f>
        <v>-3.2938091809282533E-2</v>
      </c>
      <c r="L210" s="19">
        <f>Analysis!B210</f>
        <v>1975.5416666666667</v>
      </c>
    </row>
    <row r="211" spans="1:12" ht="15" customHeight="1">
      <c r="A211" s="18" t="str">
        <f>Analysis!A211</f>
        <v>8/1975</v>
      </c>
      <c r="B211" s="19">
        <f>Analysis!E211</f>
        <v>-0.16999999999999638</v>
      </c>
      <c r="C211" s="20">
        <f>Analysis!F211</f>
        <v>0.23682059058160543</v>
      </c>
      <c r="D211" s="19">
        <f>ENSO!D211</f>
        <v>-0.8</v>
      </c>
      <c r="E211" s="34">
        <f t="shared" si="12"/>
        <v>5.0000000000000001E-3</v>
      </c>
      <c r="F211" s="19">
        <f>Solar!D211</f>
        <v>1360.51</v>
      </c>
      <c r="G211" s="32">
        <v>5.5100000000000001E-3</v>
      </c>
      <c r="H211" s="33">
        <v>0.19439999999999999</v>
      </c>
      <c r="I211" s="20">
        <f t="shared" si="10"/>
        <v>3.8794207454650488E-4</v>
      </c>
      <c r="J211" s="20">
        <f t="shared" si="11"/>
        <v>-0.17038794207454289</v>
      </c>
      <c r="K211" s="20">
        <f>ENSO!I211</f>
        <v>-0.15656601715804622</v>
      </c>
      <c r="L211" s="19">
        <f>Analysis!B211</f>
        <v>1975.625</v>
      </c>
    </row>
    <row r="212" spans="1:12" ht="15" customHeight="1">
      <c r="A212" s="18" t="str">
        <f>Analysis!A212</f>
        <v>9/1975</v>
      </c>
      <c r="B212" s="19">
        <f>Analysis!E212</f>
        <v>-1.9999999999999574E-2</v>
      </c>
      <c r="C212" s="20">
        <f>Analysis!F212</f>
        <v>0.23042262505163516</v>
      </c>
      <c r="D212" s="19">
        <f>ENSO!D212</f>
        <v>-0.92</v>
      </c>
      <c r="E212" s="34">
        <f t="shared" si="12"/>
        <v>4.8300000000000001E-3</v>
      </c>
      <c r="F212" s="19">
        <f>Solar!D212</f>
        <v>1360.84</v>
      </c>
      <c r="G212" s="32">
        <v>5.5500000000000002E-3</v>
      </c>
      <c r="H212" s="33">
        <v>0.19350000000000001</v>
      </c>
      <c r="I212" s="20">
        <f t="shared" si="10"/>
        <v>-2.7823376674352328E-2</v>
      </c>
      <c r="J212" s="20">
        <f t="shared" si="11"/>
        <v>7.8233766743527541E-3</v>
      </c>
      <c r="K212" s="20">
        <f>ENSO!I212</f>
        <v>2.145242227015344E-2</v>
      </c>
      <c r="L212" s="19">
        <f>Analysis!B212</f>
        <v>1975.7083333333333</v>
      </c>
    </row>
    <row r="213" spans="1:12" ht="15" customHeight="1">
      <c r="A213" s="18" t="str">
        <f>Analysis!A213</f>
        <v>10/1975</v>
      </c>
      <c r="B213" s="19">
        <f>Analysis!E213</f>
        <v>-0.10999999999999766</v>
      </c>
      <c r="C213" s="20">
        <f>Analysis!F213</f>
        <v>0.22985156512086161</v>
      </c>
      <c r="D213" s="19">
        <f>ENSO!D213</f>
        <v>-1.08</v>
      </c>
      <c r="E213" s="34">
        <f t="shared" si="12"/>
        <v>4.7099999999999998E-3</v>
      </c>
      <c r="F213" s="19">
        <f>Solar!D213</f>
        <v>1360.77</v>
      </c>
      <c r="G213" s="32">
        <v>5.5300000000000002E-3</v>
      </c>
      <c r="H213" s="33">
        <v>0.19400000000000001</v>
      </c>
      <c r="I213" s="20">
        <f t="shared" si="10"/>
        <v>-4.3964060526833132E-2</v>
      </c>
      <c r="J213" s="20">
        <f t="shared" si="11"/>
        <v>-6.6035939473164523E-2</v>
      </c>
      <c r="K213" s="20">
        <f>ENSO!I213</f>
        <v>-5.3052949332184601E-2</v>
      </c>
      <c r="L213" s="19">
        <f>Analysis!B213</f>
        <v>1975.7916666666667</v>
      </c>
    </row>
    <row r="214" spans="1:12" ht="15" customHeight="1">
      <c r="A214" s="18" t="str">
        <f>Analysis!A214</f>
        <v>11/1975</v>
      </c>
      <c r="B214" s="19">
        <f>Analysis!E214</f>
        <v>-0.16999999999999638</v>
      </c>
      <c r="C214" s="20">
        <f>Analysis!F214</f>
        <v>0.2343261299073639</v>
      </c>
      <c r="D214" s="19">
        <f>ENSO!D214</f>
        <v>-1.1200000000000001</v>
      </c>
      <c r="E214" s="34">
        <f t="shared" si="12"/>
        <v>4.6800000000000001E-3</v>
      </c>
      <c r="F214" s="19">
        <f>Solar!D214</f>
        <v>1360.77</v>
      </c>
      <c r="G214" s="32">
        <v>5.3299999999999997E-3</v>
      </c>
      <c r="H214" s="33">
        <v>0.19800000000000001</v>
      </c>
      <c r="I214" s="20">
        <f t="shared" si="10"/>
        <v>-3.5405806781304006E-2</v>
      </c>
      <c r="J214" s="20">
        <f t="shared" si="11"/>
        <v>-0.13459419321869237</v>
      </c>
      <c r="K214" s="20">
        <f>ENSO!I214</f>
        <v>-0.1218621558342504</v>
      </c>
      <c r="L214" s="19">
        <f>Analysis!B214</f>
        <v>1975.875</v>
      </c>
    </row>
    <row r="215" spans="1:12" ht="15" customHeight="1">
      <c r="A215" s="18" t="str">
        <f>Analysis!A215</f>
        <v>12/1975</v>
      </c>
      <c r="B215" s="19">
        <f>Analysis!E215</f>
        <v>-0.16999999999999638</v>
      </c>
      <c r="C215" s="20">
        <f>Analysis!F215</f>
        <v>0.24040156449160882</v>
      </c>
      <c r="D215" s="19">
        <f>ENSO!D215</f>
        <v>-1.29</v>
      </c>
      <c r="E215" s="34">
        <f t="shared" si="12"/>
        <v>4.6699999999999997E-3</v>
      </c>
      <c r="F215" s="19">
        <f>Solar!D215</f>
        <v>1360.74</v>
      </c>
      <c r="G215" s="32">
        <v>5.1000000000000004E-3</v>
      </c>
      <c r="H215" s="33">
        <v>0.20269999999999999</v>
      </c>
      <c r="I215" s="20">
        <f t="shared" si="10"/>
        <v>-3.4588658385960494E-2</v>
      </c>
      <c r="J215" s="20">
        <f t="shared" si="11"/>
        <v>-0.1354113416140359</v>
      </c>
      <c r="K215" s="20">
        <f>ENSO!I215</f>
        <v>-0.12375371523673274</v>
      </c>
      <c r="L215" s="19">
        <f>Analysis!B215</f>
        <v>1975.9583333333333</v>
      </c>
    </row>
    <row r="216" spans="1:12" ht="15" customHeight="1">
      <c r="A216" s="18" t="str">
        <f>Analysis!A216</f>
        <v>1/1976</v>
      </c>
      <c r="B216" s="19">
        <f>Analysis!E216</f>
        <v>-2.9999999999999361E-2</v>
      </c>
      <c r="C216" s="20">
        <f>Analysis!F216</f>
        <v>0.2438431408139568</v>
      </c>
      <c r="D216" s="19">
        <f>ENSO!D216</f>
        <v>-1.32</v>
      </c>
      <c r="E216" s="34">
        <f t="shared" si="12"/>
        <v>4.6800000000000001E-3</v>
      </c>
      <c r="F216" s="19">
        <f>Solar!D216</f>
        <v>1360.71</v>
      </c>
      <c r="G216" s="32">
        <v>4.8900000000000002E-3</v>
      </c>
      <c r="H216" s="33">
        <v>0.20680000000000001</v>
      </c>
      <c r="I216" s="20">
        <f t="shared" si="10"/>
        <v>-2.8007868045763801E-2</v>
      </c>
      <c r="J216" s="20">
        <f t="shared" si="11"/>
        <v>-1.9921319542355598E-3</v>
      </c>
      <c r="K216" s="20">
        <f>ENSO!I216</f>
        <v>9.4041092915152502E-3</v>
      </c>
      <c r="L216" s="19">
        <f>Analysis!B216</f>
        <v>1976.0416666666667</v>
      </c>
    </row>
    <row r="217" spans="1:12" ht="15" customHeight="1">
      <c r="A217" s="18" t="str">
        <f>Analysis!A217</f>
        <v>2/1976</v>
      </c>
      <c r="B217" s="19">
        <f>Analysis!E217</f>
        <v>-6.0000000000000497E-2</v>
      </c>
      <c r="C217" s="20">
        <f>Analysis!F217</f>
        <v>0.24896848158992504</v>
      </c>
      <c r="D217" s="19">
        <f>ENSO!D217</f>
        <v>-1.47</v>
      </c>
      <c r="E217" s="34">
        <f t="shared" si="12"/>
        <v>5.0499999999999998E-3</v>
      </c>
      <c r="F217" s="19">
        <f>Solar!D217</f>
        <v>1360.71</v>
      </c>
      <c r="G217" s="32">
        <v>5.3499999999999997E-3</v>
      </c>
      <c r="H217" s="33">
        <v>0.1976</v>
      </c>
      <c r="I217" s="20">
        <f t="shared" si="10"/>
        <v>-2.8762263636033479E-2</v>
      </c>
      <c r="J217" s="20">
        <f t="shared" si="11"/>
        <v>-3.1237736363967018E-2</v>
      </c>
      <c r="K217" s="20">
        <f>ENSO!I217</f>
        <v>-2.1618491500594555E-2</v>
      </c>
      <c r="L217" s="19">
        <f>Analysis!B217</f>
        <v>1976.125</v>
      </c>
    </row>
    <row r="218" spans="1:12" ht="15" customHeight="1">
      <c r="A218" s="18" t="str">
        <f>Analysis!A218</f>
        <v>3/1976</v>
      </c>
      <c r="B218" s="19">
        <f>Analysis!E218</f>
        <v>-0.21999999999999886</v>
      </c>
      <c r="C218" s="20">
        <f>Analysis!F218</f>
        <v>0.25165417798285766</v>
      </c>
      <c r="D218" s="19">
        <f>ENSO!D218</f>
        <v>-1.58</v>
      </c>
      <c r="E218" s="34">
        <f t="shared" si="12"/>
        <v>5.5100000000000001E-3</v>
      </c>
      <c r="F218" s="19">
        <f>Solar!D218</f>
        <v>1360.57</v>
      </c>
      <c r="G218" s="32">
        <v>5.3E-3</v>
      </c>
      <c r="H218" s="33">
        <v>0.19850000000000001</v>
      </c>
      <c r="I218" s="20">
        <f t="shared" si="10"/>
        <v>-3.2656839534930177E-2</v>
      </c>
      <c r="J218" s="20">
        <f t="shared" si="11"/>
        <v>-0.18734316046506869</v>
      </c>
      <c r="K218" s="20">
        <f>ENSO!I218</f>
        <v>-0.17942139730640749</v>
      </c>
      <c r="L218" s="19">
        <f>Analysis!B218</f>
        <v>1976.2083333333333</v>
      </c>
    </row>
    <row r="219" spans="1:12" ht="15" customHeight="1">
      <c r="A219" s="18" t="str">
        <f>Analysis!A219</f>
        <v>4/1976</v>
      </c>
      <c r="B219" s="19">
        <f>Analysis!E219</f>
        <v>-7.0000000000000284E-2</v>
      </c>
      <c r="C219" s="20">
        <f>Analysis!F219</f>
        <v>0.25761413004954092</v>
      </c>
      <c r="D219" s="19">
        <f>ENSO!D219</f>
        <v>-1.49</v>
      </c>
      <c r="E219" s="34">
        <f t="shared" si="12"/>
        <v>5.5500000000000002E-3</v>
      </c>
      <c r="F219" s="19">
        <f>Solar!D219</f>
        <v>1360.63</v>
      </c>
      <c r="G219" s="32">
        <v>5.2100000000000002E-3</v>
      </c>
      <c r="H219" s="33">
        <v>0.20039999999999999</v>
      </c>
      <c r="I219" s="20">
        <f t="shared" si="10"/>
        <v>-8.1379747154350091E-3</v>
      </c>
      <c r="J219" s="20">
        <f t="shared" si="11"/>
        <v>-6.1862025284565275E-2</v>
      </c>
      <c r="K219" s="20">
        <f>ENSO!I219</f>
        <v>-5.3625569946339519E-2</v>
      </c>
      <c r="L219" s="19">
        <f>Analysis!B219</f>
        <v>1976.2916666666667</v>
      </c>
    </row>
    <row r="220" spans="1:12" ht="15" customHeight="1">
      <c r="A220" s="18" t="str">
        <f>Analysis!A220</f>
        <v>5/1976</v>
      </c>
      <c r="B220" s="19">
        <f>Analysis!E220</f>
        <v>-0.19999999999999751</v>
      </c>
      <c r="C220" s="20">
        <f>Analysis!F220</f>
        <v>0.25752792952725034</v>
      </c>
      <c r="D220" s="19">
        <f>ENSO!D220</f>
        <v>-1.1100000000000001</v>
      </c>
      <c r="E220" s="34">
        <f t="shared" si="12"/>
        <v>5.5300000000000002E-3</v>
      </c>
      <c r="F220" s="19">
        <f>Solar!D220</f>
        <v>1360.76</v>
      </c>
      <c r="G220" s="32">
        <v>5.11E-3</v>
      </c>
      <c r="H220" s="33">
        <v>0.2024</v>
      </c>
      <c r="I220" s="20">
        <f t="shared" si="10"/>
        <v>2.6933032704424237E-2</v>
      </c>
      <c r="J220" s="20">
        <f t="shared" si="11"/>
        <v>-0.22693303270442175</v>
      </c>
      <c r="K220" s="20">
        <f>ENSO!I220</f>
        <v>-0.21646314724220389</v>
      </c>
      <c r="L220" s="19">
        <f>Analysis!B220</f>
        <v>1976.375</v>
      </c>
    </row>
    <row r="221" spans="1:12" ht="15" customHeight="1">
      <c r="A221" s="18" t="str">
        <f>Analysis!A221</f>
        <v>6/1976</v>
      </c>
      <c r="B221" s="19">
        <f>Analysis!E221</f>
        <v>-0.11999999999999744</v>
      </c>
      <c r="C221" s="20">
        <f>Analysis!F221</f>
        <v>0.25429168632221816</v>
      </c>
      <c r="D221" s="19">
        <f>ENSO!D221</f>
        <v>-0.65</v>
      </c>
      <c r="E221" s="34">
        <f t="shared" si="12"/>
        <v>5.3299999999999997E-3</v>
      </c>
      <c r="F221" s="19">
        <f>Solar!D221</f>
        <v>1360.71</v>
      </c>
      <c r="G221" s="32">
        <v>5.0400000000000002E-3</v>
      </c>
      <c r="H221" s="33">
        <v>0.20369999999999999</v>
      </c>
      <c r="I221" s="20">
        <f t="shared" si="10"/>
        <v>6.1232196838053657E-2</v>
      </c>
      <c r="J221" s="20">
        <f t="shared" si="11"/>
        <v>-0.18123219683805109</v>
      </c>
      <c r="K221" s="20">
        <f>ENSO!I221</f>
        <v>-0.16761122103765655</v>
      </c>
      <c r="L221" s="19">
        <f>Analysis!B221</f>
        <v>1976.4583333333333</v>
      </c>
    </row>
    <row r="222" spans="1:12" ht="15" customHeight="1">
      <c r="A222" s="18" t="str">
        <f>Analysis!A222</f>
        <v>7/1976</v>
      </c>
      <c r="B222" s="19">
        <f>Analysis!E222</f>
        <v>-0.10000000000000142</v>
      </c>
      <c r="C222" s="20">
        <f>Analysis!F222</f>
        <v>0.2504419019033377</v>
      </c>
      <c r="D222" s="19">
        <f>ENSO!D222</f>
        <v>-0.45</v>
      </c>
      <c r="E222" s="34">
        <f t="shared" si="12"/>
        <v>5.1000000000000004E-3</v>
      </c>
      <c r="F222" s="19">
        <f>Solar!D222</f>
        <v>1360.68</v>
      </c>
      <c r="G222" s="32">
        <v>5.0099999999999997E-3</v>
      </c>
      <c r="H222" s="33">
        <v>0.20449999999999999</v>
      </c>
      <c r="I222" s="20">
        <f t="shared" si="10"/>
        <v>6.9797279310371885E-2</v>
      </c>
      <c r="J222" s="20">
        <f t="shared" si="11"/>
        <v>-0.16979727931037331</v>
      </c>
      <c r="K222" s="20">
        <f>ENSO!I222</f>
        <v>-0.15444420202199424</v>
      </c>
      <c r="L222" s="19">
        <f>Analysis!B222</f>
        <v>1976.5416666666667</v>
      </c>
    </row>
    <row r="223" spans="1:12" ht="15" customHeight="1">
      <c r="A223" s="18" t="str">
        <f>Analysis!A223</f>
        <v>8/1976</v>
      </c>
      <c r="B223" s="19">
        <f>Analysis!E223</f>
        <v>-0.11999999999999744</v>
      </c>
      <c r="C223" s="20">
        <f>Analysis!F223</f>
        <v>0.24000896473507025</v>
      </c>
      <c r="D223" s="19">
        <f>ENSO!D223</f>
        <v>-0.23</v>
      </c>
      <c r="E223" s="34">
        <f t="shared" si="12"/>
        <v>4.8900000000000002E-3</v>
      </c>
      <c r="F223" s="19">
        <f>Solar!D223</f>
        <v>1360.67</v>
      </c>
      <c r="G223" s="32">
        <v>5.0000000000000001E-3</v>
      </c>
      <c r="H223" s="33">
        <v>0.2046</v>
      </c>
      <c r="I223" s="20">
        <f t="shared" si="10"/>
        <v>6.2219193868546435E-2</v>
      </c>
      <c r="J223" s="20">
        <f t="shared" si="11"/>
        <v>-0.18221919386854388</v>
      </c>
      <c r="K223" s="20">
        <f>ENSO!I223</f>
        <v>-0.16493535982261143</v>
      </c>
      <c r="L223" s="19">
        <f>Analysis!B223</f>
        <v>1976.625</v>
      </c>
    </row>
    <row r="224" spans="1:12" ht="15" customHeight="1">
      <c r="A224" s="18" t="str">
        <f>Analysis!A224</f>
        <v>9/1976</v>
      </c>
      <c r="B224" s="19">
        <f>Analysis!E224</f>
        <v>-6.0000000000000497E-2</v>
      </c>
      <c r="C224" s="20">
        <f>Analysis!F224</f>
        <v>0.23248534247418692</v>
      </c>
      <c r="D224" s="19">
        <f>ENSO!D224</f>
        <v>0</v>
      </c>
      <c r="E224" s="34">
        <f t="shared" si="12"/>
        <v>5.3499999999999997E-3</v>
      </c>
      <c r="F224" s="19">
        <f>Solar!D224</f>
        <v>1360.72</v>
      </c>
      <c r="G224" s="32">
        <v>4.9699999999999996E-3</v>
      </c>
      <c r="H224" s="33">
        <v>0.2051</v>
      </c>
      <c r="I224" s="20">
        <f t="shared" si="10"/>
        <v>6.2029763344897945E-2</v>
      </c>
      <c r="J224" s="20">
        <f t="shared" si="11"/>
        <v>-0.12202976334489844</v>
      </c>
      <c r="K224" s="20">
        <f>ENSO!I224</f>
        <v>-0.10428819028881897</v>
      </c>
      <c r="L224" s="19">
        <f>Analysis!B224</f>
        <v>1976.7083333333333</v>
      </c>
    </row>
    <row r="225" spans="1:12" ht="15" customHeight="1">
      <c r="A225" s="18" t="str">
        <f>Analysis!A225</f>
        <v>10/1976</v>
      </c>
      <c r="B225" s="19">
        <f>Analysis!E225</f>
        <v>-0.24000000000000021</v>
      </c>
      <c r="C225" s="20">
        <f>Analysis!F225</f>
        <v>0.23143240844796537</v>
      </c>
      <c r="D225" s="19">
        <f>ENSO!D225</f>
        <v>0.23</v>
      </c>
      <c r="E225" s="34">
        <f t="shared" si="12"/>
        <v>5.3E-3</v>
      </c>
      <c r="F225" s="19">
        <f>Solar!D225</f>
        <v>1360.79</v>
      </c>
      <c r="G225" s="32">
        <v>4.9699999999999996E-3</v>
      </c>
      <c r="H225" s="33">
        <v>0.20519999999999999</v>
      </c>
      <c r="I225" s="20">
        <f t="shared" si="10"/>
        <v>8.061083502172775E-2</v>
      </c>
      <c r="J225" s="20">
        <f t="shared" si="11"/>
        <v>-0.32061083502172794</v>
      </c>
      <c r="K225" s="20">
        <f>ENSO!I225</f>
        <v>-0.30141468224124301</v>
      </c>
      <c r="L225" s="19">
        <f>Analysis!B225</f>
        <v>1976.7916666666667</v>
      </c>
    </row>
    <row r="226" spans="1:12" ht="15" customHeight="1">
      <c r="A226" s="18" t="str">
        <f>Analysis!A226</f>
        <v>11/1976</v>
      </c>
      <c r="B226" s="19">
        <f>Analysis!E226</f>
        <v>-6.0000000000000497E-2</v>
      </c>
      <c r="C226" s="20">
        <f>Analysis!F226</f>
        <v>0.23773851628734363</v>
      </c>
      <c r="D226" s="19">
        <f>ENSO!D226</f>
        <v>0.4</v>
      </c>
      <c r="E226" s="34">
        <f t="shared" si="12"/>
        <v>5.2100000000000002E-3</v>
      </c>
      <c r="F226" s="19">
        <f>Solar!D226</f>
        <v>1360.71</v>
      </c>
      <c r="G226" s="32">
        <v>4.8199999999999996E-3</v>
      </c>
      <c r="H226" s="33">
        <v>0.20830000000000001</v>
      </c>
      <c r="I226" s="20">
        <f t="shared" si="10"/>
        <v>0.11378346109111986</v>
      </c>
      <c r="J226" s="20">
        <f t="shared" si="11"/>
        <v>-0.17378346109112036</v>
      </c>
      <c r="K226" s="20">
        <f>ENSO!I226</f>
        <v>-0.15353269581369089</v>
      </c>
      <c r="L226" s="19">
        <f>Analysis!B226</f>
        <v>1976.875</v>
      </c>
    </row>
    <row r="227" spans="1:12" ht="15" customHeight="1">
      <c r="A227" s="18" t="str">
        <f>Analysis!A227</f>
        <v>12/1976</v>
      </c>
      <c r="B227" s="19">
        <f>Analysis!E227</f>
        <v>0.10999999999999766</v>
      </c>
      <c r="C227" s="20">
        <f>Analysis!F227</f>
        <v>0.24410419121562613</v>
      </c>
      <c r="D227" s="19">
        <f>ENSO!D227</f>
        <v>0.6</v>
      </c>
      <c r="E227" s="34">
        <f t="shared" si="12"/>
        <v>5.11E-3</v>
      </c>
      <c r="F227" s="19">
        <f>Solar!D227</f>
        <v>1360.67</v>
      </c>
      <c r="G227" s="32">
        <v>4.64E-3</v>
      </c>
      <c r="H227" s="33">
        <v>0.21190000000000001</v>
      </c>
      <c r="I227" s="20">
        <f t="shared" si="10"/>
        <v>0.14992440596949122</v>
      </c>
      <c r="J227" s="20">
        <f t="shared" si="11"/>
        <v>-3.9924405969493565E-2</v>
      </c>
      <c r="K227" s="20">
        <f>ENSO!I227</f>
        <v>-1.8425461132885096E-2</v>
      </c>
      <c r="L227" s="19">
        <f>Analysis!B227</f>
        <v>1976.9583333333333</v>
      </c>
    </row>
    <row r="228" spans="1:12" ht="15" customHeight="1">
      <c r="A228" s="18" t="str">
        <f>Analysis!A228</f>
        <v>1/1977</v>
      </c>
      <c r="B228" s="19">
        <f>Analysis!E228</f>
        <v>0.19000000000000128</v>
      </c>
      <c r="C228" s="20">
        <f>Analysis!F228</f>
        <v>0.248708309960915</v>
      </c>
      <c r="D228" s="19">
        <f>ENSO!D228</f>
        <v>0.79</v>
      </c>
      <c r="E228" s="34">
        <f t="shared" si="12"/>
        <v>5.0400000000000002E-3</v>
      </c>
      <c r="F228" s="19">
        <f>Solar!D228</f>
        <v>1360.76</v>
      </c>
      <c r="G228" s="32">
        <v>4.4799999999999996E-3</v>
      </c>
      <c r="H228" s="33">
        <v>0.21490000000000001</v>
      </c>
      <c r="I228" s="20">
        <f t="shared" si="10"/>
        <v>0.18026687620234449</v>
      </c>
      <c r="J228" s="20">
        <f t="shared" si="11"/>
        <v>9.7331237976567841E-3</v>
      </c>
      <c r="K228" s="20">
        <f>ENSO!I228</f>
        <v>3.2390786976135733E-2</v>
      </c>
      <c r="L228" s="19">
        <f>Analysis!B228</f>
        <v>1977.0416666666667</v>
      </c>
    </row>
    <row r="229" spans="1:12" ht="15" customHeight="1">
      <c r="A229" s="18" t="str">
        <f>Analysis!A229</f>
        <v>2/1977</v>
      </c>
      <c r="B229" s="19">
        <f>Analysis!E229</f>
        <v>0.2300000000000022</v>
      </c>
      <c r="C229" s="20">
        <f>Analysis!F229</f>
        <v>0.25083167317379135</v>
      </c>
      <c r="D229" s="19">
        <f>ENSO!D229</f>
        <v>0.81</v>
      </c>
      <c r="E229" s="34">
        <f t="shared" si="12"/>
        <v>5.0099999999999997E-3</v>
      </c>
      <c r="F229" s="19">
        <f>Solar!D229</f>
        <v>1360.86</v>
      </c>
      <c r="G229" s="32">
        <v>4.3E-3</v>
      </c>
      <c r="H229" s="33">
        <v>0.2185</v>
      </c>
      <c r="I229" s="20">
        <f t="shared" si="10"/>
        <v>0.18798010286023442</v>
      </c>
      <c r="J229" s="20">
        <f t="shared" si="11"/>
        <v>4.2019897139767781E-2</v>
      </c>
      <c r="K229" s="20">
        <f>ENSO!I229</f>
        <v>6.4817585694800617E-2</v>
      </c>
      <c r="L229" s="19">
        <f>Analysis!B229</f>
        <v>1977.125</v>
      </c>
    </row>
    <row r="230" spans="1:12" ht="15" customHeight="1">
      <c r="A230" s="18" t="str">
        <f>Analysis!A230</f>
        <v>3/1977</v>
      </c>
      <c r="B230" s="19">
        <f>Analysis!E230</f>
        <v>0.24000000000000199</v>
      </c>
      <c r="C230" s="20">
        <f>Analysis!F230</f>
        <v>0.25856199602061081</v>
      </c>
      <c r="D230" s="19">
        <f>ENSO!D230</f>
        <v>0.84</v>
      </c>
      <c r="E230" s="34">
        <f t="shared" si="12"/>
        <v>5.0000000000000001E-3</v>
      </c>
      <c r="F230" s="19">
        <f>Solar!D230</f>
        <v>1360.75</v>
      </c>
      <c r="G230" s="32">
        <v>4.1999999999999997E-3</v>
      </c>
      <c r="H230" s="33">
        <v>0.22070000000000001</v>
      </c>
      <c r="I230" s="20">
        <f t="shared" si="10"/>
        <v>0.21186983944193016</v>
      </c>
      <c r="J230" s="20">
        <f t="shared" si="11"/>
        <v>2.8130160558071826E-2</v>
      </c>
      <c r="K230" s="20">
        <f>ENSO!I230</f>
        <v>5.0972831617494496E-2</v>
      </c>
      <c r="L230" s="19">
        <f>Analysis!B230</f>
        <v>1977.2083333333333</v>
      </c>
    </row>
    <row r="231" spans="1:12" ht="15" customHeight="1">
      <c r="A231" s="18" t="str">
        <f>Analysis!A231</f>
        <v>4/1977</v>
      </c>
      <c r="B231" s="19">
        <f>Analysis!E231</f>
        <v>0.25999999999999979</v>
      </c>
      <c r="C231" s="20">
        <f>Analysis!F231</f>
        <v>0.26363540356832926</v>
      </c>
      <c r="D231" s="19">
        <f>ENSO!D231</f>
        <v>0.71</v>
      </c>
      <c r="E231" s="34">
        <f t="shared" si="12"/>
        <v>4.9699999999999996E-3</v>
      </c>
      <c r="F231" s="19">
        <f>Solar!D231</f>
        <v>1360.82</v>
      </c>
      <c r="G231" s="32">
        <v>4.1900000000000001E-3</v>
      </c>
      <c r="H231" s="33">
        <v>0.22070000000000001</v>
      </c>
      <c r="I231" s="20">
        <f t="shared" si="10"/>
        <v>0.21370984103262508</v>
      </c>
      <c r="J231" s="20">
        <f t="shared" si="11"/>
        <v>4.6290158967374706E-2</v>
      </c>
      <c r="K231" s="20">
        <f>ENSO!I231</f>
        <v>6.8352125418648269E-2</v>
      </c>
      <c r="L231" s="19">
        <f>Analysis!B231</f>
        <v>1977.2916666666667</v>
      </c>
    </row>
    <row r="232" spans="1:12" ht="15" customHeight="1">
      <c r="A232" s="18" t="str">
        <f>Analysis!A232</f>
        <v>5/1977</v>
      </c>
      <c r="B232" s="19">
        <f>Analysis!E232</f>
        <v>0.32999999999999652</v>
      </c>
      <c r="C232" s="20">
        <f>Analysis!F232</f>
        <v>0.26702206351656388</v>
      </c>
      <c r="D232" s="19">
        <f>ENSO!D232</f>
        <v>0.66</v>
      </c>
      <c r="E232" s="34">
        <f t="shared" si="12"/>
        <v>4.9699999999999996E-3</v>
      </c>
      <c r="F232" s="19">
        <f>Solar!D232</f>
        <v>1360.91</v>
      </c>
      <c r="G232" s="32">
        <v>4.2100000000000002E-3</v>
      </c>
      <c r="H232" s="33">
        <v>0.2205</v>
      </c>
      <c r="I232" s="20">
        <f t="shared" si="10"/>
        <v>0.21830695424428742</v>
      </c>
      <c r="J232" s="20">
        <f t="shared" si="11"/>
        <v>0.1116930457557091</v>
      </c>
      <c r="K232" s="20">
        <f>ENSO!I232</f>
        <v>0.13340154942929505</v>
      </c>
      <c r="L232" s="19">
        <f>Analysis!B232</f>
        <v>1977.375</v>
      </c>
    </row>
    <row r="233" spans="1:12" ht="15" customHeight="1">
      <c r="A233" s="18" t="str">
        <f>Analysis!A233</f>
        <v>6/1977</v>
      </c>
      <c r="B233" s="19">
        <f>Analysis!E233</f>
        <v>0.27000000000000135</v>
      </c>
      <c r="C233" s="20">
        <f>Analysis!F233</f>
        <v>0.26376415623080784</v>
      </c>
      <c r="D233" s="19">
        <f>ENSO!D233</f>
        <v>0.33</v>
      </c>
      <c r="E233" s="34">
        <f t="shared" si="12"/>
        <v>4.8199999999999996E-3</v>
      </c>
      <c r="F233" s="19">
        <f>Solar!D233</f>
        <v>1360.71</v>
      </c>
      <c r="G233" s="32">
        <v>4.2599999999999999E-3</v>
      </c>
      <c r="H233" s="33">
        <v>0.2195</v>
      </c>
      <c r="I233" s="20">
        <f t="shared" si="10"/>
        <v>0.17912895130394063</v>
      </c>
      <c r="J233" s="20">
        <f t="shared" si="11"/>
        <v>9.0871048696060719E-2</v>
      </c>
      <c r="K233" s="20">
        <f>ENSO!I233</f>
        <v>0.11107282065996771</v>
      </c>
      <c r="L233" s="19">
        <f>Analysis!B233</f>
        <v>1977.4583333333333</v>
      </c>
    </row>
    <row r="234" spans="1:12" ht="15" customHeight="1">
      <c r="A234" s="18" t="str">
        <f>Analysis!A234</f>
        <v>7/1977</v>
      </c>
      <c r="B234" s="19">
        <f>Analysis!E234</f>
        <v>0.20000000000000107</v>
      </c>
      <c r="C234" s="20">
        <f>Analysis!F234</f>
        <v>0.25826046984839379</v>
      </c>
      <c r="D234" s="19">
        <f>ENSO!D234</f>
        <v>0.26</v>
      </c>
      <c r="E234" s="34">
        <f t="shared" si="12"/>
        <v>4.64E-3</v>
      </c>
      <c r="F234" s="19">
        <f>Solar!D234</f>
        <v>1360.9</v>
      </c>
      <c r="G234" s="32">
        <v>4.3200000000000001E-3</v>
      </c>
      <c r="H234" s="33">
        <v>0.21820000000000001</v>
      </c>
      <c r="I234" s="20">
        <f t="shared" si="10"/>
        <v>0.15801846694613567</v>
      </c>
      <c r="J234" s="20">
        <f t="shared" si="11"/>
        <v>4.19815330538654E-2</v>
      </c>
      <c r="K234" s="20">
        <f>ENSO!I234</f>
        <v>6.2282969080324047E-2</v>
      </c>
      <c r="L234" s="19">
        <f>Analysis!B234</f>
        <v>1977.5416666666667</v>
      </c>
    </row>
    <row r="235" spans="1:12" ht="15" customHeight="1">
      <c r="A235" s="18" t="str">
        <f>Analysis!A235</f>
        <v>8/1977</v>
      </c>
      <c r="B235" s="19">
        <f>Analysis!E235</f>
        <v>0.17999999999999972</v>
      </c>
      <c r="C235" s="20">
        <f>Analysis!F235</f>
        <v>0.2481878259046813</v>
      </c>
      <c r="D235" s="19">
        <f>ENSO!D235</f>
        <v>0.26</v>
      </c>
      <c r="E235" s="34">
        <f t="shared" si="12"/>
        <v>4.4799999999999996E-3</v>
      </c>
      <c r="F235" s="19">
        <f>Solar!D235</f>
        <v>1360.93</v>
      </c>
      <c r="G235" s="32">
        <v>4.4099999999999999E-3</v>
      </c>
      <c r="H235" s="33">
        <v>0.21640000000000001</v>
      </c>
      <c r="I235" s="20">
        <f t="shared" si="10"/>
        <v>0.13089813353505458</v>
      </c>
      <c r="J235" s="20">
        <f t="shared" si="11"/>
        <v>4.9101866464945132E-2</v>
      </c>
      <c r="K235" s="20">
        <f>ENSO!I235</f>
        <v>6.9950468615807213E-2</v>
      </c>
      <c r="L235" s="19">
        <f>Analysis!B235</f>
        <v>1977.625</v>
      </c>
    </row>
    <row r="236" spans="1:12" ht="15" customHeight="1">
      <c r="A236" s="18" t="str">
        <f>Analysis!A236</f>
        <v>9/1977</v>
      </c>
      <c r="B236" s="19">
        <f>Analysis!E236</f>
        <v>2.0000000000003126E-2</v>
      </c>
      <c r="C236" s="20">
        <f>Analysis!F236</f>
        <v>0.24266782910668239</v>
      </c>
      <c r="D236" s="19">
        <f>ENSO!D236</f>
        <v>0.46</v>
      </c>
      <c r="E236" s="34">
        <f t="shared" si="12"/>
        <v>4.3E-3</v>
      </c>
      <c r="F236" s="19">
        <f>Solar!D236</f>
        <v>1360.66</v>
      </c>
      <c r="G236" s="32">
        <v>4.47E-3</v>
      </c>
      <c r="H236" s="33">
        <v>0.21529999999999999</v>
      </c>
      <c r="I236" s="20">
        <f t="shared" si="10"/>
        <v>0.13479781792701287</v>
      </c>
      <c r="J236" s="20">
        <f t="shared" si="11"/>
        <v>-0.11479781792700974</v>
      </c>
      <c r="K236" s="20">
        <f>ENSO!I236</f>
        <v>-9.2294779447390285E-2</v>
      </c>
      <c r="L236" s="19">
        <f>Analysis!B236</f>
        <v>1977.7083333333333</v>
      </c>
    </row>
    <row r="237" spans="1:12" ht="15" customHeight="1">
      <c r="A237" s="18" t="str">
        <f>Analysis!A237</f>
        <v>10/1977</v>
      </c>
      <c r="B237" s="19">
        <f>Analysis!E237</f>
        <v>2.9999999999997584E-2</v>
      </c>
      <c r="C237" s="20">
        <f>Analysis!F237</f>
        <v>0.24262428065018715</v>
      </c>
      <c r="D237" s="19">
        <f>ENSO!D237</f>
        <v>0.39</v>
      </c>
      <c r="E237" s="34">
        <f t="shared" si="12"/>
        <v>4.1999999999999997E-3</v>
      </c>
      <c r="F237" s="19">
        <f>Solar!D237</f>
        <v>1360.9</v>
      </c>
      <c r="G237" s="32">
        <v>4.5300000000000002E-3</v>
      </c>
      <c r="H237" s="33">
        <v>0.21390000000000001</v>
      </c>
      <c r="I237" s="20">
        <f t="shared" si="10"/>
        <v>0.12840342687618345</v>
      </c>
      <c r="J237" s="20">
        <f t="shared" si="11"/>
        <v>-9.8403426876185862E-2</v>
      </c>
      <c r="K237" s="20">
        <f>ENSO!I237</f>
        <v>-7.608251682278791E-2</v>
      </c>
      <c r="L237" s="19">
        <f>Analysis!B237</f>
        <v>1977.7916666666667</v>
      </c>
    </row>
    <row r="238" spans="1:12" ht="15" customHeight="1">
      <c r="A238" s="18" t="str">
        <f>Analysis!A238</f>
        <v>11/1977</v>
      </c>
      <c r="B238" s="19">
        <f>Analysis!E238</f>
        <v>0.16000000000000014</v>
      </c>
      <c r="C238" s="20">
        <f>Analysis!F238</f>
        <v>0.24775394570505929</v>
      </c>
      <c r="D238" s="19">
        <f>ENSO!D238</f>
        <v>0.35</v>
      </c>
      <c r="E238" s="34">
        <f t="shared" si="12"/>
        <v>4.1900000000000001E-3</v>
      </c>
      <c r="F238" s="19">
        <f>Solar!D238</f>
        <v>1361.29</v>
      </c>
      <c r="G238" s="32">
        <v>4.4400000000000004E-3</v>
      </c>
      <c r="H238" s="33">
        <v>0.21579999999999999</v>
      </c>
      <c r="I238" s="20">
        <f t="shared" si="10"/>
        <v>0.13870441100257691</v>
      </c>
      <c r="J238" s="20">
        <f t="shared" si="11"/>
        <v>2.1295588997423232E-2</v>
      </c>
      <c r="K238" s="20">
        <f>ENSO!I238</f>
        <v>4.3308849784640516E-2</v>
      </c>
      <c r="L238" s="19">
        <f>Analysis!B238</f>
        <v>1977.875</v>
      </c>
    </row>
    <row r="239" spans="1:12" ht="15" customHeight="1">
      <c r="A239" s="18" t="str">
        <f>Analysis!A239</f>
        <v>12/1977</v>
      </c>
      <c r="B239" s="19">
        <f>Analysis!E239</f>
        <v>2.9999999999997584E-2</v>
      </c>
      <c r="C239" s="20">
        <f>Analysis!F239</f>
        <v>0.25269246161233488</v>
      </c>
      <c r="D239" s="19">
        <f>ENSO!D239</f>
        <v>0.45</v>
      </c>
      <c r="E239" s="34">
        <f t="shared" si="12"/>
        <v>4.2100000000000002E-3</v>
      </c>
      <c r="F239" s="19">
        <f>Solar!D239</f>
        <v>1361.18</v>
      </c>
      <c r="G239" s="32">
        <v>4.3200000000000001E-3</v>
      </c>
      <c r="H239" s="33">
        <v>0.21829999999999999</v>
      </c>
      <c r="I239" s="20">
        <f t="shared" si="10"/>
        <v>0.16140934160677722</v>
      </c>
      <c r="J239" s="20">
        <f t="shared" si="11"/>
        <v>-0.13140934160677964</v>
      </c>
      <c r="K239" s="20">
        <f>ENSO!I239</f>
        <v>-0.1089600236510965</v>
      </c>
      <c r="L239" s="19">
        <f>Analysis!B239</f>
        <v>1977.9583333333333</v>
      </c>
    </row>
    <row r="240" spans="1:12" ht="15" customHeight="1">
      <c r="A240" s="18" t="str">
        <f>Analysis!A240</f>
        <v>1/1978</v>
      </c>
      <c r="B240" s="19">
        <f>Analysis!E240</f>
        <v>5.9999999999998721E-2</v>
      </c>
      <c r="C240" s="20">
        <f>Analysis!F240</f>
        <v>0.25847585211606888</v>
      </c>
      <c r="D240" s="19">
        <f>ENSO!D240</f>
        <v>0.68</v>
      </c>
      <c r="E240" s="34">
        <f t="shared" si="12"/>
        <v>4.2599999999999999E-3</v>
      </c>
      <c r="F240" s="19">
        <f>Solar!D240</f>
        <v>1361.27</v>
      </c>
      <c r="G240" s="32">
        <v>4.2100000000000002E-3</v>
      </c>
      <c r="H240" s="33">
        <v>0.22040000000000001</v>
      </c>
      <c r="I240" s="20">
        <f t="shared" si="10"/>
        <v>0.19841594650500466</v>
      </c>
      <c r="J240" s="20">
        <f t="shared" si="11"/>
        <v>-0.13841594650500594</v>
      </c>
      <c r="K240" s="20">
        <f>ENSO!I240</f>
        <v>-0.11486450545543286</v>
      </c>
      <c r="L240" s="19">
        <f>Analysis!B240</f>
        <v>1978.0416666666667</v>
      </c>
    </row>
    <row r="241" spans="1:12" ht="15" customHeight="1">
      <c r="A241" s="18" t="str">
        <f>Analysis!A241</f>
        <v>2/1978</v>
      </c>
      <c r="B241" s="19">
        <f>Analysis!E241</f>
        <v>9.9999999999997868E-2</v>
      </c>
      <c r="C241" s="20">
        <f>Analysis!F241</f>
        <v>0.25985353772683362</v>
      </c>
      <c r="D241" s="19">
        <f>ENSO!D241</f>
        <v>0.84</v>
      </c>
      <c r="E241" s="34">
        <f t="shared" si="12"/>
        <v>4.3200000000000001E-3</v>
      </c>
      <c r="F241" s="19">
        <f>Solar!D241</f>
        <v>1360.8</v>
      </c>
      <c r="G241" s="32">
        <v>4.0699999999999998E-3</v>
      </c>
      <c r="H241" s="33">
        <v>0.22309999999999999</v>
      </c>
      <c r="I241" s="20">
        <f t="shared" si="10"/>
        <v>0.21688866324760375</v>
      </c>
      <c r="J241" s="20">
        <f t="shared" si="11"/>
        <v>-0.11688866324760588</v>
      </c>
      <c r="K241" s="20">
        <f>ENSO!I241</f>
        <v>-9.2574770159824904E-2</v>
      </c>
      <c r="L241" s="19">
        <f>Analysis!B241</f>
        <v>1978.125</v>
      </c>
    </row>
    <row r="242" spans="1:12" ht="15" customHeight="1">
      <c r="A242" s="18" t="str">
        <f>Analysis!A242</f>
        <v>3/1978</v>
      </c>
      <c r="B242" s="19">
        <f>Analysis!E242</f>
        <v>0.19000000000000128</v>
      </c>
      <c r="C242" s="20">
        <f>Analysis!F242</f>
        <v>0.26586549147154565</v>
      </c>
      <c r="D242" s="19">
        <f>ENSO!D242</f>
        <v>0.82</v>
      </c>
      <c r="E242" s="34">
        <f t="shared" si="12"/>
        <v>4.4099999999999999E-3</v>
      </c>
      <c r="F242" s="19">
        <f>Solar!D242</f>
        <v>1361.11</v>
      </c>
      <c r="G242" s="32">
        <v>4.0000000000000001E-3</v>
      </c>
      <c r="H242" s="33">
        <v>0.22459999999999999</v>
      </c>
      <c r="I242" s="20">
        <f t="shared" si="10"/>
        <v>0.23123188946612871</v>
      </c>
      <c r="J242" s="20">
        <f t="shared" si="11"/>
        <v>-4.1231889466127436E-2</v>
      </c>
      <c r="K242" s="20">
        <f>ENSO!I242</f>
        <v>-1.7347626120546078E-2</v>
      </c>
      <c r="L242" s="19">
        <f>Analysis!B242</f>
        <v>1978.2083333333333</v>
      </c>
    </row>
    <row r="243" spans="1:12" ht="15" customHeight="1">
      <c r="A243" s="18" t="str">
        <f>Analysis!A243</f>
        <v>4/1978</v>
      </c>
      <c r="B243" s="19">
        <f>Analysis!E243</f>
        <v>0.16999999999999993</v>
      </c>
      <c r="C243" s="20">
        <f>Analysis!F243</f>
        <v>0.27027263033914217</v>
      </c>
      <c r="D243" s="19">
        <f>ENSO!D243</f>
        <v>0.71</v>
      </c>
      <c r="E243" s="34">
        <f t="shared" si="12"/>
        <v>4.47E-3</v>
      </c>
      <c r="F243" s="19">
        <f>Solar!D243</f>
        <v>1361.07</v>
      </c>
      <c r="G243" s="32">
        <v>4.0299999999999997E-3</v>
      </c>
      <c r="H243" s="33">
        <v>0.22409999999999999</v>
      </c>
      <c r="I243" s="20">
        <f t="shared" si="10"/>
        <v>0.23291256122409021</v>
      </c>
      <c r="J243" s="20">
        <f t="shared" si="11"/>
        <v>-6.291256122409028E-2</v>
      </c>
      <c r="K243" s="20">
        <f>ENSO!I243</f>
        <v>-3.9878983476350272E-2</v>
      </c>
      <c r="L243" s="19">
        <f>Analysis!B243</f>
        <v>1978.2916666666667</v>
      </c>
    </row>
    <row r="244" spans="1:12" ht="15" customHeight="1">
      <c r="A244" s="18" t="str">
        <f>Analysis!A244</f>
        <v>5/1978</v>
      </c>
      <c r="B244" s="19">
        <f>Analysis!E244</f>
        <v>8.9999999999999858E-2</v>
      </c>
      <c r="C244" s="20">
        <f>Analysis!F244</f>
        <v>0.27168178338214594</v>
      </c>
      <c r="D244" s="19">
        <f>ENSO!D244</f>
        <v>0.52</v>
      </c>
      <c r="E244" s="34">
        <f t="shared" si="12"/>
        <v>4.5300000000000002E-3</v>
      </c>
      <c r="F244" s="19">
        <f>Solar!D244</f>
        <v>1361.24</v>
      </c>
      <c r="G244" s="32">
        <v>4.0699999999999998E-3</v>
      </c>
      <c r="H244" s="33">
        <v>0.2233</v>
      </c>
      <c r="I244" s="20">
        <f t="shared" si="10"/>
        <v>0.21899284761216165</v>
      </c>
      <c r="J244" s="20">
        <f t="shared" si="11"/>
        <v>-0.12899284761216179</v>
      </c>
      <c r="K244" s="20">
        <f>ENSO!I244</f>
        <v>-0.10721246334090676</v>
      </c>
      <c r="L244" s="19">
        <f>Analysis!B244</f>
        <v>1978.375</v>
      </c>
    </row>
    <row r="245" spans="1:12" ht="15" customHeight="1">
      <c r="A245" s="18" t="str">
        <f>Analysis!A245</f>
        <v>6/1978</v>
      </c>
      <c r="B245" s="19">
        <f>Analysis!E245</f>
        <v>-9.9999999999980105E-3</v>
      </c>
      <c r="C245" s="20">
        <f>Analysis!F245</f>
        <v>0.27163910199105418</v>
      </c>
      <c r="D245" s="19">
        <f>ENSO!D245</f>
        <v>0.17</v>
      </c>
      <c r="E245" s="34">
        <f t="shared" si="12"/>
        <v>4.4400000000000004E-3</v>
      </c>
      <c r="F245" s="19">
        <f>Solar!D245</f>
        <v>1361.42</v>
      </c>
      <c r="G245" s="32">
        <v>4.1399999999999996E-3</v>
      </c>
      <c r="H245" s="33">
        <v>0.22189999999999999</v>
      </c>
      <c r="I245" s="20">
        <f t="shared" si="10"/>
        <v>0.18659621354056385</v>
      </c>
      <c r="J245" s="20">
        <f t="shared" si="11"/>
        <v>-0.19659621354056186</v>
      </c>
      <c r="K245" s="20">
        <f>ENSO!I245</f>
        <v>-0.17663200679912902</v>
      </c>
      <c r="L245" s="19">
        <f>Analysis!B245</f>
        <v>1978.4583333333333</v>
      </c>
    </row>
    <row r="246" spans="1:12" ht="15" customHeight="1">
      <c r="A246" s="18" t="str">
        <f>Analysis!A246</f>
        <v>7/1978</v>
      </c>
      <c r="B246" s="19">
        <f>Analysis!E246</f>
        <v>3.9999999999999147E-2</v>
      </c>
      <c r="C246" s="20">
        <f>Analysis!F246</f>
        <v>0.26517967766535055</v>
      </c>
      <c r="D246" s="19">
        <f>ENSO!D246</f>
        <v>-0.06</v>
      </c>
      <c r="E246" s="34">
        <f t="shared" si="12"/>
        <v>4.3200000000000001E-3</v>
      </c>
      <c r="F246" s="19">
        <f>Solar!D246</f>
        <v>1361.45</v>
      </c>
      <c r="G246" s="32">
        <v>4.2199999999999998E-3</v>
      </c>
      <c r="H246" s="33">
        <v>0.22020000000000001</v>
      </c>
      <c r="I246" s="20">
        <f t="shared" si="10"/>
        <v>0.14789980115820758</v>
      </c>
      <c r="J246" s="20">
        <f t="shared" si="11"/>
        <v>-0.10789980115820844</v>
      </c>
      <c r="K246" s="20">
        <f>ENSO!I246</f>
        <v>-8.8870597899998044E-2</v>
      </c>
      <c r="L246" s="19">
        <f>Analysis!B246</f>
        <v>1978.5416666666667</v>
      </c>
    </row>
    <row r="247" spans="1:12" ht="15" customHeight="1">
      <c r="A247" s="18" t="str">
        <f>Analysis!A247</f>
        <v>8/1978</v>
      </c>
      <c r="B247" s="19">
        <f>Analysis!E247</f>
        <v>-0.13999999999999879</v>
      </c>
      <c r="C247" s="20">
        <f>Analysis!F247</f>
        <v>0.25623430325691615</v>
      </c>
      <c r="D247" s="19">
        <f>ENSO!D247</f>
        <v>-0.28000000000000003</v>
      </c>
      <c r="E247" s="34">
        <f t="shared" si="12"/>
        <v>4.2100000000000002E-3</v>
      </c>
      <c r="F247" s="19">
        <f>Solar!D247</f>
        <v>1361.54</v>
      </c>
      <c r="G247" s="32">
        <v>4.3299999999999996E-3</v>
      </c>
      <c r="H247" s="33">
        <v>0.218</v>
      </c>
      <c r="I247" s="20">
        <f t="shared" si="10"/>
        <v>0.10332909081702615</v>
      </c>
      <c r="J247" s="20">
        <f t="shared" si="11"/>
        <v>-0.24332909081702495</v>
      </c>
      <c r="K247" s="20">
        <f>ENSO!I247</f>
        <v>-0.22515116860055501</v>
      </c>
      <c r="L247" s="19">
        <f>Analysis!B247</f>
        <v>1978.625</v>
      </c>
    </row>
    <row r="248" spans="1:12" ht="15" customHeight="1">
      <c r="A248" s="18" t="str">
        <f>Analysis!A248</f>
        <v>9/1978</v>
      </c>
      <c r="B248" s="19">
        <f>Analysis!E248</f>
        <v>5.9999999999998721E-2</v>
      </c>
      <c r="C248" s="20">
        <f>Analysis!F248</f>
        <v>0.24731993497981972</v>
      </c>
      <c r="D248" s="19">
        <f>ENSO!D248</f>
        <v>-0.24</v>
      </c>
      <c r="E248" s="34">
        <f t="shared" si="12"/>
        <v>4.0699999999999998E-3</v>
      </c>
      <c r="F248" s="19">
        <f>Solar!D248</f>
        <v>1361.12</v>
      </c>
      <c r="G248" s="32">
        <v>4.4000000000000003E-3</v>
      </c>
      <c r="H248" s="33">
        <v>0.2167</v>
      </c>
      <c r="I248" s="20">
        <f t="shared" si="10"/>
        <v>8.3035662012252112E-2</v>
      </c>
      <c r="J248" s="20">
        <f t="shared" si="11"/>
        <v>-2.3035662012253391E-2</v>
      </c>
      <c r="K248" s="20">
        <f>ENSO!I248</f>
        <v>-4.1467269943711582E-3</v>
      </c>
      <c r="L248" s="19">
        <f>Analysis!B248</f>
        <v>1978.7083333333333</v>
      </c>
    </row>
    <row r="249" spans="1:12" ht="15" customHeight="1">
      <c r="A249" s="18" t="str">
        <f>Analysis!A249</f>
        <v>10/1978</v>
      </c>
      <c r="B249" s="19">
        <f>Analysis!E249</f>
        <v>2.9999999999997584E-2</v>
      </c>
      <c r="C249" s="20">
        <f>Analysis!F249</f>
        <v>0.24771055050748395</v>
      </c>
      <c r="D249" s="19">
        <f>ENSO!D249</f>
        <v>-0.37</v>
      </c>
      <c r="E249" s="34">
        <f t="shared" si="12"/>
        <v>4.0000000000000001E-3</v>
      </c>
      <c r="F249" s="19">
        <f>Solar!D249</f>
        <v>1361.54</v>
      </c>
      <c r="G249" s="32">
        <v>4.4799999999999996E-3</v>
      </c>
      <c r="H249" s="33">
        <v>0.21510000000000001</v>
      </c>
      <c r="I249" s="20">
        <f t="shared" si="10"/>
        <v>7.2191709547213725E-2</v>
      </c>
      <c r="J249" s="20">
        <f t="shared" si="11"/>
        <v>-4.2191709547216141E-2</v>
      </c>
      <c r="K249" s="20">
        <f>ENSO!I249</f>
        <v>-2.3904758133556886E-2</v>
      </c>
      <c r="L249" s="19">
        <f>Analysis!B249</f>
        <v>1978.7916666666667</v>
      </c>
    </row>
    <row r="250" spans="1:12" ht="15" customHeight="1">
      <c r="A250" s="18" t="str">
        <f>Analysis!A250</f>
        <v>11/1978</v>
      </c>
      <c r="B250" s="19">
        <f>Analysis!E250</f>
        <v>0.12999999999999901</v>
      </c>
      <c r="C250" s="20">
        <f>Analysis!F250</f>
        <v>0.25338423580007446</v>
      </c>
      <c r="D250" s="19">
        <f>ENSO!D250</f>
        <v>-0.37</v>
      </c>
      <c r="E250" s="34">
        <f t="shared" si="12"/>
        <v>4.0299999999999997E-3</v>
      </c>
      <c r="F250" s="19">
        <f>Solar!D250</f>
        <v>1361.28</v>
      </c>
      <c r="G250" s="32">
        <v>4.3899999999999998E-3</v>
      </c>
      <c r="H250" s="33">
        <v>0.2167</v>
      </c>
      <c r="I250" s="20">
        <f t="shared" si="10"/>
        <v>8.7600255081221781E-2</v>
      </c>
      <c r="J250" s="20">
        <f t="shared" si="11"/>
        <v>4.2399744918777224E-2</v>
      </c>
      <c r="K250" s="20">
        <f>ENSO!I250</f>
        <v>6.0510784987551219E-2</v>
      </c>
      <c r="L250" s="19">
        <f>Analysis!B250</f>
        <v>1978.875</v>
      </c>
    </row>
    <row r="251" spans="1:12" ht="15" customHeight="1">
      <c r="A251" s="18" t="str">
        <f>Analysis!A251</f>
        <v>12/1978</v>
      </c>
      <c r="B251" s="19">
        <f>Analysis!E251</f>
        <v>8.0000000000000071E-2</v>
      </c>
      <c r="C251" s="20">
        <f>Analysis!F251</f>
        <v>0.25834662661407437</v>
      </c>
      <c r="D251" s="19">
        <f>ENSO!D251</f>
        <v>-0.44</v>
      </c>
      <c r="E251" s="34">
        <f t="shared" si="12"/>
        <v>4.0699999999999998E-3</v>
      </c>
      <c r="F251" s="19">
        <f>Solar!D251</f>
        <v>1360.72</v>
      </c>
      <c r="G251" s="32">
        <v>4.28E-3</v>
      </c>
      <c r="H251" s="33">
        <v>0.21909999999999999</v>
      </c>
      <c r="I251" s="20">
        <f t="shared" si="10"/>
        <v>9.4551143034839844E-2</v>
      </c>
      <c r="J251" s="20">
        <f t="shared" si="11"/>
        <v>-1.4551143034839772E-2</v>
      </c>
      <c r="K251" s="20">
        <f>ENSO!I251</f>
        <v>2.9727529313337692E-3</v>
      </c>
      <c r="L251" s="19">
        <f>Analysis!B251</f>
        <v>1978.9583333333333</v>
      </c>
    </row>
    <row r="252" spans="1:12" ht="15" customHeight="1">
      <c r="A252" s="18" t="str">
        <f>Analysis!A252</f>
        <v>1/1979</v>
      </c>
      <c r="B252" s="19">
        <f>Analysis!E252</f>
        <v>8.9999999999999858E-2</v>
      </c>
      <c r="C252" s="20">
        <f>Analysis!F252</f>
        <v>0.26363540356832926</v>
      </c>
      <c r="D252" s="19">
        <f>ENSO!D252</f>
        <v>-0.27</v>
      </c>
      <c r="E252" s="34">
        <f t="shared" si="12"/>
        <v>4.1399999999999996E-3</v>
      </c>
      <c r="F252" s="19">
        <f>Solar!D252</f>
        <v>1361.31</v>
      </c>
      <c r="G252" s="32">
        <v>5.2700000000000004E-3</v>
      </c>
      <c r="H252" s="33">
        <v>0.1993</v>
      </c>
      <c r="I252" s="20">
        <f t="shared" si="10"/>
        <v>0.12459701815943676</v>
      </c>
      <c r="J252" s="20">
        <f t="shared" si="11"/>
        <v>-3.4597018159436901E-2</v>
      </c>
      <c r="K252" s="20">
        <f>ENSO!I252</f>
        <v>-1.6350860089592995E-2</v>
      </c>
      <c r="L252" s="19">
        <f>Analysis!B252</f>
        <v>1979.0416666666667</v>
      </c>
    </row>
    <row r="253" spans="1:12" ht="15" customHeight="1">
      <c r="A253" s="18" t="str">
        <f>Analysis!A253</f>
        <v>2/1979</v>
      </c>
      <c r="B253" s="19">
        <f>Analysis!E253</f>
        <v>-0.10000000000000142</v>
      </c>
      <c r="C253" s="20">
        <f>Analysis!F253</f>
        <v>0.2659940452734475</v>
      </c>
      <c r="D253" s="19">
        <f>ENSO!D253</f>
        <v>-7.0000000000000007E-2</v>
      </c>
      <c r="E253" s="34">
        <f t="shared" si="12"/>
        <v>4.2199999999999998E-3</v>
      </c>
      <c r="F253" s="19">
        <f>Solar!D253</f>
        <v>1361.73</v>
      </c>
      <c r="G253" s="32">
        <v>5.2500000000000003E-3</v>
      </c>
      <c r="H253" s="33">
        <v>0.19950000000000001</v>
      </c>
      <c r="I253" s="20">
        <f t="shared" si="10"/>
        <v>0.14941301351793682</v>
      </c>
      <c r="J253" s="20">
        <f t="shared" si="11"/>
        <v>-0.24941301351793824</v>
      </c>
      <c r="K253" s="20">
        <f>ENSO!I253</f>
        <v>-0.23023712200609547</v>
      </c>
      <c r="L253" s="19">
        <f>Analysis!B253</f>
        <v>1979.125</v>
      </c>
    </row>
    <row r="254" spans="1:12" ht="15" customHeight="1">
      <c r="A254" s="18" t="str">
        <f>Analysis!A254</f>
        <v>3/1979</v>
      </c>
      <c r="B254" s="19">
        <f>Analysis!E254</f>
        <v>0.19000000000000128</v>
      </c>
      <c r="C254" s="20">
        <f>Analysis!F254</f>
        <v>0.27274840798594358</v>
      </c>
      <c r="D254" s="19">
        <f>ENSO!D254</f>
        <v>0.11</v>
      </c>
      <c r="E254" s="34">
        <f t="shared" si="12"/>
        <v>4.3299999999999996E-3</v>
      </c>
      <c r="F254" s="19">
        <f>Solar!D254</f>
        <v>1362.18</v>
      </c>
      <c r="G254" s="32">
        <v>5.2300000000000003E-3</v>
      </c>
      <c r="H254" s="33">
        <v>0.19989999999999999</v>
      </c>
      <c r="I254" s="20">
        <f t="shared" si="10"/>
        <v>0.18429610123427448</v>
      </c>
      <c r="J254" s="20">
        <f t="shared" si="11"/>
        <v>5.7038987657268003E-3</v>
      </c>
      <c r="K254" s="20">
        <f>ENSO!I254</f>
        <v>2.5543221965955071E-2</v>
      </c>
      <c r="L254" s="19">
        <f>Analysis!B254</f>
        <v>1979.2083333333333</v>
      </c>
    </row>
    <row r="255" spans="1:12" ht="15" customHeight="1">
      <c r="A255" s="18" t="str">
        <f>Analysis!A255</f>
        <v>4/1979</v>
      </c>
      <c r="B255" s="19">
        <f>Analysis!E255</f>
        <v>0.14999999999999858</v>
      </c>
      <c r="C255" s="20">
        <f>Analysis!F255</f>
        <v>0.27509220998275441</v>
      </c>
      <c r="D255" s="19">
        <f>ENSO!D255</f>
        <v>0.19</v>
      </c>
      <c r="E255" s="34">
        <f t="shared" si="12"/>
        <v>4.4000000000000003E-3</v>
      </c>
      <c r="F255" s="19">
        <f>Solar!D255</f>
        <v>1361.65</v>
      </c>
      <c r="G255" s="32">
        <v>5.1700000000000001E-3</v>
      </c>
      <c r="H255" s="33">
        <v>0.20130000000000001</v>
      </c>
      <c r="I255" s="20">
        <f t="shared" si="10"/>
        <v>0.19795822404442887</v>
      </c>
      <c r="J255" s="20">
        <f t="shared" si="11"/>
        <v>-4.7958224044430287E-2</v>
      </c>
      <c r="K255" s="20">
        <f>ENSO!I255</f>
        <v>-2.7857745910259274E-2</v>
      </c>
      <c r="L255" s="19">
        <f>Analysis!B255</f>
        <v>1979.2916666666667</v>
      </c>
    </row>
    <row r="256" spans="1:12" ht="15" customHeight="1">
      <c r="A256" s="18" t="str">
        <f>Analysis!A256</f>
        <v>5/1979</v>
      </c>
      <c r="B256" s="19">
        <f>Analysis!E256</f>
        <v>2.9999999999997584E-2</v>
      </c>
      <c r="C256" s="20">
        <f>Analysis!F256</f>
        <v>0.27687946183264034</v>
      </c>
      <c r="D256" s="19">
        <f>ENSO!D256</f>
        <v>0.21</v>
      </c>
      <c r="E256" s="34">
        <f t="shared" si="12"/>
        <v>4.4799999999999996E-3</v>
      </c>
      <c r="F256" s="19">
        <f>Solar!D256</f>
        <v>1361.77</v>
      </c>
      <c r="G256" s="32">
        <v>5.0899999999999999E-3</v>
      </c>
      <c r="H256" s="33">
        <v>0.20280000000000001</v>
      </c>
      <c r="I256" s="20">
        <f t="shared" si="10"/>
        <v>0.20451269312468096</v>
      </c>
      <c r="J256" s="20">
        <f t="shared" si="11"/>
        <v>-0.17451269312468337</v>
      </c>
      <c r="K256" s="20">
        <f>ENSO!I256</f>
        <v>-0.15450771779607958</v>
      </c>
      <c r="L256" s="19">
        <f>Analysis!B256</f>
        <v>1979.375</v>
      </c>
    </row>
    <row r="257" spans="1:12" ht="15" customHeight="1">
      <c r="A257" s="18" t="str">
        <f>Analysis!A257</f>
        <v>6/1979</v>
      </c>
      <c r="B257" s="19">
        <f>Analysis!E257</f>
        <v>0.13999999999999879</v>
      </c>
      <c r="C257" s="20">
        <f>Analysis!F257</f>
        <v>0.27696451386160453</v>
      </c>
      <c r="D257" s="19">
        <f>ENSO!D257</f>
        <v>0.28999999999999998</v>
      </c>
      <c r="E257" s="34">
        <f t="shared" si="12"/>
        <v>4.3899999999999998E-3</v>
      </c>
      <c r="F257" s="19">
        <f>Solar!D257</f>
        <v>1361.03</v>
      </c>
      <c r="G257" s="32">
        <v>5.1200000000000004E-3</v>
      </c>
      <c r="H257" s="33">
        <v>0.20230000000000001</v>
      </c>
      <c r="I257" s="20">
        <f t="shared" si="10"/>
        <v>0.21236629917651562</v>
      </c>
      <c r="J257" s="20">
        <f t="shared" si="11"/>
        <v>-7.2366299176516824E-2</v>
      </c>
      <c r="K257" s="20">
        <f>ENSO!I257</f>
        <v>-5.1704359972364694E-2</v>
      </c>
      <c r="L257" s="19">
        <f>Analysis!B257</f>
        <v>1979.4583333333333</v>
      </c>
    </row>
    <row r="258" spans="1:12" ht="15" customHeight="1">
      <c r="A258" s="18" t="str">
        <f>Analysis!A258</f>
        <v>7/1979</v>
      </c>
      <c r="B258" s="19">
        <f>Analysis!E258</f>
        <v>3.9999999999999147E-2</v>
      </c>
      <c r="C258" s="20">
        <f>Analysis!F258</f>
        <v>0.26963165094043912</v>
      </c>
      <c r="D258" s="19">
        <f>ENSO!D258</f>
        <v>0.32</v>
      </c>
      <c r="E258" s="34">
        <f t="shared" si="12"/>
        <v>4.28E-3</v>
      </c>
      <c r="F258" s="19">
        <f>Solar!D258</f>
        <v>1361.55</v>
      </c>
      <c r="G258" s="32">
        <v>5.1500000000000001E-3</v>
      </c>
      <c r="H258" s="33">
        <v>0.20169999999999999</v>
      </c>
      <c r="I258" s="20">
        <f t="shared" ref="I258:I321" si="13">IF(OR(D258="",E258=""),"",$N$14+$N$15*C258+$N$16*D258+$N$17*E258)</f>
        <v>0.19539234828566615</v>
      </c>
      <c r="J258" s="20">
        <f t="shared" ref="J258:J321" si="14">IF(I258="","",B258-I258)</f>
        <v>-0.155392348285667</v>
      </c>
      <c r="K258" s="20">
        <f>ENSO!I258</f>
        <v>-0.13417361347925774</v>
      </c>
      <c r="L258" s="19">
        <f>Analysis!B258</f>
        <v>1979.5416666666667</v>
      </c>
    </row>
    <row r="259" spans="1:12" ht="15" customHeight="1">
      <c r="A259" s="18" t="str">
        <f>Analysis!A259</f>
        <v>8/1979</v>
      </c>
      <c r="B259" s="19">
        <f>Analysis!E259</f>
        <v>0.16999999999999993</v>
      </c>
      <c r="C259" s="20">
        <f>Analysis!F259</f>
        <v>0.26183165875213665</v>
      </c>
      <c r="D259" s="19">
        <f>ENSO!D259</f>
        <v>0.28999999999999998</v>
      </c>
      <c r="E259" s="34">
        <f t="shared" si="12"/>
        <v>5.2700000000000004E-3</v>
      </c>
      <c r="F259" s="19">
        <f>Solar!D259</f>
        <v>1361.52</v>
      </c>
      <c r="G259" s="32">
        <v>5.3200000000000001E-3</v>
      </c>
      <c r="H259" s="33">
        <v>0.19819999999999999</v>
      </c>
      <c r="I259" s="20">
        <f t="shared" si="13"/>
        <v>0.16915624853235861</v>
      </c>
      <c r="J259" s="20">
        <f t="shared" si="14"/>
        <v>8.4375146764131825E-4</v>
      </c>
      <c r="K259" s="20">
        <f>ENSO!I259</f>
        <v>1.9862508076527313E-2</v>
      </c>
      <c r="L259" s="19">
        <f>Analysis!B259</f>
        <v>1979.625</v>
      </c>
    </row>
    <row r="260" spans="1:12" ht="15" customHeight="1">
      <c r="A260" s="18" t="str">
        <f>Analysis!A260</f>
        <v>9/1979</v>
      </c>
      <c r="B260" s="19">
        <f>Analysis!E260</f>
        <v>0.25000000000000355</v>
      </c>
      <c r="C260" s="20">
        <f>Analysis!F260</f>
        <v>0.25429168632221816</v>
      </c>
      <c r="D260" s="19">
        <f>ENSO!D260</f>
        <v>0.14000000000000001</v>
      </c>
      <c r="E260" s="34">
        <f t="shared" si="12"/>
        <v>5.2500000000000003E-3</v>
      </c>
      <c r="F260" s="19">
        <f>Solar!D260</f>
        <v>1361.51</v>
      </c>
      <c r="G260" s="32">
        <v>5.5700000000000003E-3</v>
      </c>
      <c r="H260" s="33">
        <v>0.19320000000000001</v>
      </c>
      <c r="I260" s="20">
        <f t="shared" si="13"/>
        <v>0.13471628730514826</v>
      </c>
      <c r="J260" s="20">
        <f t="shared" si="14"/>
        <v>0.11528371269485529</v>
      </c>
      <c r="K260" s="20">
        <f>ENSO!I260</f>
        <v>0.13362894074960022</v>
      </c>
      <c r="L260" s="19">
        <f>Analysis!B260</f>
        <v>1979.7083333333333</v>
      </c>
    </row>
    <row r="261" spans="1:12" ht="15" customHeight="1">
      <c r="A261" s="18" t="str">
        <f>Analysis!A261</f>
        <v>10/1979</v>
      </c>
      <c r="B261" s="19">
        <f>Analysis!E261</f>
        <v>0.25999999999999979</v>
      </c>
      <c r="C261" s="20">
        <f>Analysis!F261</f>
        <v>0.25545757034741712</v>
      </c>
      <c r="D261" s="19">
        <f>ENSO!D261</f>
        <v>0.09</v>
      </c>
      <c r="E261" s="34">
        <f t="shared" si="12"/>
        <v>5.2300000000000003E-3</v>
      </c>
      <c r="F261" s="19">
        <f>Solar!D261</f>
        <v>1361.54</v>
      </c>
      <c r="G261" s="32">
        <v>5.9100000000000003E-3</v>
      </c>
      <c r="H261" s="33">
        <v>0.18629999999999999</v>
      </c>
      <c r="I261" s="20">
        <f t="shared" si="13"/>
        <v>0.13330040583584332</v>
      </c>
      <c r="J261" s="20">
        <f t="shared" si="14"/>
        <v>0.12669959416415646</v>
      </c>
      <c r="K261" s="20">
        <f>ENSO!I261</f>
        <v>0.14477838350034686</v>
      </c>
      <c r="L261" s="19">
        <f>Analysis!B261</f>
        <v>1979.7916666666667</v>
      </c>
    </row>
    <row r="262" spans="1:12" ht="15" customHeight="1">
      <c r="A262" s="18" t="str">
        <f>Analysis!A262</f>
        <v>11/1979</v>
      </c>
      <c r="B262" s="19">
        <f>Analysis!E262</f>
        <v>0.28000000000000114</v>
      </c>
      <c r="C262" s="20">
        <f>Analysis!F262</f>
        <v>0.26011170737902828</v>
      </c>
      <c r="D262" s="19">
        <f>ENSO!D262</f>
        <v>0.22</v>
      </c>
      <c r="E262" s="34">
        <f t="shared" si="12"/>
        <v>5.1700000000000001E-3</v>
      </c>
      <c r="F262" s="19">
        <f>Solar!D262</f>
        <v>1361.46</v>
      </c>
      <c r="G262" s="32">
        <v>6.0800000000000003E-3</v>
      </c>
      <c r="H262" s="33">
        <v>0.183</v>
      </c>
      <c r="I262" s="20">
        <f t="shared" si="13"/>
        <v>0.15818959278157788</v>
      </c>
      <c r="J262" s="20">
        <f t="shared" si="14"/>
        <v>0.12181040721842326</v>
      </c>
      <c r="K262" s="20">
        <f>ENSO!I262</f>
        <v>0.14067950776678348</v>
      </c>
      <c r="L262" s="19">
        <f>Analysis!B262</f>
        <v>1979.875</v>
      </c>
    </row>
    <row r="263" spans="1:12" ht="15" customHeight="1">
      <c r="A263" s="18" t="str">
        <f>Analysis!A263</f>
        <v>12/1979</v>
      </c>
      <c r="B263" s="19">
        <f>Analysis!E263</f>
        <v>0.47000000000000242</v>
      </c>
      <c r="C263" s="20">
        <f>Analysis!F263</f>
        <v>0.26650814596160988</v>
      </c>
      <c r="D263" s="19">
        <f>ENSO!D263</f>
        <v>0.34</v>
      </c>
      <c r="E263" s="34">
        <f t="shared" si="12"/>
        <v>5.0899999999999999E-3</v>
      </c>
      <c r="F263" s="19">
        <f>Solar!D263</f>
        <v>1361.95</v>
      </c>
      <c r="G263" s="32">
        <v>6.1900000000000002E-3</v>
      </c>
      <c r="H263" s="33">
        <v>0.1807</v>
      </c>
      <c r="I263" s="20">
        <f t="shared" si="13"/>
        <v>0.18694683495756331</v>
      </c>
      <c r="J263" s="20">
        <f t="shared" si="14"/>
        <v>0.2830531650424391</v>
      </c>
      <c r="K263" s="20">
        <f>ENSO!I263</f>
        <v>0.30266526255177972</v>
      </c>
      <c r="L263" s="19">
        <f>Analysis!B263</f>
        <v>1979.9583333333333</v>
      </c>
    </row>
    <row r="264" spans="1:12" ht="15" customHeight="1">
      <c r="A264" s="18" t="str">
        <f>Analysis!A264</f>
        <v>1/1980</v>
      </c>
      <c r="B264" s="19">
        <f>Analysis!E264</f>
        <v>0.30000000000000249</v>
      </c>
      <c r="C264" s="20">
        <f>Analysis!F264</f>
        <v>0.2711695233314726</v>
      </c>
      <c r="D264" s="19">
        <f>ENSO!D264</f>
        <v>0.47</v>
      </c>
      <c r="E264" s="34">
        <f t="shared" si="12"/>
        <v>5.1200000000000004E-3</v>
      </c>
      <c r="F264" s="19">
        <f>Solar!D264</f>
        <v>1361.91</v>
      </c>
      <c r="G264" s="32">
        <v>6.7200000000000003E-3</v>
      </c>
      <c r="H264" s="33">
        <v>0.17030000000000001</v>
      </c>
      <c r="I264" s="20">
        <f t="shared" si="13"/>
        <v>0.21165773768657636</v>
      </c>
      <c r="J264" s="20">
        <f t="shared" si="14"/>
        <v>8.8342262313426123E-2</v>
      </c>
      <c r="K264" s="20">
        <f>ENSO!I264</f>
        <v>0.10854649908503092</v>
      </c>
      <c r="L264" s="19">
        <f>Analysis!B264</f>
        <v>1980.0416666666667</v>
      </c>
    </row>
    <row r="265" spans="1:12" ht="15" customHeight="1">
      <c r="A265" s="18" t="str">
        <f>Analysis!A265</f>
        <v>2/1980</v>
      </c>
      <c r="B265" s="19">
        <f>Analysis!E265</f>
        <v>0.38999999999999879</v>
      </c>
      <c r="C265" s="20">
        <f>Analysis!F265</f>
        <v>0.27304692161483607</v>
      </c>
      <c r="D265" s="19">
        <f>ENSO!D265</f>
        <v>0.5</v>
      </c>
      <c r="E265" s="34">
        <f t="shared" ref="E265:E328" si="15">IF(G258="","",G258)</f>
        <v>5.1500000000000001E-3</v>
      </c>
      <c r="F265" s="19">
        <f>Solar!D265</f>
        <v>1361.63</v>
      </c>
      <c r="G265" s="32">
        <v>6.6499999999999997E-3</v>
      </c>
      <c r="H265" s="33">
        <v>0.1716</v>
      </c>
      <c r="I265" s="20">
        <f t="shared" si="13"/>
        <v>0.21949604225059155</v>
      </c>
      <c r="J265" s="20">
        <f t="shared" si="14"/>
        <v>0.17050395774940724</v>
      </c>
      <c r="K265" s="20">
        <f>ENSO!I265</f>
        <v>0.19077853562452132</v>
      </c>
      <c r="L265" s="19">
        <f>Analysis!B265</f>
        <v>1980.125</v>
      </c>
    </row>
    <row r="266" spans="1:12" ht="15" customHeight="1">
      <c r="A266" s="18" t="str">
        <f>Analysis!A266</f>
        <v>3/1980</v>
      </c>
      <c r="B266" s="19">
        <f>Analysis!E266</f>
        <v>0.28999999999999559</v>
      </c>
      <c r="C266" s="20">
        <f>Analysis!F266</f>
        <v>0.28040491407037693</v>
      </c>
      <c r="D266" s="19">
        <f>ENSO!D266</f>
        <v>0.64</v>
      </c>
      <c r="E266" s="34">
        <f t="shared" si="15"/>
        <v>5.3200000000000001E-3</v>
      </c>
      <c r="F266" s="19">
        <f>Solar!D266</f>
        <v>1362.07</v>
      </c>
      <c r="G266" s="32">
        <v>6.5399999999999998E-3</v>
      </c>
      <c r="H266" s="33">
        <v>0.17369999999999999</v>
      </c>
      <c r="I266" s="20">
        <f t="shared" si="13"/>
        <v>0.25218166359277816</v>
      </c>
      <c r="J266" s="20">
        <f t="shared" si="14"/>
        <v>3.7818336407217434E-2</v>
      </c>
      <c r="K266" s="20">
        <f>ENSO!I266</f>
        <v>5.8382342542087462E-2</v>
      </c>
      <c r="L266" s="19">
        <f>Analysis!B266</f>
        <v>1980.2083333333333</v>
      </c>
    </row>
    <row r="267" spans="1:12" ht="15" customHeight="1">
      <c r="A267" s="18" t="str">
        <f>Analysis!A267</f>
        <v>4/1980</v>
      </c>
      <c r="B267" s="19">
        <f>Analysis!E267</f>
        <v>0.30000000000000249</v>
      </c>
      <c r="C267" s="20">
        <f>Analysis!F267</f>
        <v>0.28404872727074498</v>
      </c>
      <c r="D267" s="19">
        <f>ENSO!D267</f>
        <v>0.62</v>
      </c>
      <c r="E267" s="34">
        <f t="shared" si="15"/>
        <v>5.5700000000000003E-3</v>
      </c>
      <c r="F267" s="19">
        <f>Solar!D267</f>
        <v>1361.27</v>
      </c>
      <c r="G267" s="32">
        <v>6.45E-3</v>
      </c>
      <c r="H267" s="33">
        <v>0.17560000000000001</v>
      </c>
      <c r="I267" s="20">
        <f t="shared" si="13"/>
        <v>0.25971390564309771</v>
      </c>
      <c r="J267" s="20">
        <f t="shared" si="14"/>
        <v>4.0286094356904778E-2</v>
      </c>
      <c r="K267" s="20">
        <f>ENSO!I267</f>
        <v>6.0114285894910274E-2</v>
      </c>
      <c r="L267" s="19">
        <f>Analysis!B267</f>
        <v>1980.2916666666667</v>
      </c>
    </row>
    <row r="268" spans="1:12" ht="15" customHeight="1">
      <c r="A268" s="18" t="str">
        <f>Analysis!A268</f>
        <v>5/1980</v>
      </c>
      <c r="B268" s="19">
        <f>Analysis!E268</f>
        <v>0.34999999999999787</v>
      </c>
      <c r="C268" s="20">
        <f>Analysis!F268</f>
        <v>0.28624750673812982</v>
      </c>
      <c r="D268" s="19">
        <f>ENSO!D268</f>
        <v>0.47</v>
      </c>
      <c r="E268" s="34">
        <f t="shared" si="15"/>
        <v>5.9100000000000003E-3</v>
      </c>
      <c r="F268" s="19">
        <f>Solar!D268</f>
        <v>1361.42</v>
      </c>
      <c r="G268" s="32">
        <v>6.3400000000000001E-3</v>
      </c>
      <c r="H268" s="33">
        <v>0.17780000000000001</v>
      </c>
      <c r="I268" s="20">
        <f t="shared" si="13"/>
        <v>0.25104354156816194</v>
      </c>
      <c r="J268" s="20">
        <f t="shared" si="14"/>
        <v>9.8956458431835925E-2</v>
      </c>
      <c r="K268" s="20">
        <f>ENSO!I268</f>
        <v>0.1171303524177815</v>
      </c>
      <c r="L268" s="19">
        <f>Analysis!B268</f>
        <v>1980.375</v>
      </c>
    </row>
    <row r="269" spans="1:12" ht="15" customHeight="1">
      <c r="A269" s="18" t="str">
        <f>Analysis!A269</f>
        <v>6/1980</v>
      </c>
      <c r="B269" s="19">
        <f>Analysis!E269</f>
        <v>0.20000000000000107</v>
      </c>
      <c r="C269" s="20">
        <f>Analysis!F269</f>
        <v>0.28586718848142018</v>
      </c>
      <c r="D269" s="19">
        <f>ENSO!D269</f>
        <v>0.35</v>
      </c>
      <c r="E269" s="34">
        <f t="shared" si="15"/>
        <v>6.0800000000000003E-3</v>
      </c>
      <c r="F269" s="19">
        <f>Solar!D269</f>
        <v>1361.8</v>
      </c>
      <c r="G269" s="32">
        <v>7.1399999999999996E-3</v>
      </c>
      <c r="H269" s="33">
        <v>0.16189999999999999</v>
      </c>
      <c r="I269" s="20">
        <f t="shared" si="13"/>
        <v>0.23849678996305024</v>
      </c>
      <c r="J269" s="20">
        <f t="shared" si="14"/>
        <v>-3.8496789963049172E-2</v>
      </c>
      <c r="K269" s="20">
        <f>ENSO!I269</f>
        <v>-2.1380458474785896E-2</v>
      </c>
      <c r="L269" s="19">
        <f>Analysis!B269</f>
        <v>1980.4583333333333</v>
      </c>
    </row>
    <row r="270" spans="1:12" ht="15" customHeight="1">
      <c r="A270" s="18" t="str">
        <f>Analysis!A270</f>
        <v>7/1980</v>
      </c>
      <c r="B270" s="19">
        <f>Analysis!E270</f>
        <v>0.22000000000000242</v>
      </c>
      <c r="C270" s="20">
        <f>Analysis!F270</f>
        <v>0.27777225815571982</v>
      </c>
      <c r="D270" s="19">
        <f>ENSO!D270</f>
        <v>0.34</v>
      </c>
      <c r="E270" s="34">
        <f t="shared" si="15"/>
        <v>6.1900000000000002E-3</v>
      </c>
      <c r="F270" s="19">
        <f>Solar!D270</f>
        <v>1361.71</v>
      </c>
      <c r="G270" s="32">
        <v>8.0099999999999998E-3</v>
      </c>
      <c r="H270" s="33">
        <v>0.14430000000000001</v>
      </c>
      <c r="I270" s="20">
        <f t="shared" si="13"/>
        <v>0.21524847859333851</v>
      </c>
      <c r="J270" s="20">
        <f t="shared" si="14"/>
        <v>4.7515214066639055E-3</v>
      </c>
      <c r="K270" s="20">
        <f>ENSO!I270</f>
        <v>2.1725042621468488E-2</v>
      </c>
      <c r="L270" s="19">
        <f>Analysis!B270</f>
        <v>1980.5416666666667</v>
      </c>
    </row>
    <row r="271" spans="1:12" ht="15" customHeight="1">
      <c r="A271" s="18" t="str">
        <f>Analysis!A271</f>
        <v>8/1980</v>
      </c>
      <c r="B271" s="19">
        <f>Analysis!E271</f>
        <v>0.17999999999999972</v>
      </c>
      <c r="C271" s="20">
        <f>Analysis!F271</f>
        <v>0.2701871828716399</v>
      </c>
      <c r="D271" s="19">
        <f>ENSO!D271</f>
        <v>0.45</v>
      </c>
      <c r="E271" s="34">
        <f t="shared" si="15"/>
        <v>6.7200000000000003E-3</v>
      </c>
      <c r="F271" s="19">
        <f>Solar!D271</f>
        <v>1361.71</v>
      </c>
      <c r="G271" s="32">
        <v>8.5900000000000004E-3</v>
      </c>
      <c r="H271" s="33">
        <v>0.1328</v>
      </c>
      <c r="I271" s="20">
        <f t="shared" si="13"/>
        <v>0.20360201297983466</v>
      </c>
      <c r="J271" s="20">
        <f t="shared" si="14"/>
        <v>-2.3602012979834941E-2</v>
      </c>
      <c r="K271" s="20">
        <f>ENSO!I271</f>
        <v>-7.0144565308939699E-3</v>
      </c>
      <c r="L271" s="19">
        <f>Analysis!B271</f>
        <v>1980.625</v>
      </c>
    </row>
    <row r="272" spans="1:12" ht="15" customHeight="1">
      <c r="A272" s="18" t="str">
        <f>Analysis!A272</f>
        <v>9/1980</v>
      </c>
      <c r="B272" s="19">
        <f>Analysis!E272</f>
        <v>0.20000000000000107</v>
      </c>
      <c r="C272" s="20">
        <f>Analysis!F272</f>
        <v>0.26410744049902013</v>
      </c>
      <c r="D272" s="19">
        <f>ENSO!D272</f>
        <v>0.4</v>
      </c>
      <c r="E272" s="34">
        <f t="shared" si="15"/>
        <v>6.6499999999999997E-3</v>
      </c>
      <c r="F272" s="19">
        <f>Solar!D272</f>
        <v>1361.59</v>
      </c>
      <c r="G272" s="32">
        <v>8.7600000000000004E-3</v>
      </c>
      <c r="H272" s="33">
        <v>0.12939999999999999</v>
      </c>
      <c r="I272" s="20">
        <f t="shared" si="13"/>
        <v>0.18253424016943837</v>
      </c>
      <c r="J272" s="20">
        <f t="shared" si="14"/>
        <v>1.7465759830562699E-2</v>
      </c>
      <c r="K272" s="20">
        <f>ENSO!I272</f>
        <v>3.4037244863784011E-2</v>
      </c>
      <c r="L272" s="19">
        <f>Analysis!B272</f>
        <v>1980.7083333333333</v>
      </c>
    </row>
    <row r="273" spans="1:12" ht="15" customHeight="1">
      <c r="A273" s="18" t="str">
        <f>Analysis!A273</f>
        <v>10/1980</v>
      </c>
      <c r="B273" s="19">
        <f>Analysis!E273</f>
        <v>0.12999999999999901</v>
      </c>
      <c r="C273" s="20">
        <f>Analysis!F273</f>
        <v>0.26363540356832926</v>
      </c>
      <c r="D273" s="19">
        <f>ENSO!D273</f>
        <v>0.18</v>
      </c>
      <c r="E273" s="34">
        <f t="shared" si="15"/>
        <v>6.5399999999999998E-3</v>
      </c>
      <c r="F273" s="19">
        <f>Solar!D273</f>
        <v>1361.54</v>
      </c>
      <c r="G273" s="32">
        <v>8.9499999999999996E-3</v>
      </c>
      <c r="H273" s="33">
        <v>0.12559999999999999</v>
      </c>
      <c r="I273" s="20">
        <f t="shared" si="13"/>
        <v>0.16107392975438736</v>
      </c>
      <c r="J273" s="20">
        <f t="shared" si="14"/>
        <v>-3.1073929754388357E-2</v>
      </c>
      <c r="K273" s="20">
        <f>ENSO!I273</f>
        <v>-1.5517856539891184E-2</v>
      </c>
      <c r="L273" s="19">
        <f>Analysis!B273</f>
        <v>1980.7916666666667</v>
      </c>
    </row>
    <row r="274" spans="1:12" ht="15" customHeight="1">
      <c r="A274" s="18" t="str">
        <f>Analysis!A274</f>
        <v>11/1980</v>
      </c>
      <c r="B274" s="19">
        <f>Analysis!E274</f>
        <v>0.30000000000000249</v>
      </c>
      <c r="C274" s="20">
        <f>Analysis!F274</f>
        <v>0.26860549118579774</v>
      </c>
      <c r="D274" s="19">
        <f>ENSO!D274</f>
        <v>-0.06</v>
      </c>
      <c r="E274" s="34">
        <f t="shared" si="15"/>
        <v>6.45E-3</v>
      </c>
      <c r="F274" s="19">
        <f>Solar!D274</f>
        <v>1361</v>
      </c>
      <c r="G274" s="32">
        <v>8.8000000000000005E-3</v>
      </c>
      <c r="H274" s="33">
        <v>0.1285</v>
      </c>
      <c r="I274" s="20">
        <f t="shared" si="13"/>
        <v>0.15255670331766225</v>
      </c>
      <c r="J274" s="20">
        <f t="shared" si="14"/>
        <v>0.14744329668234024</v>
      </c>
      <c r="K274" s="20">
        <f>ENSO!I274</f>
        <v>0.16171939073503552</v>
      </c>
      <c r="L274" s="19">
        <f>Analysis!B274</f>
        <v>1980.875</v>
      </c>
    </row>
    <row r="275" spans="1:12" ht="15" customHeight="1">
      <c r="A275" s="18" t="str">
        <f>Analysis!A275</f>
        <v>12/1980</v>
      </c>
      <c r="B275" s="19">
        <f>Analysis!E275</f>
        <v>0.21000000000000085</v>
      </c>
      <c r="C275" s="20">
        <f>Analysis!F275</f>
        <v>0.27283370389710077</v>
      </c>
      <c r="D275" s="19">
        <f>ENSO!D275</f>
        <v>-0.17</v>
      </c>
      <c r="E275" s="34">
        <f t="shared" si="15"/>
        <v>6.3400000000000001E-3</v>
      </c>
      <c r="F275" s="19">
        <f>Solar!D275</f>
        <v>1362</v>
      </c>
      <c r="G275" s="32">
        <v>8.8699999999999994E-3</v>
      </c>
      <c r="H275" s="33">
        <v>0.12709999999999999</v>
      </c>
      <c r="I275" s="20">
        <f t="shared" si="13"/>
        <v>0.15412342712913341</v>
      </c>
      <c r="J275" s="20">
        <f t="shared" si="14"/>
        <v>5.5876572870867447E-2</v>
      </c>
      <c r="K275" s="20">
        <f>ENSO!I275</f>
        <v>6.9679507055239148E-2</v>
      </c>
      <c r="L275" s="19">
        <f>Analysis!B275</f>
        <v>1980.9583333333333</v>
      </c>
    </row>
    <row r="276" spans="1:12" ht="15" customHeight="1">
      <c r="A276" s="18" t="str">
        <f>Analysis!A276</f>
        <v>1/1981</v>
      </c>
      <c r="B276" s="19">
        <f>Analysis!E276</f>
        <v>0.52999999999999758</v>
      </c>
      <c r="C276" s="20">
        <f>Analysis!F276</f>
        <v>0.27709208250431316</v>
      </c>
      <c r="D276" s="19">
        <f>ENSO!D276</f>
        <v>-7.0000000000000007E-2</v>
      </c>
      <c r="E276" s="34">
        <f t="shared" si="15"/>
        <v>7.1399999999999996E-3</v>
      </c>
      <c r="F276" s="19">
        <f>Solar!D276</f>
        <v>1362.1</v>
      </c>
      <c r="G276" s="32">
        <v>9.2899999999999996E-3</v>
      </c>
      <c r="H276" s="33">
        <v>0.1187</v>
      </c>
      <c r="I276" s="20">
        <f t="shared" si="13"/>
        <v>0.17325705890295501</v>
      </c>
      <c r="J276" s="20">
        <f t="shared" si="14"/>
        <v>0.35674294109704258</v>
      </c>
      <c r="K276" s="20">
        <f>ENSO!I276</f>
        <v>0.36927883213209844</v>
      </c>
      <c r="L276" s="19">
        <f>Analysis!B276</f>
        <v>1981.0416666666667</v>
      </c>
    </row>
    <row r="277" spans="1:12" ht="15" customHeight="1">
      <c r="A277" s="18" t="str">
        <f>Analysis!A277</f>
        <v>2/1981</v>
      </c>
      <c r="B277" s="19">
        <f>Analysis!E277</f>
        <v>0.42000000000000348</v>
      </c>
      <c r="C277" s="20">
        <f>Analysis!F277</f>
        <v>0.28243980500638693</v>
      </c>
      <c r="D277" s="19">
        <f>ENSO!D277</f>
        <v>0.08</v>
      </c>
      <c r="E277" s="34">
        <f t="shared" si="15"/>
        <v>8.0099999999999998E-3</v>
      </c>
      <c r="F277" s="19">
        <f>Solar!D277</f>
        <v>1361.57</v>
      </c>
      <c r="G277" s="32">
        <v>9.3500000000000007E-3</v>
      </c>
      <c r="H277" s="33">
        <v>0.1176</v>
      </c>
      <c r="I277" s="20">
        <f t="shared" si="13"/>
        <v>0.19984752152779958</v>
      </c>
      <c r="J277" s="20">
        <f t="shared" si="14"/>
        <v>0.2201524784722039</v>
      </c>
      <c r="K277" s="20">
        <f>ENSO!I277</f>
        <v>0.23153406310556651</v>
      </c>
      <c r="L277" s="19">
        <f>Analysis!B277</f>
        <v>1981.125</v>
      </c>
    </row>
    <row r="278" spans="1:12" ht="15" customHeight="1">
      <c r="A278" s="18" t="str">
        <f>Analysis!A278</f>
        <v>3/1981</v>
      </c>
      <c r="B278" s="19">
        <f>Analysis!E278</f>
        <v>0.47999999999999865</v>
      </c>
      <c r="C278" s="20">
        <f>Analysis!F278</f>
        <v>0.28700784260909884</v>
      </c>
      <c r="D278" s="19">
        <f>ENSO!D278</f>
        <v>-0.05</v>
      </c>
      <c r="E278" s="34">
        <f t="shared" si="15"/>
        <v>8.5900000000000004E-3</v>
      </c>
      <c r="F278" s="19">
        <f>Solar!D278</f>
        <v>1361.77</v>
      </c>
      <c r="G278" s="32">
        <v>9.2200000000000008E-3</v>
      </c>
      <c r="H278" s="33">
        <v>0.1202</v>
      </c>
      <c r="I278" s="20">
        <f t="shared" si="13"/>
        <v>0.19896694917804314</v>
      </c>
      <c r="J278" s="20">
        <f t="shared" si="14"/>
        <v>0.28103305082195551</v>
      </c>
      <c r="K278" s="20">
        <f>ENSO!I278</f>
        <v>0.29030150512250413</v>
      </c>
      <c r="L278" s="19">
        <f>Analysis!B278</f>
        <v>1981.2083333333333</v>
      </c>
    </row>
    <row r="279" spans="1:12" ht="15" customHeight="1">
      <c r="A279" s="18" t="str">
        <f>Analysis!A279</f>
        <v>4/1981</v>
      </c>
      <c r="B279" s="19">
        <f>Analysis!E279</f>
        <v>0.32000000000000028</v>
      </c>
      <c r="C279" s="20">
        <f>Analysis!F279</f>
        <v>0.29109832425167037</v>
      </c>
      <c r="D279" s="19">
        <f>ENSO!D279</f>
        <v>-0.27</v>
      </c>
      <c r="E279" s="34">
        <f t="shared" si="15"/>
        <v>8.7600000000000004E-3</v>
      </c>
      <c r="F279" s="19">
        <f>Solar!D279</f>
        <v>1362.12</v>
      </c>
      <c r="G279" s="32">
        <v>9.0200000000000002E-3</v>
      </c>
      <c r="H279" s="33">
        <v>0.1241</v>
      </c>
      <c r="I279" s="20">
        <f t="shared" si="13"/>
        <v>0.18933447136688231</v>
      </c>
      <c r="J279" s="20">
        <f t="shared" si="14"/>
        <v>0.13066552863311798</v>
      </c>
      <c r="K279" s="20">
        <f>ENSO!I279</f>
        <v>0.13821409529893922</v>
      </c>
      <c r="L279" s="19">
        <f>Analysis!B279</f>
        <v>1981.2916666666667</v>
      </c>
    </row>
    <row r="280" spans="1:12" ht="15" customHeight="1">
      <c r="A280" s="18" t="str">
        <f>Analysis!A280</f>
        <v>5/1981</v>
      </c>
      <c r="B280" s="19">
        <f>Analysis!E280</f>
        <v>0.25000000000000355</v>
      </c>
      <c r="C280" s="20">
        <f>Analysis!F280</f>
        <v>0.29294998373808151</v>
      </c>
      <c r="D280" s="19">
        <f>ENSO!D280</f>
        <v>-0.42</v>
      </c>
      <c r="E280" s="34">
        <f t="shared" si="15"/>
        <v>8.9499999999999996E-3</v>
      </c>
      <c r="F280" s="19">
        <f>Solar!D280</f>
        <v>1361.72</v>
      </c>
      <c r="G280" s="32">
        <v>8.8999999999999999E-3</v>
      </c>
      <c r="H280" s="33">
        <v>0.12659999999999999</v>
      </c>
      <c r="I280" s="20">
        <f t="shared" si="13"/>
        <v>0.18004741611014694</v>
      </c>
      <c r="J280" s="20">
        <f t="shared" si="14"/>
        <v>6.9952583889856618E-2</v>
      </c>
      <c r="K280" s="20">
        <f>ENSO!I280</f>
        <v>7.6183629646752432E-2</v>
      </c>
      <c r="L280" s="19">
        <f>Analysis!B280</f>
        <v>1981.375</v>
      </c>
    </row>
    <row r="281" spans="1:12" ht="15" customHeight="1">
      <c r="A281" s="18" t="str">
        <f>Analysis!A281</f>
        <v>6/1981</v>
      </c>
      <c r="B281" s="19">
        <f>Analysis!E281</f>
        <v>0.28999999999999559</v>
      </c>
      <c r="C281" s="20">
        <f>Analysis!F281</f>
        <v>0.29084564099664334</v>
      </c>
      <c r="D281" s="19">
        <f>ENSO!D281</f>
        <v>-0.41</v>
      </c>
      <c r="E281" s="34">
        <f t="shared" si="15"/>
        <v>8.8000000000000005E-3</v>
      </c>
      <c r="F281" s="19">
        <f>Solar!D281</f>
        <v>1361.58</v>
      </c>
      <c r="G281" s="32">
        <v>9.2499999999999995E-3</v>
      </c>
      <c r="H281" s="33">
        <v>0.1196</v>
      </c>
      <c r="I281" s="20">
        <f t="shared" si="13"/>
        <v>0.17556598025019576</v>
      </c>
      <c r="J281" s="20">
        <f t="shared" si="14"/>
        <v>0.11443401974979983</v>
      </c>
      <c r="K281" s="20">
        <f>ENSO!I281</f>
        <v>0.12109345247380759</v>
      </c>
      <c r="L281" s="19">
        <f>Analysis!B281</f>
        <v>1981.4583333333333</v>
      </c>
    </row>
    <row r="282" spans="1:12" ht="15" customHeight="1">
      <c r="A282" s="18" t="str">
        <f>Analysis!A282</f>
        <v>7/1981</v>
      </c>
      <c r="B282" s="19">
        <f>Analysis!E282</f>
        <v>0.32999999999999652</v>
      </c>
      <c r="C282" s="20">
        <f>Analysis!F282</f>
        <v>0.28358317111122905</v>
      </c>
      <c r="D282" s="19">
        <f>ENSO!D282</f>
        <v>-0.27</v>
      </c>
      <c r="E282" s="34">
        <f t="shared" si="15"/>
        <v>8.8699999999999994E-3</v>
      </c>
      <c r="F282" s="19">
        <f>Solar!D282</f>
        <v>1360.72</v>
      </c>
      <c r="G282" s="32">
        <v>9.6600000000000002E-3</v>
      </c>
      <c r="H282" s="33">
        <v>0.1114</v>
      </c>
      <c r="I282" s="20">
        <f t="shared" si="13"/>
        <v>0.16859540945236692</v>
      </c>
      <c r="J282" s="20">
        <f t="shared" si="14"/>
        <v>0.1614045905476296</v>
      </c>
      <c r="K282" s="20">
        <f>ENSO!I282</f>
        <v>0.16885668895996184</v>
      </c>
      <c r="L282" s="19">
        <f>Analysis!B282</f>
        <v>1981.5416666666667</v>
      </c>
    </row>
    <row r="283" spans="1:12" ht="15" customHeight="1">
      <c r="A283" s="18" t="str">
        <f>Analysis!A283</f>
        <v>8/1981</v>
      </c>
      <c r="B283" s="19">
        <f>Analysis!E283</f>
        <v>0.34999999999999787</v>
      </c>
      <c r="C283" s="20">
        <f>Analysis!F283</f>
        <v>0.27364376363665927</v>
      </c>
      <c r="D283" s="19">
        <f>ENSO!D283</f>
        <v>-0.28000000000000003</v>
      </c>
      <c r="E283" s="34">
        <f t="shared" si="15"/>
        <v>9.2899999999999996E-3</v>
      </c>
      <c r="F283" s="19">
        <f>Solar!D283</f>
        <v>1362.15</v>
      </c>
      <c r="G283" s="32">
        <v>9.9600000000000001E-3</v>
      </c>
      <c r="H283" s="33">
        <v>0.1053</v>
      </c>
      <c r="I283" s="20">
        <f t="shared" si="13"/>
        <v>0.13963431417388908</v>
      </c>
      <c r="J283" s="20">
        <f t="shared" si="14"/>
        <v>0.21036568582610879</v>
      </c>
      <c r="K283" s="20">
        <f>ENSO!I283</f>
        <v>0.21702859277478065</v>
      </c>
      <c r="L283" s="19">
        <f>Analysis!B283</f>
        <v>1981.625</v>
      </c>
    </row>
    <row r="284" spans="1:12" ht="15" customHeight="1">
      <c r="A284" s="18" t="str">
        <f>Analysis!A284</f>
        <v>9/1981</v>
      </c>
      <c r="B284" s="19">
        <f>Analysis!E284</f>
        <v>0.14999999999999858</v>
      </c>
      <c r="C284" s="20">
        <f>Analysis!F284</f>
        <v>0.26710769864693196</v>
      </c>
      <c r="D284" s="19">
        <f>ENSO!D284</f>
        <v>-0.27</v>
      </c>
      <c r="E284" s="34">
        <f t="shared" si="15"/>
        <v>9.3500000000000007E-3</v>
      </c>
      <c r="F284" s="19">
        <f>Solar!D284</f>
        <v>1361.73</v>
      </c>
      <c r="G284" s="32">
        <v>9.6900000000000007E-3</v>
      </c>
      <c r="H284" s="33">
        <v>0.11070000000000001</v>
      </c>
      <c r="I284" s="20">
        <f t="shared" si="13"/>
        <v>0.12260361038847184</v>
      </c>
      <c r="J284" s="20">
        <f t="shared" si="14"/>
        <v>2.7396389611526739E-2</v>
      </c>
      <c r="K284" s="20">
        <f>ENSO!I284</f>
        <v>3.4111453180768775E-2</v>
      </c>
      <c r="L284" s="19">
        <f>Analysis!B284</f>
        <v>1981.7083333333333</v>
      </c>
    </row>
    <row r="285" spans="1:12" ht="15" customHeight="1">
      <c r="A285" s="18" t="str">
        <f>Analysis!A285</f>
        <v>10/1981</v>
      </c>
      <c r="B285" s="19">
        <f>Analysis!E285</f>
        <v>0.11999999999999744</v>
      </c>
      <c r="C285" s="20">
        <f>Analysis!F285</f>
        <v>0.26753579806873473</v>
      </c>
      <c r="D285" s="19">
        <f>ENSO!D285</f>
        <v>-0.28000000000000003</v>
      </c>
      <c r="E285" s="34">
        <f t="shared" si="15"/>
        <v>9.2200000000000008E-3</v>
      </c>
      <c r="F285" s="19">
        <f>Solar!D285</f>
        <v>1361.42</v>
      </c>
      <c r="G285" s="32">
        <v>9.4999999999999998E-3</v>
      </c>
      <c r="H285" s="33">
        <v>0.1145</v>
      </c>
      <c r="I285" s="20">
        <f t="shared" si="13"/>
        <v>0.12312931546786025</v>
      </c>
      <c r="J285" s="20">
        <f t="shared" si="14"/>
        <v>-3.1293154678628116E-3</v>
      </c>
      <c r="K285" s="20">
        <f>ENSO!I285</f>
        <v>3.8059290389887424E-3</v>
      </c>
      <c r="L285" s="19">
        <f>Analysis!B285</f>
        <v>1981.7916666666667</v>
      </c>
    </row>
    <row r="286" spans="1:12" ht="15" customHeight="1">
      <c r="A286" s="18" t="str">
        <f>Analysis!A286</f>
        <v>11/1981</v>
      </c>
      <c r="B286" s="19">
        <f>Analysis!E286</f>
        <v>0.2300000000000022</v>
      </c>
      <c r="C286" s="20">
        <f>Analysis!F286</f>
        <v>0.27406992824581616</v>
      </c>
      <c r="D286" s="19">
        <f>ENSO!D286</f>
        <v>-0.23</v>
      </c>
      <c r="E286" s="34">
        <f t="shared" si="15"/>
        <v>9.0200000000000002E-3</v>
      </c>
      <c r="F286" s="19">
        <f>Solar!D286</f>
        <v>1361.75</v>
      </c>
      <c r="G286" s="32">
        <v>9.3299999999999998E-3</v>
      </c>
      <c r="H286" s="33">
        <v>0.11799999999999999</v>
      </c>
      <c r="I286" s="20">
        <f t="shared" si="13"/>
        <v>0.14603049244361194</v>
      </c>
      <c r="J286" s="20">
        <f t="shared" si="14"/>
        <v>8.3969507556390266E-2</v>
      </c>
      <c r="K286" s="20">
        <f>ENSO!I286</f>
        <v>9.1506116975546448E-2</v>
      </c>
      <c r="L286" s="19">
        <f>Analysis!B286</f>
        <v>1981.875</v>
      </c>
    </row>
    <row r="287" spans="1:12" ht="15" customHeight="1">
      <c r="A287" s="18" t="str">
        <f>Analysis!A287</f>
        <v>12/1981</v>
      </c>
      <c r="B287" s="19">
        <f>Analysis!E287</f>
        <v>0.41000000000000014</v>
      </c>
      <c r="C287" s="20">
        <f>Analysis!F287</f>
        <v>0.27972597877580269</v>
      </c>
      <c r="D287" s="19">
        <f>ENSO!D287</f>
        <v>-0.08</v>
      </c>
      <c r="E287" s="34">
        <f t="shared" si="15"/>
        <v>8.8999999999999999E-3</v>
      </c>
      <c r="F287" s="19">
        <f>Solar!D287</f>
        <v>1361.59</v>
      </c>
      <c r="G287" s="32">
        <v>8.3300000000000006E-3</v>
      </c>
      <c r="H287" s="33">
        <v>0.13789999999999999</v>
      </c>
      <c r="I287" s="20">
        <f t="shared" si="13"/>
        <v>0.17564024564042216</v>
      </c>
      <c r="J287" s="20">
        <f t="shared" si="14"/>
        <v>0.23435975435957798</v>
      </c>
      <c r="K287" s="20">
        <f>ENSO!I287</f>
        <v>0.24291443371112392</v>
      </c>
      <c r="L287" s="19">
        <f>Analysis!B287</f>
        <v>1981.9583333333333</v>
      </c>
    </row>
    <row r="288" spans="1:12" ht="15" customHeight="1">
      <c r="A288" s="18" t="str">
        <f>Analysis!A288</f>
        <v>1/1982</v>
      </c>
      <c r="B288" s="19">
        <f>Analysis!E288</f>
        <v>5.0000000000004263E-2</v>
      </c>
      <c r="C288" s="20">
        <f>Analysis!F288</f>
        <v>0.28404872727074498</v>
      </c>
      <c r="D288" s="19">
        <f>ENSO!D288</f>
        <v>-0.16</v>
      </c>
      <c r="E288" s="34">
        <f t="shared" si="15"/>
        <v>9.2499999999999995E-3</v>
      </c>
      <c r="F288" s="19">
        <f>Solar!D288</f>
        <v>1361.88</v>
      </c>
      <c r="G288" s="32">
        <v>7.4599999999999996E-3</v>
      </c>
      <c r="H288" s="33">
        <v>0.15540000000000001</v>
      </c>
      <c r="I288" s="20">
        <f t="shared" si="13"/>
        <v>0.17923649722560592</v>
      </c>
      <c r="J288" s="20">
        <f t="shared" si="14"/>
        <v>-0.12923649722560165</v>
      </c>
      <c r="K288" s="20">
        <f>ENSO!I288</f>
        <v>-0.1219962535912392</v>
      </c>
      <c r="L288" s="19">
        <f>Analysis!B288</f>
        <v>1982.0416666666667</v>
      </c>
    </row>
    <row r="289" spans="1:12" ht="15" customHeight="1">
      <c r="A289" s="18" t="str">
        <f>Analysis!A289</f>
        <v>2/1982</v>
      </c>
      <c r="B289" s="19">
        <f>Analysis!E289</f>
        <v>0.14999999999999858</v>
      </c>
      <c r="C289" s="20">
        <f>Analysis!F289</f>
        <v>0.28755672496786289</v>
      </c>
      <c r="D289" s="19">
        <f>ENSO!D289</f>
        <v>-0.19</v>
      </c>
      <c r="E289" s="34">
        <f t="shared" si="15"/>
        <v>9.6600000000000002E-3</v>
      </c>
      <c r="F289" s="19">
        <f>Solar!D289</f>
        <v>1360.75</v>
      </c>
      <c r="G289" s="32">
        <v>7.3299999999999997E-3</v>
      </c>
      <c r="H289" s="33">
        <v>0.158</v>
      </c>
      <c r="I289" s="20">
        <f t="shared" si="13"/>
        <v>0.18511830604167165</v>
      </c>
      <c r="J289" s="20">
        <f t="shared" si="14"/>
        <v>-3.511830604167307E-2</v>
      </c>
      <c r="K289" s="20">
        <f>ENSO!I289</f>
        <v>-2.9020875039031807E-2</v>
      </c>
      <c r="L289" s="19">
        <f>Analysis!B289</f>
        <v>1982.125</v>
      </c>
    </row>
    <row r="290" spans="1:12" ht="15" customHeight="1">
      <c r="A290" s="18" t="str">
        <f>Analysis!A290</f>
        <v>3/1982</v>
      </c>
      <c r="B290" s="19">
        <f>Analysis!E290</f>
        <v>2.9999999999997584E-2</v>
      </c>
      <c r="C290" s="20">
        <f>Analysis!F290</f>
        <v>0.29185610858541344</v>
      </c>
      <c r="D290" s="19">
        <f>ENSO!D290</f>
        <v>-0.14000000000000001</v>
      </c>
      <c r="E290" s="34">
        <f t="shared" si="15"/>
        <v>9.9600000000000001E-3</v>
      </c>
      <c r="F290" s="19">
        <f>Solar!D290</f>
        <v>1360.76</v>
      </c>
      <c r="G290" s="32">
        <v>7.6699999999999997E-3</v>
      </c>
      <c r="H290" s="33">
        <v>0.1512</v>
      </c>
      <c r="I290" s="20">
        <f t="shared" si="13"/>
        <v>0.20082420129006356</v>
      </c>
      <c r="J290" s="20">
        <f t="shared" si="14"/>
        <v>-0.17082420129006598</v>
      </c>
      <c r="K290" s="20">
        <f>ENSO!I290</f>
        <v>-0.16518229387193764</v>
      </c>
      <c r="L290" s="19">
        <f>Analysis!B290</f>
        <v>1982.2083333333333</v>
      </c>
    </row>
    <row r="291" spans="1:12" ht="15" customHeight="1">
      <c r="A291" s="18" t="str">
        <f>Analysis!A291</f>
        <v>4/1982</v>
      </c>
      <c r="B291" s="19">
        <f>Analysis!E291</f>
        <v>0.14999999999999858</v>
      </c>
      <c r="C291" s="20">
        <f>Analysis!F291</f>
        <v>0.2968139727658512</v>
      </c>
      <c r="D291" s="19">
        <f>ENSO!D291</f>
        <v>-0.05</v>
      </c>
      <c r="E291" s="34">
        <f t="shared" si="15"/>
        <v>9.6900000000000007E-3</v>
      </c>
      <c r="F291" s="19">
        <f>Solar!D291</f>
        <v>1361.42</v>
      </c>
      <c r="G291" s="32">
        <v>2.0670000000000001E-2</v>
      </c>
      <c r="H291" s="33">
        <v>-0.1087</v>
      </c>
      <c r="I291" s="20">
        <f t="shared" si="13"/>
        <v>0.22329205487266449</v>
      </c>
      <c r="J291" s="20">
        <f t="shared" si="14"/>
        <v>-7.3292054872665907E-2</v>
      </c>
      <c r="K291" s="20">
        <f>ENSO!I291</f>
        <v>-6.663393537087331E-2</v>
      </c>
      <c r="L291" s="19">
        <f>Analysis!B291</f>
        <v>1982.2916666666667</v>
      </c>
    </row>
    <row r="292" spans="1:12" ht="15" customHeight="1">
      <c r="A292" s="18" t="str">
        <f>Analysis!A292</f>
        <v>5/1982</v>
      </c>
      <c r="B292" s="19">
        <f>Analysis!E292</f>
        <v>0.17999999999999972</v>
      </c>
      <c r="C292" s="20">
        <f>Analysis!F292</f>
        <v>0.30020741728518119</v>
      </c>
      <c r="D292" s="19">
        <f>ENSO!D292</f>
        <v>0.02</v>
      </c>
      <c r="E292" s="34">
        <f t="shared" si="15"/>
        <v>9.4999999999999998E-3</v>
      </c>
      <c r="F292" s="19">
        <f>Solar!D292</f>
        <v>1361.37</v>
      </c>
      <c r="G292" s="32">
        <v>2.3220000000000001E-2</v>
      </c>
      <c r="H292" s="33">
        <v>-0.1598</v>
      </c>
      <c r="I292" s="20">
        <f t="shared" si="13"/>
        <v>0.23946114129330365</v>
      </c>
      <c r="J292" s="20">
        <f t="shared" si="14"/>
        <v>-5.9461141293303932E-2</v>
      </c>
      <c r="K292" s="20">
        <f>ENSO!I292</f>
        <v>-5.2047679580685624E-2</v>
      </c>
      <c r="L292" s="19">
        <f>Analysis!B292</f>
        <v>1982.375</v>
      </c>
    </row>
    <row r="293" spans="1:12" ht="15" customHeight="1">
      <c r="A293" s="18" t="str">
        <f>Analysis!A293</f>
        <v>6/1982</v>
      </c>
      <c r="B293" s="19">
        <f>Analysis!E293</f>
        <v>5.9999999999998721E-2</v>
      </c>
      <c r="C293" s="20">
        <f>Analysis!F293</f>
        <v>0.29647838424587125</v>
      </c>
      <c r="D293" s="19">
        <f>ENSO!D293</f>
        <v>7.0000000000000007E-2</v>
      </c>
      <c r="E293" s="34">
        <f t="shared" si="15"/>
        <v>9.3299999999999998E-3</v>
      </c>
      <c r="F293" s="19">
        <f>Solar!D293</f>
        <v>1360.46</v>
      </c>
      <c r="G293" s="32">
        <v>2.6190000000000001E-2</v>
      </c>
      <c r="H293" s="33">
        <v>-0.21909999999999999</v>
      </c>
      <c r="I293" s="20">
        <f t="shared" si="13"/>
        <v>0.23430429073523262</v>
      </c>
      <c r="J293" s="20">
        <f t="shared" si="14"/>
        <v>-0.1743042907352339</v>
      </c>
      <c r="K293" s="20">
        <f>ENSO!I293</f>
        <v>-0.16615667450526717</v>
      </c>
      <c r="L293" s="19">
        <f>Analysis!B293</f>
        <v>1982.4583333333333</v>
      </c>
    </row>
    <row r="294" spans="1:12" ht="15" customHeight="1">
      <c r="A294" s="18" t="str">
        <f>Analysis!A294</f>
        <v>7/1982</v>
      </c>
      <c r="B294" s="19">
        <f>Analysis!E294</f>
        <v>0.13999999999999879</v>
      </c>
      <c r="C294" s="20">
        <f>Analysis!F294</f>
        <v>0.29034014167791555</v>
      </c>
      <c r="D294" s="19">
        <f>ENSO!D294</f>
        <v>0.34</v>
      </c>
      <c r="E294" s="34">
        <f t="shared" si="15"/>
        <v>8.3300000000000006E-3</v>
      </c>
      <c r="F294" s="19">
        <f>Solar!D294</f>
        <v>1361.11</v>
      </c>
      <c r="G294" s="32">
        <v>2.7179999999999999E-2</v>
      </c>
      <c r="H294" s="33">
        <v>-0.2389</v>
      </c>
      <c r="I294" s="20">
        <f t="shared" si="13"/>
        <v>0.24481769554912564</v>
      </c>
      <c r="J294" s="20">
        <f t="shared" si="14"/>
        <v>-0.10481769554912684</v>
      </c>
      <c r="K294" s="20">
        <f>ENSO!I294</f>
        <v>-9.2796371364326585E-2</v>
      </c>
      <c r="L294" s="19">
        <f>Analysis!B294</f>
        <v>1982.5416666666667</v>
      </c>
    </row>
    <row r="295" spans="1:12" ht="15" customHeight="1">
      <c r="A295" s="18" t="str">
        <f>Analysis!A295</f>
        <v>8/1982</v>
      </c>
      <c r="B295" s="19">
        <f>Analysis!E295</f>
        <v>2.9999999999997584E-2</v>
      </c>
      <c r="C295" s="20">
        <f>Analysis!F295</f>
        <v>0.28112593290607241</v>
      </c>
      <c r="D295" s="19">
        <f>ENSO!D295</f>
        <v>0.65</v>
      </c>
      <c r="E295" s="34">
        <f t="shared" si="15"/>
        <v>7.4599999999999996E-3</v>
      </c>
      <c r="F295" s="19">
        <f>Solar!D295</f>
        <v>1361.19</v>
      </c>
      <c r="G295" s="32">
        <v>2.86E-2</v>
      </c>
      <c r="H295" s="33">
        <v>-0.26750000000000002</v>
      </c>
      <c r="I295" s="20">
        <f t="shared" si="13"/>
        <v>0.25036738536217396</v>
      </c>
      <c r="J295" s="20">
        <f t="shared" si="14"/>
        <v>-0.22036738536217637</v>
      </c>
      <c r="K295" s="20">
        <f>ENSO!I295</f>
        <v>-0.20446852691380216</v>
      </c>
      <c r="L295" s="19">
        <f>Analysis!B295</f>
        <v>1982.625</v>
      </c>
    </row>
    <row r="296" spans="1:12" ht="15" customHeight="1">
      <c r="A296" s="18" t="str">
        <f>Analysis!A296</f>
        <v>9/1982</v>
      </c>
      <c r="B296" s="19">
        <f>Analysis!E296</f>
        <v>0.13999999999999879</v>
      </c>
      <c r="C296" s="20">
        <f>Analysis!F296</f>
        <v>0.2731748371214936</v>
      </c>
      <c r="D296" s="19">
        <f>ENSO!D296</f>
        <v>0.73</v>
      </c>
      <c r="E296" s="34">
        <f t="shared" si="15"/>
        <v>7.3299999999999997E-3</v>
      </c>
      <c r="F296" s="19">
        <f>Solar!D296</f>
        <v>1361.48</v>
      </c>
      <c r="G296" s="32">
        <v>2.9919999999999999E-2</v>
      </c>
      <c r="H296" s="33">
        <v>-0.29389999999999999</v>
      </c>
      <c r="I296" s="20">
        <f t="shared" si="13"/>
        <v>0.23639100798251997</v>
      </c>
      <c r="J296" s="20">
        <f t="shared" si="14"/>
        <v>-9.6391007982521176E-2</v>
      </c>
      <c r="K296" s="20">
        <f>ENSO!I296</f>
        <v>-7.9591509270405675E-2</v>
      </c>
      <c r="L296" s="19">
        <f>Analysis!B296</f>
        <v>1982.7083333333333</v>
      </c>
    </row>
    <row r="297" spans="1:12" ht="15" customHeight="1">
      <c r="A297" s="18" t="str">
        <f>Analysis!A297</f>
        <v>10/1982</v>
      </c>
      <c r="B297" s="19">
        <f>Analysis!E297</f>
        <v>0.12999999999999901</v>
      </c>
      <c r="C297" s="20">
        <f>Analysis!F297</f>
        <v>0.27334537348989335</v>
      </c>
      <c r="D297" s="19">
        <f>ENSO!D297</f>
        <v>0.78</v>
      </c>
      <c r="E297" s="34">
        <f t="shared" si="15"/>
        <v>7.6699999999999997E-3</v>
      </c>
      <c r="F297" s="19">
        <f>Solar!D297</f>
        <v>1361.64</v>
      </c>
      <c r="G297" s="32">
        <v>3.2079999999999997E-2</v>
      </c>
      <c r="H297" s="33">
        <v>-0.33710000000000001</v>
      </c>
      <c r="I297" s="20">
        <f t="shared" si="13"/>
        <v>0.24074776429925776</v>
      </c>
      <c r="J297" s="20">
        <f t="shared" si="14"/>
        <v>-0.11074776429925876</v>
      </c>
      <c r="K297" s="20">
        <f>ENSO!I297</f>
        <v>-9.4411826403862975E-2</v>
      </c>
      <c r="L297" s="19">
        <f>Analysis!B297</f>
        <v>1982.7916666666667</v>
      </c>
    </row>
    <row r="298" spans="1:12" ht="15" customHeight="1">
      <c r="A298" s="18" t="str">
        <f>Analysis!A298</f>
        <v>11/1982</v>
      </c>
      <c r="B298" s="19">
        <f>Analysis!E298</f>
        <v>0.17999999999999972</v>
      </c>
      <c r="C298" s="20">
        <f>Analysis!F298</f>
        <v>0.27772975657104493</v>
      </c>
      <c r="D298" s="19">
        <f>ENSO!D298</f>
        <v>0.99</v>
      </c>
      <c r="E298" s="34">
        <f t="shared" si="15"/>
        <v>2.0670000000000001E-2</v>
      </c>
      <c r="F298" s="19">
        <f>Solar!D298</f>
        <v>1361.41</v>
      </c>
      <c r="G298" s="32">
        <v>3.771E-2</v>
      </c>
      <c r="H298" s="33">
        <v>-0.4496</v>
      </c>
      <c r="I298" s="20">
        <f t="shared" si="13"/>
        <v>0.2435882181770393</v>
      </c>
      <c r="J298" s="20">
        <f t="shared" si="14"/>
        <v>-6.3588218177039579E-2</v>
      </c>
      <c r="K298" s="20">
        <f>ENSO!I298</f>
        <v>-7.4732764617880587E-2</v>
      </c>
      <c r="L298" s="19">
        <f>Analysis!B298</f>
        <v>1982.875</v>
      </c>
    </row>
    <row r="299" spans="1:12" ht="15" customHeight="1">
      <c r="A299" s="18" t="str">
        <f>Analysis!A299</f>
        <v>12/1982</v>
      </c>
      <c r="B299" s="19">
        <f>Analysis!E299</f>
        <v>0.42999999999999972</v>
      </c>
      <c r="C299" s="20">
        <f>Analysis!F299</f>
        <v>0.28341384070717457</v>
      </c>
      <c r="D299" s="19">
        <f>ENSO!D299</f>
        <v>1.45</v>
      </c>
      <c r="E299" s="34">
        <f t="shared" si="15"/>
        <v>2.3220000000000001E-2</v>
      </c>
      <c r="F299" s="19">
        <f>Solar!D299</f>
        <v>1361.24</v>
      </c>
      <c r="G299" s="32">
        <v>5.3809999999999997E-2</v>
      </c>
      <c r="H299" s="33">
        <v>-0.77170000000000005</v>
      </c>
      <c r="I299" s="20">
        <f t="shared" si="13"/>
        <v>0.2961659452663214</v>
      </c>
      <c r="J299" s="20">
        <f t="shared" si="14"/>
        <v>0.13383405473367832</v>
      </c>
      <c r="K299" s="20">
        <f>ENSO!I299</f>
        <v>0.11961684085070723</v>
      </c>
      <c r="L299" s="19">
        <f>Analysis!B299</f>
        <v>1982.9583333333333</v>
      </c>
    </row>
    <row r="300" spans="1:12" ht="15" customHeight="1">
      <c r="A300" s="18" t="str">
        <f>Analysis!A300</f>
        <v>1/1983</v>
      </c>
      <c r="B300" s="19">
        <f>Analysis!E300</f>
        <v>0.52999999999999758</v>
      </c>
      <c r="C300" s="20">
        <f>Analysis!F300</f>
        <v>0.28675444184014132</v>
      </c>
      <c r="D300" s="19">
        <f>ENSO!D300</f>
        <v>1.82</v>
      </c>
      <c r="E300" s="34">
        <f t="shared" si="15"/>
        <v>2.6190000000000001E-2</v>
      </c>
      <c r="F300" s="19">
        <f>Solar!D300</f>
        <v>1361.42</v>
      </c>
      <c r="G300" s="32">
        <v>5.7509999999999999E-2</v>
      </c>
      <c r="H300" s="33">
        <v>-0.84570000000000001</v>
      </c>
      <c r="I300" s="20">
        <f t="shared" si="13"/>
        <v>0.33307629681814199</v>
      </c>
      <c r="J300" s="20">
        <f t="shared" si="14"/>
        <v>0.19692370318185559</v>
      </c>
      <c r="K300" s="20">
        <f>ENSO!I300</f>
        <v>0.17823691568387812</v>
      </c>
      <c r="L300" s="19">
        <f>Analysis!B300</f>
        <v>1983.0416666666667</v>
      </c>
    </row>
    <row r="301" spans="1:12" ht="15" customHeight="1">
      <c r="A301" s="18" t="str">
        <f>Analysis!A301</f>
        <v>2/1983</v>
      </c>
      <c r="B301" s="19">
        <f>Analysis!E301</f>
        <v>0.42999999999999972</v>
      </c>
      <c r="C301" s="20">
        <f>Analysis!F301</f>
        <v>0.29185610858541344</v>
      </c>
      <c r="D301" s="19">
        <f>ENSO!D301</f>
        <v>2.0299999999999998</v>
      </c>
      <c r="E301" s="34">
        <f t="shared" si="15"/>
        <v>2.7179999999999999E-2</v>
      </c>
      <c r="F301" s="19">
        <f>Solar!D301</f>
        <v>1361.25</v>
      </c>
      <c r="G301" s="32">
        <v>5.6910000000000002E-2</v>
      </c>
      <c r="H301" s="33">
        <v>-0.83360000000000001</v>
      </c>
      <c r="I301" s="20">
        <f t="shared" si="13"/>
        <v>0.3642993192669709</v>
      </c>
      <c r="J301" s="20">
        <f t="shared" si="14"/>
        <v>6.5700680733028816E-2</v>
      </c>
      <c r="K301" s="20">
        <f>ENSO!I301</f>
        <v>4.5945745467741772E-2</v>
      </c>
      <c r="L301" s="19">
        <f>Analysis!B301</f>
        <v>1983.125</v>
      </c>
    </row>
    <row r="302" spans="1:12" ht="15" customHeight="1">
      <c r="A302" s="18" t="str">
        <f>Analysis!A302</f>
        <v>3/1983</v>
      </c>
      <c r="B302" s="19">
        <f>Analysis!E302</f>
        <v>0.42000000000000348</v>
      </c>
      <c r="C302" s="20">
        <f>Analysis!F302</f>
        <v>0.29433717040544699</v>
      </c>
      <c r="D302" s="19">
        <f>ENSO!D302</f>
        <v>2.12</v>
      </c>
      <c r="E302" s="34">
        <f t="shared" si="15"/>
        <v>2.86E-2</v>
      </c>
      <c r="F302" s="19">
        <f>Solar!D302</f>
        <v>1361.23</v>
      </c>
      <c r="G302" s="32">
        <v>5.6890000000000003E-2</v>
      </c>
      <c r="H302" s="33">
        <v>-0.83330000000000004</v>
      </c>
      <c r="I302" s="20">
        <f t="shared" si="13"/>
        <v>0.37629328268706463</v>
      </c>
      <c r="J302" s="20">
        <f t="shared" si="14"/>
        <v>4.3706717312938848E-2</v>
      </c>
      <c r="K302" s="20">
        <f>ENSO!I302</f>
        <v>2.12973751396065E-2</v>
      </c>
      <c r="L302" s="19">
        <f>Analysis!B302</f>
        <v>1983.2083333333333</v>
      </c>
    </row>
    <row r="303" spans="1:12" ht="15" customHeight="1">
      <c r="A303" s="18" t="str">
        <f>Analysis!A303</f>
        <v>4/1983</v>
      </c>
      <c r="B303" s="19">
        <f>Analysis!E303</f>
        <v>0.28000000000000114</v>
      </c>
      <c r="C303" s="20">
        <f>Analysis!F303</f>
        <v>0.30284125569659542</v>
      </c>
      <c r="D303" s="19">
        <f>ENSO!D303</f>
        <v>2.14</v>
      </c>
      <c r="E303" s="34">
        <f t="shared" si="15"/>
        <v>2.9919999999999999E-2</v>
      </c>
      <c r="F303" s="19">
        <f>Solar!D303</f>
        <v>1361.2</v>
      </c>
      <c r="G303" s="32">
        <v>5.74E-2</v>
      </c>
      <c r="H303" s="33">
        <v>-0.84340000000000004</v>
      </c>
      <c r="I303" s="20">
        <f t="shared" si="13"/>
        <v>0.3984389803341154</v>
      </c>
      <c r="J303" s="20">
        <f t="shared" si="14"/>
        <v>-0.11843898033411426</v>
      </c>
      <c r="K303" s="20">
        <f>ENSO!I303</f>
        <v>-0.14380236893657039</v>
      </c>
      <c r="L303" s="19">
        <f>Analysis!B303</f>
        <v>1983.2916666666667</v>
      </c>
    </row>
    <row r="304" spans="1:12" ht="15" customHeight="1">
      <c r="A304" s="18" t="str">
        <f>Analysis!A304</f>
        <v>5/1983</v>
      </c>
      <c r="B304" s="19">
        <f>Analysis!E304</f>
        <v>0.33999999999999986</v>
      </c>
      <c r="C304" s="20">
        <f>Analysis!F304</f>
        <v>0.30592884206251841</v>
      </c>
      <c r="D304" s="19">
        <f>ENSO!D304</f>
        <v>1.91</v>
      </c>
      <c r="E304" s="34">
        <f t="shared" si="15"/>
        <v>3.2079999999999997E-2</v>
      </c>
      <c r="F304" s="19">
        <f>Solar!D304</f>
        <v>1361.09</v>
      </c>
      <c r="G304" s="32">
        <v>5.4690000000000003E-2</v>
      </c>
      <c r="H304" s="33">
        <v>-0.78920000000000001</v>
      </c>
      <c r="I304" s="20">
        <f t="shared" si="13"/>
        <v>0.38076452885426121</v>
      </c>
      <c r="J304" s="20">
        <f t="shared" si="14"/>
        <v>-4.076452885426135E-2</v>
      </c>
      <c r="K304" s="20">
        <f>ENSO!I304</f>
        <v>-7.2264652183403832E-2</v>
      </c>
      <c r="L304" s="19">
        <f>Analysis!B304</f>
        <v>1983.375</v>
      </c>
    </row>
    <row r="305" spans="1:12" ht="15" customHeight="1">
      <c r="A305" s="18" t="str">
        <f>Analysis!A305</f>
        <v>6/1983</v>
      </c>
      <c r="B305" s="19">
        <f>Analysis!E305</f>
        <v>0.2300000000000022</v>
      </c>
      <c r="C305" s="20">
        <f>Analysis!F305</f>
        <v>0.30434415013981614</v>
      </c>
      <c r="D305" s="19">
        <f>ENSO!D305</f>
        <v>1.52</v>
      </c>
      <c r="E305" s="34">
        <f t="shared" si="15"/>
        <v>3.771E-2</v>
      </c>
      <c r="F305" s="19">
        <f>Solar!D305</f>
        <v>1361.08</v>
      </c>
      <c r="G305" s="32">
        <v>5.2319999999999998E-2</v>
      </c>
      <c r="H305" s="33">
        <v>-0.74180000000000001</v>
      </c>
      <c r="I305" s="20">
        <f t="shared" si="13"/>
        <v>0.32786435985008877</v>
      </c>
      <c r="J305" s="20">
        <f t="shared" si="14"/>
        <v>-9.7864359850086569E-2</v>
      </c>
      <c r="K305" s="20">
        <f>ENSO!I305</f>
        <v>-0.14396709626518489</v>
      </c>
      <c r="L305" s="19">
        <f>Analysis!B305</f>
        <v>1983.4583333333333</v>
      </c>
    </row>
    <row r="306" spans="1:12" ht="15" customHeight="1">
      <c r="A306" s="18" t="str">
        <f>Analysis!A306</f>
        <v>7/1983</v>
      </c>
      <c r="B306" s="19">
        <f>Analysis!E306</f>
        <v>0.17999999999999972</v>
      </c>
      <c r="C306" s="20">
        <f>Analysis!F306</f>
        <v>0.29832315583693308</v>
      </c>
      <c r="D306" s="19">
        <f>ENSO!D306</f>
        <v>1.23</v>
      </c>
      <c r="E306" s="34">
        <f t="shared" si="15"/>
        <v>5.3809999999999997E-2</v>
      </c>
      <c r="F306" s="19">
        <f>Solar!D306</f>
        <v>1361.29</v>
      </c>
      <c r="G306" s="32">
        <v>4.7759999999999997E-2</v>
      </c>
      <c r="H306" s="33">
        <v>-0.65069999999999995</v>
      </c>
      <c r="I306" s="20">
        <f t="shared" si="13"/>
        <v>0.24910631840361114</v>
      </c>
      <c r="J306" s="20">
        <f t="shared" si="14"/>
        <v>-6.9106318403611422E-2</v>
      </c>
      <c r="K306" s="20">
        <f>ENSO!I306</f>
        <v>-0.15218769906838664</v>
      </c>
      <c r="L306" s="19">
        <f>Analysis!B306</f>
        <v>1983.5416666666667</v>
      </c>
    </row>
    <row r="307" spans="1:12" ht="15" customHeight="1">
      <c r="A307" s="18" t="str">
        <f>Analysis!A307</f>
        <v>8/1983</v>
      </c>
      <c r="B307" s="19">
        <f>Analysis!E307</f>
        <v>0.36000000000000121</v>
      </c>
      <c r="C307" s="20">
        <f>Analysis!F307</f>
        <v>0.29071928277095344</v>
      </c>
      <c r="D307" s="19">
        <f>ENSO!D307</f>
        <v>0.95</v>
      </c>
      <c r="E307" s="34">
        <f t="shared" si="15"/>
        <v>5.7509999999999999E-2</v>
      </c>
      <c r="F307" s="19">
        <f>Solar!D307</f>
        <v>1361.46</v>
      </c>
      <c r="G307" s="32">
        <v>4.1610000000000001E-2</v>
      </c>
      <c r="H307" s="33">
        <v>-0.52749999999999997</v>
      </c>
      <c r="I307" s="20">
        <f t="shared" si="13"/>
        <v>0.19424341052983268</v>
      </c>
      <c r="J307" s="20">
        <f t="shared" si="14"/>
        <v>0.16575658947016852</v>
      </c>
      <c r="K307" s="20">
        <f>ENSO!I307</f>
        <v>7.3069165711000639E-2</v>
      </c>
      <c r="L307" s="19">
        <f>Analysis!B307</f>
        <v>1983.625</v>
      </c>
    </row>
    <row r="308" spans="1:12" ht="15" customHeight="1">
      <c r="A308" s="18" t="str">
        <f>Analysis!A308</f>
        <v>9/1983</v>
      </c>
      <c r="B308" s="19">
        <f>Analysis!E308</f>
        <v>0.36999999999999744</v>
      </c>
      <c r="C308" s="20">
        <f>Analysis!F308</f>
        <v>0.28205848151793295</v>
      </c>
      <c r="D308" s="19">
        <f>ENSO!D308</f>
        <v>0.62</v>
      </c>
      <c r="E308" s="34">
        <f t="shared" si="15"/>
        <v>5.6910000000000002E-2</v>
      </c>
      <c r="F308" s="19">
        <f>Solar!D308</f>
        <v>1361.27</v>
      </c>
      <c r="G308" s="32">
        <v>3.857E-2</v>
      </c>
      <c r="H308" s="33">
        <v>-0.46679999999999999</v>
      </c>
      <c r="I308" s="20">
        <f t="shared" si="13"/>
        <v>0.14131957326992287</v>
      </c>
      <c r="J308" s="20">
        <f t="shared" si="14"/>
        <v>0.22868042673007458</v>
      </c>
      <c r="K308" s="20">
        <f>ENSO!I308</f>
        <v>0.13558108525256538</v>
      </c>
      <c r="L308" s="19">
        <f>Analysis!B308</f>
        <v>1983.7083333333333</v>
      </c>
    </row>
    <row r="309" spans="1:12" ht="15" customHeight="1">
      <c r="A309" s="18" t="str">
        <f>Analysis!A309</f>
        <v>10/1983</v>
      </c>
      <c r="B309" s="19">
        <f>Analysis!E309</f>
        <v>0.16999999999999993</v>
      </c>
      <c r="C309" s="20">
        <f>Analysis!F309</f>
        <v>0.28235507516311997</v>
      </c>
      <c r="D309" s="19">
        <f>ENSO!D309</f>
        <v>0.25</v>
      </c>
      <c r="E309" s="34">
        <f t="shared" si="15"/>
        <v>5.6890000000000003E-2</v>
      </c>
      <c r="F309" s="19">
        <f>Solar!D309</f>
        <v>1361.05</v>
      </c>
      <c r="G309" s="32">
        <v>3.4639999999999997E-2</v>
      </c>
      <c r="H309" s="33">
        <v>-0.38819999999999999</v>
      </c>
      <c r="I309" s="20">
        <f t="shared" si="13"/>
        <v>0.10783836174400646</v>
      </c>
      <c r="J309" s="20">
        <f t="shared" si="14"/>
        <v>6.2161638255993468E-2</v>
      </c>
      <c r="K309" s="20">
        <f>ENSO!I309</f>
        <v>-3.3029622168968709E-2</v>
      </c>
      <c r="L309" s="19">
        <f>Analysis!B309</f>
        <v>1983.7916666666667</v>
      </c>
    </row>
    <row r="310" spans="1:12" ht="15" customHeight="1">
      <c r="A310" s="18" t="str">
        <f>Analysis!A310</f>
        <v>11/1983</v>
      </c>
      <c r="B310" s="19">
        <f>Analysis!E310</f>
        <v>0.30000000000000249</v>
      </c>
      <c r="C310" s="20">
        <f>Analysis!F310</f>
        <v>0.28768336047734855</v>
      </c>
      <c r="D310" s="19">
        <f>ENSO!D310</f>
        <v>-0.06</v>
      </c>
      <c r="E310" s="34">
        <f t="shared" si="15"/>
        <v>5.74E-2</v>
      </c>
      <c r="F310" s="19">
        <f>Solar!D310</f>
        <v>1361.15</v>
      </c>
      <c r="G310" s="32">
        <v>3.4439999999999998E-2</v>
      </c>
      <c r="H310" s="33">
        <v>-0.3841</v>
      </c>
      <c r="I310" s="20">
        <f t="shared" si="13"/>
        <v>9.2482230535847948E-2</v>
      </c>
      <c r="J310" s="20">
        <f t="shared" si="14"/>
        <v>0.20751776946415454</v>
      </c>
      <c r="K310" s="20">
        <f>ENSO!I310</f>
        <v>0.10931637294629495</v>
      </c>
      <c r="L310" s="19">
        <f>Analysis!B310</f>
        <v>1983.875</v>
      </c>
    </row>
    <row r="311" spans="1:12" ht="15" customHeight="1">
      <c r="A311" s="18" t="str">
        <f>Analysis!A311</f>
        <v>12/1983</v>
      </c>
      <c r="B311" s="19">
        <f>Analysis!E311</f>
        <v>0.16999999999999993</v>
      </c>
      <c r="C311" s="20">
        <f>Analysis!F311</f>
        <v>0.29362272566721687</v>
      </c>
      <c r="D311" s="19">
        <f>ENSO!D311</f>
        <v>-0.43</v>
      </c>
      <c r="E311" s="34">
        <f t="shared" si="15"/>
        <v>5.4690000000000003E-2</v>
      </c>
      <c r="F311" s="19">
        <f>Solar!D311</f>
        <v>1361.08</v>
      </c>
      <c r="G311" s="32">
        <v>3.7019999999999997E-2</v>
      </c>
      <c r="H311" s="33">
        <v>-0.43580000000000002</v>
      </c>
      <c r="I311" s="20">
        <f t="shared" si="13"/>
        <v>8.0310207712325776E-2</v>
      </c>
      <c r="J311" s="20">
        <f t="shared" si="14"/>
        <v>8.9689792287674153E-2</v>
      </c>
      <c r="K311" s="20">
        <f>ENSO!I311</f>
        <v>-4.7938775906113396E-3</v>
      </c>
      <c r="L311" s="19">
        <f>Analysis!B311</f>
        <v>1983.9583333333333</v>
      </c>
    </row>
    <row r="312" spans="1:12" ht="15" customHeight="1">
      <c r="A312" s="18" t="str">
        <f>Analysis!A312</f>
        <v>1/1984</v>
      </c>
      <c r="B312" s="19">
        <f>Analysis!E312</f>
        <v>0.31000000000000227</v>
      </c>
      <c r="C312" s="20">
        <f>Analysis!F312</f>
        <v>0.29786218403948628</v>
      </c>
      <c r="D312" s="19">
        <f>ENSO!D312</f>
        <v>-0.76</v>
      </c>
      <c r="E312" s="34">
        <f t="shared" si="15"/>
        <v>5.2319999999999998E-2</v>
      </c>
      <c r="F312" s="19">
        <f>Solar!D312</f>
        <v>1360.3</v>
      </c>
      <c r="G312" s="32">
        <v>3.5860000000000003E-2</v>
      </c>
      <c r="H312" s="33">
        <v>-0.41270000000000001</v>
      </c>
      <c r="I312" s="20">
        <f t="shared" si="13"/>
        <v>6.6465495897589322E-2</v>
      </c>
      <c r="J312" s="20">
        <f t="shared" si="14"/>
        <v>0.24353450410241295</v>
      </c>
      <c r="K312" s="20">
        <f>ENSO!I312</f>
        <v>0.152283658567128</v>
      </c>
      <c r="L312" s="19">
        <f>Analysis!B312</f>
        <v>1984.0416666666667</v>
      </c>
    </row>
    <row r="313" spans="1:12" ht="15" customHeight="1">
      <c r="A313" s="18" t="str">
        <f>Analysis!A313</f>
        <v>2/1984</v>
      </c>
      <c r="B313" s="19">
        <f>Analysis!E313</f>
        <v>0.13999999999999879</v>
      </c>
      <c r="C313" s="20">
        <f>Analysis!F313</f>
        <v>0.30083495794705978</v>
      </c>
      <c r="D313" s="19">
        <f>ENSO!D313</f>
        <v>-0.96</v>
      </c>
      <c r="E313" s="34">
        <f t="shared" si="15"/>
        <v>4.7759999999999997E-2</v>
      </c>
      <c r="F313" s="19">
        <f>Solar!D313</f>
        <v>1360.56</v>
      </c>
      <c r="G313" s="32">
        <v>3.3930000000000002E-2</v>
      </c>
      <c r="H313" s="33">
        <v>-0.374</v>
      </c>
      <c r="I313" s="20">
        <f t="shared" si="13"/>
        <v>6.6048119545155007E-2</v>
      </c>
      <c r="J313" s="20">
        <f t="shared" si="14"/>
        <v>7.3951880454843785E-2</v>
      </c>
      <c r="K313" s="20">
        <f>ENSO!I313</f>
        <v>-8.4743913586190767E-3</v>
      </c>
      <c r="L313" s="19">
        <f>Analysis!B313</f>
        <v>1984.125</v>
      </c>
    </row>
    <row r="314" spans="1:12" ht="15" customHeight="1">
      <c r="A314" s="18" t="str">
        <f>Analysis!A314</f>
        <v>3/1984</v>
      </c>
      <c r="B314" s="19">
        <f>Analysis!E314</f>
        <v>0.25999999999999979</v>
      </c>
      <c r="C314" s="20">
        <f>Analysis!F314</f>
        <v>0.30401030887004266</v>
      </c>
      <c r="D314" s="19">
        <f>ENSO!D314</f>
        <v>-0.89</v>
      </c>
      <c r="E314" s="34">
        <f t="shared" si="15"/>
        <v>4.1610000000000001E-2</v>
      </c>
      <c r="F314" s="19">
        <f>Solar!D314</f>
        <v>1361.18</v>
      </c>
      <c r="G314" s="32">
        <v>3.1789999999999999E-2</v>
      </c>
      <c r="H314" s="33">
        <v>-0.33129999999999998</v>
      </c>
      <c r="I314" s="20">
        <f t="shared" si="13"/>
        <v>9.4736471266686037E-2</v>
      </c>
      <c r="J314" s="20">
        <f t="shared" si="14"/>
        <v>0.16526352873331374</v>
      </c>
      <c r="K314" s="20">
        <f>ENSO!I314</f>
        <v>9.6710923080851274E-2</v>
      </c>
      <c r="L314" s="19">
        <f>Analysis!B314</f>
        <v>1984.2083333333333</v>
      </c>
    </row>
    <row r="315" spans="1:12" ht="15" customHeight="1">
      <c r="A315" s="18" t="str">
        <f>Analysis!A315</f>
        <v>4/1984</v>
      </c>
      <c r="B315" s="19">
        <f>Analysis!E315</f>
        <v>5.9999999999998721E-2</v>
      </c>
      <c r="C315" s="20">
        <f>Analysis!F315</f>
        <v>0.31104633643445362</v>
      </c>
      <c r="D315" s="19">
        <f>ENSO!D315</f>
        <v>-0.63</v>
      </c>
      <c r="E315" s="34">
        <f t="shared" si="15"/>
        <v>3.857E-2</v>
      </c>
      <c r="F315" s="19">
        <f>Solar!D315</f>
        <v>1360.44</v>
      </c>
      <c r="G315" s="32">
        <v>3.0419999999999999E-2</v>
      </c>
      <c r="H315" s="33">
        <v>-0.30380000000000001</v>
      </c>
      <c r="I315" s="20">
        <f t="shared" si="13"/>
        <v>0.1447424898265382</v>
      </c>
      <c r="J315" s="20">
        <f t="shared" si="14"/>
        <v>-8.474248982653948E-2</v>
      </c>
      <c r="K315" s="20">
        <f>ENSO!I315</f>
        <v>-0.14524543046715466</v>
      </c>
      <c r="L315" s="19">
        <f>Analysis!B315</f>
        <v>1984.2916666666667</v>
      </c>
    </row>
    <row r="316" spans="1:12" ht="15" customHeight="1">
      <c r="A316" s="18" t="str">
        <f>Analysis!A316</f>
        <v>5/1984</v>
      </c>
      <c r="B316" s="19">
        <f>Analysis!E316</f>
        <v>0.32999999999999652</v>
      </c>
      <c r="C316" s="20">
        <f>Analysis!F316</f>
        <v>0.31270665832658501</v>
      </c>
      <c r="D316" s="19">
        <f>ENSO!D316</f>
        <v>-0.51</v>
      </c>
      <c r="E316" s="34">
        <f t="shared" si="15"/>
        <v>3.4639999999999997E-2</v>
      </c>
      <c r="F316" s="19">
        <f>Solar!D316</f>
        <v>1360.71</v>
      </c>
      <c r="G316" s="32">
        <v>2.904E-2</v>
      </c>
      <c r="H316" s="33">
        <v>-0.2762</v>
      </c>
      <c r="I316" s="20">
        <f t="shared" si="13"/>
        <v>0.1690536809394883</v>
      </c>
      <c r="J316" s="20">
        <f t="shared" si="14"/>
        <v>0.16094631906050821</v>
      </c>
      <c r="K316" s="20">
        <f>ENSO!I316</f>
        <v>0.10974947137647367</v>
      </c>
      <c r="L316" s="19">
        <f>Analysis!B316</f>
        <v>1984.375</v>
      </c>
    </row>
    <row r="317" spans="1:12" ht="15" customHeight="1">
      <c r="A317" s="18" t="str">
        <f>Analysis!A317</f>
        <v>6/1984</v>
      </c>
      <c r="B317" s="19">
        <f>Analysis!E317</f>
        <v>2.0000000000003126E-2</v>
      </c>
      <c r="C317" s="20">
        <f>Analysis!F317</f>
        <v>0.31017390193106481</v>
      </c>
      <c r="D317" s="19">
        <f>ENSO!D317</f>
        <v>-0.38</v>
      </c>
      <c r="E317" s="34">
        <f t="shared" si="15"/>
        <v>3.4439999999999998E-2</v>
      </c>
      <c r="F317" s="19">
        <f>Solar!D317</f>
        <v>1361.11</v>
      </c>
      <c r="G317" s="32">
        <v>2.8459999999999999E-2</v>
      </c>
      <c r="H317" s="33">
        <v>-0.2646</v>
      </c>
      <c r="I317" s="20">
        <f t="shared" si="13"/>
        <v>0.17464919807103729</v>
      </c>
      <c r="J317" s="20">
        <f t="shared" si="14"/>
        <v>-0.15464919807103417</v>
      </c>
      <c r="K317" s="20">
        <f>ENSO!I317</f>
        <v>-0.2046084732105154</v>
      </c>
      <c r="L317" s="19">
        <f>Analysis!B317</f>
        <v>1984.4583333333333</v>
      </c>
    </row>
    <row r="318" spans="1:12" ht="15" customHeight="1">
      <c r="A318" s="18" t="str">
        <f>Analysis!A318</f>
        <v>7/1984</v>
      </c>
      <c r="B318" s="19">
        <f>Analysis!E318</f>
        <v>0.19000000000000128</v>
      </c>
      <c r="C318" s="20">
        <f>Analysis!F318</f>
        <v>0.30446932070233174</v>
      </c>
      <c r="D318" s="19">
        <f>ENSO!D318</f>
        <v>-0.47</v>
      </c>
      <c r="E318" s="34">
        <f t="shared" si="15"/>
        <v>3.7019999999999997E-2</v>
      </c>
      <c r="F318" s="19">
        <f>Solar!D318</f>
        <v>1361.15</v>
      </c>
      <c r="G318" s="32">
        <v>2.6579999999999999E-2</v>
      </c>
      <c r="H318" s="33">
        <v>-0.22689999999999999</v>
      </c>
      <c r="I318" s="20">
        <f t="shared" si="13"/>
        <v>0.14506191538463081</v>
      </c>
      <c r="J318" s="20">
        <f t="shared" si="14"/>
        <v>4.4938084615370466E-2</v>
      </c>
      <c r="K318" s="20">
        <f>ENSO!I318</f>
        <v>-1.110575220333046E-2</v>
      </c>
      <c r="L318" s="19">
        <f>Analysis!B318</f>
        <v>1984.5416666666667</v>
      </c>
    </row>
    <row r="319" spans="1:12" ht="15" customHeight="1">
      <c r="A319" s="18" t="str">
        <f>Analysis!A319</f>
        <v>8/1984</v>
      </c>
      <c r="B319" s="19">
        <f>Analysis!E319</f>
        <v>0.19000000000000128</v>
      </c>
      <c r="C319" s="20">
        <f>Analysis!F319</f>
        <v>0.29589091643366305</v>
      </c>
      <c r="D319" s="19">
        <f>ENSO!D319</f>
        <v>-0.55000000000000004</v>
      </c>
      <c r="E319" s="34">
        <f t="shared" si="15"/>
        <v>3.5860000000000003E-2</v>
      </c>
      <c r="F319" s="19">
        <f>Solar!D319</f>
        <v>1361.01</v>
      </c>
      <c r="G319" s="32">
        <v>2.4930000000000001E-2</v>
      </c>
      <c r="H319" s="33">
        <v>-0.19400000000000001</v>
      </c>
      <c r="I319" s="20">
        <f t="shared" si="13"/>
        <v>0.11679376094147137</v>
      </c>
      <c r="J319" s="20">
        <f t="shared" si="14"/>
        <v>7.3206239058529909E-2</v>
      </c>
      <c r="K319" s="20">
        <f>ENSO!I319</f>
        <v>1.9420397147029506E-2</v>
      </c>
      <c r="L319" s="19">
        <f>Analysis!B319</f>
        <v>1984.625</v>
      </c>
    </row>
    <row r="320" spans="1:12" ht="15" customHeight="1">
      <c r="A320" s="18" t="str">
        <f>Analysis!A320</f>
        <v>9/1984</v>
      </c>
      <c r="B320" s="19">
        <f>Analysis!E320</f>
        <v>0.21000000000000085</v>
      </c>
      <c r="C320" s="20">
        <f>Analysis!F320</f>
        <v>0.28683891370859382</v>
      </c>
      <c r="D320" s="19">
        <f>ENSO!D320</f>
        <v>-0.52</v>
      </c>
      <c r="E320" s="34">
        <f t="shared" si="15"/>
        <v>3.3930000000000002E-2</v>
      </c>
      <c r="F320" s="19">
        <f>Solar!D320</f>
        <v>1360.9</v>
      </c>
      <c r="G320" s="32">
        <v>2.4070000000000001E-2</v>
      </c>
      <c r="H320" s="33">
        <v>-0.1767</v>
      </c>
      <c r="I320" s="20">
        <f t="shared" si="13"/>
        <v>9.9135624756243865E-2</v>
      </c>
      <c r="J320" s="20">
        <f t="shared" si="14"/>
        <v>0.11086437524375699</v>
      </c>
      <c r="K320" s="20">
        <f>ENSO!I320</f>
        <v>6.1673270222961235E-2</v>
      </c>
      <c r="L320" s="19">
        <f>Analysis!B320</f>
        <v>1984.7083333333333</v>
      </c>
    </row>
    <row r="321" spans="1:12" ht="15" customHeight="1">
      <c r="A321" s="18" t="str">
        <f>Analysis!A321</f>
        <v>10/1984</v>
      </c>
      <c r="B321" s="19">
        <f>Analysis!E321</f>
        <v>0.12999999999999901</v>
      </c>
      <c r="C321" s="20">
        <f>Analysis!F321</f>
        <v>0.28797880011229388</v>
      </c>
      <c r="D321" s="19">
        <f>ENSO!D321</f>
        <v>-0.39</v>
      </c>
      <c r="E321" s="34">
        <f t="shared" si="15"/>
        <v>3.1789999999999999E-2</v>
      </c>
      <c r="F321" s="19">
        <f>Solar!D321</f>
        <v>1360.76</v>
      </c>
      <c r="G321" s="32">
        <v>2.2290000000000001E-2</v>
      </c>
      <c r="H321" s="33">
        <v>-0.14130000000000001</v>
      </c>
      <c r="I321" s="20">
        <f t="shared" si="13"/>
        <v>0.11901668627429862</v>
      </c>
      <c r="J321" s="20">
        <f t="shared" si="14"/>
        <v>1.0983313725700383E-2</v>
      </c>
      <c r="K321" s="20">
        <f>ENSO!I321</f>
        <v>-3.2772675439946081E-2</v>
      </c>
      <c r="L321" s="19">
        <f>Analysis!B321</f>
        <v>1984.7916666666667</v>
      </c>
    </row>
    <row r="322" spans="1:12" ht="15" customHeight="1">
      <c r="A322" s="18" t="str">
        <f>Analysis!A322</f>
        <v>11/1984</v>
      </c>
      <c r="B322" s="19">
        <f>Analysis!E322</f>
        <v>5.9999999999998721E-2</v>
      </c>
      <c r="C322" s="20">
        <f>Analysis!F322</f>
        <v>0.29408505383681638</v>
      </c>
      <c r="D322" s="19">
        <f>ENSO!D322</f>
        <v>-0.22</v>
      </c>
      <c r="E322" s="34">
        <f t="shared" si="15"/>
        <v>3.0419999999999999E-2</v>
      </c>
      <c r="F322" s="19">
        <f>Solar!D322</f>
        <v>1360.62</v>
      </c>
      <c r="G322" s="32">
        <v>2.12E-2</v>
      </c>
      <c r="H322" s="33">
        <v>-0.1193</v>
      </c>
      <c r="I322" s="20">
        <f t="shared" ref="I322:I385" si="16">IF(OR(D322="",E322=""),"",$N$14+$N$15*C322+$N$16*D322+$N$17*E322)</f>
        <v>0.15446067594073176</v>
      </c>
      <c r="J322" s="20">
        <f t="shared" ref="J322:J385" si="17">IF(I322="","",B322-I322)</f>
        <v>-9.4460675940733041E-2</v>
      </c>
      <c r="K322" s="20">
        <f>ENSO!I322</f>
        <v>-0.13434173050052398</v>
      </c>
      <c r="L322" s="19">
        <f>Analysis!B322</f>
        <v>1984.875</v>
      </c>
    </row>
    <row r="323" spans="1:12" ht="15" customHeight="1">
      <c r="A323" s="18" t="str">
        <f>Analysis!A323</f>
        <v>12/1984</v>
      </c>
      <c r="B323" s="19">
        <f>Analysis!E323</f>
        <v>-3.9999999999999147E-2</v>
      </c>
      <c r="C323" s="20">
        <f>Analysis!F323</f>
        <v>0.30116953472056501</v>
      </c>
      <c r="D323" s="19">
        <f>ENSO!D323</f>
        <v>-0.32</v>
      </c>
      <c r="E323" s="34">
        <f t="shared" si="15"/>
        <v>2.904E-2</v>
      </c>
      <c r="F323" s="19">
        <f>Solar!D323</f>
        <v>1360.73</v>
      </c>
      <c r="G323" s="32">
        <v>1.9550000000000001E-2</v>
      </c>
      <c r="H323" s="33">
        <v>-8.6300000000000002E-2</v>
      </c>
      <c r="I323" s="20">
        <f t="shared" si="16"/>
        <v>0.16754005700085772</v>
      </c>
      <c r="J323" s="20">
        <f t="shared" si="17"/>
        <v>-0.20754005700085687</v>
      </c>
      <c r="K323" s="20">
        <f>ENSO!I323</f>
        <v>-0.24509757827896636</v>
      </c>
      <c r="L323" s="19">
        <f>Analysis!B323</f>
        <v>1984.9583333333333</v>
      </c>
    </row>
    <row r="324" spans="1:12" ht="15" customHeight="1">
      <c r="A324" s="18" t="str">
        <f>Analysis!A324</f>
        <v>1/1985</v>
      </c>
      <c r="B324" s="19">
        <f>Analysis!E324</f>
        <v>0.22000000000000242</v>
      </c>
      <c r="C324" s="20">
        <f>Analysis!F324</f>
        <v>0.30317536756489971</v>
      </c>
      <c r="D324" s="19">
        <f>ENSO!D324</f>
        <v>-0.62</v>
      </c>
      <c r="E324" s="34">
        <f t="shared" si="15"/>
        <v>2.8459999999999999E-2</v>
      </c>
      <c r="F324" s="19">
        <f>Solar!D324</f>
        <v>1360.62</v>
      </c>
      <c r="G324" s="32">
        <v>1.8599999999999998E-2</v>
      </c>
      <c r="H324" s="33">
        <v>-6.7299999999999999E-2</v>
      </c>
      <c r="I324" s="20">
        <f t="shared" si="16"/>
        <v>0.14644851705131828</v>
      </c>
      <c r="J324" s="20">
        <f t="shared" si="17"/>
        <v>7.3551482948684133E-2</v>
      </c>
      <c r="K324" s="20">
        <f>ENSO!I324</f>
        <v>3.5504138767363275E-2</v>
      </c>
      <c r="L324" s="19">
        <f>Analysis!B324</f>
        <v>1985.0416666666667</v>
      </c>
    </row>
    <row r="325" spans="1:12" ht="15" customHeight="1">
      <c r="A325" s="18" t="str">
        <f>Analysis!A325</f>
        <v>2/1985</v>
      </c>
      <c r="B325" s="19">
        <f>Analysis!E325</f>
        <v>-3.9999999999999147E-2</v>
      </c>
      <c r="C325" s="20">
        <f>Analysis!F325</f>
        <v>0.30705375053345996</v>
      </c>
      <c r="D325" s="19">
        <f>ENSO!D325</f>
        <v>-0.95</v>
      </c>
      <c r="E325" s="34">
        <f t="shared" si="15"/>
        <v>2.6579999999999999E-2</v>
      </c>
      <c r="F325" s="19">
        <f>Solar!D325</f>
        <v>1360.68</v>
      </c>
      <c r="G325" s="32">
        <v>1.737E-2</v>
      </c>
      <c r="H325" s="33">
        <v>-4.2700000000000002E-2</v>
      </c>
      <c r="I325" s="20">
        <f t="shared" si="16"/>
        <v>0.1305408262325945</v>
      </c>
      <c r="J325" s="20">
        <f t="shared" si="17"/>
        <v>-0.17054082623259365</v>
      </c>
      <c r="K325" s="20">
        <f>ENSO!I325</f>
        <v>-0.20642652454862198</v>
      </c>
      <c r="L325" s="19">
        <f>Analysis!B325</f>
        <v>1985.125</v>
      </c>
    </row>
    <row r="326" spans="1:12" ht="15" customHeight="1">
      <c r="A326" s="18" t="str">
        <f>Analysis!A326</f>
        <v>3/1985</v>
      </c>
      <c r="B326" s="19">
        <f>Analysis!E326</f>
        <v>0.16999999999999993</v>
      </c>
      <c r="C326" s="20">
        <f>Analysis!F326</f>
        <v>0.31328731986192054</v>
      </c>
      <c r="D326" s="19">
        <f>ENSO!D326</f>
        <v>-1.06</v>
      </c>
      <c r="E326" s="34">
        <f t="shared" si="15"/>
        <v>2.4930000000000001E-2</v>
      </c>
      <c r="F326" s="19">
        <f>Solar!D326</f>
        <v>1360.64</v>
      </c>
      <c r="G326" s="32">
        <v>1.609E-2</v>
      </c>
      <c r="H326" s="33">
        <v>-1.7299999999999999E-2</v>
      </c>
      <c r="I326" s="20">
        <f t="shared" si="16"/>
        <v>0.14096555404771466</v>
      </c>
      <c r="J326" s="20">
        <f t="shared" si="17"/>
        <v>2.903444595228527E-2</v>
      </c>
      <c r="K326" s="20">
        <f>ENSO!I326</f>
        <v>-3.9747140499810651E-3</v>
      </c>
      <c r="L326" s="19">
        <f>Analysis!B326</f>
        <v>1985.2083333333333</v>
      </c>
    </row>
    <row r="327" spans="1:12" ht="15" customHeight="1">
      <c r="A327" s="18" t="str">
        <f>Analysis!A327</f>
        <v>4/1985</v>
      </c>
      <c r="B327" s="19">
        <f>Analysis!E327</f>
        <v>0.11999999999999744</v>
      </c>
      <c r="C327" s="20">
        <f>Analysis!F327</f>
        <v>0.31639403332587512</v>
      </c>
      <c r="D327" s="19">
        <f>ENSO!D327</f>
        <v>-1.01</v>
      </c>
      <c r="E327" s="34">
        <f t="shared" si="15"/>
        <v>2.4070000000000001E-2</v>
      </c>
      <c r="F327" s="19">
        <f>Solar!D327</f>
        <v>1360.51</v>
      </c>
      <c r="G327" s="32">
        <v>1.4970000000000001E-2</v>
      </c>
      <c r="H327" s="33">
        <v>5.1000000000000004E-3</v>
      </c>
      <c r="I327" s="20">
        <f t="shared" si="16"/>
        <v>0.15597093846488586</v>
      </c>
      <c r="J327" s="20">
        <f t="shared" si="17"/>
        <v>-3.5970938464888413E-2</v>
      </c>
      <c r="K327" s="20">
        <f>ENSO!I327</f>
        <v>-6.6860111104991626E-2</v>
      </c>
      <c r="L327" s="19">
        <f>Analysis!B327</f>
        <v>1985.2916666666667</v>
      </c>
    </row>
    <row r="328" spans="1:12" ht="15" customHeight="1">
      <c r="A328" s="18" t="str">
        <f>Analysis!A328</f>
        <v>5/1985</v>
      </c>
      <c r="B328" s="19">
        <f>Analysis!E328</f>
        <v>0.14999999999999858</v>
      </c>
      <c r="C328" s="20">
        <f>Analysis!F328</f>
        <v>0.3189572082710998</v>
      </c>
      <c r="D328" s="19">
        <f>ENSO!D328</f>
        <v>-0.86</v>
      </c>
      <c r="E328" s="34">
        <f t="shared" si="15"/>
        <v>2.2290000000000001E-2</v>
      </c>
      <c r="F328" s="19">
        <f>Solar!D328</f>
        <v>1360.61</v>
      </c>
      <c r="G328" s="32">
        <v>1.376E-2</v>
      </c>
      <c r="H328" s="33">
        <v>2.93E-2</v>
      </c>
      <c r="I328" s="20">
        <f t="shared" si="16"/>
        <v>0.18079768748616418</v>
      </c>
      <c r="J328" s="20">
        <f t="shared" si="17"/>
        <v>-3.0797687486165598E-2</v>
      </c>
      <c r="K328" s="20">
        <f>ENSO!I328</f>
        <v>-5.6956295642075827E-2</v>
      </c>
      <c r="L328" s="19">
        <f>Analysis!B328</f>
        <v>1985.375</v>
      </c>
    </row>
    <row r="329" spans="1:12" ht="15" customHeight="1">
      <c r="A329" s="18" t="str">
        <f>Analysis!A329</f>
        <v>6/1985</v>
      </c>
      <c r="B329" s="19">
        <f>Analysis!E329</f>
        <v>0.14999999999999858</v>
      </c>
      <c r="C329" s="20">
        <f>Analysis!F329</f>
        <v>0.31635265445446925</v>
      </c>
      <c r="D329" s="19">
        <f>ENSO!D329</f>
        <v>-0.85</v>
      </c>
      <c r="E329" s="34">
        <f t="shared" ref="E329:E392" si="18">IF(G322="","",G322)</f>
        <v>2.12E-2</v>
      </c>
      <c r="F329" s="19">
        <f>Solar!D329</f>
        <v>1360.68</v>
      </c>
      <c r="G329" s="32">
        <v>1.3259999999999999E-2</v>
      </c>
      <c r="H329" s="33">
        <v>3.9399999999999998E-2</v>
      </c>
      <c r="I329" s="20">
        <f t="shared" si="16"/>
        <v>0.17702029411085646</v>
      </c>
      <c r="J329" s="20">
        <f t="shared" si="17"/>
        <v>-2.7020294110857879E-2</v>
      </c>
      <c r="K329" s="20">
        <f>ENSO!I329</f>
        <v>-5.0672494962934689E-2</v>
      </c>
      <c r="L329" s="19">
        <f>Analysis!B329</f>
        <v>1985.4583333333333</v>
      </c>
    </row>
    <row r="330" spans="1:12" ht="15" customHeight="1">
      <c r="A330" s="18" t="str">
        <f>Analysis!A330</f>
        <v>7/1985</v>
      </c>
      <c r="B330" s="19">
        <f>Analysis!E330</f>
        <v>3.9999999999999147E-2</v>
      </c>
      <c r="C330" s="20">
        <f>Analysis!F330</f>
        <v>0.30909301345405343</v>
      </c>
      <c r="D330" s="19">
        <f>ENSO!D330</f>
        <v>-0.8</v>
      </c>
      <c r="E330" s="34">
        <f t="shared" si="18"/>
        <v>1.9550000000000001E-2</v>
      </c>
      <c r="F330" s="19">
        <f>Solar!D330</f>
        <v>1360.63</v>
      </c>
      <c r="G330" s="32">
        <v>1.264E-2</v>
      </c>
      <c r="H330" s="33">
        <v>5.1900000000000002E-2</v>
      </c>
      <c r="I330" s="20">
        <f t="shared" si="16"/>
        <v>0.16549049336023575</v>
      </c>
      <c r="J330" s="20">
        <f t="shared" si="17"/>
        <v>-0.1254904933602366</v>
      </c>
      <c r="K330" s="20">
        <f>ENSO!I330</f>
        <v>-0.14508362955712442</v>
      </c>
      <c r="L330" s="19">
        <f>Analysis!B330</f>
        <v>1985.5416666666667</v>
      </c>
    </row>
    <row r="331" spans="1:12" ht="15" customHeight="1">
      <c r="A331" s="18" t="str">
        <f>Analysis!A331</f>
        <v>8/1985</v>
      </c>
      <c r="B331" s="19">
        <f>Analysis!E331</f>
        <v>0.16999999999999993</v>
      </c>
      <c r="C331" s="20">
        <f>Analysis!F331</f>
        <v>0.30225637367507746</v>
      </c>
      <c r="D331" s="19">
        <f>ENSO!D331</f>
        <v>-0.79</v>
      </c>
      <c r="E331" s="34">
        <f t="shared" si="18"/>
        <v>1.8599999999999998E-2</v>
      </c>
      <c r="F331" s="19">
        <f>Solar!D331</f>
        <v>1360.77</v>
      </c>
      <c r="G331" s="32">
        <v>1.2370000000000001E-2</v>
      </c>
      <c r="H331" s="33">
        <v>5.7200000000000001E-2</v>
      </c>
      <c r="I331" s="20">
        <f t="shared" si="16"/>
        <v>0.14986234988993211</v>
      </c>
      <c r="J331" s="20">
        <f t="shared" si="17"/>
        <v>2.0137650110067823E-2</v>
      </c>
      <c r="K331" s="20">
        <f>ENSO!I331</f>
        <v>2.8248485206873175E-3</v>
      </c>
      <c r="L331" s="19">
        <f>Analysis!B331</f>
        <v>1985.625</v>
      </c>
    </row>
    <row r="332" spans="1:12" ht="15" customHeight="1">
      <c r="A332" s="18" t="str">
        <f>Analysis!A332</f>
        <v>9/1985</v>
      </c>
      <c r="B332" s="19">
        <f>Analysis!E332</f>
        <v>0.12999999999999901</v>
      </c>
      <c r="C332" s="20">
        <f>Analysis!F332</f>
        <v>0.29475726680375902</v>
      </c>
      <c r="D332" s="19">
        <f>ENSO!D332</f>
        <v>-0.6</v>
      </c>
      <c r="E332" s="34">
        <f t="shared" si="18"/>
        <v>1.737E-2</v>
      </c>
      <c r="F332" s="19">
        <f>Solar!D332</f>
        <v>1360.65</v>
      </c>
      <c r="G332" s="32">
        <v>1.179E-2</v>
      </c>
      <c r="H332" s="33">
        <v>6.88E-2</v>
      </c>
      <c r="I332" s="20">
        <f t="shared" si="16"/>
        <v>0.14974657795739771</v>
      </c>
      <c r="J332" s="20">
        <f t="shared" si="17"/>
        <v>-1.9746577957398703E-2</v>
      </c>
      <c r="K332" s="20">
        <f>ENSO!I332</f>
        <v>-3.3113809927439647E-2</v>
      </c>
      <c r="L332" s="19">
        <f>Analysis!B332</f>
        <v>1985.7083333333333</v>
      </c>
    </row>
    <row r="333" spans="1:12" ht="15" customHeight="1">
      <c r="A333" s="18" t="str">
        <f>Analysis!A333</f>
        <v>10/1985</v>
      </c>
      <c r="B333" s="19">
        <f>Analysis!E333</f>
        <v>0.11999999999999744</v>
      </c>
      <c r="C333" s="20">
        <f>Analysis!F333</f>
        <v>0.29425313644451412</v>
      </c>
      <c r="D333" s="19">
        <f>ENSO!D333</f>
        <v>-0.44</v>
      </c>
      <c r="E333" s="34">
        <f t="shared" si="18"/>
        <v>1.609E-2</v>
      </c>
      <c r="F333" s="19">
        <f>Solar!D333</f>
        <v>1360.54</v>
      </c>
      <c r="G333" s="32">
        <v>1.15E-2</v>
      </c>
      <c r="H333" s="33">
        <v>7.46E-2</v>
      </c>
      <c r="I333" s="20">
        <f t="shared" si="16"/>
        <v>0.16603525313934425</v>
      </c>
      <c r="J333" s="20">
        <f t="shared" si="17"/>
        <v>-4.603525313934681E-2</v>
      </c>
      <c r="K333" s="20">
        <f>ENSO!I333</f>
        <v>-5.5655109783371903E-2</v>
      </c>
      <c r="L333" s="19">
        <f>Analysis!B333</f>
        <v>1985.7916666666667</v>
      </c>
    </row>
    <row r="334" spans="1:12" ht="15" customHeight="1">
      <c r="A334" s="18" t="str">
        <f>Analysis!A334</f>
        <v>11/1985</v>
      </c>
      <c r="B334" s="19">
        <f>Analysis!E334</f>
        <v>5.0000000000004263E-2</v>
      </c>
      <c r="C334" s="20">
        <f>Analysis!F334</f>
        <v>0.30004002699743576</v>
      </c>
      <c r="D334" s="19">
        <f>ENSO!D334</f>
        <v>-0.33</v>
      </c>
      <c r="E334" s="34">
        <f t="shared" si="18"/>
        <v>1.4970000000000001E-2</v>
      </c>
      <c r="F334" s="19">
        <f>Solar!D334</f>
        <v>1360.61</v>
      </c>
      <c r="G334" s="32">
        <v>1.103E-2</v>
      </c>
      <c r="H334" s="33">
        <v>8.3900000000000002E-2</v>
      </c>
      <c r="I334" s="20">
        <f t="shared" si="16"/>
        <v>0.19449041443035975</v>
      </c>
      <c r="J334" s="20">
        <f t="shared" si="17"/>
        <v>-0.14449041443035548</v>
      </c>
      <c r="K334" s="20">
        <f>ENSO!I334</f>
        <v>-0.15112467312256583</v>
      </c>
      <c r="L334" s="19">
        <f>Analysis!B334</f>
        <v>1985.875</v>
      </c>
    </row>
    <row r="335" spans="1:12" ht="15" customHeight="1">
      <c r="A335" s="18" t="str">
        <f>Analysis!A335</f>
        <v>12/1985</v>
      </c>
      <c r="B335" s="19">
        <f>Analysis!E335</f>
        <v>0.13999999999999879</v>
      </c>
      <c r="C335" s="20">
        <f>Analysis!F335</f>
        <v>0.30584548060634364</v>
      </c>
      <c r="D335" s="19">
        <f>ENSO!D335</f>
        <v>-0.31</v>
      </c>
      <c r="E335" s="34">
        <f t="shared" si="18"/>
        <v>1.376E-2</v>
      </c>
      <c r="F335" s="19">
        <f>Solar!D335</f>
        <v>1360.65</v>
      </c>
      <c r="G335" s="32">
        <v>1.2829999999999999E-2</v>
      </c>
      <c r="H335" s="33">
        <v>4.7899999999999998E-2</v>
      </c>
      <c r="I335" s="20">
        <f t="shared" si="16"/>
        <v>0.21484268538355014</v>
      </c>
      <c r="J335" s="20">
        <f t="shared" si="17"/>
        <v>-7.4842685383551349E-2</v>
      </c>
      <c r="K335" s="20">
        <f>ENSO!I335</f>
        <v>-7.881182610229992E-2</v>
      </c>
      <c r="L335" s="19">
        <f>Analysis!B335</f>
        <v>1985.9583333333333</v>
      </c>
    </row>
    <row r="336" spans="1:12" ht="15" customHeight="1">
      <c r="A336" s="18" t="str">
        <f>Analysis!A336</f>
        <v>1/1986</v>
      </c>
      <c r="B336" s="19">
        <f>Analysis!E336</f>
        <v>0.25999999999999979</v>
      </c>
      <c r="C336" s="20">
        <f>Analysis!F336</f>
        <v>0.30859386858427595</v>
      </c>
      <c r="D336" s="19">
        <f>ENSO!D336</f>
        <v>-0.3</v>
      </c>
      <c r="E336" s="34">
        <f t="shared" si="18"/>
        <v>1.3259999999999999E-2</v>
      </c>
      <c r="F336" s="19">
        <f>Solar!D336</f>
        <v>1360.67</v>
      </c>
      <c r="G336" s="32">
        <v>1.519E-2</v>
      </c>
      <c r="H336" s="33">
        <v>8.0000000000000004E-4</v>
      </c>
      <c r="I336" s="20">
        <f t="shared" si="16"/>
        <v>0.2243668361639902</v>
      </c>
      <c r="J336" s="20">
        <f t="shared" si="17"/>
        <v>3.563316383600959E-2</v>
      </c>
      <c r="K336" s="20">
        <f>ENSO!I336</f>
        <v>3.2768534701258067E-2</v>
      </c>
      <c r="L336" s="19">
        <f>Analysis!B336</f>
        <v>1986.0416666666667</v>
      </c>
    </row>
    <row r="337" spans="1:12" ht="15" customHeight="1">
      <c r="A337" s="18" t="str">
        <f>Analysis!A337</f>
        <v>2/1986</v>
      </c>
      <c r="B337" s="19">
        <f>Analysis!E337</f>
        <v>0.36999999999999744</v>
      </c>
      <c r="C337" s="20">
        <f>Analysis!F337</f>
        <v>0.31150311546826975</v>
      </c>
      <c r="D337" s="19">
        <f>ENSO!D337</f>
        <v>-0.28000000000000003</v>
      </c>
      <c r="E337" s="34">
        <f t="shared" si="18"/>
        <v>1.264E-2</v>
      </c>
      <c r="F337" s="19">
        <f>Solar!D337</f>
        <v>1360.54</v>
      </c>
      <c r="G337" s="32">
        <v>1.5959999999999998E-2</v>
      </c>
      <c r="H337" s="33">
        <v>-1.46E-2</v>
      </c>
      <c r="I337" s="20">
        <f t="shared" si="16"/>
        <v>0.23552171011356737</v>
      </c>
      <c r="J337" s="20">
        <f t="shared" si="17"/>
        <v>0.13447828988643007</v>
      </c>
      <c r="K337" s="20">
        <f>ENSO!I337</f>
        <v>0.13303667118316315</v>
      </c>
      <c r="L337" s="19">
        <f>Analysis!B337</f>
        <v>1986.125</v>
      </c>
    </row>
    <row r="338" spans="1:12" ht="15" customHeight="1">
      <c r="A338" s="18" t="str">
        <f>Analysis!A338</f>
        <v>3/1986</v>
      </c>
      <c r="B338" s="19">
        <f>Analysis!E338</f>
        <v>0.30000000000000249</v>
      </c>
      <c r="C338" s="20">
        <f>Analysis!F338</f>
        <v>0.31469652565628642</v>
      </c>
      <c r="D338" s="19">
        <f>ENSO!D338</f>
        <v>-0.36</v>
      </c>
      <c r="E338" s="34">
        <f t="shared" si="18"/>
        <v>1.2370000000000001E-2</v>
      </c>
      <c r="F338" s="19">
        <f>Solar!D338</f>
        <v>1360.69</v>
      </c>
      <c r="G338" s="32">
        <v>1.5440000000000001E-2</v>
      </c>
      <c r="H338" s="33">
        <v>-4.1000000000000003E-3</v>
      </c>
      <c r="I338" s="20">
        <f t="shared" si="16"/>
        <v>0.23740199356927336</v>
      </c>
      <c r="J338" s="20">
        <f t="shared" si="17"/>
        <v>6.2598006430729131E-2</v>
      </c>
      <c r="K338" s="20">
        <f>ENSO!I338</f>
        <v>6.1228045986527757E-2</v>
      </c>
      <c r="L338" s="19">
        <f>Analysis!B338</f>
        <v>1986.2083333333333</v>
      </c>
    </row>
    <row r="339" spans="1:12" ht="15" customHeight="1">
      <c r="A339" s="18" t="str">
        <f>Analysis!A339</f>
        <v>4/1986</v>
      </c>
      <c r="B339" s="19">
        <f>Analysis!E339</f>
        <v>0.22000000000000242</v>
      </c>
      <c r="C339" s="20">
        <f>Analysis!F339</f>
        <v>0.32135090142461681</v>
      </c>
      <c r="D339" s="19">
        <f>ENSO!D339</f>
        <v>-0.4</v>
      </c>
      <c r="E339" s="34">
        <f t="shared" si="18"/>
        <v>1.179E-2</v>
      </c>
      <c r="F339" s="19">
        <f>Solar!D339</f>
        <v>1360.65</v>
      </c>
      <c r="G339" s="32">
        <v>1.507E-2</v>
      </c>
      <c r="H339" s="33">
        <v>3.3E-3</v>
      </c>
      <c r="I339" s="20">
        <f t="shared" si="16"/>
        <v>0.25311571393838944</v>
      </c>
      <c r="J339" s="20">
        <f t="shared" si="17"/>
        <v>-3.3115713938387026E-2</v>
      </c>
      <c r="K339" s="20">
        <f>ENSO!I339</f>
        <v>-3.3568656913128159E-2</v>
      </c>
      <c r="L339" s="19">
        <f>Analysis!B339</f>
        <v>1986.2916666666667</v>
      </c>
    </row>
    <row r="340" spans="1:12" ht="15" customHeight="1">
      <c r="A340" s="18" t="str">
        <f>Analysis!A340</f>
        <v>5/1986</v>
      </c>
      <c r="B340" s="19">
        <f>Analysis!E340</f>
        <v>0.21000000000000085</v>
      </c>
      <c r="C340" s="20">
        <f>Analysis!F340</f>
        <v>0.32406993683064367</v>
      </c>
      <c r="D340" s="19">
        <f>ENSO!D340</f>
        <v>-0.38</v>
      </c>
      <c r="E340" s="34">
        <f t="shared" si="18"/>
        <v>1.15E-2</v>
      </c>
      <c r="F340" s="19">
        <f>Solar!D340</f>
        <v>1360.73</v>
      </c>
      <c r="G340" s="32">
        <v>1.4999999999999999E-2</v>
      </c>
      <c r="H340" s="33">
        <v>4.5999999999999999E-3</v>
      </c>
      <c r="I340" s="20">
        <f t="shared" si="16"/>
        <v>0.26302568393725761</v>
      </c>
      <c r="J340" s="20">
        <f t="shared" si="17"/>
        <v>-5.3025683937256762E-2</v>
      </c>
      <c r="K340" s="20">
        <f>ENSO!I340</f>
        <v>-5.2778048277167977E-2</v>
      </c>
      <c r="L340" s="19">
        <f>Analysis!B340</f>
        <v>1986.375</v>
      </c>
    </row>
    <row r="341" spans="1:12" ht="15" customHeight="1">
      <c r="A341" s="18" t="str">
        <f>Analysis!A341</f>
        <v>6/1986</v>
      </c>
      <c r="B341" s="19">
        <f>Analysis!E341</f>
        <v>0.11999999999999744</v>
      </c>
      <c r="C341" s="20">
        <f>Analysis!F341</f>
        <v>0.32184565281522998</v>
      </c>
      <c r="D341" s="19">
        <f>ENSO!D341</f>
        <v>-0.25</v>
      </c>
      <c r="E341" s="34">
        <f t="shared" si="18"/>
        <v>1.103E-2</v>
      </c>
      <c r="F341" s="19">
        <f>Solar!D341</f>
        <v>1360.65</v>
      </c>
      <c r="G341" s="32">
        <v>1.4019999999999999E-2</v>
      </c>
      <c r="H341" s="33">
        <v>2.4199999999999999E-2</v>
      </c>
      <c r="I341" s="20">
        <f t="shared" si="16"/>
        <v>0.27005663172949557</v>
      </c>
      <c r="J341" s="20">
        <f t="shared" si="17"/>
        <v>-0.15005663172949812</v>
      </c>
      <c r="K341" s="20">
        <f>ENSO!I341</f>
        <v>-0.14798330360809892</v>
      </c>
      <c r="L341" s="19">
        <f>Analysis!B341</f>
        <v>1986.4583333333333</v>
      </c>
    </row>
    <row r="342" spans="1:12" ht="15" customHeight="1">
      <c r="A342" s="18" t="str">
        <f>Analysis!A342</f>
        <v>7/1986</v>
      </c>
      <c r="B342" s="19">
        <f>Analysis!E342</f>
        <v>0.10999999999999766</v>
      </c>
      <c r="C342" s="20">
        <f>Analysis!F342</f>
        <v>0.31469652565628642</v>
      </c>
      <c r="D342" s="19">
        <f>ENSO!D342</f>
        <v>-0.17</v>
      </c>
      <c r="E342" s="34">
        <f t="shared" si="18"/>
        <v>1.2829999999999999E-2</v>
      </c>
      <c r="F342" s="19">
        <f>Solar!D342</f>
        <v>1360.63</v>
      </c>
      <c r="G342" s="32">
        <v>1.3820000000000001E-2</v>
      </c>
      <c r="H342" s="33">
        <v>2.8199999999999999E-2</v>
      </c>
      <c r="I342" s="20">
        <f t="shared" si="16"/>
        <v>0.25402088448860821</v>
      </c>
      <c r="J342" s="20">
        <f t="shared" si="17"/>
        <v>-0.14402088448861056</v>
      </c>
      <c r="K342" s="20">
        <f>ENSO!I342</f>
        <v>-0.14530913029249148</v>
      </c>
      <c r="L342" s="19">
        <f>Analysis!B342</f>
        <v>1986.5416666666667</v>
      </c>
    </row>
    <row r="343" spans="1:12" ht="15" customHeight="1">
      <c r="A343" s="18" t="str">
        <f>Analysis!A343</f>
        <v>8/1986</v>
      </c>
      <c r="B343" s="19">
        <f>Analysis!E343</f>
        <v>0.16000000000000014</v>
      </c>
      <c r="C343" s="20">
        <f>Analysis!F343</f>
        <v>0.30605387521602989</v>
      </c>
      <c r="D343" s="19">
        <f>ENSO!D343</f>
        <v>-0.09</v>
      </c>
      <c r="E343" s="34">
        <f t="shared" si="18"/>
        <v>1.519E-2</v>
      </c>
      <c r="F343" s="19">
        <f>Solar!D343</f>
        <v>1360.58</v>
      </c>
      <c r="G343" s="32">
        <v>1.3639999999999999E-2</v>
      </c>
      <c r="H343" s="33">
        <v>3.1800000000000002E-2</v>
      </c>
      <c r="I343" s="20">
        <f t="shared" si="16"/>
        <v>0.23267946593707606</v>
      </c>
      <c r="J343" s="20">
        <f t="shared" si="17"/>
        <v>-7.2679465937075916E-2</v>
      </c>
      <c r="K343" s="20">
        <f>ENSO!I343</f>
        <v>-7.8532552988130083E-2</v>
      </c>
      <c r="L343" s="19">
        <f>Analysis!B343</f>
        <v>1986.625</v>
      </c>
    </row>
    <row r="344" spans="1:12" ht="15" customHeight="1">
      <c r="A344" s="18" t="str">
        <f>Analysis!A344</f>
        <v>9/1986</v>
      </c>
      <c r="B344" s="19">
        <f>Analysis!E344</f>
        <v>2.9999999999997584E-2</v>
      </c>
      <c r="C344" s="20">
        <f>Analysis!F344</f>
        <v>0.30317536756489971</v>
      </c>
      <c r="D344" s="19">
        <f>ENSO!D344</f>
        <v>0.02</v>
      </c>
      <c r="E344" s="34">
        <f t="shared" si="18"/>
        <v>1.5959999999999998E-2</v>
      </c>
      <c r="F344" s="19">
        <f>Solar!D344</f>
        <v>1360.58</v>
      </c>
      <c r="G344" s="32">
        <v>1.3050000000000001E-2</v>
      </c>
      <c r="H344" s="33">
        <v>4.3499999999999997E-2</v>
      </c>
      <c r="I344" s="20">
        <f t="shared" si="16"/>
        <v>0.23334173015089835</v>
      </c>
      <c r="J344" s="20">
        <f t="shared" si="17"/>
        <v>-0.20334173015090076</v>
      </c>
      <c r="K344" s="20">
        <f>ENSO!I344</f>
        <v>-0.21020003396195336</v>
      </c>
      <c r="L344" s="19">
        <f>Analysis!B344</f>
        <v>1986.7083333333333</v>
      </c>
    </row>
    <row r="345" spans="1:12" ht="15" customHeight="1">
      <c r="A345" s="18" t="str">
        <f>Analysis!A345</f>
        <v>10/1986</v>
      </c>
      <c r="B345" s="19">
        <f>Analysis!E345</f>
        <v>0.14999999999999858</v>
      </c>
      <c r="C345" s="20">
        <f>Analysis!F345</f>
        <v>0.30041662783687401</v>
      </c>
      <c r="D345" s="19">
        <f>ENSO!D345</f>
        <v>0.24</v>
      </c>
      <c r="E345" s="34">
        <f t="shared" si="18"/>
        <v>1.5440000000000001E-2</v>
      </c>
      <c r="F345" s="19">
        <f>Solar!D345</f>
        <v>1360.61</v>
      </c>
      <c r="G345" s="32">
        <v>1.2919999999999999E-2</v>
      </c>
      <c r="H345" s="33">
        <v>4.6100000000000002E-2</v>
      </c>
      <c r="I345" s="20">
        <f t="shared" si="16"/>
        <v>0.24737655861324775</v>
      </c>
      <c r="J345" s="20">
        <f t="shared" si="17"/>
        <v>-9.7376558613249176E-2</v>
      </c>
      <c r="K345" s="20">
        <f>ENSO!I345</f>
        <v>-0.10177064769287486</v>
      </c>
      <c r="L345" s="19">
        <f>Analysis!B345</f>
        <v>1986.7916666666667</v>
      </c>
    </row>
    <row r="346" spans="1:12" ht="15" customHeight="1">
      <c r="A346" s="18" t="str">
        <f>Analysis!A346</f>
        <v>11/1986</v>
      </c>
      <c r="B346" s="19">
        <f>Analysis!E346</f>
        <v>9.9999999999997868E-2</v>
      </c>
      <c r="C346" s="20">
        <f>Analysis!F346</f>
        <v>0.30626223972785099</v>
      </c>
      <c r="D346" s="19">
        <f>ENSO!D346</f>
        <v>0.46</v>
      </c>
      <c r="E346" s="34">
        <f t="shared" si="18"/>
        <v>1.507E-2</v>
      </c>
      <c r="F346" s="19">
        <f>Solar!D346</f>
        <v>1360.71</v>
      </c>
      <c r="G346" s="32">
        <v>1.264E-2</v>
      </c>
      <c r="H346" s="33">
        <v>5.1700000000000003E-2</v>
      </c>
      <c r="I346" s="20">
        <f t="shared" si="16"/>
        <v>0.28454906552348697</v>
      </c>
      <c r="J346" s="20">
        <f t="shared" si="17"/>
        <v>-0.1845490655234891</v>
      </c>
      <c r="K346" s="20">
        <f>ENSO!I346</f>
        <v>-0.18697566126481535</v>
      </c>
      <c r="L346" s="19">
        <f>Analysis!B346</f>
        <v>1986.875</v>
      </c>
    </row>
    <row r="347" spans="1:12" ht="15" customHeight="1">
      <c r="A347" s="18" t="str">
        <f>Analysis!A347</f>
        <v>12/1986</v>
      </c>
      <c r="B347" s="19">
        <f>Analysis!E347</f>
        <v>0.12999999999999901</v>
      </c>
      <c r="C347" s="20">
        <f>Analysis!F347</f>
        <v>0.31150311546826975</v>
      </c>
      <c r="D347" s="19">
        <f>ENSO!D347</f>
        <v>0.64</v>
      </c>
      <c r="E347" s="34">
        <f t="shared" si="18"/>
        <v>1.4999999999999999E-2</v>
      </c>
      <c r="F347" s="19">
        <f>Solar!D347</f>
        <v>1360.66</v>
      </c>
      <c r="G347" s="32">
        <v>1.243E-2</v>
      </c>
      <c r="H347" s="33">
        <v>5.5899999999999998E-2</v>
      </c>
      <c r="I347" s="20">
        <f t="shared" si="16"/>
        <v>0.31570029310854908</v>
      </c>
      <c r="J347" s="20">
        <f t="shared" si="17"/>
        <v>-0.18570029310855007</v>
      </c>
      <c r="K347" s="20">
        <f>ENSO!I347</f>
        <v>-0.18703807711522097</v>
      </c>
      <c r="L347" s="19">
        <f>Analysis!B347</f>
        <v>1986.9583333333333</v>
      </c>
    </row>
    <row r="348" spans="1:12" ht="15" customHeight="1">
      <c r="A348" s="18" t="str">
        <f>Analysis!A348</f>
        <v>1/1987</v>
      </c>
      <c r="B348" s="19">
        <f>Analysis!E348</f>
        <v>0.32000000000000028</v>
      </c>
      <c r="C348" s="20">
        <f>Analysis!F348</f>
        <v>0.31668365219967981</v>
      </c>
      <c r="D348" s="19">
        <f>ENSO!D348</f>
        <v>0.86</v>
      </c>
      <c r="E348" s="34">
        <f t="shared" si="18"/>
        <v>1.4019999999999999E-2</v>
      </c>
      <c r="F348" s="19">
        <f>Solar!D348</f>
        <v>1360.65</v>
      </c>
      <c r="G348" s="32">
        <v>1.2070000000000001E-2</v>
      </c>
      <c r="H348" s="33">
        <v>6.3200000000000006E-2</v>
      </c>
      <c r="I348" s="20">
        <f t="shared" si="16"/>
        <v>0.35240107168999524</v>
      </c>
      <c r="J348" s="20">
        <f t="shared" si="17"/>
        <v>-3.2401071689994954E-2</v>
      </c>
      <c r="K348" s="20">
        <f>ENSO!I348</f>
        <v>-3.0416264803984516E-2</v>
      </c>
      <c r="L348" s="19">
        <f>Analysis!B348</f>
        <v>1987.0416666666667</v>
      </c>
    </row>
    <row r="349" spans="1:12" ht="15" customHeight="1">
      <c r="A349" s="18" t="str">
        <f>Analysis!A349</f>
        <v>2/1987</v>
      </c>
      <c r="B349" s="19">
        <f>Analysis!E349</f>
        <v>0.42999999999999972</v>
      </c>
      <c r="C349" s="20">
        <f>Analysis!F349</f>
        <v>0.31746946762158468</v>
      </c>
      <c r="D349" s="19">
        <f>ENSO!D349</f>
        <v>1.06</v>
      </c>
      <c r="E349" s="34">
        <f t="shared" si="18"/>
        <v>1.3820000000000001E-2</v>
      </c>
      <c r="F349" s="19">
        <f>Solar!D349</f>
        <v>1360.64</v>
      </c>
      <c r="G349" s="32">
        <v>1.136E-2</v>
      </c>
      <c r="H349" s="33">
        <v>7.7299999999999994E-2</v>
      </c>
      <c r="I349" s="20">
        <f t="shared" si="16"/>
        <v>0.37354339856949514</v>
      </c>
      <c r="J349" s="20">
        <f t="shared" si="17"/>
        <v>5.6456601430504572E-2</v>
      </c>
      <c r="K349" s="20">
        <f>ENSO!I349</f>
        <v>6.001770644802229E-2</v>
      </c>
      <c r="L349" s="19">
        <f>Analysis!B349</f>
        <v>1987.125</v>
      </c>
    </row>
    <row r="350" spans="1:12" ht="15" customHeight="1">
      <c r="A350" s="18" t="str">
        <f>Analysis!A350</f>
        <v>3/1987</v>
      </c>
      <c r="B350" s="19">
        <f>Analysis!E350</f>
        <v>0.17999999999999972</v>
      </c>
      <c r="C350" s="20">
        <f>Analysis!F350</f>
        <v>0.32114470492578934</v>
      </c>
      <c r="D350" s="19">
        <f>ENSO!D350</f>
        <v>1.21</v>
      </c>
      <c r="E350" s="34">
        <f t="shared" si="18"/>
        <v>1.3639999999999999E-2</v>
      </c>
      <c r="F350" s="19">
        <f>Solar!D350</f>
        <v>1360.65</v>
      </c>
      <c r="G350" s="32">
        <v>1.09E-2</v>
      </c>
      <c r="H350" s="33">
        <v>8.6499999999999994E-2</v>
      </c>
      <c r="I350" s="20">
        <f t="shared" si="16"/>
        <v>0.39788265164611025</v>
      </c>
      <c r="J350" s="20">
        <f t="shared" si="17"/>
        <v>-0.21788265164611054</v>
      </c>
      <c r="K350" s="20">
        <f>ENSO!I350</f>
        <v>-0.21313308668760422</v>
      </c>
      <c r="L350" s="19">
        <f>Analysis!B350</f>
        <v>1987.2083333333333</v>
      </c>
    </row>
    <row r="351" spans="1:12" ht="15" customHeight="1">
      <c r="A351" s="18" t="str">
        <f>Analysis!A351</f>
        <v>4/1987</v>
      </c>
      <c r="B351" s="19">
        <f>Analysis!E351</f>
        <v>0.24000000000000199</v>
      </c>
      <c r="C351" s="20">
        <f>Analysis!F351</f>
        <v>0.32768736417604716</v>
      </c>
      <c r="D351" s="19">
        <f>ENSO!D351</f>
        <v>1.18</v>
      </c>
      <c r="E351" s="34">
        <f t="shared" si="18"/>
        <v>1.3050000000000001E-2</v>
      </c>
      <c r="F351" s="19">
        <f>Solar!D351</f>
        <v>1360.58</v>
      </c>
      <c r="G351" s="32">
        <v>1.0619999999999999E-2</v>
      </c>
      <c r="H351" s="33">
        <v>9.2200000000000004E-2</v>
      </c>
      <c r="I351" s="20">
        <f t="shared" si="16"/>
        <v>0.41424162717066787</v>
      </c>
      <c r="J351" s="20">
        <f t="shared" si="17"/>
        <v>-0.17424162717066588</v>
      </c>
      <c r="K351" s="20">
        <f>ENSO!I351</f>
        <v>-0.1684933047851902</v>
      </c>
      <c r="L351" s="19">
        <f>Analysis!B351</f>
        <v>1987.2916666666667</v>
      </c>
    </row>
    <row r="352" spans="1:12" ht="15" customHeight="1">
      <c r="A352" s="18" t="str">
        <f>Analysis!A352</f>
        <v>5/1987</v>
      </c>
      <c r="B352" s="19">
        <f>Analysis!E352</f>
        <v>0.25999999999999979</v>
      </c>
      <c r="C352" s="20">
        <f>Analysis!F352</f>
        <v>0.33076325555700942</v>
      </c>
      <c r="D352" s="19">
        <f>ENSO!D352</f>
        <v>1.1299999999999999</v>
      </c>
      <c r="E352" s="34">
        <f t="shared" si="18"/>
        <v>1.2919999999999999E-2</v>
      </c>
      <c r="F352" s="19">
        <f>Solar!D352</f>
        <v>1360.72</v>
      </c>
      <c r="G352" s="32">
        <v>1.072E-2</v>
      </c>
      <c r="H352" s="33">
        <v>9.0200000000000002E-2</v>
      </c>
      <c r="I352" s="20">
        <f t="shared" si="16"/>
        <v>0.4182771879419987</v>
      </c>
      <c r="J352" s="20">
        <f t="shared" si="17"/>
        <v>-0.15827718794199891</v>
      </c>
      <c r="K352" s="20">
        <f>ENSO!I352</f>
        <v>-0.15259026287255956</v>
      </c>
      <c r="L352" s="19">
        <f>Analysis!B352</f>
        <v>1987.375</v>
      </c>
    </row>
    <row r="353" spans="1:12" ht="15" customHeight="1">
      <c r="A353" s="18" t="str">
        <f>Analysis!A353</f>
        <v>6/1987</v>
      </c>
      <c r="B353" s="19">
        <f>Analysis!E353</f>
        <v>0.34999999999999787</v>
      </c>
      <c r="C353" s="20">
        <f>Analysis!F353</f>
        <v>0.32842617641262656</v>
      </c>
      <c r="D353" s="19">
        <f>ENSO!D353</f>
        <v>1.02</v>
      </c>
      <c r="E353" s="34">
        <f t="shared" si="18"/>
        <v>1.264E-2</v>
      </c>
      <c r="F353" s="19">
        <f>Solar!D353</f>
        <v>1360.86</v>
      </c>
      <c r="G353" s="32">
        <v>1.061E-2</v>
      </c>
      <c r="H353" s="33">
        <v>9.2399999999999996E-2</v>
      </c>
      <c r="I353" s="20">
        <f t="shared" si="16"/>
        <v>0.4023116247197957</v>
      </c>
      <c r="J353" s="20">
        <f t="shared" si="17"/>
        <v>-5.2311624719797833E-2</v>
      </c>
      <c r="K353" s="20">
        <f>ENSO!I353</f>
        <v>-4.6596628204783275E-2</v>
      </c>
      <c r="L353" s="19">
        <f>Analysis!B353</f>
        <v>1987.4583333333333</v>
      </c>
    </row>
    <row r="354" spans="1:12" ht="15" customHeight="1">
      <c r="A354" s="18" t="str">
        <f>Analysis!A354</f>
        <v>7/1987</v>
      </c>
      <c r="B354" s="19">
        <f>Analysis!E354</f>
        <v>0.40000000000000213</v>
      </c>
      <c r="C354" s="20">
        <f>Analysis!F354</f>
        <v>0.32279345233061574</v>
      </c>
      <c r="D354" s="19">
        <f>ENSO!D354</f>
        <v>0.94</v>
      </c>
      <c r="E354" s="34">
        <f t="shared" si="18"/>
        <v>1.243E-2</v>
      </c>
      <c r="F354" s="19">
        <f>Solar!D354</f>
        <v>1360.86</v>
      </c>
      <c r="G354" s="32">
        <v>1.0160000000000001E-2</v>
      </c>
      <c r="H354" s="33">
        <v>0.1013</v>
      </c>
      <c r="I354" s="20">
        <f t="shared" si="16"/>
        <v>0.37998726001264282</v>
      </c>
      <c r="J354" s="20">
        <f t="shared" si="17"/>
        <v>2.0012739987359307E-2</v>
      </c>
      <c r="K354" s="20">
        <f>ENSO!I354</f>
        <v>2.5838338170040942E-2</v>
      </c>
      <c r="L354" s="19">
        <f>Analysis!B354</f>
        <v>1987.5416666666667</v>
      </c>
    </row>
    <row r="355" spans="1:12" ht="15" customHeight="1">
      <c r="A355" s="18" t="str">
        <f>Analysis!A355</f>
        <v>8/1987</v>
      </c>
      <c r="B355" s="19">
        <f>Analysis!E355</f>
        <v>0.25000000000000355</v>
      </c>
      <c r="C355" s="20">
        <f>Analysis!F355</f>
        <v>0.31448937581877229</v>
      </c>
      <c r="D355" s="19">
        <f>ENSO!D355</f>
        <v>0.95</v>
      </c>
      <c r="E355" s="34">
        <f t="shared" si="18"/>
        <v>1.2070000000000001E-2</v>
      </c>
      <c r="F355" s="19">
        <f>Solar!D355</f>
        <v>1360.76</v>
      </c>
      <c r="G355" s="32">
        <v>9.9299999999999996E-3</v>
      </c>
      <c r="H355" s="33">
        <v>0.1061</v>
      </c>
      <c r="I355" s="20">
        <f t="shared" si="16"/>
        <v>0.35905858379149325</v>
      </c>
      <c r="J355" s="20">
        <f t="shared" si="17"/>
        <v>-0.10905858379148969</v>
      </c>
      <c r="K355" s="20">
        <f>ENSO!I355</f>
        <v>-0.10222243419405197</v>
      </c>
      <c r="L355" s="19">
        <f>Analysis!B355</f>
        <v>1987.625</v>
      </c>
    </row>
    <row r="356" spans="1:12" ht="15" customHeight="1">
      <c r="A356" s="18" t="str">
        <f>Analysis!A356</f>
        <v>9/1987</v>
      </c>
      <c r="B356" s="19">
        <f>Analysis!E356</f>
        <v>0.34999999999999787</v>
      </c>
      <c r="C356" s="20">
        <f>Analysis!F356</f>
        <v>0.30809455096015637</v>
      </c>
      <c r="D356" s="19">
        <f>ENSO!D356</f>
        <v>1.1100000000000001</v>
      </c>
      <c r="E356" s="34">
        <f t="shared" si="18"/>
        <v>1.136E-2</v>
      </c>
      <c r="F356" s="19">
        <f>Solar!D356</f>
        <v>1360.85</v>
      </c>
      <c r="G356" s="32">
        <v>9.6500000000000006E-3</v>
      </c>
      <c r="H356" s="33">
        <v>0.1116</v>
      </c>
      <c r="I356" s="20">
        <f t="shared" si="16"/>
        <v>0.35802662556168868</v>
      </c>
      <c r="J356" s="20">
        <f t="shared" si="17"/>
        <v>-8.0266255616908144E-3</v>
      </c>
      <c r="K356" s="20">
        <f>ENSO!I356</f>
        <v>1.4168028811084032E-3</v>
      </c>
      <c r="L356" s="19">
        <f>Analysis!B356</f>
        <v>1987.7083333333333</v>
      </c>
    </row>
    <row r="357" spans="1:12" ht="15" customHeight="1">
      <c r="A357" s="18" t="str">
        <f>Analysis!A357</f>
        <v>10/1987</v>
      </c>
      <c r="B357" s="19">
        <f>Analysis!E357</f>
        <v>0.32999999999999652</v>
      </c>
      <c r="C357" s="20">
        <f>Analysis!F357</f>
        <v>0.30834423137398254</v>
      </c>
      <c r="D357" s="19">
        <f>ENSO!D357</f>
        <v>1.3</v>
      </c>
      <c r="E357" s="34">
        <f t="shared" si="18"/>
        <v>1.09E-2</v>
      </c>
      <c r="F357" s="19">
        <f>Solar!D357</f>
        <v>1360.82</v>
      </c>
      <c r="G357" s="32">
        <v>9.5499999999999995E-3</v>
      </c>
      <c r="H357" s="33">
        <v>0.11360000000000001</v>
      </c>
      <c r="I357" s="20">
        <f t="shared" si="16"/>
        <v>0.37735082537491826</v>
      </c>
      <c r="J357" s="20">
        <f t="shared" si="17"/>
        <v>-4.7350825374921746E-2</v>
      </c>
      <c r="K357" s="20">
        <f>ENSO!I357</f>
        <v>-3.5806194595614571E-2</v>
      </c>
      <c r="L357" s="19">
        <f>Analysis!B357</f>
        <v>1987.7916666666667</v>
      </c>
    </row>
    <row r="358" spans="1:12" ht="15" customHeight="1">
      <c r="A358" s="18" t="str">
        <f>Analysis!A358</f>
        <v>11/1987</v>
      </c>
      <c r="B358" s="19">
        <f>Analysis!E358</f>
        <v>0.28999999999999559</v>
      </c>
      <c r="C358" s="20">
        <f>Analysis!F358</f>
        <v>0.31399209482083829</v>
      </c>
      <c r="D358" s="19">
        <f>ENSO!D358</f>
        <v>1.46</v>
      </c>
      <c r="E358" s="34">
        <f t="shared" si="18"/>
        <v>1.0619999999999999E-2</v>
      </c>
      <c r="F358" s="19">
        <f>Solar!D358</f>
        <v>1360.99</v>
      </c>
      <c r="G358" s="32">
        <v>9.2300000000000004E-3</v>
      </c>
      <c r="H358" s="33">
        <v>0.11990000000000001</v>
      </c>
      <c r="I358" s="20">
        <f t="shared" si="16"/>
        <v>0.4082182554251112</v>
      </c>
      <c r="J358" s="20">
        <f t="shared" si="17"/>
        <v>-0.1182182554251156</v>
      </c>
      <c r="K358" s="20">
        <f>ENSO!I358</f>
        <v>-0.10524576731056451</v>
      </c>
      <c r="L358" s="19">
        <f>Analysis!B358</f>
        <v>1987.875</v>
      </c>
    </row>
    <row r="359" spans="1:12" ht="15" customHeight="1">
      <c r="A359" s="18" t="str">
        <f>Analysis!A359</f>
        <v>12/1987</v>
      </c>
      <c r="B359" s="19">
        <f>Analysis!E359</f>
        <v>0.46000000000000441</v>
      </c>
      <c r="C359" s="20">
        <f>Analysis!F359</f>
        <v>0.3189572082710998</v>
      </c>
      <c r="D359" s="19">
        <f>ENSO!D359</f>
        <v>1.49</v>
      </c>
      <c r="E359" s="34">
        <f t="shared" si="18"/>
        <v>1.072E-2</v>
      </c>
      <c r="F359" s="19">
        <f>Solar!D359</f>
        <v>1361.01</v>
      </c>
      <c r="G359" s="32">
        <v>8.9499999999999996E-3</v>
      </c>
      <c r="H359" s="33">
        <v>0.1255</v>
      </c>
      <c r="I359" s="20">
        <f t="shared" si="16"/>
        <v>0.42432404958754361</v>
      </c>
      <c r="J359" s="20">
        <f t="shared" si="17"/>
        <v>3.56759504124608E-2</v>
      </c>
      <c r="K359" s="20">
        <f>ENSO!I359</f>
        <v>4.8504945117488263E-2</v>
      </c>
      <c r="L359" s="19">
        <f>Analysis!B359</f>
        <v>1987.9583333333333</v>
      </c>
    </row>
    <row r="360" spans="1:12" ht="15" customHeight="1">
      <c r="A360" s="18" t="str">
        <f>Analysis!A360</f>
        <v>1/1988</v>
      </c>
      <c r="B360" s="19">
        <f>Analysis!E360</f>
        <v>0.57000000000000028</v>
      </c>
      <c r="C360" s="20">
        <f>Analysis!F360</f>
        <v>0.32402877753529308</v>
      </c>
      <c r="D360" s="19">
        <f>ENSO!D360</f>
        <v>1.41</v>
      </c>
      <c r="E360" s="34">
        <f t="shared" si="18"/>
        <v>1.061E-2</v>
      </c>
      <c r="F360" s="19">
        <f>Solar!D360</f>
        <v>1361.07</v>
      </c>
      <c r="G360" s="32">
        <v>8.6199999999999992E-3</v>
      </c>
      <c r="H360" s="33">
        <v>0.13220000000000001</v>
      </c>
      <c r="I360" s="20">
        <f t="shared" si="16"/>
        <v>0.43097481635396501</v>
      </c>
      <c r="J360" s="20">
        <f t="shared" si="17"/>
        <v>0.13902518364603528</v>
      </c>
      <c r="K360" s="20">
        <f>ENSO!I360</f>
        <v>0.15153739981425962</v>
      </c>
      <c r="L360" s="19">
        <f>Analysis!B360</f>
        <v>1988.0416666666667</v>
      </c>
    </row>
    <row r="361" spans="1:12" ht="15" customHeight="1">
      <c r="A361" s="18" t="str">
        <f>Analysis!A361</f>
        <v>2/1988</v>
      </c>
      <c r="B361" s="19">
        <f>Analysis!E361</f>
        <v>0.44000000000000483</v>
      </c>
      <c r="C361" s="20">
        <f>Analysis!F361</f>
        <v>0.32891850779297804</v>
      </c>
      <c r="D361" s="19">
        <f>ENSO!D361</f>
        <v>1.2</v>
      </c>
      <c r="E361" s="34">
        <f t="shared" si="18"/>
        <v>1.0160000000000001E-2</v>
      </c>
      <c r="F361" s="19">
        <f>Solar!D361</f>
        <v>1361.14</v>
      </c>
      <c r="G361" s="32">
        <v>8.4200000000000004E-3</v>
      </c>
      <c r="H361" s="33">
        <v>0.1361</v>
      </c>
      <c r="I361" s="20">
        <f t="shared" si="16"/>
        <v>0.42581439845171037</v>
      </c>
      <c r="J361" s="20">
        <f t="shared" si="17"/>
        <v>1.4185601548294458E-2</v>
      </c>
      <c r="K361" s="20">
        <f>ENSO!I361</f>
        <v>2.6384239278424537E-2</v>
      </c>
      <c r="L361" s="19">
        <f>Analysis!B361</f>
        <v>1988.125</v>
      </c>
    </row>
    <row r="362" spans="1:12" ht="15" customHeight="1">
      <c r="A362" s="18" t="str">
        <f>Analysis!A362</f>
        <v>3/1988</v>
      </c>
      <c r="B362" s="19">
        <f>Analysis!E362</f>
        <v>0.5199999999999978</v>
      </c>
      <c r="C362" s="20">
        <f>Analysis!F362</f>
        <v>0.3321964303411894</v>
      </c>
      <c r="D362" s="19">
        <f>ENSO!D362</f>
        <v>1</v>
      </c>
      <c r="E362" s="34">
        <f t="shared" si="18"/>
        <v>9.9299999999999996E-3</v>
      </c>
      <c r="F362" s="19">
        <f>Solar!D362</f>
        <v>1360.92</v>
      </c>
      <c r="G362" s="32">
        <v>8.0599999999999995E-3</v>
      </c>
      <c r="H362" s="33">
        <v>0.14330000000000001</v>
      </c>
      <c r="I362" s="20">
        <f t="shared" si="16"/>
        <v>0.41670176714934481</v>
      </c>
      <c r="J362" s="20">
        <f t="shared" si="17"/>
        <v>0.10329823285065298</v>
      </c>
      <c r="K362" s="20">
        <f>ENSO!I362</f>
        <v>0.11478800824349539</v>
      </c>
      <c r="L362" s="19">
        <f>Analysis!B362</f>
        <v>1988.2083333333333</v>
      </c>
    </row>
    <row r="363" spans="1:12" ht="15" customHeight="1">
      <c r="A363" s="18" t="str">
        <f>Analysis!A363</f>
        <v>4/1988</v>
      </c>
      <c r="B363" s="19">
        <f>Analysis!E363</f>
        <v>0.42999999999999972</v>
      </c>
      <c r="C363" s="20">
        <f>Analysis!F363</f>
        <v>0.33697702068730562</v>
      </c>
      <c r="D363" s="19">
        <f>ENSO!D363</f>
        <v>0.63</v>
      </c>
      <c r="E363" s="34">
        <f t="shared" si="18"/>
        <v>9.6500000000000006E-3</v>
      </c>
      <c r="F363" s="19">
        <f>Solar!D363</f>
        <v>1361.04</v>
      </c>
      <c r="G363" s="32">
        <v>7.8200000000000006E-3</v>
      </c>
      <c r="H363" s="33">
        <v>0.14810000000000001</v>
      </c>
      <c r="I363" s="20">
        <f t="shared" si="16"/>
        <v>0.39602241585646619</v>
      </c>
      <c r="J363" s="20">
        <f t="shared" si="17"/>
        <v>3.3977584143533524E-2</v>
      </c>
      <c r="K363" s="20">
        <f>ENSO!I363</f>
        <v>4.3860675978141694E-2</v>
      </c>
      <c r="L363" s="19">
        <f>Analysis!B363</f>
        <v>1988.2916666666667</v>
      </c>
    </row>
    <row r="364" spans="1:12" ht="15" customHeight="1">
      <c r="A364" s="18" t="str">
        <f>Analysis!A364</f>
        <v>5/1988</v>
      </c>
      <c r="B364" s="19">
        <f>Analysis!E364</f>
        <v>0.44000000000000483</v>
      </c>
      <c r="C364" s="20">
        <f>Analysis!F364</f>
        <v>0.33974822186649467</v>
      </c>
      <c r="D364" s="19">
        <f>ENSO!D364</f>
        <v>0.37</v>
      </c>
      <c r="E364" s="34">
        <f t="shared" si="18"/>
        <v>9.5499999999999995E-3</v>
      </c>
      <c r="F364" s="19">
        <f>Solar!D364</f>
        <v>1361.36</v>
      </c>
      <c r="G364" s="32">
        <v>7.4900000000000001E-3</v>
      </c>
      <c r="H364" s="33">
        <v>0.15490000000000001</v>
      </c>
      <c r="I364" s="20">
        <f t="shared" si="16"/>
        <v>0.37967399285241737</v>
      </c>
      <c r="J364" s="20">
        <f t="shared" si="17"/>
        <v>6.0326007147587457E-2</v>
      </c>
      <c r="K364" s="20">
        <f>ENSO!I364</f>
        <v>6.8878571438658387E-2</v>
      </c>
      <c r="L364" s="19">
        <f>Analysis!B364</f>
        <v>1988.375</v>
      </c>
    </row>
    <row r="365" spans="1:12" ht="15" customHeight="1">
      <c r="A365" s="18" t="str">
        <f>Analysis!A365</f>
        <v>6/1988</v>
      </c>
      <c r="B365" s="19">
        <f>Analysis!E365</f>
        <v>0.40000000000000213</v>
      </c>
      <c r="C365" s="20">
        <f>Analysis!F365</f>
        <v>0.33783340106320175</v>
      </c>
      <c r="D365" s="19">
        <f>ENSO!D365</f>
        <v>-0.03</v>
      </c>
      <c r="E365" s="34">
        <f t="shared" si="18"/>
        <v>9.2300000000000004E-3</v>
      </c>
      <c r="F365" s="19">
        <f>Solar!D365</f>
        <v>1360.97</v>
      </c>
      <c r="G365" s="32">
        <v>7.4200000000000004E-3</v>
      </c>
      <c r="H365" s="33">
        <v>0.15620000000000001</v>
      </c>
      <c r="I365" s="20">
        <f t="shared" si="16"/>
        <v>0.33803756753737879</v>
      </c>
      <c r="J365" s="20">
        <f t="shared" si="17"/>
        <v>6.196243246262334E-2</v>
      </c>
      <c r="K365" s="20">
        <f>ENSO!I365</f>
        <v>6.8953301791702448E-2</v>
      </c>
      <c r="L365" s="19">
        <f>Analysis!B365</f>
        <v>1988.4583333333333</v>
      </c>
    </row>
    <row r="366" spans="1:12" ht="15" customHeight="1">
      <c r="A366" s="18" t="str">
        <f>Analysis!A366</f>
        <v>7/1988</v>
      </c>
      <c r="B366" s="19">
        <f>Analysis!E366</f>
        <v>0.32999999999999652</v>
      </c>
      <c r="C366" s="20">
        <f>Analysis!F366</f>
        <v>0.3334237337251918</v>
      </c>
      <c r="D366" s="19">
        <f>ENSO!D366</f>
        <v>-0.45</v>
      </c>
      <c r="E366" s="34">
        <f t="shared" si="18"/>
        <v>8.9499999999999996E-3</v>
      </c>
      <c r="F366" s="19">
        <f>Solar!D366</f>
        <v>1360.73</v>
      </c>
      <c r="G366" s="32">
        <v>7.3800000000000003E-3</v>
      </c>
      <c r="H366" s="33">
        <v>0.15690000000000001</v>
      </c>
      <c r="I366" s="20">
        <f t="shared" si="16"/>
        <v>0.28765271881598514</v>
      </c>
      <c r="J366" s="20">
        <f t="shared" si="17"/>
        <v>4.2347281184011376E-2</v>
      </c>
      <c r="K366" s="20">
        <f>ENSO!I366</f>
        <v>4.7621622381740558E-2</v>
      </c>
      <c r="L366" s="19">
        <f>Analysis!B366</f>
        <v>1988.5416666666667</v>
      </c>
    </row>
    <row r="367" spans="1:12" ht="15" customHeight="1">
      <c r="A367" s="18" t="str">
        <f>Analysis!A367</f>
        <v>8/1988</v>
      </c>
      <c r="B367" s="19">
        <f>Analysis!E367</f>
        <v>0.38999999999999879</v>
      </c>
      <c r="C367" s="20">
        <f>Analysis!F367</f>
        <v>0.32394645542166806</v>
      </c>
      <c r="D367" s="19">
        <f>ENSO!D367</f>
        <v>-0.99</v>
      </c>
      <c r="E367" s="34">
        <f t="shared" si="18"/>
        <v>8.6199999999999992E-3</v>
      </c>
      <c r="F367" s="19">
        <f>Solar!D367</f>
        <v>1361.11</v>
      </c>
      <c r="G367" s="32">
        <v>7.62E-3</v>
      </c>
      <c r="H367" s="33">
        <v>0.15210000000000001</v>
      </c>
      <c r="I367" s="20">
        <f t="shared" si="16"/>
        <v>0.21242095254406906</v>
      </c>
      <c r="J367" s="20">
        <f t="shared" si="17"/>
        <v>0.17757904745592973</v>
      </c>
      <c r="K367" s="20">
        <f>ENSO!I367</f>
        <v>0.18065416961337499</v>
      </c>
      <c r="L367" s="19">
        <f>Analysis!B367</f>
        <v>1988.625</v>
      </c>
    </row>
    <row r="368" spans="1:12" ht="15" customHeight="1">
      <c r="A368" s="18" t="str">
        <f>Analysis!A368</f>
        <v>9/1988</v>
      </c>
      <c r="B368" s="19">
        <f>Analysis!E368</f>
        <v>0.36999999999999744</v>
      </c>
      <c r="C368" s="20">
        <f>Analysis!F368</f>
        <v>0.31767619003390707</v>
      </c>
      <c r="D368" s="19">
        <f>ENSO!D368</f>
        <v>-1.3</v>
      </c>
      <c r="E368" s="34">
        <f t="shared" si="18"/>
        <v>8.4200000000000004E-3</v>
      </c>
      <c r="F368" s="19">
        <f>Solar!D368</f>
        <v>1361.5</v>
      </c>
      <c r="G368" s="32">
        <v>7.7200000000000003E-3</v>
      </c>
      <c r="H368" s="33">
        <v>0.15010000000000001</v>
      </c>
      <c r="I368" s="20">
        <f t="shared" si="16"/>
        <v>0.16699288408035889</v>
      </c>
      <c r="J368" s="20">
        <f t="shared" si="17"/>
        <v>0.20300711591963855</v>
      </c>
      <c r="K368" s="20">
        <f>ENSO!I368</f>
        <v>0.20485901906249621</v>
      </c>
      <c r="L368" s="19">
        <f>Analysis!B368</f>
        <v>1988.7083333333333</v>
      </c>
    </row>
    <row r="369" spans="1:12" ht="15" customHeight="1">
      <c r="A369" s="18" t="str">
        <f>Analysis!A369</f>
        <v>10/1988</v>
      </c>
      <c r="B369" s="19">
        <f>Analysis!E369</f>
        <v>0.38000000000000256</v>
      </c>
      <c r="C369" s="20">
        <f>Analysis!F369</f>
        <v>0.3193289038394051</v>
      </c>
      <c r="D369" s="19">
        <f>ENSO!D369</f>
        <v>-1.3</v>
      </c>
      <c r="E369" s="34">
        <f t="shared" si="18"/>
        <v>8.0599999999999995E-3</v>
      </c>
      <c r="F369" s="19">
        <f>Solar!D369</f>
        <v>1361.18</v>
      </c>
      <c r="G369" s="32">
        <v>7.4200000000000004E-3</v>
      </c>
      <c r="H369" s="33">
        <v>0.15609999999999999</v>
      </c>
      <c r="I369" s="20">
        <f t="shared" si="16"/>
        <v>0.17229266529617535</v>
      </c>
      <c r="J369" s="20">
        <f t="shared" si="17"/>
        <v>0.20770733470382721</v>
      </c>
      <c r="K369" s="20">
        <f>ENSO!I369</f>
        <v>0.21031935115589889</v>
      </c>
      <c r="L369" s="19">
        <f>Analysis!B369</f>
        <v>1988.7916666666667</v>
      </c>
    </row>
    <row r="370" spans="1:12" ht="15" customHeight="1">
      <c r="A370" s="18" t="str">
        <f>Analysis!A370</f>
        <v>11/1988</v>
      </c>
      <c r="B370" s="19">
        <f>Analysis!E370</f>
        <v>0.11999999999999744</v>
      </c>
      <c r="C370" s="20">
        <f>Analysis!F370</f>
        <v>0.32365829102624488</v>
      </c>
      <c r="D370" s="19">
        <f>ENSO!D370</f>
        <v>-1.1399999999999999</v>
      </c>
      <c r="E370" s="34">
        <f t="shared" si="18"/>
        <v>7.8200000000000006E-3</v>
      </c>
      <c r="F370" s="19">
        <f>Solar!D370</f>
        <v>1361.27</v>
      </c>
      <c r="G370" s="32">
        <v>7.1900000000000002E-3</v>
      </c>
      <c r="H370" s="33">
        <v>0.1608</v>
      </c>
      <c r="I370" s="20">
        <f t="shared" si="16"/>
        <v>0.19947603498266897</v>
      </c>
      <c r="J370" s="20">
        <f t="shared" si="17"/>
        <v>-7.9476034982671528E-2</v>
      </c>
      <c r="K370" s="20">
        <f>ENSO!I370</f>
        <v>-7.5498636053264651E-2</v>
      </c>
      <c r="L370" s="19">
        <f>Analysis!B370</f>
        <v>1988.875</v>
      </c>
    </row>
    <row r="371" spans="1:12" ht="15" customHeight="1">
      <c r="A371" s="18" t="str">
        <f>Analysis!A371</f>
        <v>12/1988</v>
      </c>
      <c r="B371" s="19">
        <f>Analysis!E371</f>
        <v>0.28999999999999559</v>
      </c>
      <c r="C371" s="20">
        <f>Analysis!F371</f>
        <v>0.32859030554145996</v>
      </c>
      <c r="D371" s="19">
        <f>ENSO!D371</f>
        <v>-1.27</v>
      </c>
      <c r="E371" s="34">
        <f t="shared" si="18"/>
        <v>7.4900000000000001E-3</v>
      </c>
      <c r="F371" s="19">
        <f>Solar!D371</f>
        <v>1361.18</v>
      </c>
      <c r="G371" s="32">
        <v>6.8199999999999997E-3</v>
      </c>
      <c r="H371" s="33">
        <v>0.16830000000000001</v>
      </c>
      <c r="I371" s="20">
        <f t="shared" si="16"/>
        <v>0.20159050323276712</v>
      </c>
      <c r="J371" s="20">
        <f t="shared" si="17"/>
        <v>8.8409496767228479E-2</v>
      </c>
      <c r="K371" s="20">
        <f>ENSO!I371</f>
        <v>9.2269035584231995E-2</v>
      </c>
      <c r="L371" s="19">
        <f>Analysis!B371</f>
        <v>1988.9583333333333</v>
      </c>
    </row>
    <row r="372" spans="1:12" ht="15" customHeight="1">
      <c r="A372" s="18" t="str">
        <f>Analysis!A372</f>
        <v>1/1989</v>
      </c>
      <c r="B372" s="19">
        <f>Analysis!E372</f>
        <v>0.11999999999999744</v>
      </c>
      <c r="C372" s="20">
        <f>Analysis!F372</f>
        <v>0.33452741479971682</v>
      </c>
      <c r="D372" s="19">
        <f>ENSO!D372</f>
        <v>-1.54</v>
      </c>
      <c r="E372" s="34">
        <f t="shared" si="18"/>
        <v>7.4200000000000004E-3</v>
      </c>
      <c r="F372" s="19">
        <f>Solar!D372</f>
        <v>1361.42</v>
      </c>
      <c r="G372" s="32">
        <v>6.5199999999999998E-3</v>
      </c>
      <c r="H372" s="33">
        <v>0.17430000000000001</v>
      </c>
      <c r="I372" s="20">
        <f t="shared" si="16"/>
        <v>0.19288289913394882</v>
      </c>
      <c r="J372" s="20">
        <f t="shared" si="17"/>
        <v>-7.2882899133951379E-2</v>
      </c>
      <c r="K372" s="20">
        <f>ENSO!I372</f>
        <v>-7.0538795357375478E-2</v>
      </c>
      <c r="L372" s="19">
        <f>Analysis!B372</f>
        <v>1989.0416666666667</v>
      </c>
    </row>
    <row r="373" spans="1:12" ht="15" customHeight="1">
      <c r="A373" s="18" t="str">
        <f>Analysis!A373</f>
        <v>2/1989</v>
      </c>
      <c r="B373" s="19">
        <f>Analysis!E373</f>
        <v>0.30000000000000249</v>
      </c>
      <c r="C373" s="20">
        <f>Analysis!F373</f>
        <v>0.33599767738901826</v>
      </c>
      <c r="D373" s="19">
        <f>ENSO!D373</f>
        <v>-1.81</v>
      </c>
      <c r="E373" s="34">
        <f t="shared" si="18"/>
        <v>7.3800000000000003E-3</v>
      </c>
      <c r="F373" s="19">
        <f>Solar!D373</f>
        <v>1361.62</v>
      </c>
      <c r="G373" s="32">
        <v>6.3600000000000002E-3</v>
      </c>
      <c r="H373" s="33">
        <v>0.1774</v>
      </c>
      <c r="I373" s="20">
        <f t="shared" si="16"/>
        <v>0.17192629126101827</v>
      </c>
      <c r="J373" s="20">
        <f t="shared" si="17"/>
        <v>0.12807370873898422</v>
      </c>
      <c r="K373" s="20">
        <f>ENSO!I373</f>
        <v>0.12892289090315956</v>
      </c>
      <c r="L373" s="19">
        <f>Analysis!B373</f>
        <v>1989.125</v>
      </c>
    </row>
    <row r="374" spans="1:12" ht="15" customHeight="1">
      <c r="A374" s="18" t="str">
        <f>Analysis!A374</f>
        <v>3/1989</v>
      </c>
      <c r="B374" s="19">
        <f>Analysis!E374</f>
        <v>0.36000000000000121</v>
      </c>
      <c r="C374" s="20">
        <f>Analysis!F374</f>
        <v>0.33864852908132032</v>
      </c>
      <c r="D374" s="19">
        <f>ENSO!D374</f>
        <v>-1.85</v>
      </c>
      <c r="E374" s="34">
        <f t="shared" si="18"/>
        <v>7.62E-3</v>
      </c>
      <c r="F374" s="19">
        <f>Solar!D374</f>
        <v>1361.37</v>
      </c>
      <c r="G374" s="32">
        <v>5.9699999999999996E-3</v>
      </c>
      <c r="H374" s="33">
        <v>0.1852</v>
      </c>
      <c r="I374" s="20">
        <f t="shared" si="16"/>
        <v>0.17491640760792421</v>
      </c>
      <c r="J374" s="20">
        <f t="shared" si="17"/>
        <v>0.185083592392077</v>
      </c>
      <c r="K374" s="20">
        <f>ENSO!I374</f>
        <v>0.18512305249437511</v>
      </c>
      <c r="L374" s="19">
        <f>Analysis!B374</f>
        <v>1989.2083333333333</v>
      </c>
    </row>
    <row r="375" spans="1:12" ht="15" customHeight="1">
      <c r="A375" s="18" t="str">
        <f>Analysis!A375</f>
        <v>4/1989</v>
      </c>
      <c r="B375" s="19">
        <f>Analysis!E375</f>
        <v>0.28999999999999559</v>
      </c>
      <c r="C375" s="20">
        <f>Analysis!F375</f>
        <v>0.3453152635906736</v>
      </c>
      <c r="D375" s="19">
        <f>ENSO!D375</f>
        <v>-1.64</v>
      </c>
      <c r="E375" s="34">
        <f t="shared" si="18"/>
        <v>7.7200000000000003E-3</v>
      </c>
      <c r="F375" s="19">
        <f>Solar!D375</f>
        <v>1361.61</v>
      </c>
      <c r="G375" s="32">
        <v>5.8799999999999998E-3</v>
      </c>
      <c r="H375" s="33">
        <v>0.18709999999999999</v>
      </c>
      <c r="I375" s="20">
        <f t="shared" si="16"/>
        <v>0.212366349884309</v>
      </c>
      <c r="J375" s="20">
        <f t="shared" si="17"/>
        <v>7.7633650115686598E-2</v>
      </c>
      <c r="K375" s="20">
        <f>ENSO!I375</f>
        <v>7.8532960180150768E-2</v>
      </c>
      <c r="L375" s="19">
        <f>Analysis!B375</f>
        <v>1989.2916666666667</v>
      </c>
    </row>
    <row r="376" spans="1:12" ht="15" customHeight="1">
      <c r="A376" s="18" t="str">
        <f>Analysis!A376</f>
        <v>5/1989</v>
      </c>
      <c r="B376" s="19">
        <f>Analysis!E376</f>
        <v>0.17999999999999972</v>
      </c>
      <c r="C376" s="20">
        <f>Analysis!F376</f>
        <v>0.34624777408277535</v>
      </c>
      <c r="D376" s="19">
        <f>ENSO!D376</f>
        <v>-1.38</v>
      </c>
      <c r="E376" s="34">
        <f t="shared" si="18"/>
        <v>7.4200000000000004E-3</v>
      </c>
      <c r="F376" s="19">
        <f>Solar!D376</f>
        <v>1361.83</v>
      </c>
      <c r="G376" s="32">
        <v>5.7999999999999996E-3</v>
      </c>
      <c r="H376" s="33">
        <v>0.18870000000000001</v>
      </c>
      <c r="I376" s="20">
        <f t="shared" si="16"/>
        <v>0.23969651285307289</v>
      </c>
      <c r="J376" s="20">
        <f t="shared" si="17"/>
        <v>-5.9696512853073175E-2</v>
      </c>
      <c r="K376" s="20">
        <f>ENSO!I376</f>
        <v>-5.6658276214240355E-2</v>
      </c>
      <c r="L376" s="19">
        <f>Analysis!B376</f>
        <v>1989.375</v>
      </c>
    </row>
    <row r="377" spans="1:12" ht="15" customHeight="1">
      <c r="A377" s="18" t="str">
        <f>Analysis!A377</f>
        <v>6/1989</v>
      </c>
      <c r="B377" s="19">
        <f>Analysis!E377</f>
        <v>0.14999999999999858</v>
      </c>
      <c r="C377" s="20">
        <f>Analysis!F377</f>
        <v>0.3441792192903127</v>
      </c>
      <c r="D377" s="19">
        <f>ENSO!D377</f>
        <v>-1.0900000000000001</v>
      </c>
      <c r="E377" s="34">
        <f t="shared" si="18"/>
        <v>7.1900000000000002E-3</v>
      </c>
      <c r="F377" s="19">
        <f>Solar!D377</f>
        <v>1361.23</v>
      </c>
      <c r="G377" s="32">
        <v>5.7400000000000003E-3</v>
      </c>
      <c r="H377" s="33">
        <v>0.18970000000000001</v>
      </c>
      <c r="I377" s="20">
        <f t="shared" si="16"/>
        <v>0.26147131850635158</v>
      </c>
      <c r="J377" s="20">
        <f t="shared" si="17"/>
        <v>-0.111471318506353</v>
      </c>
      <c r="K377" s="20">
        <f>ENSO!I377</f>
        <v>-0.10621733115646792</v>
      </c>
      <c r="L377" s="19">
        <f>Analysis!B377</f>
        <v>1989.4583333333333</v>
      </c>
    </row>
    <row r="378" spans="1:12" ht="15" customHeight="1">
      <c r="A378" s="18" t="str">
        <f>Analysis!A378</f>
        <v>7/1989</v>
      </c>
      <c r="B378" s="19">
        <f>Analysis!E378</f>
        <v>0.34999999999999787</v>
      </c>
      <c r="C378" s="20">
        <f>Analysis!F378</f>
        <v>0.33852628923481626</v>
      </c>
      <c r="D378" s="19">
        <f>ENSO!D378</f>
        <v>-0.85</v>
      </c>
      <c r="E378" s="34">
        <f t="shared" si="18"/>
        <v>6.8199999999999997E-3</v>
      </c>
      <c r="F378" s="19">
        <f>Solar!D378</f>
        <v>1362.18</v>
      </c>
      <c r="G378" s="32">
        <v>5.64E-3</v>
      </c>
      <c r="H378" s="33">
        <v>0.1918</v>
      </c>
      <c r="I378" s="20">
        <f t="shared" si="16"/>
        <v>0.26913830484144596</v>
      </c>
      <c r="J378" s="20">
        <f t="shared" si="17"/>
        <v>8.0861695158551905E-2</v>
      </c>
      <c r="K378" s="20">
        <f>ENSO!I378</f>
        <v>8.8421050543733393E-2</v>
      </c>
      <c r="L378" s="19">
        <f>Analysis!B378</f>
        <v>1989.5416666666667</v>
      </c>
    </row>
    <row r="379" spans="1:12" ht="15" customHeight="1">
      <c r="A379" s="18" t="str">
        <f>Analysis!A379</f>
        <v>8/1989</v>
      </c>
      <c r="B379" s="19">
        <f>Analysis!E379</f>
        <v>0.32999999999999652</v>
      </c>
      <c r="C379" s="20">
        <f>Analysis!F379</f>
        <v>0.32949268213527677</v>
      </c>
      <c r="D379" s="19">
        <f>ENSO!D379</f>
        <v>-0.61</v>
      </c>
      <c r="E379" s="34">
        <f t="shared" si="18"/>
        <v>6.5199999999999998E-3</v>
      </c>
      <c r="F379" s="19">
        <f>Solar!D379</f>
        <v>1361.48</v>
      </c>
      <c r="G379" s="32">
        <v>5.7000000000000002E-3</v>
      </c>
      <c r="H379" s="33">
        <v>0.19059999999999999</v>
      </c>
      <c r="I379" s="20">
        <f t="shared" si="16"/>
        <v>0.26743072045733601</v>
      </c>
      <c r="J379" s="20">
        <f t="shared" si="17"/>
        <v>6.2569279542660505E-2</v>
      </c>
      <c r="K379" s="20">
        <f>ENSO!I379</f>
        <v>7.2345462909603697E-2</v>
      </c>
      <c r="L379" s="19">
        <f>Analysis!B379</f>
        <v>1989.625</v>
      </c>
    </row>
    <row r="380" spans="1:12" ht="15" customHeight="1">
      <c r="A380" s="18" t="str">
        <f>Analysis!A380</f>
        <v>9/1989</v>
      </c>
      <c r="B380" s="19">
        <f>Analysis!E380</f>
        <v>0.34999999999999787</v>
      </c>
      <c r="C380" s="20">
        <f>Analysis!F380</f>
        <v>0.32229902592307286</v>
      </c>
      <c r="D380" s="19">
        <f>ENSO!D380</f>
        <v>-0.4</v>
      </c>
      <c r="E380" s="34">
        <f t="shared" si="18"/>
        <v>6.3600000000000002E-3</v>
      </c>
      <c r="F380" s="19">
        <f>Solar!D380</f>
        <v>1361.19</v>
      </c>
      <c r="G380" s="32">
        <v>5.79E-3</v>
      </c>
      <c r="H380" s="33">
        <v>0.18890000000000001</v>
      </c>
      <c r="I380" s="20">
        <f t="shared" si="16"/>
        <v>0.26764956595931089</v>
      </c>
      <c r="J380" s="20">
        <f t="shared" si="17"/>
        <v>8.2350434040686982E-2</v>
      </c>
      <c r="K380" s="20">
        <f>ENSO!I380</f>
        <v>9.3827038371322558E-2</v>
      </c>
      <c r="L380" s="19">
        <f>Analysis!B380</f>
        <v>1989.7083333333333</v>
      </c>
    </row>
    <row r="381" spans="1:12" ht="15" customHeight="1">
      <c r="A381" s="18" t="str">
        <f>Analysis!A381</f>
        <v>10/1989</v>
      </c>
      <c r="B381" s="19">
        <f>Analysis!E381</f>
        <v>0.28999999999999559</v>
      </c>
      <c r="C381" s="20">
        <f>Analysis!F381</f>
        <v>0.32328770935119977</v>
      </c>
      <c r="D381" s="19">
        <f>ENSO!D381</f>
        <v>-0.37</v>
      </c>
      <c r="E381" s="34">
        <f t="shared" si="18"/>
        <v>5.9699999999999996E-3</v>
      </c>
      <c r="F381" s="19">
        <f>Solar!D381</f>
        <v>1362.03</v>
      </c>
      <c r="G381" s="32">
        <v>5.6899999999999997E-3</v>
      </c>
      <c r="H381" s="33">
        <v>0.1908</v>
      </c>
      <c r="I381" s="20">
        <f t="shared" si="16"/>
        <v>0.27398811457297229</v>
      </c>
      <c r="J381" s="20">
        <f t="shared" si="17"/>
        <v>1.6011885427023309E-2</v>
      </c>
      <c r="K381" s="20">
        <f>ENSO!I381</f>
        <v>2.8500193447500544E-2</v>
      </c>
      <c r="L381" s="19">
        <f>Analysis!B381</f>
        <v>1989.7916666666667</v>
      </c>
    </row>
    <row r="382" spans="1:12" ht="15" customHeight="1">
      <c r="A382" s="18" t="str">
        <f>Analysis!A382</f>
        <v>11/1989</v>
      </c>
      <c r="B382" s="19">
        <f>Analysis!E382</f>
        <v>0.20000000000000107</v>
      </c>
      <c r="C382" s="20">
        <f>Analysis!F382</f>
        <v>0.32830306731117204</v>
      </c>
      <c r="D382" s="19">
        <f>ENSO!D382</f>
        <v>-0.36</v>
      </c>
      <c r="E382" s="34">
        <f t="shared" si="18"/>
        <v>5.8799999999999998E-3</v>
      </c>
      <c r="F382" s="19">
        <f>Solar!D382</f>
        <v>1361.84</v>
      </c>
      <c r="G382" s="32">
        <v>5.4999999999999997E-3</v>
      </c>
      <c r="H382" s="33">
        <v>0.1946</v>
      </c>
      <c r="I382" s="20">
        <f t="shared" si="16"/>
        <v>0.28879311352826448</v>
      </c>
      <c r="J382" s="20">
        <f t="shared" si="17"/>
        <v>-8.8793113528263412E-2</v>
      </c>
      <c r="K382" s="20">
        <f>ENSO!I382</f>
        <v>-7.6146350152144882E-2</v>
      </c>
      <c r="L382" s="19">
        <f>Analysis!B382</f>
        <v>1989.875</v>
      </c>
    </row>
    <row r="383" spans="1:12" ht="15" customHeight="1">
      <c r="A383" s="18" t="str">
        <f>Analysis!A383</f>
        <v>12/1989</v>
      </c>
      <c r="B383" s="19">
        <f>Analysis!E383</f>
        <v>0.36999999999999744</v>
      </c>
      <c r="C383" s="20">
        <f>Analysis!F383</f>
        <v>0.33387348349714652</v>
      </c>
      <c r="D383" s="19">
        <f>ENSO!D383</f>
        <v>-0.33</v>
      </c>
      <c r="E383" s="34">
        <f t="shared" si="18"/>
        <v>5.7999999999999996E-3</v>
      </c>
      <c r="F383" s="19">
        <f>Solar!D383</f>
        <v>1361.88</v>
      </c>
      <c r="G383" s="32">
        <v>5.3899999999999998E-3</v>
      </c>
      <c r="H383" s="33">
        <v>0.1968</v>
      </c>
      <c r="I383" s="20">
        <f t="shared" si="16"/>
        <v>0.30694588944256601</v>
      </c>
      <c r="J383" s="20">
        <f t="shared" si="17"/>
        <v>6.3054110557431431E-2</v>
      </c>
      <c r="K383" s="20">
        <f>ENSO!I383</f>
        <v>7.5941719056026868E-2</v>
      </c>
      <c r="L383" s="19">
        <f>Analysis!B383</f>
        <v>1989.9583333333333</v>
      </c>
    </row>
    <row r="384" spans="1:12" ht="15" customHeight="1">
      <c r="A384" s="18" t="str">
        <f>Analysis!A384</f>
        <v>1/1990</v>
      </c>
      <c r="B384" s="19">
        <f>Analysis!E384</f>
        <v>0.42000000000000348</v>
      </c>
      <c r="C384" s="20">
        <f>Analysis!F384</f>
        <v>0.33775186292539572</v>
      </c>
      <c r="D384" s="19">
        <f>ENSO!D384</f>
        <v>-0.25</v>
      </c>
      <c r="E384" s="34">
        <f t="shared" si="18"/>
        <v>5.7400000000000003E-3</v>
      </c>
      <c r="F384" s="19">
        <f>Solar!D384</f>
        <v>1361.9</v>
      </c>
      <c r="G384" s="32">
        <v>5.2399999999999999E-3</v>
      </c>
      <c r="H384" s="33">
        <v>0.19989999999999999</v>
      </c>
      <c r="I384" s="20">
        <f t="shared" si="16"/>
        <v>0.32507950424668719</v>
      </c>
      <c r="J384" s="20">
        <f t="shared" si="17"/>
        <v>9.4920495753316292E-2</v>
      </c>
      <c r="K384" s="20">
        <f>ENSO!I384</f>
        <v>0.10832557980984653</v>
      </c>
      <c r="L384" s="19">
        <f>Analysis!B384</f>
        <v>1990.0416666666667</v>
      </c>
    </row>
    <row r="385" spans="1:12" ht="15" customHeight="1">
      <c r="A385" s="18" t="str">
        <f>Analysis!A385</f>
        <v>2/1990</v>
      </c>
      <c r="B385" s="19">
        <f>Analysis!E385</f>
        <v>0.44000000000000483</v>
      </c>
      <c r="C385" s="20">
        <f>Analysis!F385</f>
        <v>0.34279853318864284</v>
      </c>
      <c r="D385" s="19">
        <f>ENSO!D385</f>
        <v>-0.12</v>
      </c>
      <c r="E385" s="34">
        <f t="shared" si="18"/>
        <v>5.64E-3</v>
      </c>
      <c r="F385" s="19">
        <f>Solar!D385</f>
        <v>1361.67</v>
      </c>
      <c r="G385" s="32">
        <v>5.2900000000000004E-3</v>
      </c>
      <c r="H385" s="33">
        <v>0.1988</v>
      </c>
      <c r="I385" s="20">
        <f t="shared" si="16"/>
        <v>0.35112731057718183</v>
      </c>
      <c r="J385" s="20">
        <f t="shared" si="17"/>
        <v>8.8872689422823004E-2</v>
      </c>
      <c r="K385" s="20">
        <f>ENSO!I385</f>
        <v>0.10314849530958398</v>
      </c>
      <c r="L385" s="19">
        <f>Analysis!B385</f>
        <v>1990.125</v>
      </c>
    </row>
    <row r="386" spans="1:12" ht="15" customHeight="1">
      <c r="A386" s="18" t="str">
        <f>Analysis!A386</f>
        <v>3/1990</v>
      </c>
      <c r="B386" s="19">
        <f>Analysis!E386</f>
        <v>0.79999999999999893</v>
      </c>
      <c r="C386" s="20">
        <f>Analysis!F386</f>
        <v>0.34543692958151601</v>
      </c>
      <c r="D386" s="19">
        <f>ENSO!D386</f>
        <v>-0.04</v>
      </c>
      <c r="E386" s="34">
        <f t="shared" si="18"/>
        <v>5.7000000000000002E-3</v>
      </c>
      <c r="F386" s="19">
        <f>Solar!D386</f>
        <v>1361.67</v>
      </c>
      <c r="G386" s="32">
        <v>5.7999999999999996E-3</v>
      </c>
      <c r="H386" s="33">
        <v>0.18859999999999999</v>
      </c>
      <c r="I386" s="20">
        <f t="shared" ref="I386:I449" si="19">IF(OR(D386="",E386=""),"",$N$14+$N$15*C386+$N$16*D386+$N$17*E386)</f>
        <v>0.36561492128975365</v>
      </c>
      <c r="J386" s="20">
        <f t="shared" ref="J386:J449" si="20">IF(I386="","",B386-I386)</f>
        <v>0.43438507871024529</v>
      </c>
      <c r="K386" s="20">
        <f>ENSO!I386</f>
        <v>0.4489383366824814</v>
      </c>
      <c r="L386" s="19">
        <f>Analysis!B386</f>
        <v>1990.2083333333333</v>
      </c>
    </row>
    <row r="387" spans="1:12" ht="15" customHeight="1">
      <c r="A387" s="18" t="str">
        <f>Analysis!A387</f>
        <v>4/1990</v>
      </c>
      <c r="B387" s="19">
        <f>Analysis!E387</f>
        <v>0.55999999999999872</v>
      </c>
      <c r="C387" s="20">
        <f>Analysis!F387</f>
        <v>0.34798954810025179</v>
      </c>
      <c r="D387" s="19">
        <f>ENSO!D387</f>
        <v>0.18</v>
      </c>
      <c r="E387" s="34">
        <f t="shared" si="18"/>
        <v>5.79E-3</v>
      </c>
      <c r="F387" s="19">
        <f>Solar!D387</f>
        <v>1361.95</v>
      </c>
      <c r="G387" s="32">
        <v>5.9899999999999997E-3</v>
      </c>
      <c r="H387" s="33">
        <v>0.1847</v>
      </c>
      <c r="I387" s="20">
        <f t="shared" si="19"/>
        <v>0.39279387081836548</v>
      </c>
      <c r="J387" s="20">
        <f t="shared" si="20"/>
        <v>0.16720612918163325</v>
      </c>
      <c r="K387" s="20">
        <f>ENSO!I387</f>
        <v>0.18277850460469208</v>
      </c>
      <c r="L387" s="19">
        <f>Analysis!B387</f>
        <v>1990.2916666666667</v>
      </c>
    </row>
    <row r="388" spans="1:12" ht="15" customHeight="1">
      <c r="A388" s="18" t="str">
        <f>Analysis!A388</f>
        <v>5/1990</v>
      </c>
      <c r="B388" s="19">
        <f>Analysis!E388</f>
        <v>0.46000000000000441</v>
      </c>
      <c r="C388" s="20">
        <f>Analysis!F388</f>
        <v>0.35203207215550791</v>
      </c>
      <c r="D388" s="19">
        <f>ENSO!D388</f>
        <v>0.19</v>
      </c>
      <c r="E388" s="34">
        <f t="shared" si="18"/>
        <v>5.6899999999999997E-3</v>
      </c>
      <c r="F388" s="19">
        <f>Solar!D388</f>
        <v>1361.55</v>
      </c>
      <c r="G388" s="32">
        <v>6.1999999999999998E-3</v>
      </c>
      <c r="H388" s="33">
        <v>0.18060000000000001</v>
      </c>
      <c r="I388" s="20">
        <f t="shared" si="19"/>
        <v>0.40496754092758347</v>
      </c>
      <c r="J388" s="20">
        <f t="shared" si="20"/>
        <v>5.5032459072420936E-2</v>
      </c>
      <c r="K388" s="20">
        <f>ENSO!I388</f>
        <v>7.0804137422405544E-2</v>
      </c>
      <c r="L388" s="19">
        <f>Analysis!B388</f>
        <v>1990.375</v>
      </c>
    </row>
    <row r="389" spans="1:12" ht="15" customHeight="1">
      <c r="A389" s="18" t="str">
        <f>Analysis!A389</f>
        <v>6/1990</v>
      </c>
      <c r="B389" s="19">
        <f>Analysis!E389</f>
        <v>0.36999999999999744</v>
      </c>
      <c r="C389" s="20">
        <f>Analysis!F389</f>
        <v>0.34803002946285083</v>
      </c>
      <c r="D389" s="19">
        <f>ENSO!D389</f>
        <v>0.3</v>
      </c>
      <c r="E389" s="34">
        <f t="shared" si="18"/>
        <v>5.4999999999999997E-3</v>
      </c>
      <c r="F389" s="19">
        <f>Solar!D389</f>
        <v>1361.85</v>
      </c>
      <c r="G389" s="32">
        <v>6.2599999999999999E-3</v>
      </c>
      <c r="H389" s="33">
        <v>0.1794</v>
      </c>
      <c r="I389" s="20">
        <f t="shared" si="19"/>
        <v>0.40467778475372435</v>
      </c>
      <c r="J389" s="20">
        <f t="shared" si="20"/>
        <v>-3.4677784753726903E-2</v>
      </c>
      <c r="K389" s="20">
        <f>ENSO!I389</f>
        <v>-1.7777221832709911E-2</v>
      </c>
      <c r="L389" s="19">
        <f>Analysis!B389</f>
        <v>1990.4583333333333</v>
      </c>
    </row>
    <row r="390" spans="1:12" ht="15" customHeight="1">
      <c r="A390" s="18" t="str">
        <f>Analysis!A390</f>
        <v>7/1990</v>
      </c>
      <c r="B390" s="19">
        <f>Analysis!E390</f>
        <v>0.46000000000000441</v>
      </c>
      <c r="C390" s="20">
        <f>Analysis!F390</f>
        <v>0.34194509590805666</v>
      </c>
      <c r="D390" s="19">
        <f>ENSO!D390</f>
        <v>0.27</v>
      </c>
      <c r="E390" s="34">
        <f t="shared" si="18"/>
        <v>5.3899999999999998E-3</v>
      </c>
      <c r="F390" s="19">
        <f>Solar!D390</f>
        <v>1361.44</v>
      </c>
      <c r="G390" s="32">
        <v>6.3E-3</v>
      </c>
      <c r="H390" s="33">
        <v>0.17860000000000001</v>
      </c>
      <c r="I390" s="20">
        <f t="shared" si="19"/>
        <v>0.38553976777984644</v>
      </c>
      <c r="J390" s="20">
        <f t="shared" si="20"/>
        <v>7.4460232220157963E-2</v>
      </c>
      <c r="K390" s="20">
        <f>ENSO!I390</f>
        <v>9.1547983283357448E-2</v>
      </c>
      <c r="L390" s="19">
        <f>Analysis!B390</f>
        <v>1990.5416666666667</v>
      </c>
    </row>
    <row r="391" spans="1:12" ht="15" customHeight="1">
      <c r="A391" s="18" t="str">
        <f>Analysis!A391</f>
        <v>8/1990</v>
      </c>
      <c r="B391" s="19">
        <f>Analysis!E391</f>
        <v>0.33999999999999986</v>
      </c>
      <c r="C391" s="20">
        <f>Analysis!F391</f>
        <v>0.3344865527759821</v>
      </c>
      <c r="D391" s="19">
        <f>ENSO!D391</f>
        <v>0.25</v>
      </c>
      <c r="E391" s="34">
        <f t="shared" si="18"/>
        <v>5.2399999999999999E-3</v>
      </c>
      <c r="F391" s="19">
        <f>Solar!D391</f>
        <v>1361.04</v>
      </c>
      <c r="G391" s="32">
        <v>6.5799999999999999E-3</v>
      </c>
      <c r="H391" s="33">
        <v>0.17299999999999999</v>
      </c>
      <c r="I391" s="20">
        <f t="shared" si="19"/>
        <v>0.363671296741579</v>
      </c>
      <c r="J391" s="20">
        <f t="shared" si="20"/>
        <v>-2.367129674157914E-2</v>
      </c>
      <c r="K391" s="20">
        <f>ENSO!I391</f>
        <v>-6.2241638104728048E-3</v>
      </c>
      <c r="L391" s="19">
        <f>Analysis!B391</f>
        <v>1990.625</v>
      </c>
    </row>
    <row r="392" spans="1:12" ht="15" customHeight="1">
      <c r="A392" s="18" t="str">
        <f>Analysis!A392</f>
        <v>9/1990</v>
      </c>
      <c r="B392" s="19">
        <f>Analysis!E392</f>
        <v>0.2300000000000022</v>
      </c>
      <c r="C392" s="20">
        <f>Analysis!F392</f>
        <v>0.32760525056773293</v>
      </c>
      <c r="D392" s="19">
        <f>ENSO!D392</f>
        <v>0.25</v>
      </c>
      <c r="E392" s="34">
        <f t="shared" si="18"/>
        <v>5.2900000000000004E-3</v>
      </c>
      <c r="F392" s="19">
        <f>Solar!D392</f>
        <v>1361.86</v>
      </c>
      <c r="G392" s="32">
        <v>6.6E-3</v>
      </c>
      <c r="H392" s="33">
        <v>0.17269999999999999</v>
      </c>
      <c r="I392" s="20">
        <f t="shared" si="19"/>
        <v>0.34479303739863748</v>
      </c>
      <c r="J392" s="20">
        <f t="shared" si="20"/>
        <v>-0.11479303739863528</v>
      </c>
      <c r="K392" s="20">
        <f>ENSO!I392</f>
        <v>-9.7322629445294628E-2</v>
      </c>
      <c r="L392" s="19">
        <f>Analysis!B392</f>
        <v>1990.7083333333333</v>
      </c>
    </row>
    <row r="393" spans="1:12" ht="15" customHeight="1">
      <c r="A393" s="18" t="str">
        <f>Analysis!A393</f>
        <v>10/1990</v>
      </c>
      <c r="B393" s="19">
        <f>Analysis!E393</f>
        <v>0.44999999999999751</v>
      </c>
      <c r="C393" s="20">
        <f>Analysis!F393</f>
        <v>0.32887748659446853</v>
      </c>
      <c r="D393" s="19">
        <f>ENSO!D393</f>
        <v>0.26</v>
      </c>
      <c r="E393" s="34">
        <f t="shared" ref="E393:E456" si="21">IF(G386="","",G386)</f>
        <v>5.7999999999999996E-3</v>
      </c>
      <c r="F393" s="19">
        <f>Solar!D393</f>
        <v>1361.63</v>
      </c>
      <c r="G393" s="32">
        <v>6.2500000000000003E-3</v>
      </c>
      <c r="H393" s="33">
        <v>0.17960000000000001</v>
      </c>
      <c r="I393" s="20">
        <f t="shared" si="19"/>
        <v>0.34806873737051952</v>
      </c>
      <c r="J393" s="20">
        <f t="shared" si="20"/>
        <v>0.10193126262947799</v>
      </c>
      <c r="K393" s="20">
        <f>ENSO!I393</f>
        <v>0.11831241984444552</v>
      </c>
      <c r="L393" s="19">
        <f>Analysis!B393</f>
        <v>1990.7916666666667</v>
      </c>
    </row>
    <row r="394" spans="1:12" ht="15" customHeight="1">
      <c r="A394" s="18" t="str">
        <f>Analysis!A394</f>
        <v>11/1990</v>
      </c>
      <c r="B394" s="19">
        <f>Analysis!E394</f>
        <v>0.46000000000000441</v>
      </c>
      <c r="C394" s="20">
        <f>Analysis!F394</f>
        <v>0.33481341656461083</v>
      </c>
      <c r="D394" s="19">
        <f>ENSO!D394</f>
        <v>0.32</v>
      </c>
      <c r="E394" s="34">
        <f t="shared" si="21"/>
        <v>5.9899999999999997E-3</v>
      </c>
      <c r="F394" s="19">
        <f>Solar!D394</f>
        <v>1360.75</v>
      </c>
      <c r="G394" s="32">
        <v>6.1599999999999997E-3</v>
      </c>
      <c r="H394" s="33">
        <v>0.18129999999999999</v>
      </c>
      <c r="I394" s="20">
        <f t="shared" si="19"/>
        <v>0.36940818039787832</v>
      </c>
      <c r="J394" s="20">
        <f t="shared" si="20"/>
        <v>9.0591819602126089E-2</v>
      </c>
      <c r="K394" s="20">
        <f>ENSO!I394</f>
        <v>0.10678536410333633</v>
      </c>
      <c r="L394" s="19">
        <f>Analysis!B394</f>
        <v>1990.875</v>
      </c>
    </row>
    <row r="395" spans="1:12" ht="15" customHeight="1">
      <c r="A395" s="18" t="str">
        <f>Analysis!A395</f>
        <v>12/1990</v>
      </c>
      <c r="B395" s="19">
        <f>Analysis!E395</f>
        <v>0.40000000000000213</v>
      </c>
      <c r="C395" s="20">
        <f>Analysis!F395</f>
        <v>0.33999248424772416</v>
      </c>
      <c r="D395" s="19">
        <f>ENSO!D395</f>
        <v>0.31</v>
      </c>
      <c r="E395" s="34">
        <f t="shared" si="21"/>
        <v>6.1999999999999998E-3</v>
      </c>
      <c r="F395" s="19">
        <f>Solar!D395</f>
        <v>1361.33</v>
      </c>
      <c r="G395" s="32">
        <v>5.8900000000000003E-3</v>
      </c>
      <c r="H395" s="33">
        <v>0.18679999999999999</v>
      </c>
      <c r="I395" s="20">
        <f t="shared" si="19"/>
        <v>0.38214367950230438</v>
      </c>
      <c r="J395" s="20">
        <f t="shared" si="20"/>
        <v>1.7856320497697753E-2</v>
      </c>
      <c r="K395" s="20">
        <f>ENSO!I395</f>
        <v>3.3429898665361224E-2</v>
      </c>
      <c r="L395" s="19">
        <f>Analysis!B395</f>
        <v>1990.9583333333333</v>
      </c>
    </row>
    <row r="396" spans="1:12" ht="15" customHeight="1">
      <c r="A396" s="18" t="str">
        <f>Analysis!A396</f>
        <v>1/1991</v>
      </c>
      <c r="B396" s="19">
        <f>Analysis!E396</f>
        <v>0.42999999999999972</v>
      </c>
      <c r="C396" s="20">
        <f>Analysis!F396</f>
        <v>0.3421076943180667</v>
      </c>
      <c r="D396" s="19">
        <f>ENSO!D396</f>
        <v>0.27</v>
      </c>
      <c r="E396" s="34">
        <f t="shared" si="21"/>
        <v>6.2599999999999999E-3</v>
      </c>
      <c r="F396" s="19">
        <f>Solar!D396</f>
        <v>1360.94</v>
      </c>
      <c r="G396" s="32">
        <v>5.7800000000000004E-3</v>
      </c>
      <c r="H396" s="33">
        <v>0.189</v>
      </c>
      <c r="I396" s="20">
        <f t="shared" si="19"/>
        <v>0.38406893643240964</v>
      </c>
      <c r="J396" s="20">
        <f t="shared" si="20"/>
        <v>4.593106356759008E-2</v>
      </c>
      <c r="K396" s="20">
        <f>ENSO!I396</f>
        <v>6.110135859786181E-2</v>
      </c>
      <c r="L396" s="19">
        <f>Analysis!B396</f>
        <v>1991.0416666666667</v>
      </c>
    </row>
    <row r="397" spans="1:12" ht="15" customHeight="1">
      <c r="A397" s="18" t="str">
        <f>Analysis!A397</f>
        <v>2/1991</v>
      </c>
      <c r="B397" s="19">
        <f>Analysis!E397</f>
        <v>0.5</v>
      </c>
      <c r="C397" s="20">
        <f>Analysis!F397</f>
        <v>0.34572077699832093</v>
      </c>
      <c r="D397" s="19">
        <f>ENSO!D397</f>
        <v>0.31</v>
      </c>
      <c r="E397" s="34">
        <f t="shared" si="21"/>
        <v>6.3E-3</v>
      </c>
      <c r="F397" s="19">
        <f>Solar!D397</f>
        <v>1361.29</v>
      </c>
      <c r="G397" s="32">
        <v>5.7499999999999999E-3</v>
      </c>
      <c r="H397" s="33">
        <v>0.18959999999999999</v>
      </c>
      <c r="I397" s="20">
        <f t="shared" si="19"/>
        <v>0.39754713817290027</v>
      </c>
      <c r="J397" s="20">
        <f t="shared" si="20"/>
        <v>0.10245286182709973</v>
      </c>
      <c r="K397" s="20">
        <f>ENSO!I397</f>
        <v>0.1176954462314293</v>
      </c>
      <c r="L397" s="19">
        <f>Analysis!B397</f>
        <v>1991.125</v>
      </c>
    </row>
    <row r="398" spans="1:12" ht="15" customHeight="1">
      <c r="A398" s="18" t="str">
        <f>Analysis!A398</f>
        <v>3/1991</v>
      </c>
      <c r="B398" s="19">
        <f>Analysis!E398</f>
        <v>0.36000000000000121</v>
      </c>
      <c r="C398" s="20">
        <f>Analysis!F398</f>
        <v>0.35183021475275128</v>
      </c>
      <c r="D398" s="19">
        <f>ENSO!D398</f>
        <v>0.34</v>
      </c>
      <c r="E398" s="34">
        <f t="shared" si="21"/>
        <v>6.5799999999999999E-3</v>
      </c>
      <c r="F398" s="19">
        <f>Solar!D398</f>
        <v>1362.25</v>
      </c>
      <c r="G398" s="32">
        <v>5.6299999999999996E-3</v>
      </c>
      <c r="H398" s="33">
        <v>0.192</v>
      </c>
      <c r="I398" s="20">
        <f t="shared" si="19"/>
        <v>0.4163779286522527</v>
      </c>
      <c r="J398" s="20">
        <f t="shared" si="20"/>
        <v>-5.6377928652251497E-2</v>
      </c>
      <c r="K398" s="20">
        <f>ENSO!I398</f>
        <v>-4.1697066925680482E-2</v>
      </c>
      <c r="L398" s="19">
        <f>Analysis!B398</f>
        <v>1991.2083333333333</v>
      </c>
    </row>
    <row r="399" spans="1:12" ht="15" customHeight="1">
      <c r="A399" s="18" t="str">
        <f>Analysis!A399</f>
        <v>4/1991</v>
      </c>
      <c r="B399" s="19">
        <f>Analysis!E399</f>
        <v>0.50999999999999801</v>
      </c>
      <c r="C399" s="20">
        <f>Analysis!F399</f>
        <v>0.35763243136807038</v>
      </c>
      <c r="D399" s="19">
        <f>ENSO!D399</f>
        <v>0.35</v>
      </c>
      <c r="E399" s="34">
        <f t="shared" si="21"/>
        <v>6.6E-3</v>
      </c>
      <c r="F399" s="19">
        <f>Solar!D399</f>
        <v>1362.18</v>
      </c>
      <c r="G399" s="32">
        <v>5.5700000000000003E-3</v>
      </c>
      <c r="H399" s="33">
        <v>0.19320000000000001</v>
      </c>
      <c r="I399" s="20">
        <f t="shared" si="19"/>
        <v>0.43308698752029923</v>
      </c>
      <c r="J399" s="20">
        <f t="shared" si="20"/>
        <v>7.6913012479698784E-2</v>
      </c>
      <c r="K399" s="20">
        <f>ENSO!I399</f>
        <v>9.1495049154988017E-2</v>
      </c>
      <c r="L399" s="19">
        <f>Analysis!B399</f>
        <v>1991.2916666666667</v>
      </c>
    </row>
    <row r="400" spans="1:12" ht="15" customHeight="1">
      <c r="A400" s="18" t="str">
        <f>Analysis!A400</f>
        <v>5/1991</v>
      </c>
      <c r="B400" s="19">
        <f>Analysis!E400</f>
        <v>0.33999999999999986</v>
      </c>
      <c r="C400" s="20">
        <f>Analysis!F400</f>
        <v>0.3594810102249153</v>
      </c>
      <c r="D400" s="19">
        <f>ENSO!D400</f>
        <v>0.26</v>
      </c>
      <c r="E400" s="34">
        <f t="shared" si="21"/>
        <v>6.2500000000000003E-3</v>
      </c>
      <c r="F400" s="19">
        <f>Solar!D400</f>
        <v>1361.41</v>
      </c>
      <c r="G400" s="32">
        <v>5.5500000000000002E-3</v>
      </c>
      <c r="H400" s="33">
        <v>0.19359999999999999</v>
      </c>
      <c r="I400" s="20">
        <f t="shared" si="19"/>
        <v>0.43054742122383488</v>
      </c>
      <c r="J400" s="20">
        <f t="shared" si="20"/>
        <v>-9.0547421223835023E-2</v>
      </c>
      <c r="K400" s="20">
        <f>ENSO!I400</f>
        <v>-7.5749220829162245E-2</v>
      </c>
      <c r="L400" s="19">
        <f>Analysis!B400</f>
        <v>1991.375</v>
      </c>
    </row>
    <row r="401" spans="1:12" ht="15" customHeight="1">
      <c r="A401" s="18" t="str">
        <f>Analysis!A401</f>
        <v>6/1991</v>
      </c>
      <c r="B401" s="19">
        <f>Analysis!E401</f>
        <v>0.52999999999999758</v>
      </c>
      <c r="C401" s="20">
        <f>Analysis!F401</f>
        <v>0.35545933382447809</v>
      </c>
      <c r="D401" s="19">
        <f>ENSO!D401</f>
        <v>0.23</v>
      </c>
      <c r="E401" s="34">
        <f t="shared" si="21"/>
        <v>6.1599999999999997E-3</v>
      </c>
      <c r="F401" s="19">
        <f>Solar!D401</f>
        <v>1361.4</v>
      </c>
      <c r="G401" s="32">
        <v>6.0099999999999997E-3</v>
      </c>
      <c r="H401" s="33">
        <v>0.18429999999999999</v>
      </c>
      <c r="I401" s="20">
        <f t="shared" si="19"/>
        <v>0.41699277816465619</v>
      </c>
      <c r="J401" s="20">
        <f t="shared" si="20"/>
        <v>0.1130072218353414</v>
      </c>
      <c r="K401" s="20">
        <f>ENSO!I401</f>
        <v>0.12790863749306924</v>
      </c>
      <c r="L401" s="19">
        <f>Analysis!B401</f>
        <v>1991.4583333333333</v>
      </c>
    </row>
    <row r="402" spans="1:12" ht="15" customHeight="1">
      <c r="A402" s="18" t="str">
        <f>Analysis!A402</f>
        <v>7/1991</v>
      </c>
      <c r="B402" s="19">
        <f>Analysis!E402</f>
        <v>0.47999999999999865</v>
      </c>
      <c r="C402" s="20">
        <f>Analysis!F402</f>
        <v>0.34766565630097057</v>
      </c>
      <c r="D402" s="19">
        <f>ENSO!D402</f>
        <v>0.28999999999999998</v>
      </c>
      <c r="E402" s="34">
        <f t="shared" si="21"/>
        <v>5.8900000000000003E-3</v>
      </c>
      <c r="F402" s="19">
        <f>Solar!D402</f>
        <v>1361.66</v>
      </c>
      <c r="G402" s="32">
        <v>2.5409999999999999E-2</v>
      </c>
      <c r="H402" s="33">
        <v>-0.2036</v>
      </c>
      <c r="I402" s="20">
        <f t="shared" si="19"/>
        <v>0.4018978964283888</v>
      </c>
      <c r="J402" s="20">
        <f t="shared" si="20"/>
        <v>7.8102103571609849E-2</v>
      </c>
      <c r="K402" s="20">
        <f>ENSO!I402</f>
        <v>9.4094014661891379E-2</v>
      </c>
      <c r="L402" s="19">
        <f>Analysis!B402</f>
        <v>1991.5416666666667</v>
      </c>
    </row>
    <row r="403" spans="1:12" ht="15" customHeight="1">
      <c r="A403" s="18" t="str">
        <f>Analysis!A403</f>
        <v>8/1991</v>
      </c>
      <c r="B403" s="19">
        <f>Analysis!E403</f>
        <v>0.38999999999999879</v>
      </c>
      <c r="C403" s="20">
        <f>Analysis!F403</f>
        <v>0.33820026566553218</v>
      </c>
      <c r="D403" s="19">
        <f>ENSO!D403</f>
        <v>0.49</v>
      </c>
      <c r="E403" s="34">
        <f t="shared" si="21"/>
        <v>5.7800000000000004E-3</v>
      </c>
      <c r="F403" s="19">
        <f>Solar!D403</f>
        <v>1361.59</v>
      </c>
      <c r="G403" s="32">
        <v>4.9849999999999998E-2</v>
      </c>
      <c r="H403" s="33">
        <v>-0.69230000000000003</v>
      </c>
      <c r="I403" s="20">
        <f t="shared" si="19"/>
        <v>0.39488278690400541</v>
      </c>
      <c r="J403" s="20">
        <f t="shared" si="20"/>
        <v>-4.8827869040066196E-3</v>
      </c>
      <c r="K403" s="20">
        <f>ENSO!I403</f>
        <v>1.2685959174409511E-2</v>
      </c>
      <c r="L403" s="19">
        <f>Analysis!B403</f>
        <v>1991.625</v>
      </c>
    </row>
    <row r="404" spans="1:12" ht="15" customHeight="1">
      <c r="A404" s="18" t="str">
        <f>Analysis!A404</f>
        <v>9/1991</v>
      </c>
      <c r="B404" s="19">
        <f>Analysis!E404</f>
        <v>0.44000000000000483</v>
      </c>
      <c r="C404" s="20">
        <f>Analysis!F404</f>
        <v>0.33154144137771635</v>
      </c>
      <c r="D404" s="19">
        <f>ENSO!D404</f>
        <v>0.63</v>
      </c>
      <c r="E404" s="34">
        <f t="shared" si="21"/>
        <v>5.7499999999999999E-3</v>
      </c>
      <c r="F404" s="19">
        <f>Solar!D404</f>
        <v>1361.97</v>
      </c>
      <c r="G404" s="32">
        <v>7.442E-2</v>
      </c>
      <c r="H404" s="33">
        <v>-1.1838</v>
      </c>
      <c r="I404" s="20">
        <f t="shared" si="19"/>
        <v>0.38977864995653372</v>
      </c>
      <c r="J404" s="20">
        <f t="shared" si="20"/>
        <v>5.0221350043471114E-2</v>
      </c>
      <c r="K404" s="20">
        <f>ENSO!I404</f>
        <v>6.8791104261281544E-2</v>
      </c>
      <c r="L404" s="19">
        <f>Analysis!B404</f>
        <v>1991.7083333333333</v>
      </c>
    </row>
    <row r="405" spans="1:12" ht="15" customHeight="1">
      <c r="A405" s="18" t="str">
        <f>Analysis!A405</f>
        <v>10/1991</v>
      </c>
      <c r="B405" s="19">
        <f>Analysis!E405</f>
        <v>0.28999999999999559</v>
      </c>
      <c r="C405" s="20">
        <f>Analysis!F405</f>
        <v>0.3319099092591129</v>
      </c>
      <c r="D405" s="19">
        <f>ENSO!D405</f>
        <v>0.77</v>
      </c>
      <c r="E405" s="34">
        <f t="shared" si="21"/>
        <v>5.6299999999999996E-3</v>
      </c>
      <c r="F405" s="19">
        <f>Solar!D405</f>
        <v>1361.06</v>
      </c>
      <c r="G405" s="32">
        <v>9.9510000000000001E-2</v>
      </c>
      <c r="H405" s="33">
        <v>-1.6857</v>
      </c>
      <c r="I405" s="20">
        <f t="shared" si="19"/>
        <v>0.40403896323980959</v>
      </c>
      <c r="J405" s="20">
        <f t="shared" si="20"/>
        <v>-0.114038963239814</v>
      </c>
      <c r="K405" s="20">
        <f>ENSO!I405</f>
        <v>-9.4406289678743704E-2</v>
      </c>
      <c r="L405" s="19">
        <f>Analysis!B405</f>
        <v>1991.7916666666667</v>
      </c>
    </row>
    <row r="406" spans="1:12" ht="15" customHeight="1">
      <c r="A406" s="18" t="str">
        <f>Analysis!A406</f>
        <v>11/1991</v>
      </c>
      <c r="B406" s="19">
        <f>Analysis!E406</f>
        <v>0.30000000000000249</v>
      </c>
      <c r="C406" s="20">
        <f>Analysis!F406</f>
        <v>0.3378741684040325</v>
      </c>
      <c r="D406" s="19">
        <f>ENSO!D406</f>
        <v>0.67</v>
      </c>
      <c r="E406" s="34">
        <f t="shared" si="21"/>
        <v>5.5700000000000003E-3</v>
      </c>
      <c r="F406" s="19">
        <f>Solar!D406</f>
        <v>1361.67</v>
      </c>
      <c r="G406" s="32">
        <v>0.10833</v>
      </c>
      <c r="H406" s="33">
        <v>-1.8619000000000001</v>
      </c>
      <c r="I406" s="20">
        <f t="shared" si="19"/>
        <v>0.41115855756602571</v>
      </c>
      <c r="J406" s="20">
        <f t="shared" si="20"/>
        <v>-0.11115855756602322</v>
      </c>
      <c r="K406" s="20">
        <f>ENSO!I406</f>
        <v>-9.2085116705540593E-2</v>
      </c>
      <c r="L406" s="19">
        <f>Analysis!B406</f>
        <v>1991.875</v>
      </c>
    </row>
    <row r="407" spans="1:12" ht="15" customHeight="1">
      <c r="A407" s="18" t="str">
        <f>Analysis!A407</f>
        <v>12/1991</v>
      </c>
      <c r="B407" s="19">
        <f>Analysis!E407</f>
        <v>0.32000000000000028</v>
      </c>
      <c r="C407" s="20">
        <f>Analysis!F407</f>
        <v>0.34324537036048725</v>
      </c>
      <c r="D407" s="19">
        <f>ENSO!D407</f>
        <v>0.72</v>
      </c>
      <c r="E407" s="34">
        <f t="shared" si="21"/>
        <v>5.5500000000000002E-3</v>
      </c>
      <c r="F407" s="19">
        <f>Solar!D407</f>
        <v>1360.83</v>
      </c>
      <c r="G407" s="32">
        <v>0.10814</v>
      </c>
      <c r="H407" s="33">
        <v>-1.8582000000000001</v>
      </c>
      <c r="I407" s="20">
        <f t="shared" si="19"/>
        <v>0.43049187061104932</v>
      </c>
      <c r="J407" s="20">
        <f t="shared" si="20"/>
        <v>-0.11049187061104904</v>
      </c>
      <c r="K407" s="20">
        <f>ENSO!I407</f>
        <v>-9.1190602017861555E-2</v>
      </c>
      <c r="L407" s="19">
        <f>Analysis!B407</f>
        <v>1991.9583333333333</v>
      </c>
    </row>
    <row r="408" spans="1:12" ht="15" customHeight="1">
      <c r="A408" s="18" t="str">
        <f>Analysis!A408</f>
        <v>1/1992</v>
      </c>
      <c r="B408" s="19">
        <f>Analysis!E408</f>
        <v>0.47999999999999865</v>
      </c>
      <c r="C408" s="20">
        <f>Analysis!F408</f>
        <v>0.34782761129001444</v>
      </c>
      <c r="D408" s="19">
        <f>ENSO!D408</f>
        <v>0.83</v>
      </c>
      <c r="E408" s="34">
        <f t="shared" si="21"/>
        <v>6.0099999999999997E-3</v>
      </c>
      <c r="F408" s="19">
        <f>Solar!D408</f>
        <v>1361.54</v>
      </c>
      <c r="G408" s="32">
        <v>0.10936</v>
      </c>
      <c r="H408" s="33">
        <v>-1.8825000000000001</v>
      </c>
      <c r="I408" s="20">
        <f t="shared" si="19"/>
        <v>0.45218488278537583</v>
      </c>
      <c r="J408" s="20">
        <f t="shared" si="20"/>
        <v>2.781511721462282E-2</v>
      </c>
      <c r="K408" s="20">
        <f>ENSO!I408</f>
        <v>4.6648761582271825E-2</v>
      </c>
      <c r="L408" s="19">
        <f>Analysis!B408</f>
        <v>1992.0416666666667</v>
      </c>
    </row>
    <row r="409" spans="1:12" ht="15" customHeight="1">
      <c r="A409" s="18" t="str">
        <f>Analysis!A409</f>
        <v>2/1992</v>
      </c>
      <c r="B409" s="19">
        <f>Analysis!E409</f>
        <v>0.40000000000000213</v>
      </c>
      <c r="C409" s="20">
        <f>Analysis!F409</f>
        <v>0.35134564172245408</v>
      </c>
      <c r="D409" s="19">
        <f>ENSO!D409</f>
        <v>1.18</v>
      </c>
      <c r="E409" s="34">
        <f t="shared" si="21"/>
        <v>2.5409999999999999E-2</v>
      </c>
      <c r="F409" s="19">
        <f>Solar!D409</f>
        <v>1361.48</v>
      </c>
      <c r="G409" s="32">
        <v>0.11007</v>
      </c>
      <c r="H409" s="33">
        <v>-1.8969</v>
      </c>
      <c r="I409" s="20">
        <f t="shared" si="19"/>
        <v>0.45157147179481649</v>
      </c>
      <c r="J409" s="20">
        <f t="shared" si="20"/>
        <v>-5.1571471794814361E-2</v>
      </c>
      <c r="K409" s="20">
        <f>ENSO!I409</f>
        <v>-7.3477770302227019E-2</v>
      </c>
      <c r="L409" s="19">
        <f>Analysis!B409</f>
        <v>1992.125</v>
      </c>
    </row>
    <row r="410" spans="1:12" ht="15" customHeight="1">
      <c r="A410" s="18" t="str">
        <f>Analysis!A410</f>
        <v>3/1992</v>
      </c>
      <c r="B410" s="19">
        <f>Analysis!E410</f>
        <v>0.47999999999999865</v>
      </c>
      <c r="C410" s="20">
        <f>Analysis!F410</f>
        <v>0.35441185902104577</v>
      </c>
      <c r="D410" s="19">
        <f>ENSO!D410</f>
        <v>1.43</v>
      </c>
      <c r="E410" s="34">
        <f t="shared" si="21"/>
        <v>4.9849999999999998E-2</v>
      </c>
      <c r="F410" s="19">
        <f>Solar!D410</f>
        <v>1361.9</v>
      </c>
      <c r="G410" s="32">
        <v>0.10983</v>
      </c>
      <c r="H410" s="33">
        <v>-1.8918999999999999</v>
      </c>
      <c r="I410" s="20">
        <f t="shared" si="19"/>
        <v>0.42935649706649925</v>
      </c>
      <c r="J410" s="20">
        <f t="shared" si="20"/>
        <v>5.0643502933499396E-2</v>
      </c>
      <c r="K410" s="20">
        <f>ENSO!I410</f>
        <v>-2.3659486624319159E-2</v>
      </c>
      <c r="L410" s="19">
        <f>Analysis!B410</f>
        <v>1992.2083333333333</v>
      </c>
    </row>
    <row r="411" spans="1:12" ht="15" customHeight="1">
      <c r="A411" s="18" t="str">
        <f>Analysis!A411</f>
        <v>4/1992</v>
      </c>
      <c r="B411" s="19">
        <f>Analysis!E411</f>
        <v>0.28000000000000114</v>
      </c>
      <c r="C411" s="20">
        <f>Analysis!F411</f>
        <v>0.35944084890426714</v>
      </c>
      <c r="D411" s="19">
        <f>ENSO!D411</f>
        <v>1.54</v>
      </c>
      <c r="E411" s="34">
        <f t="shared" si="21"/>
        <v>7.442E-2</v>
      </c>
      <c r="F411" s="19">
        <f>Solar!D411</f>
        <v>1361.66</v>
      </c>
      <c r="G411" s="32">
        <v>0.10781</v>
      </c>
      <c r="H411" s="33">
        <v>-1.8514999999999999</v>
      </c>
      <c r="I411" s="20">
        <f t="shared" si="19"/>
        <v>0.39921749111175625</v>
      </c>
      <c r="J411" s="20">
        <f t="shared" si="20"/>
        <v>-0.11921749111175511</v>
      </c>
      <c r="K411" s="20">
        <f>ENSO!I411</f>
        <v>-0.24704725132712602</v>
      </c>
      <c r="L411" s="19">
        <f>Analysis!B411</f>
        <v>1992.2916666666667</v>
      </c>
    </row>
    <row r="412" spans="1:12" ht="15" customHeight="1">
      <c r="A412" s="18" t="str">
        <f>Analysis!A412</f>
        <v>5/1992</v>
      </c>
      <c r="B412" s="19">
        <f>Analysis!E412</f>
        <v>0.31000000000000227</v>
      </c>
      <c r="C412" s="20">
        <f>Analysis!F412</f>
        <v>0.36140744003135555</v>
      </c>
      <c r="D412" s="19">
        <f>ENSO!D412</f>
        <v>1.5</v>
      </c>
      <c r="E412" s="34">
        <f t="shared" si="21"/>
        <v>9.9510000000000001E-2</v>
      </c>
      <c r="F412" s="19">
        <f>Solar!D412</f>
        <v>1361.49</v>
      </c>
      <c r="G412" s="32">
        <v>0.11117</v>
      </c>
      <c r="H412" s="33">
        <v>-1.9189000000000001</v>
      </c>
      <c r="I412" s="20">
        <f t="shared" si="19"/>
        <v>0.3456625840310642</v>
      </c>
      <c r="J412" s="20">
        <f t="shared" si="20"/>
        <v>-3.5662584031061928E-2</v>
      </c>
      <c r="K412" s="20">
        <f>ENSO!I412</f>
        <v>-0.21896756545449891</v>
      </c>
      <c r="L412" s="19">
        <f>Analysis!B412</f>
        <v>1992.375</v>
      </c>
    </row>
    <row r="413" spans="1:12" ht="15" customHeight="1">
      <c r="A413" s="18" t="str">
        <f>Analysis!A413</f>
        <v>6/1992</v>
      </c>
      <c r="B413" s="19">
        <f>Analysis!E413</f>
        <v>0.25999999999999979</v>
      </c>
      <c r="C413" s="20">
        <f>Analysis!F413</f>
        <v>0.36032413980374728</v>
      </c>
      <c r="D413" s="19">
        <f>ENSO!D413</f>
        <v>1.4</v>
      </c>
      <c r="E413" s="34">
        <f t="shared" si="21"/>
        <v>0.10833</v>
      </c>
      <c r="F413" s="19">
        <f>Solar!D413</f>
        <v>1361.33</v>
      </c>
      <c r="G413" s="32">
        <v>0.11448</v>
      </c>
      <c r="H413" s="33">
        <v>-1.9851000000000001</v>
      </c>
      <c r="I413" s="20">
        <f t="shared" si="19"/>
        <v>0.31402135453972102</v>
      </c>
      <c r="J413" s="20">
        <f t="shared" si="20"/>
        <v>-5.4021354539721234E-2</v>
      </c>
      <c r="K413" s="20">
        <f>ENSO!I413</f>
        <v>-0.25728818357852445</v>
      </c>
      <c r="L413" s="19">
        <f>Analysis!B413</f>
        <v>1992.4583333333333</v>
      </c>
    </row>
    <row r="414" spans="1:12" ht="15" customHeight="1">
      <c r="A414" s="18" t="str">
        <f>Analysis!A414</f>
        <v>7/1992</v>
      </c>
      <c r="B414" s="19">
        <f>Analysis!E414</f>
        <v>8.9999999999999858E-2</v>
      </c>
      <c r="C414" s="20">
        <f>Analysis!F414</f>
        <v>0.35110329415916136</v>
      </c>
      <c r="D414" s="19">
        <f>ENSO!D414</f>
        <v>1.3</v>
      </c>
      <c r="E414" s="34">
        <f t="shared" si="21"/>
        <v>0.10814</v>
      </c>
      <c r="F414" s="19">
        <f>Solar!D414</f>
        <v>1361.02</v>
      </c>
      <c r="G414" s="32">
        <v>0.10786999999999999</v>
      </c>
      <c r="H414" s="33">
        <v>-1.8528</v>
      </c>
      <c r="I414" s="20">
        <f t="shared" si="19"/>
        <v>0.28001074686639105</v>
      </c>
      <c r="J414" s="20">
        <f t="shared" si="20"/>
        <v>-0.19001074686639119</v>
      </c>
      <c r="K414" s="20">
        <f>ENSO!I414</f>
        <v>-0.39325662333683137</v>
      </c>
      <c r="L414" s="19">
        <f>Analysis!B414</f>
        <v>1992.5416666666667</v>
      </c>
    </row>
    <row r="415" spans="1:12" ht="15" customHeight="1">
      <c r="A415" s="18" t="str">
        <f>Analysis!A415</f>
        <v>8/1992</v>
      </c>
      <c r="B415" s="19">
        <f>Analysis!E415</f>
        <v>8.0000000000000071E-2</v>
      </c>
      <c r="C415" s="20">
        <f>Analysis!F415</f>
        <v>0.34235155757775643</v>
      </c>
      <c r="D415" s="19">
        <f>ENSO!D415</f>
        <v>1.08</v>
      </c>
      <c r="E415" s="34">
        <f t="shared" si="21"/>
        <v>0.10936</v>
      </c>
      <c r="F415" s="19">
        <f>Solar!D415</f>
        <v>1360.98</v>
      </c>
      <c r="G415" s="32">
        <v>0.10366</v>
      </c>
      <c r="H415" s="33">
        <v>-1.7685999999999999</v>
      </c>
      <c r="I415" s="20">
        <f t="shared" si="19"/>
        <v>0.23304170085129181</v>
      </c>
      <c r="J415" s="20">
        <f t="shared" si="20"/>
        <v>-0.15304170085129173</v>
      </c>
      <c r="K415" s="20">
        <f>ENSO!I415</f>
        <v>-0.36006907767383445</v>
      </c>
      <c r="L415" s="19">
        <f>Analysis!B415</f>
        <v>1992.625</v>
      </c>
    </row>
    <row r="416" spans="1:12" ht="15" customHeight="1">
      <c r="A416" s="18" t="str">
        <f>Analysis!A416</f>
        <v>9/1992</v>
      </c>
      <c r="B416" s="19">
        <f>Analysis!E416</f>
        <v>-9.9999999999980105E-3</v>
      </c>
      <c r="C416" s="20">
        <f>Analysis!F416</f>
        <v>0.3342822252952366</v>
      </c>
      <c r="D416" s="19">
        <f>ENSO!D416</f>
        <v>0.72</v>
      </c>
      <c r="E416" s="34">
        <f t="shared" si="21"/>
        <v>0.11007</v>
      </c>
      <c r="F416" s="19">
        <f>Solar!D416</f>
        <v>1361.15</v>
      </c>
      <c r="G416" s="32">
        <v>9.9900000000000003E-2</v>
      </c>
      <c r="H416" s="33">
        <v>-1.6934</v>
      </c>
      <c r="I416" s="20">
        <f t="shared" si="19"/>
        <v>0.17606473945244674</v>
      </c>
      <c r="J416" s="20">
        <f t="shared" si="20"/>
        <v>-0.18606473945244476</v>
      </c>
      <c r="K416" s="20">
        <f>ENSO!I416</f>
        <v>-0.39657066972251642</v>
      </c>
      <c r="L416" s="19">
        <f>Analysis!B416</f>
        <v>1992.7083333333333</v>
      </c>
    </row>
    <row r="417" spans="1:12" ht="15" customHeight="1">
      <c r="A417" s="18" t="str">
        <f>Analysis!A417</f>
        <v>10/1992</v>
      </c>
      <c r="B417" s="19">
        <f>Analysis!E417</f>
        <v>7.0000000000000284E-2</v>
      </c>
      <c r="C417" s="20">
        <f>Analysis!F417</f>
        <v>0.33587521271928794</v>
      </c>
      <c r="D417" s="19">
        <f>ENSO!D417</f>
        <v>0.35</v>
      </c>
      <c r="E417" s="34">
        <f t="shared" si="21"/>
        <v>0.10983</v>
      </c>
      <c r="F417" s="19">
        <f>Solar!D417</f>
        <v>1360.84</v>
      </c>
      <c r="G417" s="32">
        <v>9.0620000000000006E-2</v>
      </c>
      <c r="H417" s="33">
        <v>-1.5077</v>
      </c>
      <c r="I417" s="20">
        <f t="shared" si="19"/>
        <v>0.1466034233649402</v>
      </c>
      <c r="J417" s="20">
        <f t="shared" si="20"/>
        <v>-7.6603423364939915E-2</v>
      </c>
      <c r="K417" s="20">
        <f>ENSO!I417</f>
        <v>-0.28874230657578775</v>
      </c>
      <c r="L417" s="19">
        <f>Analysis!B417</f>
        <v>1992.7916666666667</v>
      </c>
    </row>
    <row r="418" spans="1:12" ht="15" customHeight="1">
      <c r="A418" s="18" t="str">
        <f>Analysis!A418</f>
        <v>11/1992</v>
      </c>
      <c r="B418" s="19">
        <f>Analysis!E418</f>
        <v>2.9999999999997584E-2</v>
      </c>
      <c r="C418" s="20">
        <f>Analysis!F418</f>
        <v>0.34003319062417492</v>
      </c>
      <c r="D418" s="19">
        <f>ENSO!D418</f>
        <v>0.08</v>
      </c>
      <c r="E418" s="34">
        <f t="shared" si="21"/>
        <v>0.10781</v>
      </c>
      <c r="F418" s="19">
        <f>Solar!D418</f>
        <v>1361.03</v>
      </c>
      <c r="G418" s="32">
        <v>8.3360000000000004E-2</v>
      </c>
      <c r="H418" s="33">
        <v>-1.3626</v>
      </c>
      <c r="I418" s="20">
        <f t="shared" si="19"/>
        <v>0.13733405725986719</v>
      </c>
      <c r="J418" s="20">
        <f t="shared" si="20"/>
        <v>-0.10733405725986961</v>
      </c>
      <c r="K418" s="20">
        <f>ENSO!I418</f>
        <v>-0.31666322637788175</v>
      </c>
      <c r="L418" s="19">
        <f>Analysis!B418</f>
        <v>1992.875</v>
      </c>
    </row>
    <row r="419" spans="1:12" ht="15" customHeight="1">
      <c r="A419" s="18" t="str">
        <f>Analysis!A419</f>
        <v>12/1992</v>
      </c>
      <c r="B419" s="19">
        <f>Analysis!E419</f>
        <v>0.22000000000000242</v>
      </c>
      <c r="C419" s="20">
        <f>Analysis!F419</f>
        <v>0.34515302630729883</v>
      </c>
      <c r="D419" s="19">
        <f>ENSO!D419</f>
        <v>-0.15</v>
      </c>
      <c r="E419" s="34">
        <f t="shared" si="21"/>
        <v>0.11117</v>
      </c>
      <c r="F419" s="19">
        <f>Solar!D419</f>
        <v>1361.29</v>
      </c>
      <c r="G419" s="32">
        <v>7.9369999999999996E-2</v>
      </c>
      <c r="H419" s="33">
        <v>-1.2828999999999999</v>
      </c>
      <c r="I419" s="20">
        <f t="shared" si="19"/>
        <v>0.12256199246022914</v>
      </c>
      <c r="J419" s="20">
        <f t="shared" si="20"/>
        <v>9.7438007539773275E-2</v>
      </c>
      <c r="K419" s="20">
        <f>ENSO!I419</f>
        <v>-0.12070768421102934</v>
      </c>
      <c r="L419" s="19">
        <f>Analysis!B419</f>
        <v>1992.9583333333333</v>
      </c>
    </row>
    <row r="420" spans="1:12" ht="15" customHeight="1">
      <c r="A420" s="18" t="str">
        <f>Analysis!A420</f>
        <v>1/1993</v>
      </c>
      <c r="B420" s="19">
        <f>Analysis!E420</f>
        <v>0.34999999999999787</v>
      </c>
      <c r="C420" s="20">
        <f>Analysis!F420</f>
        <v>0.35090130675373682</v>
      </c>
      <c r="D420" s="19">
        <f>ENSO!D420</f>
        <v>-0.22</v>
      </c>
      <c r="E420" s="34">
        <f t="shared" si="21"/>
        <v>0.11448</v>
      </c>
      <c r="F420" s="19">
        <f>Solar!D420</f>
        <v>1361.26</v>
      </c>
      <c r="G420" s="32">
        <v>7.0660000000000001E-2</v>
      </c>
      <c r="H420" s="33">
        <v>-1.1086</v>
      </c>
      <c r="I420" s="20">
        <f t="shared" si="19"/>
        <v>0.12446118427323816</v>
      </c>
      <c r="J420" s="20">
        <f t="shared" si="20"/>
        <v>0.22553881572675971</v>
      </c>
      <c r="K420" s="20">
        <f>ENSO!I420</f>
        <v>-4.0439487854143641E-4</v>
      </c>
      <c r="L420" s="19">
        <f>Analysis!B420</f>
        <v>1993.0416666666667</v>
      </c>
    </row>
    <row r="421" spans="1:12" ht="15" customHeight="1">
      <c r="A421" s="18" t="str">
        <f>Analysis!A421</f>
        <v>2/1993</v>
      </c>
      <c r="B421" s="19">
        <f>Analysis!E421</f>
        <v>0.36999999999999744</v>
      </c>
      <c r="C421" s="20">
        <f>Analysis!F421</f>
        <v>0.35219353774503176</v>
      </c>
      <c r="D421" s="19">
        <f>ENSO!D421</f>
        <v>-0.24</v>
      </c>
      <c r="E421" s="34">
        <f t="shared" si="21"/>
        <v>0.10786999999999999</v>
      </c>
      <c r="F421" s="19">
        <f>Solar!D421</f>
        <v>1360.72</v>
      </c>
      <c r="G421" s="32">
        <v>6.9159999999999999E-2</v>
      </c>
      <c r="H421" s="33">
        <v>-1.0786</v>
      </c>
      <c r="I421" s="20">
        <f t="shared" si="19"/>
        <v>0.14067407659405914</v>
      </c>
      <c r="J421" s="20">
        <f t="shared" si="20"/>
        <v>0.2293259234059383</v>
      </c>
      <c r="K421" s="20">
        <f>ENSO!I421</f>
        <v>1.7786865416356157E-2</v>
      </c>
      <c r="L421" s="19">
        <f>Analysis!B421</f>
        <v>1993.125</v>
      </c>
    </row>
    <row r="422" spans="1:12" ht="15" customHeight="1">
      <c r="A422" s="18" t="str">
        <f>Analysis!A422</f>
        <v>3/1993</v>
      </c>
      <c r="B422" s="19">
        <f>Analysis!E422</f>
        <v>0.36000000000000121</v>
      </c>
      <c r="C422" s="20">
        <f>Analysis!F422</f>
        <v>0.3569084291577157</v>
      </c>
      <c r="D422" s="19">
        <f>ENSO!D422</f>
        <v>-0.05</v>
      </c>
      <c r="E422" s="34">
        <f t="shared" si="21"/>
        <v>0.10366</v>
      </c>
      <c r="F422" s="19">
        <f>Solar!D422</f>
        <v>1361.14</v>
      </c>
      <c r="G422" s="32">
        <v>6.4710000000000004E-2</v>
      </c>
      <c r="H422" s="33">
        <v>-0.98970000000000002</v>
      </c>
      <c r="I422" s="20">
        <f t="shared" si="19"/>
        <v>0.18042812938857161</v>
      </c>
      <c r="J422" s="20">
        <f t="shared" si="20"/>
        <v>0.1795718706114296</v>
      </c>
      <c r="K422" s="20">
        <f>ENSO!I422</f>
        <v>-2.1701156410185274E-2</v>
      </c>
      <c r="L422" s="19">
        <f>Analysis!B422</f>
        <v>1993.2083333333333</v>
      </c>
    </row>
    <row r="423" spans="1:12" ht="15" customHeight="1">
      <c r="A423" s="18" t="str">
        <f>Analysis!A423</f>
        <v>4/1993</v>
      </c>
      <c r="B423" s="19">
        <f>Analysis!E423</f>
        <v>0.28000000000000114</v>
      </c>
      <c r="C423" s="20">
        <f>Analysis!F423</f>
        <v>0.36012343935395846</v>
      </c>
      <c r="D423" s="19">
        <f>ENSO!D423</f>
        <v>0.13</v>
      </c>
      <c r="E423" s="34">
        <f t="shared" si="21"/>
        <v>9.9900000000000003E-2</v>
      </c>
      <c r="F423" s="19">
        <f>Solar!D423</f>
        <v>1361.11</v>
      </c>
      <c r="G423" s="32">
        <v>6.4380000000000007E-2</v>
      </c>
      <c r="H423" s="33">
        <v>-0.9829</v>
      </c>
      <c r="I423" s="20">
        <f t="shared" si="19"/>
        <v>0.2141732586677777</v>
      </c>
      <c r="J423" s="20">
        <f t="shared" si="20"/>
        <v>6.5826741332223437E-2</v>
      </c>
      <c r="K423" s="20">
        <f>ENSO!I423</f>
        <v>-0.12619893259739523</v>
      </c>
      <c r="L423" s="19">
        <f>Analysis!B423</f>
        <v>1993.2916666666667</v>
      </c>
    </row>
    <row r="424" spans="1:12" ht="15" customHeight="1">
      <c r="A424" s="18" t="str">
        <f>Analysis!A424</f>
        <v>5/1993</v>
      </c>
      <c r="B424" s="19">
        <f>Analysis!E424</f>
        <v>0.28000000000000114</v>
      </c>
      <c r="C424" s="20">
        <f>Analysis!F424</f>
        <v>0.36377182459446167</v>
      </c>
      <c r="D424" s="19">
        <f>ENSO!D424</f>
        <v>0.31</v>
      </c>
      <c r="E424" s="34">
        <f t="shared" si="21"/>
        <v>9.0620000000000006E-2</v>
      </c>
      <c r="F424" s="19">
        <f>Solar!D424</f>
        <v>1361.08</v>
      </c>
      <c r="G424" s="32">
        <v>5.951E-2</v>
      </c>
      <c r="H424" s="33">
        <v>-0.88560000000000005</v>
      </c>
      <c r="I424" s="20">
        <f t="shared" si="19"/>
        <v>0.26124633068750347</v>
      </c>
      <c r="J424" s="20">
        <f t="shared" si="20"/>
        <v>1.8753669312497667E-2</v>
      </c>
      <c r="K424" s="20">
        <f>ENSO!I424</f>
        <v>-0.1518871016846986</v>
      </c>
      <c r="L424" s="19">
        <f>Analysis!B424</f>
        <v>1993.375</v>
      </c>
    </row>
    <row r="425" spans="1:12" ht="15" customHeight="1">
      <c r="A425" s="18" t="str">
        <f>Analysis!A425</f>
        <v>6/1993</v>
      </c>
      <c r="B425" s="19">
        <f>Analysis!E425</f>
        <v>0.2300000000000022</v>
      </c>
      <c r="C425" s="20">
        <f>Analysis!F425</f>
        <v>0.36112666251503961</v>
      </c>
      <c r="D425" s="19">
        <f>ENSO!D425</f>
        <v>0.5</v>
      </c>
      <c r="E425" s="34">
        <f t="shared" si="21"/>
        <v>8.3360000000000004E-2</v>
      </c>
      <c r="F425" s="19">
        <f>Solar!D425</f>
        <v>1361.1</v>
      </c>
      <c r="G425" s="32">
        <v>5.4960000000000002E-2</v>
      </c>
      <c r="H425" s="33">
        <v>-0.79459999999999997</v>
      </c>
      <c r="I425" s="20">
        <f t="shared" si="19"/>
        <v>0.28763745747754133</v>
      </c>
      <c r="J425" s="20">
        <f t="shared" si="20"/>
        <v>-5.7637457477539122E-2</v>
      </c>
      <c r="K425" s="20">
        <f>ENSO!I425</f>
        <v>-0.21115855696606134</v>
      </c>
      <c r="L425" s="19">
        <f>Analysis!B425</f>
        <v>1993.4583333333333</v>
      </c>
    </row>
    <row r="426" spans="1:12" ht="15" customHeight="1">
      <c r="A426" s="18" t="str">
        <f>Analysis!A426</f>
        <v>7/1993</v>
      </c>
      <c r="B426" s="19">
        <f>Analysis!E426</f>
        <v>0.25000000000000355</v>
      </c>
      <c r="C426" s="20">
        <f>Analysis!F426</f>
        <v>0.35231462507909828</v>
      </c>
      <c r="D426" s="19">
        <f>ENSO!D426</f>
        <v>0.73</v>
      </c>
      <c r="E426" s="34">
        <f t="shared" si="21"/>
        <v>7.9369999999999996E-2</v>
      </c>
      <c r="F426" s="19">
        <f>Solar!D426</f>
        <v>1361</v>
      </c>
      <c r="G426" s="32">
        <v>5.0900000000000001E-2</v>
      </c>
      <c r="H426" s="33">
        <v>-0.71340000000000003</v>
      </c>
      <c r="I426" s="20">
        <f t="shared" si="19"/>
        <v>0.29372553758118058</v>
      </c>
      <c r="J426" s="20">
        <f t="shared" si="20"/>
        <v>-4.3725537581177032E-2</v>
      </c>
      <c r="K426" s="20">
        <f>ENSO!I426</f>
        <v>-0.1869723735986939</v>
      </c>
      <c r="L426" s="19">
        <f>Analysis!B426</f>
        <v>1993.5416666666667</v>
      </c>
    </row>
    <row r="427" spans="1:12" ht="15" customHeight="1">
      <c r="A427" s="18" t="str">
        <f>Analysis!A427</f>
        <v>8/1993</v>
      </c>
      <c r="B427" s="19">
        <f>Analysis!E427</f>
        <v>0.10999999999999766</v>
      </c>
      <c r="C427" s="20">
        <f>Analysis!F427</f>
        <v>0.34547748263181688</v>
      </c>
      <c r="D427" s="19">
        <f>ENSO!D427</f>
        <v>0.76</v>
      </c>
      <c r="E427" s="34">
        <f t="shared" si="21"/>
        <v>7.0660000000000001E-2</v>
      </c>
      <c r="F427" s="19">
        <f>Solar!D427</f>
        <v>1361</v>
      </c>
      <c r="G427" s="32">
        <v>4.6559999999999997E-2</v>
      </c>
      <c r="H427" s="33">
        <v>-0.62660000000000005</v>
      </c>
      <c r="I427" s="20">
        <f t="shared" si="19"/>
        <v>0.29702665690417307</v>
      </c>
      <c r="J427" s="20">
        <f t="shared" si="20"/>
        <v>-0.18702665690417541</v>
      </c>
      <c r="K427" s="20">
        <f>ENSO!I427</f>
        <v>-0.31080327019131726</v>
      </c>
      <c r="L427" s="19">
        <f>Analysis!B427</f>
        <v>1993.625</v>
      </c>
    </row>
    <row r="428" spans="1:12" ht="15" customHeight="1">
      <c r="A428" s="18" t="str">
        <f>Analysis!A428</f>
        <v>9/1993</v>
      </c>
      <c r="B428" s="19">
        <f>Analysis!E428</f>
        <v>0.10999999999999766</v>
      </c>
      <c r="C428" s="20">
        <f>Analysis!F428</f>
        <v>0.33889297770649457</v>
      </c>
      <c r="D428" s="19">
        <f>ENSO!D428</f>
        <v>0.56000000000000005</v>
      </c>
      <c r="E428" s="34">
        <f t="shared" si="21"/>
        <v>6.9159999999999999E-2</v>
      </c>
      <c r="F428" s="19">
        <f>Solar!D428</f>
        <v>1360.84</v>
      </c>
      <c r="G428" s="32">
        <v>4.249E-2</v>
      </c>
      <c r="H428" s="33">
        <v>-0.54520000000000002</v>
      </c>
      <c r="I428" s="20">
        <f t="shared" si="19"/>
        <v>0.26380943303120641</v>
      </c>
      <c r="J428" s="20">
        <f t="shared" si="20"/>
        <v>-0.15380943303120875</v>
      </c>
      <c r="K428" s="20">
        <f>ENSO!I428</f>
        <v>-0.27530942348025977</v>
      </c>
      <c r="L428" s="19">
        <f>Analysis!B428</f>
        <v>1993.7083333333333</v>
      </c>
    </row>
    <row r="429" spans="1:12" ht="15" customHeight="1">
      <c r="A429" s="18" t="str">
        <f>Analysis!A429</f>
        <v>10/1993</v>
      </c>
      <c r="B429" s="19">
        <f>Analysis!E429</f>
        <v>0.24000000000000199</v>
      </c>
      <c r="C429" s="20">
        <f>Analysis!F429</f>
        <v>0.33925957300098403</v>
      </c>
      <c r="D429" s="19">
        <f>ENSO!D429</f>
        <v>0.28000000000000003</v>
      </c>
      <c r="E429" s="34">
        <f t="shared" si="21"/>
        <v>6.4710000000000004E-2</v>
      </c>
      <c r="F429" s="19">
        <f>Solar!D429</f>
        <v>1360.6</v>
      </c>
      <c r="G429" s="32">
        <v>3.9300000000000002E-2</v>
      </c>
      <c r="H429" s="33">
        <v>-0.48130000000000001</v>
      </c>
      <c r="I429" s="20">
        <f t="shared" si="19"/>
        <v>0.2486182576898108</v>
      </c>
      <c r="J429" s="20">
        <f t="shared" si="20"/>
        <v>-8.6182576898088115E-3</v>
      </c>
      <c r="K429" s="20">
        <f>ENSO!I429</f>
        <v>-0.12194581045216651</v>
      </c>
      <c r="L429" s="19">
        <f>Analysis!B429</f>
        <v>1993.7916666666667</v>
      </c>
    </row>
    <row r="430" spans="1:12" ht="15" customHeight="1">
      <c r="A430" s="18" t="str">
        <f>Analysis!A430</f>
        <v>11/1993</v>
      </c>
      <c r="B430" s="19">
        <f>Analysis!E430</f>
        <v>3.9999999999999147E-2</v>
      </c>
      <c r="C430" s="20">
        <f>Analysis!F430</f>
        <v>0.34454447395471077</v>
      </c>
      <c r="D430" s="19">
        <f>ENSO!D430</f>
        <v>0.22</v>
      </c>
      <c r="E430" s="34">
        <f t="shared" si="21"/>
        <v>6.4380000000000007E-2</v>
      </c>
      <c r="F430" s="19">
        <f>Solar!D430</f>
        <v>1360.64</v>
      </c>
      <c r="G430" s="32">
        <v>3.5959999999999999E-2</v>
      </c>
      <c r="H430" s="33">
        <v>-0.41470000000000001</v>
      </c>
      <c r="I430" s="20">
        <f t="shared" si="19"/>
        <v>0.25819084863369823</v>
      </c>
      <c r="J430" s="20">
        <f t="shared" si="20"/>
        <v>-0.21819084863369909</v>
      </c>
      <c r="K430" s="20">
        <f>ENSO!I430</f>
        <v>-0.33124008981519809</v>
      </c>
      <c r="L430" s="19">
        <f>Analysis!B430</f>
        <v>1993.875</v>
      </c>
    </row>
    <row r="431" spans="1:12" ht="15" customHeight="1">
      <c r="A431" s="18" t="str">
        <f>Analysis!A431</f>
        <v>12/1993</v>
      </c>
      <c r="B431" s="19">
        <f>Analysis!E431</f>
        <v>0.17999999999999972</v>
      </c>
      <c r="C431" s="20">
        <f>Analysis!F431</f>
        <v>0.35061847686790176</v>
      </c>
      <c r="D431" s="19">
        <f>ENSO!D431</f>
        <v>0.2</v>
      </c>
      <c r="E431" s="34">
        <f t="shared" si="21"/>
        <v>5.951E-2</v>
      </c>
      <c r="F431" s="19">
        <f>Solar!D431</f>
        <v>1360.8</v>
      </c>
      <c r="G431" s="32">
        <v>3.2710000000000003E-2</v>
      </c>
      <c r="H431" s="33">
        <v>-0.34960000000000002</v>
      </c>
      <c r="I431" s="20">
        <f t="shared" si="19"/>
        <v>0.28361705652832869</v>
      </c>
      <c r="J431" s="20">
        <f t="shared" si="20"/>
        <v>-0.10361705652832898</v>
      </c>
      <c r="K431" s="20">
        <f>ENSO!I431</f>
        <v>-0.20618338219258325</v>
      </c>
      <c r="L431" s="19">
        <f>Analysis!B431</f>
        <v>1993.9583333333333</v>
      </c>
    </row>
    <row r="432" spans="1:12" ht="15" customHeight="1">
      <c r="A432" s="18" t="str">
        <f>Analysis!A432</f>
        <v>1/1994</v>
      </c>
      <c r="B432" s="19">
        <f>Analysis!E432</f>
        <v>0.25999999999999979</v>
      </c>
      <c r="C432" s="20">
        <f>Analysis!F432</f>
        <v>0.35598278616786283</v>
      </c>
      <c r="D432" s="19">
        <f>ENSO!D432</f>
        <v>0.2</v>
      </c>
      <c r="E432" s="34">
        <f t="shared" si="21"/>
        <v>5.4960000000000002E-2</v>
      </c>
      <c r="F432" s="19">
        <f>Solar!D432</f>
        <v>1360.55</v>
      </c>
      <c r="G432" s="32">
        <v>2.9739999999999999E-2</v>
      </c>
      <c r="H432" s="33">
        <v>-0.29010000000000002</v>
      </c>
      <c r="I432" s="20">
        <f t="shared" si="19"/>
        <v>0.30825941528595413</v>
      </c>
      <c r="J432" s="20">
        <f t="shared" si="20"/>
        <v>-4.8259415285954343E-2</v>
      </c>
      <c r="K432" s="20">
        <f>ENSO!I432</f>
        <v>-0.14091804628815185</v>
      </c>
      <c r="L432" s="19">
        <f>Analysis!B432</f>
        <v>1994.0416666666667</v>
      </c>
    </row>
    <row r="433" spans="1:12" ht="15" customHeight="1">
      <c r="A433" s="18" t="str">
        <f>Analysis!A433</f>
        <v>2/1994</v>
      </c>
      <c r="B433" s="19">
        <f>Analysis!E433</f>
        <v>2.0000000000003126E-2</v>
      </c>
      <c r="C433" s="20">
        <f>Analysis!F433</f>
        <v>0.35871775388910165</v>
      </c>
      <c r="D433" s="19">
        <f>ENSO!D433</f>
        <v>0.2</v>
      </c>
      <c r="E433" s="34">
        <f t="shared" si="21"/>
        <v>5.0900000000000001E-2</v>
      </c>
      <c r="F433" s="19">
        <f>Solar!D433</f>
        <v>1360.94</v>
      </c>
      <c r="G433" s="32">
        <v>2.4920000000000001E-2</v>
      </c>
      <c r="H433" s="33">
        <v>-0.19370000000000001</v>
      </c>
      <c r="I433" s="20">
        <f t="shared" si="19"/>
        <v>0.32465226717130446</v>
      </c>
      <c r="J433" s="20">
        <f t="shared" si="20"/>
        <v>-0.30465226717130134</v>
      </c>
      <c r="K433" s="20">
        <f>ENSO!I433</f>
        <v>-0.38843044507637081</v>
      </c>
      <c r="L433" s="19">
        <f>Analysis!B433</f>
        <v>1994.125</v>
      </c>
    </row>
    <row r="434" spans="1:12" ht="15" customHeight="1">
      <c r="A434" s="18" t="str">
        <f>Analysis!A434</f>
        <v>3/1994</v>
      </c>
      <c r="B434" s="19">
        <f>Analysis!E434</f>
        <v>0.28999999999999559</v>
      </c>
      <c r="C434" s="20">
        <f>Analysis!F434</f>
        <v>0.36301083553510793</v>
      </c>
      <c r="D434" s="19">
        <f>ENSO!D434</f>
        <v>0.19</v>
      </c>
      <c r="E434" s="34">
        <f t="shared" si="21"/>
        <v>4.6559999999999997E-2</v>
      </c>
      <c r="F434" s="19">
        <f>Solar!D434</f>
        <v>1360.99</v>
      </c>
      <c r="G434" s="32">
        <v>2.1430000000000001E-2</v>
      </c>
      <c r="H434" s="33">
        <v>-0.1241</v>
      </c>
      <c r="I434" s="20">
        <f t="shared" si="19"/>
        <v>0.34498290777386603</v>
      </c>
      <c r="J434" s="20">
        <f t="shared" si="20"/>
        <v>-5.4982907773870437E-2</v>
      </c>
      <c r="K434" s="20">
        <f>ENSO!I434</f>
        <v>-0.12935228748477834</v>
      </c>
      <c r="L434" s="19">
        <f>Analysis!B434</f>
        <v>1994.2083333333333</v>
      </c>
    </row>
    <row r="435" spans="1:12" ht="15" customHeight="1">
      <c r="A435" s="18" t="str">
        <f>Analysis!A435</f>
        <v>4/1994</v>
      </c>
      <c r="B435" s="19">
        <f>Analysis!E435</f>
        <v>0.41000000000000014</v>
      </c>
      <c r="C435" s="20">
        <f>Analysis!F435</f>
        <v>0.36800999171782506</v>
      </c>
      <c r="D435" s="19">
        <f>ENSO!D435</f>
        <v>7.0000000000000007E-2</v>
      </c>
      <c r="E435" s="34">
        <f t="shared" si="21"/>
        <v>4.249E-2</v>
      </c>
      <c r="F435" s="19">
        <f>Solar!D435</f>
        <v>1360.82</v>
      </c>
      <c r="G435" s="32">
        <v>1.8630000000000001E-2</v>
      </c>
      <c r="H435" s="33">
        <v>-6.7900000000000002E-2</v>
      </c>
      <c r="I435" s="20">
        <f t="shared" si="19"/>
        <v>0.35643776752222073</v>
      </c>
      <c r="J435" s="20">
        <f t="shared" si="20"/>
        <v>5.3562232477779415E-2</v>
      </c>
      <c r="K435" s="20">
        <f>ENSO!I435</f>
        <v>-1.2639418019507298E-2</v>
      </c>
      <c r="L435" s="19">
        <f>Analysis!B435</f>
        <v>1994.2916666666667</v>
      </c>
    </row>
    <row r="436" spans="1:12" ht="15" customHeight="1">
      <c r="A436" s="18" t="str">
        <f>Analysis!A436</f>
        <v>5/1994</v>
      </c>
      <c r="B436" s="19">
        <f>Analysis!E436</f>
        <v>0.28000000000000114</v>
      </c>
      <c r="C436" s="20">
        <f>Analysis!F436</f>
        <v>0.36968582761490204</v>
      </c>
      <c r="D436" s="19">
        <f>ENSO!D436</f>
        <v>0</v>
      </c>
      <c r="E436" s="34">
        <f t="shared" si="21"/>
        <v>3.9300000000000002E-2</v>
      </c>
      <c r="F436" s="19">
        <f>Solar!D436</f>
        <v>1360.74</v>
      </c>
      <c r="G436" s="32">
        <v>1.685E-2</v>
      </c>
      <c r="H436" s="33">
        <v>-3.2399999999999998E-2</v>
      </c>
      <c r="I436" s="20">
        <f t="shared" si="19"/>
        <v>0.36153195831244977</v>
      </c>
      <c r="J436" s="20">
        <f t="shared" si="20"/>
        <v>-8.1531958312448638E-2</v>
      </c>
      <c r="K436" s="20">
        <f>ENSO!I436</f>
        <v>-0.14114995370580996</v>
      </c>
      <c r="L436" s="19">
        <f>Analysis!B436</f>
        <v>1994.375</v>
      </c>
    </row>
    <row r="437" spans="1:12" ht="15" customHeight="1">
      <c r="A437" s="18" t="str">
        <f>Analysis!A437</f>
        <v>6/1994</v>
      </c>
      <c r="B437" s="19">
        <f>Analysis!E437</f>
        <v>0.42999999999999972</v>
      </c>
      <c r="C437" s="20">
        <f>Analysis!F437</f>
        <v>0.36633220690413326</v>
      </c>
      <c r="D437" s="19">
        <f>ENSO!D437</f>
        <v>0.04</v>
      </c>
      <c r="E437" s="34">
        <f t="shared" si="21"/>
        <v>3.5959999999999999E-2</v>
      </c>
      <c r="F437" s="19">
        <f>Solar!D437</f>
        <v>1360.75</v>
      </c>
      <c r="G437" s="32">
        <v>1.5699999999999999E-2</v>
      </c>
      <c r="H437" s="33">
        <v>-9.4000000000000004E-3</v>
      </c>
      <c r="I437" s="20">
        <f t="shared" si="19"/>
        <v>0.3634461835370737</v>
      </c>
      <c r="J437" s="20">
        <f t="shared" si="20"/>
        <v>6.6553816462926019E-2</v>
      </c>
      <c r="K437" s="20">
        <f>ENSO!I437</f>
        <v>1.4580247932391766E-2</v>
      </c>
      <c r="L437" s="19">
        <f>Analysis!B437</f>
        <v>1994.4583333333333</v>
      </c>
    </row>
    <row r="438" spans="1:12" ht="15" customHeight="1">
      <c r="A438" s="18" t="str">
        <f>Analysis!A438</f>
        <v>7/1994</v>
      </c>
      <c r="B438" s="19">
        <f>Analysis!E438</f>
        <v>0.30000000000000249</v>
      </c>
      <c r="C438" s="20">
        <f>Analysis!F438</f>
        <v>0.36060507353538723</v>
      </c>
      <c r="D438" s="19">
        <f>ENSO!D438</f>
        <v>0.17</v>
      </c>
      <c r="E438" s="34">
        <f t="shared" si="21"/>
        <v>3.2710000000000003E-2</v>
      </c>
      <c r="F438" s="19">
        <f>Solar!D438</f>
        <v>1360.7</v>
      </c>
      <c r="G438" s="32">
        <v>1.482E-2</v>
      </c>
      <c r="H438" s="33">
        <v>8.0999999999999996E-3</v>
      </c>
      <c r="I438" s="20">
        <f t="shared" si="19"/>
        <v>0.36704034860913493</v>
      </c>
      <c r="J438" s="20">
        <f t="shared" si="20"/>
        <v>-6.7040348609132439E-2</v>
      </c>
      <c r="K438" s="20">
        <f>ENSO!I438</f>
        <v>-0.11100339430491313</v>
      </c>
      <c r="L438" s="19">
        <f>Analysis!B438</f>
        <v>1994.5416666666667</v>
      </c>
    </row>
    <row r="439" spans="1:12" ht="15" customHeight="1">
      <c r="A439" s="18" t="str">
        <f>Analysis!A439</f>
        <v>8/1994</v>
      </c>
      <c r="B439" s="19">
        <f>Analysis!E439</f>
        <v>0.22000000000000242</v>
      </c>
      <c r="C439" s="20">
        <f>Analysis!F439</f>
        <v>0.35287956496583295</v>
      </c>
      <c r="D439" s="19">
        <f>ENSO!D439</f>
        <v>0.25</v>
      </c>
      <c r="E439" s="34">
        <f t="shared" si="21"/>
        <v>2.9739999999999999E-2</v>
      </c>
      <c r="F439" s="19">
        <f>Solar!D439</f>
        <v>1360.71</v>
      </c>
      <c r="G439" s="32">
        <v>1.4149999999999999E-2</v>
      </c>
      <c r="H439" s="33">
        <v>2.1600000000000001E-2</v>
      </c>
      <c r="I439" s="20">
        <f t="shared" si="19"/>
        <v>0.35992824403259571</v>
      </c>
      <c r="J439" s="20">
        <f t="shared" si="20"/>
        <v>-0.1399282440325933</v>
      </c>
      <c r="K439" s="20">
        <f>ENSO!I439</f>
        <v>-0.17674601875368162</v>
      </c>
      <c r="L439" s="19">
        <f>Analysis!B439</f>
        <v>1994.625</v>
      </c>
    </row>
    <row r="440" spans="1:12" ht="15" customHeight="1">
      <c r="A440" s="18" t="str">
        <f>Analysis!A440</f>
        <v>9/1994</v>
      </c>
      <c r="B440" s="19">
        <f>Analysis!E440</f>
        <v>0.31000000000000227</v>
      </c>
      <c r="C440" s="20">
        <f>Analysis!F440</f>
        <v>0.34588295045182915</v>
      </c>
      <c r="D440" s="19">
        <f>ENSO!D440</f>
        <v>0.23</v>
      </c>
      <c r="E440" s="34">
        <f t="shared" si="21"/>
        <v>2.4920000000000001E-2</v>
      </c>
      <c r="F440" s="19">
        <f>Solar!D440</f>
        <v>1360.57</v>
      </c>
      <c r="G440" s="32">
        <v>1.3639999999999999E-2</v>
      </c>
      <c r="H440" s="33">
        <v>3.1899999999999998E-2</v>
      </c>
      <c r="I440" s="20">
        <f t="shared" si="19"/>
        <v>0.34959529407712275</v>
      </c>
      <c r="J440" s="20">
        <f t="shared" si="20"/>
        <v>-3.959529407712048E-2</v>
      </c>
      <c r="K440" s="20">
        <f>ENSO!I440</f>
        <v>-6.5786989594015299E-2</v>
      </c>
      <c r="L440" s="19">
        <f>Analysis!B440</f>
        <v>1994.7083333333333</v>
      </c>
    </row>
    <row r="441" spans="1:12" ht="15" customHeight="1">
      <c r="A441" s="18" t="str">
        <f>Analysis!A441</f>
        <v>10/1994</v>
      </c>
      <c r="B441" s="19">
        <f>Analysis!E441</f>
        <v>0.42999999999999972</v>
      </c>
      <c r="C441" s="20">
        <f>Analysis!F441</f>
        <v>0.34730119108821406</v>
      </c>
      <c r="D441" s="19">
        <f>ENSO!D441</f>
        <v>0.3</v>
      </c>
      <c r="E441" s="34">
        <f t="shared" si="21"/>
        <v>2.1430000000000001E-2</v>
      </c>
      <c r="F441" s="19">
        <f>Solar!D441</f>
        <v>1360.66</v>
      </c>
      <c r="G441" s="32">
        <v>1.328E-2</v>
      </c>
      <c r="H441" s="33">
        <v>3.9E-2</v>
      </c>
      <c r="I441" s="20">
        <f t="shared" si="19"/>
        <v>0.36763832073972469</v>
      </c>
      <c r="J441" s="20">
        <f t="shared" si="20"/>
        <v>6.2361679260275027E-2</v>
      </c>
      <c r="K441" s="20">
        <f>ENSO!I441</f>
        <v>4.4224748603693298E-2</v>
      </c>
      <c r="L441" s="19">
        <f>Analysis!B441</f>
        <v>1994.7916666666667</v>
      </c>
    </row>
    <row r="442" spans="1:12" ht="15" customHeight="1">
      <c r="A442" s="18" t="str">
        <f>Analysis!A442</f>
        <v>11/1994</v>
      </c>
      <c r="B442" s="19">
        <f>Analysis!E442</f>
        <v>0.44999999999999751</v>
      </c>
      <c r="C442" s="20">
        <f>Analysis!F442</f>
        <v>0.35312161435528655</v>
      </c>
      <c r="D442" s="19">
        <f>ENSO!D442</f>
        <v>0.3</v>
      </c>
      <c r="E442" s="34">
        <f t="shared" si="21"/>
        <v>1.8630000000000001E-2</v>
      </c>
      <c r="F442" s="19">
        <f>Solar!D442</f>
        <v>1360.79</v>
      </c>
      <c r="G442" s="32">
        <v>1.247E-2</v>
      </c>
      <c r="H442" s="33">
        <v>5.5300000000000002E-2</v>
      </c>
      <c r="I442" s="20">
        <f t="shared" si="19"/>
        <v>0.38967408009506294</v>
      </c>
      <c r="J442" s="20">
        <f t="shared" si="20"/>
        <v>6.0325919904934577E-2</v>
      </c>
      <c r="K442" s="20">
        <f>ENSO!I442</f>
        <v>4.8237232422443266E-2</v>
      </c>
      <c r="L442" s="19">
        <f>Analysis!B442</f>
        <v>1994.875</v>
      </c>
    </row>
    <row r="443" spans="1:12" ht="15" customHeight="1">
      <c r="A443" s="18" t="str">
        <f>Analysis!A443</f>
        <v>12/1994</v>
      </c>
      <c r="B443" s="19">
        <f>Analysis!E443</f>
        <v>0.38999999999999879</v>
      </c>
      <c r="C443" s="20">
        <f>Analysis!F443</f>
        <v>0.35895882583232935</v>
      </c>
      <c r="D443" s="19">
        <f>ENSO!D443</f>
        <v>0.47</v>
      </c>
      <c r="E443" s="34">
        <f t="shared" si="21"/>
        <v>1.685E-2</v>
      </c>
      <c r="F443" s="19">
        <f>Solar!D443</f>
        <v>1360.71</v>
      </c>
      <c r="G443" s="32">
        <v>1.176E-2</v>
      </c>
      <c r="H443" s="33">
        <v>6.93E-2</v>
      </c>
      <c r="I443" s="20">
        <f t="shared" si="19"/>
        <v>0.42528642139610218</v>
      </c>
      <c r="J443" s="20">
        <f t="shared" si="20"/>
        <v>-3.5286421396103385E-2</v>
      </c>
      <c r="K443" s="20">
        <f>ENSO!I443</f>
        <v>-4.2592818430422785E-2</v>
      </c>
      <c r="L443" s="19">
        <f>Analysis!B443</f>
        <v>1994.9583333333333</v>
      </c>
    </row>
    <row r="444" spans="1:12" ht="15" customHeight="1">
      <c r="A444" s="18" t="str">
        <f>Analysis!A444</f>
        <v>1/1995</v>
      </c>
      <c r="B444" s="19">
        <f>Analysis!E444</f>
        <v>0.52999999999999758</v>
      </c>
      <c r="C444" s="20">
        <f>Analysis!F444</f>
        <v>0.36273036992883079</v>
      </c>
      <c r="D444" s="19">
        <f>ENSO!D444</f>
        <v>0.66</v>
      </c>
      <c r="E444" s="34">
        <f t="shared" si="21"/>
        <v>1.5699999999999999E-2</v>
      </c>
      <c r="F444" s="19">
        <f>Solar!D444</f>
        <v>1360.77</v>
      </c>
      <c r="G444" s="32">
        <v>1.1270000000000001E-2</v>
      </c>
      <c r="H444" s="33">
        <v>7.9299999999999995E-2</v>
      </c>
      <c r="I444" s="20">
        <f t="shared" si="19"/>
        <v>0.45573448641666209</v>
      </c>
      <c r="J444" s="20">
        <f t="shared" si="20"/>
        <v>7.4265513583335496E-2</v>
      </c>
      <c r="K444" s="20">
        <f>ENSO!I444</f>
        <v>7.0510342512731583E-2</v>
      </c>
      <c r="L444" s="19">
        <f>Analysis!B444</f>
        <v>1995.0416666666667</v>
      </c>
    </row>
    <row r="445" spans="1:12" ht="15" customHeight="1">
      <c r="A445" s="18" t="str">
        <f>Analysis!A445</f>
        <v>2/1995</v>
      </c>
      <c r="B445" s="19">
        <f>Analysis!E445</f>
        <v>0.79000000000000092</v>
      </c>
      <c r="C445" s="20">
        <f>Analysis!F445</f>
        <v>0.36657200994220462</v>
      </c>
      <c r="D445" s="19">
        <f>ENSO!D445</f>
        <v>0.93</v>
      </c>
      <c r="E445" s="34">
        <f t="shared" si="21"/>
        <v>1.482E-2</v>
      </c>
      <c r="F445" s="19">
        <f>Solar!D445</f>
        <v>1360.86</v>
      </c>
      <c r="G445" s="32">
        <v>1.0330000000000001E-2</v>
      </c>
      <c r="H445" s="33">
        <v>9.8000000000000004E-2</v>
      </c>
      <c r="I445" s="20">
        <f t="shared" si="19"/>
        <v>0.49320323899128177</v>
      </c>
      <c r="J445" s="20">
        <f t="shared" si="20"/>
        <v>0.29679676100871916</v>
      </c>
      <c r="K445" s="20">
        <f>ENSO!I445</f>
        <v>0.29645794267061398</v>
      </c>
      <c r="L445" s="19">
        <f>Analysis!B445</f>
        <v>1995.125</v>
      </c>
    </row>
    <row r="446" spans="1:12" ht="15" customHeight="1">
      <c r="A446" s="18" t="str">
        <f>Analysis!A446</f>
        <v>3/1995</v>
      </c>
      <c r="B446" s="19">
        <f>Analysis!E446</f>
        <v>0.47000000000000242</v>
      </c>
      <c r="C446" s="20">
        <f>Analysis!F446</f>
        <v>0.3704831610279733</v>
      </c>
      <c r="D446" s="19">
        <f>ENSO!D446</f>
        <v>0.97</v>
      </c>
      <c r="E446" s="34">
        <f t="shared" si="21"/>
        <v>1.4149999999999999E-2</v>
      </c>
      <c r="F446" s="19">
        <f>Solar!D446</f>
        <v>1360.71</v>
      </c>
      <c r="G446" s="32">
        <v>9.8200000000000006E-3</v>
      </c>
      <c r="H446" s="33">
        <v>0.1082</v>
      </c>
      <c r="I446" s="20">
        <f t="shared" si="19"/>
        <v>0.50905665031362923</v>
      </c>
      <c r="J446" s="20">
        <f t="shared" si="20"/>
        <v>-3.9056650313626817E-2</v>
      </c>
      <c r="K446" s="20">
        <f>ENSO!I446</f>
        <v>-3.7766702842466637E-2</v>
      </c>
      <c r="L446" s="19">
        <f>Analysis!B446</f>
        <v>1995.2083333333333</v>
      </c>
    </row>
    <row r="447" spans="1:12" ht="15" customHeight="1">
      <c r="A447" s="18" t="str">
        <f>Analysis!A447</f>
        <v>4/1995</v>
      </c>
      <c r="B447" s="19">
        <f>Analysis!E447</f>
        <v>0.47000000000000242</v>
      </c>
      <c r="C447" s="20">
        <f>Analysis!F447</f>
        <v>0.37629038333705156</v>
      </c>
      <c r="D447" s="19">
        <f>ENSO!D447</f>
        <v>0.88</v>
      </c>
      <c r="E447" s="34">
        <f t="shared" si="21"/>
        <v>1.3639999999999999E-2</v>
      </c>
      <c r="F447" s="19">
        <f>Solar!D447</f>
        <v>1360.68</v>
      </c>
      <c r="G447" s="32">
        <v>9.3399999999999993E-3</v>
      </c>
      <c r="H447" s="33">
        <v>0.1179</v>
      </c>
      <c r="I447" s="20">
        <f t="shared" si="19"/>
        <v>0.51766604697844254</v>
      </c>
      <c r="J447" s="20">
        <f t="shared" si="20"/>
        <v>-4.7666046978440124E-2</v>
      </c>
      <c r="K447" s="20">
        <f>ENSO!I447</f>
        <v>-4.588455939315117E-2</v>
      </c>
      <c r="L447" s="19">
        <f>Analysis!B447</f>
        <v>1995.2916666666667</v>
      </c>
    </row>
    <row r="448" spans="1:12" ht="15" customHeight="1">
      <c r="A448" s="18" t="str">
        <f>Analysis!A448</f>
        <v>5/1995</v>
      </c>
      <c r="B448" s="19">
        <f>Analysis!E448</f>
        <v>0.27000000000000135</v>
      </c>
      <c r="C448" s="20">
        <f>Analysis!F448</f>
        <v>0.37783767971908239</v>
      </c>
      <c r="D448" s="19">
        <f>ENSO!D448</f>
        <v>0.65</v>
      </c>
      <c r="E448" s="34">
        <f t="shared" si="21"/>
        <v>1.328E-2</v>
      </c>
      <c r="F448" s="19">
        <f>Solar!D448</f>
        <v>1360.68</v>
      </c>
      <c r="G448" s="32">
        <v>8.7799999999999996E-3</v>
      </c>
      <c r="H448" s="33">
        <v>0.129</v>
      </c>
      <c r="I448" s="20">
        <f t="shared" si="19"/>
        <v>0.50133545640808264</v>
      </c>
      <c r="J448" s="20">
        <f t="shared" si="20"/>
        <v>-0.23133545640808129</v>
      </c>
      <c r="K448" s="20">
        <f>ENSO!I448</f>
        <v>-0.23011598005296219</v>
      </c>
      <c r="L448" s="19">
        <f>Analysis!B448</f>
        <v>1995.375</v>
      </c>
    </row>
    <row r="449" spans="1:12" ht="15" customHeight="1">
      <c r="A449" s="18" t="str">
        <f>Analysis!A449</f>
        <v>6/1995</v>
      </c>
      <c r="B449" s="19">
        <f>Analysis!E449</f>
        <v>0.42999999999999972</v>
      </c>
      <c r="C449" s="20">
        <f>Analysis!F449</f>
        <v>0.37585366620313115</v>
      </c>
      <c r="D449" s="19">
        <f>ENSO!D449</f>
        <v>0.46</v>
      </c>
      <c r="E449" s="34">
        <f t="shared" si="21"/>
        <v>1.247E-2</v>
      </c>
      <c r="F449" s="19">
        <f>Solar!D449</f>
        <v>1360.73</v>
      </c>
      <c r="G449" s="32">
        <v>8.4200000000000004E-3</v>
      </c>
      <c r="H449" s="33">
        <v>0.1361</v>
      </c>
      <c r="I449" s="20">
        <f t="shared" si="19"/>
        <v>0.48007543896729915</v>
      </c>
      <c r="J449" s="20">
        <f t="shared" si="20"/>
        <v>-5.0075438967299435E-2</v>
      </c>
      <c r="K449" s="20">
        <f>ENSO!I449</f>
        <v>-4.8129123100461357E-2</v>
      </c>
      <c r="L449" s="19">
        <f>Analysis!B449</f>
        <v>1995.4583333333333</v>
      </c>
    </row>
    <row r="450" spans="1:12" ht="15" customHeight="1">
      <c r="A450" s="18" t="str">
        <f>Analysis!A450</f>
        <v>7/1995</v>
      </c>
      <c r="B450" s="19">
        <f>Analysis!E450</f>
        <v>0.46000000000000441</v>
      </c>
      <c r="C450" s="20">
        <f>Analysis!F450</f>
        <v>0.36968582761490204</v>
      </c>
      <c r="D450" s="19">
        <f>ENSO!D450</f>
        <v>0.19</v>
      </c>
      <c r="E450" s="34">
        <f t="shared" si="21"/>
        <v>1.176E-2</v>
      </c>
      <c r="F450" s="19">
        <f>Solar!D450</f>
        <v>1360.73</v>
      </c>
      <c r="G450" s="32">
        <v>8.3599999999999994E-3</v>
      </c>
      <c r="H450" s="33">
        <v>0.13730000000000001</v>
      </c>
      <c r="I450" s="20">
        <f t="shared" ref="I450:I513" si="22">IF(OR(D450="",E450=""),"",$N$14+$N$15*C450+$N$16*D450+$N$17*E450)</f>
        <v>0.43976071227789454</v>
      </c>
      <c r="J450" s="20">
        <f t="shared" ref="J450:J513" si="23">IF(I450="","",B450-I450)</f>
        <v>2.0239287722109867E-2</v>
      </c>
      <c r="K450" s="20">
        <f>ENSO!I450</f>
        <v>2.2312870015178898E-2</v>
      </c>
      <c r="L450" s="19">
        <f>Analysis!B450</f>
        <v>1995.5416666666667</v>
      </c>
    </row>
    <row r="451" spans="1:12" ht="15" customHeight="1">
      <c r="A451" s="18" t="str">
        <f>Analysis!A451</f>
        <v>8/1995</v>
      </c>
      <c r="B451" s="19">
        <f>Analysis!E451</f>
        <v>0.44999999999999751</v>
      </c>
      <c r="C451" s="20">
        <f>Analysis!F451</f>
        <v>0.35988256195342855</v>
      </c>
      <c r="D451" s="19">
        <f>ENSO!D451</f>
        <v>0.03</v>
      </c>
      <c r="E451" s="34">
        <f t="shared" si="21"/>
        <v>1.1270000000000001E-2</v>
      </c>
      <c r="F451" s="19">
        <f>Solar!D451</f>
        <v>1360.77</v>
      </c>
      <c r="G451" s="32">
        <v>7.9799999999999992E-3</v>
      </c>
      <c r="H451" s="33">
        <v>0.14510000000000001</v>
      </c>
      <c r="I451" s="20">
        <f t="shared" si="22"/>
        <v>0.3992540019198263</v>
      </c>
      <c r="J451" s="20">
        <f t="shared" si="23"/>
        <v>5.0745998080171217E-2</v>
      </c>
      <c r="K451" s="20">
        <f>ENSO!I451</f>
        <v>5.3166485506293437E-2</v>
      </c>
      <c r="L451" s="19">
        <f>Analysis!B451</f>
        <v>1995.625</v>
      </c>
    </row>
    <row r="452" spans="1:12" ht="15" customHeight="1">
      <c r="A452" s="18" t="str">
        <f>Analysis!A452</f>
        <v>9/1995</v>
      </c>
      <c r="B452" s="19">
        <f>Analysis!E452</f>
        <v>0.32999999999999652</v>
      </c>
      <c r="C452" s="20">
        <f>Analysis!F452</f>
        <v>0.35582174413600615</v>
      </c>
      <c r="D452" s="19">
        <f>ENSO!D452</f>
        <v>-0.11</v>
      </c>
      <c r="E452" s="34">
        <f t="shared" si="21"/>
        <v>1.0330000000000001E-2</v>
      </c>
      <c r="F452" s="19">
        <f>Solar!D452</f>
        <v>1360.75</v>
      </c>
      <c r="G452" s="32">
        <v>7.6600000000000001E-3</v>
      </c>
      <c r="H452" s="33">
        <v>0.15129999999999999</v>
      </c>
      <c r="I452" s="20">
        <f t="shared" si="22"/>
        <v>0.37725545125004223</v>
      </c>
      <c r="J452" s="20">
        <f t="shared" si="23"/>
        <v>-4.725545125004571E-2</v>
      </c>
      <c r="K452" s="20">
        <f>ENSO!I452</f>
        <v>-4.3493987990412541E-2</v>
      </c>
      <c r="L452" s="19">
        <f>Analysis!B452</f>
        <v>1995.7083333333333</v>
      </c>
    </row>
    <row r="453" spans="1:12" ht="15" customHeight="1">
      <c r="A453" s="18" t="str">
        <f>Analysis!A453</f>
        <v>10/1995</v>
      </c>
      <c r="B453" s="19">
        <f>Analysis!E453</f>
        <v>0.46000000000000441</v>
      </c>
      <c r="C453" s="20">
        <f>Analysis!F453</f>
        <v>0.35509683245126811</v>
      </c>
      <c r="D453" s="19">
        <f>ENSO!D453</f>
        <v>-0.3</v>
      </c>
      <c r="E453" s="34">
        <f t="shared" si="21"/>
        <v>9.8200000000000006E-3</v>
      </c>
      <c r="F453" s="19">
        <f>Solar!D453</f>
        <v>1360.68</v>
      </c>
      <c r="G453" s="32">
        <v>7.3899999999999999E-3</v>
      </c>
      <c r="H453" s="33">
        <v>0.15679999999999999</v>
      </c>
      <c r="I453" s="20">
        <f t="shared" si="22"/>
        <v>0.35876943505367564</v>
      </c>
      <c r="J453" s="20">
        <f t="shared" si="23"/>
        <v>0.10123056494632876</v>
      </c>
      <c r="K453" s="20">
        <f>ENSO!I453</f>
        <v>0.10503437290834172</v>
      </c>
      <c r="L453" s="19">
        <f>Analysis!B453</f>
        <v>1995.7916666666667</v>
      </c>
    </row>
    <row r="454" spans="1:12" ht="15" customHeight="1">
      <c r="A454" s="18" t="str">
        <f>Analysis!A454</f>
        <v>11/1995</v>
      </c>
      <c r="B454" s="19">
        <f>Analysis!E454</f>
        <v>0.44999999999999751</v>
      </c>
      <c r="C454" s="20">
        <f>Analysis!F454</f>
        <v>0.36100631256369653</v>
      </c>
      <c r="D454" s="19">
        <f>ENSO!D454</f>
        <v>-0.55000000000000004</v>
      </c>
      <c r="E454" s="34">
        <f t="shared" si="21"/>
        <v>9.3399999999999993E-3</v>
      </c>
      <c r="F454" s="19">
        <f>Solar!D454</f>
        <v>1360.73</v>
      </c>
      <c r="G454" s="32">
        <v>7.1799999999999998E-3</v>
      </c>
      <c r="H454" s="33">
        <v>0.161</v>
      </c>
      <c r="I454" s="20">
        <f t="shared" si="22"/>
        <v>0.35274451924172212</v>
      </c>
      <c r="J454" s="20">
        <f t="shared" si="23"/>
        <v>9.7255480758275392E-2</v>
      </c>
      <c r="K454" s="20">
        <f>ENSO!I454</f>
        <v>0.10056167820013345</v>
      </c>
      <c r="L454" s="19">
        <f>Analysis!B454</f>
        <v>1995.875</v>
      </c>
    </row>
    <row r="455" spans="1:12" ht="15" customHeight="1">
      <c r="A455" s="18" t="str">
        <f>Analysis!A455</f>
        <v>12/1995</v>
      </c>
      <c r="B455" s="19">
        <f>Analysis!E455</f>
        <v>0.25999999999999979</v>
      </c>
      <c r="C455" s="20">
        <f>Analysis!F455</f>
        <v>0.36585248121553354</v>
      </c>
      <c r="D455" s="19">
        <f>ENSO!D455</f>
        <v>-0.81</v>
      </c>
      <c r="E455" s="34">
        <f t="shared" si="21"/>
        <v>8.7799999999999996E-3</v>
      </c>
      <c r="F455" s="19">
        <f>Solar!D455</f>
        <v>1360.7</v>
      </c>
      <c r="G455" s="32">
        <v>6.8399999999999997E-3</v>
      </c>
      <c r="H455" s="33">
        <v>0.1678</v>
      </c>
      <c r="I455" s="20">
        <f t="shared" si="22"/>
        <v>0.34306757825833206</v>
      </c>
      <c r="J455" s="20">
        <f t="shared" si="23"/>
        <v>-8.3067578258332275E-2</v>
      </c>
      <c r="K455" s="20">
        <f>ENSO!I455</f>
        <v>-8.0119938990295625E-2</v>
      </c>
      <c r="L455" s="19">
        <f>Analysis!B455</f>
        <v>1995.9583333333333</v>
      </c>
    </row>
    <row r="456" spans="1:12" ht="15" customHeight="1">
      <c r="A456" s="18" t="str">
        <f>Analysis!A456</f>
        <v>1/1996</v>
      </c>
      <c r="B456" s="19">
        <f>Analysis!E456</f>
        <v>0.24000000000000199</v>
      </c>
      <c r="C456" s="20">
        <f>Analysis!F456</f>
        <v>0.37135971911783916</v>
      </c>
      <c r="D456" s="19">
        <f>ENSO!D456</f>
        <v>-0.97</v>
      </c>
      <c r="E456" s="34">
        <f t="shared" si="21"/>
        <v>8.4200000000000004E-3</v>
      </c>
      <c r="F456" s="19">
        <f>Solar!D456</f>
        <v>1360.7</v>
      </c>
      <c r="G456" s="32">
        <v>6.45E-3</v>
      </c>
      <c r="H456" s="33">
        <v>0.1757</v>
      </c>
      <c r="I456" s="20">
        <f t="shared" si="22"/>
        <v>0.34403308576207459</v>
      </c>
      <c r="J456" s="20">
        <f t="shared" si="23"/>
        <v>-0.1040330857620726</v>
      </c>
      <c r="K456" s="20">
        <f>ENSO!I456</f>
        <v>-0.10132115563719396</v>
      </c>
      <c r="L456" s="19">
        <f>Analysis!B456</f>
        <v>1996.0416666666667</v>
      </c>
    </row>
    <row r="457" spans="1:12" ht="15" customHeight="1">
      <c r="A457" s="18" t="str">
        <f>Analysis!A457</f>
        <v>2/1996</v>
      </c>
      <c r="B457" s="19">
        <f>Analysis!E457</f>
        <v>0.46000000000000441</v>
      </c>
      <c r="C457" s="20">
        <f>Analysis!F457</f>
        <v>0.37597278398719675</v>
      </c>
      <c r="D457" s="19">
        <f>ENSO!D457</f>
        <v>-1.05</v>
      </c>
      <c r="E457" s="34">
        <f t="shared" ref="E457:E520" si="24">IF(G450="","",G450)</f>
        <v>8.3599999999999994E-3</v>
      </c>
      <c r="F457" s="19">
        <f>Solar!D457</f>
        <v>1360.68</v>
      </c>
      <c r="G457" s="32">
        <v>6.0600000000000003E-3</v>
      </c>
      <c r="H457" s="33">
        <v>0.18340000000000001</v>
      </c>
      <c r="I457" s="20">
        <f t="shared" si="22"/>
        <v>0.34932329816337959</v>
      </c>
      <c r="J457" s="20">
        <f t="shared" si="23"/>
        <v>0.11067670183662481</v>
      </c>
      <c r="K457" s="20">
        <f>ENSO!I457</f>
        <v>0.1129707171629164</v>
      </c>
      <c r="L457" s="19">
        <f>Analysis!B457</f>
        <v>1996.125</v>
      </c>
    </row>
    <row r="458" spans="1:12" ht="15" customHeight="1">
      <c r="A458" s="18" t="str">
        <f>Analysis!A458</f>
        <v>3/1996</v>
      </c>
      <c r="B458" s="19">
        <f>Analysis!E458</f>
        <v>0.32999999999999652</v>
      </c>
      <c r="C458" s="20">
        <f>Analysis!F458</f>
        <v>0.37962096205570828</v>
      </c>
      <c r="D458" s="19">
        <f>ENSO!D458</f>
        <v>-1.01</v>
      </c>
      <c r="E458" s="34">
        <f t="shared" si="24"/>
        <v>7.9799999999999992E-3</v>
      </c>
      <c r="F458" s="19">
        <f>Solar!D458</f>
        <v>1360.62</v>
      </c>
      <c r="G458" s="32">
        <v>5.7499999999999999E-3</v>
      </c>
      <c r="H458" s="33">
        <v>0.18959999999999999</v>
      </c>
      <c r="I458" s="20">
        <f t="shared" si="22"/>
        <v>0.36382136791976077</v>
      </c>
      <c r="J458" s="20">
        <f t="shared" si="23"/>
        <v>-3.3821367919764256E-2</v>
      </c>
      <c r="K458" s="20">
        <f>ENSO!I458</f>
        <v>-3.0531595080630247E-2</v>
      </c>
      <c r="L458" s="19">
        <f>Analysis!B458</f>
        <v>1996.2083333333333</v>
      </c>
    </row>
    <row r="459" spans="1:12" ht="15" customHeight="1">
      <c r="A459" s="18" t="str">
        <f>Analysis!A459</f>
        <v>4/1996</v>
      </c>
      <c r="B459" s="19">
        <f>Analysis!E459</f>
        <v>0.32999999999999652</v>
      </c>
      <c r="C459" s="20">
        <f>Analysis!F459</f>
        <v>0.3812438135561429</v>
      </c>
      <c r="D459" s="19">
        <f>ENSO!D459</f>
        <v>-0.88</v>
      </c>
      <c r="E459" s="34">
        <f t="shared" si="24"/>
        <v>7.6600000000000001E-3</v>
      </c>
      <c r="F459" s="19">
        <f>Solar!D459</f>
        <v>1360.65</v>
      </c>
      <c r="G459" s="32">
        <v>5.5700000000000003E-3</v>
      </c>
      <c r="H459" s="33">
        <v>0.19309999999999999</v>
      </c>
      <c r="I459" s="20">
        <f t="shared" si="22"/>
        <v>0.38101503984375251</v>
      </c>
      <c r="J459" s="20">
        <f t="shared" si="23"/>
        <v>-5.1015039843755994E-2</v>
      </c>
      <c r="K459" s="20">
        <f>ENSO!I459</f>
        <v>-4.630414740850175E-2</v>
      </c>
      <c r="L459" s="19">
        <f>Analysis!B459</f>
        <v>1996.2916666666667</v>
      </c>
    </row>
    <row r="460" spans="1:12" ht="15" customHeight="1">
      <c r="A460" s="18" t="str">
        <f>Analysis!A460</f>
        <v>5/1996</v>
      </c>
      <c r="B460" s="19">
        <f>Analysis!E460</f>
        <v>0.27000000000000135</v>
      </c>
      <c r="C460" s="20">
        <f>Analysis!F460</f>
        <v>0.38345744585853175</v>
      </c>
      <c r="D460" s="19">
        <f>ENSO!D460</f>
        <v>-0.7</v>
      </c>
      <c r="E460" s="34">
        <f t="shared" si="24"/>
        <v>7.3899999999999999E-3</v>
      </c>
      <c r="F460" s="19">
        <f>Solar!D460</f>
        <v>1360.67</v>
      </c>
      <c r="G460" s="32">
        <v>5.47E-3</v>
      </c>
      <c r="H460" s="33">
        <v>0.1951</v>
      </c>
      <c r="I460" s="20">
        <f t="shared" si="22"/>
        <v>0.40434975578143023</v>
      </c>
      <c r="J460" s="20">
        <f t="shared" si="23"/>
        <v>-0.13434975578142888</v>
      </c>
      <c r="K460" s="20">
        <f>ENSO!I460</f>
        <v>-0.12805134265907575</v>
      </c>
      <c r="L460" s="19">
        <f>Analysis!B460</f>
        <v>1996.375</v>
      </c>
    </row>
    <row r="461" spans="1:12" ht="15" customHeight="1">
      <c r="A461" s="18" t="str">
        <f>Analysis!A461</f>
        <v>6/1996</v>
      </c>
      <c r="B461" s="19">
        <f>Analysis!E461</f>
        <v>0.25999999999999979</v>
      </c>
      <c r="C461" s="20">
        <f>Analysis!F461</f>
        <v>0.38270677268151582</v>
      </c>
      <c r="D461" s="19">
        <f>ENSO!D461</f>
        <v>-0.52</v>
      </c>
      <c r="E461" s="34">
        <f t="shared" si="24"/>
        <v>7.1799999999999998E-3</v>
      </c>
      <c r="F461" s="19">
        <f>Solar!D461</f>
        <v>1360.67</v>
      </c>
      <c r="G461" s="32">
        <v>5.79E-3</v>
      </c>
      <c r="H461" s="33">
        <v>0.1888</v>
      </c>
      <c r="I461" s="20">
        <f t="shared" si="22"/>
        <v>0.4194675271034789</v>
      </c>
      <c r="J461" s="20">
        <f t="shared" si="23"/>
        <v>-0.15946752710347911</v>
      </c>
      <c r="K461" s="20">
        <f>ENSO!I461</f>
        <v>-0.15165619505183459</v>
      </c>
      <c r="L461" s="19">
        <f>Analysis!B461</f>
        <v>1996.4583333333333</v>
      </c>
    </row>
    <row r="462" spans="1:12" ht="15" customHeight="1">
      <c r="A462" s="18" t="str">
        <f>Analysis!A462</f>
        <v>7/1996</v>
      </c>
      <c r="B462" s="19">
        <f>Analysis!E462</f>
        <v>0.36999999999999744</v>
      </c>
      <c r="C462" s="20">
        <f>Analysis!F462</f>
        <v>0.37728243090608043</v>
      </c>
      <c r="D462" s="19">
        <f>ENSO!D462</f>
        <v>-0.36</v>
      </c>
      <c r="E462" s="34">
        <f t="shared" si="24"/>
        <v>6.8399999999999997E-3</v>
      </c>
      <c r="F462" s="19">
        <f>Solar!D462</f>
        <v>1360.66</v>
      </c>
      <c r="G462" s="32">
        <v>5.2100000000000002E-3</v>
      </c>
      <c r="H462" s="33">
        <v>0.20030000000000001</v>
      </c>
      <c r="I462" s="20">
        <f t="shared" si="22"/>
        <v>0.42026835921766048</v>
      </c>
      <c r="J462" s="20">
        <f t="shared" si="23"/>
        <v>-5.0268359217663039E-2</v>
      </c>
      <c r="K462" s="20">
        <f>ENSO!I462</f>
        <v>-4.068267716650209E-2</v>
      </c>
      <c r="L462" s="19">
        <f>Analysis!B462</f>
        <v>1996.5416666666667</v>
      </c>
    </row>
    <row r="463" spans="1:12" ht="15" customHeight="1">
      <c r="A463" s="18" t="str">
        <f>Analysis!A463</f>
        <v>8/1996</v>
      </c>
      <c r="B463" s="19">
        <f>Analysis!E463</f>
        <v>0.47999999999999865</v>
      </c>
      <c r="C463" s="20">
        <f>Analysis!F463</f>
        <v>0.36876834909033485</v>
      </c>
      <c r="D463" s="19">
        <f>ENSO!D463</f>
        <v>-0.25</v>
      </c>
      <c r="E463" s="34">
        <f t="shared" si="24"/>
        <v>6.45E-3</v>
      </c>
      <c r="F463" s="19">
        <f>Solar!D463</f>
        <v>1360.68</v>
      </c>
      <c r="G463" s="32">
        <v>5.2300000000000003E-3</v>
      </c>
      <c r="H463" s="33">
        <v>0.2</v>
      </c>
      <c r="I463" s="20">
        <f t="shared" si="22"/>
        <v>0.40811242121858787</v>
      </c>
      <c r="J463" s="20">
        <f t="shared" si="23"/>
        <v>7.1887578781410777E-2</v>
      </c>
      <c r="K463" s="20">
        <f>ENSO!I463</f>
        <v>8.3129615239240062E-2</v>
      </c>
      <c r="L463" s="19">
        <f>Analysis!B463</f>
        <v>1996.625</v>
      </c>
    </row>
    <row r="464" spans="1:12" ht="15" customHeight="1">
      <c r="A464" s="18" t="str">
        <f>Analysis!A464</f>
        <v>9/1996</v>
      </c>
      <c r="B464" s="19">
        <f>Analysis!E464</f>
        <v>0.25999999999999979</v>
      </c>
      <c r="C464" s="20">
        <f>Analysis!F464</f>
        <v>0.36132722345969809</v>
      </c>
      <c r="D464" s="19">
        <f>ENSO!D464</f>
        <v>-0.24</v>
      </c>
      <c r="E464" s="34">
        <f t="shared" si="24"/>
        <v>6.0600000000000003E-3</v>
      </c>
      <c r="F464" s="19">
        <f>Solar!D464</f>
        <v>1360.74</v>
      </c>
      <c r="G464" s="32">
        <v>5.1799999999999997E-3</v>
      </c>
      <c r="H464" s="33">
        <v>0.20100000000000001</v>
      </c>
      <c r="I464" s="20">
        <f t="shared" si="22"/>
        <v>0.38960339013149436</v>
      </c>
      <c r="J464" s="20">
        <f t="shared" si="23"/>
        <v>-0.12960339013149458</v>
      </c>
      <c r="K464" s="20">
        <f>ENSO!I464</f>
        <v>-0.11730150727704286</v>
      </c>
      <c r="L464" s="19">
        <f>Analysis!B464</f>
        <v>1996.7083333333333</v>
      </c>
    </row>
    <row r="465" spans="1:12" ht="15" customHeight="1">
      <c r="A465" s="18" t="str">
        <f>Analysis!A465</f>
        <v>10/1996</v>
      </c>
      <c r="B465" s="19">
        <f>Analysis!E465</f>
        <v>0.22000000000000242</v>
      </c>
      <c r="C465" s="20">
        <f>Analysis!F465</f>
        <v>0.36144754664467421</v>
      </c>
      <c r="D465" s="19">
        <f>ENSO!D465</f>
        <v>-0.22</v>
      </c>
      <c r="E465" s="34">
        <f t="shared" si="24"/>
        <v>5.7499999999999999E-3</v>
      </c>
      <c r="F465" s="19">
        <f>Solar!D465</f>
        <v>1360.69</v>
      </c>
      <c r="G465" s="32">
        <v>5.0800000000000003E-3</v>
      </c>
      <c r="H465" s="33">
        <v>0.2029</v>
      </c>
      <c r="I465" s="20">
        <f t="shared" si="22"/>
        <v>0.39246957220922601</v>
      </c>
      <c r="J465" s="20">
        <f t="shared" si="23"/>
        <v>-0.1724695722092236</v>
      </c>
      <c r="K465" s="20">
        <f>ENSO!I465</f>
        <v>-0.15937276593525002</v>
      </c>
      <c r="L465" s="19">
        <f>Analysis!B465</f>
        <v>1996.7916666666667</v>
      </c>
    </row>
    <row r="466" spans="1:12" ht="15" customHeight="1">
      <c r="A466" s="18" t="str">
        <f>Analysis!A466</f>
        <v>11/1996</v>
      </c>
      <c r="B466" s="19">
        <f>Analysis!E466</f>
        <v>0.42000000000000348</v>
      </c>
      <c r="C466" s="20">
        <f>Analysis!F466</f>
        <v>0.36673185649279633</v>
      </c>
      <c r="D466" s="19">
        <f>ENSO!D466</f>
        <v>-0.27</v>
      </c>
      <c r="E466" s="34">
        <f t="shared" si="24"/>
        <v>5.5700000000000003E-3</v>
      </c>
      <c r="F466" s="19">
        <f>Solar!D466</f>
        <v>1360.56</v>
      </c>
      <c r="G466" s="32">
        <v>5.0200000000000002E-3</v>
      </c>
      <c r="H466" s="33">
        <v>0.20419999999999999</v>
      </c>
      <c r="I466" s="20">
        <f t="shared" si="22"/>
        <v>0.40263844827417389</v>
      </c>
      <c r="J466" s="20">
        <f t="shared" si="23"/>
        <v>1.7361551725829594E-2</v>
      </c>
      <c r="K466" s="20">
        <f>ENSO!I466</f>
        <v>3.0464200649421791E-2</v>
      </c>
      <c r="L466" s="19">
        <f>Analysis!B466</f>
        <v>1996.875</v>
      </c>
    </row>
    <row r="467" spans="1:12" ht="15" customHeight="1">
      <c r="A467" s="18" t="str">
        <f>Analysis!A467</f>
        <v>12/1996</v>
      </c>
      <c r="B467" s="19">
        <f>Analysis!E467</f>
        <v>0.36999999999999744</v>
      </c>
      <c r="C467" s="20">
        <f>Analysis!F467</f>
        <v>0.37211631819884028</v>
      </c>
      <c r="D467" s="19">
        <f>ENSO!D467</f>
        <v>-0.3</v>
      </c>
      <c r="E467" s="34">
        <f t="shared" si="24"/>
        <v>5.47E-3</v>
      </c>
      <c r="F467" s="19">
        <f>Solar!D467</f>
        <v>1360.79</v>
      </c>
      <c r="G467" s="32">
        <v>4.8599999999999997E-3</v>
      </c>
      <c r="H467" s="33">
        <v>0.20749999999999999</v>
      </c>
      <c r="I467" s="20">
        <f t="shared" si="22"/>
        <v>0.41476035323927091</v>
      </c>
      <c r="J467" s="20">
        <f t="shared" si="23"/>
        <v>-4.4760353239273465E-2</v>
      </c>
      <c r="K467" s="20">
        <f>ENSO!I467</f>
        <v>-3.171468490076923E-2</v>
      </c>
      <c r="L467" s="19">
        <f>Analysis!B467</f>
        <v>1996.9583333333333</v>
      </c>
    </row>
    <row r="468" spans="1:12" ht="15" customHeight="1">
      <c r="A468" s="18" t="str">
        <f>Analysis!A468</f>
        <v>1/1997</v>
      </c>
      <c r="B468" s="19">
        <f>Analysis!E468</f>
        <v>0.32000000000000028</v>
      </c>
      <c r="C468" s="20">
        <f>Analysis!F468</f>
        <v>0.37549625382897855</v>
      </c>
      <c r="D468" s="19">
        <f>ENSO!D468</f>
        <v>-0.33</v>
      </c>
      <c r="E468" s="34">
        <f t="shared" si="24"/>
        <v>5.79E-3</v>
      </c>
      <c r="F468" s="19">
        <f>Solar!D468</f>
        <v>1360.75</v>
      </c>
      <c r="G468" s="32">
        <v>4.7299999999999998E-3</v>
      </c>
      <c r="H468" s="33">
        <v>0.2099</v>
      </c>
      <c r="I468" s="20">
        <f t="shared" si="22"/>
        <v>0.42049091396226784</v>
      </c>
      <c r="J468" s="20">
        <f t="shared" si="23"/>
        <v>-0.10049091396226756</v>
      </c>
      <c r="K468" s="20">
        <f>ENSO!I468</f>
        <v>-8.8387545956895464E-2</v>
      </c>
      <c r="L468" s="19">
        <f>Analysis!B468</f>
        <v>1997.0416666666667</v>
      </c>
    </row>
    <row r="469" spans="1:12" ht="15" customHeight="1">
      <c r="A469" s="18" t="str">
        <f>Analysis!A469</f>
        <v>2/1997</v>
      </c>
      <c r="B469" s="19">
        <f>Analysis!E469</f>
        <v>0.41000000000000014</v>
      </c>
      <c r="C469" s="20">
        <f>Analysis!F469</f>
        <v>0.37934370731460526</v>
      </c>
      <c r="D469" s="19">
        <f>ENSO!D469</f>
        <v>-0.39</v>
      </c>
      <c r="E469" s="34">
        <f t="shared" si="24"/>
        <v>5.2100000000000002E-3</v>
      </c>
      <c r="F469" s="19">
        <f>Solar!D469</f>
        <v>1360.76</v>
      </c>
      <c r="G469" s="32">
        <v>4.5999999999999999E-3</v>
      </c>
      <c r="H469" s="33">
        <v>0.21260000000000001</v>
      </c>
      <c r="I469" s="20">
        <f t="shared" si="22"/>
        <v>0.4266930615435392</v>
      </c>
      <c r="J469" s="20">
        <f t="shared" si="23"/>
        <v>-1.6693061543539056E-2</v>
      </c>
      <c r="K469" s="20">
        <f>ENSO!I469</f>
        <v>-3.7334501586274715E-3</v>
      </c>
      <c r="L469" s="19">
        <f>Analysis!B469</f>
        <v>1997.125</v>
      </c>
    </row>
    <row r="470" spans="1:12" ht="15" customHeight="1">
      <c r="A470" s="18" t="str">
        <f>Analysis!A470</f>
        <v>3/1997</v>
      </c>
      <c r="B470" s="19">
        <f>Analysis!E470</f>
        <v>0.5199999999999978</v>
      </c>
      <c r="C470" s="20">
        <f>Analysis!F470</f>
        <v>0.38108556691755607</v>
      </c>
      <c r="D470" s="19">
        <f>ENSO!D470</f>
        <v>-0.41</v>
      </c>
      <c r="E470" s="34">
        <f t="shared" si="24"/>
        <v>5.2300000000000003E-3</v>
      </c>
      <c r="F470" s="19">
        <f>Solar!D470</f>
        <v>1360.76</v>
      </c>
      <c r="G470" s="32">
        <v>4.4900000000000001E-3</v>
      </c>
      <c r="H470" s="33">
        <v>0.21479999999999999</v>
      </c>
      <c r="I470" s="20">
        <f t="shared" si="22"/>
        <v>0.42954394714772676</v>
      </c>
      <c r="J470" s="20">
        <f t="shared" si="23"/>
        <v>9.0456052852271041E-2</v>
      </c>
      <c r="K470" s="20">
        <f>ENSO!I470</f>
        <v>0.10322277199994118</v>
      </c>
      <c r="L470" s="19">
        <f>Analysis!B470</f>
        <v>1997.2083333333333</v>
      </c>
    </row>
    <row r="471" spans="1:12" ht="15" customHeight="1">
      <c r="A471" s="18" t="str">
        <f>Analysis!A471</f>
        <v>4/1997</v>
      </c>
      <c r="B471" s="19">
        <f>Analysis!E471</f>
        <v>0.33999999999999986</v>
      </c>
      <c r="C471" s="20">
        <f>Analysis!F471</f>
        <v>0.38834700653063781</v>
      </c>
      <c r="D471" s="19">
        <f>ENSO!D471</f>
        <v>-0.41</v>
      </c>
      <c r="E471" s="34">
        <f t="shared" si="24"/>
        <v>5.1799999999999997E-3</v>
      </c>
      <c r="F471" s="19">
        <f>Solar!D471</f>
        <v>1360.75</v>
      </c>
      <c r="G471" s="32">
        <v>4.45E-3</v>
      </c>
      <c r="H471" s="33">
        <v>0.21560000000000001</v>
      </c>
      <c r="I471" s="20">
        <f t="shared" si="22"/>
        <v>0.44945900308653602</v>
      </c>
      <c r="J471" s="20">
        <f t="shared" si="23"/>
        <v>-0.10945900308653617</v>
      </c>
      <c r="K471" s="20">
        <f>ENSO!I471</f>
        <v>-9.6722922322677596E-2</v>
      </c>
      <c r="L471" s="19">
        <f>Analysis!B471</f>
        <v>1997.2916666666667</v>
      </c>
    </row>
    <row r="472" spans="1:12" ht="15" customHeight="1">
      <c r="A472" s="18" t="str">
        <f>Analysis!A472</f>
        <v>5/1997</v>
      </c>
      <c r="B472" s="19">
        <f>Analysis!E472</f>
        <v>0.34999999999999787</v>
      </c>
      <c r="C472" s="20">
        <f>Analysis!F472</f>
        <v>0.3894488111595088</v>
      </c>
      <c r="D472" s="19">
        <f>ENSO!D472</f>
        <v>-0.26</v>
      </c>
      <c r="E472" s="34">
        <f t="shared" si="24"/>
        <v>5.0800000000000003E-3</v>
      </c>
      <c r="F472" s="19">
        <f>Solar!D472</f>
        <v>1360.78</v>
      </c>
      <c r="G472" s="32">
        <v>4.4400000000000004E-3</v>
      </c>
      <c r="H472" s="33">
        <v>0.2157</v>
      </c>
      <c r="I472" s="20">
        <f t="shared" si="22"/>
        <v>0.46660338110407129</v>
      </c>
      <c r="J472" s="20">
        <f t="shared" si="23"/>
        <v>-0.11660338110407342</v>
      </c>
      <c r="K472" s="20">
        <f>ENSO!I472</f>
        <v>-0.10280502051115292</v>
      </c>
      <c r="L472" s="19">
        <f>Analysis!B472</f>
        <v>1997.375</v>
      </c>
    </row>
    <row r="473" spans="1:12" ht="15" customHeight="1">
      <c r="A473" s="18" t="str">
        <f>Analysis!A473</f>
        <v>6/1997</v>
      </c>
      <c r="B473" s="19">
        <f>Analysis!E473</f>
        <v>0.54999999999999893</v>
      </c>
      <c r="C473" s="20">
        <f>Analysis!F473</f>
        <v>0.38535214535553447</v>
      </c>
      <c r="D473" s="19">
        <f>ENSO!D473</f>
        <v>-0.03</v>
      </c>
      <c r="E473" s="34">
        <f t="shared" si="24"/>
        <v>5.0200000000000002E-3</v>
      </c>
      <c r="F473" s="19">
        <f>Solar!D473</f>
        <v>1360.77</v>
      </c>
      <c r="G473" s="32">
        <v>4.3699999999999998E-3</v>
      </c>
      <c r="H473" s="33">
        <v>0.2172</v>
      </c>
      <c r="I473" s="20">
        <f t="shared" si="22"/>
        <v>0.47690490348122666</v>
      </c>
      <c r="J473" s="20">
        <f t="shared" si="23"/>
        <v>7.3095096518772273E-2</v>
      </c>
      <c r="K473" s="20">
        <f>ENSO!I473</f>
        <v>8.842899824420869E-2</v>
      </c>
      <c r="L473" s="19">
        <f>Analysis!B473</f>
        <v>1997.4583333333333</v>
      </c>
    </row>
    <row r="474" spans="1:12" ht="15" customHeight="1">
      <c r="A474" s="18" t="str">
        <f>Analysis!A474</f>
        <v>7/1997</v>
      </c>
      <c r="B474" s="19">
        <f>Analysis!E474</f>
        <v>0.33999999999999986</v>
      </c>
      <c r="C474" s="20">
        <f>Analysis!F474</f>
        <v>0.38033365825089765</v>
      </c>
      <c r="D474" s="19">
        <f>ENSO!D474</f>
        <v>0.3</v>
      </c>
      <c r="E474" s="34">
        <f t="shared" si="24"/>
        <v>4.8599999999999997E-3</v>
      </c>
      <c r="F474" s="19">
        <f>Solar!D474</f>
        <v>1360.79</v>
      </c>
      <c r="G474" s="32">
        <v>4.3299999999999996E-3</v>
      </c>
      <c r="H474" s="33">
        <v>0.218</v>
      </c>
      <c r="I474" s="20">
        <f t="shared" si="22"/>
        <v>0.49419176336676596</v>
      </c>
      <c r="J474" s="20">
        <f t="shared" si="23"/>
        <v>-0.1541917633667661</v>
      </c>
      <c r="K474" s="20">
        <f>ENSO!I474</f>
        <v>-0.13650870479609067</v>
      </c>
      <c r="L474" s="19">
        <f>Analysis!B474</f>
        <v>1997.5416666666667</v>
      </c>
    </row>
    <row r="475" spans="1:12" ht="15" customHeight="1">
      <c r="A475" s="18" t="str">
        <f>Analysis!A475</f>
        <v>8/1997</v>
      </c>
      <c r="B475" s="19">
        <f>Analysis!E475</f>
        <v>0.41000000000000014</v>
      </c>
      <c r="C475" s="20">
        <f>Analysis!F475</f>
        <v>0.37215612821390631</v>
      </c>
      <c r="D475" s="19">
        <f>ENSO!D475</f>
        <v>0.71</v>
      </c>
      <c r="E475" s="34">
        <f t="shared" si="24"/>
        <v>4.7299999999999998E-3</v>
      </c>
      <c r="F475" s="19">
        <f>Solar!D475</f>
        <v>1360.85</v>
      </c>
      <c r="G475" s="32">
        <v>4.3600000000000002E-3</v>
      </c>
      <c r="H475" s="33">
        <v>0.21729999999999999</v>
      </c>
      <c r="I475" s="20">
        <f t="shared" si="22"/>
        <v>0.5102201584795093</v>
      </c>
      <c r="J475" s="20">
        <f t="shared" si="23"/>
        <v>-0.10022015847950916</v>
      </c>
      <c r="K475" s="20">
        <f>ENSO!I475</f>
        <v>-7.973218248505215E-2</v>
      </c>
      <c r="L475" s="19">
        <f>Analysis!B475</f>
        <v>1997.625</v>
      </c>
    </row>
    <row r="476" spans="1:12" ht="15" customHeight="1">
      <c r="A476" s="18" t="str">
        <f>Analysis!A476</f>
        <v>9/1997</v>
      </c>
      <c r="B476" s="19">
        <f>Analysis!E476</f>
        <v>0.5199999999999978</v>
      </c>
      <c r="C476" s="20">
        <f>Analysis!F476</f>
        <v>0.36433229663226918</v>
      </c>
      <c r="D476" s="19">
        <f>ENSO!D476</f>
        <v>1.1299999999999999</v>
      </c>
      <c r="E476" s="34">
        <f t="shared" si="24"/>
        <v>4.5999999999999999E-3</v>
      </c>
      <c r="F476" s="19">
        <f>Solar!D476</f>
        <v>1360.66</v>
      </c>
      <c r="G476" s="32">
        <v>4.4000000000000003E-3</v>
      </c>
      <c r="H476" s="33">
        <v>0.21659999999999999</v>
      </c>
      <c r="I476" s="20">
        <f t="shared" si="22"/>
        <v>0.52814119006860627</v>
      </c>
      <c r="J476" s="20">
        <f t="shared" si="23"/>
        <v>-8.1411900686084726E-3</v>
      </c>
      <c r="K476" s="20">
        <f>ENSO!I476</f>
        <v>1.5202424574098039E-2</v>
      </c>
      <c r="L476" s="19">
        <f>Analysis!B476</f>
        <v>1997.7083333333333</v>
      </c>
    </row>
    <row r="477" spans="1:12" ht="15" customHeight="1">
      <c r="A477" s="18" t="str">
        <f>Analysis!A477</f>
        <v>10/1997</v>
      </c>
      <c r="B477" s="19">
        <f>Analysis!E477</f>
        <v>0.61000000000000121</v>
      </c>
      <c r="C477" s="20">
        <f>Analysis!F477</f>
        <v>0.36645211340564054</v>
      </c>
      <c r="D477" s="19">
        <f>ENSO!D477</f>
        <v>1.48</v>
      </c>
      <c r="E477" s="34">
        <f t="shared" si="24"/>
        <v>4.4900000000000001E-3</v>
      </c>
      <c r="F477" s="19">
        <f>Solar!D477</f>
        <v>1361.01</v>
      </c>
      <c r="G477" s="32">
        <v>4.3600000000000002E-3</v>
      </c>
      <c r="H477" s="33">
        <v>0.21729999999999999</v>
      </c>
      <c r="I477" s="20">
        <f t="shared" si="22"/>
        <v>0.56664312738826939</v>
      </c>
      <c r="J477" s="20">
        <f t="shared" si="23"/>
        <v>4.3356872611731823E-2</v>
      </c>
      <c r="K477" s="20">
        <f>ENSO!I477</f>
        <v>6.8916500575568085E-2</v>
      </c>
      <c r="L477" s="19">
        <f>Analysis!B477</f>
        <v>1997.7916666666667</v>
      </c>
    </row>
    <row r="478" spans="1:12" ht="15" customHeight="1">
      <c r="A478" s="18" t="str">
        <f>Analysis!A478</f>
        <v>11/1997</v>
      </c>
      <c r="B478" s="19">
        <f>Analysis!E478</f>
        <v>0.65000000000000213</v>
      </c>
      <c r="C478" s="20">
        <f>Analysis!F478</f>
        <v>0.37315102173715475</v>
      </c>
      <c r="D478" s="19">
        <f>ENSO!D478</f>
        <v>1.79</v>
      </c>
      <c r="E478" s="34">
        <f t="shared" si="24"/>
        <v>4.45E-3</v>
      </c>
      <c r="F478" s="19">
        <f>Solar!D478</f>
        <v>1360.89</v>
      </c>
      <c r="G478" s="32">
        <v>4.3899999999999998E-3</v>
      </c>
      <c r="H478" s="33">
        <v>0.2167</v>
      </c>
      <c r="I478" s="20">
        <f t="shared" si="22"/>
        <v>0.61376837225041436</v>
      </c>
      <c r="J478" s="20">
        <f t="shared" si="23"/>
        <v>3.6231627749587769E-2</v>
      </c>
      <c r="K478" s="20">
        <f>ENSO!I478</f>
        <v>6.3534256341774675E-2</v>
      </c>
      <c r="L478" s="19">
        <f>Analysis!B478</f>
        <v>1997.875</v>
      </c>
    </row>
    <row r="479" spans="1:12" ht="15" customHeight="1">
      <c r="A479" s="18" t="str">
        <f>Analysis!A479</f>
        <v>12/1997</v>
      </c>
      <c r="B479" s="19">
        <f>Analysis!E479</f>
        <v>0.58999999999999986</v>
      </c>
      <c r="C479" s="20">
        <f>Analysis!F479</f>
        <v>0.38053156694990453</v>
      </c>
      <c r="D479" s="19">
        <f>ENSO!D479</f>
        <v>2.04</v>
      </c>
      <c r="E479" s="34">
        <f t="shared" si="24"/>
        <v>4.4400000000000004E-3</v>
      </c>
      <c r="F479" s="19">
        <f>Solar!D479</f>
        <v>1360.91</v>
      </c>
      <c r="G479" s="32">
        <v>4.3899999999999998E-3</v>
      </c>
      <c r="H479" s="33">
        <v>0.2167</v>
      </c>
      <c r="I479" s="20">
        <f t="shared" si="22"/>
        <v>0.65711901968241537</v>
      </c>
      <c r="J479" s="20">
        <f t="shared" si="23"/>
        <v>-6.7119019682415515E-2</v>
      </c>
      <c r="K479" s="20">
        <f>ENSO!I479</f>
        <v>-3.8498039255026595E-2</v>
      </c>
      <c r="L479" s="19">
        <f>Analysis!B479</f>
        <v>1997.9583333333333</v>
      </c>
    </row>
    <row r="480" spans="1:12" ht="15" customHeight="1">
      <c r="A480" s="18" t="str">
        <f>Analysis!A480</f>
        <v>1/1998</v>
      </c>
      <c r="B480" s="19">
        <f>Analysis!E480</f>
        <v>0.58000000000000007</v>
      </c>
      <c r="C480" s="20">
        <f>Analysis!F480</f>
        <v>0.38401032363198068</v>
      </c>
      <c r="D480" s="19">
        <f>ENSO!D480</f>
        <v>2.2400000000000002</v>
      </c>
      <c r="E480" s="34">
        <f t="shared" si="24"/>
        <v>4.3699999999999998E-3</v>
      </c>
      <c r="F480" s="19">
        <f>Solar!D480</f>
        <v>1361.05</v>
      </c>
      <c r="G480" s="32">
        <v>4.3400000000000001E-3</v>
      </c>
      <c r="H480" s="33">
        <v>0.2177</v>
      </c>
      <c r="I480" s="20">
        <f t="shared" si="22"/>
        <v>0.68532009845530839</v>
      </c>
      <c r="J480" s="20">
        <f t="shared" si="23"/>
        <v>-0.10532009845530832</v>
      </c>
      <c r="K480" s="20">
        <f>ENSO!I480</f>
        <v>-7.5461028670072428E-2</v>
      </c>
      <c r="L480" s="19">
        <f>Analysis!B480</f>
        <v>1998.0416666666667</v>
      </c>
    </row>
    <row r="481" spans="1:12" ht="15" customHeight="1">
      <c r="A481" s="18" t="str">
        <f>Analysis!A481</f>
        <v>2/1998</v>
      </c>
      <c r="B481" s="19">
        <f>Analysis!E481</f>
        <v>0.88000000000000256</v>
      </c>
      <c r="C481" s="20">
        <f>Analysis!F481</f>
        <v>0.38681094647221681</v>
      </c>
      <c r="D481" s="19">
        <f>ENSO!D481</f>
        <v>2.34</v>
      </c>
      <c r="E481" s="34">
        <f t="shared" si="24"/>
        <v>4.3299999999999996E-3</v>
      </c>
      <c r="F481" s="19">
        <f>Solar!D481</f>
        <v>1360.95</v>
      </c>
      <c r="G481" s="32">
        <v>4.2599999999999999E-3</v>
      </c>
      <c r="H481" s="33">
        <v>0.21940000000000001</v>
      </c>
      <c r="I481" s="20">
        <f t="shared" si="22"/>
        <v>0.70232610531505324</v>
      </c>
      <c r="J481" s="20">
        <f t="shared" si="23"/>
        <v>0.17767389468494932</v>
      </c>
      <c r="K481" s="20">
        <f>ENSO!I481</f>
        <v>0.2081424543251158</v>
      </c>
      <c r="L481" s="19">
        <f>Analysis!B481</f>
        <v>1998.125</v>
      </c>
    </row>
    <row r="482" spans="1:12" ht="15" customHeight="1">
      <c r="A482" s="18" t="str">
        <f>Analysis!A482</f>
        <v>3/1998</v>
      </c>
      <c r="B482" s="19">
        <f>Analysis!E482</f>
        <v>0.63000000000000256</v>
      </c>
      <c r="C482" s="20">
        <f>Analysis!F482</f>
        <v>0.39176771995599674</v>
      </c>
      <c r="D482" s="19">
        <f>ENSO!D482</f>
        <v>2.37</v>
      </c>
      <c r="E482" s="34">
        <f t="shared" si="24"/>
        <v>4.3600000000000002E-3</v>
      </c>
      <c r="F482" s="19">
        <f>Solar!D482</f>
        <v>1360.84</v>
      </c>
      <c r="G482" s="32">
        <v>4.1900000000000001E-3</v>
      </c>
      <c r="H482" s="33">
        <v>0.22070000000000001</v>
      </c>
      <c r="I482" s="20">
        <f t="shared" si="22"/>
        <v>0.71856317749468157</v>
      </c>
      <c r="J482" s="20">
        <f t="shared" si="23"/>
        <v>-8.8563177494679013E-2</v>
      </c>
      <c r="K482" s="20">
        <f>ENSO!I482</f>
        <v>-5.8083925059074781E-2</v>
      </c>
      <c r="L482" s="19">
        <f>Analysis!B482</f>
        <v>1998.2083333333333</v>
      </c>
    </row>
    <row r="483" spans="1:12" ht="15" customHeight="1">
      <c r="A483" s="18" t="str">
        <f>Analysis!A483</f>
        <v>4/1998</v>
      </c>
      <c r="B483" s="19">
        <f>Analysis!E483</f>
        <v>0.64000000000000234</v>
      </c>
      <c r="C483" s="20">
        <f>Analysis!F483</f>
        <v>0.39737270943755826</v>
      </c>
      <c r="D483" s="19">
        <f>ENSO!D483</f>
        <v>2.2200000000000002</v>
      </c>
      <c r="E483" s="34">
        <f t="shared" si="24"/>
        <v>4.4000000000000003E-3</v>
      </c>
      <c r="F483" s="19">
        <f>Solar!D483</f>
        <v>1361.16</v>
      </c>
      <c r="G483" s="32">
        <v>4.1700000000000001E-3</v>
      </c>
      <c r="H483" s="33">
        <v>0.22109999999999999</v>
      </c>
      <c r="I483" s="20">
        <f t="shared" si="22"/>
        <v>0.71984310444036248</v>
      </c>
      <c r="J483" s="20">
        <f t="shared" si="23"/>
        <v>-7.9843104440360135E-2</v>
      </c>
      <c r="K483" s="20">
        <f>ENSO!I483</f>
        <v>-5.0424023065753998E-2</v>
      </c>
      <c r="L483" s="19">
        <f>Analysis!B483</f>
        <v>1998.2916666666667</v>
      </c>
    </row>
    <row r="484" spans="1:12" ht="15" customHeight="1">
      <c r="A484" s="18" t="str">
        <f>Analysis!A484</f>
        <v>5/1998</v>
      </c>
      <c r="B484" s="19">
        <f>Analysis!E484</f>
        <v>0.67999999999999972</v>
      </c>
      <c r="C484" s="20">
        <f>Analysis!F484</f>
        <v>0.40038178530727464</v>
      </c>
      <c r="D484" s="19">
        <f>ENSO!D484</f>
        <v>1.91</v>
      </c>
      <c r="E484" s="34">
        <f t="shared" si="24"/>
        <v>4.3600000000000002E-3</v>
      </c>
      <c r="F484" s="19">
        <f>Solar!D484</f>
        <v>1361.07</v>
      </c>
      <c r="G484" s="32">
        <v>4.2399999999999998E-3</v>
      </c>
      <c r="H484" s="33">
        <v>0.2198</v>
      </c>
      <c r="I484" s="20">
        <f t="shared" si="22"/>
        <v>0.69937169511068231</v>
      </c>
      <c r="J484" s="20">
        <f t="shared" si="23"/>
        <v>-1.9371695110682596E-2</v>
      </c>
      <c r="K484" s="20">
        <f>ENSO!I484</f>
        <v>8.2923676067492291E-3</v>
      </c>
      <c r="L484" s="19">
        <f>Analysis!B484</f>
        <v>1998.375</v>
      </c>
    </row>
    <row r="485" spans="1:12" ht="15" customHeight="1">
      <c r="A485" s="18" t="str">
        <f>Analysis!A485</f>
        <v>6/1998</v>
      </c>
      <c r="B485" s="19">
        <f>Analysis!E485</f>
        <v>0.77000000000000135</v>
      </c>
      <c r="C485" s="20">
        <f>Analysis!F485</f>
        <v>0.39870216614997578</v>
      </c>
      <c r="D485" s="19">
        <f>ENSO!D485</f>
        <v>1.4</v>
      </c>
      <c r="E485" s="34">
        <f t="shared" si="24"/>
        <v>4.3899999999999998E-3</v>
      </c>
      <c r="F485" s="19">
        <f>Solar!D485</f>
        <v>1361.1</v>
      </c>
      <c r="G485" s="32">
        <v>4.1700000000000001E-3</v>
      </c>
      <c r="H485" s="33">
        <v>0.2213</v>
      </c>
      <c r="I485" s="20">
        <f t="shared" si="22"/>
        <v>0.64739918985300926</v>
      </c>
      <c r="J485" s="20">
        <f t="shared" si="23"/>
        <v>0.12260081014699209</v>
      </c>
      <c r="K485" s="20">
        <f>ENSO!I485</f>
        <v>0.14729520167357912</v>
      </c>
      <c r="L485" s="19">
        <f>Analysis!B485</f>
        <v>1998.4583333333333</v>
      </c>
    </row>
    <row r="486" spans="1:12" ht="15" customHeight="1">
      <c r="A486" s="18" t="str">
        <f>Analysis!A486</f>
        <v>7/1998</v>
      </c>
      <c r="B486" s="19">
        <f>Analysis!E486</f>
        <v>0.66000000000000369</v>
      </c>
      <c r="C486" s="20">
        <f>Analysis!F486</f>
        <v>0.39420052964215635</v>
      </c>
      <c r="D486" s="19">
        <f>ENSO!D486</f>
        <v>1.03</v>
      </c>
      <c r="E486" s="34">
        <f t="shared" si="24"/>
        <v>4.3899999999999998E-3</v>
      </c>
      <c r="F486" s="19">
        <f>Solar!D486</f>
        <v>1361.34</v>
      </c>
      <c r="G486" s="32">
        <v>4.1900000000000001E-3</v>
      </c>
      <c r="H486" s="33">
        <v>0.2208</v>
      </c>
      <c r="I486" s="20">
        <f t="shared" si="22"/>
        <v>0.60078715418491691</v>
      </c>
      <c r="J486" s="20">
        <f t="shared" si="23"/>
        <v>5.921284581508679E-2</v>
      </c>
      <c r="K486" s="20">
        <f>ENSO!I486</f>
        <v>8.1864254330065056E-2</v>
      </c>
      <c r="L486" s="19">
        <f>Analysis!B486</f>
        <v>1998.5416666666667</v>
      </c>
    </row>
    <row r="487" spans="1:12" ht="15" customHeight="1">
      <c r="A487" s="18" t="str">
        <f>Analysis!A487</f>
        <v>8/1998</v>
      </c>
      <c r="B487" s="19">
        <f>Analysis!E487</f>
        <v>0.65000000000000213</v>
      </c>
      <c r="C487" s="20">
        <f>Analysis!F487</f>
        <v>0.38681094647221681</v>
      </c>
      <c r="D487" s="19">
        <f>ENSO!D487</f>
        <v>0.4</v>
      </c>
      <c r="E487" s="34">
        <f t="shared" si="24"/>
        <v>4.3400000000000001E-3</v>
      </c>
      <c r="F487" s="19">
        <f>Solar!D487</f>
        <v>1361.15</v>
      </c>
      <c r="G487" s="32">
        <v>4.3899999999999998E-3</v>
      </c>
      <c r="H487" s="33">
        <v>0.2167</v>
      </c>
      <c r="I487" s="20">
        <f t="shared" si="22"/>
        <v>0.52228177161948885</v>
      </c>
      <c r="J487" s="20">
        <f t="shared" si="23"/>
        <v>0.12771822838051328</v>
      </c>
      <c r="K487" s="20">
        <f>ENSO!I487</f>
        <v>0.1469957279108417</v>
      </c>
      <c r="L487" s="19">
        <f>Analysis!B487</f>
        <v>1998.625</v>
      </c>
    </row>
    <row r="488" spans="1:12" ht="15" customHeight="1">
      <c r="A488" s="18" t="str">
        <f>Analysis!A488</f>
        <v>9/1998</v>
      </c>
      <c r="B488" s="19">
        <f>Analysis!E488</f>
        <v>0.42000000000000348</v>
      </c>
      <c r="C488" s="20">
        <f>Analysis!F488</f>
        <v>0.37914563558689091</v>
      </c>
      <c r="D488" s="19">
        <f>ENSO!D488</f>
        <v>-0.08</v>
      </c>
      <c r="E488" s="34">
        <f t="shared" si="24"/>
        <v>4.2599999999999999E-3</v>
      </c>
      <c r="F488" s="19">
        <f>Solar!D488</f>
        <v>1361.11</v>
      </c>
      <c r="G488" s="32">
        <v>4.7000000000000002E-3</v>
      </c>
      <c r="H488" s="33">
        <v>0.2107</v>
      </c>
      <c r="I488" s="20">
        <f t="shared" si="22"/>
        <v>0.45700962504782061</v>
      </c>
      <c r="J488" s="20">
        <f t="shared" si="23"/>
        <v>-3.700962504781713E-2</v>
      </c>
      <c r="K488" s="20">
        <f>ENSO!I488</f>
        <v>-2.017109616664009E-2</v>
      </c>
      <c r="L488" s="19">
        <f>Analysis!B488</f>
        <v>1998.7083333333333</v>
      </c>
    </row>
    <row r="489" spans="1:12" ht="15" customHeight="1">
      <c r="A489" s="18" t="str">
        <f>Analysis!A489</f>
        <v>10/1998</v>
      </c>
      <c r="B489" s="19">
        <f>Analysis!E489</f>
        <v>0.42000000000000348</v>
      </c>
      <c r="C489" s="20">
        <f>Analysis!F489</f>
        <v>0.38065029913905807</v>
      </c>
      <c r="D489" s="19">
        <f>ENSO!D489</f>
        <v>-0.63</v>
      </c>
      <c r="E489" s="34">
        <f t="shared" si="24"/>
        <v>4.1900000000000001E-3</v>
      </c>
      <c r="F489" s="19">
        <f>Solar!D489</f>
        <v>1361.49</v>
      </c>
      <c r="G489" s="32">
        <v>4.7600000000000003E-3</v>
      </c>
      <c r="H489" s="33">
        <v>0.20930000000000001</v>
      </c>
      <c r="I489" s="20">
        <f t="shared" si="22"/>
        <v>0.41023024946398096</v>
      </c>
      <c r="J489" s="20">
        <f t="shared" si="23"/>
        <v>9.7697505360225256E-3</v>
      </c>
      <c r="K489" s="20">
        <f>ENSO!I489</f>
        <v>2.3566673230845159E-2</v>
      </c>
      <c r="L489" s="19">
        <f>Analysis!B489</f>
        <v>1998.7916666666667</v>
      </c>
    </row>
    <row r="490" spans="1:12" ht="15" customHeight="1">
      <c r="A490" s="18" t="str">
        <f>Analysis!A490</f>
        <v>11/1998</v>
      </c>
      <c r="B490" s="19">
        <f>Analysis!E490</f>
        <v>0.42999999999999972</v>
      </c>
      <c r="C490" s="20">
        <f>Analysis!F490</f>
        <v>0.38511544395370917</v>
      </c>
      <c r="D490" s="19">
        <f>ENSO!D490</f>
        <v>-0.83</v>
      </c>
      <c r="E490" s="34">
        <f t="shared" si="24"/>
        <v>4.1700000000000001E-3</v>
      </c>
      <c r="F490" s="19">
        <f>Solar!D490</f>
        <v>1361.35</v>
      </c>
      <c r="G490" s="32">
        <v>4.5500000000000002E-3</v>
      </c>
      <c r="H490" s="33">
        <v>0.21360000000000001</v>
      </c>
      <c r="I490" s="20">
        <f t="shared" si="22"/>
        <v>0.4038936049234797</v>
      </c>
      <c r="J490" s="20">
        <f t="shared" si="23"/>
        <v>2.6106395076520017E-2</v>
      </c>
      <c r="K490" s="20">
        <f>ENSO!I490</f>
        <v>3.8709384653451306E-2</v>
      </c>
      <c r="L490" s="19">
        <f>Analysis!B490</f>
        <v>1998.875</v>
      </c>
    </row>
    <row r="491" spans="1:12" ht="15" customHeight="1">
      <c r="A491" s="18" t="str">
        <f>Analysis!A491</f>
        <v>12/1998</v>
      </c>
      <c r="B491" s="19">
        <f>Analysis!E491</f>
        <v>0.54999999999999893</v>
      </c>
      <c r="C491" s="20">
        <f>Analysis!F491</f>
        <v>0.3915320688993289</v>
      </c>
      <c r="D491" s="19">
        <f>ENSO!D491</f>
        <v>-1.02</v>
      </c>
      <c r="E491" s="34">
        <f t="shared" si="24"/>
        <v>4.2399999999999998E-3</v>
      </c>
      <c r="F491" s="19">
        <f>Solar!D491</f>
        <v>1361.48</v>
      </c>
      <c r="G491" s="32">
        <v>4.3699999999999998E-3</v>
      </c>
      <c r="H491" s="33">
        <v>0.2172</v>
      </c>
      <c r="I491" s="20">
        <f t="shared" si="22"/>
        <v>0.40360939624922337</v>
      </c>
      <c r="J491" s="20">
        <f t="shared" si="23"/>
        <v>0.14639060375077556</v>
      </c>
      <c r="K491" s="20">
        <f>ENSO!I491</f>
        <v>0.15762140028006932</v>
      </c>
      <c r="L491" s="19">
        <f>Analysis!B491</f>
        <v>1998.9583333333333</v>
      </c>
    </row>
    <row r="492" spans="1:12" ht="15" customHeight="1">
      <c r="A492" s="18" t="str">
        <f>Analysis!A492</f>
        <v>1/1999</v>
      </c>
      <c r="B492" s="19">
        <f>Analysis!E492</f>
        <v>0.47999999999999865</v>
      </c>
      <c r="C492" s="20">
        <f>Analysis!F492</f>
        <v>0.39565041545437801</v>
      </c>
      <c r="D492" s="19">
        <f>ENSO!D492</f>
        <v>-1.1200000000000001</v>
      </c>
      <c r="E492" s="34">
        <f t="shared" si="24"/>
        <v>4.1700000000000001E-3</v>
      </c>
      <c r="F492" s="19">
        <f>Solar!D492</f>
        <v>1361.69</v>
      </c>
      <c r="G492" s="32">
        <v>4.2399999999999998E-3</v>
      </c>
      <c r="H492" s="33">
        <v>0.2198</v>
      </c>
      <c r="I492" s="20">
        <f t="shared" si="22"/>
        <v>0.40571640432826511</v>
      </c>
      <c r="J492" s="20">
        <f t="shared" si="23"/>
        <v>7.4283595671733538E-2</v>
      </c>
      <c r="K492" s="20">
        <f>ENSO!I492</f>
        <v>8.501291883563511E-2</v>
      </c>
      <c r="L492" s="19">
        <f>Analysis!B492</f>
        <v>1999.0416666666667</v>
      </c>
    </row>
    <row r="493" spans="1:12" ht="15" customHeight="1">
      <c r="A493" s="18" t="str">
        <f>Analysis!A493</f>
        <v>2/1999</v>
      </c>
      <c r="B493" s="19">
        <f>Analysis!E493</f>
        <v>0.64000000000000234</v>
      </c>
      <c r="C493" s="20">
        <f>Analysis!F493</f>
        <v>0.39928830192579123</v>
      </c>
      <c r="D493" s="19">
        <f>ENSO!D493</f>
        <v>-1.31</v>
      </c>
      <c r="E493" s="34">
        <f t="shared" si="24"/>
        <v>4.1900000000000001E-3</v>
      </c>
      <c r="F493" s="19">
        <f>Solar!D493</f>
        <v>1361.41</v>
      </c>
      <c r="G493" s="32">
        <v>4.0400000000000002E-3</v>
      </c>
      <c r="H493" s="33">
        <v>0.2238</v>
      </c>
      <c r="I493" s="20">
        <f t="shared" si="22"/>
        <v>0.39796341003849872</v>
      </c>
      <c r="J493" s="20">
        <f t="shared" si="23"/>
        <v>0.24203658996150362</v>
      </c>
      <c r="K493" s="20">
        <f>ENSO!I493</f>
        <v>0.25155756258591233</v>
      </c>
      <c r="L493" s="19">
        <f>Analysis!B493</f>
        <v>1999.125</v>
      </c>
    </row>
    <row r="494" spans="1:12" ht="15" customHeight="1">
      <c r="A494" s="18" t="str">
        <f>Analysis!A494</f>
        <v>3/1999</v>
      </c>
      <c r="B494" s="19">
        <f>Analysis!E494</f>
        <v>0.32999999999999652</v>
      </c>
      <c r="C494" s="20">
        <f>Analysis!F494</f>
        <v>0.40147444051625025</v>
      </c>
      <c r="D494" s="19">
        <f>ENSO!D494</f>
        <v>-1.47</v>
      </c>
      <c r="E494" s="34">
        <f t="shared" si="24"/>
        <v>4.3899999999999998E-3</v>
      </c>
      <c r="F494" s="19">
        <f>Solar!D494</f>
        <v>1361.45</v>
      </c>
      <c r="G494" s="32">
        <v>3.8800000000000002E-3</v>
      </c>
      <c r="H494" s="33">
        <v>0.22700000000000001</v>
      </c>
      <c r="I494" s="20">
        <f t="shared" si="22"/>
        <v>0.38863866806838981</v>
      </c>
      <c r="J494" s="20">
        <f t="shared" si="23"/>
        <v>-5.8638668068393296E-2</v>
      </c>
      <c r="K494" s="20">
        <f>ENSO!I494</f>
        <v>-5.0521271280336788E-2</v>
      </c>
      <c r="L494" s="19">
        <f>Analysis!B494</f>
        <v>1999.2083333333333</v>
      </c>
    </row>
    <row r="495" spans="1:12" ht="15" customHeight="1">
      <c r="A495" s="18" t="str">
        <f>Analysis!A495</f>
        <v>4/1999</v>
      </c>
      <c r="B495" s="19">
        <f>Analysis!E495</f>
        <v>0.32000000000000028</v>
      </c>
      <c r="C495" s="20">
        <f>Analysis!F495</f>
        <v>0.40657554167160614</v>
      </c>
      <c r="D495" s="19">
        <f>ENSO!D495</f>
        <v>-1.51</v>
      </c>
      <c r="E495" s="34">
        <f t="shared" si="24"/>
        <v>4.7000000000000002E-3</v>
      </c>
      <c r="F495" s="19">
        <f>Solar!D495</f>
        <v>1361.36</v>
      </c>
      <c r="G495" s="32">
        <v>3.8500000000000001E-3</v>
      </c>
      <c r="H495" s="33">
        <v>0.22770000000000001</v>
      </c>
      <c r="I495" s="20">
        <f t="shared" si="22"/>
        <v>0.39815763355548417</v>
      </c>
      <c r="J495" s="20">
        <f t="shared" si="23"/>
        <v>-7.8157633555483885E-2</v>
      </c>
      <c r="K495" s="20">
        <f>ENSO!I495</f>
        <v>-7.1051445463883756E-2</v>
      </c>
      <c r="L495" s="19">
        <f>Analysis!B495</f>
        <v>1999.2916666666667</v>
      </c>
    </row>
    <row r="496" spans="1:12" ht="15" customHeight="1">
      <c r="A496" s="18" t="str">
        <f>Analysis!A496</f>
        <v>5/1999</v>
      </c>
      <c r="B496" s="19">
        <f>Analysis!E496</f>
        <v>0.25999999999999979</v>
      </c>
      <c r="C496" s="20">
        <f>Analysis!F496</f>
        <v>0.40645892413014484</v>
      </c>
      <c r="D496" s="19">
        <f>ENSO!D496</f>
        <v>-1.25</v>
      </c>
      <c r="E496" s="34">
        <f t="shared" si="24"/>
        <v>4.7600000000000003E-3</v>
      </c>
      <c r="F496" s="19">
        <f>Solar!D496</f>
        <v>1361.53</v>
      </c>
      <c r="G496" s="32">
        <v>4.0000000000000001E-3</v>
      </c>
      <c r="H496" s="33">
        <v>0.22459999999999999</v>
      </c>
      <c r="I496" s="20">
        <f t="shared" si="22"/>
        <v>0.42183425076356135</v>
      </c>
      <c r="J496" s="20">
        <f t="shared" si="23"/>
        <v>-0.16183425076356156</v>
      </c>
      <c r="K496" s="20">
        <f>ENSO!I496</f>
        <v>-0.15336094102206244</v>
      </c>
      <c r="L496" s="19">
        <f>Analysis!B496</f>
        <v>1999.375</v>
      </c>
    </row>
    <row r="497" spans="1:12" ht="15" customHeight="1">
      <c r="A497" s="18" t="str">
        <f>Analysis!A497</f>
        <v>6/1999</v>
      </c>
      <c r="B497" s="19">
        <f>Analysis!E497</f>
        <v>0.36000000000000121</v>
      </c>
      <c r="C497" s="20">
        <f>Analysis!F497</f>
        <v>0.40389095040272749</v>
      </c>
      <c r="D497" s="19">
        <f>ENSO!D497</f>
        <v>-0.93</v>
      </c>
      <c r="E497" s="34">
        <f t="shared" si="24"/>
        <v>4.5500000000000002E-3</v>
      </c>
      <c r="F497" s="19">
        <f>Solar!D497</f>
        <v>1361.42</v>
      </c>
      <c r="G497" s="32">
        <v>4.1999999999999997E-3</v>
      </c>
      <c r="H497" s="33">
        <v>0.22070000000000001</v>
      </c>
      <c r="I497" s="20">
        <f t="shared" si="22"/>
        <v>0.444986771710281</v>
      </c>
      <c r="J497" s="20">
        <f t="shared" si="23"/>
        <v>-8.4986771710279796E-2</v>
      </c>
      <c r="K497" s="20">
        <f>ENSO!I497</f>
        <v>-7.415932705664563E-2</v>
      </c>
      <c r="L497" s="19">
        <f>Analysis!B497</f>
        <v>1999.4583333333333</v>
      </c>
    </row>
    <row r="498" spans="1:12" ht="15" customHeight="1">
      <c r="A498" s="18" t="str">
        <f>Analysis!A498</f>
        <v>7/1999</v>
      </c>
      <c r="B498" s="19">
        <f>Analysis!E498</f>
        <v>0.38999999999999879</v>
      </c>
      <c r="C498" s="20">
        <f>Analysis!F498</f>
        <v>0.40057696301241569</v>
      </c>
      <c r="D498" s="19">
        <f>ENSO!D498</f>
        <v>-0.8</v>
      </c>
      <c r="E498" s="34">
        <f t="shared" si="24"/>
        <v>4.3699999999999998E-3</v>
      </c>
      <c r="F498" s="19">
        <f>Solar!D498</f>
        <v>1361.54</v>
      </c>
      <c r="G498" s="32">
        <v>4.1999999999999997E-3</v>
      </c>
      <c r="H498" s="33">
        <v>0.22059999999999999</v>
      </c>
      <c r="I498" s="20">
        <f t="shared" si="22"/>
        <v>0.4484075321634034</v>
      </c>
      <c r="J498" s="20">
        <f t="shared" si="23"/>
        <v>-5.8407532163404607E-2</v>
      </c>
      <c r="K498" s="20">
        <f>ENSO!I498</f>
        <v>-4.6371389360274295E-2</v>
      </c>
      <c r="L498" s="19">
        <f>Analysis!B498</f>
        <v>1999.5416666666667</v>
      </c>
    </row>
    <row r="499" spans="1:12" ht="15" customHeight="1">
      <c r="A499" s="18" t="str">
        <f>Analysis!A499</f>
        <v>8/1999</v>
      </c>
      <c r="B499" s="19">
        <f>Analysis!E499</f>
        <v>0.31000000000000227</v>
      </c>
      <c r="C499" s="20">
        <f>Analysis!F499</f>
        <v>0.39058907956946148</v>
      </c>
      <c r="D499" s="19">
        <f>ENSO!D499</f>
        <v>-0.79</v>
      </c>
      <c r="E499" s="34">
        <f t="shared" si="24"/>
        <v>4.2399999999999998E-3</v>
      </c>
      <c r="F499" s="19">
        <f>Solar!D499</f>
        <v>1361.59</v>
      </c>
      <c r="G499" s="32">
        <v>4.3200000000000001E-3</v>
      </c>
      <c r="H499" s="33">
        <v>0.21829999999999999</v>
      </c>
      <c r="I499" s="20">
        <f t="shared" si="22"/>
        <v>0.4223803163236674</v>
      </c>
      <c r="J499" s="20">
        <f t="shared" si="23"/>
        <v>-0.11238031632366513</v>
      </c>
      <c r="K499" s="20">
        <f>ENSO!I499</f>
        <v>-9.9807087340252565E-2</v>
      </c>
      <c r="L499" s="19">
        <f>Analysis!B499</f>
        <v>1999.625</v>
      </c>
    </row>
    <row r="500" spans="1:12" ht="15" customHeight="1">
      <c r="A500" s="18" t="str">
        <f>Analysis!A500</f>
        <v>9/1999</v>
      </c>
      <c r="B500" s="19">
        <f>Analysis!E500</f>
        <v>0.38999999999999879</v>
      </c>
      <c r="C500" s="20">
        <f>Analysis!F500</f>
        <v>0.38227199382725641</v>
      </c>
      <c r="D500" s="19">
        <f>ENSO!D500</f>
        <v>-0.84</v>
      </c>
      <c r="E500" s="34">
        <f t="shared" si="24"/>
        <v>4.0400000000000002E-3</v>
      </c>
      <c r="F500" s="19">
        <f>Solar!D500</f>
        <v>1361.7</v>
      </c>
      <c r="G500" s="32">
        <v>4.4000000000000003E-3</v>
      </c>
      <c r="H500" s="33">
        <v>0.2165</v>
      </c>
      <c r="I500" s="20">
        <f t="shared" si="22"/>
        <v>0.39549640109750123</v>
      </c>
      <c r="J500" s="20">
        <f t="shared" si="23"/>
        <v>-5.4964010975024347E-3</v>
      </c>
      <c r="K500" s="20">
        <f>ENSO!I500</f>
        <v>7.3901401928046506E-3</v>
      </c>
      <c r="L500" s="19">
        <f>Analysis!B500</f>
        <v>1999.7083333333333</v>
      </c>
    </row>
    <row r="501" spans="1:12" ht="15" customHeight="1">
      <c r="A501" s="18" t="str">
        <f>Analysis!A501</f>
        <v>10/1999</v>
      </c>
      <c r="B501" s="19">
        <f>Analysis!E501</f>
        <v>0.33999999999999986</v>
      </c>
      <c r="C501" s="20">
        <f>Analysis!F501</f>
        <v>0.38452352048875721</v>
      </c>
      <c r="D501" s="19">
        <f>ENSO!D501</f>
        <v>-0.9</v>
      </c>
      <c r="E501" s="34">
        <f t="shared" si="24"/>
        <v>3.8800000000000002E-3</v>
      </c>
      <c r="F501" s="19">
        <f>Solar!D501</f>
        <v>1361.23</v>
      </c>
      <c r="G501" s="32">
        <v>4.45E-3</v>
      </c>
      <c r="H501" s="33">
        <v>0.2157</v>
      </c>
      <c r="I501" s="20">
        <f t="shared" si="22"/>
        <v>0.39642162861049451</v>
      </c>
      <c r="J501" s="20">
        <f t="shared" si="23"/>
        <v>-5.6421628610494656E-2</v>
      </c>
      <c r="K501" s="20">
        <f>ENSO!I501</f>
        <v>-4.3572078363735278E-2</v>
      </c>
      <c r="L501" s="19">
        <f>Analysis!B501</f>
        <v>1999.7916666666667</v>
      </c>
    </row>
    <row r="502" spans="1:12" ht="15" customHeight="1">
      <c r="A502" s="18" t="str">
        <f>Analysis!A502</f>
        <v>11/1999</v>
      </c>
      <c r="B502" s="19">
        <f>Analysis!E502</f>
        <v>0.36999999999999744</v>
      </c>
      <c r="C502" s="20">
        <f>Analysis!F502</f>
        <v>0.38988143286110233</v>
      </c>
      <c r="D502" s="19">
        <f>ENSO!D502</f>
        <v>-0.94</v>
      </c>
      <c r="E502" s="34">
        <f t="shared" si="24"/>
        <v>3.8500000000000001E-3</v>
      </c>
      <c r="F502" s="19">
        <f>Solar!D502</f>
        <v>1361.37</v>
      </c>
      <c r="G502" s="32">
        <v>4.4400000000000004E-3</v>
      </c>
      <c r="H502" s="33">
        <v>0.21590000000000001</v>
      </c>
      <c r="I502" s="20">
        <f t="shared" si="22"/>
        <v>0.40738914742262011</v>
      </c>
      <c r="J502" s="20">
        <f t="shared" si="23"/>
        <v>-3.7389147422622671E-2</v>
      </c>
      <c r="K502" s="20">
        <f>ENSO!I502</f>
        <v>-2.480766060762124E-2</v>
      </c>
      <c r="L502" s="19">
        <f>Analysis!B502</f>
        <v>1999.875</v>
      </c>
    </row>
    <row r="503" spans="1:12" ht="15" customHeight="1">
      <c r="A503" s="18" t="str">
        <f>Analysis!A503</f>
        <v>12/1999</v>
      </c>
      <c r="B503" s="19">
        <f>Analysis!E503</f>
        <v>0.40000000000000213</v>
      </c>
      <c r="C503" s="20">
        <f>Analysis!F503</f>
        <v>0.3952978746136992</v>
      </c>
      <c r="D503" s="19">
        <f>ENSO!D503</f>
        <v>-1</v>
      </c>
      <c r="E503" s="34">
        <f t="shared" si="24"/>
        <v>4.0000000000000001E-3</v>
      </c>
      <c r="F503" s="19">
        <f>Solar!D503</f>
        <v>1361.48</v>
      </c>
      <c r="G503" s="32">
        <v>4.2500000000000003E-3</v>
      </c>
      <c r="H503" s="33">
        <v>0.21959999999999999</v>
      </c>
      <c r="I503" s="20">
        <f t="shared" si="22"/>
        <v>0.41626433706482141</v>
      </c>
      <c r="J503" s="20">
        <f t="shared" si="23"/>
        <v>-1.6264337064819279E-2</v>
      </c>
      <c r="K503" s="20">
        <f>ENSO!I503</f>
        <v>-4.4632557296430675E-3</v>
      </c>
      <c r="L503" s="19">
        <f>Analysis!B503</f>
        <v>1999.9583333333333</v>
      </c>
    </row>
    <row r="504" spans="1:12" ht="15" customHeight="1">
      <c r="A504" s="18" t="str">
        <f>Analysis!A504</f>
        <v>1/2000</v>
      </c>
      <c r="B504" s="19">
        <f>Analysis!E504</f>
        <v>0.25000000000000355</v>
      </c>
      <c r="C504" s="20">
        <f>Analysis!F504</f>
        <v>0.39995230138778842</v>
      </c>
      <c r="D504" s="19">
        <f>ENSO!D504</f>
        <v>-1.1299999999999999</v>
      </c>
      <c r="E504" s="34">
        <f t="shared" si="24"/>
        <v>4.1999999999999997E-3</v>
      </c>
      <c r="F504" s="19">
        <f>Solar!D504</f>
        <v>1361.77</v>
      </c>
      <c r="G504" s="32">
        <v>4.1799999999999997E-3</v>
      </c>
      <c r="H504" s="33">
        <v>0.221</v>
      </c>
      <c r="I504" s="20">
        <f t="shared" si="22"/>
        <v>0.41645551863245051</v>
      </c>
      <c r="J504" s="20">
        <f t="shared" si="23"/>
        <v>-0.16645551863244695</v>
      </c>
      <c r="K504" s="20">
        <f>ENSO!I504</f>
        <v>-0.15593310715544467</v>
      </c>
      <c r="L504" s="19">
        <f>Analysis!B504</f>
        <v>2000.0416666666667</v>
      </c>
    </row>
    <row r="505" spans="1:12" ht="15" customHeight="1">
      <c r="A505" s="18" t="str">
        <f>Analysis!A505</f>
        <v>2/2000</v>
      </c>
      <c r="B505" s="19">
        <f>Analysis!E505</f>
        <v>0.55999999999999872</v>
      </c>
      <c r="C505" s="20">
        <f>Analysis!F505</f>
        <v>0.40096723922560795</v>
      </c>
      <c r="D505" s="19">
        <f>ENSO!D505</f>
        <v>-1.35</v>
      </c>
      <c r="E505" s="34">
        <f t="shared" si="24"/>
        <v>4.1999999999999997E-3</v>
      </c>
      <c r="F505" s="19">
        <f>Solar!D505</f>
        <v>1361.6</v>
      </c>
      <c r="G505" s="32">
        <v>4.0600000000000002E-3</v>
      </c>
      <c r="H505" s="33">
        <v>0.2235</v>
      </c>
      <c r="I505" s="20">
        <f t="shared" si="22"/>
        <v>0.39880878293614808</v>
      </c>
      <c r="J505" s="20">
        <f t="shared" si="23"/>
        <v>0.16119121706385064</v>
      </c>
      <c r="K505" s="20">
        <f>ENSO!I505</f>
        <v>0.1704273748818349</v>
      </c>
      <c r="L505" s="19">
        <f>Analysis!B505</f>
        <v>2000.125</v>
      </c>
    </row>
    <row r="506" spans="1:12" ht="15" customHeight="1">
      <c r="A506" s="18" t="str">
        <f>Analysis!A506</f>
        <v>3/2000</v>
      </c>
      <c r="B506" s="19">
        <f>Analysis!E506</f>
        <v>0.54999999999999893</v>
      </c>
      <c r="C506" s="20">
        <f>Analysis!F506</f>
        <v>0.40501986550966412</v>
      </c>
      <c r="D506" s="19">
        <f>ENSO!D506</f>
        <v>-1.53</v>
      </c>
      <c r="E506" s="34">
        <f t="shared" si="24"/>
        <v>4.3200000000000001E-3</v>
      </c>
      <c r="F506" s="19">
        <f>Solar!D506</f>
        <v>1361.39</v>
      </c>
      <c r="G506" s="32">
        <v>3.96E-3</v>
      </c>
      <c r="H506" s="33">
        <v>0.22539999999999999</v>
      </c>
      <c r="I506" s="20">
        <f t="shared" si="22"/>
        <v>0.39289487567518572</v>
      </c>
      <c r="J506" s="20">
        <f t="shared" si="23"/>
        <v>0.15710512432481322</v>
      </c>
      <c r="K506" s="20">
        <f>ENSO!I506</f>
        <v>0.16496243521545256</v>
      </c>
      <c r="L506" s="19">
        <f>Analysis!B506</f>
        <v>2000.2083333333333</v>
      </c>
    </row>
    <row r="507" spans="1:12" ht="15" customHeight="1">
      <c r="A507" s="18" t="str">
        <f>Analysis!A507</f>
        <v>4/2000</v>
      </c>
      <c r="B507" s="19">
        <f>Analysis!E507</f>
        <v>0.55999999999999872</v>
      </c>
      <c r="C507" s="20">
        <f>Analysis!F507</f>
        <v>0.40979822782841963</v>
      </c>
      <c r="D507" s="19">
        <f>ENSO!D507</f>
        <v>-1.47</v>
      </c>
      <c r="E507" s="34">
        <f t="shared" si="24"/>
        <v>4.4000000000000003E-3</v>
      </c>
      <c r="F507" s="19">
        <f>Solar!D507</f>
        <v>1361.63</v>
      </c>
      <c r="G507" s="32">
        <v>4.0699999999999998E-3</v>
      </c>
      <c r="H507" s="33">
        <v>0.22309999999999999</v>
      </c>
      <c r="I507" s="20">
        <f t="shared" si="22"/>
        <v>0.41131917748007002</v>
      </c>
      <c r="J507" s="20">
        <f t="shared" si="23"/>
        <v>0.1486808225199287</v>
      </c>
      <c r="K507" s="20">
        <f>ENSO!I507</f>
        <v>0.15661498183455158</v>
      </c>
      <c r="L507" s="19">
        <f>Analysis!B507</f>
        <v>2000.2916666666667</v>
      </c>
    </row>
    <row r="508" spans="1:12" ht="15" customHeight="1">
      <c r="A508" s="18" t="str">
        <f>Analysis!A508</f>
        <v>5/2000</v>
      </c>
      <c r="B508" s="19">
        <f>Analysis!E508</f>
        <v>0.34999999999999787</v>
      </c>
      <c r="C508" s="20">
        <f>Analysis!F508</f>
        <v>0.40890591510745228</v>
      </c>
      <c r="D508" s="19">
        <f>ENSO!D508</f>
        <v>-1.26</v>
      </c>
      <c r="E508" s="34">
        <f t="shared" si="24"/>
        <v>4.45E-3</v>
      </c>
      <c r="F508" s="19">
        <f>Solar!D508</f>
        <v>1361.28</v>
      </c>
      <c r="G508" s="32">
        <v>4.0499999999999998E-3</v>
      </c>
      <c r="H508" s="33">
        <v>0.22359999999999999</v>
      </c>
      <c r="I508" s="20">
        <f t="shared" si="22"/>
        <v>0.42826239632549029</v>
      </c>
      <c r="J508" s="20">
        <f t="shared" si="23"/>
        <v>-7.8262396325492423E-2</v>
      </c>
      <c r="K508" s="20">
        <f>ENSO!I508</f>
        <v>-6.9211948701855763E-2</v>
      </c>
      <c r="L508" s="19">
        <f>Analysis!B508</f>
        <v>2000.375</v>
      </c>
    </row>
    <row r="509" spans="1:12" ht="15" customHeight="1">
      <c r="A509" s="18" t="str">
        <f>Analysis!A509</f>
        <v>6/2000</v>
      </c>
      <c r="B509" s="19">
        <f>Analysis!E509</f>
        <v>0.40000000000000213</v>
      </c>
      <c r="C509" s="20">
        <f>Analysis!F509</f>
        <v>0.40937153842691504</v>
      </c>
      <c r="D509" s="19">
        <f>ENSO!D509</f>
        <v>-0.98</v>
      </c>
      <c r="E509" s="34">
        <f t="shared" si="24"/>
        <v>4.4400000000000004E-3</v>
      </c>
      <c r="F509" s="19">
        <f>Solar!D509</f>
        <v>1361.39</v>
      </c>
      <c r="G509" s="32">
        <v>4.0400000000000002E-3</v>
      </c>
      <c r="H509" s="33">
        <v>0.2238</v>
      </c>
      <c r="I509" s="20">
        <f t="shared" si="22"/>
        <v>0.45553695729467869</v>
      </c>
      <c r="J509" s="20">
        <f t="shared" si="23"/>
        <v>-5.5536957294676559E-2</v>
      </c>
      <c r="K509" s="20">
        <f>ENSO!I509</f>
        <v>-4.4861496608966767E-2</v>
      </c>
      <c r="L509" s="19">
        <f>Analysis!B509</f>
        <v>2000.4583333333333</v>
      </c>
    </row>
    <row r="510" spans="1:12" ht="15" customHeight="1">
      <c r="A510" s="18" t="str">
        <f>Analysis!A510</f>
        <v>7/2000</v>
      </c>
      <c r="B510" s="19">
        <f>Analysis!E510</f>
        <v>0.38999999999999879</v>
      </c>
      <c r="C510" s="20">
        <f>Analysis!F510</f>
        <v>0.40217642497948264</v>
      </c>
      <c r="D510" s="19">
        <f>ENSO!D510</f>
        <v>-0.81</v>
      </c>
      <c r="E510" s="34">
        <f t="shared" si="24"/>
        <v>4.2500000000000003E-3</v>
      </c>
      <c r="F510" s="19">
        <f>Solar!D510</f>
        <v>1361.51</v>
      </c>
      <c r="G510" s="32">
        <v>4.0299999999999997E-3</v>
      </c>
      <c r="H510" s="33">
        <v>0.22409999999999999</v>
      </c>
      <c r="I510" s="20">
        <f t="shared" si="22"/>
        <v>0.45210603824100282</v>
      </c>
      <c r="J510" s="20">
        <f t="shared" si="23"/>
        <v>-6.2106038241004025E-2</v>
      </c>
      <c r="K510" s="20">
        <f>ENSO!I510</f>
        <v>-4.9894407623565284E-2</v>
      </c>
      <c r="L510" s="19">
        <f>Analysis!B510</f>
        <v>2000.5416666666667</v>
      </c>
    </row>
    <row r="511" spans="1:12" ht="15" customHeight="1">
      <c r="A511" s="18" t="str">
        <f>Analysis!A511</f>
        <v>8/2000</v>
      </c>
      <c r="B511" s="19">
        <f>Analysis!E511</f>
        <v>0.42000000000000348</v>
      </c>
      <c r="C511" s="20">
        <f>Analysis!F511</f>
        <v>0.39533705007270242</v>
      </c>
      <c r="D511" s="19">
        <f>ENSO!D511</f>
        <v>-0.67</v>
      </c>
      <c r="E511" s="34">
        <f t="shared" si="24"/>
        <v>4.1799999999999997E-3</v>
      </c>
      <c r="F511" s="19">
        <f>Solar!D511</f>
        <v>1362.02</v>
      </c>
      <c r="G511" s="32">
        <v>4.1399999999999996E-3</v>
      </c>
      <c r="H511" s="33">
        <v>0.22170000000000001</v>
      </c>
      <c r="I511" s="20">
        <f t="shared" si="22"/>
        <v>0.44659747695279717</v>
      </c>
      <c r="J511" s="20">
        <f t="shared" si="23"/>
        <v>-2.6597476952793686E-2</v>
      </c>
      <c r="K511" s="20">
        <f>ENSO!I511</f>
        <v>-1.3293326792887694E-2</v>
      </c>
      <c r="L511" s="19">
        <f>Analysis!B511</f>
        <v>2000.625</v>
      </c>
    </row>
    <row r="512" spans="1:12" ht="15" customHeight="1">
      <c r="A512" s="18" t="str">
        <f>Analysis!A512</f>
        <v>9/2000</v>
      </c>
      <c r="B512" s="19">
        <f>Analysis!E512</f>
        <v>0.38999999999999879</v>
      </c>
      <c r="C512" s="20">
        <f>Analysis!F512</f>
        <v>0.39094277280254291</v>
      </c>
      <c r="D512" s="19">
        <f>ENSO!D512</f>
        <v>-0.62</v>
      </c>
      <c r="E512" s="34">
        <f t="shared" si="24"/>
        <v>4.0600000000000002E-3</v>
      </c>
      <c r="F512" s="19">
        <f>Solar!D512</f>
        <v>1361.41</v>
      </c>
      <c r="G512" s="32">
        <v>4.2100000000000002E-3</v>
      </c>
      <c r="H512" s="33">
        <v>0.2203</v>
      </c>
      <c r="I512" s="20">
        <f t="shared" si="22"/>
        <v>0.43951620445045436</v>
      </c>
      <c r="J512" s="20">
        <f t="shared" si="23"/>
        <v>-4.951620445045557E-2</v>
      </c>
      <c r="K512" s="20">
        <f>ENSO!I512</f>
        <v>-3.5575031429950776E-2</v>
      </c>
      <c r="L512" s="19">
        <f>Analysis!B512</f>
        <v>2000.7083333333333</v>
      </c>
    </row>
    <row r="513" spans="1:12" ht="15" customHeight="1">
      <c r="A513" s="18" t="str">
        <f>Analysis!A513</f>
        <v>10/2000</v>
      </c>
      <c r="B513" s="19">
        <f>Analysis!E513</f>
        <v>0.27000000000000135</v>
      </c>
      <c r="C513" s="20">
        <f>Analysis!F513</f>
        <v>0.39106065128020484</v>
      </c>
      <c r="D513" s="19">
        <f>ENSO!D513</f>
        <v>-0.48</v>
      </c>
      <c r="E513" s="34">
        <f t="shared" si="24"/>
        <v>3.96E-3</v>
      </c>
      <c r="F513" s="19">
        <f>Solar!D513</f>
        <v>1362.03</v>
      </c>
      <c r="G513" s="32">
        <v>4.3099999999999996E-3</v>
      </c>
      <c r="H513" s="33">
        <v>0.21829999999999999</v>
      </c>
      <c r="I513" s="20">
        <f t="shared" si="22"/>
        <v>0.45304904666371654</v>
      </c>
      <c r="J513" s="20">
        <f t="shared" si="23"/>
        <v>-0.18304904666371519</v>
      </c>
      <c r="K513" s="20">
        <f>ENSO!I513</f>
        <v>-0.16808410736228224</v>
      </c>
      <c r="L513" s="19">
        <f>Analysis!B513</f>
        <v>2000.7916666666667</v>
      </c>
    </row>
    <row r="514" spans="1:12" ht="15" customHeight="1">
      <c r="A514" s="18" t="str">
        <f>Analysis!A514</f>
        <v>11/2000</v>
      </c>
      <c r="B514" s="19">
        <f>Analysis!E514</f>
        <v>0.30000000000000249</v>
      </c>
      <c r="C514" s="20">
        <f>Analysis!F514</f>
        <v>0.39635523879745971</v>
      </c>
      <c r="D514" s="19">
        <f>ENSO!D514</f>
        <v>-0.4</v>
      </c>
      <c r="E514" s="34">
        <f t="shared" si="24"/>
        <v>4.0699999999999998E-3</v>
      </c>
      <c r="F514" s="19">
        <f>Solar!D514</f>
        <v>1361.89</v>
      </c>
      <c r="G514" s="32">
        <v>4.4200000000000003E-3</v>
      </c>
      <c r="H514" s="33">
        <v>0.2162</v>
      </c>
      <c r="I514" s="20">
        <f t="shared" ref="I514:I577" si="25">IF(OR(D514="",E514=""),"",$N$14+$N$15*C514+$N$16*D514+$N$17*E514)</f>
        <v>0.47467120417837005</v>
      </c>
      <c r="J514" s="20">
        <f t="shared" ref="J514:J577" si="26">IF(I514="","",B514-I514)</f>
        <v>-0.17467120417836757</v>
      </c>
      <c r="K514" s="20">
        <f>ENSO!I514</f>
        <v>-0.15959028152518584</v>
      </c>
      <c r="L514" s="19">
        <f>Analysis!B514</f>
        <v>2000.875</v>
      </c>
    </row>
    <row r="515" spans="1:12" ht="15" customHeight="1">
      <c r="A515" s="18" t="str">
        <f>Analysis!A515</f>
        <v>12/2000</v>
      </c>
      <c r="B515" s="19">
        <f>Analysis!E515</f>
        <v>0.28000000000000114</v>
      </c>
      <c r="C515" s="20">
        <f>Analysis!F515</f>
        <v>0.40143543136241211</v>
      </c>
      <c r="D515" s="19">
        <f>ENSO!D515</f>
        <v>-0.42</v>
      </c>
      <c r="E515" s="34">
        <f t="shared" si="24"/>
        <v>4.0499999999999998E-3</v>
      </c>
      <c r="F515" s="19">
        <f>Solar!D515</f>
        <v>1361.99</v>
      </c>
      <c r="G515" s="32">
        <v>4.3800000000000002E-3</v>
      </c>
      <c r="H515" s="33">
        <v>0.217</v>
      </c>
      <c r="I515" s="20">
        <f t="shared" si="25"/>
        <v>0.48671515958899109</v>
      </c>
      <c r="J515" s="20">
        <f t="shared" si="26"/>
        <v>-0.20671515958898995</v>
      </c>
      <c r="K515" s="20">
        <f>ENSO!I515</f>
        <v>-0.19180377947105076</v>
      </c>
      <c r="L515" s="19">
        <f>Analysis!B515</f>
        <v>2000.9583333333333</v>
      </c>
    </row>
    <row r="516" spans="1:12" ht="15" customHeight="1">
      <c r="A516" s="18" t="str">
        <f>Analysis!A516</f>
        <v>1/2001</v>
      </c>
      <c r="B516" s="19">
        <f>Analysis!E516</f>
        <v>0.44999999999999751</v>
      </c>
      <c r="C516" s="20">
        <f>Analysis!F516</f>
        <v>0.40505877786528899</v>
      </c>
      <c r="D516" s="19">
        <f>ENSO!D516</f>
        <v>-0.54</v>
      </c>
      <c r="E516" s="34">
        <f t="shared" si="24"/>
        <v>4.0400000000000002E-3</v>
      </c>
      <c r="F516" s="19">
        <f>Solar!D516</f>
        <v>1361.81</v>
      </c>
      <c r="G516" s="32">
        <v>4.3099999999999996E-3</v>
      </c>
      <c r="H516" s="33">
        <v>0.21829999999999999</v>
      </c>
      <c r="I516" s="20">
        <f t="shared" si="25"/>
        <v>0.48548417026901308</v>
      </c>
      <c r="J516" s="20">
        <f t="shared" si="26"/>
        <v>-3.5484170269015569E-2</v>
      </c>
      <c r="K516" s="20">
        <f>ENSO!I516</f>
        <v>-2.1311841283552624E-2</v>
      </c>
      <c r="L516" s="19">
        <f>Analysis!B516</f>
        <v>2001.0416666666667</v>
      </c>
    </row>
    <row r="517" spans="1:12" ht="15" customHeight="1">
      <c r="A517" s="18" t="str">
        <f>Analysis!A517</f>
        <v>2/2001</v>
      </c>
      <c r="B517" s="19">
        <f>Analysis!E517</f>
        <v>0.44000000000000483</v>
      </c>
      <c r="C517" s="20">
        <f>Analysis!F517</f>
        <v>0.40867304708140773</v>
      </c>
      <c r="D517" s="19">
        <f>ENSO!D517</f>
        <v>-0.76</v>
      </c>
      <c r="E517" s="34">
        <f t="shared" si="24"/>
        <v>4.0299999999999997E-3</v>
      </c>
      <c r="F517" s="19">
        <f>Solar!D517</f>
        <v>1361.84</v>
      </c>
      <c r="G517" s="32">
        <v>4.1900000000000001E-3</v>
      </c>
      <c r="H517" s="33">
        <v>0.22090000000000001</v>
      </c>
      <c r="I517" s="20">
        <f t="shared" si="25"/>
        <v>0.47494892176689973</v>
      </c>
      <c r="J517" s="20">
        <f t="shared" si="26"/>
        <v>-3.4948921766894903E-2</v>
      </c>
      <c r="K517" s="20">
        <f>ENSO!I517</f>
        <v>-2.2091192650831371E-2</v>
      </c>
      <c r="L517" s="19">
        <f>Analysis!B517</f>
        <v>2001.125</v>
      </c>
    </row>
    <row r="518" spans="1:12" ht="15" customHeight="1">
      <c r="A518" s="18" t="str">
        <f>Analysis!A518</f>
        <v>3/2001</v>
      </c>
      <c r="B518" s="19">
        <f>Analysis!E518</f>
        <v>0.54999999999999893</v>
      </c>
      <c r="C518" s="20">
        <f>Analysis!F518</f>
        <v>0.4123170014542763</v>
      </c>
      <c r="D518" s="19">
        <f>ENSO!D518</f>
        <v>-0.78</v>
      </c>
      <c r="E518" s="34">
        <f t="shared" si="24"/>
        <v>4.1399999999999996E-3</v>
      </c>
      <c r="F518" s="19">
        <f>Solar!D518</f>
        <v>1361.37</v>
      </c>
      <c r="G518" s="32">
        <v>4.1999999999999997E-3</v>
      </c>
      <c r="H518" s="33">
        <v>0.22059999999999999</v>
      </c>
      <c r="I518" s="20">
        <f t="shared" si="25"/>
        <v>0.48278959816998152</v>
      </c>
      <c r="J518" s="20">
        <f t="shared" si="26"/>
        <v>6.7210401830017419E-2</v>
      </c>
      <c r="K518" s="20">
        <f>ENSO!I518</f>
        <v>7.9640362929898456E-2</v>
      </c>
      <c r="L518" s="19">
        <f>Analysis!B518</f>
        <v>2001.2083333333333</v>
      </c>
    </row>
    <row r="519" spans="1:12" ht="15" customHeight="1">
      <c r="A519" s="18" t="str">
        <f>Analysis!A519</f>
        <v>4/2001</v>
      </c>
      <c r="B519" s="19">
        <f>Analysis!E519</f>
        <v>0.5</v>
      </c>
      <c r="C519" s="20">
        <f>Analysis!F519</f>
        <v>0.41587453478450814</v>
      </c>
      <c r="D519" s="19">
        <f>ENSO!D519</f>
        <v>-0.76</v>
      </c>
      <c r="E519" s="34">
        <f t="shared" si="24"/>
        <v>4.2100000000000002E-3</v>
      </c>
      <c r="F519" s="19">
        <f>Solar!D519</f>
        <v>1361.33</v>
      </c>
      <c r="G519" s="32">
        <v>4.0699999999999998E-3</v>
      </c>
      <c r="H519" s="33">
        <v>0.2233</v>
      </c>
      <c r="I519" s="20">
        <f t="shared" si="25"/>
        <v>0.49419438229699647</v>
      </c>
      <c r="J519" s="20">
        <f t="shared" si="26"/>
        <v>5.8056177030035294E-3</v>
      </c>
      <c r="K519" s="20">
        <f>ENSO!I519</f>
        <v>1.8127788701651548E-2</v>
      </c>
      <c r="L519" s="19">
        <f>Analysis!B519</f>
        <v>2001.2916666666667</v>
      </c>
    </row>
    <row r="520" spans="1:12" ht="15" customHeight="1">
      <c r="A520" s="18" t="str">
        <f>Analysis!A520</f>
        <v>5/2001</v>
      </c>
      <c r="B520" s="19">
        <f>Analysis!E520</f>
        <v>0.57000000000000028</v>
      </c>
      <c r="C520" s="20">
        <f>Analysis!F520</f>
        <v>0.41772716250271424</v>
      </c>
      <c r="D520" s="19">
        <f>ENSO!D520</f>
        <v>-0.54</v>
      </c>
      <c r="E520" s="34">
        <f t="shared" si="24"/>
        <v>4.3099999999999996E-3</v>
      </c>
      <c r="F520" s="19">
        <f>Solar!D520</f>
        <v>1361.59</v>
      </c>
      <c r="G520" s="32">
        <v>4.0899999999999999E-3</v>
      </c>
      <c r="H520" s="33">
        <v>0.2228</v>
      </c>
      <c r="I520" s="20">
        <f t="shared" si="25"/>
        <v>0.51944215527801807</v>
      </c>
      <c r="J520" s="20">
        <f t="shared" si="26"/>
        <v>5.0557844721982215E-2</v>
      </c>
      <c r="K520" s="20">
        <f>ENSO!I520</f>
        <v>6.3890688654968275E-2</v>
      </c>
      <c r="L520" s="19">
        <f>Analysis!B520</f>
        <v>2001.375</v>
      </c>
    </row>
    <row r="521" spans="1:12" ht="15" customHeight="1">
      <c r="A521" s="18" t="str">
        <f>Analysis!A521</f>
        <v>6/2001</v>
      </c>
      <c r="B521" s="19">
        <f>Analysis!E521</f>
        <v>0.52999999999999758</v>
      </c>
      <c r="C521" s="20">
        <f>Analysis!F521</f>
        <v>0.41529510039387307</v>
      </c>
      <c r="D521" s="19">
        <f>ENSO!D521</f>
        <v>-0.43</v>
      </c>
      <c r="E521" s="34">
        <f t="shared" ref="E521:E584" si="27">IF(G514="","",G514)</f>
        <v>4.4200000000000003E-3</v>
      </c>
      <c r="F521" s="19">
        <f>Solar!D521</f>
        <v>1361.49</v>
      </c>
      <c r="G521" s="32">
        <v>4.3200000000000001E-3</v>
      </c>
      <c r="H521" s="33">
        <v>0.21820000000000001</v>
      </c>
      <c r="I521" s="20">
        <f t="shared" si="25"/>
        <v>0.52277429910394302</v>
      </c>
      <c r="J521" s="20">
        <f t="shared" si="26"/>
        <v>7.2257008960545654E-3</v>
      </c>
      <c r="K521" s="20">
        <f>ENSO!I521</f>
        <v>2.099691278747795E-2</v>
      </c>
      <c r="L521" s="19">
        <f>Analysis!B521</f>
        <v>2001.4583333333333</v>
      </c>
    </row>
    <row r="522" spans="1:12" ht="15" customHeight="1">
      <c r="A522" s="18" t="str">
        <f>Analysis!A522</f>
        <v>7/2001</v>
      </c>
      <c r="B522" s="19">
        <f>Analysis!E522</f>
        <v>0.58999999999999986</v>
      </c>
      <c r="C522" s="20">
        <f>Analysis!F522</f>
        <v>0.40863423208911642</v>
      </c>
      <c r="D522" s="19">
        <f>ENSO!D522</f>
        <v>-0.28999999999999998</v>
      </c>
      <c r="E522" s="34">
        <f t="shared" si="27"/>
        <v>4.3800000000000002E-3</v>
      </c>
      <c r="F522" s="19">
        <f>Solar!D522</f>
        <v>1361.72</v>
      </c>
      <c r="G522" s="32">
        <v>4.7099999999999998E-3</v>
      </c>
      <c r="H522" s="33">
        <v>0.21029999999999999</v>
      </c>
      <c r="I522" s="20">
        <f t="shared" si="25"/>
        <v>0.51768659077428436</v>
      </c>
      <c r="J522" s="20">
        <f t="shared" si="26"/>
        <v>7.2313409225715497E-2</v>
      </c>
      <c r="K522" s="20">
        <f>ENSO!I522</f>
        <v>8.7107672372195633E-2</v>
      </c>
      <c r="L522" s="19">
        <f>Analysis!B522</f>
        <v>2001.5416666666667</v>
      </c>
    </row>
    <row r="523" spans="1:12" ht="15" customHeight="1">
      <c r="A523" s="18" t="str">
        <f>Analysis!A523</f>
        <v>8/2001</v>
      </c>
      <c r="B523" s="19">
        <f>Analysis!E523</f>
        <v>0.47999999999999865</v>
      </c>
      <c r="C523" s="20">
        <f>Analysis!F523</f>
        <v>0.40124036977007455</v>
      </c>
      <c r="D523" s="19">
        <f>ENSO!D523</f>
        <v>-0.19</v>
      </c>
      <c r="E523" s="34">
        <f t="shared" si="27"/>
        <v>4.3099999999999996E-3</v>
      </c>
      <c r="F523" s="19">
        <f>Solar!D523</f>
        <v>1361.42</v>
      </c>
      <c r="G523" s="32">
        <v>4.9100000000000003E-3</v>
      </c>
      <c r="H523" s="33">
        <v>0.2064</v>
      </c>
      <c r="I523" s="20">
        <f t="shared" si="25"/>
        <v>0.50695390554565911</v>
      </c>
      <c r="J523" s="20">
        <f t="shared" si="26"/>
        <v>-2.6953905545660461E-2</v>
      </c>
      <c r="K523" s="20">
        <f>ENSO!I523</f>
        <v>-1.1286672116148422E-2</v>
      </c>
      <c r="L523" s="19">
        <f>Analysis!B523</f>
        <v>2001.625</v>
      </c>
    </row>
    <row r="524" spans="1:12" ht="15" customHeight="1">
      <c r="A524" s="18" t="str">
        <f>Analysis!A524</f>
        <v>9/2001</v>
      </c>
      <c r="B524" s="19">
        <f>Analysis!E524</f>
        <v>0.5199999999999978</v>
      </c>
      <c r="C524" s="20">
        <f>Analysis!F524</f>
        <v>0.39561124850380214</v>
      </c>
      <c r="D524" s="19">
        <f>ENSO!D524</f>
        <v>-0.08</v>
      </c>
      <c r="E524" s="34">
        <f t="shared" si="27"/>
        <v>4.1900000000000001E-3</v>
      </c>
      <c r="F524" s="19">
        <f>Solar!D524</f>
        <v>1361.16</v>
      </c>
      <c r="G524" s="32">
        <v>4.6800000000000001E-3</v>
      </c>
      <c r="H524" s="33">
        <v>0.21110000000000001</v>
      </c>
      <c r="I524" s="20">
        <f t="shared" si="25"/>
        <v>0.50207238850383606</v>
      </c>
      <c r="J524" s="20">
        <f t="shared" si="26"/>
        <v>1.7927611496161733E-2</v>
      </c>
      <c r="K524" s="20">
        <f>ENSO!I524</f>
        <v>3.4601221779281544E-2</v>
      </c>
      <c r="L524" s="19">
        <f>Analysis!B524</f>
        <v>2001.7083333333333</v>
      </c>
    </row>
    <row r="525" spans="1:12" ht="15" customHeight="1">
      <c r="A525" s="18" t="str">
        <f>Analysis!A525</f>
        <v>10/2001</v>
      </c>
      <c r="B525" s="19">
        <f>Analysis!E525</f>
        <v>0.5</v>
      </c>
      <c r="C525" s="20">
        <f>Analysis!F525</f>
        <v>0.39666838312207731</v>
      </c>
      <c r="D525" s="19">
        <f>ENSO!D525</f>
        <v>-0.05</v>
      </c>
      <c r="E525" s="34">
        <f t="shared" si="27"/>
        <v>4.1999999999999997E-3</v>
      </c>
      <c r="F525" s="19">
        <f>Solar!D525</f>
        <v>1361.78</v>
      </c>
      <c r="G525" s="32">
        <v>4.7400000000000003E-3</v>
      </c>
      <c r="H525" s="33">
        <v>0.20979999999999999</v>
      </c>
      <c r="I525" s="20">
        <f t="shared" si="25"/>
        <v>0.50771749176436076</v>
      </c>
      <c r="J525" s="20">
        <f t="shared" si="26"/>
        <v>-7.7174917643607621E-3</v>
      </c>
      <c r="K525" s="20">
        <f>ENSO!I525</f>
        <v>9.0863553903737793E-3</v>
      </c>
      <c r="L525" s="19">
        <f>Analysis!B525</f>
        <v>2001.7916666666667</v>
      </c>
    </row>
    <row r="526" spans="1:12" ht="15" customHeight="1">
      <c r="A526" s="18" t="str">
        <f>Analysis!A526</f>
        <v>11/2001</v>
      </c>
      <c r="B526" s="19">
        <f>Analysis!E526</f>
        <v>0.72000000000000242</v>
      </c>
      <c r="C526" s="20">
        <f>Analysis!F526</f>
        <v>0.40186447405316023</v>
      </c>
      <c r="D526" s="19">
        <f>ENSO!D526</f>
        <v>-0.13</v>
      </c>
      <c r="E526" s="34">
        <f t="shared" si="27"/>
        <v>4.0699999999999998E-3</v>
      </c>
      <c r="F526" s="19">
        <f>Solar!D526</f>
        <v>1361.43</v>
      </c>
      <c r="G526" s="32">
        <v>4.4799999999999996E-3</v>
      </c>
      <c r="H526" s="33">
        <v>0.215</v>
      </c>
      <c r="I526" s="20">
        <f t="shared" si="25"/>
        <v>0.5147518891927011</v>
      </c>
      <c r="J526" s="20">
        <f t="shared" si="26"/>
        <v>0.20524811080730132</v>
      </c>
      <c r="K526" s="20">
        <f>ENSO!I526</f>
        <v>0.22177677445280564</v>
      </c>
      <c r="L526" s="19">
        <f>Analysis!B526</f>
        <v>2001.875</v>
      </c>
    </row>
    <row r="527" spans="1:12" ht="15" customHeight="1">
      <c r="A527" s="18" t="str">
        <f>Analysis!A527</f>
        <v>12/2001</v>
      </c>
      <c r="B527" s="19">
        <f>Analysis!E527</f>
        <v>0.54999999999999893</v>
      </c>
      <c r="C527" s="20">
        <f>Analysis!F527</f>
        <v>0.40762467556660881</v>
      </c>
      <c r="D527" s="19">
        <f>ENSO!D527</f>
        <v>-0.15</v>
      </c>
      <c r="E527" s="34">
        <f t="shared" si="27"/>
        <v>4.0899999999999999E-3</v>
      </c>
      <c r="F527" s="19">
        <f>Solar!D527</f>
        <v>1361.89</v>
      </c>
      <c r="G527" s="32">
        <v>4.3200000000000001E-3</v>
      </c>
      <c r="H527" s="33">
        <v>0.21829999999999999</v>
      </c>
      <c r="I527" s="20">
        <f t="shared" si="25"/>
        <v>0.52856250451796472</v>
      </c>
      <c r="J527" s="20">
        <f t="shared" si="26"/>
        <v>2.1437495482034219E-2</v>
      </c>
      <c r="K527" s="20">
        <f>ENSO!I527</f>
        <v>3.7695430549930742E-2</v>
      </c>
      <c r="L527" s="19">
        <f>Analysis!B527</f>
        <v>2001.9583333333333</v>
      </c>
    </row>
    <row r="528" spans="1:12" ht="15" customHeight="1">
      <c r="A528" s="18" t="str">
        <f>Analysis!A528</f>
        <v>1/2002</v>
      </c>
      <c r="B528" s="19">
        <f>Analysis!E528</f>
        <v>0.77000000000000135</v>
      </c>
      <c r="C528" s="20">
        <f>Analysis!F528</f>
        <v>0.4125879918965209</v>
      </c>
      <c r="D528" s="19">
        <f>ENSO!D528</f>
        <v>-0.26</v>
      </c>
      <c r="E528" s="34">
        <f t="shared" si="27"/>
        <v>4.3200000000000001E-3</v>
      </c>
      <c r="F528" s="19">
        <f>Solar!D528</f>
        <v>1362.43</v>
      </c>
      <c r="G528" s="32">
        <v>4.2100000000000002E-3</v>
      </c>
      <c r="H528" s="33">
        <v>0.22040000000000001</v>
      </c>
      <c r="I528" s="20">
        <f t="shared" si="25"/>
        <v>0.53138604919769628</v>
      </c>
      <c r="J528" s="20">
        <f t="shared" si="26"/>
        <v>0.23861395080230507</v>
      </c>
      <c r="K528" s="20">
        <f>ENSO!I528</f>
        <v>0.25363636708575876</v>
      </c>
      <c r="L528" s="19">
        <f>Analysis!B528</f>
        <v>2002.0416666666667</v>
      </c>
    </row>
    <row r="529" spans="1:12" ht="15" customHeight="1">
      <c r="A529" s="18" t="str">
        <f>Analysis!A529</f>
        <v>2/2002</v>
      </c>
      <c r="B529" s="19">
        <f>Analysis!E529</f>
        <v>0.77999999999999758</v>
      </c>
      <c r="C529" s="20">
        <f>Analysis!F529</f>
        <v>0.41517918558409256</v>
      </c>
      <c r="D529" s="19">
        <f>ENSO!D529</f>
        <v>-0.33</v>
      </c>
      <c r="E529" s="34">
        <f t="shared" si="27"/>
        <v>4.7099999999999998E-3</v>
      </c>
      <c r="F529" s="19">
        <f>Solar!D529</f>
        <v>1362.26</v>
      </c>
      <c r="G529" s="32">
        <v>4.0699999999999998E-3</v>
      </c>
      <c r="H529" s="33">
        <v>0.22309999999999999</v>
      </c>
      <c r="I529" s="20">
        <f t="shared" si="25"/>
        <v>0.53109954945421523</v>
      </c>
      <c r="J529" s="20">
        <f t="shared" si="26"/>
        <v>0.24890045054578236</v>
      </c>
      <c r="K529" s="20">
        <f>ENSO!I529</f>
        <v>0.26261153015095706</v>
      </c>
      <c r="L529" s="19">
        <f>Analysis!B529</f>
        <v>2002.125</v>
      </c>
    </row>
    <row r="530" spans="1:12" ht="15" customHeight="1">
      <c r="A530" s="18" t="str">
        <f>Analysis!A530</f>
        <v>3/2002</v>
      </c>
      <c r="B530" s="19">
        <f>Analysis!E530</f>
        <v>0.88000000000000256</v>
      </c>
      <c r="C530" s="20">
        <f>Analysis!F530</f>
        <v>0.41876822106763295</v>
      </c>
      <c r="D530" s="19">
        <f>ENSO!D530</f>
        <v>-0.32</v>
      </c>
      <c r="E530" s="34">
        <f t="shared" si="27"/>
        <v>4.9100000000000003E-3</v>
      </c>
      <c r="F530" s="19">
        <f>Solar!D530</f>
        <v>1362.05</v>
      </c>
      <c r="G530" s="32">
        <v>4.0400000000000002E-3</v>
      </c>
      <c r="H530" s="33">
        <v>0.2238</v>
      </c>
      <c r="I530" s="20">
        <f t="shared" si="25"/>
        <v>0.54137625742119189</v>
      </c>
      <c r="J530" s="20">
        <f t="shared" si="26"/>
        <v>0.33862374257881067</v>
      </c>
      <c r="K530" s="20">
        <f>ENSO!I530</f>
        <v>0.35188280362840196</v>
      </c>
      <c r="L530" s="19">
        <f>Analysis!B530</f>
        <v>2002.2083333333333</v>
      </c>
    </row>
    <row r="531" spans="1:12" ht="15" customHeight="1">
      <c r="A531" s="18" t="str">
        <f>Analysis!A531</f>
        <v>4/2002</v>
      </c>
      <c r="B531" s="19">
        <f>Analysis!E531</f>
        <v>0.58000000000000007</v>
      </c>
      <c r="C531" s="20">
        <f>Analysis!F531</f>
        <v>0.4221945488102623</v>
      </c>
      <c r="D531" s="19">
        <f>ENSO!D531</f>
        <v>-0.15</v>
      </c>
      <c r="E531" s="34">
        <f t="shared" si="27"/>
        <v>4.6800000000000001E-3</v>
      </c>
      <c r="F531" s="19">
        <f>Solar!D531</f>
        <v>1361.52</v>
      </c>
      <c r="G531" s="32">
        <v>3.8600000000000001E-3</v>
      </c>
      <c r="H531" s="33">
        <v>0.2273</v>
      </c>
      <c r="I531" s="20">
        <f t="shared" si="25"/>
        <v>0.56700254604145062</v>
      </c>
      <c r="J531" s="20">
        <f t="shared" si="26"/>
        <v>1.2997453958549454E-2</v>
      </c>
      <c r="K531" s="20">
        <f>ENSO!I531</f>
        <v>2.7674958918699422E-2</v>
      </c>
      <c r="L531" s="19">
        <f>Analysis!B531</f>
        <v>2002.2916666666667</v>
      </c>
    </row>
    <row r="532" spans="1:12" ht="15" customHeight="1">
      <c r="A532" s="18" t="str">
        <f>Analysis!A532</f>
        <v>5/2002</v>
      </c>
      <c r="B532" s="19">
        <f>Analysis!E532</f>
        <v>0.64000000000000234</v>
      </c>
      <c r="C532" s="20">
        <f>Analysis!F532</f>
        <v>0.42503722288541401</v>
      </c>
      <c r="D532" s="19">
        <f>ENSO!D532</f>
        <v>7.0000000000000007E-2</v>
      </c>
      <c r="E532" s="34">
        <f t="shared" si="27"/>
        <v>4.7400000000000003E-3</v>
      </c>
      <c r="F532" s="19">
        <f>Solar!D532</f>
        <v>1361.57</v>
      </c>
      <c r="G532" s="32">
        <v>3.8999999999999998E-3</v>
      </c>
      <c r="H532" s="33">
        <v>0.2266</v>
      </c>
      <c r="I532" s="20">
        <f t="shared" si="25"/>
        <v>0.59503861116879653</v>
      </c>
      <c r="J532" s="20">
        <f t="shared" si="26"/>
        <v>4.4961388831205817E-2</v>
      </c>
      <c r="K532" s="20">
        <f>ENSO!I532</f>
        <v>6.0718403357262529E-2</v>
      </c>
      <c r="L532" s="19">
        <f>Analysis!B532</f>
        <v>2002.375</v>
      </c>
    </row>
    <row r="533" spans="1:12" ht="15" customHeight="1">
      <c r="A533" s="18" t="str">
        <f>Analysis!A533</f>
        <v>6/2002</v>
      </c>
      <c r="B533" s="19">
        <f>Analysis!E533</f>
        <v>0.52999999999999758</v>
      </c>
      <c r="C533" s="20">
        <f>Analysis!F533</f>
        <v>0.42411588811097739</v>
      </c>
      <c r="D533" s="19">
        <f>ENSO!D533</f>
        <v>0.11</v>
      </c>
      <c r="E533" s="34">
        <f t="shared" si="27"/>
        <v>4.4799999999999996E-3</v>
      </c>
      <c r="F533" s="19">
        <f>Solar!D533</f>
        <v>1361.63</v>
      </c>
      <c r="G533" s="32">
        <v>3.9899999999999996E-3</v>
      </c>
      <c r="H533" s="33">
        <v>0.22489999999999999</v>
      </c>
      <c r="I533" s="20">
        <f t="shared" si="25"/>
        <v>0.59680963106847651</v>
      </c>
      <c r="J533" s="20">
        <f t="shared" si="26"/>
        <v>-6.6809631068478925E-2</v>
      </c>
      <c r="K533" s="20">
        <f>ENSO!I533</f>
        <v>-5.0232388633390967E-2</v>
      </c>
      <c r="L533" s="19">
        <f>Analysis!B533</f>
        <v>2002.4583333333333</v>
      </c>
    </row>
    <row r="534" spans="1:12" ht="15" customHeight="1">
      <c r="A534" s="18" t="str">
        <f>Analysis!A534</f>
        <v>7/2002</v>
      </c>
      <c r="B534" s="19">
        <f>Analysis!E534</f>
        <v>0.61000000000000121</v>
      </c>
      <c r="C534" s="20">
        <f>Analysis!F534</f>
        <v>0.41822850669924977</v>
      </c>
      <c r="D534" s="19">
        <f>ENSO!D534</f>
        <v>0.15</v>
      </c>
      <c r="E534" s="34">
        <f t="shared" si="27"/>
        <v>4.3200000000000001E-3</v>
      </c>
      <c r="F534" s="19">
        <f>Solar!D534</f>
        <v>1361.01</v>
      </c>
      <c r="G534" s="32">
        <v>4.0200000000000001E-3</v>
      </c>
      <c r="H534" s="33">
        <v>0.2243</v>
      </c>
      <c r="I534" s="20">
        <f t="shared" si="25"/>
        <v>0.58481609162353354</v>
      </c>
      <c r="J534" s="20">
        <f t="shared" si="26"/>
        <v>2.5183908376467667E-2</v>
      </c>
      <c r="K534" s="20">
        <f>ENSO!I534</f>
        <v>4.2457537125766831E-2</v>
      </c>
      <c r="L534" s="19">
        <f>Analysis!B534</f>
        <v>2002.5416666666667</v>
      </c>
    </row>
    <row r="535" spans="1:12" ht="15" customHeight="1">
      <c r="A535" s="18" t="str">
        <f>Analysis!A535</f>
        <v>8/2002</v>
      </c>
      <c r="B535" s="19">
        <f>Analysis!E535</f>
        <v>0.52999999999999758</v>
      </c>
      <c r="C535" s="20">
        <f>Analysis!F535</f>
        <v>0.40999213584619632</v>
      </c>
      <c r="D535" s="19">
        <f>ENSO!D535</f>
        <v>0.3</v>
      </c>
      <c r="E535" s="34">
        <f t="shared" si="27"/>
        <v>4.2100000000000002E-3</v>
      </c>
      <c r="F535" s="19">
        <f>Solar!D535</f>
        <v>1361.19</v>
      </c>
      <c r="G535" s="32">
        <v>4.0000000000000001E-3</v>
      </c>
      <c r="H535" s="33">
        <v>0.22450000000000001</v>
      </c>
      <c r="I535" s="20">
        <f t="shared" si="25"/>
        <v>0.57651329168290988</v>
      </c>
      <c r="J535" s="20">
        <f t="shared" si="26"/>
        <v>-4.6513291682912294E-2</v>
      </c>
      <c r="K535" s="20">
        <f>ENSO!I535</f>
        <v>-2.7974496665299053E-2</v>
      </c>
      <c r="L535" s="19">
        <f>Analysis!B535</f>
        <v>2002.625</v>
      </c>
    </row>
    <row r="536" spans="1:12" ht="15" customHeight="1">
      <c r="A536" s="18" t="str">
        <f>Analysis!A536</f>
        <v>9/2002</v>
      </c>
      <c r="B536" s="19">
        <f>Analysis!E536</f>
        <v>0.64000000000000234</v>
      </c>
      <c r="C536" s="20">
        <f>Analysis!F536</f>
        <v>0.40568123285968838</v>
      </c>
      <c r="D536" s="19">
        <f>ENSO!D536</f>
        <v>0.45</v>
      </c>
      <c r="E536" s="34">
        <f t="shared" si="27"/>
        <v>4.0699999999999998E-3</v>
      </c>
      <c r="F536" s="19">
        <f>Solar!D536</f>
        <v>1361.35</v>
      </c>
      <c r="G536" s="32">
        <v>3.9100000000000003E-3</v>
      </c>
      <c r="H536" s="33">
        <v>0.22639999999999999</v>
      </c>
      <c r="I536" s="20">
        <f t="shared" si="25"/>
        <v>0.57898292495986325</v>
      </c>
      <c r="J536" s="20">
        <f t="shared" si="26"/>
        <v>6.101707504013909E-2</v>
      </c>
      <c r="K536" s="20">
        <f>ENSO!I536</f>
        <v>8.0811009547923751E-2</v>
      </c>
      <c r="L536" s="19">
        <f>Analysis!B536</f>
        <v>2002.7083333333333</v>
      </c>
    </row>
    <row r="537" spans="1:12" ht="15" customHeight="1">
      <c r="A537" s="18" t="str">
        <f>Analysis!A537</f>
        <v>10/2002</v>
      </c>
      <c r="B537" s="19">
        <f>Analysis!E537</f>
        <v>0.53999999999999915</v>
      </c>
      <c r="C537" s="20">
        <f>Analysis!F537</f>
        <v>0.40494203764964165</v>
      </c>
      <c r="D537" s="19">
        <f>ENSO!D537</f>
        <v>0.56999999999999995</v>
      </c>
      <c r="E537" s="34">
        <f t="shared" si="27"/>
        <v>4.0400000000000002E-3</v>
      </c>
      <c r="F537" s="19">
        <f>Solar!D537</f>
        <v>1361.46</v>
      </c>
      <c r="G537" s="32">
        <v>4.0899999999999999E-3</v>
      </c>
      <c r="H537" s="33">
        <v>0.22270000000000001</v>
      </c>
      <c r="I537" s="20">
        <f t="shared" si="25"/>
        <v>0.58816823724758915</v>
      </c>
      <c r="J537" s="20">
        <f t="shared" si="26"/>
        <v>-4.8168237247590007E-2</v>
      </c>
      <c r="K537" s="20">
        <f>ENSO!I537</f>
        <v>-2.7603104286865521E-2</v>
      </c>
      <c r="L537" s="19">
        <f>Analysis!B537</f>
        <v>2002.7916666666667</v>
      </c>
    </row>
    <row r="538" spans="1:12" ht="15" customHeight="1">
      <c r="A538" s="18" t="str">
        <f>Analysis!A538</f>
        <v>11/2002</v>
      </c>
      <c r="B538" s="19">
        <f>Analysis!E538</f>
        <v>0.58999999999999986</v>
      </c>
      <c r="C538" s="20">
        <f>Analysis!F538</f>
        <v>0.41154246245041559</v>
      </c>
      <c r="D538" s="19">
        <f>ENSO!D538</f>
        <v>0.63</v>
      </c>
      <c r="E538" s="34">
        <f t="shared" si="27"/>
        <v>3.8600000000000001E-3</v>
      </c>
      <c r="F538" s="19">
        <f>Solar!D538</f>
        <v>1361.37</v>
      </c>
      <c r="G538" s="32">
        <v>4.3499999999999997E-3</v>
      </c>
      <c r="H538" s="33">
        <v>0.21759999999999999</v>
      </c>
      <c r="I538" s="20">
        <f t="shared" si="25"/>
        <v>0.61213417100619794</v>
      </c>
      <c r="J538" s="20">
        <f t="shared" si="26"/>
        <v>-2.2134171006198078E-2</v>
      </c>
      <c r="K538" s="20">
        <f>ENSO!I538</f>
        <v>-9.5539186587456637E-4</v>
      </c>
      <c r="L538" s="19">
        <f>Analysis!B538</f>
        <v>2002.875</v>
      </c>
    </row>
    <row r="539" spans="1:12" ht="15" customHeight="1">
      <c r="A539" s="18" t="str">
        <f>Analysis!A539</f>
        <v>12/2002</v>
      </c>
      <c r="B539" s="19">
        <f>Analysis!E539</f>
        <v>0.44000000000000483</v>
      </c>
      <c r="C539" s="20">
        <f>Analysis!F539</f>
        <v>0.41753429141234943</v>
      </c>
      <c r="D539" s="19">
        <f>ENSO!D539</f>
        <v>0.78</v>
      </c>
      <c r="E539" s="34">
        <f t="shared" si="27"/>
        <v>3.8999999999999998E-3</v>
      </c>
      <c r="F539" s="19">
        <f>Solar!D539</f>
        <v>1361.8</v>
      </c>
      <c r="G539" s="32">
        <v>4.4900000000000001E-3</v>
      </c>
      <c r="H539" s="33">
        <v>0.21479999999999999</v>
      </c>
      <c r="I539" s="20">
        <f t="shared" si="25"/>
        <v>0.64230767862795812</v>
      </c>
      <c r="J539" s="20">
        <f t="shared" si="26"/>
        <v>-0.20230767862795329</v>
      </c>
      <c r="K539" s="20">
        <f>ENSO!I539</f>
        <v>-0.18046939003210161</v>
      </c>
      <c r="L539" s="19">
        <f>Analysis!B539</f>
        <v>2002.9583333333333</v>
      </c>
    </row>
    <row r="540" spans="1:12" ht="15" customHeight="1">
      <c r="A540" s="18" t="str">
        <f>Analysis!A540</f>
        <v>1/2003</v>
      </c>
      <c r="B540" s="19">
        <f>Analysis!E540</f>
        <v>0.75</v>
      </c>
      <c r="C540" s="20">
        <f>Analysis!F540</f>
        <v>0.42173304638074988</v>
      </c>
      <c r="D540" s="19">
        <f>ENSO!D540</f>
        <v>0.99</v>
      </c>
      <c r="E540" s="34">
        <f t="shared" si="27"/>
        <v>3.9899999999999996E-3</v>
      </c>
      <c r="F540" s="19">
        <f>Solar!D540</f>
        <v>1361.63</v>
      </c>
      <c r="G540" s="32">
        <v>4.81E-3</v>
      </c>
      <c r="H540" s="33">
        <v>0.20849999999999999</v>
      </c>
      <c r="I540" s="20">
        <f t="shared" si="25"/>
        <v>0.67304839315574094</v>
      </c>
      <c r="J540" s="20">
        <f t="shared" si="26"/>
        <v>7.6951606844259057E-2</v>
      </c>
      <c r="K540" s="20">
        <f>ENSO!I540</f>
        <v>9.9719554338032257E-2</v>
      </c>
      <c r="L540" s="19">
        <f>Analysis!B540</f>
        <v>2003.0416666666667</v>
      </c>
    </row>
    <row r="541" spans="1:12" ht="15" customHeight="1">
      <c r="A541" s="18" t="str">
        <f>Analysis!A541</f>
        <v>2/2003</v>
      </c>
      <c r="B541" s="19">
        <f>Analysis!E541</f>
        <v>0.58000000000000007</v>
      </c>
      <c r="C541" s="20">
        <f>Analysis!F541</f>
        <v>0.42461501748300506</v>
      </c>
      <c r="D541" s="19">
        <f>ENSO!D541</f>
        <v>1.19</v>
      </c>
      <c r="E541" s="34">
        <f t="shared" si="27"/>
        <v>4.0200000000000001E-3</v>
      </c>
      <c r="F541" s="19">
        <f>Solar!D541</f>
        <v>1361.59</v>
      </c>
      <c r="G541" s="32">
        <v>4.9300000000000004E-3</v>
      </c>
      <c r="H541" s="33">
        <v>0.20610000000000001</v>
      </c>
      <c r="I541" s="20">
        <f t="shared" si="25"/>
        <v>0.69940174826829982</v>
      </c>
      <c r="J541" s="20">
        <f t="shared" si="26"/>
        <v>-0.11940174826829975</v>
      </c>
      <c r="K541" s="20">
        <f>ENSO!I541</f>
        <v>-9.5604186748099451E-2</v>
      </c>
      <c r="L541" s="19">
        <f>Analysis!B541</f>
        <v>2003.125</v>
      </c>
    </row>
    <row r="542" spans="1:12" ht="15" customHeight="1">
      <c r="A542" s="18" t="str">
        <f>Analysis!A542</f>
        <v>3/2003</v>
      </c>
      <c r="B542" s="19">
        <f>Analysis!E542</f>
        <v>0.60000000000000142</v>
      </c>
      <c r="C542" s="20">
        <f>Analysis!F542</f>
        <v>0.42775939831875309</v>
      </c>
      <c r="D542" s="19">
        <f>ENSO!D542</f>
        <v>1.08</v>
      </c>
      <c r="E542" s="34">
        <f t="shared" si="27"/>
        <v>4.0000000000000001E-3</v>
      </c>
      <c r="F542" s="19">
        <f>Solar!D542</f>
        <v>1361.13</v>
      </c>
      <c r="G542" s="32">
        <v>5.0400000000000002E-3</v>
      </c>
      <c r="H542" s="33">
        <v>0.2039</v>
      </c>
      <c r="I542" s="20">
        <f t="shared" si="25"/>
        <v>0.69781436927024698</v>
      </c>
      <c r="J542" s="20">
        <f t="shared" si="26"/>
        <v>-9.781436927024556E-2</v>
      </c>
      <c r="K542" s="20">
        <f>ENSO!I542</f>
        <v>-7.4667005212341264E-2</v>
      </c>
      <c r="L542" s="19">
        <f>Analysis!B542</f>
        <v>2003.2083333333333</v>
      </c>
    </row>
    <row r="543" spans="1:12" ht="15" customHeight="1">
      <c r="A543" s="18" t="str">
        <f>Analysis!A543</f>
        <v>4/2003</v>
      </c>
      <c r="B543" s="19">
        <f>Analysis!E543</f>
        <v>0.54999999999999893</v>
      </c>
      <c r="C543" s="20">
        <f>Analysis!F543</f>
        <v>0.43265404267746627</v>
      </c>
      <c r="D543" s="19">
        <f>ENSO!D543</f>
        <v>0.9</v>
      </c>
      <c r="E543" s="34">
        <f t="shared" si="27"/>
        <v>3.9100000000000003E-3</v>
      </c>
      <c r="F543" s="19">
        <f>Solar!D543</f>
        <v>1361.11</v>
      </c>
      <c r="G543" s="32">
        <v>4.7200000000000002E-3</v>
      </c>
      <c r="H543" s="33">
        <v>0.21029999999999999</v>
      </c>
      <c r="I543" s="20">
        <f t="shared" si="25"/>
        <v>0.694659077870314</v>
      </c>
      <c r="J543" s="20">
        <f t="shared" si="26"/>
        <v>-0.14465907787031507</v>
      </c>
      <c r="K543" s="20">
        <f>ENSO!I543</f>
        <v>-0.12244479687862109</v>
      </c>
      <c r="L543" s="19">
        <f>Analysis!B543</f>
        <v>2003.2916666666667</v>
      </c>
    </row>
    <row r="544" spans="1:12" ht="15" customHeight="1">
      <c r="A544" s="18" t="str">
        <f>Analysis!A544</f>
        <v>5/2003</v>
      </c>
      <c r="B544" s="19">
        <f>Analysis!E544</f>
        <v>0.60000000000000142</v>
      </c>
      <c r="C544" s="20">
        <f>Analysis!F544</f>
        <v>0.43593332976445326</v>
      </c>
      <c r="D544" s="19">
        <f>ENSO!D544</f>
        <v>0.59</v>
      </c>
      <c r="E544" s="34">
        <f t="shared" si="27"/>
        <v>4.0899999999999999E-3</v>
      </c>
      <c r="F544" s="19">
        <f>Solar!D544</f>
        <v>1361.08</v>
      </c>
      <c r="G544" s="32">
        <v>4.5900000000000003E-3</v>
      </c>
      <c r="H544" s="33">
        <v>0.2127</v>
      </c>
      <c r="I544" s="20">
        <f t="shared" si="25"/>
        <v>0.67444057211230124</v>
      </c>
      <c r="J544" s="20">
        <f t="shared" si="26"/>
        <v>-7.4440572112299819E-2</v>
      </c>
      <c r="K544" s="20">
        <f>ENSO!I544</f>
        <v>-5.4470621335536151E-2</v>
      </c>
      <c r="L544" s="19">
        <f>Analysis!B544</f>
        <v>2003.375</v>
      </c>
    </row>
    <row r="545" spans="1:12" ht="15" customHeight="1">
      <c r="A545" s="18" t="str">
        <f>Analysis!A545</f>
        <v>6/2003</v>
      </c>
      <c r="B545" s="19">
        <f>Analysis!E545</f>
        <v>0.47999999999999865</v>
      </c>
      <c r="C545" s="20">
        <f>Analysis!F545</f>
        <v>0.43471400051463627</v>
      </c>
      <c r="D545" s="19">
        <f>ENSO!D545</f>
        <v>0.38</v>
      </c>
      <c r="E545" s="34">
        <f t="shared" si="27"/>
        <v>4.3499999999999997E-3</v>
      </c>
      <c r="F545" s="19">
        <f>Solar!D545</f>
        <v>1360.95</v>
      </c>
      <c r="G545" s="32">
        <v>4.7400000000000003E-3</v>
      </c>
      <c r="H545" s="33">
        <v>0.20979999999999999</v>
      </c>
      <c r="I545" s="20">
        <f t="shared" si="25"/>
        <v>0.65105589710861866</v>
      </c>
      <c r="J545" s="20">
        <f t="shared" si="26"/>
        <v>-0.17105589710862001</v>
      </c>
      <c r="K545" s="20">
        <f>ENSO!I545</f>
        <v>-0.15284344077815815</v>
      </c>
      <c r="L545" s="19">
        <f>Analysis!B545</f>
        <v>2003.4583333333333</v>
      </c>
    </row>
    <row r="546" spans="1:12" ht="15" customHeight="1">
      <c r="A546" s="18" t="str">
        <f>Analysis!A546</f>
        <v>7/2003</v>
      </c>
      <c r="B546" s="19">
        <f>Analysis!E546</f>
        <v>0.58000000000000007</v>
      </c>
      <c r="C546" s="20">
        <f>Analysis!F546</f>
        <v>0.42867840994823009</v>
      </c>
      <c r="D546" s="19">
        <f>ENSO!D546</f>
        <v>-0.01</v>
      </c>
      <c r="E546" s="34">
        <f t="shared" si="27"/>
        <v>4.4900000000000001E-3</v>
      </c>
      <c r="F546" s="19">
        <f>Solar!D546</f>
        <v>1361.1</v>
      </c>
      <c r="G546" s="32">
        <v>4.8399999999999997E-3</v>
      </c>
      <c r="H546" s="33">
        <v>0.20780000000000001</v>
      </c>
      <c r="I546" s="20">
        <f t="shared" si="25"/>
        <v>0.59809616581622893</v>
      </c>
      <c r="J546" s="20">
        <f t="shared" si="26"/>
        <v>-1.809616581622886E-2</v>
      </c>
      <c r="K546" s="20">
        <f>ENSO!I546</f>
        <v>-2.3201736320519473E-3</v>
      </c>
      <c r="L546" s="19">
        <f>Analysis!B546</f>
        <v>2003.5416666666667</v>
      </c>
    </row>
    <row r="547" spans="1:12" ht="15" customHeight="1">
      <c r="A547" s="18" t="str">
        <f>Analysis!A547</f>
        <v>8/2003</v>
      </c>
      <c r="B547" s="19">
        <f>Analysis!E547</f>
        <v>0.64000000000000234</v>
      </c>
      <c r="C547" s="20">
        <f>Analysis!F547</f>
        <v>0.41980852893927539</v>
      </c>
      <c r="D547" s="19">
        <f>ENSO!D547</f>
        <v>-0.18</v>
      </c>
      <c r="E547" s="34">
        <f t="shared" si="27"/>
        <v>4.81E-3</v>
      </c>
      <c r="F547" s="19">
        <f>Solar!D547</f>
        <v>1361.17</v>
      </c>
      <c r="G547" s="32">
        <v>5.0499999999999998E-3</v>
      </c>
      <c r="H547" s="33">
        <v>0.2036</v>
      </c>
      <c r="I547" s="20">
        <f t="shared" si="25"/>
        <v>0.55742495743599974</v>
      </c>
      <c r="J547" s="20">
        <f t="shared" si="26"/>
        <v>8.257504256400261E-2</v>
      </c>
      <c r="K547" s="20">
        <f>ENSO!I547</f>
        <v>9.6840002194392927E-2</v>
      </c>
      <c r="L547" s="19">
        <f>Analysis!B547</f>
        <v>2003.625</v>
      </c>
    </row>
    <row r="548" spans="1:12" ht="15" customHeight="1">
      <c r="A548" s="18" t="str">
        <f>Analysis!A548</f>
        <v>9/2003</v>
      </c>
      <c r="B548" s="19">
        <f>Analysis!E548</f>
        <v>0.62000000000000099</v>
      </c>
      <c r="C548" s="20">
        <f>Analysis!F548</f>
        <v>0.41506326146026928</v>
      </c>
      <c r="D548" s="19">
        <f>ENSO!D548</f>
        <v>-0.13</v>
      </c>
      <c r="E548" s="34">
        <f t="shared" si="27"/>
        <v>4.9300000000000004E-3</v>
      </c>
      <c r="F548" s="19">
        <f>Solar!D548</f>
        <v>1361.28</v>
      </c>
      <c r="G548" s="32">
        <v>5.13E-3</v>
      </c>
      <c r="H548" s="33">
        <v>0.2021</v>
      </c>
      <c r="I548" s="20">
        <f t="shared" si="25"/>
        <v>0.5488583006140535</v>
      </c>
      <c r="J548" s="20">
        <f t="shared" si="26"/>
        <v>7.1141699385947499E-2</v>
      </c>
      <c r="K548" s="20">
        <f>ENSO!I548</f>
        <v>8.5522396109261489E-2</v>
      </c>
      <c r="L548" s="19">
        <f>Analysis!B548</f>
        <v>2003.7083333333333</v>
      </c>
    </row>
    <row r="549" spans="1:12" ht="15" customHeight="1">
      <c r="A549" s="18" t="str">
        <f>Analysis!A549</f>
        <v>10/2003</v>
      </c>
      <c r="B549" s="19">
        <f>Analysis!E549</f>
        <v>0.72000000000000242</v>
      </c>
      <c r="C549" s="20">
        <f>Analysis!F549</f>
        <v>0.41494732802090711</v>
      </c>
      <c r="D549" s="19">
        <f>ENSO!D549</f>
        <v>0.09</v>
      </c>
      <c r="E549" s="34">
        <f t="shared" si="27"/>
        <v>5.0400000000000002E-3</v>
      </c>
      <c r="F549" s="19">
        <f>Solar!D549</f>
        <v>1360.31</v>
      </c>
      <c r="G549" s="32">
        <v>5.1599999999999997E-3</v>
      </c>
      <c r="H549" s="33">
        <v>0.20150000000000001</v>
      </c>
      <c r="I549" s="20">
        <f t="shared" si="25"/>
        <v>0.56871496542519306</v>
      </c>
      <c r="J549" s="20">
        <f t="shared" si="26"/>
        <v>0.15128503457480935</v>
      </c>
      <c r="K549" s="20">
        <f>ENSO!I549</f>
        <v>0.16669253225765923</v>
      </c>
      <c r="L549" s="19">
        <f>Analysis!B549</f>
        <v>2003.7916666666667</v>
      </c>
    </row>
    <row r="550" spans="1:12" ht="15" customHeight="1">
      <c r="A550" s="18" t="str">
        <f>Analysis!A550</f>
        <v>11/2003</v>
      </c>
      <c r="B550" s="19">
        <f>Analysis!E550</f>
        <v>0.52999999999999758</v>
      </c>
      <c r="C550" s="20">
        <f>Analysis!F550</f>
        <v>0.42084808719949091</v>
      </c>
      <c r="D550" s="19">
        <f>ENSO!D550</f>
        <v>0.14000000000000001</v>
      </c>
      <c r="E550" s="34">
        <f t="shared" si="27"/>
        <v>4.7200000000000002E-3</v>
      </c>
      <c r="F550" s="19">
        <f>Solar!D550</f>
        <v>1361.06</v>
      </c>
      <c r="G550" s="32">
        <v>5.0000000000000001E-3</v>
      </c>
      <c r="H550" s="33">
        <v>0.2046</v>
      </c>
      <c r="I550" s="20">
        <f t="shared" si="25"/>
        <v>0.59015271221824639</v>
      </c>
      <c r="J550" s="20">
        <f t="shared" si="26"/>
        <v>-6.0152712218248805E-2</v>
      </c>
      <c r="K550" s="20">
        <f>ENSO!I550</f>
        <v>-4.3867538789963301E-2</v>
      </c>
      <c r="L550" s="19">
        <f>Analysis!B550</f>
        <v>2003.875</v>
      </c>
    </row>
    <row r="551" spans="1:12" ht="15" customHeight="1">
      <c r="A551" s="18" t="str">
        <f>Analysis!A551</f>
        <v>12/2003</v>
      </c>
      <c r="B551" s="19">
        <f>Analysis!E551</f>
        <v>0.75</v>
      </c>
      <c r="C551" s="20">
        <f>Analysis!F551</f>
        <v>0.42595796965197702</v>
      </c>
      <c r="D551" s="19">
        <f>ENSO!D551</f>
        <v>0.23</v>
      </c>
      <c r="E551" s="34">
        <f t="shared" si="27"/>
        <v>4.5900000000000003E-3</v>
      </c>
      <c r="F551" s="19">
        <f>Solar!D551</f>
        <v>1361.18</v>
      </c>
      <c r="G551" s="32">
        <v>4.7699999999999999E-3</v>
      </c>
      <c r="H551" s="33">
        <v>0.20930000000000001</v>
      </c>
      <c r="I551" s="20">
        <f t="shared" si="25"/>
        <v>0.61272713505502274</v>
      </c>
      <c r="J551" s="20">
        <f t="shared" si="26"/>
        <v>0.13727286494497726</v>
      </c>
      <c r="K551" s="20">
        <f>ENSO!I551</f>
        <v>0.1542632565077583</v>
      </c>
      <c r="L551" s="19">
        <f>Analysis!B551</f>
        <v>2003.9583333333333</v>
      </c>
    </row>
    <row r="552" spans="1:12" ht="15" customHeight="1">
      <c r="A552" s="18" t="str">
        <f>Analysis!A552</f>
        <v>1/2004</v>
      </c>
      <c r="B552" s="19">
        <f>Analysis!E552</f>
        <v>0.58000000000000007</v>
      </c>
      <c r="C552" s="20">
        <f>Analysis!F552</f>
        <v>0.42978810183201854</v>
      </c>
      <c r="D552" s="19">
        <f>ENSO!D552</f>
        <v>0.23</v>
      </c>
      <c r="E552" s="34">
        <f t="shared" si="27"/>
        <v>4.7400000000000003E-3</v>
      </c>
      <c r="F552" s="19">
        <f>Solar!D552</f>
        <v>1360.99</v>
      </c>
      <c r="G552" s="32">
        <v>4.6600000000000001E-3</v>
      </c>
      <c r="H552" s="33">
        <v>0.2114</v>
      </c>
      <c r="I552" s="20">
        <f t="shared" si="25"/>
        <v>0.62284348384865207</v>
      </c>
      <c r="J552" s="20">
        <f t="shared" si="26"/>
        <v>-4.2843483848651998E-2</v>
      </c>
      <c r="K552" s="20">
        <f>ENSO!I552</f>
        <v>-2.6257335791971648E-2</v>
      </c>
      <c r="L552" s="19">
        <f>Analysis!B552</f>
        <v>2004.0416666666667</v>
      </c>
    </row>
    <row r="553" spans="1:12" ht="15" customHeight="1">
      <c r="A553" s="18" t="str">
        <f>Analysis!A553</f>
        <v>2/2004</v>
      </c>
      <c r="B553" s="19">
        <f>Analysis!E553</f>
        <v>0.72000000000000242</v>
      </c>
      <c r="C553" s="20">
        <f>Analysis!F553</f>
        <v>0.43315022733337655</v>
      </c>
      <c r="D553" s="19">
        <f>ENSO!D553</f>
        <v>0.28999999999999998</v>
      </c>
      <c r="E553" s="34">
        <f t="shared" si="27"/>
        <v>4.8399999999999997E-3</v>
      </c>
      <c r="F553" s="19">
        <f>Solar!D553</f>
        <v>1360.99</v>
      </c>
      <c r="G553" s="32">
        <v>4.4600000000000004E-3</v>
      </c>
      <c r="H553" s="33">
        <v>0.21540000000000001</v>
      </c>
      <c r="I553" s="20">
        <f t="shared" si="25"/>
        <v>0.63736109766063176</v>
      </c>
      <c r="J553" s="20">
        <f t="shared" si="26"/>
        <v>8.2638902339370657E-2</v>
      </c>
      <c r="K553" s="20">
        <f>ENSO!I553</f>
        <v>9.9285324654884266E-2</v>
      </c>
      <c r="L553" s="19">
        <f>Analysis!B553</f>
        <v>2004.125</v>
      </c>
    </row>
    <row r="554" spans="1:12" ht="15" customHeight="1">
      <c r="A554" s="18" t="str">
        <f>Analysis!A554</f>
        <v>3/2004</v>
      </c>
      <c r="B554" s="19">
        <f>Analysis!E554</f>
        <v>0.63000000000000256</v>
      </c>
      <c r="C554" s="20">
        <f>Analysis!F554</f>
        <v>0.4369993981425544</v>
      </c>
      <c r="D554" s="19">
        <f>ENSO!D554</f>
        <v>0.28999999999999998</v>
      </c>
      <c r="E554" s="34">
        <f t="shared" si="27"/>
        <v>5.0499999999999998E-3</v>
      </c>
      <c r="F554" s="19">
        <f>Solar!D554</f>
        <v>1361.02</v>
      </c>
      <c r="G554" s="32">
        <v>4.3200000000000001E-3</v>
      </c>
      <c r="H554" s="33">
        <v>0.21820000000000001</v>
      </c>
      <c r="I554" s="20">
        <f t="shared" si="25"/>
        <v>0.64739735176898694</v>
      </c>
      <c r="J554" s="20">
        <f t="shared" si="26"/>
        <v>-1.7397351768984382E-2</v>
      </c>
      <c r="K554" s="20">
        <f>ENSO!I554</f>
        <v>-1.2875628779273063E-3</v>
      </c>
      <c r="L554" s="19">
        <f>Analysis!B554</f>
        <v>2004.2083333333333</v>
      </c>
    </row>
    <row r="555" spans="1:12" ht="15" customHeight="1">
      <c r="A555" s="18" t="str">
        <f>Analysis!A555</f>
        <v>4/2004</v>
      </c>
      <c r="B555" s="19">
        <f>Analysis!E555</f>
        <v>0.61000000000000121</v>
      </c>
      <c r="C555" s="20">
        <f>Analysis!F555</f>
        <v>0.44262128166655951</v>
      </c>
      <c r="D555" s="19">
        <f>ENSO!D555</f>
        <v>0.34</v>
      </c>
      <c r="E555" s="34">
        <f t="shared" si="27"/>
        <v>5.13E-3</v>
      </c>
      <c r="F555" s="19">
        <f>Solar!D555</f>
        <v>1361.06</v>
      </c>
      <c r="G555" s="32">
        <v>4.3E-3</v>
      </c>
      <c r="H555" s="33">
        <v>0.21859999999999999</v>
      </c>
      <c r="I555" s="20">
        <f t="shared" si="25"/>
        <v>0.66719434498380281</v>
      </c>
      <c r="J555" s="20">
        <f t="shared" si="26"/>
        <v>-5.7194344983801604E-2</v>
      </c>
      <c r="K555" s="20">
        <f>ENSO!I555</f>
        <v>-4.1081619353143028E-2</v>
      </c>
      <c r="L555" s="19">
        <f>Analysis!B555</f>
        <v>2004.2916666666667</v>
      </c>
    </row>
    <row r="556" spans="1:12" ht="15" customHeight="1">
      <c r="A556" s="18" t="str">
        <f>Analysis!A556</f>
        <v>5/2004</v>
      </c>
      <c r="B556" s="19">
        <f>Analysis!E556</f>
        <v>0.36999999999999744</v>
      </c>
      <c r="C556" s="20">
        <f>Analysis!F556</f>
        <v>0.44360665147561484</v>
      </c>
      <c r="D556" s="19">
        <f>ENSO!D556</f>
        <v>0.27</v>
      </c>
      <c r="E556" s="34">
        <f t="shared" si="27"/>
        <v>5.1599999999999997E-3</v>
      </c>
      <c r="F556" s="19">
        <f>Solar!D556</f>
        <v>1360.9</v>
      </c>
      <c r="G556" s="32">
        <v>4.1999999999999997E-3</v>
      </c>
      <c r="H556" s="33">
        <v>0.22070000000000001</v>
      </c>
      <c r="I556" s="20">
        <f t="shared" si="25"/>
        <v>0.66332020644604894</v>
      </c>
      <c r="J556" s="20">
        <f t="shared" si="26"/>
        <v>-0.2933202064460515</v>
      </c>
      <c r="K556" s="20">
        <f>ENSO!I556</f>
        <v>-0.27769558545192607</v>
      </c>
      <c r="L556" s="19">
        <f>Analysis!B556</f>
        <v>2004.375</v>
      </c>
    </row>
    <row r="557" spans="1:12" ht="15" customHeight="1">
      <c r="A557" s="18" t="str">
        <f>Analysis!A557</f>
        <v>6/2004</v>
      </c>
      <c r="B557" s="19">
        <f>Analysis!E557</f>
        <v>0.44000000000000483</v>
      </c>
      <c r="C557" s="20">
        <f>Analysis!F557</f>
        <v>0.44007895337646558</v>
      </c>
      <c r="D557" s="19">
        <f>ENSO!D557</f>
        <v>0.19</v>
      </c>
      <c r="E557" s="34">
        <f t="shared" si="27"/>
        <v>5.0000000000000001E-3</v>
      </c>
      <c r="F557" s="19">
        <f>Solar!D557</f>
        <v>1360.93</v>
      </c>
      <c r="G557" s="32">
        <v>4.1399999999999996E-3</v>
      </c>
      <c r="H557" s="33">
        <v>0.22189999999999999</v>
      </c>
      <c r="I557" s="20">
        <f t="shared" si="25"/>
        <v>0.64662712646988352</v>
      </c>
      <c r="J557" s="20">
        <f t="shared" si="26"/>
        <v>-0.20662712646987869</v>
      </c>
      <c r="K557" s="20">
        <f>ENSO!I557</f>
        <v>-0.19104269632796367</v>
      </c>
      <c r="L557" s="19">
        <f>Analysis!B557</f>
        <v>2004.4583333333333</v>
      </c>
    </row>
    <row r="558" spans="1:12" ht="15" customHeight="1">
      <c r="A558" s="18" t="str">
        <f>Analysis!A558</f>
        <v>7/2004</v>
      </c>
      <c r="B558" s="19">
        <f>Analysis!E558</f>
        <v>0.25999999999999979</v>
      </c>
      <c r="C558" s="20">
        <f>Analysis!F558</f>
        <v>0.43162295971329212</v>
      </c>
      <c r="D558" s="19">
        <f>ENSO!D558</f>
        <v>0.1</v>
      </c>
      <c r="E558" s="34">
        <f t="shared" si="27"/>
        <v>4.7699999999999999E-3</v>
      </c>
      <c r="F558" s="19">
        <f>Solar!D558</f>
        <v>1360.53</v>
      </c>
      <c r="G558" s="32">
        <v>4.1799999999999997E-3</v>
      </c>
      <c r="H558" s="33">
        <v>0.221</v>
      </c>
      <c r="I558" s="20">
        <f t="shared" si="25"/>
        <v>0.61571856013056603</v>
      </c>
      <c r="J558" s="20">
        <f t="shared" si="26"/>
        <v>-0.35571856013056624</v>
      </c>
      <c r="K558" s="20">
        <f>ENSO!I558</f>
        <v>-0.33998240625776321</v>
      </c>
      <c r="L558" s="19">
        <f>Analysis!B558</f>
        <v>2004.5416666666667</v>
      </c>
    </row>
    <row r="559" spans="1:12" ht="15" customHeight="1">
      <c r="A559" s="18" t="str">
        <f>Analysis!A559</f>
        <v>8/2004</v>
      </c>
      <c r="B559" s="19">
        <f>Analysis!E559</f>
        <v>0.44999999999999751</v>
      </c>
      <c r="C559" s="20">
        <f>Analysis!F559</f>
        <v>0.42595796965197702</v>
      </c>
      <c r="D559" s="19">
        <f>ENSO!D559</f>
        <v>0.12</v>
      </c>
      <c r="E559" s="34">
        <f t="shared" si="27"/>
        <v>4.6600000000000001E-3</v>
      </c>
      <c r="F559" s="19">
        <f>Solar!D559</f>
        <v>1360.71</v>
      </c>
      <c r="G559" s="32">
        <v>4.2700000000000004E-3</v>
      </c>
      <c r="H559" s="33">
        <v>0.21920000000000001</v>
      </c>
      <c r="I559" s="20">
        <f t="shared" si="25"/>
        <v>0.60236565868656455</v>
      </c>
      <c r="J559" s="20">
        <f t="shared" si="26"/>
        <v>-0.15236565868656704</v>
      </c>
      <c r="K559" s="20">
        <f>ENSO!I559</f>
        <v>-0.13616258880439369</v>
      </c>
      <c r="L559" s="19">
        <f>Analysis!B559</f>
        <v>2004.625</v>
      </c>
    </row>
    <row r="560" spans="1:12" ht="15" customHeight="1">
      <c r="A560" s="18" t="str">
        <f>Analysis!A560</f>
        <v>9/2004</v>
      </c>
      <c r="B560" s="19">
        <f>Analysis!E560</f>
        <v>0.5</v>
      </c>
      <c r="C560" s="20">
        <f>Analysis!F560</f>
        <v>0.41926920368406412</v>
      </c>
      <c r="D560" s="19">
        <f>ENSO!D560</f>
        <v>0.22</v>
      </c>
      <c r="E560" s="34">
        <f t="shared" si="27"/>
        <v>4.4600000000000004E-3</v>
      </c>
      <c r="F560" s="19">
        <f>Solar!D560</f>
        <v>1360.98</v>
      </c>
      <c r="G560" s="32">
        <v>4.4299999999999999E-3</v>
      </c>
      <c r="H560" s="33">
        <v>0.216</v>
      </c>
      <c r="I560" s="20">
        <f t="shared" si="25"/>
        <v>0.593842117286563</v>
      </c>
      <c r="J560" s="20">
        <f t="shared" si="26"/>
        <v>-9.3842117286562998E-2</v>
      </c>
      <c r="K560" s="20">
        <f>ENSO!I560</f>
        <v>-7.6493689230534567E-2</v>
      </c>
      <c r="L560" s="19">
        <f>Analysis!B560</f>
        <v>2004.7083333333333</v>
      </c>
    </row>
    <row r="561" spans="1:12" ht="15" customHeight="1">
      <c r="A561" s="18" t="str">
        <f>Analysis!A561</f>
        <v>10/2004</v>
      </c>
      <c r="B561" s="19">
        <f>Analysis!E561</f>
        <v>0.61000000000000121</v>
      </c>
      <c r="C561" s="20">
        <f>Analysis!F561</f>
        <v>0.42003960662918038</v>
      </c>
      <c r="D561" s="19">
        <f>ENSO!D561</f>
        <v>0.39</v>
      </c>
      <c r="E561" s="34">
        <f t="shared" si="27"/>
        <v>4.3200000000000001E-3</v>
      </c>
      <c r="F561" s="19">
        <f>Solar!D561</f>
        <v>1360.97</v>
      </c>
      <c r="G561" s="32">
        <v>4.3099999999999996E-3</v>
      </c>
      <c r="H561" s="33">
        <v>0.2185</v>
      </c>
      <c r="I561" s="20">
        <f t="shared" si="25"/>
        <v>0.61202653617630343</v>
      </c>
      <c r="J561" s="20">
        <f t="shared" si="26"/>
        <v>-2.0265361763022183E-3</v>
      </c>
      <c r="K561" s="20">
        <f>ENSO!I561</f>
        <v>1.6593750049959333E-2</v>
      </c>
      <c r="L561" s="19">
        <f>Analysis!B561</f>
        <v>2004.7916666666667</v>
      </c>
    </row>
    <row r="562" spans="1:12" ht="15" customHeight="1">
      <c r="A562" s="18" t="str">
        <f>Analysis!A562</f>
        <v>11/2004</v>
      </c>
      <c r="B562" s="19">
        <f>Analysis!E562</f>
        <v>0.7300000000000022</v>
      </c>
      <c r="C562" s="20">
        <f>Analysis!F562</f>
        <v>0.42657147452910854</v>
      </c>
      <c r="D562" s="19">
        <f>ENSO!D562</f>
        <v>0.54</v>
      </c>
      <c r="E562" s="34">
        <f t="shared" si="27"/>
        <v>4.3E-3</v>
      </c>
      <c r="F562" s="19">
        <f>Solar!D562</f>
        <v>1360.88</v>
      </c>
      <c r="G562" s="32">
        <v>4.4000000000000003E-3</v>
      </c>
      <c r="H562" s="33">
        <v>0.21659999999999999</v>
      </c>
      <c r="I562" s="20">
        <f t="shared" si="25"/>
        <v>0.64380498110881523</v>
      </c>
      <c r="J562" s="20">
        <f t="shared" si="26"/>
        <v>8.619501889118697E-2</v>
      </c>
      <c r="K562" s="20">
        <f>ENSO!I562</f>
        <v>0.10559637501171737</v>
      </c>
      <c r="L562" s="19">
        <f>Analysis!B562</f>
        <v>2004.875</v>
      </c>
    </row>
    <row r="563" spans="1:12" ht="15" customHeight="1">
      <c r="A563" s="18" t="str">
        <f>Analysis!A563</f>
        <v>12/2004</v>
      </c>
      <c r="B563" s="19">
        <f>Analysis!E563</f>
        <v>0.50999999999999801</v>
      </c>
      <c r="C563" s="20">
        <f>Analysis!F563</f>
        <v>0.43173756088430215</v>
      </c>
      <c r="D563" s="19">
        <f>ENSO!D563</f>
        <v>0.57999999999999996</v>
      </c>
      <c r="E563" s="34">
        <f t="shared" si="27"/>
        <v>4.1999999999999997E-3</v>
      </c>
      <c r="F563" s="19">
        <f>Solar!D563</f>
        <v>1361.07</v>
      </c>
      <c r="G563" s="32">
        <v>4.5500000000000002E-3</v>
      </c>
      <c r="H563" s="33">
        <v>0.21360000000000001</v>
      </c>
      <c r="I563" s="20">
        <f t="shared" si="25"/>
        <v>0.66182693457918373</v>
      </c>
      <c r="J563" s="20">
        <f t="shared" si="26"/>
        <v>-0.15182693457918572</v>
      </c>
      <c r="K563" s="20">
        <f>ENSO!I563</f>
        <v>-0.13207532185927462</v>
      </c>
      <c r="L563" s="19">
        <f>Analysis!B563</f>
        <v>2004.9583333333333</v>
      </c>
    </row>
    <row r="564" spans="1:12" ht="15" customHeight="1">
      <c r="A564" s="18" t="str">
        <f>Analysis!A564</f>
        <v>1/2005</v>
      </c>
      <c r="B564" s="19">
        <f>Analysis!E564</f>
        <v>0.75</v>
      </c>
      <c r="C564" s="20">
        <f>Analysis!F564</f>
        <v>0.43536189749141069</v>
      </c>
      <c r="D564" s="19">
        <f>ENSO!D564</f>
        <v>0.61</v>
      </c>
      <c r="E564" s="34">
        <f t="shared" si="27"/>
        <v>4.1399999999999996E-3</v>
      </c>
      <c r="F564" s="19">
        <f>Solar!D564</f>
        <v>1360.62</v>
      </c>
      <c r="G564" s="32">
        <v>4.7099999999999998E-3</v>
      </c>
      <c r="H564" s="33">
        <v>0.21049999999999999</v>
      </c>
      <c r="I564" s="20">
        <f t="shared" si="25"/>
        <v>0.67462791564066094</v>
      </c>
      <c r="J564" s="20">
        <f t="shared" si="26"/>
        <v>7.5372084359339064E-2</v>
      </c>
      <c r="K564" s="20">
        <f>ENSO!I564</f>
        <v>9.5358231230311952E-2</v>
      </c>
      <c r="L564" s="19">
        <f>Analysis!B564</f>
        <v>2005.0416666666667</v>
      </c>
    </row>
    <row r="565" spans="1:12" ht="15" customHeight="1">
      <c r="A565" s="18" t="str">
        <f>Analysis!A565</f>
        <v>2/2005</v>
      </c>
      <c r="B565" s="19">
        <f>Analysis!E565</f>
        <v>0.60000000000000142</v>
      </c>
      <c r="C565" s="20">
        <f>Analysis!F565</f>
        <v>0.4402308599854548</v>
      </c>
      <c r="D565" s="19">
        <f>ENSO!D565</f>
        <v>0.64</v>
      </c>
      <c r="E565" s="34">
        <f t="shared" si="27"/>
        <v>4.1799999999999997E-3</v>
      </c>
      <c r="F565" s="19">
        <f>Solar!D565</f>
        <v>1360.8</v>
      </c>
      <c r="G565" s="32">
        <v>4.8799999999999998E-3</v>
      </c>
      <c r="H565" s="33">
        <v>0.2069</v>
      </c>
      <c r="I565" s="20">
        <f t="shared" si="25"/>
        <v>0.69060348633182533</v>
      </c>
      <c r="J565" s="20">
        <f t="shared" si="26"/>
        <v>-9.0603486331823913E-2</v>
      </c>
      <c r="K565" s="20">
        <f>ENSO!I565</f>
        <v>-7.0626949265948813E-2</v>
      </c>
      <c r="L565" s="19">
        <f>Analysis!B565</f>
        <v>2005.125</v>
      </c>
    </row>
    <row r="566" spans="1:12" ht="15" customHeight="1">
      <c r="A566" s="18" t="str">
        <f>Analysis!A566</f>
        <v>3/2005</v>
      </c>
      <c r="B566" s="19">
        <f>Analysis!E566</f>
        <v>0.73999999999999666</v>
      </c>
      <c r="C566" s="20">
        <f>Analysis!F566</f>
        <v>0.44417482806617692</v>
      </c>
      <c r="D566" s="19">
        <f>ENSO!D566</f>
        <v>0.71</v>
      </c>
      <c r="E566" s="34">
        <f t="shared" si="27"/>
        <v>4.2700000000000004E-3</v>
      </c>
      <c r="F566" s="19">
        <f>Solar!D566</f>
        <v>1360.75</v>
      </c>
      <c r="G566" s="32">
        <v>5.5399999999999998E-3</v>
      </c>
      <c r="H566" s="33">
        <v>0.1938</v>
      </c>
      <c r="I566" s="20">
        <f t="shared" si="25"/>
        <v>0.70765798633085253</v>
      </c>
      <c r="J566" s="20">
        <f t="shared" si="26"/>
        <v>3.2342013669144132E-2</v>
      </c>
      <c r="K566" s="20">
        <f>ENSO!I566</f>
        <v>5.2447130529111652E-2</v>
      </c>
      <c r="L566" s="19">
        <f>Analysis!B566</f>
        <v>2005.2083333333333</v>
      </c>
    </row>
    <row r="567" spans="1:12" ht="15" customHeight="1">
      <c r="A567" s="18" t="str">
        <f>Analysis!A567</f>
        <v>4/2005</v>
      </c>
      <c r="B567" s="19">
        <f>Analysis!E567</f>
        <v>0.66999999999999993</v>
      </c>
      <c r="C567" s="20">
        <f>Analysis!F567</f>
        <v>0.44995748362800358</v>
      </c>
      <c r="D567" s="19">
        <f>ENSO!D567</f>
        <v>0.62</v>
      </c>
      <c r="E567" s="34">
        <f t="shared" si="27"/>
        <v>4.4299999999999999E-3</v>
      </c>
      <c r="F567" s="19">
        <f>Solar!D567</f>
        <v>1360.72</v>
      </c>
      <c r="G567" s="32">
        <v>5.6699999999999997E-3</v>
      </c>
      <c r="H567" s="33">
        <v>0.19120000000000001</v>
      </c>
      <c r="I567" s="20">
        <f t="shared" si="25"/>
        <v>0.71472614300482273</v>
      </c>
      <c r="J567" s="20">
        <f t="shared" si="26"/>
        <v>-4.4726143004822805E-2</v>
      </c>
      <c r="K567" s="20">
        <f>ENSO!I567</f>
        <v>-2.5603246174970229E-2</v>
      </c>
      <c r="L567" s="19">
        <f>Analysis!B567</f>
        <v>2005.2916666666667</v>
      </c>
    </row>
    <row r="568" spans="1:12" ht="15" customHeight="1">
      <c r="A568" s="18" t="str">
        <f>Analysis!A568</f>
        <v>5/2005</v>
      </c>
      <c r="B568" s="19">
        <f>Analysis!E568</f>
        <v>0.63000000000000256</v>
      </c>
      <c r="C568" s="20">
        <f>Analysis!F568</f>
        <v>0.45056086926661437</v>
      </c>
      <c r="D568" s="19">
        <f>ENSO!D568</f>
        <v>0.55000000000000004</v>
      </c>
      <c r="E568" s="34">
        <f t="shared" si="27"/>
        <v>4.3099999999999996E-3</v>
      </c>
      <c r="F568" s="19">
        <f>Solar!D568</f>
        <v>1360.66</v>
      </c>
      <c r="G568" s="32">
        <v>5.7200000000000003E-3</v>
      </c>
      <c r="H568" s="33">
        <v>0.19009999999999999</v>
      </c>
      <c r="I568" s="20">
        <f t="shared" si="25"/>
        <v>0.71014022379262376</v>
      </c>
      <c r="J568" s="20">
        <f t="shared" si="26"/>
        <v>-8.0140223792621201E-2</v>
      </c>
      <c r="K568" s="20">
        <f>ENSO!I568</f>
        <v>-6.1167979627641755E-2</v>
      </c>
      <c r="L568" s="19">
        <f>Analysis!B568</f>
        <v>2005.375</v>
      </c>
    </row>
    <row r="569" spans="1:12" ht="15" customHeight="1">
      <c r="A569" s="18" t="str">
        <f>Analysis!A569</f>
        <v>6/2005</v>
      </c>
      <c r="B569" s="19">
        <f>Analysis!E569</f>
        <v>0.65000000000000213</v>
      </c>
      <c r="C569" s="20">
        <f>Analysis!F569</f>
        <v>0.44965569614841971</v>
      </c>
      <c r="D569" s="19">
        <f>ENSO!D569</f>
        <v>0.4</v>
      </c>
      <c r="E569" s="34">
        <f t="shared" si="27"/>
        <v>4.4000000000000003E-3</v>
      </c>
      <c r="F569" s="19">
        <f>Solar!D569</f>
        <v>1360.64</v>
      </c>
      <c r="G569" s="32">
        <v>5.7499999999999999E-3</v>
      </c>
      <c r="H569" s="33">
        <v>0.18959999999999999</v>
      </c>
      <c r="I569" s="20">
        <f t="shared" si="25"/>
        <v>0.69355414716863206</v>
      </c>
      <c r="J569" s="20">
        <f t="shared" si="26"/>
        <v>-4.3554147168629931E-2</v>
      </c>
      <c r="K569" s="20">
        <f>ENSO!I569</f>
        <v>-2.5625988114308051E-2</v>
      </c>
      <c r="L569" s="19">
        <f>Analysis!B569</f>
        <v>2005.4583333333333</v>
      </c>
    </row>
    <row r="570" spans="1:12" ht="15" customHeight="1">
      <c r="A570" s="18" t="str">
        <f>Analysis!A570</f>
        <v>7/2005</v>
      </c>
      <c r="B570" s="19">
        <f>Analysis!E570</f>
        <v>0.61000000000000121</v>
      </c>
      <c r="C570" s="20">
        <f>Analysis!F570</f>
        <v>0.44409908411483445</v>
      </c>
      <c r="D570" s="19">
        <f>ENSO!D570</f>
        <v>0.37</v>
      </c>
      <c r="E570" s="34">
        <f t="shared" si="27"/>
        <v>4.5500000000000002E-3</v>
      </c>
      <c r="F570" s="19">
        <f>Solar!D570</f>
        <v>1360.7</v>
      </c>
      <c r="G570" s="32">
        <v>6.0000000000000001E-3</v>
      </c>
      <c r="H570" s="33">
        <v>0.18459999999999999</v>
      </c>
      <c r="I570" s="20">
        <f t="shared" si="25"/>
        <v>0.67528499639919215</v>
      </c>
      <c r="J570" s="20">
        <f t="shared" si="26"/>
        <v>-6.5284996399190942E-2</v>
      </c>
      <c r="K570" s="20">
        <f>ENSO!I570</f>
        <v>-4.7751974515025775E-2</v>
      </c>
      <c r="L570" s="19">
        <f>Analysis!B570</f>
        <v>2005.5416666666667</v>
      </c>
    </row>
    <row r="571" spans="1:12" ht="15" customHeight="1">
      <c r="A571" s="18" t="str">
        <f>Analysis!A571</f>
        <v>8/2005</v>
      </c>
      <c r="B571" s="19">
        <f>Analysis!E571</f>
        <v>0.60000000000000142</v>
      </c>
      <c r="C571" s="20">
        <f>Analysis!F571</f>
        <v>0.43650453579040066</v>
      </c>
      <c r="D571" s="19">
        <f>ENSO!D571</f>
        <v>0.27</v>
      </c>
      <c r="E571" s="34">
        <f t="shared" si="27"/>
        <v>4.7099999999999998E-3</v>
      </c>
      <c r="F571" s="19">
        <f>Solar!D571</f>
        <v>1360.78</v>
      </c>
      <c r="G571" s="32">
        <v>6.4599999999999996E-3</v>
      </c>
      <c r="H571" s="33">
        <v>0.17549999999999999</v>
      </c>
      <c r="I571" s="20">
        <f t="shared" si="25"/>
        <v>0.64493987083722015</v>
      </c>
      <c r="J571" s="20">
        <f t="shared" si="26"/>
        <v>-4.4939870837218732E-2</v>
      </c>
      <c r="K571" s="20">
        <f>ENSO!I571</f>
        <v>-2.8187521479872579E-2</v>
      </c>
      <c r="L571" s="19">
        <f>Analysis!B571</f>
        <v>2005.625</v>
      </c>
    </row>
    <row r="572" spans="1:12" ht="15" customHeight="1">
      <c r="A572" s="18" t="str">
        <f>Analysis!A572</f>
        <v>9/2005</v>
      </c>
      <c r="B572" s="19">
        <f>Analysis!E572</f>
        <v>0.72000000000000242</v>
      </c>
      <c r="C572" s="20">
        <f>Analysis!F572</f>
        <v>0.42871668939795532</v>
      </c>
      <c r="D572" s="19">
        <f>ENSO!D572</f>
        <v>0.09</v>
      </c>
      <c r="E572" s="34">
        <f t="shared" si="27"/>
        <v>4.8799999999999998E-3</v>
      </c>
      <c r="F572" s="19">
        <f>Solar!D572</f>
        <v>1360.64</v>
      </c>
      <c r="G572" s="32">
        <v>6.5300000000000002E-3</v>
      </c>
      <c r="H572" s="33">
        <v>0.1739</v>
      </c>
      <c r="I572" s="20">
        <f t="shared" si="25"/>
        <v>0.60662193435524836</v>
      </c>
      <c r="J572" s="20">
        <f t="shared" si="26"/>
        <v>0.11337806564475406</v>
      </c>
      <c r="K572" s="20">
        <f>ENSO!I572</f>
        <v>0.12887090353412989</v>
      </c>
      <c r="L572" s="19">
        <f>Analysis!B572</f>
        <v>2005.7083333333333</v>
      </c>
    </row>
    <row r="573" spans="1:12" ht="15" customHeight="1">
      <c r="A573" s="18" t="str">
        <f>Analysis!A573</f>
        <v>10/2005</v>
      </c>
      <c r="B573" s="19">
        <f>Analysis!E573</f>
        <v>0.75999999999999801</v>
      </c>
      <c r="C573" s="20">
        <f>Analysis!F573</f>
        <v>0.42986460085324052</v>
      </c>
      <c r="D573" s="19">
        <f>ENSO!D573</f>
        <v>-0.04</v>
      </c>
      <c r="E573" s="34">
        <f t="shared" si="27"/>
        <v>5.5399999999999998E-3</v>
      </c>
      <c r="F573" s="19">
        <f>Solar!D573</f>
        <v>1360.78</v>
      </c>
      <c r="G573" s="32">
        <v>6.4999999999999997E-3</v>
      </c>
      <c r="H573" s="33">
        <v>0.17460000000000001</v>
      </c>
      <c r="I573" s="20">
        <f t="shared" si="25"/>
        <v>0.59623719325826263</v>
      </c>
      <c r="J573" s="20">
        <f t="shared" si="26"/>
        <v>0.16376280674173538</v>
      </c>
      <c r="K573" s="20">
        <f>ENSO!I573</f>
        <v>0.17703273486176063</v>
      </c>
      <c r="L573" s="19">
        <f>Analysis!B573</f>
        <v>2005.7916666666667</v>
      </c>
    </row>
    <row r="574" spans="1:12" ht="15" customHeight="1">
      <c r="A574" s="18" t="str">
        <f>Analysis!A574</f>
        <v>11/2005</v>
      </c>
      <c r="B574" s="19">
        <f>Analysis!E574</f>
        <v>0.73999999999999666</v>
      </c>
      <c r="C574" s="20">
        <f>Analysis!F574</f>
        <v>0.43501892945440074</v>
      </c>
      <c r="D574" s="19">
        <f>ENSO!D574</f>
        <v>-0.14000000000000001</v>
      </c>
      <c r="E574" s="34">
        <f t="shared" si="27"/>
        <v>5.6699999999999997E-3</v>
      </c>
      <c r="F574" s="19">
        <f>Solar!D574</f>
        <v>1360.62</v>
      </c>
      <c r="G574" s="32">
        <v>6.3200000000000001E-3</v>
      </c>
      <c r="H574" s="33">
        <v>0.1782</v>
      </c>
      <c r="I574" s="20">
        <f t="shared" si="25"/>
        <v>0.60072969513067531</v>
      </c>
      <c r="J574" s="20">
        <f t="shared" si="26"/>
        <v>0.13927030486932135</v>
      </c>
      <c r="K574" s="20">
        <f>ENSO!I574</f>
        <v>0.15157862192873883</v>
      </c>
      <c r="L574" s="19">
        <f>Analysis!B574</f>
        <v>2005.875</v>
      </c>
    </row>
    <row r="575" spans="1:12" ht="15" customHeight="1">
      <c r="A575" s="18" t="str">
        <f>Analysis!A575</f>
        <v>12/2005</v>
      </c>
      <c r="B575" s="19">
        <f>Analysis!E575</f>
        <v>0.67999999999999972</v>
      </c>
      <c r="C575" s="20">
        <f>Analysis!F575</f>
        <v>0.44174904700923706</v>
      </c>
      <c r="D575" s="19">
        <f>ENSO!D575</f>
        <v>-0.11</v>
      </c>
      <c r="E575" s="34">
        <f t="shared" si="27"/>
        <v>5.7200000000000003E-3</v>
      </c>
      <c r="F575" s="19">
        <f>Solar!D575</f>
        <v>1360.72</v>
      </c>
      <c r="G575" s="32">
        <v>5.94E-3</v>
      </c>
      <c r="H575" s="33">
        <v>0.1857</v>
      </c>
      <c r="I575" s="20">
        <f t="shared" si="25"/>
        <v>0.62175942477868018</v>
      </c>
      <c r="J575" s="20">
        <f t="shared" si="26"/>
        <v>5.8240575221319535E-2</v>
      </c>
      <c r="K575" s="20">
        <f>ENSO!I575</f>
        <v>7.0481227889770959E-2</v>
      </c>
      <c r="L575" s="19">
        <f>Analysis!B575</f>
        <v>2005.9583333333333</v>
      </c>
    </row>
    <row r="576" spans="1:12" ht="15" customHeight="1">
      <c r="A576" s="18" t="str">
        <f>Analysis!A576</f>
        <v>1/2006</v>
      </c>
      <c r="B576" s="19">
        <f>Analysis!E576</f>
        <v>0.55999999999999872</v>
      </c>
      <c r="C576" s="20">
        <f>Analysis!F576</f>
        <v>0.44655872924400647</v>
      </c>
      <c r="D576" s="19">
        <f>ENSO!D576</f>
        <v>-0.27</v>
      </c>
      <c r="E576" s="34">
        <f t="shared" si="27"/>
        <v>5.7499999999999999E-3</v>
      </c>
      <c r="F576" s="19">
        <f>Solar!D576</f>
        <v>1360.77</v>
      </c>
      <c r="G576" s="32">
        <v>6.1000000000000004E-3</v>
      </c>
      <c r="H576" s="33">
        <v>0.1825</v>
      </c>
      <c r="I576" s="20">
        <f t="shared" si="25"/>
        <v>0.61996426352395451</v>
      </c>
      <c r="J576" s="20">
        <f t="shared" si="26"/>
        <v>-5.9964263523955785E-2</v>
      </c>
      <c r="K576" s="20">
        <f>ENSO!I576</f>
        <v>-4.8803945539939386E-2</v>
      </c>
      <c r="L576" s="19">
        <f>Analysis!B576</f>
        <v>2006.0416666666667</v>
      </c>
    </row>
    <row r="577" spans="1:12" ht="15" customHeight="1">
      <c r="A577" s="18" t="str">
        <f>Analysis!A577</f>
        <v>2/2006</v>
      </c>
      <c r="B577" s="19">
        <f>Analysis!E577</f>
        <v>0.73999999999999666</v>
      </c>
      <c r="C577" s="20">
        <f>Analysis!F577</f>
        <v>0.44965569614841971</v>
      </c>
      <c r="D577" s="19">
        <f>ENSO!D577</f>
        <v>-0.56999999999999995</v>
      </c>
      <c r="E577" s="34">
        <f t="shared" si="27"/>
        <v>6.0000000000000001E-3</v>
      </c>
      <c r="F577" s="19">
        <f>Solar!D577</f>
        <v>1360.74</v>
      </c>
      <c r="G577" s="32">
        <v>6.0000000000000001E-3</v>
      </c>
      <c r="H577" s="33">
        <v>0.1845</v>
      </c>
      <c r="I577" s="20">
        <f t="shared" si="25"/>
        <v>0.60002241847947313</v>
      </c>
      <c r="J577" s="20">
        <f t="shared" si="26"/>
        <v>0.13997758152052353</v>
      </c>
      <c r="K577" s="20">
        <f>ENSO!I577</f>
        <v>0.1488006486785497</v>
      </c>
      <c r="L577" s="19">
        <f>Analysis!B577</f>
        <v>2006.125</v>
      </c>
    </row>
    <row r="578" spans="1:12" ht="15" customHeight="1">
      <c r="A578" s="18" t="str">
        <f>Analysis!A578</f>
        <v>3/2006</v>
      </c>
      <c r="B578" s="19">
        <f>Analysis!E578</f>
        <v>0.63000000000000256</v>
      </c>
      <c r="C578" s="20">
        <f>Analysis!F578</f>
        <v>0.4513901126832936</v>
      </c>
      <c r="D578" s="19">
        <f>ENSO!D578</f>
        <v>-0.82</v>
      </c>
      <c r="E578" s="34">
        <f t="shared" si="27"/>
        <v>6.4599999999999996E-3</v>
      </c>
      <c r="F578" s="19">
        <f>Solar!D578</f>
        <v>1360.68</v>
      </c>
      <c r="G578" s="32">
        <v>5.8199999999999997E-3</v>
      </c>
      <c r="H578" s="33">
        <v>0.1883</v>
      </c>
      <c r="I578" s="20">
        <f t="shared" ref="I578:I641" si="28">IF(OR(D578="",E578=""),"",$N$14+$N$15*C578+$N$16*D578+$N$17*E578)</f>
        <v>0.58054199509922022</v>
      </c>
      <c r="J578" s="20">
        <f t="shared" ref="J578:J641" si="29">IF(I578="","",B578-I578)</f>
        <v>4.9458004900782337E-2</v>
      </c>
      <c r="K578" s="20">
        <f>ENSO!I578</f>
        <v>5.579600250240957E-2</v>
      </c>
      <c r="L578" s="19">
        <f>Analysis!B578</f>
        <v>2006.2083333333333</v>
      </c>
    </row>
    <row r="579" spans="1:12" ht="15" customHeight="1">
      <c r="A579" s="18" t="str">
        <f>Analysis!A579</f>
        <v>4/2006</v>
      </c>
      <c r="B579" s="19">
        <f>Analysis!E579</f>
        <v>0.47000000000000242</v>
      </c>
      <c r="C579" s="20">
        <f>Analysis!F579</f>
        <v>0.45868197193771321</v>
      </c>
      <c r="D579" s="19">
        <f>ENSO!D579</f>
        <v>-0.86</v>
      </c>
      <c r="E579" s="34">
        <f t="shared" si="27"/>
        <v>6.5300000000000002E-3</v>
      </c>
      <c r="F579" s="19">
        <f>Solar!D579</f>
        <v>1360.65</v>
      </c>
      <c r="G579" s="32">
        <v>5.8599999999999998E-3</v>
      </c>
      <c r="H579" s="33">
        <v>0.18740000000000001</v>
      </c>
      <c r="I579" s="20">
        <f t="shared" si="28"/>
        <v>0.59656417546274998</v>
      </c>
      <c r="J579" s="20">
        <f t="shared" si="29"/>
        <v>-0.12656417546274756</v>
      </c>
      <c r="K579" s="20">
        <f>ENSO!I579</f>
        <v>-0.12075173757813096</v>
      </c>
      <c r="L579" s="19">
        <f>Analysis!B579</f>
        <v>2006.2916666666667</v>
      </c>
    </row>
    <row r="580" spans="1:12" ht="15" customHeight="1">
      <c r="A580" s="18" t="str">
        <f>Analysis!A580</f>
        <v>5/2006</v>
      </c>
      <c r="B580" s="19">
        <f>Analysis!E580</f>
        <v>0.47999999999999865</v>
      </c>
      <c r="C580" s="20">
        <f>Analysis!F580</f>
        <v>0.46025578035116405</v>
      </c>
      <c r="D580" s="19">
        <f>ENSO!D580</f>
        <v>-0.8</v>
      </c>
      <c r="E580" s="34">
        <f t="shared" si="27"/>
        <v>6.4999999999999997E-3</v>
      </c>
      <c r="F580" s="19">
        <f>Solar!D580</f>
        <v>1360.84</v>
      </c>
      <c r="G580" s="32">
        <v>5.8300000000000001E-3</v>
      </c>
      <c r="H580" s="33">
        <v>0.18809999999999999</v>
      </c>
      <c r="I580" s="20">
        <f t="shared" si="28"/>
        <v>0.6064903327603749</v>
      </c>
      <c r="J580" s="20">
        <f t="shared" si="29"/>
        <v>-0.12649033276037625</v>
      </c>
      <c r="K580" s="20">
        <f>ENSO!I580</f>
        <v>-0.12029693465156466</v>
      </c>
      <c r="L580" s="19">
        <f>Analysis!B580</f>
        <v>2006.375</v>
      </c>
    </row>
    <row r="581" spans="1:12" ht="15" customHeight="1">
      <c r="A581" s="18" t="str">
        <f>Analysis!A581</f>
        <v>6/2006</v>
      </c>
      <c r="B581" s="19">
        <f>Analysis!E581</f>
        <v>0.66999999999999993</v>
      </c>
      <c r="C581" s="20">
        <f>Analysis!F581</f>
        <v>0.45658088651772205</v>
      </c>
      <c r="D581" s="19">
        <f>ENSO!D581</f>
        <v>-0.63</v>
      </c>
      <c r="E581" s="34">
        <f t="shared" si="27"/>
        <v>6.3200000000000001E-3</v>
      </c>
      <c r="F581" s="19">
        <f>Solar!D581</f>
        <v>1360.71</v>
      </c>
      <c r="G581" s="32">
        <v>6.3200000000000001E-3</v>
      </c>
      <c r="H581" s="33">
        <v>0.1782</v>
      </c>
      <c r="I581" s="20">
        <f t="shared" si="28"/>
        <v>0.61263854826239716</v>
      </c>
      <c r="J581" s="20">
        <f t="shared" si="29"/>
        <v>5.7361451737602764E-2</v>
      </c>
      <c r="K581" s="20">
        <f>ENSO!I581</f>
        <v>6.5000828675241151E-2</v>
      </c>
      <c r="L581" s="19">
        <f>Analysis!B581</f>
        <v>2006.4583333333333</v>
      </c>
    </row>
    <row r="582" spans="1:12" ht="15" customHeight="1">
      <c r="A582" s="18" t="str">
        <f>Analysis!A582</f>
        <v>7/2006</v>
      </c>
      <c r="B582" s="19">
        <f>Analysis!E582</f>
        <v>0.53999999999999915</v>
      </c>
      <c r="C582" s="20">
        <f>Analysis!F582</f>
        <v>0.45059857249129948</v>
      </c>
      <c r="D582" s="19">
        <f>ENSO!D582</f>
        <v>-0.45</v>
      </c>
      <c r="E582" s="34">
        <f t="shared" si="27"/>
        <v>5.94E-3</v>
      </c>
      <c r="F582" s="19">
        <f>Solar!D582</f>
        <v>1360.68</v>
      </c>
      <c r="G582" s="32">
        <v>6.8300000000000001E-3</v>
      </c>
      <c r="H582" s="33">
        <v>0.16800000000000001</v>
      </c>
      <c r="I582" s="20">
        <f t="shared" si="28"/>
        <v>0.61386146682008491</v>
      </c>
      <c r="J582" s="20">
        <f t="shared" si="29"/>
        <v>-7.3861466820085764E-2</v>
      </c>
      <c r="K582" s="20">
        <f>ENSO!I582</f>
        <v>-6.4233772810243339E-2</v>
      </c>
      <c r="L582" s="19">
        <f>Analysis!B582</f>
        <v>2006.5416666666667</v>
      </c>
    </row>
    <row r="583" spans="1:12" ht="15" customHeight="1">
      <c r="A583" s="18" t="str">
        <f>Analysis!A583</f>
        <v>8/2006</v>
      </c>
      <c r="B583" s="19">
        <f>Analysis!E583</f>
        <v>0.71000000000000085</v>
      </c>
      <c r="C583" s="20">
        <f>Analysis!F583</f>
        <v>0.44284873444169331</v>
      </c>
      <c r="D583" s="19">
        <f>ENSO!D583</f>
        <v>-0.19</v>
      </c>
      <c r="E583" s="34">
        <f t="shared" si="27"/>
        <v>6.1000000000000004E-3</v>
      </c>
      <c r="F583" s="19">
        <f>Solar!D583</f>
        <v>1360.54</v>
      </c>
      <c r="G583" s="32">
        <v>7.3600000000000002E-3</v>
      </c>
      <c r="H583" s="33">
        <v>0.1573</v>
      </c>
      <c r="I583" s="20">
        <f t="shared" si="28"/>
        <v>0.61649900564191362</v>
      </c>
      <c r="J583" s="20">
        <f t="shared" si="29"/>
        <v>9.350099435808723E-2</v>
      </c>
      <c r="K583" s="20">
        <f>ENSO!I583</f>
        <v>0.10442363228284135</v>
      </c>
      <c r="L583" s="19">
        <f>Analysis!B583</f>
        <v>2006.625</v>
      </c>
    </row>
    <row r="584" spans="1:12" ht="15" customHeight="1">
      <c r="A584" s="18" t="str">
        <f>Analysis!A584</f>
        <v>9/2006</v>
      </c>
      <c r="B584" s="19">
        <f>Analysis!E584</f>
        <v>0.66000000000000369</v>
      </c>
      <c r="C584" s="20">
        <f>Analysis!F584</f>
        <v>0.4369232765205403</v>
      </c>
      <c r="D584" s="19">
        <f>ENSO!D584</f>
        <v>-0.05</v>
      </c>
      <c r="E584" s="34">
        <f t="shared" si="27"/>
        <v>6.0000000000000001E-3</v>
      </c>
      <c r="F584" s="19">
        <f>Solar!D584</f>
        <v>1360.72</v>
      </c>
      <c r="G584" s="32">
        <v>7.5700000000000003E-3</v>
      </c>
      <c r="H584" s="33">
        <v>0.15310000000000001</v>
      </c>
      <c r="I584" s="20">
        <f t="shared" si="28"/>
        <v>0.61354909575995942</v>
      </c>
      <c r="J584" s="20">
        <f t="shared" si="29"/>
        <v>4.6450904240044277E-2</v>
      </c>
      <c r="K584" s="20">
        <f>ENSO!I584</f>
        <v>5.8514369462276061E-2</v>
      </c>
      <c r="L584" s="19">
        <f>Analysis!B584</f>
        <v>2006.7083333333333</v>
      </c>
    </row>
    <row r="585" spans="1:12" ht="15" customHeight="1">
      <c r="A585" s="18" t="str">
        <f>Analysis!A585</f>
        <v>10/2006</v>
      </c>
      <c r="B585" s="19">
        <f>Analysis!E585</f>
        <v>0.71000000000000085</v>
      </c>
      <c r="C585" s="20">
        <f>Analysis!F585</f>
        <v>0.43802664712394201</v>
      </c>
      <c r="D585" s="19">
        <f>ENSO!D585</f>
        <v>0.12</v>
      </c>
      <c r="E585" s="34">
        <f t="shared" ref="E585:E648" si="30">IF(G578="","",G578)</f>
        <v>5.8199999999999997E-3</v>
      </c>
      <c r="F585" s="19">
        <f>Solar!D585</f>
        <v>1360.74</v>
      </c>
      <c r="G585" s="32">
        <v>7.4999999999999997E-3</v>
      </c>
      <c r="H585" s="33">
        <v>0.15459999999999999</v>
      </c>
      <c r="I585" s="20">
        <f t="shared" si="28"/>
        <v>0.63272967334815144</v>
      </c>
      <c r="J585" s="20">
        <f t="shared" si="29"/>
        <v>7.7270326651849408E-2</v>
      </c>
      <c r="K585" s="20">
        <f>ENSO!I585</f>
        <v>9.0687214463207932E-2</v>
      </c>
      <c r="L585" s="19">
        <f>Analysis!B585</f>
        <v>2006.7916666666667</v>
      </c>
    </row>
    <row r="586" spans="1:12" ht="15" customHeight="1">
      <c r="A586" s="18" t="str">
        <f>Analysis!A586</f>
        <v>11/2006</v>
      </c>
      <c r="B586" s="19">
        <f>Analysis!E586</f>
        <v>0.7300000000000022</v>
      </c>
      <c r="C586" s="20">
        <f>Analysis!F586</f>
        <v>0.44190077787897852</v>
      </c>
      <c r="D586" s="19">
        <f>ENSO!D586</f>
        <v>0.33</v>
      </c>
      <c r="E586" s="34">
        <f t="shared" si="30"/>
        <v>5.8599999999999998E-3</v>
      </c>
      <c r="F586" s="19">
        <f>Solar!D586</f>
        <v>1360.53</v>
      </c>
      <c r="G586" s="32">
        <v>8.3800000000000003E-3</v>
      </c>
      <c r="H586" s="33">
        <v>0.13689999999999999</v>
      </c>
      <c r="I586" s="20">
        <f t="shared" si="28"/>
        <v>0.6626950170077377</v>
      </c>
      <c r="J586" s="20">
        <f t="shared" si="29"/>
        <v>6.7304982992264506E-2</v>
      </c>
      <c r="K586" s="20">
        <f>ENSO!I586</f>
        <v>8.1767835370575304E-2</v>
      </c>
      <c r="L586" s="19">
        <f>Analysis!B586</f>
        <v>2006.875</v>
      </c>
    </row>
    <row r="587" spans="1:12" ht="15" customHeight="1">
      <c r="A587" s="18" t="str">
        <f>Analysis!A587</f>
        <v>12/2006</v>
      </c>
      <c r="B587" s="19">
        <f>Analysis!E587</f>
        <v>0.79000000000000092</v>
      </c>
      <c r="C587" s="20">
        <f>Analysis!F587</f>
        <v>0.44822134288530163</v>
      </c>
      <c r="D587" s="19">
        <f>ENSO!D587</f>
        <v>0.54</v>
      </c>
      <c r="E587" s="34">
        <f t="shared" si="30"/>
        <v>5.8300000000000001E-3</v>
      </c>
      <c r="F587" s="19">
        <f>Solar!D587</f>
        <v>1360.55</v>
      </c>
      <c r="G587" s="32">
        <v>8.8000000000000005E-3</v>
      </c>
      <c r="H587" s="33">
        <v>0.1285</v>
      </c>
      <c r="I587" s="20">
        <f t="shared" si="28"/>
        <v>0.6994868534154316</v>
      </c>
      <c r="J587" s="20">
        <f t="shared" si="29"/>
        <v>9.0513146584569326E-2</v>
      </c>
      <c r="K587" s="20">
        <f>ENSO!I587</f>
        <v>0.10612860011214009</v>
      </c>
      <c r="L587" s="19">
        <f>Analysis!B587</f>
        <v>2006.9583333333333</v>
      </c>
    </row>
    <row r="588" spans="1:12" ht="15" customHeight="1">
      <c r="A588" s="18" t="str">
        <f>Analysis!A588</f>
        <v>1/2007</v>
      </c>
      <c r="B588" s="19">
        <f>Analysis!E588</f>
        <v>1.0099999999999998</v>
      </c>
      <c r="C588" s="20">
        <f>Analysis!F588</f>
        <v>0.45229419859155129</v>
      </c>
      <c r="D588" s="19">
        <f>ENSO!D588</f>
        <v>0.71</v>
      </c>
      <c r="E588" s="34">
        <f t="shared" si="30"/>
        <v>6.3200000000000001E-3</v>
      </c>
      <c r="F588" s="19">
        <f>Solar!D588</f>
        <v>1360.53</v>
      </c>
      <c r="G588" s="32">
        <v>8.9800000000000001E-3</v>
      </c>
      <c r="H588" s="33">
        <v>0.12509999999999999</v>
      </c>
      <c r="I588" s="20">
        <f t="shared" si="28"/>
        <v>0.72529224551457738</v>
      </c>
      <c r="J588" s="20">
        <f t="shared" si="29"/>
        <v>0.2847077544854224</v>
      </c>
      <c r="K588" s="20">
        <f>ENSO!I588</f>
        <v>0.30014487488555575</v>
      </c>
      <c r="L588" s="19">
        <f>Analysis!B588</f>
        <v>2007.0416666666667</v>
      </c>
    </row>
    <row r="589" spans="1:12" ht="15" customHeight="1">
      <c r="A589" s="18" t="str">
        <f>Analysis!A589</f>
        <v>2/2007</v>
      </c>
      <c r="B589" s="19">
        <f>Analysis!E589</f>
        <v>0.70000000000000107</v>
      </c>
      <c r="C589" s="20">
        <f>Analysis!F589</f>
        <v>0.45613025554704617</v>
      </c>
      <c r="D589" s="19">
        <f>ENSO!D589</f>
        <v>0.88</v>
      </c>
      <c r="E589" s="34">
        <f t="shared" si="30"/>
        <v>6.8300000000000001E-3</v>
      </c>
      <c r="F589" s="19">
        <f>Solar!D589</f>
        <v>1360.59</v>
      </c>
      <c r="G589" s="32">
        <v>8.9300000000000004E-3</v>
      </c>
      <c r="H589" s="33">
        <v>0.12609999999999999</v>
      </c>
      <c r="I589" s="20">
        <f t="shared" si="28"/>
        <v>0.750407779527548</v>
      </c>
      <c r="J589" s="20">
        <f t="shared" si="29"/>
        <v>-5.0407779527546936E-2</v>
      </c>
      <c r="K589" s="20">
        <f>ENSO!I589</f>
        <v>-3.5188412445760431E-2</v>
      </c>
      <c r="L589" s="19">
        <f>Analysis!B589</f>
        <v>2007.125</v>
      </c>
    </row>
    <row r="590" spans="1:12" ht="15" customHeight="1">
      <c r="A590" s="18" t="str">
        <f>Analysis!A590</f>
        <v>3/2007</v>
      </c>
      <c r="B590" s="19">
        <f>Analysis!E590</f>
        <v>0.71000000000000085</v>
      </c>
      <c r="C590" s="20">
        <f>Analysis!F590</f>
        <v>0.45871946352542553</v>
      </c>
      <c r="D590" s="19">
        <f>ENSO!D590</f>
        <v>0.88</v>
      </c>
      <c r="E590" s="34">
        <f t="shared" si="30"/>
        <v>7.3600000000000002E-3</v>
      </c>
      <c r="F590" s="19">
        <f>Solar!D590</f>
        <v>1360.66</v>
      </c>
      <c r="G590" s="32">
        <v>8.1600000000000006E-3</v>
      </c>
      <c r="H590" s="33">
        <v>0.14130000000000001</v>
      </c>
      <c r="I590" s="20">
        <f t="shared" si="28"/>
        <v>0.75630346568291362</v>
      </c>
      <c r="J590" s="20">
        <f t="shared" si="29"/>
        <v>-4.630346568291277E-2</v>
      </c>
      <c r="K590" s="20">
        <f>ENSO!I590</f>
        <v>-3.2300438934476094E-2</v>
      </c>
      <c r="L590" s="19">
        <f>Analysis!B590</f>
        <v>2007.2083333333333</v>
      </c>
    </row>
    <row r="591" spans="1:12" ht="15" customHeight="1">
      <c r="A591" s="18" t="str">
        <f>Analysis!A591</f>
        <v>4/2007</v>
      </c>
      <c r="B591" s="19">
        <f>Analysis!E591</f>
        <v>0.77000000000000135</v>
      </c>
      <c r="C591" s="20">
        <f>Analysis!F591</f>
        <v>0.46589985649655991</v>
      </c>
      <c r="D591" s="19">
        <f>ENSO!D591</f>
        <v>0.62</v>
      </c>
      <c r="E591" s="34">
        <f t="shared" si="30"/>
        <v>7.5700000000000003E-3</v>
      </c>
      <c r="F591" s="19">
        <f>Solar!D591</f>
        <v>1360.59</v>
      </c>
      <c r="G591" s="32">
        <v>7.7999999999999996E-3</v>
      </c>
      <c r="H591" s="33">
        <v>0.14849999999999999</v>
      </c>
      <c r="I591" s="20">
        <f t="shared" si="28"/>
        <v>0.75129867728375599</v>
      </c>
      <c r="J591" s="20">
        <f t="shared" si="29"/>
        <v>1.8701322716245361E-2</v>
      </c>
      <c r="K591" s="20">
        <f>ENSO!I591</f>
        <v>3.0606305517699273E-2</v>
      </c>
      <c r="L591" s="19">
        <f>Analysis!B591</f>
        <v>2007.2916666666667</v>
      </c>
    </row>
    <row r="592" spans="1:12" ht="15" customHeight="1">
      <c r="A592" s="18" t="str">
        <f>Analysis!A592</f>
        <v>5/2007</v>
      </c>
      <c r="B592" s="19">
        <f>Analysis!E592</f>
        <v>0.69000000000000128</v>
      </c>
      <c r="C592" s="20">
        <f>Analysis!F592</f>
        <v>0.46608636928151376</v>
      </c>
      <c r="D592" s="19">
        <f>ENSO!D592</f>
        <v>0.19</v>
      </c>
      <c r="E592" s="34">
        <f t="shared" si="30"/>
        <v>7.4999999999999997E-3</v>
      </c>
      <c r="F592" s="19">
        <f>Solar!D592</f>
        <v>1360.57</v>
      </c>
      <c r="G592" s="32">
        <v>7.4400000000000004E-3</v>
      </c>
      <c r="H592" s="33">
        <v>0.15579999999999999</v>
      </c>
      <c r="I592" s="20">
        <f t="shared" si="28"/>
        <v>0.71205954505015068</v>
      </c>
      <c r="J592" s="20">
        <f t="shared" si="29"/>
        <v>-2.2059545050149398E-2</v>
      </c>
      <c r="K592" s="20">
        <f>ENSO!I592</f>
        <v>-1.2479766028145933E-2</v>
      </c>
      <c r="L592" s="19">
        <f>Analysis!B592</f>
        <v>2007.375</v>
      </c>
    </row>
    <row r="593" spans="1:12" ht="15" customHeight="1">
      <c r="A593" s="18" t="str">
        <f>Analysis!A593</f>
        <v>6/2007</v>
      </c>
      <c r="B593" s="19">
        <f>Analysis!E593</f>
        <v>0.61000000000000121</v>
      </c>
      <c r="C593" s="20">
        <f>Analysis!F593</f>
        <v>0.4644068855296089</v>
      </c>
      <c r="D593" s="19">
        <f>ENSO!D593</f>
        <v>-0.12</v>
      </c>
      <c r="E593" s="34">
        <f t="shared" si="30"/>
        <v>8.3800000000000003E-3</v>
      </c>
      <c r="F593" s="19">
        <f>Solar!D593</f>
        <v>1360.65</v>
      </c>
      <c r="G593" s="32">
        <v>7.2100000000000003E-3</v>
      </c>
      <c r="H593" s="33">
        <v>0.1603</v>
      </c>
      <c r="I593" s="20">
        <f t="shared" si="28"/>
        <v>0.67677611279737715</v>
      </c>
      <c r="J593" s="20">
        <f t="shared" si="29"/>
        <v>-6.6776112797375942E-2</v>
      </c>
      <c r="K593" s="20">
        <f>ENSO!I593</f>
        <v>-6.0884857870241782E-2</v>
      </c>
      <c r="L593" s="19">
        <f>Analysis!B593</f>
        <v>2007.4583333333333</v>
      </c>
    </row>
    <row r="594" spans="1:12" ht="15" customHeight="1">
      <c r="A594" s="18" t="str">
        <f>Analysis!A594</f>
        <v>7/2007</v>
      </c>
      <c r="B594" s="19">
        <f>Analysis!E594</f>
        <v>0.60000000000000142</v>
      </c>
      <c r="C594" s="20">
        <f>Analysis!F594</f>
        <v>0.45841950353975386</v>
      </c>
      <c r="D594" s="19">
        <f>ENSO!D594</f>
        <v>-0.32</v>
      </c>
      <c r="E594" s="34">
        <f t="shared" si="30"/>
        <v>8.8000000000000005E-3</v>
      </c>
      <c r="F594" s="19">
        <f>Solar!D594</f>
        <v>1360.61</v>
      </c>
      <c r="G594" s="32">
        <v>7.1500000000000001E-3</v>
      </c>
      <c r="H594" s="33">
        <v>0.16159999999999999</v>
      </c>
      <c r="I594" s="20">
        <f t="shared" si="28"/>
        <v>0.64096282114893854</v>
      </c>
      <c r="J594" s="20">
        <f t="shared" si="29"/>
        <v>-4.0962821148937123E-2</v>
      </c>
      <c r="K594" s="20">
        <f>ENSO!I594</f>
        <v>-3.7031186135286664E-2</v>
      </c>
      <c r="L594" s="19">
        <f>Analysis!B594</f>
        <v>2007.5416666666667</v>
      </c>
    </row>
    <row r="595" spans="1:12" ht="15" customHeight="1">
      <c r="A595" s="18" t="str">
        <f>Analysis!A595</f>
        <v>8/2007</v>
      </c>
      <c r="B595" s="19">
        <f>Analysis!E595</f>
        <v>0.60000000000000142</v>
      </c>
      <c r="C595" s="20">
        <f>Analysis!F595</f>
        <v>0.44905193173664115</v>
      </c>
      <c r="D595" s="19">
        <f>ENSO!D595</f>
        <v>-0.34</v>
      </c>
      <c r="E595" s="34">
        <f t="shared" si="30"/>
        <v>8.9800000000000001E-3</v>
      </c>
      <c r="F595" s="19">
        <f>Solar!D595</f>
        <v>1360.66</v>
      </c>
      <c r="G595" s="32">
        <v>7.1999999999999998E-3</v>
      </c>
      <c r="H595" s="33">
        <v>0.16059999999999999</v>
      </c>
      <c r="I595" s="20">
        <f t="shared" si="28"/>
        <v>0.61316149966472089</v>
      </c>
      <c r="J595" s="20">
        <f t="shared" si="29"/>
        <v>-1.3161499664719467E-2</v>
      </c>
      <c r="K595" s="20">
        <f>ENSO!I595</f>
        <v>-9.5596206384230831E-3</v>
      </c>
      <c r="L595" s="19">
        <f>Analysis!B595</f>
        <v>2007.625</v>
      </c>
    </row>
    <row r="596" spans="1:12" ht="15" customHeight="1">
      <c r="A596" s="18" t="str">
        <f>Analysis!A596</f>
        <v>9/2007</v>
      </c>
      <c r="B596" s="19">
        <f>Analysis!E596</f>
        <v>0.60000000000000142</v>
      </c>
      <c r="C596" s="20">
        <f>Analysis!F596</f>
        <v>0.44512129207761308</v>
      </c>
      <c r="D596" s="19">
        <f>ENSO!D596</f>
        <v>-0.41</v>
      </c>
      <c r="E596" s="34">
        <f t="shared" si="30"/>
        <v>8.9300000000000004E-3</v>
      </c>
      <c r="F596" s="19">
        <f>Solar!D596</f>
        <v>1360.6</v>
      </c>
      <c r="G596" s="32">
        <v>7.11E-3</v>
      </c>
      <c r="H596" s="33">
        <v>0.1623</v>
      </c>
      <c r="I596" s="20">
        <f t="shared" si="28"/>
        <v>0.59605533785789477</v>
      </c>
      <c r="J596" s="20">
        <f t="shared" si="29"/>
        <v>3.9446621421066475E-3</v>
      </c>
      <c r="K596" s="20">
        <f>ENSO!I596</f>
        <v>7.3296891092091698E-3</v>
      </c>
      <c r="L596" s="19">
        <f>Analysis!B596</f>
        <v>2007.7083333333333</v>
      </c>
    </row>
    <row r="597" spans="1:12" ht="15" customHeight="1">
      <c r="A597" s="18" t="str">
        <f>Analysis!A597</f>
        <v>10/2007</v>
      </c>
      <c r="B597" s="19">
        <f>Analysis!E597</f>
        <v>0.58999999999999986</v>
      </c>
      <c r="C597" s="20">
        <f>Analysis!F597</f>
        <v>0.44576453312043945</v>
      </c>
      <c r="D597" s="19">
        <f>ENSO!D597</f>
        <v>-0.49</v>
      </c>
      <c r="E597" s="34">
        <f t="shared" si="30"/>
        <v>8.1600000000000006E-3</v>
      </c>
      <c r="F597" s="19">
        <f>Solar!D597</f>
        <v>1360.6</v>
      </c>
      <c r="G597" s="32">
        <v>6.9800000000000001E-3</v>
      </c>
      <c r="H597" s="33">
        <v>0.1651</v>
      </c>
      <c r="I597" s="20">
        <f t="shared" si="28"/>
        <v>0.59208040011464746</v>
      </c>
      <c r="J597" s="20">
        <f t="shared" si="29"/>
        <v>-2.080400114647607E-3</v>
      </c>
      <c r="K597" s="20">
        <f>ENSO!I597</f>
        <v>2.5258586848474485E-3</v>
      </c>
      <c r="L597" s="19">
        <f>Analysis!B597</f>
        <v>2007.7916666666667</v>
      </c>
    </row>
    <row r="598" spans="1:12" ht="15" customHeight="1">
      <c r="A598" s="18" t="str">
        <f>Analysis!A598</f>
        <v>11/2007</v>
      </c>
      <c r="B598" s="19">
        <f>Analysis!E598</f>
        <v>0.58999999999999986</v>
      </c>
      <c r="C598" s="20">
        <f>Analysis!F598</f>
        <v>0.4507870738361669</v>
      </c>
      <c r="D598" s="19">
        <f>ENSO!D598</f>
        <v>-0.77</v>
      </c>
      <c r="E598" s="34">
        <f t="shared" si="30"/>
        <v>7.7999999999999996E-3</v>
      </c>
      <c r="F598" s="19">
        <f>Solar!D598</f>
        <v>1360.59</v>
      </c>
      <c r="G598" s="32">
        <v>6.94E-3</v>
      </c>
      <c r="H598" s="33">
        <v>0.16589999999999999</v>
      </c>
      <c r="I598" s="20">
        <f t="shared" si="28"/>
        <v>0.58058853010141609</v>
      </c>
      <c r="J598" s="20">
        <f t="shared" si="29"/>
        <v>9.4114698985837686E-3</v>
      </c>
      <c r="K598" s="20">
        <f>ENSO!I598</f>
        <v>1.3100538787360949E-2</v>
      </c>
      <c r="L598" s="19">
        <f>Analysis!B598</f>
        <v>2007.875</v>
      </c>
    </row>
    <row r="599" spans="1:12" ht="15" customHeight="1">
      <c r="A599" s="18" t="str">
        <f>Analysis!A599</f>
        <v>12/2007</v>
      </c>
      <c r="B599" s="19">
        <f>Analysis!E599</f>
        <v>0.5</v>
      </c>
      <c r="C599" s="20">
        <f>Analysis!F599</f>
        <v>0.45639314071876497</v>
      </c>
      <c r="D599" s="19">
        <f>ENSO!D599</f>
        <v>-1.05</v>
      </c>
      <c r="E599" s="34">
        <f t="shared" si="30"/>
        <v>7.4400000000000004E-3</v>
      </c>
      <c r="F599" s="19">
        <f>Solar!D599</f>
        <v>1360.6</v>
      </c>
      <c r="G599" s="32">
        <v>6.5900000000000004E-3</v>
      </c>
      <c r="H599" s="33">
        <v>0.17280000000000001</v>
      </c>
      <c r="I599" s="20">
        <f t="shared" si="28"/>
        <v>0.57068818445732095</v>
      </c>
      <c r="J599" s="20">
        <f t="shared" si="29"/>
        <v>-7.0688184457320946E-2</v>
      </c>
      <c r="K599" s="20">
        <f>ENSO!I599</f>
        <v>-6.7927608534688044E-2</v>
      </c>
      <c r="L599" s="19">
        <f>Analysis!B599</f>
        <v>2007.9583333333333</v>
      </c>
    </row>
    <row r="600" spans="1:12" ht="15" customHeight="1">
      <c r="A600" s="18" t="str">
        <f>Analysis!A600</f>
        <v>1/2008</v>
      </c>
      <c r="B600" s="19">
        <f>Analysis!E600</f>
        <v>0.30000000000000249</v>
      </c>
      <c r="C600" s="20">
        <f>Analysis!F600</f>
        <v>0.46235152448856948</v>
      </c>
      <c r="D600" s="19">
        <f>ENSO!D600</f>
        <v>-1.38</v>
      </c>
      <c r="E600" s="34">
        <f t="shared" si="30"/>
        <v>7.2100000000000003E-3</v>
      </c>
      <c r="F600" s="19">
        <f>Solar!D600</f>
        <v>1360.69</v>
      </c>
      <c r="G600" s="32">
        <v>6.2500000000000003E-3</v>
      </c>
      <c r="H600" s="33">
        <v>0.17960000000000001</v>
      </c>
      <c r="I600" s="20">
        <f t="shared" si="28"/>
        <v>0.55682296043895674</v>
      </c>
      <c r="J600" s="20">
        <f t="shared" si="29"/>
        <v>-0.25682296043895425</v>
      </c>
      <c r="K600" s="20">
        <f>ENSO!I600</f>
        <v>-0.25557161002918749</v>
      </c>
      <c r="L600" s="19">
        <f>Analysis!B600</f>
        <v>2008.0416666666667</v>
      </c>
    </row>
    <row r="601" spans="1:12" ht="15" customHeight="1">
      <c r="A601" s="18" t="str">
        <f>Analysis!A601</f>
        <v>2/2008</v>
      </c>
      <c r="B601" s="19">
        <f>Analysis!E601</f>
        <v>0.38000000000000256</v>
      </c>
      <c r="C601" s="20">
        <f>Analysis!F601</f>
        <v>0.46339825601108536</v>
      </c>
      <c r="D601" s="19">
        <f>ENSO!D601</f>
        <v>-1.57</v>
      </c>
      <c r="E601" s="34">
        <f t="shared" si="30"/>
        <v>7.1500000000000001E-3</v>
      </c>
      <c r="F601" s="19">
        <f>Solar!D601</f>
        <v>1360.63</v>
      </c>
      <c r="G601" s="32">
        <v>6.2399999999999999E-3</v>
      </c>
      <c r="H601" s="33">
        <v>0.1799</v>
      </c>
      <c r="I601" s="20">
        <f t="shared" si="28"/>
        <v>0.54217881126280554</v>
      </c>
      <c r="J601" s="20">
        <f t="shared" si="29"/>
        <v>-0.16217881126280298</v>
      </c>
      <c r="K601" s="20">
        <f>ENSO!I601</f>
        <v>-0.16190959185908871</v>
      </c>
      <c r="L601" s="19">
        <f>Analysis!B601</f>
        <v>2008.125</v>
      </c>
    </row>
    <row r="602" spans="1:12" ht="15" customHeight="1">
      <c r="A602" s="18" t="str">
        <f>Analysis!A602</f>
        <v>3/2008</v>
      </c>
      <c r="B602" s="19">
        <f>Analysis!E602</f>
        <v>0.75</v>
      </c>
      <c r="C602" s="20">
        <f>Analysis!F602</f>
        <v>0.46422015547914297</v>
      </c>
      <c r="D602" s="19">
        <f>ENSO!D602</f>
        <v>-1.72</v>
      </c>
      <c r="E602" s="34">
        <f t="shared" si="30"/>
        <v>7.1999999999999998E-3</v>
      </c>
      <c r="F602" s="19">
        <f>Solar!D602</f>
        <v>1360.57</v>
      </c>
      <c r="G602" s="32">
        <v>6.1900000000000002E-3</v>
      </c>
      <c r="H602" s="33">
        <v>0.18079999999999999</v>
      </c>
      <c r="I602" s="20">
        <f t="shared" si="28"/>
        <v>0.53039121119713206</v>
      </c>
      <c r="J602" s="20">
        <f t="shared" si="29"/>
        <v>0.21960878880286794</v>
      </c>
      <c r="K602" s="20">
        <f>ENSO!I602</f>
        <v>0.21888848333545863</v>
      </c>
      <c r="L602" s="19">
        <f>Analysis!B602</f>
        <v>2008.2083333333333</v>
      </c>
    </row>
    <row r="603" spans="1:12" ht="15" customHeight="1">
      <c r="A603" s="18" t="str">
        <f>Analysis!A603</f>
        <v>4/2008</v>
      </c>
      <c r="B603" s="19">
        <f>Analysis!E603</f>
        <v>0.53999999999999915</v>
      </c>
      <c r="C603" s="20">
        <f>Analysis!F603</f>
        <v>0.46813642006500927</v>
      </c>
      <c r="D603" s="19">
        <f>ENSO!D603</f>
        <v>-1.76</v>
      </c>
      <c r="E603" s="34">
        <f t="shared" si="30"/>
        <v>7.11E-3</v>
      </c>
      <c r="F603" s="19">
        <f>Solar!D603</f>
        <v>1360.66</v>
      </c>
      <c r="G603" s="32">
        <v>6.2599999999999999E-3</v>
      </c>
      <c r="H603" s="33">
        <v>0.1794</v>
      </c>
      <c r="I603" s="20">
        <f t="shared" si="28"/>
        <v>0.53755876366177857</v>
      </c>
      <c r="J603" s="20">
        <f t="shared" si="29"/>
        <v>2.441236338220576E-3</v>
      </c>
      <c r="K603" s="20">
        <f>ENSO!I603</f>
        <v>1.6128136711937024E-3</v>
      </c>
      <c r="L603" s="19">
        <f>Analysis!B603</f>
        <v>2008.2916666666667</v>
      </c>
    </row>
    <row r="604" spans="1:12" ht="15" customHeight="1">
      <c r="A604" s="18" t="str">
        <f>Analysis!A604</f>
        <v>5/2008</v>
      </c>
      <c r="B604" s="19">
        <f>Analysis!E604</f>
        <v>0.5</v>
      </c>
      <c r="C604" s="20">
        <f>Analysis!F604</f>
        <v>0.47352717715675879</v>
      </c>
      <c r="D604" s="19">
        <f>ENSO!D604</f>
        <v>-1.61</v>
      </c>
      <c r="E604" s="34">
        <f t="shared" si="30"/>
        <v>6.9800000000000001E-3</v>
      </c>
      <c r="F604" s="19">
        <f>Solar!D604</f>
        <v>1360.64</v>
      </c>
      <c r="G604" s="32">
        <v>6.1000000000000004E-3</v>
      </c>
      <c r="H604" s="33">
        <v>0.18260000000000001</v>
      </c>
      <c r="I604" s="20">
        <f t="shared" si="28"/>
        <v>0.56646695219188326</v>
      </c>
      <c r="J604" s="20">
        <f t="shared" si="29"/>
        <v>-6.6466952191883255E-2</v>
      </c>
      <c r="K604" s="20">
        <f>ENSO!I604</f>
        <v>-6.6250162600284823E-2</v>
      </c>
      <c r="L604" s="19">
        <f>Analysis!B604</f>
        <v>2008.375</v>
      </c>
    </row>
    <row r="605" spans="1:12" ht="15" customHeight="1">
      <c r="A605" s="18" t="str">
        <f>Analysis!A605</f>
        <v>6/2008</v>
      </c>
      <c r="B605" s="19">
        <f>Analysis!E605</f>
        <v>0.5</v>
      </c>
      <c r="C605" s="20">
        <f>Analysis!F605</f>
        <v>0.47059264190111394</v>
      </c>
      <c r="D605" s="19">
        <f>ENSO!D605</f>
        <v>-1.37</v>
      </c>
      <c r="E605" s="34">
        <f t="shared" si="30"/>
        <v>6.94E-3</v>
      </c>
      <c r="F605" s="19">
        <f>Solar!D605</f>
        <v>1360.6</v>
      </c>
      <c r="G605" s="32">
        <v>6.0099999999999997E-3</v>
      </c>
      <c r="H605" s="33">
        <v>0.1845</v>
      </c>
      <c r="I605" s="20">
        <f t="shared" si="28"/>
        <v>0.58082204261290127</v>
      </c>
      <c r="J605" s="20">
        <f t="shared" si="29"/>
        <v>-8.0822042612901268E-2</v>
      </c>
      <c r="K605" s="20">
        <f>ENSO!I605</f>
        <v>-7.9078657251758555E-2</v>
      </c>
      <c r="L605" s="19">
        <f>Analysis!B605</f>
        <v>2008.4583333333333</v>
      </c>
    </row>
    <row r="606" spans="1:12" ht="15" customHeight="1">
      <c r="A606" s="18" t="str">
        <f>Analysis!A606</f>
        <v>7/2008</v>
      </c>
      <c r="B606" s="19">
        <f>Analysis!E606</f>
        <v>0.60000000000000142</v>
      </c>
      <c r="C606" s="20">
        <f>Analysis!F606</f>
        <v>0.46548944347381965</v>
      </c>
      <c r="D606" s="19">
        <f>ENSO!D606</f>
        <v>-1.05</v>
      </c>
      <c r="E606" s="34">
        <f t="shared" si="30"/>
        <v>6.5900000000000004E-3</v>
      </c>
      <c r="F606" s="19">
        <f>Solar!D606</f>
        <v>1360.6</v>
      </c>
      <c r="G606" s="32">
        <v>6.0899999999999999E-3</v>
      </c>
      <c r="H606" s="33">
        <v>0.18279999999999999</v>
      </c>
      <c r="I606" s="20">
        <f t="shared" si="28"/>
        <v>0.59736797541698372</v>
      </c>
      <c r="J606" s="20">
        <f t="shared" si="29"/>
        <v>2.6320245830177003E-3</v>
      </c>
      <c r="K606" s="20">
        <f>ENSO!I606</f>
        <v>7.0867021411911146E-3</v>
      </c>
      <c r="L606" s="19">
        <f>Analysis!B606</f>
        <v>2008.5416666666667</v>
      </c>
    </row>
    <row r="607" spans="1:12" ht="15" customHeight="1">
      <c r="A607" s="18" t="str">
        <f>Analysis!A607</f>
        <v>8/2008</v>
      </c>
      <c r="B607" s="19">
        <f>Analysis!E607</f>
        <v>0.44999999999999751</v>
      </c>
      <c r="C607" s="20">
        <f>Analysis!F607</f>
        <v>0.45688122898594291</v>
      </c>
      <c r="D607" s="19">
        <f>ENSO!D607</f>
        <v>-0.85</v>
      </c>
      <c r="E607" s="34">
        <f t="shared" si="30"/>
        <v>6.2500000000000003E-3</v>
      </c>
      <c r="F607" s="19">
        <f>Solar!D607</f>
        <v>1360.59</v>
      </c>
      <c r="G607" s="32">
        <v>6.4999999999999997E-3</v>
      </c>
      <c r="H607" s="33">
        <v>0.17460000000000001</v>
      </c>
      <c r="I607" s="20">
        <f t="shared" si="28"/>
        <v>0.59319683131899248</v>
      </c>
      <c r="J607" s="20">
        <f t="shared" si="29"/>
        <v>-0.14319683131899497</v>
      </c>
      <c r="K607" s="20">
        <f>ENSO!I607</f>
        <v>-0.13667584148238077</v>
      </c>
      <c r="L607" s="19">
        <f>Analysis!B607</f>
        <v>2008.625</v>
      </c>
    </row>
    <row r="608" spans="1:12" ht="15" customHeight="1">
      <c r="A608" s="18" t="str">
        <f>Analysis!A608</f>
        <v>9/2008</v>
      </c>
      <c r="B608" s="19">
        <f>Analysis!E608</f>
        <v>0.60000000000000142</v>
      </c>
      <c r="C608" s="20">
        <f>Analysis!F608</f>
        <v>0.45346113832373852</v>
      </c>
      <c r="D608" s="19">
        <f>ENSO!D608</f>
        <v>-0.56000000000000005</v>
      </c>
      <c r="E608" s="34">
        <f t="shared" si="30"/>
        <v>6.2399999999999999E-3</v>
      </c>
      <c r="F608" s="19">
        <f>Solar!D608</f>
        <v>1360.58</v>
      </c>
      <c r="G608" s="32">
        <v>7.62E-3</v>
      </c>
      <c r="H608" s="33">
        <v>0.1522</v>
      </c>
      <c r="I608" s="20">
        <f t="shared" si="28"/>
        <v>0.61080134556812926</v>
      </c>
      <c r="J608" s="20">
        <f t="shared" si="29"/>
        <v>-1.080134556812784E-2</v>
      </c>
      <c r="K608" s="20">
        <f>ENSO!I608</f>
        <v>-2.5225029103252972E-3</v>
      </c>
      <c r="L608" s="19">
        <f>Analysis!B608</f>
        <v>2008.7083333333333</v>
      </c>
    </row>
    <row r="609" spans="1:12" ht="15" customHeight="1">
      <c r="A609" s="18" t="str">
        <f>Analysis!A609</f>
        <v>10/2008</v>
      </c>
      <c r="B609" s="19">
        <f>Analysis!E609</f>
        <v>0.66999999999999993</v>
      </c>
      <c r="C609" s="20">
        <f>Analysis!F609</f>
        <v>0.45274602917491535</v>
      </c>
      <c r="D609" s="19">
        <f>ENSO!D609</f>
        <v>-0.33</v>
      </c>
      <c r="E609" s="34">
        <f t="shared" si="30"/>
        <v>6.1900000000000002E-3</v>
      </c>
      <c r="F609" s="19">
        <f>Solar!D609</f>
        <v>1360.6</v>
      </c>
      <c r="G609" s="32">
        <v>7.6600000000000001E-3</v>
      </c>
      <c r="H609" s="33">
        <v>0.1515</v>
      </c>
      <c r="I609" s="20">
        <f t="shared" si="28"/>
        <v>0.63030380955845777</v>
      </c>
      <c r="J609" s="20">
        <f t="shared" si="29"/>
        <v>3.9696190441542156E-2</v>
      </c>
      <c r="K609" s="20">
        <f>ENSO!I609</f>
        <v>4.9423069066965031E-2</v>
      </c>
      <c r="L609" s="19">
        <f>Analysis!B609</f>
        <v>2008.7916666666667</v>
      </c>
    </row>
    <row r="610" spans="1:12" ht="15" customHeight="1">
      <c r="A610" s="18" t="str">
        <f>Analysis!A610</f>
        <v>11/2008</v>
      </c>
      <c r="B610" s="19">
        <f>Analysis!E610</f>
        <v>0.69000000000000128</v>
      </c>
      <c r="C610" s="20">
        <f>Analysis!F610</f>
        <v>0.45721903954172527</v>
      </c>
      <c r="D610" s="19">
        <f>ENSO!D610</f>
        <v>-0.2</v>
      </c>
      <c r="E610" s="34">
        <f t="shared" si="30"/>
        <v>6.2599999999999999E-3</v>
      </c>
      <c r="F610" s="19">
        <f>Solar!D610</f>
        <v>1360.59</v>
      </c>
      <c r="G610" s="32">
        <v>7.6499999999999997E-3</v>
      </c>
      <c r="H610" s="33">
        <v>0.15160000000000001</v>
      </c>
      <c r="I610" s="20">
        <f t="shared" si="28"/>
        <v>0.6544129411583548</v>
      </c>
      <c r="J610" s="20">
        <f t="shared" si="29"/>
        <v>3.5587058841646479E-2</v>
      </c>
      <c r="K610" s="20">
        <f>ENSO!I610</f>
        <v>4.5821711357691641E-2</v>
      </c>
      <c r="L610" s="19">
        <f>Analysis!B610</f>
        <v>2008.875</v>
      </c>
    </row>
    <row r="611" spans="1:12" ht="15" customHeight="1">
      <c r="A611" s="18" t="str">
        <f>Analysis!A611</f>
        <v>12/2008</v>
      </c>
      <c r="B611" s="19">
        <f>Analysis!E611</f>
        <v>0.53999999999999915</v>
      </c>
      <c r="C611" s="20">
        <f>Analysis!F611</f>
        <v>0.4623889208373384</v>
      </c>
      <c r="D611" s="19">
        <f>ENSO!D611</f>
        <v>-0.25</v>
      </c>
      <c r="E611" s="34">
        <f t="shared" si="30"/>
        <v>6.1000000000000004E-3</v>
      </c>
      <c r="F611" s="19">
        <f>Solar!D611</f>
        <v>1360.57</v>
      </c>
      <c r="G611" s="32">
        <v>7.26E-3</v>
      </c>
      <c r="H611" s="33">
        <v>0.1593</v>
      </c>
      <c r="I611" s="20">
        <f t="shared" si="28"/>
        <v>0.66422571478275438</v>
      </c>
      <c r="J611" s="20">
        <f t="shared" si="29"/>
        <v>-0.12422571478275524</v>
      </c>
      <c r="K611" s="20">
        <f>ENSO!I611</f>
        <v>-0.11402701015094663</v>
      </c>
      <c r="L611" s="19">
        <f>Analysis!B611</f>
        <v>2008.9583333333333</v>
      </c>
    </row>
    <row r="612" spans="1:12" ht="15" customHeight="1">
      <c r="A612" s="18" t="str">
        <f>Analysis!A612</f>
        <v>1/2009</v>
      </c>
      <c r="B612" s="19">
        <f>Analysis!E612</f>
        <v>0.65000000000000213</v>
      </c>
      <c r="C612" s="20">
        <f>Analysis!F612</f>
        <v>0.46754034205383838</v>
      </c>
      <c r="D612" s="19">
        <f>ENSO!D612</f>
        <v>-0.36</v>
      </c>
      <c r="E612" s="34">
        <f t="shared" si="30"/>
        <v>6.0099999999999997E-3</v>
      </c>
      <c r="F612" s="19">
        <f>Solar!D612</f>
        <v>1360.56</v>
      </c>
      <c r="G612" s="32">
        <v>6.96E-3</v>
      </c>
      <c r="H612" s="33">
        <v>0.16539999999999999</v>
      </c>
      <c r="I612" s="20">
        <f t="shared" si="28"/>
        <v>0.66826641431883305</v>
      </c>
      <c r="J612" s="20">
        <f t="shared" si="29"/>
        <v>-1.8266414318830915E-2</v>
      </c>
      <c r="K612" s="20">
        <f>ENSO!I612</f>
        <v>-8.6027593920974255E-3</v>
      </c>
      <c r="L612" s="19">
        <f>Analysis!B612</f>
        <v>2009.0416666666667</v>
      </c>
    </row>
    <row r="613" spans="1:12" ht="15" customHeight="1">
      <c r="A613" s="18" t="str">
        <f>Analysis!A613</f>
        <v>2/2009</v>
      </c>
      <c r="B613" s="19">
        <f>Analysis!E613</f>
        <v>0.52999999999999758</v>
      </c>
      <c r="C613" s="20">
        <f>Analysis!F613</f>
        <v>0.46951390791885167</v>
      </c>
      <c r="D613" s="19">
        <f>ENSO!D613</f>
        <v>-0.56999999999999995</v>
      </c>
      <c r="E613" s="34">
        <f t="shared" si="30"/>
        <v>6.0899999999999999E-3</v>
      </c>
      <c r="F613" s="19">
        <f>Solar!D613</f>
        <v>1360.58</v>
      </c>
      <c r="G613" s="32">
        <v>6.6899999999999998E-3</v>
      </c>
      <c r="H613" s="33">
        <v>0.17080000000000001</v>
      </c>
      <c r="I613" s="20">
        <f t="shared" si="28"/>
        <v>0.65398618748851911</v>
      </c>
      <c r="J613" s="20">
        <f t="shared" si="29"/>
        <v>-0.12398618748852153</v>
      </c>
      <c r="K613" s="20">
        <f>ENSO!I613</f>
        <v>-0.11574581082148361</v>
      </c>
      <c r="L613" s="19">
        <f>Analysis!B613</f>
        <v>2009.125</v>
      </c>
    </row>
    <row r="614" spans="1:12" ht="15" customHeight="1">
      <c r="A614" s="18" t="str">
        <f>Analysis!A614</f>
        <v>3/2009</v>
      </c>
      <c r="B614" s="19">
        <f>Analysis!E614</f>
        <v>0.52999999999999758</v>
      </c>
      <c r="C614" s="20">
        <f>Analysis!F614</f>
        <v>0.47449166951900662</v>
      </c>
      <c r="D614" s="19">
        <f>ENSO!D614</f>
        <v>-0.79</v>
      </c>
      <c r="E614" s="34">
        <f t="shared" si="30"/>
        <v>6.4999999999999997E-3</v>
      </c>
      <c r="F614" s="19">
        <f>Solar!D614</f>
        <v>1360.59</v>
      </c>
      <c r="G614" s="32">
        <v>7.2500000000000004E-3</v>
      </c>
      <c r="H614" s="33">
        <v>0.15959999999999999</v>
      </c>
      <c r="I614" s="20">
        <f t="shared" si="28"/>
        <v>0.64624561545601433</v>
      </c>
      <c r="J614" s="20">
        <f t="shared" si="29"/>
        <v>-0.11624561545601675</v>
      </c>
      <c r="K614" s="20">
        <f>ENSO!I614</f>
        <v>-0.11027039781039694</v>
      </c>
      <c r="L614" s="19">
        <f>Analysis!B614</f>
        <v>2009.2083333333333</v>
      </c>
    </row>
    <row r="615" spans="1:12" ht="15" customHeight="1">
      <c r="A615" s="18" t="str">
        <f>Analysis!A615</f>
        <v>4/2009</v>
      </c>
      <c r="B615" s="19">
        <f>Analysis!E615</f>
        <v>0.61000000000000121</v>
      </c>
      <c r="C615" s="20">
        <f>Analysis!F615</f>
        <v>0.47715921118664112</v>
      </c>
      <c r="D615" s="19">
        <f>ENSO!D615</f>
        <v>-0.89</v>
      </c>
      <c r="E615" s="34">
        <f t="shared" si="30"/>
        <v>7.62E-3</v>
      </c>
      <c r="F615" s="19">
        <f>Solar!D615</f>
        <v>1360.58</v>
      </c>
      <c r="G615" s="32">
        <v>7.7200000000000003E-3</v>
      </c>
      <c r="H615" s="33">
        <v>0.1502</v>
      </c>
      <c r="I615" s="20">
        <f t="shared" si="28"/>
        <v>0.64177724155894111</v>
      </c>
      <c r="J615" s="20">
        <f t="shared" si="29"/>
        <v>-3.1777241558939906E-2</v>
      </c>
      <c r="K615" s="20">
        <f>ENSO!I615</f>
        <v>-2.8893813985675254E-2</v>
      </c>
      <c r="L615" s="19">
        <f>Analysis!B615</f>
        <v>2009.2916666666667</v>
      </c>
    </row>
    <row r="616" spans="1:12" ht="15" customHeight="1">
      <c r="A616" s="18" t="str">
        <f>Analysis!A616</f>
        <v>5/2009</v>
      </c>
      <c r="B616" s="19">
        <f>Analysis!E616</f>
        <v>0.65000000000000213</v>
      </c>
      <c r="C616" s="20">
        <f>Analysis!F616</f>
        <v>0.47937840104259694</v>
      </c>
      <c r="D616" s="19">
        <f>ENSO!D616</f>
        <v>-0.84</v>
      </c>
      <c r="E616" s="34">
        <f t="shared" si="30"/>
        <v>7.6600000000000001E-3</v>
      </c>
      <c r="F616" s="19">
        <f>Solar!D616</f>
        <v>1360.64</v>
      </c>
      <c r="G616" s="32">
        <v>7.2700000000000004E-3</v>
      </c>
      <c r="H616" s="33">
        <v>0.15909999999999999</v>
      </c>
      <c r="I616" s="20">
        <f t="shared" si="28"/>
        <v>0.65238165409213056</v>
      </c>
      <c r="J616" s="20">
        <f t="shared" si="29"/>
        <v>-2.3816540921284268E-3</v>
      </c>
      <c r="K616" s="20">
        <f>ENSO!I616</f>
        <v>6.5863538268562394E-4</v>
      </c>
      <c r="L616" s="19">
        <f>Analysis!B616</f>
        <v>2009.375</v>
      </c>
    </row>
    <row r="617" spans="1:12" ht="15" customHeight="1">
      <c r="A617" s="18" t="str">
        <f>Analysis!A617</f>
        <v>6/2009</v>
      </c>
      <c r="B617" s="19">
        <f>Analysis!E617</f>
        <v>0.63000000000000256</v>
      </c>
      <c r="C617" s="20">
        <f>Analysis!F617</f>
        <v>0.47693710433670838</v>
      </c>
      <c r="D617" s="19">
        <f>ENSO!D617</f>
        <v>-0.63</v>
      </c>
      <c r="E617" s="34">
        <f t="shared" si="30"/>
        <v>7.6499999999999997E-3</v>
      </c>
      <c r="F617" s="19">
        <f>Solar!D617</f>
        <v>1360.62</v>
      </c>
      <c r="G617" s="32">
        <v>7.0099999999999997E-3</v>
      </c>
      <c r="H617" s="33">
        <v>0.16450000000000001</v>
      </c>
      <c r="I617" s="20">
        <f t="shared" si="28"/>
        <v>0.66523215506458711</v>
      </c>
      <c r="J617" s="20">
        <f t="shared" si="29"/>
        <v>-3.5232155064584547E-2</v>
      </c>
      <c r="K617" s="20">
        <f>ENSO!I617</f>
        <v>-3.0913551918203885E-2</v>
      </c>
      <c r="L617" s="19">
        <f>Analysis!B617</f>
        <v>2009.4583333333333</v>
      </c>
    </row>
    <row r="618" spans="1:12" ht="15" customHeight="1">
      <c r="A618" s="18" t="str">
        <f>Analysis!A618</f>
        <v>7/2009</v>
      </c>
      <c r="B618" s="19">
        <f>Analysis!E618</f>
        <v>0.73999999999999666</v>
      </c>
      <c r="C618" s="20">
        <f>Analysis!F618</f>
        <v>0.47152193804450682</v>
      </c>
      <c r="D618" s="19">
        <f>ENSO!D618</f>
        <v>-0.35</v>
      </c>
      <c r="E618" s="34">
        <f t="shared" si="30"/>
        <v>7.26E-3</v>
      </c>
      <c r="F618" s="19">
        <f>Solar!D618</f>
        <v>1360.59</v>
      </c>
      <c r="G618" s="32">
        <v>8.9499999999999996E-3</v>
      </c>
      <c r="H618" s="33">
        <v>0.1255</v>
      </c>
      <c r="I618" s="20">
        <f t="shared" si="28"/>
        <v>0.67730343210815791</v>
      </c>
      <c r="J618" s="20">
        <f t="shared" si="29"/>
        <v>6.269656789183875E-2</v>
      </c>
      <c r="K618" s="20">
        <f>ENSO!I618</f>
        <v>6.959023039842116E-2</v>
      </c>
      <c r="L618" s="19">
        <f>Analysis!B618</f>
        <v>2009.5416666666667</v>
      </c>
    </row>
    <row r="619" spans="1:12" ht="15" customHeight="1">
      <c r="A619" s="18" t="str">
        <f>Analysis!A619</f>
        <v>8/2009</v>
      </c>
      <c r="B619" s="19">
        <f>Analysis!E619</f>
        <v>0.69000000000000128</v>
      </c>
      <c r="C619" s="20">
        <f>Analysis!F619</f>
        <v>0.46425750342278521</v>
      </c>
      <c r="D619" s="19">
        <f>ENSO!D619</f>
        <v>0.03</v>
      </c>
      <c r="E619" s="34">
        <f t="shared" si="30"/>
        <v>6.96E-3</v>
      </c>
      <c r="F619" s="19">
        <f>Solar!D619</f>
        <v>1360.59</v>
      </c>
      <c r="G619" s="32">
        <v>9.9000000000000008E-3</v>
      </c>
      <c r="H619" s="33">
        <v>0.1065</v>
      </c>
      <c r="I619" s="20">
        <f t="shared" si="28"/>
        <v>0.69341243670353481</v>
      </c>
      <c r="J619" s="20">
        <f t="shared" si="29"/>
        <v>-3.4124367035335279E-3</v>
      </c>
      <c r="K619" s="20">
        <f>ENSO!I619</f>
        <v>6.4697988411984708E-3</v>
      </c>
      <c r="L619" s="19">
        <f>Analysis!B619</f>
        <v>2009.625</v>
      </c>
    </row>
    <row r="620" spans="1:12" ht="15" customHeight="1">
      <c r="A620" s="18" t="str">
        <f>Analysis!A620</f>
        <v>9/2009</v>
      </c>
      <c r="B620" s="19">
        <f>Analysis!E620</f>
        <v>0.72000000000000242</v>
      </c>
      <c r="C620" s="20">
        <f>Analysis!F620</f>
        <v>0.45924424347749254</v>
      </c>
      <c r="D620" s="19">
        <f>ENSO!D620</f>
        <v>0.34</v>
      </c>
      <c r="E620" s="34">
        <f t="shared" si="30"/>
        <v>6.6899999999999998E-3</v>
      </c>
      <c r="F620" s="19">
        <f>Solar!D620</f>
        <v>1360.59</v>
      </c>
      <c r="G620" s="32">
        <v>9.9000000000000008E-3</v>
      </c>
      <c r="H620" s="33">
        <v>0.1065</v>
      </c>
      <c r="I620" s="20">
        <f t="shared" si="28"/>
        <v>0.70909969171536646</v>
      </c>
      <c r="J620" s="20">
        <f t="shared" si="29"/>
        <v>1.0900308284635951E-2</v>
      </c>
      <c r="K620" s="20">
        <f>ENSO!I620</f>
        <v>2.3258493257564239E-2</v>
      </c>
      <c r="L620" s="19">
        <f>Analysis!B620</f>
        <v>2009.7083333333333</v>
      </c>
    </row>
    <row r="621" spans="1:12" ht="15" customHeight="1">
      <c r="A621" s="18" t="str">
        <f>Analysis!A621</f>
        <v>10/2009</v>
      </c>
      <c r="B621" s="19">
        <f>Analysis!E621</f>
        <v>0.65000000000000213</v>
      </c>
      <c r="C621" s="20">
        <f>Analysis!F621</f>
        <v>0.45808197399149425</v>
      </c>
      <c r="D621" s="19">
        <f>ENSO!D621</f>
        <v>0.5</v>
      </c>
      <c r="E621" s="34">
        <f t="shared" si="30"/>
        <v>7.2500000000000004E-3</v>
      </c>
      <c r="F621" s="19">
        <f>Solar!D621</f>
        <v>1360.6</v>
      </c>
      <c r="G621" s="32">
        <v>9.0600000000000003E-3</v>
      </c>
      <c r="H621" s="33">
        <v>0.1235</v>
      </c>
      <c r="I621" s="20">
        <f t="shared" si="28"/>
        <v>0.71954469306738489</v>
      </c>
      <c r="J621" s="20">
        <f t="shared" si="29"/>
        <v>-6.9544693067382757E-2</v>
      </c>
      <c r="K621" s="20">
        <f>ENSO!I621</f>
        <v>-5.7475032583372165E-2</v>
      </c>
      <c r="L621" s="19">
        <f>Analysis!B621</f>
        <v>2009.7916666666667</v>
      </c>
    </row>
    <row r="622" spans="1:12" ht="15" customHeight="1">
      <c r="A622" s="18" t="str">
        <f>Analysis!A622</f>
        <v>11/2009</v>
      </c>
      <c r="B622" s="19">
        <f>Analysis!E622</f>
        <v>0.79999999999999893</v>
      </c>
      <c r="C622" s="20">
        <f>Analysis!F622</f>
        <v>0.46403340125681564</v>
      </c>
      <c r="D622" s="19">
        <f>ENSO!D622</f>
        <v>0.56000000000000005</v>
      </c>
      <c r="E622" s="34">
        <f t="shared" si="30"/>
        <v>7.7200000000000003E-3</v>
      </c>
      <c r="F622" s="19">
        <f>Solar!D622</f>
        <v>1360.68</v>
      </c>
      <c r="G622" s="32">
        <v>8.6099999999999996E-3</v>
      </c>
      <c r="H622" s="33">
        <v>0.13239999999999999</v>
      </c>
      <c r="I622" s="20">
        <f t="shared" si="28"/>
        <v>0.74031030518822294</v>
      </c>
      <c r="J622" s="20">
        <f t="shared" si="29"/>
        <v>5.9689694811775995E-2</v>
      </c>
      <c r="K622" s="20">
        <f>ENSO!I622</f>
        <v>7.0955343764881995E-2</v>
      </c>
      <c r="L622" s="19">
        <f>Analysis!B622</f>
        <v>2009.875</v>
      </c>
    </row>
    <row r="623" spans="1:12" ht="15" customHeight="1">
      <c r="A623" s="18" t="str">
        <f>Analysis!A623</f>
        <v>12/2009</v>
      </c>
      <c r="B623" s="19">
        <f>Analysis!E623</f>
        <v>0.66999999999999993</v>
      </c>
      <c r="C623" s="20">
        <f>Analysis!F623</f>
        <v>0.46925340296447982</v>
      </c>
      <c r="D623" s="19">
        <f>ENSO!D623</f>
        <v>0.66</v>
      </c>
      <c r="E623" s="34">
        <f t="shared" si="30"/>
        <v>7.2700000000000004E-3</v>
      </c>
      <c r="F623" s="19">
        <f>Solar!D623</f>
        <v>1360.67</v>
      </c>
      <c r="G623" s="32">
        <v>7.7200000000000003E-3</v>
      </c>
      <c r="H623" s="33">
        <v>0.1502</v>
      </c>
      <c r="I623" s="20">
        <f t="shared" si="28"/>
        <v>0.7648171330075082</v>
      </c>
      <c r="J623" s="20">
        <f t="shared" si="29"/>
        <v>-9.481713300750827E-2</v>
      </c>
      <c r="K623" s="20">
        <f>ENSO!I623</f>
        <v>-8.2086713781698406E-2</v>
      </c>
      <c r="L623" s="19">
        <f>Analysis!B623</f>
        <v>2009.9583333333333</v>
      </c>
    </row>
    <row r="624" spans="1:12" ht="15" customHeight="1">
      <c r="A624" s="18" t="str">
        <f>Analysis!A624</f>
        <v>1/2010</v>
      </c>
      <c r="B624" s="19">
        <f>Analysis!E624</f>
        <v>0.75</v>
      </c>
      <c r="C624" s="20">
        <f>Analysis!F624</f>
        <v>0.47400950393751357</v>
      </c>
      <c r="D624" s="19">
        <f>ENSO!D624</f>
        <v>0.92</v>
      </c>
      <c r="E624" s="34">
        <f t="shared" si="30"/>
        <v>7.0099999999999997E-3</v>
      </c>
      <c r="F624" s="19">
        <f>Solar!D624</f>
        <v>1360.69</v>
      </c>
      <c r="G624" s="32">
        <v>6.96E-3</v>
      </c>
      <c r="H624" s="33">
        <v>0.1653</v>
      </c>
      <c r="I624" s="20">
        <f t="shared" si="28"/>
        <v>0.80248784151813235</v>
      </c>
      <c r="J624" s="20">
        <f t="shared" si="29"/>
        <v>-5.248784151813235E-2</v>
      </c>
      <c r="K624" s="20">
        <f>ENSO!I624</f>
        <v>-3.7780573761939995E-2</v>
      </c>
      <c r="L624" s="19">
        <f>Analysis!B624</f>
        <v>2010.0416666666667</v>
      </c>
    </row>
    <row r="625" spans="1:12" ht="15" customHeight="1">
      <c r="A625" s="18" t="str">
        <f>Analysis!A625</f>
        <v>2/2010</v>
      </c>
      <c r="B625" s="19">
        <f>Analysis!E625</f>
        <v>0.83999999999999986</v>
      </c>
      <c r="C625" s="20">
        <f>Analysis!F625</f>
        <v>0.47956317953598965</v>
      </c>
      <c r="D625" s="19">
        <f>ENSO!D625</f>
        <v>1.31</v>
      </c>
      <c r="E625" s="34">
        <f t="shared" si="30"/>
        <v>8.9499999999999996E-3</v>
      </c>
      <c r="F625" s="19">
        <f>Solar!D625</f>
        <v>1360.8</v>
      </c>
      <c r="G625" s="32">
        <v>6.3400000000000001E-3</v>
      </c>
      <c r="H625" s="33">
        <v>0.17780000000000001</v>
      </c>
      <c r="I625" s="20">
        <f t="shared" si="28"/>
        <v>0.8495564527716416</v>
      </c>
      <c r="J625" s="20">
        <f t="shared" si="29"/>
        <v>-9.5564527716417436E-3</v>
      </c>
      <c r="K625" s="20">
        <f>ENSO!I625</f>
        <v>3.0198812671711206E-3</v>
      </c>
      <c r="L625" s="19">
        <f>Analysis!B625</f>
        <v>2010.125</v>
      </c>
    </row>
    <row r="626" spans="1:12" ht="15" customHeight="1">
      <c r="A626" s="18" t="str">
        <f>Analysis!A626</f>
        <v>3/2010</v>
      </c>
      <c r="B626" s="19">
        <f>Analysis!E626</f>
        <v>0.91999999999999993</v>
      </c>
      <c r="C626" s="20">
        <f>Analysis!F626</f>
        <v>0.48310634496717497</v>
      </c>
      <c r="D626" s="19">
        <f>ENSO!D626</f>
        <v>1.5</v>
      </c>
      <c r="E626" s="34">
        <f t="shared" si="30"/>
        <v>9.9000000000000008E-3</v>
      </c>
      <c r="F626" s="19">
        <f>Solar!D626</f>
        <v>1360.76</v>
      </c>
      <c r="G626" s="32">
        <v>6.4599999999999996E-3</v>
      </c>
      <c r="H626" s="33">
        <v>0.1754</v>
      </c>
      <c r="I626" s="20">
        <f t="shared" si="28"/>
        <v>0.8747608921815373</v>
      </c>
      <c r="J626" s="20">
        <f t="shared" si="29"/>
        <v>4.5239107818462632E-2</v>
      </c>
      <c r="K626" s="20">
        <f>ENSO!I626</f>
        <v>5.6750351847385083E-2</v>
      </c>
      <c r="L626" s="19">
        <f>Analysis!B626</f>
        <v>2010.2083333333333</v>
      </c>
    </row>
    <row r="627" spans="1:12" ht="15" customHeight="1">
      <c r="A627" s="18" t="str">
        <f>Analysis!A627</f>
        <v>4/2010</v>
      </c>
      <c r="B627" s="19">
        <f>Analysis!E627</f>
        <v>0.8500000000000032</v>
      </c>
      <c r="C627" s="20">
        <f>Analysis!F627</f>
        <v>0.4878905530991211</v>
      </c>
      <c r="D627" s="19">
        <f>ENSO!D627</f>
        <v>1.47</v>
      </c>
      <c r="E627" s="34">
        <f t="shared" si="30"/>
        <v>9.9000000000000008E-3</v>
      </c>
      <c r="F627" s="19">
        <f>Solar!D627</f>
        <v>1360.83</v>
      </c>
      <c r="G627" s="32">
        <v>6.5500000000000003E-3</v>
      </c>
      <c r="H627" s="33">
        <v>0.1736</v>
      </c>
      <c r="I627" s="20">
        <f t="shared" si="28"/>
        <v>0.88502561478895825</v>
      </c>
      <c r="J627" s="20">
        <f t="shared" si="29"/>
        <v>-3.5025614788955051E-2</v>
      </c>
      <c r="K627" s="20">
        <f>ENSO!I627</f>
        <v>-2.3779759500578312E-2</v>
      </c>
      <c r="L627" s="19">
        <f>Analysis!B627</f>
        <v>2010.2916666666667</v>
      </c>
    </row>
    <row r="628" spans="1:12" ht="15" customHeight="1">
      <c r="A628" s="18" t="str">
        <f>Analysis!A628</f>
        <v>5/2010</v>
      </c>
      <c r="B628" s="19">
        <f>Analysis!E628</f>
        <v>0.75</v>
      </c>
      <c r="C628" s="20">
        <f>Analysis!F628</f>
        <v>0.4898731851668387</v>
      </c>
      <c r="D628" s="19">
        <f>ENSO!D628</f>
        <v>1.21</v>
      </c>
      <c r="E628" s="34">
        <f t="shared" si="30"/>
        <v>9.0600000000000003E-3</v>
      </c>
      <c r="F628" s="19">
        <f>Solar!D628</f>
        <v>1360.8</v>
      </c>
      <c r="G628" s="32">
        <v>6.2899999999999996E-3</v>
      </c>
      <c r="H628" s="33">
        <v>0.1787</v>
      </c>
      <c r="I628" s="20">
        <f t="shared" si="28"/>
        <v>0.86815468864839185</v>
      </c>
      <c r="J628" s="20">
        <f t="shared" si="29"/>
        <v>-0.11815468864839185</v>
      </c>
      <c r="K628" s="20">
        <f>ENSO!I628</f>
        <v>-0.10659582544610646</v>
      </c>
      <c r="L628" s="19">
        <f>Analysis!B628</f>
        <v>2010.375</v>
      </c>
    </row>
    <row r="629" spans="1:12" ht="15" customHeight="1">
      <c r="A629" s="18" t="str">
        <f>Analysis!A629</f>
        <v>6/2010</v>
      </c>
      <c r="B629" s="19">
        <f>Analysis!E629</f>
        <v>0.67999999999999972</v>
      </c>
      <c r="C629" s="20">
        <f>Analysis!F629</f>
        <v>0.4868246806556118</v>
      </c>
      <c r="D629" s="19">
        <f>ENSO!D629</f>
        <v>0.88</v>
      </c>
      <c r="E629" s="34">
        <f t="shared" si="30"/>
        <v>8.6099999999999996E-3</v>
      </c>
      <c r="F629" s="19">
        <f>Solar!D629</f>
        <v>1360.76</v>
      </c>
      <c r="G629" s="32">
        <v>6.2199999999999998E-3</v>
      </c>
      <c r="H629" s="33">
        <v>0.1802</v>
      </c>
      <c r="I629" s="20">
        <f t="shared" si="28"/>
        <v>0.83020792193011794</v>
      </c>
      <c r="J629" s="20">
        <f t="shared" si="29"/>
        <v>-0.15020792193011823</v>
      </c>
      <c r="K629" s="20">
        <f>ENSO!I629</f>
        <v>-0.13949974094887141</v>
      </c>
      <c r="L629" s="19">
        <f>Analysis!B629</f>
        <v>2010.4583333333333</v>
      </c>
    </row>
    <row r="630" spans="1:12" ht="15" customHeight="1">
      <c r="A630" s="18" t="str">
        <f>Analysis!A630</f>
        <v>7/2010</v>
      </c>
      <c r="B630" s="19">
        <f>Analysis!E630</f>
        <v>0.63000000000000256</v>
      </c>
      <c r="C630" s="20">
        <f>Analysis!F630</f>
        <v>0.47956317953598965</v>
      </c>
      <c r="D630" s="19">
        <f>ENSO!D630</f>
        <v>0.38</v>
      </c>
      <c r="E630" s="34">
        <f t="shared" si="30"/>
        <v>7.7200000000000003E-3</v>
      </c>
      <c r="F630" s="19">
        <f>Solar!D630</f>
        <v>1360.86</v>
      </c>
      <c r="G630" s="32">
        <v>6.3099999999999996E-3</v>
      </c>
      <c r="H630" s="33">
        <v>0.1784</v>
      </c>
      <c r="I630" s="20">
        <f t="shared" si="28"/>
        <v>0.76596352157676773</v>
      </c>
      <c r="J630" s="20">
        <f t="shared" si="29"/>
        <v>-0.13596352157676517</v>
      </c>
      <c r="K630" s="20">
        <f>ENSO!I630</f>
        <v>-0.12603499273554497</v>
      </c>
      <c r="L630" s="19">
        <f>Analysis!B630</f>
        <v>2010.5416666666667</v>
      </c>
    </row>
    <row r="631" spans="1:12" ht="15" customHeight="1">
      <c r="A631" s="18" t="str">
        <f>Analysis!A631</f>
        <v>8/2010</v>
      </c>
      <c r="B631" s="19">
        <f>Analysis!E631</f>
        <v>0.66999999999999993</v>
      </c>
      <c r="C631" s="20">
        <f>Analysis!F631</f>
        <v>0.47263630384637006</v>
      </c>
      <c r="D631" s="19">
        <f>ENSO!D631</f>
        <v>-0.16</v>
      </c>
      <c r="E631" s="34">
        <f t="shared" si="30"/>
        <v>6.96E-3</v>
      </c>
      <c r="F631" s="19">
        <f>Solar!D631</f>
        <v>1360.82</v>
      </c>
      <c r="G631" s="32">
        <v>6.2399999999999999E-3</v>
      </c>
      <c r="H631" s="33">
        <v>0.17979999999999999</v>
      </c>
      <c r="I631" s="20">
        <f t="shared" si="28"/>
        <v>0.6986339408664487</v>
      </c>
      <c r="J631" s="20">
        <f t="shared" si="29"/>
        <v>-2.863394086644877E-2</v>
      </c>
      <c r="K631" s="20">
        <f>ENSO!I631</f>
        <v>-2.0007881567158714E-2</v>
      </c>
      <c r="L631" s="19">
        <f>Analysis!B631</f>
        <v>2010.625</v>
      </c>
    </row>
    <row r="632" spans="1:12" ht="15" customHeight="1">
      <c r="A632" s="18" t="str">
        <f>Analysis!A632</f>
        <v>9/2010</v>
      </c>
      <c r="B632" s="19">
        <f>Analysis!E632</f>
        <v>0.63000000000000256</v>
      </c>
      <c r="C632" s="20">
        <f>Analysis!F632</f>
        <v>0.46701857168978234</v>
      </c>
      <c r="D632" s="19">
        <f>ENSO!D632</f>
        <v>-0.66</v>
      </c>
      <c r="E632" s="34">
        <f t="shared" si="30"/>
        <v>6.3400000000000001E-3</v>
      </c>
      <c r="F632" s="19">
        <f>Solar!D632</f>
        <v>1360.81</v>
      </c>
      <c r="G632" s="32">
        <v>6.0800000000000003E-3</v>
      </c>
      <c r="H632" s="33">
        <v>0.18290000000000001</v>
      </c>
      <c r="I632" s="20">
        <f t="shared" si="28"/>
        <v>0.63827870341555037</v>
      </c>
      <c r="J632" s="20">
        <f t="shared" si="29"/>
        <v>-8.2787034155478167E-3</v>
      </c>
      <c r="K632" s="20">
        <f>ENSO!I632</f>
        <v>-1.0582316016550797E-3</v>
      </c>
      <c r="L632" s="19">
        <f>Analysis!B632</f>
        <v>2010.7083333333333</v>
      </c>
    </row>
    <row r="633" spans="1:12" ht="15" customHeight="1">
      <c r="A633" s="18" t="str">
        <f>Analysis!A633</f>
        <v>10/2010</v>
      </c>
      <c r="B633" s="19">
        <f>Analysis!E633</f>
        <v>0.71000000000000085</v>
      </c>
      <c r="C633" s="20">
        <f>Analysis!F633</f>
        <v>0.46850884379594554</v>
      </c>
      <c r="D633" s="19">
        <f>ENSO!D633</f>
        <v>-0.98</v>
      </c>
      <c r="E633" s="34">
        <f t="shared" si="30"/>
        <v>6.4599999999999996E-3</v>
      </c>
      <c r="F633" s="19">
        <f>Solar!D633</f>
        <v>1360.71</v>
      </c>
      <c r="G633" s="32">
        <v>5.8500000000000002E-3</v>
      </c>
      <c r="H633" s="33">
        <v>0.1875</v>
      </c>
      <c r="I633" s="20">
        <f t="shared" si="28"/>
        <v>0.61238486287883398</v>
      </c>
      <c r="J633" s="20">
        <f t="shared" si="29"/>
        <v>9.7615137121166873E-2</v>
      </c>
      <c r="K633" s="20">
        <f>ENSO!I633</f>
        <v>0.10270038108960933</v>
      </c>
      <c r="L633" s="19">
        <f>Analysis!B633</f>
        <v>2010.7916666666667</v>
      </c>
    </row>
    <row r="634" spans="1:12" ht="15" customHeight="1">
      <c r="A634" s="18" t="str">
        <f>Analysis!A634</f>
        <v>11/2010</v>
      </c>
      <c r="B634" s="19">
        <f>Analysis!E634</f>
        <v>0.81000000000000227</v>
      </c>
      <c r="C634" s="20">
        <f>Analysis!F634</f>
        <v>0.47386111287143712</v>
      </c>
      <c r="D634" s="19">
        <f>ENSO!D634</f>
        <v>-1.24</v>
      </c>
      <c r="E634" s="34">
        <f t="shared" si="30"/>
        <v>6.5500000000000003E-3</v>
      </c>
      <c r="F634" s="19">
        <f>Solar!D634</f>
        <v>1360.82</v>
      </c>
      <c r="G634" s="32">
        <v>6.0499999999999998E-3</v>
      </c>
      <c r="H634" s="33">
        <v>0.18360000000000001</v>
      </c>
      <c r="I634" s="20">
        <f t="shared" si="28"/>
        <v>0.60265804432518977</v>
      </c>
      <c r="J634" s="20">
        <f t="shared" si="29"/>
        <v>0.20734195567481251</v>
      </c>
      <c r="K634" s="20">
        <f>ENSO!I634</f>
        <v>0.21062860920745974</v>
      </c>
      <c r="L634" s="19">
        <f>Analysis!B634</f>
        <v>2010.875</v>
      </c>
    </row>
    <row r="635" spans="1:12" ht="15" customHeight="1">
      <c r="A635" s="18" t="str">
        <f>Analysis!A635</f>
        <v>12/2010</v>
      </c>
      <c r="B635" s="19">
        <f>Analysis!E635</f>
        <v>0.44999999999999751</v>
      </c>
      <c r="C635" s="20">
        <f>Analysis!F635</f>
        <v>0.47801030414984191</v>
      </c>
      <c r="D635" s="19">
        <f>ENSO!D635</f>
        <v>-1.43</v>
      </c>
      <c r="E635" s="34">
        <f t="shared" si="30"/>
        <v>6.2899999999999996E-3</v>
      </c>
      <c r="F635" s="19">
        <f>Solar!D635</f>
        <v>1360.77</v>
      </c>
      <c r="G635" s="32">
        <v>6.9499999999999996E-3</v>
      </c>
      <c r="H635" s="33">
        <v>0.16550000000000001</v>
      </c>
      <c r="I635" s="20">
        <f t="shared" si="28"/>
        <v>0.59691569462900307</v>
      </c>
      <c r="J635" s="20">
        <f t="shared" si="29"/>
        <v>-0.14691569462900556</v>
      </c>
      <c r="K635" s="20">
        <f>ENSO!I635</f>
        <v>-0.14423119711406818</v>
      </c>
      <c r="L635" s="19">
        <f>Analysis!B635</f>
        <v>2010.9583333333333</v>
      </c>
    </row>
    <row r="636" spans="1:12" ht="15" customHeight="1">
      <c r="A636" s="18" t="str">
        <f>Analysis!A636</f>
        <v>1/2011</v>
      </c>
      <c r="B636" s="19">
        <f>Analysis!E636</f>
        <v>0.5199999999999978</v>
      </c>
      <c r="C636" s="20">
        <f>Analysis!F636</f>
        <v>0.48358548034607413</v>
      </c>
      <c r="D636" s="19">
        <f>ENSO!D636</f>
        <v>-1.54</v>
      </c>
      <c r="E636" s="34">
        <f t="shared" si="30"/>
        <v>6.2199999999999998E-3</v>
      </c>
      <c r="F636" s="19">
        <f>Solar!D636</f>
        <v>1360.79</v>
      </c>
      <c r="G636" s="32">
        <v>7.1999999999999998E-3</v>
      </c>
      <c r="H636" s="33">
        <v>0.16059999999999999</v>
      </c>
      <c r="I636" s="20">
        <f t="shared" si="28"/>
        <v>0.60206814741851733</v>
      </c>
      <c r="J636" s="20">
        <f t="shared" si="29"/>
        <v>-8.2068147418519533E-2</v>
      </c>
      <c r="K636" s="20">
        <f>ENSO!I636</f>
        <v>-7.9970914899172518E-2</v>
      </c>
      <c r="L636" s="19">
        <f>Analysis!B636</f>
        <v>2011.0416666666667</v>
      </c>
    </row>
    <row r="637" spans="1:12" ht="15" customHeight="1">
      <c r="A637" s="18" t="str">
        <f>Analysis!A637</f>
        <v>2/2011</v>
      </c>
      <c r="B637" s="19">
        <f>Analysis!E637</f>
        <v>0.47000000000000242</v>
      </c>
      <c r="C637" s="20">
        <f>Analysis!F637</f>
        <v>0.48561083266005051</v>
      </c>
      <c r="D637" s="19">
        <f>ENSO!D637</f>
        <v>-1.57</v>
      </c>
      <c r="E637" s="34">
        <f t="shared" si="30"/>
        <v>6.3099999999999996E-3</v>
      </c>
      <c r="F637" s="19">
        <f>Solar!D637</f>
        <v>1360.82</v>
      </c>
      <c r="G637" s="32">
        <v>7.1799999999999998E-3</v>
      </c>
      <c r="H637" s="33">
        <v>0.16089999999999999</v>
      </c>
      <c r="I637" s="20">
        <f t="shared" si="28"/>
        <v>0.60461026356637937</v>
      </c>
      <c r="J637" s="20">
        <f t="shared" si="29"/>
        <v>-0.13461026356637695</v>
      </c>
      <c r="K637" s="20">
        <f>ENSO!I637</f>
        <v>-0.13292301172694576</v>
      </c>
      <c r="L637" s="19">
        <f>Analysis!B637</f>
        <v>2011.125</v>
      </c>
    </row>
    <row r="638" spans="1:12" ht="15" customHeight="1">
      <c r="A638" s="18" t="str">
        <f>Analysis!A638</f>
        <v>3/2011</v>
      </c>
      <c r="B638" s="19">
        <f>Analysis!E638</f>
        <v>0.65000000000000213</v>
      </c>
      <c r="C638" s="20">
        <f>Analysis!F638</f>
        <v>0.48836810248236423</v>
      </c>
      <c r="D638" s="19">
        <f>ENSO!D638</f>
        <v>-1.48</v>
      </c>
      <c r="E638" s="34">
        <f t="shared" si="30"/>
        <v>6.2399999999999999E-3</v>
      </c>
      <c r="F638" s="19">
        <f>Solar!D638</f>
        <v>1360.82</v>
      </c>
      <c r="G638" s="32">
        <v>7.0099999999999997E-3</v>
      </c>
      <c r="H638" s="33">
        <v>0.16450000000000001</v>
      </c>
      <c r="I638" s="20">
        <f t="shared" si="28"/>
        <v>0.62063608869508791</v>
      </c>
      <c r="J638" s="20">
        <f t="shared" si="29"/>
        <v>2.9363911304914225E-2</v>
      </c>
      <c r="K638" s="20">
        <f>ENSO!I638</f>
        <v>3.1669930869556495E-2</v>
      </c>
      <c r="L638" s="19">
        <f>Analysis!B638</f>
        <v>2011.2083333333333</v>
      </c>
    </row>
    <row r="639" spans="1:12" ht="15" customHeight="1">
      <c r="A639" s="18" t="str">
        <f>Analysis!A639</f>
        <v>4/2011</v>
      </c>
      <c r="B639" s="19">
        <f>Analysis!E639</f>
        <v>0.64000000000000234</v>
      </c>
      <c r="C639" s="20">
        <f>Analysis!F639</f>
        <v>0.49071681287639107</v>
      </c>
      <c r="D639" s="19">
        <f>ENSO!D639</f>
        <v>-1.29</v>
      </c>
      <c r="E639" s="34">
        <f t="shared" si="30"/>
        <v>6.0800000000000003E-3</v>
      </c>
      <c r="F639" s="19">
        <f>Solar!D639</f>
        <v>1361.19</v>
      </c>
      <c r="G639" s="32">
        <v>6.8100000000000001E-3</v>
      </c>
      <c r="H639" s="33">
        <v>0.16850000000000001</v>
      </c>
      <c r="I639" s="20">
        <f t="shared" si="28"/>
        <v>0.64502513152355989</v>
      </c>
      <c r="J639" s="20">
        <f t="shared" si="29"/>
        <v>-5.0251315235575467E-3</v>
      </c>
      <c r="K639" s="20">
        <f>ENSO!I639</f>
        <v>-1.3186740610470205E-3</v>
      </c>
      <c r="L639" s="19">
        <f>Analysis!B639</f>
        <v>2011.2916666666667</v>
      </c>
    </row>
    <row r="640" spans="1:12" ht="15" customHeight="1">
      <c r="A640" s="18" t="str">
        <f>Analysis!A640</f>
        <v>5/2011</v>
      </c>
      <c r="B640" s="19">
        <f>Analysis!E640</f>
        <v>0.52999999999999758</v>
      </c>
      <c r="C640" s="20">
        <f>Analysis!F640</f>
        <v>0.49426930357072107</v>
      </c>
      <c r="D640" s="19">
        <f>ENSO!D640</f>
        <v>-1.06</v>
      </c>
      <c r="E640" s="34">
        <f t="shared" si="30"/>
        <v>5.8500000000000002E-3</v>
      </c>
      <c r="F640" s="19">
        <f>Solar!D640</f>
        <v>1361.17</v>
      </c>
      <c r="G640" s="32">
        <v>6.5500000000000003E-3</v>
      </c>
      <c r="H640" s="33">
        <v>0.17369999999999999</v>
      </c>
      <c r="I640" s="20">
        <f t="shared" si="28"/>
        <v>0.67656322117656187</v>
      </c>
      <c r="J640" s="20">
        <f t="shared" si="29"/>
        <v>-0.14656322117656428</v>
      </c>
      <c r="K640" s="20">
        <f>ENSO!I640</f>
        <v>-0.14109532887325915</v>
      </c>
      <c r="L640" s="19">
        <f>Analysis!B640</f>
        <v>2011.375</v>
      </c>
    </row>
    <row r="641" spans="1:12" ht="15" customHeight="1">
      <c r="A641" s="18" t="str">
        <f>Analysis!A641</f>
        <v>6/2011</v>
      </c>
      <c r="B641" s="19">
        <f>Analysis!E641</f>
        <v>0.62000000000000099</v>
      </c>
      <c r="C641" s="20">
        <f>Analysis!F641</f>
        <v>0.49258570776646082</v>
      </c>
      <c r="D641" s="19">
        <f>ENSO!D641</f>
        <v>-0.85</v>
      </c>
      <c r="E641" s="34">
        <f t="shared" si="30"/>
        <v>6.0499999999999998E-3</v>
      </c>
      <c r="F641" s="19">
        <f>Solar!D641</f>
        <v>1361.08</v>
      </c>
      <c r="G641" s="32">
        <v>7.5700000000000003E-3</v>
      </c>
      <c r="H641" s="33">
        <v>0.15329999999999999</v>
      </c>
      <c r="I641" s="20">
        <f t="shared" si="28"/>
        <v>0.69101822122451562</v>
      </c>
      <c r="J641" s="20">
        <f t="shared" si="29"/>
        <v>-7.1018221224514622E-2</v>
      </c>
      <c r="K641" s="20">
        <f>ENSO!I641</f>
        <v>-6.4748766088367216E-2</v>
      </c>
      <c r="L641" s="19">
        <f>Analysis!B641</f>
        <v>2011.4583333333333</v>
      </c>
    </row>
    <row r="642" spans="1:12" ht="15" customHeight="1">
      <c r="A642" s="18" t="str">
        <f>Analysis!A642</f>
        <v>7/2011</v>
      </c>
      <c r="B642" s="19">
        <f>Analysis!E642</f>
        <v>0.71000000000000085</v>
      </c>
      <c r="C642" s="20">
        <f>Analysis!F642</f>
        <v>0.48807424464635712</v>
      </c>
      <c r="D642" s="19">
        <f>ENSO!D642</f>
        <v>-0.68</v>
      </c>
      <c r="E642" s="34">
        <f t="shared" si="30"/>
        <v>6.9499999999999996E-3</v>
      </c>
      <c r="F642" s="19">
        <f>Solar!D642</f>
        <v>1361.04</v>
      </c>
      <c r="G642" s="32">
        <v>9.1000000000000004E-3</v>
      </c>
      <c r="H642" s="33">
        <v>0.1227</v>
      </c>
      <c r="I642" s="20">
        <f t="shared" ref="I642:I705" si="31">IF(OR(D642="",E642=""),"",$N$14+$N$15*C642+$N$16*D642+$N$17*E642)</f>
        <v>0.69250837557196843</v>
      </c>
      <c r="J642" s="20">
        <f t="shared" ref="J642:J705" si="32">IF(I642="","",B642-I642)</f>
        <v>1.7491624428032426E-2</v>
      </c>
      <c r="K642" s="20">
        <f>ENSO!I642</f>
        <v>2.2846882528481771E-2</v>
      </c>
      <c r="L642" s="19">
        <f>Analysis!B642</f>
        <v>2011.5416666666667</v>
      </c>
    </row>
    <row r="643" spans="1:12" ht="15" customHeight="1">
      <c r="A643" s="18" t="str">
        <f>Analysis!A643</f>
        <v>8/2011</v>
      </c>
      <c r="B643" s="19">
        <f>Analysis!E643</f>
        <v>0.73999999999999666</v>
      </c>
      <c r="C643" s="20">
        <f>Analysis!F643</f>
        <v>0.47926752258572419</v>
      </c>
      <c r="D643" s="19">
        <f>ENSO!D643</f>
        <v>-0.5</v>
      </c>
      <c r="E643" s="34">
        <f t="shared" si="30"/>
        <v>7.1999999999999998E-3</v>
      </c>
      <c r="F643" s="19">
        <f>Solar!D643</f>
        <v>1360.98</v>
      </c>
      <c r="G643" s="32">
        <v>1.0319999999999999E-2</v>
      </c>
      <c r="H643" s="33">
        <v>9.8100000000000007E-2</v>
      </c>
      <c r="I643" s="20">
        <f t="shared" si="31"/>
        <v>0.68464170864314722</v>
      </c>
      <c r="J643" s="20">
        <f t="shared" si="32"/>
        <v>5.5358291356849443E-2</v>
      </c>
      <c r="K643" s="20">
        <f>ENSO!I643</f>
        <v>6.137035413792491E-2</v>
      </c>
      <c r="L643" s="19">
        <f>Analysis!B643</f>
        <v>2011.625</v>
      </c>
    </row>
    <row r="644" spans="1:12" ht="15" customHeight="1">
      <c r="A644" s="18" t="str">
        <f>Analysis!A644</f>
        <v>9/2011</v>
      </c>
      <c r="B644" s="19">
        <f>Analysis!E644</f>
        <v>0.55999999999999872</v>
      </c>
      <c r="C644" s="20">
        <f>Analysis!F644</f>
        <v>0.47538139821873787</v>
      </c>
      <c r="D644" s="19">
        <f>ENSO!D644</f>
        <v>-0.34</v>
      </c>
      <c r="E644" s="34">
        <f t="shared" si="30"/>
        <v>7.1799999999999998E-3</v>
      </c>
      <c r="F644" s="19">
        <f>Solar!D644</f>
        <v>1361</v>
      </c>
      <c r="G644" s="32">
        <v>1.0619999999999999E-2</v>
      </c>
      <c r="H644" s="33">
        <v>9.2100000000000001E-2</v>
      </c>
      <c r="I644" s="20">
        <f t="shared" si="31"/>
        <v>0.68893380200555598</v>
      </c>
      <c r="J644" s="20">
        <f t="shared" si="32"/>
        <v>-0.12893380200555726</v>
      </c>
      <c r="K644" s="20">
        <f>ENSO!I644</f>
        <v>-0.121881297621527</v>
      </c>
      <c r="L644" s="19">
        <f>Analysis!B644</f>
        <v>2011.7083333333333</v>
      </c>
    </row>
    <row r="645" spans="1:12" ht="15" customHeight="1">
      <c r="A645" s="18" t="str">
        <f>Analysis!A645</f>
        <v>10/2011</v>
      </c>
      <c r="B645" s="19">
        <f>Analysis!E645</f>
        <v>0.65000000000000213</v>
      </c>
      <c r="C645" s="20">
        <f>Analysis!F645</f>
        <v>0.47504781425465853</v>
      </c>
      <c r="D645" s="19">
        <f>ENSO!D645</f>
        <v>-0.37</v>
      </c>
      <c r="E645" s="34">
        <f t="shared" si="30"/>
        <v>7.0099999999999997E-3</v>
      </c>
      <c r="F645" s="19">
        <f>Solar!D645</f>
        <v>1361.16</v>
      </c>
      <c r="G645" s="32">
        <v>1.043E-2</v>
      </c>
      <c r="H645" s="33">
        <v>9.6100000000000005E-2</v>
      </c>
      <c r="I645" s="20">
        <f t="shared" si="31"/>
        <v>0.68561418588498446</v>
      </c>
      <c r="J645" s="20">
        <f t="shared" si="32"/>
        <v>-3.561418588498233E-2</v>
      </c>
      <c r="K645" s="20">
        <f>ENSO!I645</f>
        <v>-2.8353877378901493E-2</v>
      </c>
      <c r="L645" s="19">
        <f>Analysis!B645</f>
        <v>2011.7916666666667</v>
      </c>
    </row>
    <row r="646" spans="1:12" ht="15" customHeight="1">
      <c r="A646" s="18" t="str">
        <f>Analysis!A646</f>
        <v>11/2011</v>
      </c>
      <c r="B646" s="19">
        <f>Analysis!E646</f>
        <v>0.60000000000000142</v>
      </c>
      <c r="C646" s="20">
        <f>Analysis!F646</f>
        <v>0.47982182967399284</v>
      </c>
      <c r="D646" s="19">
        <f>ENSO!D646</f>
        <v>-0.5</v>
      </c>
      <c r="E646" s="34">
        <f t="shared" si="30"/>
        <v>6.8100000000000001E-3</v>
      </c>
      <c r="F646" s="19">
        <f>Solar!D646</f>
        <v>1361.28</v>
      </c>
      <c r="G646" s="32">
        <v>9.9100000000000004E-3</v>
      </c>
      <c r="H646" s="33">
        <v>0.10630000000000001</v>
      </c>
      <c r="I646" s="20">
        <f t="shared" si="31"/>
        <v>0.68701167751925885</v>
      </c>
      <c r="J646" s="20">
        <f t="shared" si="32"/>
        <v>-8.7011677519257424E-2</v>
      </c>
      <c r="K646" s="20">
        <f>ENSO!I646</f>
        <v>-8.0152214434223712E-2</v>
      </c>
      <c r="L646" s="19">
        <f>Analysis!B646</f>
        <v>2011.875</v>
      </c>
    </row>
    <row r="647" spans="1:12" ht="15" customHeight="1">
      <c r="A647" s="18" t="str">
        <f>Analysis!A647</f>
        <v>12/2011</v>
      </c>
      <c r="B647" s="19">
        <f>Analysis!E647</f>
        <v>0.60000000000000142</v>
      </c>
      <c r="C647" s="20">
        <f>Analysis!F647</f>
        <v>0.48564763094194874</v>
      </c>
      <c r="D647" s="19">
        <f>ENSO!D647</f>
        <v>-0.76</v>
      </c>
      <c r="E647" s="34">
        <f t="shared" si="30"/>
        <v>6.5500000000000003E-3</v>
      </c>
      <c r="F647" s="19">
        <f>Solar!D647</f>
        <v>1361.47</v>
      </c>
      <c r="G647" s="32">
        <v>8.3300000000000006E-3</v>
      </c>
      <c r="H647" s="33">
        <v>0.13800000000000001</v>
      </c>
      <c r="I647" s="20">
        <f t="shared" si="31"/>
        <v>0.67934650621039538</v>
      </c>
      <c r="J647" s="20">
        <f t="shared" si="32"/>
        <v>-7.9346506210393963E-2</v>
      </c>
      <c r="K647" s="20">
        <f>ENSO!I647</f>
        <v>-7.3524682716272993E-2</v>
      </c>
      <c r="L647" s="19">
        <f>Analysis!B647</f>
        <v>2011.9583333333333</v>
      </c>
    </row>
    <row r="648" spans="1:12" ht="15" customHeight="1">
      <c r="A648" s="18" t="str">
        <f>Analysis!A648</f>
        <v>1/2012</v>
      </c>
      <c r="B648" s="19">
        <f>Analysis!E648</f>
        <v>0.47000000000000242</v>
      </c>
      <c r="C648" s="20">
        <f>Analysis!F648</f>
        <v>0.4902400404403634</v>
      </c>
      <c r="D648" s="19">
        <f>ENSO!D648</f>
        <v>-0.94</v>
      </c>
      <c r="E648" s="34">
        <f t="shared" si="30"/>
        <v>7.5700000000000003E-3</v>
      </c>
      <c r="F648" s="19">
        <f>Solar!D648</f>
        <v>1361.26</v>
      </c>
      <c r="G648" s="32">
        <v>7.6600000000000001E-3</v>
      </c>
      <c r="H648" s="33">
        <v>0.15129999999999999</v>
      </c>
      <c r="I648" s="20">
        <f t="shared" si="31"/>
        <v>0.6729245006313409</v>
      </c>
      <c r="J648" s="20">
        <f t="shared" si="32"/>
        <v>-0.20292450063133849</v>
      </c>
      <c r="K648" s="20">
        <f>ENSO!I648</f>
        <v>-0.2004722968339685</v>
      </c>
      <c r="L648" s="19">
        <f>Analysis!B648</f>
        <v>2012.0416666666667</v>
      </c>
    </row>
    <row r="649" spans="1:12" ht="15" customHeight="1">
      <c r="A649" s="18" t="str">
        <f>Analysis!A649</f>
        <v>2/2012</v>
      </c>
      <c r="B649" s="19">
        <f>Analysis!E649</f>
        <v>0.47999999999999865</v>
      </c>
      <c r="C649" s="20">
        <f>Analysis!F649</f>
        <v>0.49291526157867827</v>
      </c>
      <c r="D649" s="19">
        <f>ENSO!D649</f>
        <v>-1.02</v>
      </c>
      <c r="E649" s="34">
        <f t="shared" ref="E649:E712" si="33">IF(G642="","",G642)</f>
        <v>9.1000000000000004E-3</v>
      </c>
      <c r="F649" s="19">
        <f>Solar!D649</f>
        <v>1361.24</v>
      </c>
      <c r="G649" s="32">
        <v>7.3200000000000001E-3</v>
      </c>
      <c r="H649" s="33">
        <v>0.1583</v>
      </c>
      <c r="I649" s="20">
        <f t="shared" si="31"/>
        <v>0.66943082780923246</v>
      </c>
      <c r="J649" s="20">
        <f t="shared" si="32"/>
        <v>-0.18943082780923381</v>
      </c>
      <c r="K649" s="20">
        <f>ENSO!I649</f>
        <v>-0.19085756234749129</v>
      </c>
      <c r="L649" s="19">
        <f>Analysis!B649</f>
        <v>2012.125</v>
      </c>
    </row>
    <row r="650" spans="1:12" ht="15" customHeight="1">
      <c r="A650" s="18" t="str">
        <f>Analysis!A650</f>
        <v>3/2012</v>
      </c>
      <c r="B650" s="19">
        <f>Analysis!E650</f>
        <v>0.57000000000000028</v>
      </c>
      <c r="C650" s="20">
        <f>Analysis!F650</f>
        <v>0.49492756747912453</v>
      </c>
      <c r="D650" s="19">
        <f>ENSO!D650</f>
        <v>-0.92</v>
      </c>
      <c r="E650" s="34">
        <f t="shared" si="33"/>
        <v>1.0319999999999999E-2</v>
      </c>
      <c r="F650" s="19">
        <f>Solar!D650</f>
        <v>1361.01</v>
      </c>
      <c r="G650" s="32">
        <v>6.8999999999999999E-3</v>
      </c>
      <c r="H650" s="33">
        <v>0.1666</v>
      </c>
      <c r="I650" s="20">
        <f t="shared" si="31"/>
        <v>0.6815143148087367</v>
      </c>
      <c r="J650" s="20">
        <f t="shared" si="32"/>
        <v>-0.11151431480873641</v>
      </c>
      <c r="K650" s="20">
        <f>ENSO!I650</f>
        <v>-0.11508873342254289</v>
      </c>
      <c r="L650" s="19">
        <f>Analysis!B650</f>
        <v>2012.2083333333333</v>
      </c>
    </row>
    <row r="651" spans="1:12" ht="15" customHeight="1">
      <c r="A651" s="18" t="str">
        <f>Analysis!A651</f>
        <v>4/2012</v>
      </c>
      <c r="B651" s="19">
        <f>Analysis!E651</f>
        <v>0.7300000000000022</v>
      </c>
      <c r="C651" s="20">
        <f>Analysis!F651</f>
        <v>0.50145734365703309</v>
      </c>
      <c r="D651" s="19">
        <f>ENSO!D651</f>
        <v>-0.71</v>
      </c>
      <c r="E651" s="34">
        <f t="shared" si="33"/>
        <v>1.0619999999999999E-2</v>
      </c>
      <c r="F651" s="19">
        <f>Solar!D651</f>
        <v>1361.13</v>
      </c>
      <c r="G651" s="32">
        <v>6.96E-3</v>
      </c>
      <c r="H651" s="33">
        <v>0.1653</v>
      </c>
      <c r="I651" s="20">
        <f t="shared" si="31"/>
        <v>0.71815064293713871</v>
      </c>
      <c r="J651" s="20">
        <f t="shared" si="32"/>
        <v>1.1849357062863497E-2</v>
      </c>
      <c r="K651" s="20">
        <f>ENSO!I651</f>
        <v>8.6973708798192551E-3</v>
      </c>
      <c r="L651" s="19">
        <f>Analysis!B651</f>
        <v>2012.2916666666667</v>
      </c>
    </row>
    <row r="652" spans="1:12" ht="15" customHeight="1">
      <c r="A652" s="18" t="str">
        <f>Analysis!A652</f>
        <v>5/2012</v>
      </c>
      <c r="B652" s="19">
        <f>Analysis!E652</f>
        <v>0.77999999999999758</v>
      </c>
      <c r="C652" s="20">
        <f>Analysis!F652</f>
        <v>0.50345777829071003</v>
      </c>
      <c r="D652" s="19">
        <f>ENSO!D652</f>
        <v>-0.56000000000000005</v>
      </c>
      <c r="E652" s="34">
        <f t="shared" si="33"/>
        <v>1.043E-2</v>
      </c>
      <c r="F652" s="19">
        <f>Solar!D652</f>
        <v>1361.05</v>
      </c>
      <c r="G652" s="32">
        <v>6.5799999999999999E-3</v>
      </c>
      <c r="H652" s="33">
        <v>0.1729</v>
      </c>
      <c r="I652" s="20">
        <f t="shared" si="31"/>
        <v>0.73794399938890642</v>
      </c>
      <c r="J652" s="20">
        <f t="shared" si="32"/>
        <v>4.205600061109116E-2</v>
      </c>
      <c r="K652" s="20">
        <f>ENSO!I652</f>
        <v>4.0146919260059644E-2</v>
      </c>
      <c r="L652" s="19">
        <f>Analysis!B652</f>
        <v>2012.375</v>
      </c>
    </row>
    <row r="653" spans="1:12" ht="15" customHeight="1">
      <c r="A653" s="18" t="str">
        <f>Analysis!A653</f>
        <v>6/2012</v>
      </c>
      <c r="B653" s="19">
        <f>Analysis!E653</f>
        <v>0.65000000000000213</v>
      </c>
      <c r="C653" s="20">
        <f>Analysis!F653</f>
        <v>0.49974568063274527</v>
      </c>
      <c r="D653" s="19">
        <f>ENSO!D653</f>
        <v>-0.44</v>
      </c>
      <c r="E653" s="34">
        <f t="shared" si="33"/>
        <v>9.9100000000000004E-3</v>
      </c>
      <c r="F653" s="19">
        <f>Solar!D653</f>
        <v>1361.19</v>
      </c>
      <c r="G653" s="32">
        <v>6.3200000000000001E-3</v>
      </c>
      <c r="H653" s="33">
        <v>0.1782</v>
      </c>
      <c r="I653" s="20">
        <f t="shared" si="31"/>
        <v>0.74009911320499744</v>
      </c>
      <c r="J653" s="20">
        <f t="shared" si="32"/>
        <v>-9.0099113204995307E-2</v>
      </c>
      <c r="K653" s="20">
        <f>ENSO!I653</f>
        <v>-9.010123759694566E-2</v>
      </c>
      <c r="L653" s="19">
        <f>Analysis!B653</f>
        <v>2012.4583333333333</v>
      </c>
    </row>
    <row r="654" spans="1:12" ht="15" customHeight="1">
      <c r="A654" s="18" t="str">
        <f>Analysis!A654</f>
        <v>7/2012</v>
      </c>
      <c r="B654" s="19">
        <f>Analysis!E654</f>
        <v>0.58999999999999986</v>
      </c>
      <c r="C654" s="20">
        <f>Analysis!F654</f>
        <v>0.49481787768314806</v>
      </c>
      <c r="D654" s="19">
        <f>ENSO!D654</f>
        <v>-0.35</v>
      </c>
      <c r="E654" s="34">
        <f t="shared" si="33"/>
        <v>8.3300000000000006E-3</v>
      </c>
      <c r="F654" s="19">
        <f>Solar!D654</f>
        <v>1360.96</v>
      </c>
      <c r="G654" s="32">
        <v>6.2500000000000003E-3</v>
      </c>
      <c r="H654" s="33">
        <v>0.17960000000000001</v>
      </c>
      <c r="I654" s="20">
        <f t="shared" si="31"/>
        <v>0.73848700386648092</v>
      </c>
      <c r="J654" s="20">
        <f t="shared" si="32"/>
        <v>-0.14848700386648106</v>
      </c>
      <c r="K654" s="20">
        <f>ENSO!I654</f>
        <v>-0.14439896675106023</v>
      </c>
      <c r="L654" s="19">
        <f>Analysis!B654</f>
        <v>2012.5416666666667</v>
      </c>
    </row>
    <row r="655" spans="1:12" ht="15" customHeight="1">
      <c r="A655" s="18" t="str">
        <f>Analysis!A655</f>
        <v>8/2012</v>
      </c>
      <c r="B655" s="19">
        <f>Analysis!E655</f>
        <v>0.66000000000000369</v>
      </c>
      <c r="C655" s="20">
        <f>Analysis!F655</f>
        <v>0.48759659796662874</v>
      </c>
      <c r="D655" s="19">
        <f>ENSO!D655</f>
        <v>-0.18</v>
      </c>
      <c r="E655" s="34">
        <f t="shared" si="33"/>
        <v>7.6600000000000001E-3</v>
      </c>
      <c r="F655" s="19">
        <f>Solar!D655</f>
        <v>1361.32</v>
      </c>
      <c r="G655" s="32">
        <v>6.1700000000000001E-3</v>
      </c>
      <c r="H655" s="33">
        <v>0.1812</v>
      </c>
      <c r="I655" s="20">
        <f t="shared" si="31"/>
        <v>0.736040887334107</v>
      </c>
      <c r="J655" s="20">
        <f t="shared" si="32"/>
        <v>-7.6040887334103302E-2</v>
      </c>
      <c r="K655" s="20">
        <f>ENSO!I655</f>
        <v>-6.9360004358644201E-2</v>
      </c>
      <c r="L655" s="19">
        <f>Analysis!B655</f>
        <v>2012.625</v>
      </c>
    </row>
    <row r="656" spans="1:12" ht="15" customHeight="1">
      <c r="A656" s="18" t="str">
        <f>Analysis!A656</f>
        <v>9/2012</v>
      </c>
      <c r="B656" s="19">
        <f>Analysis!E656</f>
        <v>0.72000000000000242</v>
      </c>
      <c r="C656" s="20">
        <f>Analysis!F656</f>
        <v>0.48292201974993032</v>
      </c>
      <c r="D656" s="19">
        <f>ENSO!D656</f>
        <v>0.03</v>
      </c>
      <c r="E656" s="34">
        <f t="shared" si="33"/>
        <v>7.3200000000000001E-3</v>
      </c>
      <c r="F656" s="19">
        <f>Solar!D656</f>
        <v>1361.46</v>
      </c>
      <c r="G656" s="32">
        <v>6.0899999999999999E-3</v>
      </c>
      <c r="H656" s="33">
        <v>0.18290000000000001</v>
      </c>
      <c r="I656" s="20">
        <f t="shared" si="31"/>
        <v>0.74352639475986781</v>
      </c>
      <c r="J656" s="20">
        <f t="shared" si="32"/>
        <v>-2.3526394759865399E-2</v>
      </c>
      <c r="K656" s="20">
        <f>ENSO!I656</f>
        <v>-1.4797822619169287E-2</v>
      </c>
      <c r="L656" s="19">
        <f>Analysis!B656</f>
        <v>2012.7083333333333</v>
      </c>
    </row>
    <row r="657" spans="1:12" ht="15" customHeight="1">
      <c r="A657" s="18" t="str">
        <f>Analysis!A657</f>
        <v>10/2012</v>
      </c>
      <c r="B657" s="19">
        <f>Analysis!E657</f>
        <v>0.79999999999999893</v>
      </c>
      <c r="C657" s="20">
        <f>Analysis!F657</f>
        <v>0.48273767097945647</v>
      </c>
      <c r="D657" s="19">
        <f>ENSO!D657</f>
        <v>0.28000000000000003</v>
      </c>
      <c r="E657" s="34">
        <f t="shared" si="33"/>
        <v>6.8999999999999999E-3</v>
      </c>
      <c r="F657" s="19">
        <f>Solar!D657</f>
        <v>1361.25</v>
      </c>
      <c r="G657" s="32">
        <v>5.94E-3</v>
      </c>
      <c r="H657" s="33">
        <v>0.18590000000000001</v>
      </c>
      <c r="I657" s="20">
        <f t="shared" si="31"/>
        <v>0.76714649898631604</v>
      </c>
      <c r="J657" s="20">
        <f t="shared" si="32"/>
        <v>3.2853501013682895E-2</v>
      </c>
      <c r="K657" s="20">
        <f>ENSO!I657</f>
        <v>4.3949103400163891E-2</v>
      </c>
      <c r="L657" s="19">
        <f>Analysis!B657</f>
        <v>2012.7916666666667</v>
      </c>
    </row>
    <row r="658" spans="1:12" ht="15" customHeight="1">
      <c r="A658" s="18" t="str">
        <f>Analysis!A658</f>
        <v>11/2012</v>
      </c>
      <c r="B658" s="19">
        <f>Analysis!E658</f>
        <v>0.77999999999999758</v>
      </c>
      <c r="C658" s="20">
        <f>Analysis!F658</f>
        <v>0.48983649450825167</v>
      </c>
      <c r="D658" s="19">
        <f>ENSO!D658</f>
        <v>0.39</v>
      </c>
      <c r="E658" s="34">
        <f t="shared" si="33"/>
        <v>6.96E-3</v>
      </c>
      <c r="F658" s="19">
        <f>Solar!D658</f>
        <v>1361.23</v>
      </c>
      <c r="G658" s="32">
        <v>5.9500000000000004E-3</v>
      </c>
      <c r="H658" s="33">
        <v>0.1857</v>
      </c>
      <c r="I658" s="20">
        <f t="shared" si="31"/>
        <v>0.79658344457151209</v>
      </c>
      <c r="J658" s="20">
        <f t="shared" si="32"/>
        <v>-1.6583444571514505E-2</v>
      </c>
      <c r="K658" s="20">
        <f>ENSO!I658</f>
        <v>-5.1240723771832641E-3</v>
      </c>
      <c r="L658" s="19">
        <f>Analysis!B658</f>
        <v>2012.875</v>
      </c>
    </row>
    <row r="659" spans="1:12" ht="15" customHeight="1">
      <c r="A659" s="18" t="str">
        <f>Analysis!A659</f>
        <v>12/2012</v>
      </c>
      <c r="B659" s="19">
        <f>Analysis!E659</f>
        <v>0.52999999999999758</v>
      </c>
      <c r="C659" s="20">
        <f>Analysis!F659</f>
        <v>0.49485444187513067</v>
      </c>
      <c r="D659" s="19">
        <f>ENSO!D659</f>
        <v>0.37</v>
      </c>
      <c r="E659" s="34">
        <f t="shared" si="33"/>
        <v>6.5799999999999999E-3</v>
      </c>
      <c r="F659" s="19">
        <f>Solar!D659</f>
        <v>1361.22</v>
      </c>
      <c r="G659" s="32">
        <v>5.6800000000000002E-3</v>
      </c>
      <c r="H659" s="33">
        <v>0.191</v>
      </c>
      <c r="I659" s="20">
        <f t="shared" si="31"/>
        <v>0.8092497576285993</v>
      </c>
      <c r="J659" s="20">
        <f t="shared" si="32"/>
        <v>-0.27924975762860171</v>
      </c>
      <c r="K659" s="20">
        <f>ENSO!I659</f>
        <v>-0.26716659545305188</v>
      </c>
      <c r="L659" s="19">
        <f>Analysis!B659</f>
        <v>2012.9583333333333</v>
      </c>
    </row>
    <row r="660" spans="1:12" ht="15" customHeight="1">
      <c r="A660" s="18" t="str">
        <f>Analysis!A660</f>
        <v>1/2013</v>
      </c>
      <c r="B660" s="19">
        <f>Analysis!E660</f>
        <v>0.71000000000000085</v>
      </c>
      <c r="C660" s="20">
        <f>Analysis!F660</f>
        <v>0.49927188316908833</v>
      </c>
      <c r="D660" s="19">
        <f>ENSO!D660</f>
        <v>0.28000000000000003</v>
      </c>
      <c r="E660" s="34">
        <f t="shared" si="33"/>
        <v>6.3200000000000001E-3</v>
      </c>
      <c r="F660" s="19">
        <f>Solar!D660</f>
        <v>1361.16</v>
      </c>
      <c r="G660" s="32">
        <v>5.2100000000000002E-3</v>
      </c>
      <c r="H660" s="33">
        <v>0.20039999999999999</v>
      </c>
      <c r="I660" s="20">
        <f t="shared" si="31"/>
        <v>0.81351854152243341</v>
      </c>
      <c r="J660" s="20">
        <f t="shared" si="32"/>
        <v>-0.10351854152243256</v>
      </c>
      <c r="K660" s="20">
        <f>ENSO!I660</f>
        <v>-9.1467006871635781E-2</v>
      </c>
      <c r="L660" s="19">
        <f>Analysis!B660</f>
        <v>2013.0416666666667</v>
      </c>
    </row>
    <row r="661" spans="1:12" ht="15" customHeight="1">
      <c r="A661" s="18" t="str">
        <f>Analysis!A661</f>
        <v>2/2013</v>
      </c>
      <c r="B661" s="19">
        <f>Analysis!E661</f>
        <v>0.62000000000000099</v>
      </c>
      <c r="C661" s="20">
        <f>Analysis!F661</f>
        <v>0.50382119585545315</v>
      </c>
      <c r="D661" s="19">
        <f>ENSO!D661</f>
        <v>0.13</v>
      </c>
      <c r="E661" s="34">
        <f t="shared" si="33"/>
        <v>6.2500000000000003E-3</v>
      </c>
      <c r="F661" s="19">
        <f>Solar!D661</f>
        <v>1361.2</v>
      </c>
      <c r="G661" s="32">
        <v>5.1200000000000004E-3</v>
      </c>
      <c r="H661" s="33">
        <v>0.20219999999999999</v>
      </c>
      <c r="I661" s="20">
        <f t="shared" si="31"/>
        <v>0.81216122700374049</v>
      </c>
      <c r="J661" s="20">
        <f t="shared" si="32"/>
        <v>-0.1921612270037395</v>
      </c>
      <c r="K661" s="20">
        <f>ENSO!I661</f>
        <v>-0.18090737592889994</v>
      </c>
      <c r="L661" s="19">
        <f>Analysis!B661</f>
        <v>2013.125</v>
      </c>
    </row>
    <row r="662" spans="1:12" ht="15" customHeight="1">
      <c r="A662" s="18" t="str">
        <f>Analysis!A662</f>
        <v>3/2013</v>
      </c>
      <c r="B662" s="19">
        <f>Analysis!E662</f>
        <v>0.66999999999999993</v>
      </c>
      <c r="C662" s="20">
        <f>Analysis!F662</f>
        <v>0.50610862382400879</v>
      </c>
      <c r="D662" s="19">
        <f>ENSO!D662</f>
        <v>-0.03</v>
      </c>
      <c r="E662" s="34">
        <f t="shared" si="33"/>
        <v>6.1700000000000001E-3</v>
      </c>
      <c r="F662" s="19">
        <f>Solar!D662</f>
        <v>1361.25</v>
      </c>
      <c r="G662" s="32">
        <v>4.96E-3</v>
      </c>
      <c r="H662" s="33">
        <v>0.2054</v>
      </c>
      <c r="I662" s="20">
        <f t="shared" si="31"/>
        <v>0.80372884293527491</v>
      </c>
      <c r="J662" s="20">
        <f t="shared" si="32"/>
        <v>-0.13372884293527498</v>
      </c>
      <c r="K662" s="20">
        <f>ENSO!I662</f>
        <v>-0.12326443106823792</v>
      </c>
      <c r="L662" s="19">
        <f>Analysis!B662</f>
        <v>2013.2083333333333</v>
      </c>
    </row>
    <row r="663" spans="1:12" ht="15" customHeight="1">
      <c r="A663" s="18" t="str">
        <f>Analysis!A663</f>
        <v>4/2013</v>
      </c>
      <c r="B663" s="19">
        <f>Analysis!E663</f>
        <v>0.52999999999999758</v>
      </c>
      <c r="C663" s="20">
        <f>Analysis!F663</f>
        <v>0.50965965196384122</v>
      </c>
      <c r="D663" s="19">
        <f>ENSO!D663</f>
        <v>-0.24</v>
      </c>
      <c r="E663" s="34">
        <f t="shared" si="33"/>
        <v>6.0899999999999999E-3</v>
      </c>
      <c r="F663" s="19">
        <f>Solar!D663</f>
        <v>1361.09</v>
      </c>
      <c r="G663" s="32">
        <v>4.8300000000000001E-3</v>
      </c>
      <c r="H663" s="33">
        <v>0.20799999999999999</v>
      </c>
      <c r="I663" s="20">
        <f t="shared" si="31"/>
        <v>0.79410308389817053</v>
      </c>
      <c r="J663" s="20">
        <f t="shared" si="32"/>
        <v>-0.26410308389817294</v>
      </c>
      <c r="K663" s="20">
        <f>ENSO!I663</f>
        <v>-0.25474044978999277</v>
      </c>
      <c r="L663" s="19">
        <f>Analysis!B663</f>
        <v>2013.2916666666667</v>
      </c>
    </row>
    <row r="664" spans="1:12" ht="15" customHeight="1">
      <c r="A664" s="18" t="str">
        <f>Analysis!A664</f>
        <v>5/2013</v>
      </c>
      <c r="B664" s="19">
        <f>Analysis!E664</f>
        <v>0.60000000000000142</v>
      </c>
      <c r="C664" s="20">
        <f>Analysis!F664</f>
        <v>0.51464530577849399</v>
      </c>
      <c r="D664" s="19">
        <f>ENSO!D664</f>
        <v>-0.28000000000000003</v>
      </c>
      <c r="E664" s="34">
        <f t="shared" si="33"/>
        <v>5.94E-3</v>
      </c>
      <c r="F664" s="19">
        <f>Solar!D664</f>
        <v>1361.33</v>
      </c>
      <c r="G664" s="32">
        <v>4.6699999999999997E-3</v>
      </c>
      <c r="H664" s="33">
        <v>0.21110000000000001</v>
      </c>
      <c r="I664" s="20">
        <f t="shared" si="31"/>
        <v>0.80431933735622052</v>
      </c>
      <c r="J664" s="20">
        <f t="shared" si="32"/>
        <v>-0.2043193373562191</v>
      </c>
      <c r="K664" s="20">
        <f>ENSO!I664</f>
        <v>-0.19495351366336433</v>
      </c>
      <c r="L664" s="19">
        <f>Analysis!B664</f>
        <v>2013.375</v>
      </c>
    </row>
    <row r="665" spans="1:12" ht="15" customHeight="1">
      <c r="A665" s="18" t="str">
        <f>Analysis!A665</f>
        <v>6/2013</v>
      </c>
      <c r="B665" s="19">
        <f>Analysis!E665</f>
        <v>0.70000000000000107</v>
      </c>
      <c r="C665" s="20">
        <f>Analysis!F665</f>
        <v>0.5102747580160486</v>
      </c>
      <c r="D665" s="19">
        <f>ENSO!D665</f>
        <v>-0.23</v>
      </c>
      <c r="E665" s="34">
        <f t="shared" si="33"/>
        <v>5.9500000000000004E-3</v>
      </c>
      <c r="F665" s="19">
        <f>Solar!D665</f>
        <v>1361.32</v>
      </c>
      <c r="G665" s="32">
        <v>4.3899999999999998E-3</v>
      </c>
      <c r="H665" s="33">
        <v>0.21690000000000001</v>
      </c>
      <c r="I665" s="20">
        <f t="shared" si="31"/>
        <v>0.79701673953462082</v>
      </c>
      <c r="J665" s="20">
        <f t="shared" si="32"/>
        <v>-9.7016739534619756E-2</v>
      </c>
      <c r="K665" s="20">
        <f>ENSO!I665</f>
        <v>-8.730039842069004E-2</v>
      </c>
      <c r="L665" s="19">
        <f>Analysis!B665</f>
        <v>2013.4583333333333</v>
      </c>
    </row>
    <row r="666" spans="1:12" ht="15" customHeight="1">
      <c r="A666" s="18" t="str">
        <f>Analysis!A666</f>
        <v>7/2013</v>
      </c>
      <c r="B666" s="19">
        <f>Analysis!E666</f>
        <v>0.60000000000000142</v>
      </c>
      <c r="C666" s="20">
        <f>Analysis!F666</f>
        <v>0.50556432698509302</v>
      </c>
      <c r="D666" s="19">
        <f>ENSO!D666</f>
        <v>-0.2</v>
      </c>
      <c r="E666" s="34">
        <f t="shared" si="33"/>
        <v>5.6800000000000002E-3</v>
      </c>
      <c r="F666" s="19">
        <f>Solar!D666</f>
        <v>1361.36</v>
      </c>
      <c r="G666" s="32">
        <v>4.3899999999999998E-3</v>
      </c>
      <c r="H666" s="33">
        <v>0.21679999999999999</v>
      </c>
      <c r="I666" s="20">
        <f t="shared" si="31"/>
        <v>0.78754733360973217</v>
      </c>
      <c r="J666" s="20">
        <f t="shared" si="32"/>
        <v>-0.18754733360973075</v>
      </c>
      <c r="K666" s="20">
        <f>ENSO!I666</f>
        <v>-0.17697293772917366</v>
      </c>
      <c r="L666" s="19">
        <f>Analysis!B666</f>
        <v>2013.5416666666667</v>
      </c>
    </row>
    <row r="667" spans="1:12" ht="15" customHeight="1">
      <c r="A667" s="18" t="str">
        <f>Analysis!A667</f>
        <v>8/2013</v>
      </c>
      <c r="B667" s="19">
        <f>Analysis!E667</f>
        <v>0.70000000000000107</v>
      </c>
      <c r="C667" s="20">
        <f>Analysis!F667</f>
        <v>0.49784955645922896</v>
      </c>
      <c r="D667" s="19">
        <f>ENSO!D667</f>
        <v>-0.3</v>
      </c>
      <c r="E667" s="34">
        <f t="shared" si="33"/>
        <v>5.2100000000000002E-3</v>
      </c>
      <c r="F667" s="19">
        <f>Solar!D667</f>
        <v>1361.42</v>
      </c>
      <c r="G667" s="32">
        <v>4.4999999999999997E-3</v>
      </c>
      <c r="H667" s="33">
        <v>0.2147</v>
      </c>
      <c r="I667" s="20">
        <f t="shared" si="31"/>
        <v>0.75826053282277528</v>
      </c>
      <c r="J667" s="20">
        <f t="shared" si="32"/>
        <v>-5.8260532822774214E-2</v>
      </c>
      <c r="K667" s="20">
        <f>ENSO!I667</f>
        <v>-4.7078258814816198E-2</v>
      </c>
      <c r="L667" s="19">
        <f>Analysis!B667</f>
        <v>2013.625</v>
      </c>
    </row>
    <row r="668" spans="1:12" ht="15" customHeight="1">
      <c r="A668" s="18" t="str">
        <f>Analysis!A668</f>
        <v>9/2013</v>
      </c>
      <c r="B668" s="19">
        <f>Analysis!E668</f>
        <v>0.77000000000000135</v>
      </c>
      <c r="C668" s="20">
        <f>Analysis!F668</f>
        <v>0.49174317251988486</v>
      </c>
      <c r="D668" s="19">
        <f>ENSO!D668</f>
        <v>-0.38</v>
      </c>
      <c r="E668" s="34">
        <f t="shared" si="33"/>
        <v>5.1200000000000004E-3</v>
      </c>
      <c r="F668" s="19">
        <f>Solar!D668</f>
        <v>1361.39</v>
      </c>
      <c r="G668" s="32">
        <v>4.5799999999999999E-3</v>
      </c>
      <c r="H668" s="33">
        <v>0.21299999999999999</v>
      </c>
      <c r="I668" s="20">
        <f t="shared" si="31"/>
        <v>0.73438025369225257</v>
      </c>
      <c r="J668" s="20">
        <f t="shared" si="32"/>
        <v>3.5619746307748779E-2</v>
      </c>
      <c r="K668" s="20">
        <f>ENSO!I668</f>
        <v>4.6657754629271797E-2</v>
      </c>
      <c r="L668" s="19">
        <f>Analysis!B668</f>
        <v>2013.7083333333333</v>
      </c>
    </row>
    <row r="669" spans="1:12" ht="15" customHeight="1">
      <c r="A669" s="18" t="str">
        <f>Analysis!A669</f>
        <v>10/2013</v>
      </c>
      <c r="B669" s="19">
        <f>Analysis!E669</f>
        <v>0.69000000000000128</v>
      </c>
      <c r="C669" s="20">
        <f>Analysis!F669</f>
        <v>0.49240258978171431</v>
      </c>
      <c r="D669" s="19">
        <f>ENSO!D669</f>
        <v>-0.45</v>
      </c>
      <c r="E669" s="34">
        <f t="shared" si="33"/>
        <v>4.96E-3</v>
      </c>
      <c r="F669" s="19">
        <f>Solar!D669</f>
        <v>1361.09</v>
      </c>
      <c r="G669" s="32">
        <v>4.5500000000000002E-3</v>
      </c>
      <c r="H669" s="33">
        <v>0.2137</v>
      </c>
      <c r="I669" s="20">
        <f t="shared" si="31"/>
        <v>0.73003517066938028</v>
      </c>
      <c r="J669" s="20">
        <f t="shared" si="32"/>
        <v>-4.0035170669379005E-2</v>
      </c>
      <c r="K669" s="20">
        <f>ENSO!I669</f>
        <v>-2.9060886269951292E-2</v>
      </c>
      <c r="L669" s="19">
        <f>Analysis!B669</f>
        <v>2013.7916666666667</v>
      </c>
    </row>
    <row r="670" spans="1:12" ht="15" customHeight="1">
      <c r="A670" s="18" t="str">
        <f>Analysis!A670</f>
        <v>11/2013</v>
      </c>
      <c r="B670" s="19">
        <f>Analysis!E670</f>
        <v>0.83000000000000362</v>
      </c>
      <c r="C670" s="20">
        <f>Analysis!F670</f>
        <v>0.49774008860909347</v>
      </c>
      <c r="D670" s="19">
        <f>ENSO!D670</f>
        <v>-0.34</v>
      </c>
      <c r="E670" s="34">
        <f t="shared" si="33"/>
        <v>4.8300000000000001E-3</v>
      </c>
      <c r="F670" s="19">
        <f>Solar!D670</f>
        <v>1361.09</v>
      </c>
      <c r="G670" s="32">
        <v>4.5399999999999998E-3</v>
      </c>
      <c r="H670" s="33">
        <v>0.21379999999999999</v>
      </c>
      <c r="I670" s="20">
        <f t="shared" si="31"/>
        <v>0.755086300608797</v>
      </c>
      <c r="J670" s="20">
        <f t="shared" si="32"/>
        <v>7.4913699391206623E-2</v>
      </c>
      <c r="K670" s="20">
        <f>ENSO!I670</f>
        <v>8.6703937849314738E-2</v>
      </c>
      <c r="L670" s="19">
        <f>Analysis!B670</f>
        <v>2013.875</v>
      </c>
    </row>
    <row r="671" spans="1:12" ht="15" customHeight="1">
      <c r="A671" s="18" t="str">
        <f>Analysis!A671</f>
        <v>12/2013</v>
      </c>
      <c r="B671" s="19">
        <f>Analysis!E671</f>
        <v>0.70000000000000107</v>
      </c>
      <c r="C671" s="20">
        <f>Analysis!F671</f>
        <v>0.50382119585545315</v>
      </c>
      <c r="D671" s="19">
        <f>ENSO!D671</f>
        <v>-0.32</v>
      </c>
      <c r="E671" s="34">
        <f t="shared" si="33"/>
        <v>4.6699999999999997E-3</v>
      </c>
      <c r="F671" s="19">
        <f>Solar!D671</f>
        <v>1361.45</v>
      </c>
      <c r="G671" s="32">
        <v>4.2700000000000004E-3</v>
      </c>
      <c r="H671" s="33">
        <v>0.21909999999999999</v>
      </c>
      <c r="I671" s="20">
        <f t="shared" si="31"/>
        <v>0.77388002656243959</v>
      </c>
      <c r="J671" s="20">
        <f t="shared" si="32"/>
        <v>-7.3880026562438528E-2</v>
      </c>
      <c r="K671" s="20">
        <f>ENSO!I671</f>
        <v>-6.1740379478602558E-2</v>
      </c>
      <c r="L671" s="19">
        <f>Analysis!B671</f>
        <v>2013.9583333333333</v>
      </c>
    </row>
    <row r="672" spans="1:12" ht="15" customHeight="1">
      <c r="A672" s="18" t="str">
        <f>Analysis!A672</f>
        <v>1/2014</v>
      </c>
      <c r="B672" s="19">
        <f>Analysis!E672</f>
        <v>0.75999999999999801</v>
      </c>
      <c r="C672" s="20">
        <f>Analysis!F672</f>
        <v>0.50748659078948732</v>
      </c>
      <c r="D672" s="19">
        <f>ENSO!D672</f>
        <v>-0.14000000000000001</v>
      </c>
      <c r="E672" s="34">
        <f t="shared" si="33"/>
        <v>4.3899999999999998E-3</v>
      </c>
      <c r="F672" s="19">
        <f>Solar!D672</f>
        <v>1361.27</v>
      </c>
      <c r="G672" s="32">
        <v>4.1099999999999999E-3</v>
      </c>
      <c r="H672" s="33">
        <v>0.22239999999999999</v>
      </c>
      <c r="I672" s="20">
        <f t="shared" si="31"/>
        <v>0.80119632099569027</v>
      </c>
      <c r="J672" s="20">
        <f t="shared" si="32"/>
        <v>-4.1196320995692259E-2</v>
      </c>
      <c r="K672" s="20">
        <f>ENSO!I672</f>
        <v>-2.7475270726495471E-2</v>
      </c>
      <c r="L672" s="19">
        <f>Analysis!B672</f>
        <v>2014.0416666666667</v>
      </c>
    </row>
    <row r="673" spans="1:12" ht="15" customHeight="1">
      <c r="A673" s="18" t="str">
        <f>Analysis!A673</f>
        <v>2/2014</v>
      </c>
      <c r="B673" s="19">
        <f>Analysis!E673</f>
        <v>0.54999999999999893</v>
      </c>
      <c r="C673" s="20">
        <f>Analysis!F673</f>
        <v>0.50831998448950766</v>
      </c>
      <c r="D673" s="19">
        <f>ENSO!D673</f>
        <v>-0.12</v>
      </c>
      <c r="E673" s="34">
        <f t="shared" si="33"/>
        <v>4.3899999999999998E-3</v>
      </c>
      <c r="F673" s="19">
        <f>Solar!D673</f>
        <v>1361.01</v>
      </c>
      <c r="G673" s="32">
        <v>4.5700000000000003E-3</v>
      </c>
      <c r="H673" s="33">
        <v>0.2132</v>
      </c>
      <c r="I673" s="20">
        <f t="shared" si="31"/>
        <v>0.80532524085235402</v>
      </c>
      <c r="J673" s="20">
        <f t="shared" si="32"/>
        <v>-0.25532524085235508</v>
      </c>
      <c r="K673" s="20">
        <f>ENSO!I673</f>
        <v>-0.24150518872519144</v>
      </c>
      <c r="L673" s="19">
        <f>Analysis!B673</f>
        <v>2014.125</v>
      </c>
    </row>
    <row r="674" spans="1:12" ht="15" customHeight="1">
      <c r="A674" s="18" t="str">
        <f>Analysis!A674</f>
        <v>3/2014</v>
      </c>
      <c r="B674" s="19">
        <f>Analysis!E674</f>
        <v>0.77999999999999758</v>
      </c>
      <c r="C674" s="20">
        <f>Analysis!F674</f>
        <v>0.51424852992186132</v>
      </c>
      <c r="D674" s="19">
        <f>ENSO!D674</f>
        <v>-0.11</v>
      </c>
      <c r="E674" s="34">
        <f t="shared" si="33"/>
        <v>4.4999999999999997E-3</v>
      </c>
      <c r="F674" s="19">
        <f>Solar!D674</f>
        <v>1361.77</v>
      </c>
      <c r="G674" s="32">
        <v>7.0000000000000001E-3</v>
      </c>
      <c r="H674" s="33">
        <v>0.1646</v>
      </c>
      <c r="I674" s="20">
        <f t="shared" si="31"/>
        <v>0.82218082050271257</v>
      </c>
      <c r="J674" s="20">
        <f t="shared" si="32"/>
        <v>-4.2180820502714989E-2</v>
      </c>
      <c r="K674" s="20">
        <f>ENSO!I674</f>
        <v>-2.8660072151914684E-2</v>
      </c>
      <c r="L674" s="19">
        <f>Analysis!B674</f>
        <v>2014.2083333333333</v>
      </c>
    </row>
    <row r="675" spans="1:12" ht="15" customHeight="1">
      <c r="A675" s="18" t="str">
        <f>Analysis!A675</f>
        <v>4/2014</v>
      </c>
      <c r="B675" s="19">
        <f>Analysis!E675</f>
        <v>0.81000000000000227</v>
      </c>
      <c r="C675" s="20">
        <f>Analysis!F675</f>
        <v>0.52000909275354024</v>
      </c>
      <c r="D675" s="19">
        <f>ENSO!D675</f>
        <v>-0.24</v>
      </c>
      <c r="E675" s="34">
        <f t="shared" si="33"/>
        <v>4.5799999999999999E-3</v>
      </c>
      <c r="F675" s="19">
        <f>Solar!D675</f>
        <v>1361.49</v>
      </c>
      <c r="G675" s="32">
        <v>7.43E-3</v>
      </c>
      <c r="H675" s="33">
        <v>0.15590000000000001</v>
      </c>
      <c r="I675" s="20">
        <f t="shared" si="31"/>
        <v>0.82565294845072668</v>
      </c>
      <c r="J675" s="20">
        <f t="shared" si="32"/>
        <v>-1.5652948450724402E-2</v>
      </c>
      <c r="K675" s="20">
        <f>ENSO!I675</f>
        <v>-3.1682538344526279E-3</v>
      </c>
      <c r="L675" s="19">
        <f>Analysis!B675</f>
        <v>2014.2916666666667</v>
      </c>
    </row>
    <row r="676" spans="1:12" ht="15" customHeight="1">
      <c r="A676" s="18" t="str">
        <f>Analysis!A676</f>
        <v>5/2014</v>
      </c>
      <c r="B676" s="19">
        <f>Analysis!E676</f>
        <v>0.86999999999999744</v>
      </c>
      <c r="C676" s="20">
        <f>Analysis!F676</f>
        <v>0.52162511534624834</v>
      </c>
      <c r="D676" s="19">
        <f>ENSO!D676</f>
        <v>-0.21</v>
      </c>
      <c r="E676" s="34">
        <f t="shared" si="33"/>
        <v>4.5500000000000002E-3</v>
      </c>
      <c r="F676" s="19">
        <f>Solar!D676</f>
        <v>1361.38</v>
      </c>
      <c r="G676" s="32">
        <v>7.3600000000000002E-3</v>
      </c>
      <c r="H676" s="33">
        <v>0.15740000000000001</v>
      </c>
      <c r="I676" s="20">
        <f t="shared" si="31"/>
        <v>0.83291039132676414</v>
      </c>
      <c r="J676" s="20">
        <f t="shared" si="32"/>
        <v>3.7089608673233299E-2</v>
      </c>
      <c r="K676" s="20">
        <f>ENSO!I676</f>
        <v>4.9781728444030948E-2</v>
      </c>
      <c r="L676" s="19">
        <f>Analysis!B676</f>
        <v>2014.375</v>
      </c>
    </row>
    <row r="677" spans="1:12" ht="15" customHeight="1">
      <c r="A677" s="18" t="str">
        <f>Analysis!A677</f>
        <v>6/2014</v>
      </c>
      <c r="B677" s="19">
        <f>Analysis!E677</f>
        <v>0.66999999999999993</v>
      </c>
      <c r="C677" s="20">
        <f>Analysis!F677</f>
        <v>0.5197216102426353</v>
      </c>
      <c r="D677" s="19">
        <f>ENSO!D677</f>
        <v>-0.02</v>
      </c>
      <c r="E677" s="34">
        <f t="shared" si="33"/>
        <v>4.5399999999999998E-3</v>
      </c>
      <c r="F677" s="19">
        <f>Solar!D677</f>
        <v>1361.24</v>
      </c>
      <c r="G677" s="32">
        <v>7.2700000000000004E-3</v>
      </c>
      <c r="H677" s="33">
        <v>0.15920000000000001</v>
      </c>
      <c r="I677" s="20">
        <f t="shared" si="31"/>
        <v>0.84537177872221092</v>
      </c>
      <c r="J677" s="20">
        <f t="shared" si="32"/>
        <v>-0.17537177872221099</v>
      </c>
      <c r="K677" s="20">
        <f>ENSO!I677</f>
        <v>-0.16152690735799147</v>
      </c>
      <c r="L677" s="19">
        <f>Analysis!B677</f>
        <v>2014.4583333333333</v>
      </c>
    </row>
    <row r="678" spans="1:12" ht="15" customHeight="1">
      <c r="A678" s="18" t="str">
        <f>Analysis!A678</f>
        <v>7/2014</v>
      </c>
      <c r="B678" s="19">
        <f>Analysis!E678</f>
        <v>0.58000000000000007</v>
      </c>
      <c r="C678" s="20">
        <f>Analysis!F678</f>
        <v>0.51193784891495564</v>
      </c>
      <c r="D678" s="19">
        <f>ENSO!D678</f>
        <v>0.25</v>
      </c>
      <c r="E678" s="34">
        <f t="shared" si="33"/>
        <v>4.2700000000000004E-3</v>
      </c>
      <c r="F678" s="19">
        <f>Solar!D678</f>
        <v>1361.27</v>
      </c>
      <c r="G678" s="32">
        <v>6.8700000000000002E-3</v>
      </c>
      <c r="H678" s="33">
        <v>0.16719999999999999</v>
      </c>
      <c r="I678" s="20">
        <f t="shared" si="31"/>
        <v>0.84979089594122947</v>
      </c>
      <c r="J678" s="20">
        <f t="shared" si="32"/>
        <v>-0.2697908959412294</v>
      </c>
      <c r="K678" s="20">
        <f>ENSO!I678</f>
        <v>-0.25364669963442998</v>
      </c>
      <c r="L678" s="19">
        <f>Analysis!B678</f>
        <v>2014.5416666666667</v>
      </c>
    </row>
    <row r="679" spans="1:12" ht="15" customHeight="1">
      <c r="A679" s="18" t="str">
        <f>Analysis!A679</f>
        <v>8/2014</v>
      </c>
      <c r="B679" s="19">
        <f>Analysis!E679</f>
        <v>0.83000000000000362</v>
      </c>
      <c r="C679" s="20">
        <f>Analysis!F679</f>
        <v>0.50436615061227197</v>
      </c>
      <c r="D679" s="19">
        <f>ENSO!D679</f>
        <v>0.35</v>
      </c>
      <c r="E679" s="34">
        <f t="shared" si="33"/>
        <v>4.1099999999999999E-3</v>
      </c>
      <c r="F679" s="19">
        <f>Solar!D679</f>
        <v>1361.49</v>
      </c>
      <c r="G679" s="32">
        <v>6.9800000000000001E-3</v>
      </c>
      <c r="H679" s="33">
        <v>0.16500000000000001</v>
      </c>
      <c r="I679" s="20">
        <f t="shared" si="31"/>
        <v>0.83877120795108628</v>
      </c>
      <c r="J679" s="20">
        <f t="shared" si="32"/>
        <v>-8.7712079510826602E-3</v>
      </c>
      <c r="K679" s="20">
        <f>ENSO!I679</f>
        <v>8.4474350712037127E-3</v>
      </c>
      <c r="L679" s="19">
        <f>Analysis!B679</f>
        <v>2014.625</v>
      </c>
    </row>
    <row r="680" spans="1:12" ht="15" customHeight="1">
      <c r="A680" s="18" t="str">
        <f>Analysis!A680</f>
        <v>9/2014</v>
      </c>
      <c r="B680" s="19">
        <f>Analysis!E680</f>
        <v>0.88000000000000256</v>
      </c>
      <c r="C680" s="20">
        <f>Analysis!F680</f>
        <v>0.49839677115263525</v>
      </c>
      <c r="D680" s="19">
        <f>ENSO!D680</f>
        <v>0.22</v>
      </c>
      <c r="E680" s="34">
        <f t="shared" si="33"/>
        <v>4.5700000000000003E-3</v>
      </c>
      <c r="F680" s="19">
        <f>Solar!D680</f>
        <v>1361.51</v>
      </c>
      <c r="G680" s="32">
        <v>6.9300000000000004E-3</v>
      </c>
      <c r="H680" s="33">
        <v>0.16589999999999999</v>
      </c>
      <c r="I680" s="20">
        <f t="shared" si="31"/>
        <v>0.80941465386812139</v>
      </c>
      <c r="J680" s="20">
        <f t="shared" si="32"/>
        <v>7.0585346131881166E-2</v>
      </c>
      <c r="K680" s="20">
        <f>ENSO!I680</f>
        <v>8.6159013633319237E-2</v>
      </c>
      <c r="L680" s="19">
        <f>Analysis!B680</f>
        <v>2014.7083333333333</v>
      </c>
    </row>
    <row r="681" spans="1:12" ht="15" customHeight="1">
      <c r="A681" s="18" t="str">
        <f>Analysis!A681</f>
        <v>10/2014</v>
      </c>
      <c r="B681" s="19">
        <f>Analysis!E681</f>
        <v>0.79999999999999893</v>
      </c>
      <c r="C681" s="20">
        <f>Analysis!F681</f>
        <v>0.50065639249457372</v>
      </c>
      <c r="D681" s="19">
        <f>ENSO!D681</f>
        <v>7.0000000000000007E-2</v>
      </c>
      <c r="E681" s="34">
        <f t="shared" si="33"/>
        <v>7.0000000000000001E-3</v>
      </c>
      <c r="F681" s="19">
        <f>Solar!D681</f>
        <v>1361.14</v>
      </c>
      <c r="G681" s="32">
        <v>6.62E-3</v>
      </c>
      <c r="H681" s="33">
        <v>0.1721</v>
      </c>
      <c r="I681" s="20">
        <f t="shared" si="31"/>
        <v>0.79631149529048439</v>
      </c>
      <c r="J681" s="20">
        <f t="shared" si="32"/>
        <v>3.6885047095145396E-3</v>
      </c>
      <c r="K681" s="20">
        <f>ENSO!I681</f>
        <v>1.3007959929828061E-2</v>
      </c>
      <c r="L681" s="19">
        <f>Analysis!B681</f>
        <v>2014.7916666666667</v>
      </c>
    </row>
    <row r="682" spans="1:12" ht="15" customHeight="1">
      <c r="A682" s="18" t="str">
        <f>Analysis!A682</f>
        <v>11/2014</v>
      </c>
      <c r="B682" s="19">
        <f>Analysis!E682</f>
        <v>0.66999999999999993</v>
      </c>
      <c r="C682" s="20">
        <f>Analysis!F682</f>
        <v>0.50516504541734131</v>
      </c>
      <c r="D682" s="19">
        <f>ENSO!D682</f>
        <v>7.0000000000000007E-2</v>
      </c>
      <c r="E682" s="34">
        <f t="shared" si="33"/>
        <v>7.43E-3</v>
      </c>
      <c r="F682" s="19">
        <f>Solar!D682</f>
        <v>1361.55</v>
      </c>
      <c r="G682" s="32">
        <v>6.6100000000000004E-3</v>
      </c>
      <c r="H682" s="33">
        <v>0.17249999999999999</v>
      </c>
      <c r="I682" s="20">
        <f t="shared" si="31"/>
        <v>0.80766236048742912</v>
      </c>
      <c r="J682" s="20">
        <f t="shared" si="32"/>
        <v>-0.13766236048742919</v>
      </c>
      <c r="K682" s="20">
        <f>ENSO!I682</f>
        <v>-0.12937639052903926</v>
      </c>
      <c r="L682" s="19">
        <f>Analysis!B682</f>
        <v>2014.875</v>
      </c>
    </row>
    <row r="683" spans="1:12" ht="15" customHeight="1">
      <c r="A683" s="18" t="str">
        <f>Analysis!A683</f>
        <v>12/2014</v>
      </c>
      <c r="B683" s="19">
        <f>Analysis!E683</f>
        <v>0.79000000000000092</v>
      </c>
      <c r="C683" s="20">
        <f>Analysis!F683</f>
        <v>0.51125115244612851</v>
      </c>
      <c r="D683" s="19">
        <f>ENSO!D683</f>
        <v>0.24</v>
      </c>
      <c r="E683" s="34">
        <f t="shared" si="33"/>
        <v>7.3600000000000002E-3</v>
      </c>
      <c r="F683" s="19">
        <f>Solar!D683</f>
        <v>1361.48</v>
      </c>
      <c r="G683" s="32">
        <v>6.6E-3</v>
      </c>
      <c r="H683" s="33">
        <v>0.17269999999999999</v>
      </c>
      <c r="I683" s="20">
        <f t="shared" si="31"/>
        <v>0.84019094360737812</v>
      </c>
      <c r="J683" s="20">
        <f t="shared" si="32"/>
        <v>-5.0190943607377192E-2</v>
      </c>
      <c r="K683" s="20">
        <f>ENSO!I683</f>
        <v>-4.0890106723473707E-2</v>
      </c>
      <c r="L683" s="19">
        <f>Analysis!B683</f>
        <v>2014.9583333333333</v>
      </c>
    </row>
    <row r="684" spans="1:12" ht="15" customHeight="1">
      <c r="A684" s="18" t="str">
        <f>Analysis!A684</f>
        <v>1/2015</v>
      </c>
      <c r="B684" s="19">
        <f>Analysis!E684</f>
        <v>0.86000000000000121</v>
      </c>
      <c r="C684" s="20">
        <f>Analysis!F684</f>
        <v>0.51522223956909252</v>
      </c>
      <c r="D684" s="19">
        <f>ENSO!D684</f>
        <v>0.51</v>
      </c>
      <c r="E684" s="34">
        <f t="shared" si="33"/>
        <v>7.2700000000000004E-3</v>
      </c>
      <c r="F684" s="19">
        <f>Solar!D684</f>
        <v>1361.52</v>
      </c>
      <c r="G684" s="32">
        <v>6.2300000000000003E-3</v>
      </c>
      <c r="H684" s="33">
        <v>0.18010000000000001</v>
      </c>
      <c r="I684" s="20">
        <f t="shared" si="31"/>
        <v>0.87627447529997438</v>
      </c>
      <c r="J684" s="20">
        <f t="shared" si="32"/>
        <v>-1.6274475299973168E-2</v>
      </c>
      <c r="K684" s="20">
        <f>ENSO!I684</f>
        <v>-5.2980713869530405E-3</v>
      </c>
      <c r="L684" s="19">
        <f>Analysis!B684</f>
        <v>2015.0416666666667</v>
      </c>
    </row>
    <row r="685" spans="1:12" ht="15" customHeight="1">
      <c r="A685" s="18" t="str">
        <f>Analysis!A685</f>
        <v>2/2015</v>
      </c>
      <c r="B685" s="19">
        <f>Analysis!E685</f>
        <v>0.91000000000000014</v>
      </c>
      <c r="C685" s="20">
        <f>Analysis!F685</f>
        <v>0.51655551596218474</v>
      </c>
      <c r="D685" s="19">
        <f>ENSO!D685</f>
        <v>0.7</v>
      </c>
      <c r="E685" s="34">
        <f t="shared" si="33"/>
        <v>6.8700000000000002E-3</v>
      </c>
      <c r="F685" s="19">
        <f>Solar!D685</f>
        <v>1361.91</v>
      </c>
      <c r="G685" s="32">
        <v>5.9899999999999997E-3</v>
      </c>
      <c r="H685" s="33">
        <v>0.1847</v>
      </c>
      <c r="I685" s="20">
        <f t="shared" si="31"/>
        <v>0.8984220816953371</v>
      </c>
      <c r="J685" s="20">
        <f t="shared" si="32"/>
        <v>1.1577918304663037E-2</v>
      </c>
      <c r="K685" s="20">
        <f>ENSO!I685</f>
        <v>2.4502513879789412E-2</v>
      </c>
      <c r="L685" s="19">
        <f>Analysis!B685</f>
        <v>2015.125</v>
      </c>
    </row>
    <row r="686" spans="1:12" ht="15" customHeight="1">
      <c r="A686" s="18" t="str">
        <f>Analysis!A686</f>
        <v>3/2015</v>
      </c>
      <c r="B686" s="19">
        <f>Analysis!E686</f>
        <v>0.95999999999999908</v>
      </c>
      <c r="C686" s="20">
        <f>Analysis!F686</f>
        <v>0.52083528601459983</v>
      </c>
      <c r="D686" s="19">
        <f>ENSO!D686</f>
        <v>0.8</v>
      </c>
      <c r="E686" s="34">
        <f t="shared" si="33"/>
        <v>6.9800000000000001E-3</v>
      </c>
      <c r="F686" s="19">
        <f>Solar!D686</f>
        <v>1361.71</v>
      </c>
      <c r="G686" s="32">
        <v>5.7499999999999999E-3</v>
      </c>
      <c r="H686" s="33">
        <v>0.18959999999999999</v>
      </c>
      <c r="I686" s="20">
        <f t="shared" si="31"/>
        <v>0.91913230010404978</v>
      </c>
      <c r="J686" s="20">
        <f t="shared" si="32"/>
        <v>4.0867699895949294E-2</v>
      </c>
      <c r="K686" s="20">
        <f>ENSO!I686</f>
        <v>5.4043081017472683E-2</v>
      </c>
      <c r="L686" s="19">
        <f>Analysis!B686</f>
        <v>2015.2083333333333</v>
      </c>
    </row>
    <row r="687" spans="1:12" ht="15" customHeight="1">
      <c r="A687" s="18" t="str">
        <f>Analysis!A687</f>
        <v>4/2015</v>
      </c>
      <c r="B687" s="19">
        <f>Analysis!E687</f>
        <v>0.75</v>
      </c>
      <c r="C687" s="20">
        <f>Analysis!F687</f>
        <v>0.52660542876170069</v>
      </c>
      <c r="D687" s="19">
        <f>ENSO!D687</f>
        <v>0.73</v>
      </c>
      <c r="E687" s="34">
        <f t="shared" si="33"/>
        <v>6.9300000000000004E-3</v>
      </c>
      <c r="F687" s="19">
        <f>Solar!D687</f>
        <v>1361.7</v>
      </c>
      <c r="G687" s="32">
        <v>5.8199999999999997E-3</v>
      </c>
      <c r="H687" s="33">
        <v>0.18820000000000001</v>
      </c>
      <c r="I687" s="20">
        <f t="shared" si="31"/>
        <v>0.92848430328721443</v>
      </c>
      <c r="J687" s="20">
        <f t="shared" si="32"/>
        <v>-0.17848430328721443</v>
      </c>
      <c r="K687" s="20">
        <f>ENSO!I687</f>
        <v>-0.16571368093317429</v>
      </c>
      <c r="L687" s="19">
        <f>Analysis!B687</f>
        <v>2015.2916666666667</v>
      </c>
    </row>
    <row r="688" spans="1:12" ht="15" customHeight="1">
      <c r="A688" s="18" t="str">
        <f>Analysis!A688</f>
        <v>5/2015</v>
      </c>
      <c r="B688" s="19">
        <f>Analysis!E688</f>
        <v>0.79999999999999893</v>
      </c>
      <c r="C688" s="20">
        <f>Analysis!F688</f>
        <v>0.52946402049003916</v>
      </c>
      <c r="D688" s="19">
        <f>ENSO!D688</f>
        <v>0.65</v>
      </c>
      <c r="E688" s="34">
        <f t="shared" si="33"/>
        <v>6.62E-3</v>
      </c>
      <c r="F688" s="19">
        <f>Solar!D688</f>
        <v>1361.48</v>
      </c>
      <c r="G688" s="32">
        <v>8.4600000000000005E-3</v>
      </c>
      <c r="H688" s="33">
        <v>0.13550000000000001</v>
      </c>
      <c r="I688" s="20">
        <f t="shared" si="31"/>
        <v>0.92953940830098347</v>
      </c>
      <c r="J688" s="20">
        <f t="shared" si="32"/>
        <v>-0.12953940830098454</v>
      </c>
      <c r="K688" s="20">
        <f>ENSO!I688</f>
        <v>-0.11660262807613031</v>
      </c>
      <c r="L688" s="19">
        <f>Analysis!B688</f>
        <v>2015.375</v>
      </c>
    </row>
    <row r="689" spans="1:12" ht="15" customHeight="1">
      <c r="A689" s="18" t="str">
        <f>Analysis!A689</f>
        <v>6/2015</v>
      </c>
      <c r="B689" s="19">
        <f>Analysis!E689</f>
        <v>0.82000000000000028</v>
      </c>
      <c r="C689" s="20">
        <f>Analysis!F689</f>
        <v>0.52524561093224054</v>
      </c>
      <c r="D689" s="19">
        <f>ENSO!D689</f>
        <v>0.72</v>
      </c>
      <c r="E689" s="34">
        <f t="shared" si="33"/>
        <v>6.6100000000000004E-3</v>
      </c>
      <c r="F689" s="19">
        <f>Solar!D689</f>
        <v>1361.29</v>
      </c>
      <c r="G689" s="32">
        <v>9.3200000000000002E-3</v>
      </c>
      <c r="H689" s="33">
        <v>0.1183</v>
      </c>
      <c r="I689" s="20">
        <f t="shared" si="31"/>
        <v>0.92455166351215823</v>
      </c>
      <c r="J689" s="20">
        <f t="shared" si="32"/>
        <v>-0.10455166351215794</v>
      </c>
      <c r="K689" s="20">
        <f>ENSO!I689</f>
        <v>-9.1108160864988519E-2</v>
      </c>
      <c r="L689" s="19">
        <f>Analysis!B689</f>
        <v>2015.4583333333333</v>
      </c>
    </row>
    <row r="690" spans="1:12" ht="15" customHeight="1">
      <c r="A690" s="18" t="str">
        <f>Analysis!A690</f>
        <v>7/2015</v>
      </c>
      <c r="B690" s="19">
        <f>Analysis!E690</f>
        <v>0.7300000000000022</v>
      </c>
      <c r="C690" s="20">
        <f>Analysis!F690</f>
        <v>0.51982942289753653</v>
      </c>
      <c r="D690" s="19">
        <f>ENSO!D690</f>
        <v>0.86</v>
      </c>
      <c r="E690" s="34">
        <f t="shared" si="33"/>
        <v>6.6E-3</v>
      </c>
      <c r="F690" s="19">
        <f>Solar!D690</f>
        <v>1361.41</v>
      </c>
      <c r="G690" s="32">
        <v>9.6200000000000001E-3</v>
      </c>
      <c r="H690" s="33">
        <v>0.11219999999999999</v>
      </c>
      <c r="I690" s="20">
        <f t="shared" si="31"/>
        <v>0.92279271779572269</v>
      </c>
      <c r="J690" s="20">
        <f t="shared" si="32"/>
        <v>-0.19279271779572049</v>
      </c>
      <c r="K690" s="20">
        <f>ENSO!I690</f>
        <v>-0.17841628424545364</v>
      </c>
      <c r="L690" s="19">
        <f>Analysis!B690</f>
        <v>2015.5416666666667</v>
      </c>
    </row>
    <row r="691" spans="1:12" ht="15" customHeight="1">
      <c r="A691" s="18" t="str">
        <f>Analysis!A691</f>
        <v>8/2015</v>
      </c>
      <c r="B691" s="19">
        <f>Analysis!E691</f>
        <v>0.79999999999999893</v>
      </c>
      <c r="C691" s="20">
        <f>Analysis!F691</f>
        <v>0.51135959993669367</v>
      </c>
      <c r="D691" s="19">
        <f>ENSO!D691</f>
        <v>1.04</v>
      </c>
      <c r="E691" s="34">
        <f t="shared" si="33"/>
        <v>6.2300000000000003E-3</v>
      </c>
      <c r="F691" s="19">
        <f>Solar!D691</f>
        <v>1361.09</v>
      </c>
      <c r="G691" s="32">
        <v>9.3900000000000008E-3</v>
      </c>
      <c r="H691" s="33">
        <v>0.1167</v>
      </c>
      <c r="I691" s="20">
        <f t="shared" si="31"/>
        <v>0.91720913658661307</v>
      </c>
      <c r="J691" s="20">
        <f t="shared" si="32"/>
        <v>-0.11720913658661414</v>
      </c>
      <c r="K691" s="20">
        <f>ENSO!I691</f>
        <v>-0.10081820578392953</v>
      </c>
      <c r="L691" s="19">
        <f>Analysis!B691</f>
        <v>2015.625</v>
      </c>
    </row>
    <row r="692" spans="1:12" ht="15" customHeight="1">
      <c r="A692" s="18" t="str">
        <f>Analysis!A692</f>
        <v>9/2015</v>
      </c>
      <c r="B692" s="19">
        <f>Analysis!E692</f>
        <v>0.83999999999999986</v>
      </c>
      <c r="C692" s="20">
        <f>Analysis!F692</f>
        <v>0.50668898086543035</v>
      </c>
      <c r="D692" s="19">
        <f>ENSO!D692</f>
        <v>1.19</v>
      </c>
      <c r="E692" s="34">
        <f t="shared" si="33"/>
        <v>5.9899999999999997E-3</v>
      </c>
      <c r="F692" s="19">
        <f>Solar!D692</f>
        <v>1361.05</v>
      </c>
      <c r="G692" s="32">
        <v>9.4800000000000006E-3</v>
      </c>
      <c r="H692" s="33">
        <v>0.11509999999999999</v>
      </c>
      <c r="I692" s="20">
        <f t="shared" si="31"/>
        <v>0.91891770612974422</v>
      </c>
      <c r="J692" s="20">
        <f t="shared" si="32"/>
        <v>-7.8917706129744358E-2</v>
      </c>
      <c r="K692" s="20">
        <f>ENSO!I692</f>
        <v>-6.104463281649064E-2</v>
      </c>
      <c r="L692" s="19">
        <f>Analysis!B692</f>
        <v>2015.7083333333333</v>
      </c>
    </row>
    <row r="693" spans="1:12" ht="15" customHeight="1">
      <c r="A693" s="18" t="str">
        <f>Analysis!A693</f>
        <v>10/2015</v>
      </c>
      <c r="B693" s="19">
        <f>Analysis!E693</f>
        <v>1.0800000000000036</v>
      </c>
      <c r="C693" s="20">
        <f>Analysis!F693</f>
        <v>0.50911669345346611</v>
      </c>
      <c r="D693" s="19">
        <f>ENSO!D693</f>
        <v>1.44</v>
      </c>
      <c r="E693" s="34">
        <f t="shared" si="33"/>
        <v>5.7499999999999999E-3</v>
      </c>
      <c r="F693" s="19">
        <f>Solar!D693</f>
        <v>1361.24</v>
      </c>
      <c r="G693" s="32">
        <v>9.6299999999999997E-3</v>
      </c>
      <c r="H693" s="33">
        <v>0.11210000000000001</v>
      </c>
      <c r="I693" s="20">
        <f t="shared" si="31"/>
        <v>0.9492659507000456</v>
      </c>
      <c r="J693" s="20">
        <f t="shared" si="32"/>
        <v>0.13073404929995802</v>
      </c>
      <c r="K693" s="20">
        <f>ENSO!I693</f>
        <v>0.15052749313773572</v>
      </c>
      <c r="L693" s="19">
        <f>Analysis!B693</f>
        <v>2015.7916666666667</v>
      </c>
    </row>
    <row r="694" spans="1:12" ht="15" customHeight="1">
      <c r="A694" s="18" t="str">
        <f>Analysis!A694</f>
        <v>11/2015</v>
      </c>
      <c r="B694" s="19">
        <f>Analysis!E694</f>
        <v>1.0600000000000023</v>
      </c>
      <c r="C694" s="20">
        <f>Analysis!F694</f>
        <v>0.51554666346621814</v>
      </c>
      <c r="D694" s="19">
        <f>ENSO!D694</f>
        <v>1.73</v>
      </c>
      <c r="E694" s="34">
        <f t="shared" si="33"/>
        <v>5.8199999999999997E-3</v>
      </c>
      <c r="F694" s="19">
        <f>Solar!D694</f>
        <v>1361.34</v>
      </c>
      <c r="G694" s="32">
        <v>1.0120000000000001E-2</v>
      </c>
      <c r="H694" s="33">
        <v>0.1022</v>
      </c>
      <c r="I694" s="20">
        <f t="shared" si="31"/>
        <v>0.99355974717275186</v>
      </c>
      <c r="J694" s="20">
        <f t="shared" si="32"/>
        <v>6.6440252827250412E-2</v>
      </c>
      <c r="K694" s="20">
        <f>ENSO!I694</f>
        <v>8.76247230384406E-2</v>
      </c>
      <c r="L694" s="19">
        <f>Analysis!B694</f>
        <v>2015.875</v>
      </c>
    </row>
    <row r="695" spans="1:12" ht="15" customHeight="1">
      <c r="A695" s="18" t="str">
        <f>Analysis!A695</f>
        <v>12/2015</v>
      </c>
      <c r="B695" s="19">
        <f>Analysis!E695</f>
        <v>1.1699999999999964</v>
      </c>
      <c r="C695" s="20">
        <f>Analysis!F695</f>
        <v>0.52198398578437877</v>
      </c>
      <c r="D695" s="19">
        <f>ENSO!D695</f>
        <v>2.02</v>
      </c>
      <c r="E695" s="34">
        <f t="shared" si="33"/>
        <v>8.4600000000000005E-3</v>
      </c>
      <c r="F695" s="19">
        <f>Solar!D695</f>
        <v>1361.22</v>
      </c>
      <c r="G695" s="32">
        <v>1.0109999999999999E-2</v>
      </c>
      <c r="H695" s="33">
        <v>0.1024</v>
      </c>
      <c r="I695" s="20">
        <f t="shared" si="31"/>
        <v>1.0322186912267741</v>
      </c>
      <c r="J695" s="20">
        <f t="shared" si="32"/>
        <v>0.13778130877322226</v>
      </c>
      <c r="K695" s="20">
        <f>ENSO!I695</f>
        <v>0.15470175765500205</v>
      </c>
      <c r="L695" s="19">
        <f>Analysis!B695</f>
        <v>2015.9583333333333</v>
      </c>
    </row>
    <row r="696" spans="1:12" ht="15" customHeight="1">
      <c r="A696" s="18" t="str">
        <f>Analysis!A696</f>
        <v>1/2016</v>
      </c>
      <c r="B696" s="19">
        <f>Analysis!E696</f>
        <v>1.1799999999999997</v>
      </c>
      <c r="C696" s="20">
        <f>Analysis!F696</f>
        <v>0.52438611777087951</v>
      </c>
      <c r="D696" s="19">
        <f>ENSO!D696</f>
        <v>2.2799999999999998</v>
      </c>
      <c r="E696" s="34">
        <f t="shared" si="33"/>
        <v>9.3200000000000002E-3</v>
      </c>
      <c r="F696" s="19">
        <f>Solar!D696</f>
        <v>1361.2</v>
      </c>
      <c r="G696" s="32">
        <v>9.4299999999999991E-3</v>
      </c>
      <c r="H696" s="33">
        <v>0.11600000000000001</v>
      </c>
      <c r="I696" s="20">
        <f t="shared" si="31"/>
        <v>1.0610047292811444</v>
      </c>
      <c r="J696" s="20">
        <f t="shared" si="32"/>
        <v>0.11899527071885529</v>
      </c>
      <c r="K696" s="20">
        <f>ENSO!I696</f>
        <v>0.13547377060796717</v>
      </c>
      <c r="L696" s="19">
        <f>Analysis!B696</f>
        <v>2016.0416666666667</v>
      </c>
    </row>
    <row r="697" spans="1:12" ht="15" customHeight="1">
      <c r="A697" s="18" t="str">
        <f>Analysis!A697</f>
        <v>2/2016</v>
      </c>
      <c r="B697" s="19">
        <f>Analysis!E697</f>
        <v>1.370000000000001</v>
      </c>
      <c r="C697" s="20">
        <f>Analysis!F697</f>
        <v>0.52982094652869527</v>
      </c>
      <c r="D697" s="19">
        <f>ENSO!D697</f>
        <v>2.4500000000000002</v>
      </c>
      <c r="E697" s="34">
        <f t="shared" si="33"/>
        <v>9.6200000000000001E-3</v>
      </c>
      <c r="F697" s="19">
        <f>Solar!D697</f>
        <v>1361.23</v>
      </c>
      <c r="G697" s="32">
        <v>8.5800000000000008E-3</v>
      </c>
      <c r="H697" s="33">
        <v>0.13300000000000001</v>
      </c>
      <c r="I697" s="20">
        <f t="shared" si="31"/>
        <v>1.0909428688567042</v>
      </c>
      <c r="J697" s="20">
        <f t="shared" si="32"/>
        <v>0.27905713114329678</v>
      </c>
      <c r="K697" s="20">
        <f>ENSO!I697</f>
        <v>0.29574898305632691</v>
      </c>
      <c r="L697" s="19">
        <f>Analysis!B697</f>
        <v>2016.125</v>
      </c>
    </row>
    <row r="698" spans="1:12" ht="15" customHeight="1">
      <c r="A698" s="18" t="str">
        <f>Analysis!A698</f>
        <v>3/2016</v>
      </c>
      <c r="B698" s="19">
        <f>Analysis!E698</f>
        <v>1.3499999999999979</v>
      </c>
      <c r="C698" s="20">
        <f>Analysis!F698</f>
        <v>0.53270879759518996</v>
      </c>
      <c r="D698" s="19">
        <f>ENSO!D698</f>
        <v>2.59</v>
      </c>
      <c r="E698" s="34">
        <f t="shared" si="33"/>
        <v>9.3900000000000008E-3</v>
      </c>
      <c r="F698" s="19">
        <f>Solar!D698</f>
        <v>1361.07</v>
      </c>
      <c r="G698" s="32">
        <v>7.79E-3</v>
      </c>
      <c r="H698" s="33">
        <v>0.1487</v>
      </c>
      <c r="I698" s="20">
        <f t="shared" si="31"/>
        <v>1.1123166517881442</v>
      </c>
      <c r="J698" s="20">
        <f t="shared" si="32"/>
        <v>0.23768334821185366</v>
      </c>
      <c r="K698" s="20">
        <f>ENSO!I698</f>
        <v>0.25563135710047025</v>
      </c>
      <c r="L698" s="19">
        <f>Analysis!B698</f>
        <v>2016.2083333333333</v>
      </c>
    </row>
    <row r="699" spans="1:12" ht="15" customHeight="1">
      <c r="A699" s="18" t="str">
        <f>Analysis!A699</f>
        <v>4/2016</v>
      </c>
      <c r="B699" s="19">
        <f>Analysis!E699</f>
        <v>1.0899999999999999</v>
      </c>
      <c r="C699" s="20">
        <f>Analysis!F699</f>
        <v>0.54172722433348508</v>
      </c>
      <c r="D699" s="19">
        <f>ENSO!D699</f>
        <v>2.5</v>
      </c>
      <c r="E699" s="34">
        <f t="shared" si="33"/>
        <v>9.4800000000000006E-3</v>
      </c>
      <c r="F699" s="19">
        <f>Solar!D699</f>
        <v>1360.8</v>
      </c>
      <c r="G699" s="32">
        <v>7.1000000000000004E-3</v>
      </c>
      <c r="H699" s="33">
        <v>0.16270000000000001</v>
      </c>
      <c r="I699" s="20">
        <f t="shared" si="31"/>
        <v>1.1283641591679432</v>
      </c>
      <c r="J699" s="20">
        <f t="shared" si="32"/>
        <v>-3.8364159167943335E-2</v>
      </c>
      <c r="K699" s="20">
        <f>ENSO!I699</f>
        <v>-2.1307023391114566E-2</v>
      </c>
      <c r="L699" s="19">
        <f>Analysis!B699</f>
        <v>2016.2916666666667</v>
      </c>
    </row>
    <row r="700" spans="1:12" ht="15" customHeight="1">
      <c r="A700" s="18" t="str">
        <f>Analysis!A700</f>
        <v>5/2016</v>
      </c>
      <c r="B700" s="19">
        <f>Analysis!E700</f>
        <v>0.95999999999999908</v>
      </c>
      <c r="C700" s="20">
        <f>Analysis!F700</f>
        <v>0.5427886799601942</v>
      </c>
      <c r="D700" s="19">
        <f>ENSO!D700</f>
        <v>2.21</v>
      </c>
      <c r="E700" s="34">
        <f t="shared" si="33"/>
        <v>9.6299999999999997E-3</v>
      </c>
      <c r="F700" s="19">
        <f>Solar!D700</f>
        <v>1360.94</v>
      </c>
      <c r="G700" s="32">
        <v>6.8199999999999997E-3</v>
      </c>
      <c r="H700" s="33">
        <v>0.1681</v>
      </c>
      <c r="I700" s="20">
        <f t="shared" si="31"/>
        <v>1.1040185933664697</v>
      </c>
      <c r="J700" s="20">
        <f t="shared" si="32"/>
        <v>-0.1440185933664706</v>
      </c>
      <c r="K700" s="20">
        <f>ENSO!I700</f>
        <v>-0.12898167234467017</v>
      </c>
      <c r="L700" s="19">
        <f>Analysis!B700</f>
        <v>2016.375</v>
      </c>
    </row>
    <row r="701" spans="1:12" ht="15" customHeight="1">
      <c r="A701" s="18" t="str">
        <f>Analysis!A701</f>
        <v>6/2016</v>
      </c>
      <c r="B701" s="19">
        <f>Analysis!E701</f>
        <v>0.81000000000000227</v>
      </c>
      <c r="C701" s="20">
        <f>Analysis!F701</f>
        <v>0.53956651983320436</v>
      </c>
      <c r="D701" s="19">
        <f>ENSO!D701</f>
        <v>1.69</v>
      </c>
      <c r="E701" s="34">
        <f t="shared" si="33"/>
        <v>1.0120000000000001E-2</v>
      </c>
      <c r="F701" s="19">
        <f>Solar!D701</f>
        <v>1360.99</v>
      </c>
      <c r="G701" s="32">
        <v>6.2100000000000002E-3</v>
      </c>
      <c r="H701" s="33">
        <v>0.1804</v>
      </c>
      <c r="I701" s="20">
        <f t="shared" si="31"/>
        <v>1.0458988097559292</v>
      </c>
      <c r="J701" s="20">
        <f t="shared" si="32"/>
        <v>-0.23589880975592692</v>
      </c>
      <c r="K701" s="20">
        <f>ENSO!I701</f>
        <v>-0.22487141499281083</v>
      </c>
      <c r="L701" s="19">
        <f>Analysis!B701</f>
        <v>2016.4583333333333</v>
      </c>
    </row>
    <row r="702" spans="1:12" ht="15" customHeight="1">
      <c r="A702" s="18" t="str">
        <f>Analysis!A702</f>
        <v>7/2016</v>
      </c>
      <c r="B702" s="19">
        <f>Analysis!E702</f>
        <v>0.83999999999999986</v>
      </c>
      <c r="C702" s="20">
        <f>Analysis!F702</f>
        <v>0.53103383496841972</v>
      </c>
      <c r="D702" s="19">
        <f>ENSO!D702</f>
        <v>1.1100000000000001</v>
      </c>
      <c r="E702" s="34">
        <f t="shared" si="33"/>
        <v>1.0109999999999999E-2</v>
      </c>
      <c r="F702" s="19">
        <f>Solar!D702</f>
        <v>1360.91</v>
      </c>
      <c r="G702" s="32">
        <v>5.9300000000000004E-3</v>
      </c>
      <c r="H702" s="33">
        <v>0.18590000000000001</v>
      </c>
      <c r="I702" s="20">
        <f t="shared" si="31"/>
        <v>0.96882743873218535</v>
      </c>
      <c r="J702" s="20">
        <f t="shared" si="32"/>
        <v>-0.1288274387321855</v>
      </c>
      <c r="K702" s="20">
        <f>ENSO!I702</f>
        <v>-0.12095196257993246</v>
      </c>
      <c r="L702" s="19">
        <f>Analysis!B702</f>
        <v>2016.5416666666667</v>
      </c>
    </row>
    <row r="703" spans="1:12" ht="15" customHeight="1">
      <c r="A703" s="18" t="str">
        <f>Analysis!A703</f>
        <v>8/2016</v>
      </c>
      <c r="B703" s="19">
        <f>Analysis!E703</f>
        <v>1.0099999999999998</v>
      </c>
      <c r="C703" s="20">
        <f>Analysis!F703</f>
        <v>0.52338272814934861</v>
      </c>
      <c r="D703" s="19">
        <f>ENSO!D703</f>
        <v>0.56999999999999995</v>
      </c>
      <c r="E703" s="34">
        <f t="shared" si="33"/>
        <v>9.4299999999999991E-3</v>
      </c>
      <c r="F703" s="19">
        <f>Solar!D703</f>
        <v>1360.92</v>
      </c>
      <c r="G703" s="32">
        <v>5.77E-3</v>
      </c>
      <c r="H703" s="33">
        <v>0.18909999999999999</v>
      </c>
      <c r="I703" s="20">
        <f t="shared" si="31"/>
        <v>0.89934654311622153</v>
      </c>
      <c r="J703" s="20">
        <f t="shared" si="32"/>
        <v>0.11065345688377826</v>
      </c>
      <c r="K703" s="20">
        <f>ENSO!I703</f>
        <v>0.11706446386155223</v>
      </c>
      <c r="L703" s="19">
        <f>Analysis!B703</f>
        <v>2016.625</v>
      </c>
    </row>
    <row r="704" spans="1:12" ht="15" customHeight="1">
      <c r="A704" s="18" t="str">
        <f>Analysis!A704</f>
        <v>9/2016</v>
      </c>
      <c r="B704" s="19">
        <f>Analysis!E704</f>
        <v>0.89999999999999858</v>
      </c>
      <c r="C704" s="20">
        <f>Analysis!F704</f>
        <v>0.51900265323929839</v>
      </c>
      <c r="D704" s="19">
        <f>ENSO!D704</f>
        <v>0.09</v>
      </c>
      <c r="E704" s="34">
        <f t="shared" si="33"/>
        <v>8.5800000000000008E-3</v>
      </c>
      <c r="F704" s="19">
        <f>Solar!D704</f>
        <v>1360.92</v>
      </c>
      <c r="G704" s="32">
        <v>5.7099999999999998E-3</v>
      </c>
      <c r="H704" s="33">
        <v>0.19040000000000001</v>
      </c>
      <c r="I704" s="20">
        <f t="shared" si="31"/>
        <v>0.84472890539894685</v>
      </c>
      <c r="J704" s="20">
        <f t="shared" si="32"/>
        <v>5.5271094601051729E-2</v>
      </c>
      <c r="K704" s="20">
        <f>ENSO!I704</f>
        <v>6.0873766277982688E-2</v>
      </c>
      <c r="L704" s="19">
        <f>Analysis!B704</f>
        <v>2016.7083333333333</v>
      </c>
    </row>
    <row r="705" spans="1:12" ht="15" customHeight="1">
      <c r="A705" s="18" t="str">
        <f>Analysis!A705</f>
        <v>10/2016</v>
      </c>
      <c r="B705" s="19">
        <f>Analysis!E705</f>
        <v>0.86999999999999744</v>
      </c>
      <c r="C705" s="20">
        <f>Analysis!F705</f>
        <v>0.52101483065422127</v>
      </c>
      <c r="D705" s="19">
        <f>ENSO!D705</f>
        <v>-0.19</v>
      </c>
      <c r="E705" s="34">
        <f t="shared" si="33"/>
        <v>7.79E-3</v>
      </c>
      <c r="F705" s="19">
        <f>Solar!D705</f>
        <v>1360.86</v>
      </c>
      <c r="G705" s="32">
        <v>5.8199999999999997E-3</v>
      </c>
      <c r="H705" s="33">
        <v>0.18820000000000001</v>
      </c>
      <c r="I705" s="20">
        <f t="shared" si="31"/>
        <v>0.82597264407933468</v>
      </c>
      <c r="J705" s="20">
        <f t="shared" si="32"/>
        <v>4.4027355920662758E-2</v>
      </c>
      <c r="K705" s="20">
        <f>ENSO!I705</f>
        <v>4.9717300684497312E-2</v>
      </c>
      <c r="L705" s="19">
        <f>Analysis!B705</f>
        <v>2016.7916666666667</v>
      </c>
    </row>
    <row r="706" spans="1:12" ht="15" customHeight="1">
      <c r="A706" s="18" t="str">
        <f>Analysis!A706</f>
        <v>11/2016</v>
      </c>
      <c r="B706" s="19">
        <f>Analysis!E706</f>
        <v>0.91000000000000014</v>
      </c>
      <c r="C706" s="20">
        <f>Analysis!F706</f>
        <v>0.52792823149882584</v>
      </c>
      <c r="D706" s="19">
        <f>ENSO!D706</f>
        <v>-0.34</v>
      </c>
      <c r="E706" s="34">
        <f t="shared" si="33"/>
        <v>7.1000000000000004E-3</v>
      </c>
      <c r="F706" s="19">
        <f>Solar!D706</f>
        <v>1360.86</v>
      </c>
      <c r="G706" s="32">
        <v>5.7299999999999999E-3</v>
      </c>
      <c r="H706" s="33">
        <v>0.18990000000000001</v>
      </c>
      <c r="I706" s="20">
        <f t="shared" ref="I706:I769" si="34">IF(OR(D706="",E706=""),"",$N$14+$N$15*C706+$N$16*D706+$N$17*E706)</f>
        <v>0.83242742318186869</v>
      </c>
      <c r="J706" s="20">
        <f t="shared" ref="J706:J769" si="35">IF(I706="","",B706-I706)</f>
        <v>7.7572576818131456E-2</v>
      </c>
      <c r="K706" s="20">
        <f>ENSO!I706</f>
        <v>8.3783263392216534E-2</v>
      </c>
      <c r="L706" s="19">
        <f>Analysis!B706</f>
        <v>2016.875</v>
      </c>
    </row>
    <row r="707" spans="1:12" ht="15" customHeight="1">
      <c r="A707" s="18" t="str">
        <f>Analysis!A707</f>
        <v>12/2016</v>
      </c>
      <c r="B707" s="19">
        <f>Analysis!E707</f>
        <v>0.86000000000000121</v>
      </c>
      <c r="C707" s="20">
        <f>Analysis!F707</f>
        <v>0.53121211494354725</v>
      </c>
      <c r="D707" s="19">
        <f>ENSO!D707</f>
        <v>-0.42</v>
      </c>
      <c r="E707" s="34">
        <f t="shared" si="33"/>
        <v>6.8199999999999997E-3</v>
      </c>
      <c r="F707" s="19">
        <f>Solar!D707</f>
        <v>1360.75</v>
      </c>
      <c r="G707" s="32">
        <v>5.5799999999999999E-3</v>
      </c>
      <c r="H707" s="33">
        <v>0.193</v>
      </c>
      <c r="I707" s="20">
        <f t="shared" si="34"/>
        <v>0.83457646926186868</v>
      </c>
      <c r="J707" s="20">
        <f t="shared" si="35"/>
        <v>2.5423530738132527E-2</v>
      </c>
      <c r="K707" s="20">
        <f>ENSO!I707</f>
        <v>3.1726126603006222E-2</v>
      </c>
      <c r="L707" s="19">
        <f>Analysis!B707</f>
        <v>2016.9583333333333</v>
      </c>
    </row>
    <row r="708" spans="1:12" ht="15" customHeight="1">
      <c r="A708" s="18" t="str">
        <f>Analysis!A708</f>
        <v>1/2017</v>
      </c>
      <c r="B708" s="19">
        <f>Analysis!E708</f>
        <v>1.0200000000000014</v>
      </c>
      <c r="C708" s="20">
        <f>Analysis!F708</f>
        <v>0.5373315704079159</v>
      </c>
      <c r="D708" s="19">
        <f>ENSO!D708</f>
        <v>-0.51</v>
      </c>
      <c r="E708" s="34">
        <f t="shared" si="33"/>
        <v>6.2100000000000002E-3</v>
      </c>
      <c r="F708" s="19">
        <f>Solar!D708</f>
        <v>1360.66</v>
      </c>
      <c r="G708" s="32">
        <v>5.3E-3</v>
      </c>
      <c r="H708" s="33">
        <v>0.19850000000000001</v>
      </c>
      <c r="I708" s="20">
        <f t="shared" si="34"/>
        <v>0.84425749394015581</v>
      </c>
      <c r="J708" s="20">
        <f t="shared" si="35"/>
        <v>0.17574250605984554</v>
      </c>
      <c r="K708" s="20">
        <f>ENSO!I708</f>
        <v>0.18275062922562002</v>
      </c>
      <c r="L708" s="19">
        <f>Analysis!B708</f>
        <v>2017.0416666666667</v>
      </c>
    </row>
    <row r="709" spans="1:12" ht="15" customHeight="1">
      <c r="A709" s="18" t="str">
        <f>Analysis!A709</f>
        <v>2/2017</v>
      </c>
      <c r="B709" s="19">
        <f>Analysis!E709</f>
        <v>1.1299999999999955</v>
      </c>
      <c r="C709" s="20">
        <f>Analysis!F709</f>
        <v>0.53839626385189021</v>
      </c>
      <c r="D709" s="19">
        <f>ENSO!D709</f>
        <v>-0.49</v>
      </c>
      <c r="E709" s="34">
        <f t="shared" si="33"/>
        <v>5.9300000000000004E-3</v>
      </c>
      <c r="F709" s="19">
        <f>Solar!D709</f>
        <v>1360.67</v>
      </c>
      <c r="G709" s="32">
        <v>5.1200000000000004E-3</v>
      </c>
      <c r="H709" s="33">
        <v>0.2021</v>
      </c>
      <c r="I709" s="20">
        <f t="shared" si="34"/>
        <v>0.8496333653349607</v>
      </c>
      <c r="J709" s="20">
        <f t="shared" si="35"/>
        <v>0.28036663466503475</v>
      </c>
      <c r="K709" s="20">
        <f>ENSO!I709</f>
        <v>0.28808537798232281</v>
      </c>
      <c r="L709" s="19">
        <f>Analysis!B709</f>
        <v>2017.125</v>
      </c>
    </row>
    <row r="710" spans="1:12" ht="15" customHeight="1">
      <c r="A710" s="18" t="str">
        <f>Analysis!A710</f>
        <v>3/2017</v>
      </c>
      <c r="B710" s="19">
        <f>Analysis!E710</f>
        <v>1.1600000000000001</v>
      </c>
      <c r="C710" s="20">
        <f>Analysis!F710</f>
        <v>0.54151483946067869</v>
      </c>
      <c r="D710" s="19">
        <f>ENSO!D710</f>
        <v>-0.37</v>
      </c>
      <c r="E710" s="34">
        <f t="shared" si="33"/>
        <v>5.77E-3</v>
      </c>
      <c r="F710" s="19">
        <f>Solar!D710</f>
        <v>1360.6</v>
      </c>
      <c r="G710" s="32">
        <v>4.9800000000000001E-3</v>
      </c>
      <c r="H710" s="33">
        <v>0.2049</v>
      </c>
      <c r="I710" s="20">
        <f t="shared" si="34"/>
        <v>0.86962650738550884</v>
      </c>
      <c r="J710" s="20">
        <f t="shared" si="35"/>
        <v>0.2903734926144913</v>
      </c>
      <c r="K710" s="20">
        <f>ENSO!I710</f>
        <v>0.29907475414137219</v>
      </c>
      <c r="L710" s="19">
        <f>Analysis!B710</f>
        <v>2017.2083333333333</v>
      </c>
    </row>
    <row r="711" spans="1:12" ht="15" customHeight="1">
      <c r="A711" s="18" t="str">
        <f>Analysis!A711</f>
        <v>4/2017</v>
      </c>
      <c r="B711" s="19">
        <f>Analysis!E711</f>
        <v>0.93999999999999773</v>
      </c>
      <c r="C711" s="20">
        <f>Analysis!F711</f>
        <v>0.54744982914396567</v>
      </c>
      <c r="D711" s="19">
        <f>ENSO!D711</f>
        <v>-0.08</v>
      </c>
      <c r="E711" s="34">
        <f t="shared" si="33"/>
        <v>5.7099999999999998E-3</v>
      </c>
      <c r="F711" s="19">
        <f>Solar!D711</f>
        <v>1360.66</v>
      </c>
      <c r="G711" s="32">
        <v>4.8700000000000002E-3</v>
      </c>
      <c r="H711" s="33">
        <v>0.2072</v>
      </c>
      <c r="I711" s="20">
        <f t="shared" si="34"/>
        <v>0.91285632749029244</v>
      </c>
      <c r="J711" s="20">
        <f t="shared" si="35"/>
        <v>2.7143672509705286E-2</v>
      </c>
      <c r="K711" s="20">
        <f>ENSO!I711</f>
        <v>3.7531594101965049E-2</v>
      </c>
      <c r="L711" s="19">
        <f>Analysis!B711</f>
        <v>2017.2916666666667</v>
      </c>
    </row>
    <row r="712" spans="1:12" ht="15" customHeight="1">
      <c r="A712" s="18" t="str">
        <f>Analysis!A712</f>
        <v>5/2017</v>
      </c>
      <c r="B712" s="19">
        <f>Analysis!E712</f>
        <v>0.91000000000000014</v>
      </c>
      <c r="C712" s="20">
        <f>Analysis!F712</f>
        <v>0.54980996610473554</v>
      </c>
      <c r="D712" s="19">
        <f>ENSO!D712</f>
        <v>0.08</v>
      </c>
      <c r="E712" s="34">
        <f t="shared" si="33"/>
        <v>5.8199999999999997E-3</v>
      </c>
      <c r="F712" s="19">
        <f>Solar!D712</f>
        <v>1360.71</v>
      </c>
      <c r="G712" s="32">
        <v>4.7499999999999999E-3</v>
      </c>
      <c r="H712" s="33">
        <v>0.20949999999999999</v>
      </c>
      <c r="I712" s="20">
        <f t="shared" si="34"/>
        <v>0.93389858985807994</v>
      </c>
      <c r="J712" s="20">
        <f t="shared" si="35"/>
        <v>-2.38985898580798E-2</v>
      </c>
      <c r="K712" s="20">
        <f>ENSO!I712</f>
        <v>-1.2877264181408665E-2</v>
      </c>
      <c r="L712" s="19">
        <f>Analysis!B712</f>
        <v>2017.375</v>
      </c>
    </row>
    <row r="713" spans="1:12" ht="15" customHeight="1">
      <c r="A713" s="18" t="str">
        <f>Analysis!A713</f>
        <v>6/2017</v>
      </c>
      <c r="B713" s="19">
        <f>Analysis!E713</f>
        <v>0.71000000000000085</v>
      </c>
      <c r="C713" s="20">
        <f>Analysis!F713</f>
        <v>0.54695617814141118</v>
      </c>
      <c r="D713" s="19">
        <f>ENSO!D713</f>
        <v>0.27</v>
      </c>
      <c r="E713" s="34">
        <f t="shared" ref="E713:E776" si="36">IF(G706="","",G706)</f>
        <v>5.7299999999999999E-3</v>
      </c>
      <c r="F713" s="19">
        <f>Solar!D713</f>
        <v>1360.75</v>
      </c>
      <c r="G713" s="32">
        <v>4.5999999999999999E-3</v>
      </c>
      <c r="H713" s="33">
        <v>0.21260000000000001</v>
      </c>
      <c r="I713" s="20">
        <f t="shared" si="34"/>
        <v>0.9439441793688329</v>
      </c>
      <c r="J713" s="20">
        <f t="shared" si="35"/>
        <v>-0.23394417936883205</v>
      </c>
      <c r="K713" s="20">
        <f>ENSO!I713</f>
        <v>-0.22157566668951656</v>
      </c>
      <c r="L713" s="19">
        <f>Analysis!B713</f>
        <v>2017.4583333333333</v>
      </c>
    </row>
    <row r="714" spans="1:12" ht="15" customHeight="1">
      <c r="A714" s="18" t="str">
        <f>Analysis!A714</f>
        <v>7/2017</v>
      </c>
      <c r="B714" s="19">
        <f>Analysis!E714</f>
        <v>0.82000000000000028</v>
      </c>
      <c r="C714" s="20">
        <f>Analysis!F714</f>
        <v>0.54077124608923599</v>
      </c>
      <c r="D714" s="19">
        <f>ENSO!D714</f>
        <v>0.32</v>
      </c>
      <c r="E714" s="34">
        <f t="shared" si="36"/>
        <v>5.5799999999999999E-3</v>
      </c>
      <c r="F714" s="19">
        <f>Solar!D714</f>
        <v>1360.59</v>
      </c>
      <c r="G714" s="32">
        <v>4.5700000000000003E-3</v>
      </c>
      <c r="H714" s="33">
        <v>0.2132</v>
      </c>
      <c r="I714" s="20">
        <f t="shared" si="34"/>
        <v>0.93204503923955972</v>
      </c>
      <c r="J714" s="20">
        <f t="shared" si="35"/>
        <v>-0.11204503923955944</v>
      </c>
      <c r="K714" s="20">
        <f>ENSO!I714</f>
        <v>-9.8938807677697915E-2</v>
      </c>
      <c r="L714" s="19">
        <f>Analysis!B714</f>
        <v>2017.5416666666667</v>
      </c>
    </row>
    <row r="715" spans="1:12" ht="15" customHeight="1">
      <c r="A715" s="18" t="str">
        <f>Analysis!A715</f>
        <v>8/2017</v>
      </c>
      <c r="B715" s="19">
        <f>Analysis!E715</f>
        <v>0.86999999999999744</v>
      </c>
      <c r="C715" s="20">
        <f>Analysis!F715</f>
        <v>0.53363453792318827</v>
      </c>
      <c r="D715" s="19">
        <f>ENSO!D715</f>
        <v>0.35</v>
      </c>
      <c r="E715" s="34">
        <f t="shared" si="36"/>
        <v>5.3E-3</v>
      </c>
      <c r="F715" s="19">
        <f>Solar!D715</f>
        <v>1360.59</v>
      </c>
      <c r="G715" s="32">
        <v>4.6600000000000001E-3</v>
      </c>
      <c r="H715" s="33">
        <v>0.21129999999999999</v>
      </c>
      <c r="I715" s="20">
        <f t="shared" si="34"/>
        <v>0.91598014578706854</v>
      </c>
      <c r="J715" s="20">
        <f t="shared" si="35"/>
        <v>-4.5980145787071103E-2</v>
      </c>
      <c r="K715" s="20">
        <f>ENSO!I715</f>
        <v>-3.194685830940347E-2</v>
      </c>
      <c r="L715" s="19">
        <f>Analysis!B715</f>
        <v>2017.625</v>
      </c>
    </row>
    <row r="716" spans="1:12" ht="15" customHeight="1">
      <c r="A716" s="18" t="str">
        <f>Analysis!A716</f>
        <v>9/2017</v>
      </c>
      <c r="B716" s="19">
        <f>Analysis!E716</f>
        <v>0.73999999999999666</v>
      </c>
      <c r="C716" s="20">
        <f>Analysis!F716</f>
        <v>0.52739210629320266</v>
      </c>
      <c r="D716" s="19">
        <f>ENSO!D716</f>
        <v>0.32</v>
      </c>
      <c r="E716" s="34">
        <f t="shared" si="36"/>
        <v>5.1200000000000004E-3</v>
      </c>
      <c r="F716" s="19">
        <f>Solar!D716</f>
        <v>1360.46</v>
      </c>
      <c r="G716" s="32">
        <v>7.1000000000000004E-3</v>
      </c>
      <c r="H716" s="33">
        <v>0.16270000000000001</v>
      </c>
      <c r="I716" s="20">
        <f t="shared" si="34"/>
        <v>0.89656658914449039</v>
      </c>
      <c r="J716" s="20">
        <f t="shared" si="35"/>
        <v>-0.15656658914449373</v>
      </c>
      <c r="K716" s="20">
        <f>ENSO!I716</f>
        <v>-0.1421890380878611</v>
      </c>
      <c r="L716" s="19">
        <f>Analysis!B716</f>
        <v>2017.7083333333333</v>
      </c>
    </row>
    <row r="717" spans="1:12" ht="15" customHeight="1">
      <c r="A717" s="18" t="str">
        <f>Analysis!A717</f>
        <v>10/2017</v>
      </c>
      <c r="B717" s="19">
        <f>Analysis!E717</f>
        <v>0.88000000000000256</v>
      </c>
      <c r="C717" s="20">
        <f>Analysis!F717</f>
        <v>0.52828553765041275</v>
      </c>
      <c r="D717" s="19">
        <f>ENSO!D717</f>
        <v>0.14000000000000001</v>
      </c>
      <c r="E717" s="34">
        <f t="shared" si="36"/>
        <v>4.9800000000000001E-3</v>
      </c>
      <c r="F717" s="19">
        <f>Solar!D717</f>
        <v>1360.81</v>
      </c>
      <c r="G717" s="32">
        <v>6.8500000000000002E-3</v>
      </c>
      <c r="H717" s="33">
        <v>0.1676</v>
      </c>
      <c r="I717" s="20">
        <f t="shared" si="34"/>
        <v>0.88260830346575059</v>
      </c>
      <c r="J717" s="20">
        <f t="shared" si="35"/>
        <v>-2.6083034657480297E-3</v>
      </c>
      <c r="K717" s="20">
        <f>ENSO!I717</f>
        <v>1.1023686686147616E-2</v>
      </c>
      <c r="L717" s="19">
        <f>Analysis!B717</f>
        <v>2017.7916666666667</v>
      </c>
    </row>
    <row r="718" spans="1:12" ht="15" customHeight="1">
      <c r="A718" s="18" t="str">
        <f>Analysis!A718</f>
        <v>11/2017</v>
      </c>
      <c r="B718" s="19">
        <f>Analysis!E718</f>
        <v>0.86999999999999744</v>
      </c>
      <c r="C718" s="20">
        <f>Analysis!F718</f>
        <v>0.53359894350795678</v>
      </c>
      <c r="D718" s="19">
        <f>ENSO!D718</f>
        <v>-7.0000000000000007E-2</v>
      </c>
      <c r="E718" s="34">
        <f t="shared" si="36"/>
        <v>4.8700000000000002E-3</v>
      </c>
      <c r="F718" s="19">
        <f>Solar!D718</f>
        <v>1360.76</v>
      </c>
      <c r="G718" s="32">
        <v>6.5399999999999998E-3</v>
      </c>
      <c r="H718" s="33">
        <v>0.17380000000000001</v>
      </c>
      <c r="I718" s="20">
        <f t="shared" si="34"/>
        <v>0.87785530959368419</v>
      </c>
      <c r="J718" s="20">
        <f t="shared" si="35"/>
        <v>-7.8553095936867434E-3</v>
      </c>
      <c r="K718" s="20">
        <f>ENSO!I718</f>
        <v>4.706775646681427E-3</v>
      </c>
      <c r="L718" s="19">
        <f>Analysis!B718</f>
        <v>2017.875</v>
      </c>
    </row>
    <row r="719" spans="1:12" ht="15" customHeight="1">
      <c r="A719" s="18" t="str">
        <f>Analysis!A719</f>
        <v>12/2017</v>
      </c>
      <c r="B719" s="19">
        <f>Analysis!E719</f>
        <v>0.92999999999999794</v>
      </c>
      <c r="C719" s="20">
        <f>Analysis!F719</f>
        <v>0.53960196732128063</v>
      </c>
      <c r="D719" s="19">
        <f>ENSO!D719</f>
        <v>-0.23</v>
      </c>
      <c r="E719" s="34">
        <f t="shared" si="36"/>
        <v>4.7499999999999999E-3</v>
      </c>
      <c r="F719" s="19">
        <f>Solar!D719</f>
        <v>1360.66</v>
      </c>
      <c r="G719" s="32">
        <v>6.2100000000000002E-3</v>
      </c>
      <c r="H719" s="33">
        <v>0.18029999999999999</v>
      </c>
      <c r="I719" s="20">
        <f t="shared" si="34"/>
        <v>0.87964495188164449</v>
      </c>
      <c r="J719" s="20">
        <f t="shared" si="35"/>
        <v>5.0355048118353452E-2</v>
      </c>
      <c r="K719" s="20">
        <f>ENSO!I719</f>
        <v>6.2143736171589414E-2</v>
      </c>
      <c r="L719" s="19">
        <f>Analysis!B719</f>
        <v>2017.9583333333333</v>
      </c>
    </row>
    <row r="720" spans="1:12" ht="15" customHeight="1">
      <c r="A720" s="18" t="str">
        <f>Analysis!A720</f>
        <v>1/2018</v>
      </c>
      <c r="B720" s="19">
        <f>Analysis!E720</f>
        <v>0.82000000000000028</v>
      </c>
      <c r="C720" s="20">
        <f>Analysis!F720</f>
        <v>0.54367263013850597</v>
      </c>
      <c r="D720" s="19">
        <f>ENSO!D720</f>
        <v>-0.44</v>
      </c>
      <c r="E720" s="34">
        <f t="shared" si="36"/>
        <v>4.5999999999999999E-3</v>
      </c>
      <c r="F720" s="19">
        <f>Solar!D720</f>
        <v>1360.61</v>
      </c>
      <c r="G720" s="32">
        <v>5.8700000000000002E-3</v>
      </c>
      <c r="H720" s="33">
        <v>0.18720000000000001</v>
      </c>
      <c r="I720" s="20">
        <f t="shared" si="34"/>
        <v>0.87159048256938287</v>
      </c>
      <c r="J720" s="20">
        <f t="shared" si="35"/>
        <v>-5.159048256938259E-2</v>
      </c>
      <c r="K720" s="20">
        <f>ENSO!I720</f>
        <v>-4.0759613077848478E-2</v>
      </c>
      <c r="L720" s="19">
        <f>Analysis!B720</f>
        <v>2018.0416666666667</v>
      </c>
    </row>
    <row r="721" spans="1:12" ht="15" customHeight="1">
      <c r="A721" s="18" t="str">
        <f>Analysis!A721</f>
        <v>2/2018</v>
      </c>
      <c r="B721" s="19">
        <f>Analysis!E721</f>
        <v>0.8500000000000032</v>
      </c>
      <c r="C721" s="20">
        <f>Analysis!F721</f>
        <v>0.54497988325580371</v>
      </c>
      <c r="D721" s="19">
        <f>ENSO!D721</f>
        <v>-0.61</v>
      </c>
      <c r="E721" s="34">
        <f t="shared" si="36"/>
        <v>4.5700000000000003E-3</v>
      </c>
      <c r="F721" s="19">
        <f>Solar!D721</f>
        <v>1360.53</v>
      </c>
      <c r="G721" s="32">
        <v>5.6899999999999997E-3</v>
      </c>
      <c r="H721" s="33">
        <v>0.19089999999999999</v>
      </c>
      <c r="I721" s="20">
        <f t="shared" si="34"/>
        <v>0.85944677647663192</v>
      </c>
      <c r="J721" s="20">
        <f t="shared" si="35"/>
        <v>-9.4467764766287265E-3</v>
      </c>
      <c r="K721" s="20">
        <f>ENSO!I721</f>
        <v>4.4604998271913221E-4</v>
      </c>
      <c r="L721" s="19">
        <f>Analysis!B721</f>
        <v>2018.125</v>
      </c>
    </row>
    <row r="722" spans="1:12" ht="15" customHeight="1">
      <c r="A722" s="18" t="str">
        <f>Analysis!A722</f>
        <v>3/2018</v>
      </c>
      <c r="B722" s="19">
        <f>Analysis!E722</f>
        <v>0.88000000000000256</v>
      </c>
      <c r="C722" s="20">
        <f>Analysis!F722</f>
        <v>0.54875366569081085</v>
      </c>
      <c r="D722" s="19">
        <f>ENSO!D722</f>
        <v>-0.76</v>
      </c>
      <c r="E722" s="34">
        <f t="shared" si="36"/>
        <v>4.6600000000000001E-3</v>
      </c>
      <c r="F722" s="19">
        <f>Solar!D722</f>
        <v>1360.56</v>
      </c>
      <c r="G722" s="32">
        <v>5.3800000000000002E-3</v>
      </c>
      <c r="H722" s="33">
        <v>0.19689999999999999</v>
      </c>
      <c r="I722" s="20">
        <f t="shared" si="34"/>
        <v>0.85562220431945846</v>
      </c>
      <c r="J722" s="20">
        <f t="shared" si="35"/>
        <v>2.4377795680544101E-2</v>
      </c>
      <c r="K722" s="20">
        <f>ENSO!I722</f>
        <v>3.3135904428746699E-2</v>
      </c>
      <c r="L722" s="19">
        <f>Analysis!B722</f>
        <v>2018.2083333333333</v>
      </c>
    </row>
    <row r="723" spans="1:12" ht="15" customHeight="1">
      <c r="A723" s="18" t="str">
        <f>Analysis!A723</f>
        <v>4/2018</v>
      </c>
      <c r="B723" s="19">
        <f>Analysis!E723</f>
        <v>0.88000000000000256</v>
      </c>
      <c r="C723" s="20">
        <f>Analysis!F723</f>
        <v>0.55177966000822387</v>
      </c>
      <c r="D723" s="19">
        <f>ENSO!D723</f>
        <v>-0.71</v>
      </c>
      <c r="E723" s="34">
        <f t="shared" si="36"/>
        <v>7.1000000000000004E-3</v>
      </c>
      <c r="F723" s="19">
        <f>Solar!D723</f>
        <v>1360.63</v>
      </c>
      <c r="G723" s="32">
        <v>5.2100000000000002E-3</v>
      </c>
      <c r="H723" s="33">
        <v>0.20039999999999999</v>
      </c>
      <c r="I723" s="20">
        <f t="shared" si="34"/>
        <v>0.86314627081691242</v>
      </c>
      <c r="J723" s="20">
        <f t="shared" si="35"/>
        <v>1.6853729183090138E-2</v>
      </c>
      <c r="K723" s="20">
        <f>ENSO!I723</f>
        <v>2.0472226414133932E-2</v>
      </c>
      <c r="L723" s="19">
        <f>Analysis!B723</f>
        <v>2018.2916666666667</v>
      </c>
    </row>
    <row r="724" spans="1:12" ht="15" customHeight="1">
      <c r="A724" s="18" t="str">
        <f>Analysis!A724</f>
        <v>5/2018</v>
      </c>
      <c r="B724" s="19">
        <f>Analysis!E724</f>
        <v>0.81000000000000227</v>
      </c>
      <c r="C724" s="20">
        <f>Analysis!F724</f>
        <v>0.55525523163276624</v>
      </c>
      <c r="D724" s="19">
        <f>ENSO!D724</f>
        <v>-0.67</v>
      </c>
      <c r="E724" s="34">
        <f t="shared" si="36"/>
        <v>6.8500000000000002E-3</v>
      </c>
      <c r="F724" s="19">
        <f>Solar!D724</f>
        <v>1360.69</v>
      </c>
      <c r="G724" s="32">
        <v>5.3299999999999997E-3</v>
      </c>
      <c r="H724" s="33">
        <v>0.1981</v>
      </c>
      <c r="I724" s="20">
        <f t="shared" si="34"/>
        <v>0.87688752349825627</v>
      </c>
      <c r="J724" s="20">
        <f t="shared" si="35"/>
        <v>-6.6887523498253998E-2</v>
      </c>
      <c r="K724" s="20">
        <f>ENSO!I724</f>
        <v>-6.2555971114835129E-2</v>
      </c>
      <c r="L724" s="19">
        <f>Analysis!B724</f>
        <v>2018.375</v>
      </c>
    </row>
    <row r="725" spans="1:12" ht="15" customHeight="1">
      <c r="A725" s="18" t="str">
        <f>Analysis!A725</f>
        <v>6/2018</v>
      </c>
      <c r="B725" s="19">
        <f>Analysis!E725</f>
        <v>0.77000000000000135</v>
      </c>
      <c r="C725" s="20">
        <f>Analysis!F725</f>
        <v>0.55367646424055572</v>
      </c>
      <c r="D725" s="19">
        <f>ENSO!D725</f>
        <v>-0.55000000000000004</v>
      </c>
      <c r="E725" s="34">
        <f t="shared" si="36"/>
        <v>6.5399999999999998E-3</v>
      </c>
      <c r="F725" s="19">
        <f>Solar!D725</f>
        <v>1360.73</v>
      </c>
      <c r="G725" s="32">
        <v>5.13E-3</v>
      </c>
      <c r="H725" s="33">
        <v>0.2021</v>
      </c>
      <c r="I725" s="20">
        <f t="shared" si="34"/>
        <v>0.8843990635187452</v>
      </c>
      <c r="J725" s="20">
        <f t="shared" si="35"/>
        <v>-0.11439906351874385</v>
      </c>
      <c r="K725" s="20">
        <f>ENSO!I725</f>
        <v>-0.10866395131779438</v>
      </c>
      <c r="L725" s="19">
        <f>Analysis!B725</f>
        <v>2018.4583333333333</v>
      </c>
    </row>
    <row r="726" spans="1:12" ht="15" customHeight="1">
      <c r="A726" s="18" t="str">
        <f>Analysis!A726</f>
        <v>7/2018</v>
      </c>
      <c r="B726" s="19">
        <f>Analysis!E726</f>
        <v>0.83999999999999986</v>
      </c>
      <c r="C726" s="20">
        <f>Analysis!F726</f>
        <v>0.54632123569403679</v>
      </c>
      <c r="D726" s="19">
        <f>ENSO!D726</f>
        <v>-0.35</v>
      </c>
      <c r="E726" s="34">
        <f t="shared" si="36"/>
        <v>6.2100000000000002E-3</v>
      </c>
      <c r="F726" s="19">
        <f>Solar!D726</f>
        <v>1360.71</v>
      </c>
      <c r="G726" s="32">
        <v>5.0299999999999997E-3</v>
      </c>
      <c r="H726" s="33">
        <v>0.20399999999999999</v>
      </c>
      <c r="I726" s="20">
        <f t="shared" si="34"/>
        <v>0.88362334218187821</v>
      </c>
      <c r="J726" s="20">
        <f t="shared" si="35"/>
        <v>-4.3623342181878355E-2</v>
      </c>
      <c r="K726" s="20">
        <f>ENSO!I726</f>
        <v>-3.5868191892453605E-2</v>
      </c>
      <c r="L726" s="19">
        <f>Analysis!B726</f>
        <v>2018.5416666666667</v>
      </c>
    </row>
    <row r="727" spans="1:12" ht="15" customHeight="1">
      <c r="A727" s="18" t="str">
        <f>Analysis!A727</f>
        <v>8/2018</v>
      </c>
      <c r="B727" s="19">
        <f>Analysis!E727</f>
        <v>0.77999999999999758</v>
      </c>
      <c r="C727" s="20">
        <f>Analysis!F727</f>
        <v>0.54016900871244178</v>
      </c>
      <c r="D727" s="19">
        <f>ENSO!D727</f>
        <v>-7.0000000000000007E-2</v>
      </c>
      <c r="E727" s="34">
        <f t="shared" si="36"/>
        <v>5.8700000000000002E-3</v>
      </c>
      <c r="F727" s="19">
        <f>Solar!D727</f>
        <v>1360.66</v>
      </c>
      <c r="G727" s="32">
        <v>6.3499999999999997E-3</v>
      </c>
      <c r="H727" s="33">
        <v>0.17749999999999999</v>
      </c>
      <c r="I727" s="20">
        <f t="shared" si="34"/>
        <v>0.89357432321354013</v>
      </c>
      <c r="J727" s="20">
        <f t="shared" si="35"/>
        <v>-0.11357432321354255</v>
      </c>
      <c r="K727" s="20">
        <f>ENSO!I727</f>
        <v>-0.10333985411696256</v>
      </c>
      <c r="L727" s="19">
        <f>Analysis!B727</f>
        <v>2018.625</v>
      </c>
    </row>
    <row r="728" spans="1:12" ht="15" customHeight="1">
      <c r="A728" s="18" t="str">
        <f>Analysis!A728</f>
        <v>9/2018</v>
      </c>
      <c r="B728" s="19">
        <f>Analysis!E728</f>
        <v>0.79999999999999893</v>
      </c>
      <c r="C728" s="20">
        <f>Analysis!F728</f>
        <v>0.53502203557263439</v>
      </c>
      <c r="D728" s="19">
        <f>ENSO!D728</f>
        <v>0.13</v>
      </c>
      <c r="E728" s="34">
        <f t="shared" si="36"/>
        <v>5.6899999999999997E-3</v>
      </c>
      <c r="F728" s="19">
        <f>Solar!D728</f>
        <v>1360.65</v>
      </c>
      <c r="G728" s="32">
        <v>8.0000000000000002E-3</v>
      </c>
      <c r="H728" s="33">
        <v>0.14449999999999999</v>
      </c>
      <c r="I728" s="20">
        <f t="shared" si="34"/>
        <v>0.89849140198467392</v>
      </c>
      <c r="J728" s="20">
        <f t="shared" si="35"/>
        <v>-9.8491401984674987E-2</v>
      </c>
      <c r="K728" s="20">
        <f>ENSO!I728</f>
        <v>-8.660972212577045E-2</v>
      </c>
      <c r="L728" s="19">
        <f>Analysis!B728</f>
        <v>2018.7083333333333</v>
      </c>
    </row>
    <row r="729" spans="1:12" ht="15" customHeight="1">
      <c r="A729" s="18" t="str">
        <f>Analysis!A729</f>
        <v>10/2018</v>
      </c>
      <c r="B729" s="19">
        <f>Analysis!E729</f>
        <v>1.0200000000000014</v>
      </c>
      <c r="C729" s="20">
        <f>Analysis!F729</f>
        <v>0.53672789516201203</v>
      </c>
      <c r="D729" s="19">
        <f>ENSO!D729</f>
        <v>0.2</v>
      </c>
      <c r="E729" s="34">
        <f t="shared" si="36"/>
        <v>5.3800000000000002E-3</v>
      </c>
      <c r="F729" s="19">
        <f>Solar!D729</f>
        <v>1360.65</v>
      </c>
      <c r="G729" s="32">
        <v>8.5100000000000002E-3</v>
      </c>
      <c r="H729" s="33">
        <v>0.13450000000000001</v>
      </c>
      <c r="I729" s="20">
        <f t="shared" si="34"/>
        <v>0.91032176786298835</v>
      </c>
      <c r="J729" s="20">
        <f t="shared" si="35"/>
        <v>0.109678232137013</v>
      </c>
      <c r="K729" s="20">
        <f>ENSO!I729</f>
        <v>0.12261198544117813</v>
      </c>
      <c r="L729" s="19">
        <f>Analysis!B729</f>
        <v>2018.7916666666667</v>
      </c>
    </row>
    <row r="730" spans="1:12" ht="15" customHeight="1">
      <c r="A730" s="18" t="str">
        <f>Analysis!A730</f>
        <v>11/2018</v>
      </c>
      <c r="B730" s="19">
        <f>Analysis!E730</f>
        <v>0.83000000000000362</v>
      </c>
      <c r="C730" s="20">
        <f>Analysis!F730</f>
        <v>0.54388469761513192</v>
      </c>
      <c r="D730" s="19">
        <f>ENSO!D730</f>
        <v>0.3</v>
      </c>
      <c r="E730" s="34">
        <f t="shared" si="36"/>
        <v>5.2100000000000002E-3</v>
      </c>
      <c r="F730" s="19">
        <f>Solar!D730</f>
        <v>1360.62</v>
      </c>
      <c r="G730" s="32">
        <v>8.6099999999999996E-3</v>
      </c>
      <c r="H730" s="33">
        <v>0.1323</v>
      </c>
      <c r="I730" s="20">
        <f t="shared" si="34"/>
        <v>0.93949497752922528</v>
      </c>
      <c r="J730" s="20">
        <f t="shared" si="35"/>
        <v>-0.10949497752922166</v>
      </c>
      <c r="K730" s="20">
        <f>ENSO!I730</f>
        <v>-9.5750068922986653E-2</v>
      </c>
      <c r="L730" s="19">
        <f>Analysis!B730</f>
        <v>2018.875</v>
      </c>
    </row>
    <row r="731" spans="1:12" ht="15" customHeight="1">
      <c r="A731" s="18" t="str">
        <f>Analysis!A731</f>
        <v>12/2018</v>
      </c>
      <c r="B731" s="19">
        <f>Analysis!E731</f>
        <v>0.92999999999999794</v>
      </c>
      <c r="C731" s="20">
        <f>Analysis!F731</f>
        <v>0.54762609214567415</v>
      </c>
      <c r="D731" s="19">
        <f>ENSO!D731</f>
        <v>0.52</v>
      </c>
      <c r="E731" s="34">
        <f t="shared" si="36"/>
        <v>5.3299999999999997E-3</v>
      </c>
      <c r="F731" s="19">
        <f>Solar!D731</f>
        <v>1360.63</v>
      </c>
      <c r="G731" s="32">
        <v>8.3300000000000006E-3</v>
      </c>
      <c r="H731" s="33">
        <v>0.13789999999999999</v>
      </c>
      <c r="I731" s="20">
        <f t="shared" si="34"/>
        <v>0.96985021495032175</v>
      </c>
      <c r="J731" s="20">
        <f t="shared" si="35"/>
        <v>-3.9850214950323815E-2</v>
      </c>
      <c r="K731" s="20">
        <f>ENSO!I731</f>
        <v>-2.5175226365030112E-2</v>
      </c>
      <c r="L731" s="19">
        <f>Analysis!B731</f>
        <v>2018.9583333333333</v>
      </c>
    </row>
    <row r="732" spans="1:12" ht="15" customHeight="1">
      <c r="A732" s="18" t="str">
        <f>Analysis!A732</f>
        <v>1/2019</v>
      </c>
      <c r="B732" s="19">
        <f>Analysis!E732</f>
        <v>0.92999999999999794</v>
      </c>
      <c r="C732" s="20">
        <f>Analysis!F732</f>
        <v>0.55381686910097527</v>
      </c>
      <c r="D732" s="19">
        <f>ENSO!D732</f>
        <v>0.82</v>
      </c>
      <c r="E732" s="34">
        <f t="shared" si="36"/>
        <v>5.13E-3</v>
      </c>
      <c r="F732" s="19">
        <f>Solar!D732</f>
        <v>1360.6</v>
      </c>
      <c r="G732" s="32">
        <v>7.8899999999999994E-3</v>
      </c>
      <c r="H732" s="33">
        <v>0.1467</v>
      </c>
      <c r="I732" s="20">
        <f t="shared" si="34"/>
        <v>1.0150136753513137</v>
      </c>
      <c r="J732" s="20">
        <f t="shared" si="35"/>
        <v>-8.5013675351315765E-2</v>
      </c>
      <c r="K732" s="20">
        <f>ENSO!I732</f>
        <v>-6.8291359595554768E-2</v>
      </c>
      <c r="L732" s="19">
        <f>Analysis!B732</f>
        <v>2019.0416666666667</v>
      </c>
    </row>
    <row r="733" spans="1:12" ht="15" customHeight="1">
      <c r="A733" s="18" t="str">
        <f>Analysis!A733</f>
        <v>2/2019</v>
      </c>
      <c r="B733" s="19">
        <f>Analysis!E733</f>
        <v>0.95999999999999908</v>
      </c>
      <c r="C733" s="20">
        <f>Analysis!F733</f>
        <v>0.55707743595872172</v>
      </c>
      <c r="D733" s="19">
        <f>ENSO!D733</f>
        <v>1.04</v>
      </c>
      <c r="E733" s="34">
        <f t="shared" si="36"/>
        <v>5.0299999999999997E-3</v>
      </c>
      <c r="F733" s="19">
        <f>Solar!D733</f>
        <v>1360.62</v>
      </c>
      <c r="G733" s="32">
        <v>7.3600000000000002E-3</v>
      </c>
      <c r="H733" s="33">
        <v>0.15740000000000001</v>
      </c>
      <c r="I733" s="20">
        <f t="shared" si="34"/>
        <v>1.0445415684292056</v>
      </c>
      <c r="J733" s="20">
        <f t="shared" si="35"/>
        <v>-8.4541568429206571E-2</v>
      </c>
      <c r="K733" s="20">
        <f>ENSO!I733</f>
        <v>-6.6395781440456769E-2</v>
      </c>
      <c r="L733" s="19">
        <f>Analysis!B733</f>
        <v>2019.125</v>
      </c>
    </row>
    <row r="734" spans="1:12" ht="15" customHeight="1">
      <c r="A734" s="18" t="str">
        <f>Analysis!A734</f>
        <v>3/2019</v>
      </c>
      <c r="B734" s="19">
        <f>Analysis!E734</f>
        <v>1.1699999999999964</v>
      </c>
      <c r="C734" s="20">
        <f>Analysis!F734</f>
        <v>0.55784767624929055</v>
      </c>
      <c r="D734" s="19">
        <f>ENSO!D734</f>
        <v>1.05</v>
      </c>
      <c r="E734" s="34">
        <f t="shared" si="36"/>
        <v>6.3499999999999997E-3</v>
      </c>
      <c r="F734" s="19">
        <f>Solar!D734</f>
        <v>1360.61</v>
      </c>
      <c r="G734" s="32">
        <v>6.9899999999999997E-3</v>
      </c>
      <c r="H734" s="33">
        <v>0.16489999999999999</v>
      </c>
      <c r="I734" s="20">
        <f t="shared" si="34"/>
        <v>1.0446658269148206</v>
      </c>
      <c r="J734" s="20">
        <f t="shared" si="35"/>
        <v>0.1253341730851758</v>
      </c>
      <c r="K734" s="20">
        <f>ENSO!I734</f>
        <v>0.14061814780124471</v>
      </c>
      <c r="L734" s="19">
        <f>Analysis!B734</f>
        <v>2019.2083333333333</v>
      </c>
    </row>
    <row r="735" spans="1:12" ht="15" customHeight="1">
      <c r="A735" s="18" t="str">
        <f>Analysis!A735</f>
        <v>4/2019</v>
      </c>
      <c r="B735" s="19">
        <f>Analysis!E735</f>
        <v>1.0099999999999998</v>
      </c>
      <c r="C735" s="20">
        <f>Analysis!F735</f>
        <v>0.56260005485176923</v>
      </c>
      <c r="D735" s="19">
        <f>ENSO!D735</f>
        <v>0.99</v>
      </c>
      <c r="E735" s="34">
        <f t="shared" si="36"/>
        <v>8.0000000000000002E-3</v>
      </c>
      <c r="F735" s="19">
        <f>Solar!D735</f>
        <v>1360.62</v>
      </c>
      <c r="G735" s="32">
        <v>6.6E-3</v>
      </c>
      <c r="H735" s="33">
        <v>0.17269999999999999</v>
      </c>
      <c r="I735" s="20">
        <f t="shared" si="34"/>
        <v>1.0484293051580156</v>
      </c>
      <c r="J735" s="20">
        <f t="shared" si="35"/>
        <v>-3.8429305158015792E-2</v>
      </c>
      <c r="K735" s="20">
        <f>ENSO!I735</f>
        <v>-2.721340122125393E-2</v>
      </c>
      <c r="L735" s="19">
        <f>Analysis!B735</f>
        <v>2019.2916666666667</v>
      </c>
    </row>
    <row r="736" spans="1:12" ht="15" customHeight="1">
      <c r="A736" s="18" t="str">
        <f>Analysis!A736</f>
        <v>5/2019</v>
      </c>
      <c r="B736" s="19">
        <f>Analysis!E736</f>
        <v>0.86000000000000121</v>
      </c>
      <c r="C736" s="20">
        <f>Analysis!F736</f>
        <v>0.5671977348752254</v>
      </c>
      <c r="D736" s="19">
        <f>ENSO!D736</f>
        <v>0.94</v>
      </c>
      <c r="E736" s="34">
        <f t="shared" si="36"/>
        <v>8.5100000000000002E-3</v>
      </c>
      <c r="F736" s="19">
        <f>Solar!D736</f>
        <v>1360.63</v>
      </c>
      <c r="G736" s="32">
        <v>6.3400000000000001E-3</v>
      </c>
      <c r="H736" s="33">
        <v>0.1779</v>
      </c>
      <c r="I736" s="20">
        <f t="shared" si="34"/>
        <v>1.0552072062156053</v>
      </c>
      <c r="J736" s="20">
        <f t="shared" si="35"/>
        <v>-0.19520720621560406</v>
      </c>
      <c r="K736" s="20">
        <f>ENSO!I736</f>
        <v>-0.18549040248244664</v>
      </c>
      <c r="L736" s="19">
        <f>Analysis!B736</f>
        <v>2019.375</v>
      </c>
    </row>
    <row r="737" spans="1:12" ht="15" customHeight="1">
      <c r="A737" s="18" t="str">
        <f>Analysis!A737</f>
        <v>6/2019</v>
      </c>
      <c r="B737" s="19">
        <f>Analysis!E737</f>
        <v>0.89999999999999858</v>
      </c>
      <c r="C737" s="20">
        <f>Analysis!F737</f>
        <v>0.56472656147689648</v>
      </c>
      <c r="D737" s="19">
        <f>ENSO!D737</f>
        <v>0.87</v>
      </c>
      <c r="E737" s="34">
        <f t="shared" si="36"/>
        <v>8.6099999999999996E-3</v>
      </c>
      <c r="F737" s="19">
        <f>Solar!D737</f>
        <v>1360.71</v>
      </c>
      <c r="G737" s="32">
        <v>6.28E-3</v>
      </c>
      <c r="H737" s="33">
        <v>0.17899999999999999</v>
      </c>
      <c r="I737" s="20">
        <f t="shared" si="34"/>
        <v>1.0417515776213393</v>
      </c>
      <c r="J737" s="20">
        <f t="shared" si="35"/>
        <v>-0.14175157762134072</v>
      </c>
      <c r="K737" s="20">
        <f>ENSO!I737</f>
        <v>-0.13260994903070111</v>
      </c>
      <c r="L737" s="19">
        <f>Analysis!B737</f>
        <v>2019.4583333333333</v>
      </c>
    </row>
    <row r="738" spans="1:12" ht="15" customHeight="1">
      <c r="A738" s="18" t="str">
        <f>Analysis!A738</f>
        <v>7/2019</v>
      </c>
      <c r="B738" s="19">
        <f>Analysis!E738</f>
        <v>0.93999999999999773</v>
      </c>
      <c r="C738" s="20">
        <f>Analysis!F738</f>
        <v>0.55707743595872172</v>
      </c>
      <c r="D738" s="19">
        <f>ENSO!D738</f>
        <v>0.82</v>
      </c>
      <c r="E738" s="34">
        <f t="shared" si="36"/>
        <v>8.3300000000000006E-3</v>
      </c>
      <c r="F738" s="19">
        <f>Solar!D738</f>
        <v>1360.68</v>
      </c>
      <c r="G738" s="32">
        <v>1.026E-2</v>
      </c>
      <c r="H738" s="33">
        <v>9.9400000000000002E-2</v>
      </c>
      <c r="I738" s="20">
        <f t="shared" si="34"/>
        <v>1.0168655025770854</v>
      </c>
      <c r="J738" s="20">
        <f t="shared" si="35"/>
        <v>-7.6865502577087685E-2</v>
      </c>
      <c r="K738" s="20">
        <f>ENSO!I738</f>
        <v>-6.7247472064757119E-2</v>
      </c>
      <c r="L738" s="19">
        <f>Analysis!B738</f>
        <v>2019.5416666666667</v>
      </c>
    </row>
    <row r="739" spans="1:12" ht="15" customHeight="1">
      <c r="A739" s="18" t="str">
        <f>Analysis!A739</f>
        <v>8/2019</v>
      </c>
      <c r="B739" s="19">
        <f>Analysis!E739</f>
        <v>0.94999999999999751</v>
      </c>
      <c r="C739" s="20">
        <f>Analysis!F739</f>
        <v>0.55079514920632977</v>
      </c>
      <c r="D739" s="19">
        <f>ENSO!D739</f>
        <v>0.71</v>
      </c>
      <c r="E739" s="34">
        <f t="shared" si="36"/>
        <v>7.8899999999999994E-3</v>
      </c>
      <c r="F739" s="19">
        <f>Solar!D739</f>
        <v>1360.66</v>
      </c>
      <c r="G739" s="32">
        <v>1.898E-2</v>
      </c>
      <c r="H739" s="33">
        <v>-7.4899999999999994E-2</v>
      </c>
      <c r="I739" s="20">
        <f t="shared" si="34"/>
        <v>0.99049173438338711</v>
      </c>
      <c r="J739" s="20">
        <f t="shared" si="35"/>
        <v>-4.0491734383389599E-2</v>
      </c>
      <c r="K739" s="20">
        <f>ENSO!I739</f>
        <v>-3.0417156355541319E-2</v>
      </c>
      <c r="L739" s="19">
        <f>Analysis!B739</f>
        <v>2019.625</v>
      </c>
    </row>
    <row r="740" spans="1:12" ht="15" customHeight="1">
      <c r="A740" s="18" t="str">
        <f>Analysis!A740</f>
        <v>9/2019</v>
      </c>
      <c r="B740" s="19">
        <f>Analysis!E740</f>
        <v>0.92999999999999794</v>
      </c>
      <c r="C740" s="20">
        <f>Analysis!F740</f>
        <v>0.54582719830025894</v>
      </c>
      <c r="D740" s="19">
        <f>ENSO!D740</f>
        <v>0.59</v>
      </c>
      <c r="E740" s="34">
        <f t="shared" si="36"/>
        <v>7.3600000000000002E-3</v>
      </c>
      <c r="F740" s="19">
        <f>Solar!D740</f>
        <v>1360.63</v>
      </c>
      <c r="G740" s="32">
        <v>1.9550000000000001E-2</v>
      </c>
      <c r="H740" s="33">
        <v>-8.6499999999999994E-2</v>
      </c>
      <c r="I740" s="20">
        <f t="shared" si="34"/>
        <v>0.9669728013389749</v>
      </c>
      <c r="J740" s="20">
        <f t="shared" si="35"/>
        <v>-3.6972801338976957E-2</v>
      </c>
      <c r="K740" s="20">
        <f>ENSO!I740</f>
        <v>-2.6326675580852221E-2</v>
      </c>
      <c r="L740" s="19">
        <f>Analysis!B740</f>
        <v>2019.7083333333333</v>
      </c>
    </row>
    <row r="741" spans="1:12" ht="15" customHeight="1">
      <c r="A741" s="18" t="str">
        <f>Analysis!A741</f>
        <v>10/2019</v>
      </c>
      <c r="B741" s="19">
        <f>Analysis!E741</f>
        <v>1</v>
      </c>
      <c r="C741" s="20">
        <f>Analysis!F741</f>
        <v>0.54575660771720447</v>
      </c>
      <c r="D741" s="19">
        <f>ENSO!D741</f>
        <v>0.38</v>
      </c>
      <c r="E741" s="34">
        <f t="shared" si="36"/>
        <v>6.9899999999999997E-3</v>
      </c>
      <c r="F741" s="19">
        <f>Solar!D741</f>
        <v>1360.66</v>
      </c>
      <c r="G741" s="32">
        <v>1.9689999999999999E-2</v>
      </c>
      <c r="H741" s="33">
        <v>-8.9099999999999999E-2</v>
      </c>
      <c r="I741" s="20">
        <f t="shared" si="34"/>
        <v>0.94810744782282785</v>
      </c>
      <c r="J741" s="20">
        <f t="shared" si="35"/>
        <v>5.1892552177172147E-2</v>
      </c>
      <c r="K741" s="20">
        <f>ENSO!I741</f>
        <v>6.2145154037228978E-2</v>
      </c>
      <c r="L741" s="19">
        <f>Analysis!B741</f>
        <v>2019.7916666666667</v>
      </c>
    </row>
    <row r="742" spans="1:12" ht="15" customHeight="1">
      <c r="A742" s="18" t="str">
        <f>Analysis!A742</f>
        <v>11/2019</v>
      </c>
      <c r="B742" s="19">
        <f>Analysis!E742</f>
        <v>0.99000000000000021</v>
      </c>
      <c r="C742" s="20">
        <f>Analysis!F742</f>
        <v>0.55184995650684376</v>
      </c>
      <c r="D742" s="19">
        <f>ENSO!D742</f>
        <v>0.2</v>
      </c>
      <c r="E742" s="34">
        <f t="shared" si="36"/>
        <v>6.6E-3</v>
      </c>
      <c r="F742" s="19">
        <f>Solar!D742</f>
        <v>1360.69</v>
      </c>
      <c r="G742" s="32">
        <v>1.771E-2</v>
      </c>
      <c r="H742" s="33">
        <v>-4.9599999999999998E-2</v>
      </c>
      <c r="I742" s="20">
        <f t="shared" si="34"/>
        <v>0.94888163958567673</v>
      </c>
      <c r="J742" s="20">
        <f t="shared" si="35"/>
        <v>4.1118360414323485E-2</v>
      </c>
      <c r="K742" s="20">
        <f>ENSO!I742</f>
        <v>5.1074765663358224E-2</v>
      </c>
      <c r="L742" s="19">
        <f>Analysis!B742</f>
        <v>2019.875</v>
      </c>
    </row>
    <row r="743" spans="1:12" ht="15" customHeight="1">
      <c r="A743" s="18" t="str">
        <f>Analysis!A743</f>
        <v>12/2019</v>
      </c>
      <c r="B743" s="19">
        <f>Analysis!E743</f>
        <v>1.120000000000001</v>
      </c>
      <c r="C743" s="20">
        <f>Analysis!F743</f>
        <v>0.55711245580363478</v>
      </c>
      <c r="D743" s="19">
        <f>ENSO!D743</f>
        <v>0.31</v>
      </c>
      <c r="E743" s="34">
        <f t="shared" si="36"/>
        <v>6.3400000000000001E-3</v>
      </c>
      <c r="F743" s="19">
        <f>Solar!D743</f>
        <v>1360.67</v>
      </c>
      <c r="G743" s="32">
        <v>1.494E-2</v>
      </c>
      <c r="H743" s="33">
        <v>5.7999999999999996E-3</v>
      </c>
      <c r="I743" s="20">
        <f t="shared" si="34"/>
        <v>0.9740142596570992</v>
      </c>
      <c r="J743" s="20">
        <f t="shared" si="35"/>
        <v>0.14598574034290179</v>
      </c>
      <c r="K743" s="20">
        <f>ENSO!I743</f>
        <v>0.15704559820397701</v>
      </c>
      <c r="L743" s="19">
        <f>Analysis!B743</f>
        <v>2019.9583333333333</v>
      </c>
    </row>
    <row r="744" spans="1:12" ht="15" customHeight="1">
      <c r="A744" s="18" t="str">
        <f>Analysis!A744</f>
        <v>1/2020</v>
      </c>
      <c r="B744" s="19">
        <f>Analysis!E744</f>
        <v>1.1799999999999997</v>
      </c>
      <c r="C744" s="20">
        <f>Analysis!F744</f>
        <v>0.56277447665277325</v>
      </c>
      <c r="D744" s="19">
        <f>ENSO!D744</f>
        <v>0.51</v>
      </c>
      <c r="E744" s="34">
        <f t="shared" si="36"/>
        <v>6.28E-3</v>
      </c>
      <c r="F744" s="19">
        <f>Solar!D744</f>
        <v>1360.65</v>
      </c>
      <c r="G744" s="32">
        <v>1.8069999999999999E-2</v>
      </c>
      <c r="H744" s="33">
        <v>-5.6800000000000003E-2</v>
      </c>
      <c r="I744" s="20">
        <f t="shared" si="34"/>
        <v>1.0081480260994329</v>
      </c>
      <c r="J744" s="20">
        <f t="shared" si="35"/>
        <v>0.17185197390056683</v>
      </c>
      <c r="K744" s="20">
        <f>ENSO!I744</f>
        <v>0.18408562719545829</v>
      </c>
      <c r="L744" s="19">
        <f>Analysis!B744</f>
        <v>2020.0416666666667</v>
      </c>
    </row>
    <row r="745" spans="1:12" ht="15" customHeight="1">
      <c r="A745" s="18" t="str">
        <f>Analysis!A745</f>
        <v>2/2020</v>
      </c>
      <c r="B745" s="19">
        <f>Analysis!E745</f>
        <v>1.240000000000002</v>
      </c>
      <c r="C745" s="20">
        <f>Analysis!F745</f>
        <v>0.5653186364111572</v>
      </c>
      <c r="D745" s="19">
        <f>ENSO!D745</f>
        <v>0.72</v>
      </c>
      <c r="E745" s="34">
        <f t="shared" si="36"/>
        <v>1.026E-2</v>
      </c>
      <c r="F745" s="19">
        <f>Solar!D745</f>
        <v>1360.62</v>
      </c>
      <c r="G745" s="32">
        <v>2.5749999999999999E-2</v>
      </c>
      <c r="H745" s="33">
        <v>-0.21049999999999999</v>
      </c>
      <c r="I745" s="20">
        <f t="shared" si="34"/>
        <v>1.0258165845717118</v>
      </c>
      <c r="J745" s="20">
        <f t="shared" si="35"/>
        <v>0.21418341542829022</v>
      </c>
      <c r="K745" s="20">
        <f>ENSO!I745</f>
        <v>0.21881940730687655</v>
      </c>
      <c r="L745" s="19">
        <f>Analysis!B745</f>
        <v>2020.125</v>
      </c>
    </row>
    <row r="746" spans="1:12" ht="15" customHeight="1">
      <c r="A746" s="18" t="str">
        <f>Analysis!A746</f>
        <v>3/2020</v>
      </c>
      <c r="B746" s="19">
        <f>Analysis!E746</f>
        <v>1.1799999999999997</v>
      </c>
      <c r="C746" s="20">
        <f>Analysis!F746</f>
        <v>0.56671079616493381</v>
      </c>
      <c r="D746" s="19">
        <f>ENSO!D746</f>
        <v>0.75</v>
      </c>
      <c r="E746" s="34">
        <f t="shared" si="36"/>
        <v>1.898E-2</v>
      </c>
      <c r="F746" s="19">
        <f>Solar!D746</f>
        <v>1360.64</v>
      </c>
      <c r="G746" s="32">
        <v>1.8339999999999999E-2</v>
      </c>
      <c r="H746" s="33">
        <v>-6.2199999999999998E-2</v>
      </c>
      <c r="I746" s="20">
        <f t="shared" si="34"/>
        <v>1.0132103759453848</v>
      </c>
      <c r="J746" s="20">
        <f t="shared" si="35"/>
        <v>0.16678962405461495</v>
      </c>
      <c r="K746" s="20">
        <f>ENSO!I746</f>
        <v>0.15238429516792484</v>
      </c>
      <c r="L746" s="19">
        <f>Analysis!B746</f>
        <v>2020.2083333333333</v>
      </c>
    </row>
    <row r="747" spans="1:12" ht="15" customHeight="1">
      <c r="A747" s="18" t="str">
        <f>Analysis!A747</f>
        <v>4/2020</v>
      </c>
      <c r="B747" s="19">
        <f>Analysis!E747</f>
        <v>1.120000000000001</v>
      </c>
      <c r="C747" s="20">
        <f>Analysis!F747</f>
        <v>0.57261253351296471</v>
      </c>
      <c r="D747" s="19">
        <f>ENSO!D747</f>
        <v>0.71</v>
      </c>
      <c r="E747" s="34">
        <f t="shared" si="36"/>
        <v>1.9550000000000001E-2</v>
      </c>
      <c r="F747" s="19">
        <f>Solar!D747</f>
        <v>1360.68</v>
      </c>
      <c r="G747" s="32">
        <v>1.528E-2</v>
      </c>
      <c r="H747" s="33">
        <v>-1E-3</v>
      </c>
      <c r="I747" s="20">
        <f t="shared" si="34"/>
        <v>1.0243409257193568</v>
      </c>
      <c r="J747" s="20">
        <f t="shared" si="35"/>
        <v>9.5659074280644241E-2</v>
      </c>
      <c r="K747" s="20">
        <f>ENSO!I747</f>
        <v>7.965493657830347E-2</v>
      </c>
      <c r="L747" s="19">
        <f>Analysis!B747</f>
        <v>2020.2916666666667</v>
      </c>
    </row>
    <row r="748" spans="1:12" ht="15" customHeight="1">
      <c r="A748" s="18" t="str">
        <f>Analysis!A748</f>
        <v>5/2020</v>
      </c>
      <c r="B748" s="19">
        <f>Analysis!E748</f>
        <v>0.99000000000000021</v>
      </c>
      <c r="C748" s="20">
        <f>Analysis!F748</f>
        <v>0.57558894751138634</v>
      </c>
      <c r="D748" s="19">
        <f>ENSO!D748</f>
        <v>0.66</v>
      </c>
      <c r="E748" s="34">
        <f t="shared" si="36"/>
        <v>1.9689999999999999E-2</v>
      </c>
      <c r="F748" s="19">
        <f>Solar!D748</f>
        <v>1360.74</v>
      </c>
      <c r="G748" s="32">
        <v>1.337E-2</v>
      </c>
      <c r="H748" s="33">
        <v>3.73E-2</v>
      </c>
      <c r="I748" s="20">
        <f t="shared" si="34"/>
        <v>1.0275110741951345</v>
      </c>
      <c r="J748" s="20">
        <f t="shared" si="35"/>
        <v>-3.7511074195134331E-2</v>
      </c>
      <c r="K748" s="20">
        <f>ENSO!I748</f>
        <v>-5.4168777418375669E-2</v>
      </c>
      <c r="L748" s="19">
        <f>Analysis!B748</f>
        <v>2020.375</v>
      </c>
    </row>
    <row r="749" spans="1:12" ht="15" customHeight="1">
      <c r="A749" s="18" t="str">
        <f>Analysis!A749</f>
        <v>6/2020</v>
      </c>
      <c r="B749" s="19">
        <f>Analysis!E749</f>
        <v>0.91000000000000014</v>
      </c>
      <c r="C749" s="20">
        <f>Analysis!F749</f>
        <v>0.57316675010211449</v>
      </c>
      <c r="D749" s="19">
        <f>ENSO!D749</f>
        <v>0.56999999999999995</v>
      </c>
      <c r="E749" s="34">
        <f t="shared" si="36"/>
        <v>1.771E-2</v>
      </c>
      <c r="F749" s="19">
        <f>Solar!D749</f>
        <v>1360.75</v>
      </c>
      <c r="G749" s="32">
        <v>1.159E-2</v>
      </c>
      <c r="H749" s="33">
        <v>7.2700000000000001E-2</v>
      </c>
      <c r="I749" s="20">
        <f t="shared" si="34"/>
        <v>1.016909856353281</v>
      </c>
      <c r="J749" s="20">
        <f t="shared" si="35"/>
        <v>-0.10690985635328087</v>
      </c>
      <c r="K749" s="20">
        <f>ENSO!I749</f>
        <v>-0.11968209562668308</v>
      </c>
      <c r="L749" s="19">
        <f>Analysis!B749</f>
        <v>2020.4583333333333</v>
      </c>
    </row>
    <row r="750" spans="1:12" ht="15" customHeight="1">
      <c r="A750" s="18" t="str">
        <f>Analysis!A750</f>
        <v>7/2020</v>
      </c>
      <c r="B750" s="19">
        <f>Analysis!E750</f>
        <v>0.8900000000000059</v>
      </c>
      <c r="C750" s="20">
        <f>Analysis!F750</f>
        <v>0.56622369304750153</v>
      </c>
      <c r="D750" s="19">
        <f>ENSO!D750</f>
        <v>0.33</v>
      </c>
      <c r="E750" s="34">
        <f t="shared" si="36"/>
        <v>1.494E-2</v>
      </c>
      <c r="F750" s="19">
        <f>Solar!D750</f>
        <v>1360.73</v>
      </c>
      <c r="G750" s="32">
        <v>1.061E-2</v>
      </c>
      <c r="H750" s="33">
        <v>9.2299999999999993E-2</v>
      </c>
      <c r="I750" s="20">
        <f t="shared" si="34"/>
        <v>0.9817973548610518</v>
      </c>
      <c r="J750" s="20">
        <f t="shared" si="35"/>
        <v>-9.1797354861045899E-2</v>
      </c>
      <c r="K750" s="20">
        <f>ENSO!I750</f>
        <v>-9.9721868514199397E-2</v>
      </c>
      <c r="L750" s="19">
        <f>Analysis!B750</f>
        <v>2020.5416666666667</v>
      </c>
    </row>
    <row r="751" spans="1:12" ht="15" customHeight="1">
      <c r="A751" s="18" t="str">
        <f>Analysis!A751</f>
        <v>8/2020</v>
      </c>
      <c r="B751" s="19">
        <f>Analysis!E751</f>
        <v>0.86000000000000121</v>
      </c>
      <c r="C751" s="20">
        <f>Analysis!F751</f>
        <v>0.55984138796829153</v>
      </c>
      <c r="D751" s="19">
        <f>ENSO!D751</f>
        <v>0.04</v>
      </c>
      <c r="E751" s="34">
        <f t="shared" si="36"/>
        <v>1.8069999999999999E-2</v>
      </c>
      <c r="F751" s="19">
        <f>Solar!D751</f>
        <v>1360.81</v>
      </c>
      <c r="G751" s="32">
        <v>1.0070000000000001E-2</v>
      </c>
      <c r="H751" s="33">
        <v>0.1032</v>
      </c>
      <c r="I751" s="20">
        <f t="shared" si="34"/>
        <v>0.93059243375638334</v>
      </c>
      <c r="J751" s="20">
        <f t="shared" si="35"/>
        <v>-7.0592433756382134E-2</v>
      </c>
      <c r="K751" s="20">
        <f>ENSO!I751</f>
        <v>-8.695002427052545E-2</v>
      </c>
      <c r="L751" s="19">
        <f>Analysis!B751</f>
        <v>2020.625</v>
      </c>
    </row>
    <row r="752" spans="1:12" ht="15" customHeight="1">
      <c r="A752" s="18" t="str">
        <f>Analysis!A752</f>
        <v>9/2020</v>
      </c>
      <c r="B752" s="19">
        <f>Analysis!E752</f>
        <v>0.95999999999999908</v>
      </c>
      <c r="C752" s="20">
        <f>Analysis!F752</f>
        <v>0.5554656034766593</v>
      </c>
      <c r="D752" s="19">
        <f>ENSO!D752</f>
        <v>-0.18</v>
      </c>
      <c r="E752" s="34">
        <f t="shared" si="36"/>
        <v>2.5749999999999999E-2</v>
      </c>
      <c r="F752" s="19">
        <f>Solar!D752</f>
        <v>1360.76</v>
      </c>
      <c r="G752" s="32">
        <v>1.0240000000000001E-2</v>
      </c>
      <c r="H752" s="33">
        <v>9.98E-2</v>
      </c>
      <c r="I752" s="20">
        <f t="shared" si="34"/>
        <v>0.881344197174601</v>
      </c>
      <c r="J752" s="20">
        <f t="shared" si="35"/>
        <v>7.865580282539808E-2</v>
      </c>
      <c r="K752" s="20">
        <f>ENSO!I752</f>
        <v>4.4217673069858465E-2</v>
      </c>
      <c r="L752" s="19">
        <f>Analysis!B752</f>
        <v>2020.7083333333333</v>
      </c>
    </row>
    <row r="753" spans="1:12" ht="15" customHeight="1">
      <c r="A753" s="18" t="str">
        <f>Analysis!A753</f>
        <v>10/2020</v>
      </c>
      <c r="B753" s="19">
        <f>Analysis!E753</f>
        <v>0.86999999999999744</v>
      </c>
      <c r="C753" s="20">
        <f>Analysis!F753</f>
        <v>0.55543054363289546</v>
      </c>
      <c r="D753" s="19">
        <f>ENSO!D753</f>
        <v>-0.28999999999999998</v>
      </c>
      <c r="E753" s="34">
        <f t="shared" si="36"/>
        <v>1.8339999999999999E-2</v>
      </c>
      <c r="F753" s="19">
        <f>Solar!D753</f>
        <v>1360.8</v>
      </c>
      <c r="G753" s="32">
        <v>1.022E-2</v>
      </c>
      <c r="H753" s="33">
        <v>0.10009999999999999</v>
      </c>
      <c r="I753" s="20">
        <f t="shared" si="34"/>
        <v>0.88734573252323312</v>
      </c>
      <c r="J753" s="20">
        <f t="shared" si="35"/>
        <v>-1.734573252323568E-2</v>
      </c>
      <c r="K753" s="20">
        <f>ENSO!I753</f>
        <v>-3.6111869998664337E-2</v>
      </c>
      <c r="L753" s="19">
        <f>Analysis!B753</f>
        <v>2020.7916666666667</v>
      </c>
    </row>
    <row r="754" spans="1:12" ht="15" customHeight="1">
      <c r="A754" s="18" t="str">
        <f>Analysis!A754</f>
        <v>11/2020</v>
      </c>
      <c r="B754" s="19">
        <f>Analysis!E754</f>
        <v>1.0899999999999999</v>
      </c>
      <c r="C754" s="20">
        <f>Analysis!F754</f>
        <v>0.56106423302379171</v>
      </c>
      <c r="D754" s="19">
        <f>ENSO!D754</f>
        <v>-0.43</v>
      </c>
      <c r="E754" s="34">
        <f t="shared" si="36"/>
        <v>1.528E-2</v>
      </c>
      <c r="F754" s="19">
        <f>Solar!D754</f>
        <v>1360.8</v>
      </c>
      <c r="G754" s="32">
        <v>1.0319999999999999E-2</v>
      </c>
      <c r="H754" s="33">
        <v>9.8199999999999996E-2</v>
      </c>
      <c r="I754" s="20">
        <f t="shared" si="34"/>
        <v>0.89645297848002148</v>
      </c>
      <c r="J754" s="20">
        <f t="shared" si="35"/>
        <v>0.19354702151997838</v>
      </c>
      <c r="K754" s="20">
        <f>ENSO!I754</f>
        <v>0.18059882149549555</v>
      </c>
      <c r="L754" s="19">
        <f>Analysis!B754</f>
        <v>2020.875</v>
      </c>
    </row>
    <row r="755" spans="1:12" ht="15" customHeight="1">
      <c r="A755" s="18" t="str">
        <f>Analysis!A755</f>
        <v>12/2020</v>
      </c>
      <c r="B755" s="19">
        <f>Analysis!E755</f>
        <v>0.79999999999999893</v>
      </c>
      <c r="C755" s="20">
        <f>Analysis!F755</f>
        <v>0.56500521524359781</v>
      </c>
      <c r="D755" s="19">
        <f>ENSO!D755</f>
        <v>-0.77</v>
      </c>
      <c r="E755" s="34">
        <f t="shared" si="36"/>
        <v>1.337E-2</v>
      </c>
      <c r="F755" s="19">
        <f>Solar!D755</f>
        <v>1361</v>
      </c>
      <c r="G755" s="32">
        <v>9.7000000000000003E-3</v>
      </c>
      <c r="H755" s="33">
        <v>0.1106</v>
      </c>
      <c r="I755" s="20">
        <f t="shared" si="34"/>
        <v>0.87985408289122757</v>
      </c>
      <c r="J755" s="20">
        <f t="shared" si="35"/>
        <v>-7.9854082891228639E-2</v>
      </c>
      <c r="K755" s="20">
        <f>ENSO!I755</f>
        <v>-9.0633411503476924E-2</v>
      </c>
      <c r="L755" s="19">
        <f>Analysis!B755</f>
        <v>2020.9583333333333</v>
      </c>
    </row>
    <row r="756" spans="1:12" ht="15" customHeight="1">
      <c r="A756" s="18" t="str">
        <f>Analysis!A756</f>
        <v>1/2021</v>
      </c>
      <c r="B756" s="19">
        <f>Analysis!E756</f>
        <v>0.82000000000000028</v>
      </c>
      <c r="C756" s="20">
        <f>Analysis!F756</f>
        <v>0.56938692750523079</v>
      </c>
      <c r="D756" s="19">
        <f>ENSO!D756</f>
        <v>-1</v>
      </c>
      <c r="E756" s="34">
        <f t="shared" si="36"/>
        <v>1.159E-2</v>
      </c>
      <c r="F756" s="19">
        <f>Solar!D756</f>
        <v>1360.9</v>
      </c>
      <c r="G756" s="32">
        <v>8.9800000000000001E-3</v>
      </c>
      <c r="H756" s="33">
        <v>0.125</v>
      </c>
      <c r="I756" s="20">
        <f t="shared" si="34"/>
        <v>0.87437865174270146</v>
      </c>
      <c r="J756" s="20">
        <f t="shared" si="35"/>
        <v>-5.4378651742701178E-2</v>
      </c>
      <c r="K756" s="20">
        <f>ENSO!I756</f>
        <v>-6.2650394769339424E-2</v>
      </c>
      <c r="L756" s="19">
        <f>Analysis!B756</f>
        <v>2021.0416666666667</v>
      </c>
    </row>
    <row r="757" spans="1:12" ht="15" customHeight="1">
      <c r="A757" s="18" t="str">
        <f>Analysis!A757</f>
        <v>2/2021</v>
      </c>
      <c r="B757" s="19">
        <f>Analysis!E757</f>
        <v>0.64000000000000234</v>
      </c>
      <c r="C757" s="20">
        <f>Analysis!F757</f>
        <v>0.57365151503101131</v>
      </c>
      <c r="D757" s="19">
        <f>ENSO!D757</f>
        <v>-1.1100000000000001</v>
      </c>
      <c r="E757" s="34">
        <f t="shared" si="36"/>
        <v>1.061E-2</v>
      </c>
      <c r="F757" s="19">
        <f>Solar!D757</f>
        <v>1360.79</v>
      </c>
      <c r="G757" s="32">
        <v>8.4200000000000004E-3</v>
      </c>
      <c r="H757" s="33">
        <v>0.1363</v>
      </c>
      <c r="I757" s="20">
        <f t="shared" si="34"/>
        <v>0.87795889162348861</v>
      </c>
      <c r="J757" s="20">
        <f t="shared" si="35"/>
        <v>-0.23795889162348627</v>
      </c>
      <c r="K757" s="20">
        <f>ENSO!I757</f>
        <v>-0.24479019264924529</v>
      </c>
      <c r="L757" s="19">
        <f>Analysis!B757</f>
        <v>2021.125</v>
      </c>
    </row>
    <row r="758" spans="1:12" ht="15" customHeight="1">
      <c r="A758" s="18" t="str">
        <f>Analysis!A758</f>
        <v>3/2021</v>
      </c>
      <c r="B758" s="19">
        <f>Analysis!E758</f>
        <v>0.8900000000000059</v>
      </c>
      <c r="C758" s="20">
        <f>Analysis!F758</f>
        <v>0.57672943161896173</v>
      </c>
      <c r="D758" s="19">
        <f>ENSO!D758</f>
        <v>-1.06</v>
      </c>
      <c r="E758" s="34">
        <f t="shared" si="36"/>
        <v>1.0070000000000001E-2</v>
      </c>
      <c r="F758" s="19">
        <f>Solar!D758</f>
        <v>1360.86</v>
      </c>
      <c r="G758" s="32">
        <v>8.0099999999999998E-3</v>
      </c>
      <c r="H758" s="33">
        <v>0.14449999999999999</v>
      </c>
      <c r="I758" s="20">
        <f t="shared" si="34"/>
        <v>0.89218162197525808</v>
      </c>
      <c r="J758" s="20">
        <f t="shared" si="35"/>
        <v>-2.1816219752521793E-3</v>
      </c>
      <c r="K758" s="20">
        <f>ENSO!I758</f>
        <v>-7.5964905563078444E-3</v>
      </c>
      <c r="L758" s="19">
        <f>Analysis!B758</f>
        <v>2021.2083333333333</v>
      </c>
    </row>
    <row r="759" spans="1:12" ht="15" customHeight="1">
      <c r="A759" s="18" t="str">
        <f>Analysis!A759</f>
        <v>4/2021</v>
      </c>
      <c r="B759" s="19">
        <f>Analysis!E759</f>
        <v>0.75999999999999801</v>
      </c>
      <c r="C759" s="20">
        <f>Analysis!F759</f>
        <v>0.58155784820606116</v>
      </c>
      <c r="D759" s="19">
        <f>ENSO!D759</f>
        <v>-0.99</v>
      </c>
      <c r="E759" s="34">
        <f t="shared" si="36"/>
        <v>1.0240000000000001E-2</v>
      </c>
      <c r="F759" s="19">
        <f>Solar!D759</f>
        <v>1360.86</v>
      </c>
      <c r="G759" s="32">
        <v>8.6199999999999992E-3</v>
      </c>
      <c r="H759" s="33">
        <v>0.13220000000000001</v>
      </c>
      <c r="I759" s="20">
        <f t="shared" si="34"/>
        <v>0.91147236153990718</v>
      </c>
      <c r="J759" s="20">
        <f t="shared" si="35"/>
        <v>-0.15147236153990917</v>
      </c>
      <c r="K759" s="20">
        <f>ENSO!I759</f>
        <v>-0.15695181050734519</v>
      </c>
      <c r="L759" s="19">
        <f>Analysis!B759</f>
        <v>2021.2916666666667</v>
      </c>
    </row>
    <row r="760" spans="1:12" ht="15" customHeight="1">
      <c r="A760" s="18" t="str">
        <f>Analysis!A760</f>
        <v>5/2021</v>
      </c>
      <c r="B760" s="19">
        <f>Analysis!E760</f>
        <v>0.79000000000000092</v>
      </c>
      <c r="C760" s="20">
        <f>Analysis!F760</f>
        <v>0.58183327024071485</v>
      </c>
      <c r="D760" s="19">
        <f>ENSO!D760</f>
        <v>-0.85</v>
      </c>
      <c r="E760" s="34">
        <f t="shared" si="36"/>
        <v>1.022E-2</v>
      </c>
      <c r="F760" s="19">
        <f>Solar!D760</f>
        <v>1360.91</v>
      </c>
      <c r="G760" s="32">
        <v>1.023E-2</v>
      </c>
      <c r="H760" s="33">
        <v>0.1</v>
      </c>
      <c r="I760" s="20">
        <f t="shared" si="34"/>
        <v>0.9252588639475926</v>
      </c>
      <c r="J760" s="20">
        <f t="shared" si="35"/>
        <v>-0.13525886394759168</v>
      </c>
      <c r="K760" s="20">
        <f>ENSO!I760</f>
        <v>-0.13989362647439296</v>
      </c>
      <c r="L760" s="19">
        <f>Analysis!B760</f>
        <v>2021.375</v>
      </c>
    </row>
    <row r="761" spans="1:12" ht="15" customHeight="1">
      <c r="A761" s="18" t="str">
        <f>Analysis!A761</f>
        <v>6/2021</v>
      </c>
      <c r="B761" s="19">
        <f>Analysis!E761</f>
        <v>0.8500000000000032</v>
      </c>
      <c r="C761" s="20">
        <f>Analysis!F761</f>
        <v>0.5812823735810958</v>
      </c>
      <c r="D761" s="19">
        <f>ENSO!D761</f>
        <v>-0.74</v>
      </c>
      <c r="E761" s="34">
        <f t="shared" si="36"/>
        <v>1.0319999999999999E-2</v>
      </c>
      <c r="F761" s="19">
        <f>Solar!D761</f>
        <v>1361.03</v>
      </c>
      <c r="G761" s="32">
        <v>1.047E-2</v>
      </c>
      <c r="H761" s="33">
        <v>9.5299999999999996E-2</v>
      </c>
      <c r="I761" s="20">
        <f t="shared" si="34"/>
        <v>0.93374375062666193</v>
      </c>
      <c r="J761" s="20">
        <f t="shared" si="35"/>
        <v>-8.3743750626658731E-2</v>
      </c>
      <c r="K761" s="20">
        <f>ENSO!I761</f>
        <v>-8.7954580342348709E-2</v>
      </c>
      <c r="L761" s="19">
        <f>Analysis!B761</f>
        <v>2021.4583333333333</v>
      </c>
    </row>
    <row r="762" spans="1:12" ht="15" customHeight="1">
      <c r="A762" s="18" t="str">
        <f>Analysis!A762</f>
        <v>7/2021</v>
      </c>
      <c r="B762" s="19">
        <f>Analysis!E762</f>
        <v>0.91999999999999993</v>
      </c>
      <c r="C762" s="20">
        <f>Analysis!F762</f>
        <v>0.57427454497606012</v>
      </c>
      <c r="D762" s="19">
        <f>ENSO!D762</f>
        <v>-0.56000000000000005</v>
      </c>
      <c r="E762" s="34">
        <f t="shared" si="36"/>
        <v>9.7000000000000003E-3</v>
      </c>
      <c r="F762" s="19">
        <f>Solar!D762</f>
        <v>1361.12</v>
      </c>
      <c r="G762" s="32">
        <v>1.085E-2</v>
      </c>
      <c r="H762" s="33">
        <v>8.7499999999999994E-2</v>
      </c>
      <c r="I762" s="20">
        <f t="shared" si="34"/>
        <v>0.9326977387227956</v>
      </c>
      <c r="J762" s="20">
        <f t="shared" si="35"/>
        <v>-1.2697738722795671E-2</v>
      </c>
      <c r="K762" s="20">
        <f>ENSO!I762</f>
        <v>-1.4372302338600429E-2</v>
      </c>
      <c r="L762" s="19">
        <f>Analysis!B762</f>
        <v>2021.5416666666667</v>
      </c>
    </row>
    <row r="763" spans="1:12" ht="15" customHeight="1">
      <c r="A763" s="18" t="str">
        <f>Analysis!A763</f>
        <v>8/2021</v>
      </c>
      <c r="B763" s="19">
        <f>Analysis!E763</f>
        <v>0.81000000000000227</v>
      </c>
      <c r="C763" s="20">
        <f>Analysis!F763</f>
        <v>0.56566680231310262</v>
      </c>
      <c r="D763" s="19">
        <f>ENSO!D763</f>
        <v>-0.4</v>
      </c>
      <c r="E763" s="34">
        <f t="shared" si="36"/>
        <v>8.9800000000000001E-3</v>
      </c>
      <c r="F763" s="19">
        <f>Solar!D763</f>
        <v>1361.04</v>
      </c>
      <c r="G763" s="32">
        <v>1.0070000000000001E-2</v>
      </c>
      <c r="H763" s="33">
        <v>0.1033</v>
      </c>
      <c r="I763" s="20">
        <f t="shared" si="34"/>
        <v>0.92565221472580117</v>
      </c>
      <c r="J763" s="20">
        <f t="shared" si="35"/>
        <v>-0.1156522147257989</v>
      </c>
      <c r="K763" s="20">
        <f>ENSO!I763</f>
        <v>-0.11465463117345254</v>
      </c>
      <c r="L763" s="19">
        <f>Analysis!B763</f>
        <v>2021.625</v>
      </c>
    </row>
    <row r="764" spans="1:12" ht="15" customHeight="1">
      <c r="A764" s="18" t="str">
        <f>Analysis!A764</f>
        <v>9/2021</v>
      </c>
      <c r="B764" s="19">
        <f>Analysis!E764</f>
        <v>0.91999999999999993</v>
      </c>
      <c r="C764" s="20">
        <f>Analysis!F764</f>
        <v>0.56162290287573691</v>
      </c>
      <c r="D764" s="19">
        <f>ENSO!D764</f>
        <v>-0.31</v>
      </c>
      <c r="E764" s="34">
        <f t="shared" si="36"/>
        <v>8.4200000000000004E-3</v>
      </c>
      <c r="F764" s="19">
        <f>Solar!D764</f>
        <v>1360.96</v>
      </c>
      <c r="G764" s="32">
        <v>9.9699999999999997E-3</v>
      </c>
      <c r="H764" s="33">
        <v>0.1052</v>
      </c>
      <c r="I764" s="20">
        <f t="shared" si="34"/>
        <v>0.92420652740522136</v>
      </c>
      <c r="J764" s="20">
        <f t="shared" si="35"/>
        <v>-4.2065274052214274E-3</v>
      </c>
      <c r="K764" s="20">
        <f>ENSO!I764</f>
        <v>-1.3802630858436027E-3</v>
      </c>
      <c r="L764" s="19">
        <f>Analysis!B764</f>
        <v>2021.7083333333333</v>
      </c>
    </row>
    <row r="765" spans="1:12" ht="15" customHeight="1">
      <c r="A765" s="18" t="str">
        <f>Analysis!A765</f>
        <v>10/2021</v>
      </c>
      <c r="B765" s="19">
        <f>Analysis!E765</f>
        <v>0.97999999999999865</v>
      </c>
      <c r="C765" s="20">
        <f>Analysis!F765</f>
        <v>0.56385542139796185</v>
      </c>
      <c r="D765" s="19">
        <f>ENSO!D765</f>
        <v>-0.35</v>
      </c>
      <c r="E765" s="34">
        <f t="shared" si="36"/>
        <v>8.0099999999999998E-3</v>
      </c>
      <c r="F765" s="19">
        <f>Solar!D765</f>
        <v>1361.03</v>
      </c>
      <c r="G765" s="32">
        <v>9.9100000000000004E-3</v>
      </c>
      <c r="H765" s="33">
        <v>0.10639999999999999</v>
      </c>
      <c r="I765" s="20">
        <f t="shared" si="34"/>
        <v>0.92748590000119846</v>
      </c>
      <c r="J765" s="20">
        <f t="shared" si="35"/>
        <v>5.251409999880019E-2</v>
      </c>
      <c r="K765" s="20">
        <f>ENSO!I765</f>
        <v>5.5968974443473374E-2</v>
      </c>
      <c r="L765" s="19">
        <f>Analysis!B765</f>
        <v>2021.7916666666667</v>
      </c>
    </row>
    <row r="766" spans="1:12" ht="15" customHeight="1">
      <c r="A766" s="18" t="str">
        <f>Analysis!A766</f>
        <v>11/2021</v>
      </c>
      <c r="B766" s="19">
        <f>Analysis!E766</f>
        <v>0.92999999999999794</v>
      </c>
      <c r="C766" s="20">
        <f>Analysis!F766</f>
        <v>0.56758021431180217</v>
      </c>
      <c r="D766" s="19">
        <f>ENSO!D766</f>
        <v>-0.46</v>
      </c>
      <c r="E766" s="34">
        <f t="shared" si="36"/>
        <v>8.6199999999999992E-3</v>
      </c>
      <c r="F766" s="19">
        <f>Solar!D766</f>
        <v>1361.09</v>
      </c>
      <c r="G766" s="32">
        <v>9.7999999999999997E-3</v>
      </c>
      <c r="H766" s="33">
        <v>0.1086</v>
      </c>
      <c r="I766" s="20">
        <f t="shared" si="34"/>
        <v>0.92609533000741795</v>
      </c>
      <c r="J766" s="20">
        <f t="shared" si="35"/>
        <v>3.9046699925799899E-3</v>
      </c>
      <c r="K766" s="20">
        <f>ENSO!I766</f>
        <v>5.3118823217125355E-3</v>
      </c>
      <c r="L766" s="19">
        <f>Analysis!B766</f>
        <v>2021.875</v>
      </c>
    </row>
    <row r="767" spans="1:12" ht="15" customHeight="1">
      <c r="A767" s="18" t="str">
        <f>Analysis!A767</f>
        <v>12/2021</v>
      </c>
      <c r="B767" s="19">
        <f>Analysis!E767</f>
        <v>0.88000000000000256</v>
      </c>
      <c r="C767" s="20">
        <f>Analysis!F767</f>
        <v>0.5734784033974879</v>
      </c>
      <c r="D767" s="19">
        <f>ENSO!D767</f>
        <v>-0.64</v>
      </c>
      <c r="E767" s="34">
        <f t="shared" si="36"/>
        <v>1.023E-2</v>
      </c>
      <c r="F767" s="19">
        <f>Solar!D767</f>
        <v>1361.1</v>
      </c>
      <c r="G767" s="32">
        <v>9.4699999999999993E-3</v>
      </c>
      <c r="H767" s="33">
        <v>0.1152</v>
      </c>
      <c r="I767" s="20">
        <f t="shared" si="34"/>
        <v>0.92193653363969186</v>
      </c>
      <c r="J767" s="20">
        <f t="shared" si="35"/>
        <v>-4.19365336396893E-2</v>
      </c>
      <c r="K767" s="20">
        <f>ENSO!I767</f>
        <v>-4.5222442130044005E-2</v>
      </c>
      <c r="L767" s="19">
        <f>Analysis!B767</f>
        <v>2021.9583333333333</v>
      </c>
    </row>
    <row r="768" spans="1:12" ht="15" customHeight="1">
      <c r="A768" s="18" t="str">
        <f>Analysis!A768</f>
        <v>1/2022</v>
      </c>
      <c r="B768" s="19">
        <f>Analysis!E768</f>
        <v>0.91000000000000014</v>
      </c>
      <c r="C768" s="20">
        <f>Analysis!F768</f>
        <v>0.57852473043934227</v>
      </c>
      <c r="D768" s="19">
        <f>ENSO!D768</f>
        <v>-0.77</v>
      </c>
      <c r="E768" s="34">
        <f t="shared" si="36"/>
        <v>1.047E-2</v>
      </c>
      <c r="F768" s="19">
        <f>Solar!D768</f>
        <v>1361.2</v>
      </c>
      <c r="G768" s="32">
        <v>1.5140000000000001E-2</v>
      </c>
      <c r="H768" s="33">
        <v>5.79E-2</v>
      </c>
      <c r="I768" s="20">
        <f t="shared" si="34"/>
        <v>0.92310858004990703</v>
      </c>
      <c r="J768" s="20">
        <f t="shared" si="35"/>
        <v>-1.3108580049906893E-2</v>
      </c>
      <c r="K768" s="20">
        <f>ENSO!I768</f>
        <v>-1.7768763699829715E-2</v>
      </c>
      <c r="L768" s="19">
        <f>Analysis!B768</f>
        <v>2022.0416666666667</v>
      </c>
    </row>
    <row r="769" spans="1:12" ht="15" customHeight="1">
      <c r="A769" s="18" t="str">
        <f>Analysis!A769</f>
        <v>2/2022</v>
      </c>
      <c r="B769" s="19">
        <f>Analysis!E769</f>
        <v>0.8900000000000059</v>
      </c>
      <c r="C769" s="20">
        <f>Analysis!F769</f>
        <v>0.58234954487825097</v>
      </c>
      <c r="D769" s="19">
        <f>ENSO!D769</f>
        <v>-0.91</v>
      </c>
      <c r="E769" s="34">
        <f t="shared" si="36"/>
        <v>1.085E-2</v>
      </c>
      <c r="F769" s="19">
        <f>Solar!D769</f>
        <v>1361.35</v>
      </c>
      <c r="G769" s="32">
        <v>2.1350000000000001E-2</v>
      </c>
      <c r="H769" s="33">
        <v>2.3E-3</v>
      </c>
      <c r="I769" s="20">
        <f t="shared" si="34"/>
        <v>0.91971304190343273</v>
      </c>
      <c r="J769" s="20">
        <f t="shared" si="35"/>
        <v>-2.9713041903426829E-2</v>
      </c>
      <c r="K769" s="20">
        <f>ENSO!I769</f>
        <v>-3.6089461464183237E-2</v>
      </c>
      <c r="L769" s="19">
        <f>Analysis!B769</f>
        <v>2022.125</v>
      </c>
    </row>
    <row r="770" spans="1:12" ht="15" customHeight="1">
      <c r="A770" s="18" t="str">
        <f>Analysis!A770</f>
        <v>3/2022</v>
      </c>
      <c r="B770" s="19">
        <f>Analysis!E770</f>
        <v>1.0500000000000025</v>
      </c>
      <c r="C770" s="20">
        <f>Analysis!F770</f>
        <v>0.5806968152950519</v>
      </c>
      <c r="D770" s="19">
        <f>ENSO!D770</f>
        <v>-0.83</v>
      </c>
      <c r="E770" s="34">
        <f t="shared" si="36"/>
        <v>1.0070000000000001E-2</v>
      </c>
      <c r="F770" s="19">
        <f>Solar!D770</f>
        <v>1361.27</v>
      </c>
      <c r="G770" s="32">
        <v>2.3550000000000001E-2</v>
      </c>
      <c r="H770" s="33">
        <v>-3.1699999999999999E-2</v>
      </c>
      <c r="I770" s="20">
        <f t="shared" ref="I770:I823" si="37">IF(OR(D770="",E770=""),"",$N$14+$N$15*C770+$N$16*D770+$N$17*E770)</f>
        <v>0.92434522046623269</v>
      </c>
      <c r="J770" s="20">
        <f t="shared" ref="J770:J823" si="38">IF(I770="","",B770-I770)</f>
        <v>0.1256547795337698</v>
      </c>
      <c r="K770" s="20">
        <f>ENSO!I770</f>
        <v>0.1214872281893804</v>
      </c>
      <c r="L770" s="19">
        <f>Analysis!B770</f>
        <v>2022.2083333333333</v>
      </c>
    </row>
    <row r="771" spans="1:12" ht="15" customHeight="1">
      <c r="A771" s="18" t="str">
        <f>Analysis!A771</f>
        <v>4/2022</v>
      </c>
      <c r="B771" s="19">
        <f>Analysis!E771</f>
        <v>0.83000000000000362</v>
      </c>
      <c r="C771" s="20">
        <f>Analysis!F771</f>
        <v>0.5856150008995481</v>
      </c>
      <c r="D771" s="19">
        <f>ENSO!D771</f>
        <v>-0.76</v>
      </c>
      <c r="E771" s="34">
        <f t="shared" si="36"/>
        <v>9.9699999999999997E-3</v>
      </c>
      <c r="F771" s="19">
        <f>Solar!D771</f>
        <v>1361.38</v>
      </c>
      <c r="G771" s="32">
        <v>2.726E-2</v>
      </c>
      <c r="H771" s="33">
        <v>-0.10050000000000001</v>
      </c>
      <c r="I771" s="20">
        <f t="shared" si="37"/>
        <v>0.94447489348008995</v>
      </c>
      <c r="J771" s="20">
        <f t="shared" si="38"/>
        <v>-0.11447489348008633</v>
      </c>
      <c r="K771" s="20">
        <f>ENSO!I771</f>
        <v>-0.11811466895240386</v>
      </c>
      <c r="L771" s="19">
        <f>Analysis!B771</f>
        <v>2022.2916666666667</v>
      </c>
    </row>
    <row r="772" spans="1:12" ht="15" customHeight="1">
      <c r="A772" s="18" t="str">
        <f>Analysis!A772</f>
        <v>5/2022</v>
      </c>
      <c r="B772" s="19">
        <f>Analysis!E772</f>
        <v>0.83999999999999986</v>
      </c>
      <c r="C772" s="20">
        <f>Analysis!F772</f>
        <v>0.58829059758610203</v>
      </c>
      <c r="D772" s="19">
        <f>ENSO!D772</f>
        <v>-0.68</v>
      </c>
      <c r="E772" s="34">
        <f t="shared" si="36"/>
        <v>9.9100000000000004E-3</v>
      </c>
      <c r="F772" s="19">
        <f>Solar!D772</f>
        <v>1361.62</v>
      </c>
      <c r="G772" s="32">
        <v>2.929E-2</v>
      </c>
      <c r="H772" s="33">
        <v>-0.1331</v>
      </c>
      <c r="I772" s="20">
        <f t="shared" si="37"/>
        <v>0.95932800750658498</v>
      </c>
      <c r="J772" s="20">
        <f t="shared" si="38"/>
        <v>-0.11932800750658512</v>
      </c>
      <c r="K772" s="20">
        <f>ENSO!I772</f>
        <v>-0.12242700920270944</v>
      </c>
      <c r="L772" s="19">
        <f>Analysis!B772</f>
        <v>2022.375</v>
      </c>
    </row>
    <row r="773" spans="1:12" ht="15" customHeight="1">
      <c r="A773" s="18" t="str">
        <f>Analysis!A773</f>
        <v>6/2022</v>
      </c>
      <c r="B773" s="19">
        <f>Analysis!E773</f>
        <v>0.92999999999999794</v>
      </c>
      <c r="C773" s="20">
        <f>Analysis!F773</f>
        <v>0.58818778172396691</v>
      </c>
      <c r="D773" s="19">
        <f>ENSO!D773</f>
        <v>-0.77</v>
      </c>
      <c r="E773" s="34">
        <f t="shared" si="36"/>
        <v>9.7999999999999997E-3</v>
      </c>
      <c r="F773" s="19">
        <f>Solar!D773</f>
        <v>1361.65</v>
      </c>
      <c r="G773" s="32">
        <v>2.878E-2</v>
      </c>
      <c r="H773" s="33">
        <v>-0.12139999999999999</v>
      </c>
      <c r="I773" s="20">
        <f t="shared" si="37"/>
        <v>0.9509380722112315</v>
      </c>
      <c r="J773" s="20">
        <f t="shared" si="38"/>
        <v>-2.093807221123356E-2</v>
      </c>
      <c r="K773" s="20">
        <f>ENSO!I773</f>
        <v>-2.4311195699088906E-2</v>
      </c>
      <c r="L773" s="19">
        <f>Analysis!B773</f>
        <v>2022.4583333333333</v>
      </c>
    </row>
    <row r="774" spans="1:12" ht="15" customHeight="1">
      <c r="A774" s="18" t="str">
        <f>Analysis!A774</f>
        <v>7/2022</v>
      </c>
      <c r="B774" s="19">
        <f>Analysis!E774</f>
        <v>0.93999999999999773</v>
      </c>
      <c r="C774" s="20">
        <f>Analysis!F774</f>
        <v>0.58100684634573119</v>
      </c>
      <c r="D774" s="19">
        <f>ENSO!D774</f>
        <v>-0.86</v>
      </c>
      <c r="E774" s="34">
        <f t="shared" si="36"/>
        <v>9.4699999999999993E-3</v>
      </c>
      <c r="F774" s="19">
        <f>Solar!D774</f>
        <v>1361.38</v>
      </c>
      <c r="G774" s="32">
        <v>2.8219999999999999E-2</v>
      </c>
      <c r="H774" s="33">
        <v>-0.1109</v>
      </c>
      <c r="I774" s="20">
        <f t="shared" si="37"/>
        <v>0.9237271680618302</v>
      </c>
      <c r="J774" s="20">
        <f t="shared" si="38"/>
        <v>1.6272831938167531E-2</v>
      </c>
      <c r="K774" s="20">
        <f>ENSO!I774</f>
        <v>1.3246769191812557E-2</v>
      </c>
      <c r="L774" s="19">
        <f>Analysis!B774</f>
        <v>2022.5416666666667</v>
      </c>
    </row>
    <row r="775" spans="1:12" ht="15" customHeight="1">
      <c r="A775" s="18" t="str">
        <f>Analysis!A775</f>
        <v>8/2022</v>
      </c>
      <c r="B775" s="19">
        <f>Analysis!E775</f>
        <v>0.93999999999999773</v>
      </c>
      <c r="C775" s="20">
        <f>Analysis!F775</f>
        <v>0.57513941823551418</v>
      </c>
      <c r="D775" s="19">
        <f>ENSO!D775</f>
        <v>-0.83</v>
      </c>
      <c r="E775" s="34">
        <f t="shared" si="36"/>
        <v>1.5140000000000001E-2</v>
      </c>
      <c r="F775" s="19">
        <f>Solar!D775</f>
        <v>1361.42</v>
      </c>
      <c r="G775" s="32">
        <v>2.588E-2</v>
      </c>
      <c r="H775" s="33">
        <v>-6.7900000000000002E-2</v>
      </c>
      <c r="I775" s="20">
        <f t="shared" si="37"/>
        <v>0.89803204598518493</v>
      </c>
      <c r="J775" s="20">
        <f t="shared" si="38"/>
        <v>4.1967954014812792E-2</v>
      </c>
      <c r="K775" s="20">
        <f>ENSO!I775</f>
        <v>2.675226499823069E-2</v>
      </c>
      <c r="L775" s="19">
        <f>Analysis!B775</f>
        <v>2022.625</v>
      </c>
    </row>
    <row r="776" spans="1:12" ht="15" customHeight="1">
      <c r="A776" s="18" t="str">
        <f>Analysis!A776</f>
        <v>9/2022</v>
      </c>
      <c r="B776" s="19">
        <f>Analysis!E776</f>
        <v>0.88000000000000256</v>
      </c>
      <c r="C776" s="20">
        <f>Analysis!F776</f>
        <v>0.57084454590484046</v>
      </c>
      <c r="D776" s="19">
        <f>ENSO!D776</f>
        <v>-0.73</v>
      </c>
      <c r="E776" s="34">
        <f t="shared" si="36"/>
        <v>2.1350000000000001E-2</v>
      </c>
      <c r="F776" s="19">
        <f>Solar!D776</f>
        <v>1361.68</v>
      </c>
      <c r="G776" s="32">
        <v>2.4309999999999998E-2</v>
      </c>
      <c r="H776" s="33">
        <v>-3.4799999999999998E-2</v>
      </c>
      <c r="I776" s="20">
        <f t="shared" si="37"/>
        <v>0.88193341411211978</v>
      </c>
      <c r="J776" s="20">
        <f t="shared" si="38"/>
        <v>-1.9334141121172266E-3</v>
      </c>
      <c r="K776" s="20">
        <f>ENSO!I776</f>
        <v>-3.0154373237685883E-2</v>
      </c>
      <c r="L776" s="19">
        <f>Analysis!B776</f>
        <v>2022.7083333333333</v>
      </c>
    </row>
    <row r="777" spans="1:12" ht="15" customHeight="1">
      <c r="A777" s="18" t="str">
        <f>Analysis!A777</f>
        <v>10/2022</v>
      </c>
      <c r="B777" s="19">
        <f>Analysis!E777</f>
        <v>0.96999999999999886</v>
      </c>
      <c r="C777" s="20">
        <f>Analysis!F777</f>
        <v>0.57025473490173317</v>
      </c>
      <c r="D777" s="19">
        <f>ENSO!D777</f>
        <v>-0.7</v>
      </c>
      <c r="E777" s="34">
        <f t="shared" ref="E777:E823" si="39">IF(G770="","",G770)</f>
        <v>2.3550000000000001E-2</v>
      </c>
      <c r="F777" s="19">
        <f>Solar!D777</f>
        <v>1361.78</v>
      </c>
      <c r="G777" s="32">
        <v>2.2939999999999999E-2</v>
      </c>
      <c r="H777" s="33">
        <v>2.9999999999999997E-4</v>
      </c>
      <c r="I777" s="20">
        <f t="shared" si="37"/>
        <v>0.87826782383095148</v>
      </c>
      <c r="J777" s="20">
        <f t="shared" si="38"/>
        <v>9.1732176169047386E-2</v>
      </c>
      <c r="K777" s="20">
        <f>ENSO!I777</f>
        <v>5.8854584254121267E-2</v>
      </c>
      <c r="L777" s="19">
        <f>Analysis!B777</f>
        <v>2022.7916666666667</v>
      </c>
    </row>
    <row r="778" spans="1:12" ht="15" customHeight="1">
      <c r="A778" s="18" t="str">
        <f>Analysis!A778</f>
        <v>11/2022</v>
      </c>
      <c r="B778" s="19">
        <f>Analysis!E778</f>
        <v>0.7300000000000022</v>
      </c>
      <c r="C778" s="20">
        <f>Analysis!F778</f>
        <v>0.57624569998219233</v>
      </c>
      <c r="D778" s="19">
        <f>ENSO!D778</f>
        <v>-0.78</v>
      </c>
      <c r="E778" s="34">
        <f t="shared" si="39"/>
        <v>2.726E-2</v>
      </c>
      <c r="F778" s="19">
        <f>Solar!D778</f>
        <v>1361.69</v>
      </c>
      <c r="G778" s="32">
        <v>2.172E-2</v>
      </c>
      <c r="H778" s="33">
        <v>3.5799999999999998E-2</v>
      </c>
      <c r="I778" s="20">
        <f t="shared" si="37"/>
        <v>0.8790208289392597</v>
      </c>
      <c r="J778" s="20">
        <f t="shared" si="38"/>
        <v>-0.1490208289392575</v>
      </c>
      <c r="K778" s="20">
        <f>ENSO!I778</f>
        <v>-0.19063835393120832</v>
      </c>
      <c r="L778" s="19">
        <f>Analysis!B778</f>
        <v>2022.875</v>
      </c>
    </row>
    <row r="779" spans="1:12" ht="15" customHeight="1">
      <c r="A779" s="18" t="str">
        <f>Analysis!A779</f>
        <v>12/2022</v>
      </c>
      <c r="B779" s="19">
        <f>Analysis!E779</f>
        <v>0.79999999999999893</v>
      </c>
      <c r="C779" s="20">
        <f>Analysis!F779</f>
        <v>0.5814889844809461</v>
      </c>
      <c r="D779" s="19">
        <f>ENSO!D779</f>
        <v>-0.87</v>
      </c>
      <c r="E779" s="34">
        <f t="shared" si="39"/>
        <v>2.929E-2</v>
      </c>
      <c r="F779" s="19">
        <f>Solar!D779</f>
        <v>1361.5</v>
      </c>
      <c r="G779" s="32">
        <v>2.0449999999999999E-2</v>
      </c>
      <c r="H779" s="33">
        <v>7.9600000000000004E-2</v>
      </c>
      <c r="I779" s="20">
        <f t="shared" si="37"/>
        <v>0.88050323230634331</v>
      </c>
      <c r="J779" s="20">
        <f t="shared" si="38"/>
        <v>-8.0503232306344374E-2</v>
      </c>
      <c r="K779" s="20">
        <f>ENSO!I779</f>
        <v>-0.12720718827954391</v>
      </c>
      <c r="L779" s="19">
        <f>Analysis!B779</f>
        <v>2022.9583333333333</v>
      </c>
    </row>
    <row r="780" spans="1:12" ht="15" customHeight="1">
      <c r="A780" s="18" t="str">
        <f>Analysis!A780</f>
        <v>1/2023</v>
      </c>
      <c r="B780" s="19">
        <f>Analysis!E780</f>
        <v>0.88000000000000256</v>
      </c>
      <c r="C780" s="20">
        <f>Analysis!F780</f>
        <v>0.58317520020842994</v>
      </c>
      <c r="D780" s="19">
        <f>ENSO!D780</f>
        <v>-0.89</v>
      </c>
      <c r="E780" s="34">
        <f t="shared" si="39"/>
        <v>2.878E-2</v>
      </c>
      <c r="F780" s="19">
        <f>Solar!D780</f>
        <v>1361.7</v>
      </c>
      <c r="G780" s="32">
        <v>1.9570000000000001E-2</v>
      </c>
      <c r="H780" s="33">
        <v>0.1128</v>
      </c>
      <c r="I780" s="20">
        <f t="shared" si="37"/>
        <v>0.88436854005789567</v>
      </c>
      <c r="J780" s="20">
        <f t="shared" si="38"/>
        <v>-4.3685400578931111E-3</v>
      </c>
      <c r="K780" s="20">
        <f>ENSO!I780</f>
        <v>-5.0098123738449463E-2</v>
      </c>
      <c r="L780" s="19">
        <f>Analysis!B780</f>
        <v>2023.0416666666667</v>
      </c>
    </row>
    <row r="781" spans="1:12" ht="15" customHeight="1">
      <c r="A781" s="18" t="str">
        <f>Analysis!A781</f>
        <v>2/2023</v>
      </c>
      <c r="B781" s="19">
        <f>Analysis!E781</f>
        <v>0.96999999999999886</v>
      </c>
      <c r="C781" s="20">
        <f>Analysis!F781</f>
        <v>0.58602695427511742</v>
      </c>
      <c r="D781" s="19">
        <f>ENSO!D781</f>
        <v>-0.82</v>
      </c>
      <c r="E781" s="34">
        <f t="shared" si="39"/>
        <v>2.8219999999999999E-2</v>
      </c>
      <c r="F781" s="19">
        <f>Solar!D781</f>
        <v>1361.9</v>
      </c>
      <c r="G781" s="32">
        <v>1.916E-2</v>
      </c>
      <c r="H781" s="33">
        <v>0.1226</v>
      </c>
      <c r="I781" s="20">
        <f t="shared" si="37"/>
        <v>0.89987433625219915</v>
      </c>
      <c r="J781" s="20">
        <f t="shared" si="38"/>
        <v>7.0125663747799716E-2</v>
      </c>
      <c r="K781" s="20">
        <f>ENSO!I781</f>
        <v>2.5976045297810058E-2</v>
      </c>
      <c r="L781" s="19">
        <f>Analysis!B781</f>
        <v>2023.125</v>
      </c>
    </row>
    <row r="782" spans="1:12" ht="15" customHeight="1">
      <c r="A782" s="18" t="str">
        <f>Analysis!A782</f>
        <v>3/2023</v>
      </c>
      <c r="B782" s="19">
        <f>Analysis!E782</f>
        <v>1.2299999999999986</v>
      </c>
      <c r="C782" s="20">
        <f>Analysis!F782</f>
        <v>0.58835913742367907</v>
      </c>
      <c r="D782" s="19">
        <f>ENSO!D782</f>
        <v>-0.7</v>
      </c>
      <c r="E782" s="34">
        <f t="shared" si="39"/>
        <v>2.588E-2</v>
      </c>
      <c r="F782" s="19">
        <f>Solar!D782</f>
        <v>1362.12</v>
      </c>
      <c r="G782" s="32">
        <v>1.8919999999999999E-2</v>
      </c>
      <c r="H782" s="33">
        <v>0.1154</v>
      </c>
      <c r="I782" s="20">
        <f t="shared" si="37"/>
        <v>0.92251941906353707</v>
      </c>
      <c r="J782" s="20">
        <f t="shared" si="38"/>
        <v>0.30748058093646158</v>
      </c>
      <c r="K782" s="20">
        <f>ENSO!I782</f>
        <v>0.26912548123357471</v>
      </c>
      <c r="L782" s="19">
        <f>Analysis!B782</f>
        <v>2023.2083333333333</v>
      </c>
    </row>
    <row r="783" spans="1:12" ht="15" customHeight="1">
      <c r="A783" s="18" t="str">
        <f>Analysis!A783</f>
        <v>4/2023</v>
      </c>
      <c r="B783" s="19">
        <f>Analysis!E783</f>
        <v>0.99000000000000021</v>
      </c>
      <c r="C783" s="20">
        <f>Analysis!F783</f>
        <v>0.59642406189270203</v>
      </c>
      <c r="D783" s="19">
        <f>ENSO!D783</f>
        <v>-0.55000000000000004</v>
      </c>
      <c r="E783" s="34">
        <f t="shared" si="39"/>
        <v>2.4309999999999998E-2</v>
      </c>
      <c r="F783" s="19">
        <f>Solar!D783</f>
        <v>1362.04</v>
      </c>
      <c r="G783" s="32">
        <v>1.8620000000000001E-2</v>
      </c>
      <c r="H783" s="33">
        <v>0.12</v>
      </c>
      <c r="I783" s="20">
        <f t="shared" si="37"/>
        <v>0.96188970814803842</v>
      </c>
      <c r="J783" s="20">
        <f t="shared" si="38"/>
        <v>2.8110291851961788E-2</v>
      </c>
      <c r="K783" s="20">
        <f>ENSO!I783</f>
        <v>-6.0828876758218797E-3</v>
      </c>
      <c r="L783" s="19">
        <f>Analysis!B783</f>
        <v>2023.2916666666667</v>
      </c>
    </row>
    <row r="784" spans="1:12" ht="15" customHeight="1">
      <c r="A784" s="18" t="str">
        <f>Analysis!A784</f>
        <v>5/2023</v>
      </c>
      <c r="B784" s="19">
        <f>Analysis!E784</f>
        <v>0.93999999999999773</v>
      </c>
      <c r="C784" s="20">
        <f>Analysis!F784</f>
        <v>0.59863743761823274</v>
      </c>
      <c r="D784" s="19">
        <f>ENSO!D784</f>
        <v>-0.33</v>
      </c>
      <c r="E784" s="34">
        <f t="shared" si="39"/>
        <v>2.2939999999999999E-2</v>
      </c>
      <c r="F784" s="19">
        <f>Solar!D784</f>
        <v>1361.67</v>
      </c>
      <c r="G784" s="32">
        <v>1.7600000000000001E-2</v>
      </c>
      <c r="H784" s="33">
        <v>0.14119999999999999</v>
      </c>
      <c r="I784" s="20">
        <f t="shared" si="37"/>
        <v>0.99135591239028897</v>
      </c>
      <c r="J784" s="20">
        <f t="shared" si="38"/>
        <v>-5.1355912390291247E-2</v>
      </c>
      <c r="K784" s="20">
        <f>ENSO!I784</f>
        <v>-8.1310888957660588E-2</v>
      </c>
      <c r="L784" s="19">
        <f>Analysis!B784</f>
        <v>2023.375</v>
      </c>
    </row>
    <row r="785" spans="1:12" ht="15" customHeight="1">
      <c r="A785" s="18" t="str">
        <f>Analysis!A785</f>
        <v>6/2023</v>
      </c>
      <c r="B785" s="19">
        <f>Analysis!E785</f>
        <v>1.0899999999999999</v>
      </c>
      <c r="C785" s="20">
        <f>Analysis!F785</f>
        <v>0.59754820008752652</v>
      </c>
      <c r="D785" s="19">
        <f>ENSO!D785</f>
        <v>-0.11</v>
      </c>
      <c r="E785" s="34">
        <f t="shared" si="39"/>
        <v>2.172E-2</v>
      </c>
      <c r="F785" s="19">
        <f>Solar!D785</f>
        <v>1362.05</v>
      </c>
      <c r="G785" s="32">
        <v>1.6219999999999998E-2</v>
      </c>
      <c r="H785" s="33">
        <v>0.15559999999999999</v>
      </c>
      <c r="I785" s="20">
        <f t="shared" si="37"/>
        <v>1.0114844309283508</v>
      </c>
      <c r="J785" s="20">
        <f t="shared" si="38"/>
        <v>7.8515569071649027E-2</v>
      </c>
      <c r="K785" s="20">
        <f>ENSO!I785</f>
        <v>5.2532715114912198E-2</v>
      </c>
      <c r="L785" s="19">
        <f>Analysis!B785</f>
        <v>2023.4583333333333</v>
      </c>
    </row>
    <row r="786" spans="1:12" ht="15" customHeight="1">
      <c r="A786" s="18" t="str">
        <f>Analysis!A786</f>
        <v>7/2023</v>
      </c>
      <c r="B786" s="19">
        <f>Analysis!E786</f>
        <v>1.1899999999999977</v>
      </c>
      <c r="C786" s="20">
        <f>Analysis!F786</f>
        <v>0.59123487420164555</v>
      </c>
      <c r="D786" s="19">
        <f>ENSO!D786</f>
        <v>0.19</v>
      </c>
      <c r="E786" s="34">
        <f t="shared" si="39"/>
        <v>2.0449999999999999E-2</v>
      </c>
      <c r="F786" s="19">
        <f>Solar!D786</f>
        <v>1361.65</v>
      </c>
      <c r="G786" s="32">
        <v>1.4800000000000001E-2</v>
      </c>
      <c r="H786" s="33">
        <v>0.1734</v>
      </c>
      <c r="I786" s="20">
        <f t="shared" si="37"/>
        <v>1.0248982545443297</v>
      </c>
      <c r="J786" s="20">
        <f t="shared" si="38"/>
        <v>0.16510174545566803</v>
      </c>
      <c r="K786" s="20">
        <f>ENSO!I786</f>
        <v>0.14376280334156366</v>
      </c>
      <c r="L786" s="19">
        <f>Analysis!B786</f>
        <v>2023.5416666666667</v>
      </c>
    </row>
    <row r="787" spans="1:12" ht="15" customHeight="1">
      <c r="A787" s="18" t="str">
        <f>Analysis!A787</f>
        <v>8/2023</v>
      </c>
      <c r="B787" s="19">
        <f>Analysis!E787</f>
        <v>1.1899999999999977</v>
      </c>
      <c r="C787" s="20">
        <f>Analysis!F787</f>
        <v>0.58386288554529309</v>
      </c>
      <c r="D787" s="19">
        <f>ENSO!D787</f>
        <v>0.46</v>
      </c>
      <c r="E787" s="34">
        <f t="shared" si="39"/>
        <v>1.9570000000000001E-2</v>
      </c>
      <c r="F787" s="19">
        <f>Solar!D787</f>
        <v>1362.24</v>
      </c>
      <c r="G787" s="32">
        <v>1.3599999999999999E-2</v>
      </c>
      <c r="H787" s="33">
        <v>0.2011</v>
      </c>
      <c r="I787" s="20">
        <f t="shared" si="37"/>
        <v>1.0317826660772762</v>
      </c>
      <c r="J787" s="20">
        <f t="shared" si="38"/>
        <v>0.15821733392272153</v>
      </c>
      <c r="K787" s="20">
        <f>ENSO!I787</f>
        <v>0.14051195547968653</v>
      </c>
      <c r="L787" s="19">
        <f>Analysis!B787</f>
        <v>2023.625</v>
      </c>
    </row>
    <row r="788" spans="1:12" ht="15" customHeight="1">
      <c r="A788" s="18" t="str">
        <f>Analysis!A788</f>
        <v>9/2023</v>
      </c>
      <c r="B788" s="19">
        <f>Analysis!E788</f>
        <v>1.4800000000000022</v>
      </c>
      <c r="C788" s="20">
        <f>Analysis!F788</f>
        <v>0.57980079560537734</v>
      </c>
      <c r="D788" s="19">
        <f>ENSO!D788</f>
        <v>0.73</v>
      </c>
      <c r="E788" s="34">
        <f t="shared" si="39"/>
        <v>1.916E-2</v>
      </c>
      <c r="F788" s="19">
        <f>Solar!D788</f>
        <v>1362.19</v>
      </c>
      <c r="G788" s="32">
        <v>1.3509999999999999E-2</v>
      </c>
      <c r="H788" s="33">
        <v>0.20119999999999999</v>
      </c>
      <c r="I788" s="20">
        <f t="shared" si="37"/>
        <v>1.0466604154710866</v>
      </c>
      <c r="J788" s="20">
        <f t="shared" si="38"/>
        <v>0.43333958452891563</v>
      </c>
      <c r="K788" s="20">
        <f>ENSO!I788</f>
        <v>0.41816949058942887</v>
      </c>
      <c r="L788" s="19">
        <f>Analysis!B788</f>
        <v>2023.7083333333333</v>
      </c>
    </row>
    <row r="789" spans="1:12" ht="15" customHeight="1">
      <c r="A789" s="18" t="str">
        <f>Analysis!A789</f>
        <v>10/2023</v>
      </c>
      <c r="B789" s="19">
        <f>Analysis!E789</f>
        <v>1.3499999999999979</v>
      </c>
      <c r="C789" s="20">
        <f>Analysis!F789</f>
        <v>0.58090351006474894</v>
      </c>
      <c r="D789" s="19">
        <f>ENSO!D789</f>
        <v>1</v>
      </c>
      <c r="E789" s="34">
        <f t="shared" si="39"/>
        <v>1.8919999999999999E-2</v>
      </c>
      <c r="F789" s="19">
        <f>Solar!D789</f>
        <v>1362.38</v>
      </c>
      <c r="G789" s="32">
        <v>1.3769999999999999E-2</v>
      </c>
      <c r="H789" s="33">
        <v>0.20419999999999999</v>
      </c>
      <c r="I789" s="20">
        <f t="shared" si="37"/>
        <v>1.0752507261654802</v>
      </c>
      <c r="J789" s="20">
        <f t="shared" si="38"/>
        <v>0.27474927383451764</v>
      </c>
      <c r="K789" s="20">
        <f>ENSO!I789</f>
        <v>0.26164036089529552</v>
      </c>
      <c r="L789" s="19">
        <f>Analysis!B789</f>
        <v>2023.7916666666667</v>
      </c>
    </row>
    <row r="790" spans="1:12" ht="15" customHeight="1">
      <c r="A790" s="18" t="str">
        <f>Analysis!A790</f>
        <v>11/2023</v>
      </c>
      <c r="B790" s="19">
        <f>Analysis!E790</f>
        <v>1.3999999999999986</v>
      </c>
      <c r="C790" s="20">
        <f>Analysis!F790</f>
        <v>0.58654173063114645</v>
      </c>
      <c r="D790" s="19">
        <f>ENSO!D790</f>
        <v>1.25</v>
      </c>
      <c r="E790" s="34">
        <f t="shared" si="39"/>
        <v>1.8620000000000001E-2</v>
      </c>
      <c r="F790" s="19">
        <f>Solar!D790</f>
        <v>1362.12</v>
      </c>
      <c r="G790" s="32">
        <v>1.2930000000000001E-2</v>
      </c>
      <c r="H790" s="33">
        <v>0.2271</v>
      </c>
      <c r="I790" s="20">
        <f t="shared" si="37"/>
        <v>1.1144874144187682</v>
      </c>
      <c r="J790" s="20">
        <f t="shared" si="38"/>
        <v>0.28551258558123038</v>
      </c>
      <c r="K790" s="20">
        <f>ENSO!I790</f>
        <v>0.27439387591713871</v>
      </c>
      <c r="L790" s="19">
        <f>Analysis!B790</f>
        <v>2023.875</v>
      </c>
    </row>
    <row r="791" spans="1:12" ht="15" customHeight="1">
      <c r="A791" s="18" t="str">
        <f>Analysis!A791</f>
        <v>12/2023</v>
      </c>
      <c r="B791" s="19">
        <f>Analysis!E791</f>
        <v>1.3599999999999977</v>
      </c>
      <c r="C791" s="20">
        <f>Analysis!F791</f>
        <v>0.59133747314496576</v>
      </c>
      <c r="D791" s="19">
        <f>ENSO!D791</f>
        <v>1.5</v>
      </c>
      <c r="E791" s="34">
        <f t="shared" si="39"/>
        <v>1.7600000000000001E-2</v>
      </c>
      <c r="F791" s="19">
        <f>Solar!D791</f>
        <v>1361.97</v>
      </c>
      <c r="G791" s="32">
        <v>1.235E-2</v>
      </c>
      <c r="H791" s="33">
        <v>0.2432</v>
      </c>
      <c r="I791" s="20">
        <f t="shared" si="37"/>
        <v>1.1530105598493714</v>
      </c>
      <c r="J791" s="20">
        <f t="shared" si="38"/>
        <v>0.20698944015062626</v>
      </c>
      <c r="K791" s="20">
        <f>ENSO!I791</f>
        <v>0.1994615064044547</v>
      </c>
      <c r="L791" s="19">
        <f>Analysis!B791</f>
        <v>2023.9583333333333</v>
      </c>
    </row>
    <row r="792" spans="1:12" ht="15" customHeight="1">
      <c r="A792" s="18" t="str">
        <f>Analysis!A792</f>
        <v>1/2024</v>
      </c>
      <c r="B792" s="19">
        <f>Analysis!E792</f>
        <v>1.25</v>
      </c>
      <c r="C792" s="20">
        <f>Analysis!F792</f>
        <v>0.5945485495503543</v>
      </c>
      <c r="D792" s="19">
        <f>ENSO!D792</f>
        <v>1.74</v>
      </c>
      <c r="E792" s="34">
        <f t="shared" si="39"/>
        <v>1.6219999999999998E-2</v>
      </c>
      <c r="F792" s="18"/>
      <c r="G792" s="32">
        <v>1.175E-2</v>
      </c>
      <c r="H792" s="33">
        <v>0.2535</v>
      </c>
      <c r="I792" s="20">
        <f t="shared" si="37"/>
        <v>1.1870758225798632</v>
      </c>
      <c r="J792" s="20">
        <f t="shared" si="38"/>
        <v>6.2924177420136784E-2</v>
      </c>
      <c r="K792" s="20">
        <f>ENSO!I792</f>
        <v>5.9752269345420439E-2</v>
      </c>
      <c r="L792" s="19">
        <f>Analysis!B792</f>
        <v>2024.0416666666667</v>
      </c>
    </row>
    <row r="793" spans="1:12" ht="15" customHeight="1">
      <c r="A793" s="18" t="str">
        <f>Analysis!A793</f>
        <v>2/2024</v>
      </c>
      <c r="B793" s="19">
        <f>Analysis!E793</f>
        <v>1.4400000000000013</v>
      </c>
      <c r="C793" s="20">
        <f>Analysis!F793</f>
        <v>0.60050764534578571</v>
      </c>
      <c r="D793" s="19">
        <f>ENSO!D793</f>
        <v>1.9</v>
      </c>
      <c r="E793" s="34">
        <f t="shared" si="39"/>
        <v>1.4800000000000001E-2</v>
      </c>
      <c r="F793" s="18"/>
      <c r="G793" s="32">
        <v>1.065E-2</v>
      </c>
      <c r="H793" s="33">
        <v>0.26790000000000003</v>
      </c>
      <c r="I793" s="20">
        <f t="shared" si="37"/>
        <v>1.2213005173591085</v>
      </c>
      <c r="J793" s="20">
        <f t="shared" si="38"/>
        <v>0.21869948264089278</v>
      </c>
      <c r="K793" s="20">
        <f>ENSO!I793</f>
        <v>0.21945780481579469</v>
      </c>
      <c r="L793" s="19">
        <f>Analysis!B793</f>
        <v>2024.125</v>
      </c>
    </row>
    <row r="794" spans="1:12" ht="15" customHeight="1">
      <c r="A794" s="18" t="str">
        <f>Analysis!A794</f>
        <v>3/2024</v>
      </c>
      <c r="B794" s="19">
        <f>Analysis!E794</f>
        <v>1.3999999999999986</v>
      </c>
      <c r="C794" s="20">
        <f>Analysis!F794</f>
        <v>0.6033253768403416</v>
      </c>
      <c r="D794" s="19">
        <f>ENSO!D794</f>
        <v>1.99</v>
      </c>
      <c r="E794" s="34">
        <f t="shared" si="39"/>
        <v>1.3599999999999999E-2</v>
      </c>
      <c r="F794" s="18"/>
      <c r="G794" s="32">
        <v>9.9600000000000001E-3</v>
      </c>
      <c r="H794" s="33">
        <v>0.26860000000000001</v>
      </c>
      <c r="I794" s="20">
        <f t="shared" si="37"/>
        <v>1.2399776452617945</v>
      </c>
      <c r="J794" s="20">
        <f t="shared" si="38"/>
        <v>0.16002235473820403</v>
      </c>
      <c r="K794" s="20">
        <f>ENSO!I794</f>
        <v>0.16388467152417396</v>
      </c>
      <c r="L794" s="19">
        <f>Analysis!B794</f>
        <v>2024.2083333333333</v>
      </c>
    </row>
    <row r="795" spans="1:12" ht="15" customHeight="1">
      <c r="A795" s="18" t="str">
        <f>Analysis!A795</f>
        <v>4/2024</v>
      </c>
      <c r="B795" s="19">
        <f>Analysis!E795</f>
        <v>1.3200000000000003</v>
      </c>
      <c r="C795" s="20">
        <f>Analysis!F795</f>
        <v>0.60715274035522215</v>
      </c>
      <c r="D795" s="19">
        <f>ENSO!D795</f>
        <v>1.84</v>
      </c>
      <c r="E795" s="34">
        <f t="shared" si="39"/>
        <v>1.3509999999999999E-2</v>
      </c>
      <c r="F795" s="18"/>
      <c r="G795" s="32">
        <v>9.6799999999999994E-3</v>
      </c>
      <c r="H795" s="33">
        <v>0.2606</v>
      </c>
      <c r="I795" s="20">
        <f t="shared" si="37"/>
        <v>1.2366952749338387</v>
      </c>
      <c r="J795" s="20">
        <f t="shared" si="38"/>
        <v>8.33047250661616E-2</v>
      </c>
      <c r="K795" s="20">
        <f>ENSO!I795</f>
        <v>8.6427349666664099E-2</v>
      </c>
      <c r="L795" s="19">
        <f>Analysis!B795</f>
        <v>2024.2916666666667</v>
      </c>
    </row>
    <row r="796" spans="1:12" ht="15" customHeight="1">
      <c r="A796" s="18" t="str">
        <f>Analysis!A796</f>
        <v>5/2024</v>
      </c>
      <c r="B796" s="19">
        <f>Analysis!E796</f>
        <v>1.1600000000000001</v>
      </c>
      <c r="C796" s="20">
        <f>Analysis!F796</f>
        <v>0.60847133541530962</v>
      </c>
      <c r="D796" s="19">
        <f>ENSO!D796</f>
        <v>1.53</v>
      </c>
      <c r="E796" s="34">
        <f t="shared" si="39"/>
        <v>1.3769999999999999E-2</v>
      </c>
      <c r="F796" s="18"/>
      <c r="G796" s="32">
        <v>1.523E-2</v>
      </c>
      <c r="H796" s="33">
        <v>0.1313</v>
      </c>
      <c r="I796" s="20">
        <f t="shared" si="37"/>
        <v>1.210953098818967</v>
      </c>
      <c r="J796" s="20">
        <f t="shared" si="38"/>
        <v>-5.0953098818966813E-2</v>
      </c>
      <c r="K796" s="20">
        <f>ENSO!I796</f>
        <v>-5.0212853492944465E-2</v>
      </c>
      <c r="L796" s="19">
        <f>Analysis!B796</f>
        <v>2024.375</v>
      </c>
    </row>
    <row r="797" spans="1:12" ht="15" customHeight="1">
      <c r="A797" s="18" t="str">
        <f>Analysis!A797</f>
        <v>6/2024</v>
      </c>
      <c r="B797" s="19">
        <f>Analysis!E797</f>
        <v>1.2299999999999986</v>
      </c>
      <c r="C797" s="20">
        <f>Analysis!F797</f>
        <v>0.60850512970305437</v>
      </c>
      <c r="D797" s="19">
        <f>ENSO!D797</f>
        <v>1.18</v>
      </c>
      <c r="E797" s="34">
        <f t="shared" si="39"/>
        <v>1.2930000000000001E-2</v>
      </c>
      <c r="F797" s="18"/>
      <c r="G797" s="32">
        <v>1.8540000000000001E-2</v>
      </c>
      <c r="H797" s="33">
        <v>7.4700000000000003E-2</v>
      </c>
      <c r="I797" s="20">
        <f t="shared" si="37"/>
        <v>1.1804153106817477</v>
      </c>
      <c r="J797" s="20">
        <f t="shared" si="38"/>
        <v>4.9584689318250996E-2</v>
      </c>
      <c r="K797" s="20">
        <f>ENSO!I797</f>
        <v>5.0157539949159835E-2</v>
      </c>
      <c r="L797" s="19">
        <f>Analysis!B797</f>
        <v>2024.4583333333333</v>
      </c>
    </row>
    <row r="798" spans="1:12" ht="15" customHeight="1">
      <c r="A798" s="18" t="str">
        <f>Analysis!A798</f>
        <v>7/2024</v>
      </c>
      <c r="B798" s="19">
        <f>Analysis!E798</f>
        <v>1.2000000000000011</v>
      </c>
      <c r="C798" s="20">
        <f>Analysis!F798</f>
        <v>0.60390182416318638</v>
      </c>
      <c r="D798" s="19">
        <f>ENSO!D798</f>
        <v>0.77</v>
      </c>
      <c r="E798" s="34">
        <f t="shared" si="39"/>
        <v>1.235E-2</v>
      </c>
      <c r="F798" s="18"/>
      <c r="G798" s="32">
        <v>1.687E-2</v>
      </c>
      <c r="H798" s="33">
        <v>0.1036</v>
      </c>
      <c r="I798" s="20">
        <f t="shared" si="37"/>
        <v>1.1310903839482898</v>
      </c>
      <c r="J798" s="20">
        <f t="shared" si="38"/>
        <v>6.8909616051711309E-2</v>
      </c>
      <c r="K798" s="20">
        <f>ENSO!I798</f>
        <v>6.848736750633222E-2</v>
      </c>
      <c r="L798" s="19">
        <f>Analysis!B798</f>
        <v>2024.5416666666667</v>
      </c>
    </row>
    <row r="799" spans="1:12" ht="15" customHeight="1">
      <c r="A799" s="18" t="str">
        <f>Analysis!A799</f>
        <v>8/2024</v>
      </c>
      <c r="B799" s="19">
        <f>Analysis!E799</f>
        <v>1.3000000000000043</v>
      </c>
      <c r="C799" s="20">
        <f>Analysis!F799</f>
        <v>0.5951967295060876</v>
      </c>
      <c r="D799" s="19">
        <f>ENSO!D799</f>
        <v>0.43</v>
      </c>
      <c r="E799" s="34">
        <f t="shared" si="39"/>
        <v>1.175E-2</v>
      </c>
      <c r="F799" s="18"/>
      <c r="G799" s="32">
        <v>1.6629999999999999E-2</v>
      </c>
      <c r="H799" s="33">
        <v>0.10059999999999999</v>
      </c>
      <c r="I799" s="20">
        <f t="shared" si="37"/>
        <v>1.0771177895562558</v>
      </c>
      <c r="J799" s="20">
        <f t="shared" si="38"/>
        <v>0.22288221044374845</v>
      </c>
      <c r="K799" s="20">
        <f>ENSO!I799</f>
        <v>0.22199132969828694</v>
      </c>
      <c r="L799" s="19">
        <f>Analysis!B799</f>
        <v>2024.625</v>
      </c>
    </row>
    <row r="800" spans="1:12" ht="15" customHeight="1">
      <c r="A800" s="18" t="str">
        <f>Analysis!A800</f>
        <v>9/2024</v>
      </c>
      <c r="B800" s="19">
        <f>Analysis!E800</f>
        <v>1.2099999999999991</v>
      </c>
      <c r="C800" s="20">
        <f>Analysis!F800</f>
        <v>0.59191872937568002</v>
      </c>
      <c r="D800" s="19">
        <f>ENSO!D800</f>
        <v>0.18</v>
      </c>
      <c r="E800" s="34">
        <f t="shared" si="39"/>
        <v>1.065E-2</v>
      </c>
      <c r="F800" s="18"/>
      <c r="G800" s="32">
        <v>1.5630000000000002E-2</v>
      </c>
      <c r="H800" s="33">
        <v>0.11940000000000001</v>
      </c>
      <c r="I800" s="20">
        <f t="shared" si="37"/>
        <v>1.047398920754719</v>
      </c>
      <c r="J800" s="20">
        <f t="shared" si="38"/>
        <v>0.16260107924528011</v>
      </c>
      <c r="K800" s="20">
        <f>ENSO!I800</f>
        <v>0.16275477028597862</v>
      </c>
      <c r="L800" s="19">
        <f>Analysis!B800</f>
        <v>2024.7083333333333</v>
      </c>
    </row>
    <row r="801" spans="1:12" ht="15" customHeight="1">
      <c r="A801" s="18" t="str">
        <f>Analysis!A801</f>
        <v>10/2024</v>
      </c>
      <c r="B801" s="19">
        <f>Analysis!E801</f>
        <v>1.3499999999999979</v>
      </c>
      <c r="C801" s="20">
        <f>Analysis!F801</f>
        <v>0.59311469648461523</v>
      </c>
      <c r="D801" s="19">
        <f>ENSO!D801</f>
        <v>0.06</v>
      </c>
      <c r="E801" s="34">
        <f t="shared" si="39"/>
        <v>9.9600000000000001E-3</v>
      </c>
      <c r="F801" s="18"/>
      <c r="G801" s="32">
        <v>1.5779999999999999E-2</v>
      </c>
      <c r="H801" s="33">
        <v>0.1193</v>
      </c>
      <c r="I801" s="20">
        <f t="shared" si="37"/>
        <v>1.0410436735864292</v>
      </c>
      <c r="J801" s="20">
        <f t="shared" si="38"/>
        <v>0.30895632641356863</v>
      </c>
      <c r="K801" s="20">
        <f>ENSO!I801</f>
        <v>0.30991422483061681</v>
      </c>
      <c r="L801" s="19">
        <f>Analysis!B801</f>
        <v>2024.7916666666667</v>
      </c>
    </row>
    <row r="802" spans="1:12" ht="15" customHeight="1">
      <c r="A802" s="18" t="str">
        <f>Analysis!A802</f>
        <v>11/2024</v>
      </c>
      <c r="B802" s="19">
        <f>Analysis!E802</f>
        <v>1.3000000000000043</v>
      </c>
      <c r="C802" s="20">
        <f>Analysis!F802</f>
        <v>0.59812695991960418</v>
      </c>
      <c r="D802" s="19">
        <f>ENSO!D802</f>
        <v>-0.04</v>
      </c>
      <c r="E802" s="34">
        <f t="shared" si="39"/>
        <v>9.6799999999999994E-3</v>
      </c>
      <c r="F802" s="18"/>
      <c r="G802" s="32">
        <v>1.6060000000000001E-2</v>
      </c>
      <c r="H802" s="33">
        <v>0.1196</v>
      </c>
      <c r="I802" s="20">
        <f t="shared" si="37"/>
        <v>1.0460508476711659</v>
      </c>
      <c r="J802" s="20">
        <f t="shared" si="38"/>
        <v>0.25394915232883841</v>
      </c>
      <c r="K802" s="20">
        <f>ENSO!I802</f>
        <v>0.25485033594811157</v>
      </c>
      <c r="L802" s="19">
        <f>Analysis!B802</f>
        <v>2024.875</v>
      </c>
    </row>
    <row r="803" spans="1:12" ht="15" customHeight="1">
      <c r="A803" s="18" t="str">
        <f>Analysis!A803</f>
        <v>12/2024</v>
      </c>
      <c r="B803" s="19">
        <f>Analysis!E803</f>
        <v>1.2700000000000014</v>
      </c>
      <c r="C803" s="20">
        <f>Analysis!F803</f>
        <v>0.60339320612834335</v>
      </c>
      <c r="D803" s="19">
        <f>ENSO!D803</f>
        <v>-0.12</v>
      </c>
      <c r="E803" s="34">
        <f t="shared" si="39"/>
        <v>1.523E-2</v>
      </c>
      <c r="F803" s="18"/>
      <c r="G803" s="32">
        <v>1.601E-2</v>
      </c>
      <c r="H803" s="33">
        <v>0.17699999999999999</v>
      </c>
      <c r="I803" s="20">
        <f t="shared" si="37"/>
        <v>1.0407785876300455</v>
      </c>
      <c r="J803" s="20">
        <f t="shared" si="38"/>
        <v>0.22922141236995586</v>
      </c>
      <c r="K803" s="20">
        <f>ENSO!I803</f>
        <v>0.21734805276445357</v>
      </c>
      <c r="L803" s="19">
        <f>Analysis!B803</f>
        <v>2024.9583333333333</v>
      </c>
    </row>
    <row r="804" spans="1:12" ht="15" customHeight="1">
      <c r="A804" s="18" t="str">
        <f>Analysis!A804</f>
        <v>1/2025</v>
      </c>
      <c r="B804" s="19">
        <f>Analysis!E804</f>
        <v>1.379999999999999</v>
      </c>
      <c r="C804" s="20">
        <f>Analysis!F804</f>
        <v>0.60762622084548734</v>
      </c>
      <c r="D804" s="19">
        <f>ENSO!D804</f>
        <v>-0.19</v>
      </c>
      <c r="E804" s="34">
        <f t="shared" si="39"/>
        <v>1.8540000000000001E-2</v>
      </c>
      <c r="F804" s="18"/>
      <c r="G804" s="32">
        <v>1.532E-2</v>
      </c>
      <c r="H804" s="33">
        <v>0.16589999999999999</v>
      </c>
      <c r="I804" s="20">
        <f t="shared" si="37"/>
        <v>1.0385450044780156</v>
      </c>
      <c r="J804" s="20">
        <f t="shared" si="38"/>
        <v>0.34145499552198344</v>
      </c>
      <c r="K804" s="20">
        <f>ENSO!I804</f>
        <v>0.32181346815795164</v>
      </c>
      <c r="L804" s="19">
        <f>Analysis!B804</f>
        <v>2025.0416666666667</v>
      </c>
    </row>
    <row r="805" spans="1:12" ht="15" customHeight="1">
      <c r="A805" s="18" t="str">
        <f>Analysis!A805</f>
        <v>2/2025</v>
      </c>
      <c r="B805" s="19">
        <f>Analysis!E805</f>
        <v>1.2600000000000033</v>
      </c>
      <c r="C805" s="20">
        <f>Analysis!F805</f>
        <v>0.60911329155599458</v>
      </c>
      <c r="D805" s="19">
        <f>ENSO!D805</f>
        <v>-0.28999999999999998</v>
      </c>
      <c r="E805" s="34">
        <f t="shared" si="39"/>
        <v>1.687E-2</v>
      </c>
      <c r="F805" s="18"/>
      <c r="G805" s="32">
        <v>1.4789999999999999E-2</v>
      </c>
      <c r="H805" s="33">
        <v>0.1517</v>
      </c>
      <c r="I805" s="20">
        <f t="shared" si="37"/>
        <v>1.0369959663240687</v>
      </c>
      <c r="J805" s="20">
        <f t="shared" si="38"/>
        <v>0.22300403367593469</v>
      </c>
      <c r="K805" s="20">
        <f>ENSO!I805</f>
        <v>0.20643256505476137</v>
      </c>
      <c r="L805" s="19">
        <f>Analysis!B805</f>
        <v>2025.125</v>
      </c>
    </row>
    <row r="806" spans="1:12" ht="15" customHeight="1">
      <c r="A806" s="18" t="str">
        <f>Analysis!A806</f>
        <v>3/2025</v>
      </c>
      <c r="B806" s="19">
        <f>Analysis!E806</f>
        <v>1.370000000000001</v>
      </c>
      <c r="C806" s="20">
        <f>Analysis!F806</f>
        <v>0.61268949829656494</v>
      </c>
      <c r="D806" s="19">
        <f>ENSO!D806</f>
        <v>-0.43</v>
      </c>
      <c r="E806" s="34">
        <f t="shared" si="39"/>
        <v>1.6629999999999999E-2</v>
      </c>
      <c r="F806" s="18"/>
      <c r="G806" s="32">
        <v>1.422E-2</v>
      </c>
      <c r="H806" s="33">
        <v>0.1177</v>
      </c>
      <c r="I806" s="20">
        <f t="shared" si="37"/>
        <v>1.0342865875032188</v>
      </c>
      <c r="J806" s="20">
        <f t="shared" si="38"/>
        <v>0.33571341249678222</v>
      </c>
      <c r="K806" s="20">
        <f>ENSO!I806</f>
        <v>0.31879474195734225</v>
      </c>
      <c r="L806" s="19">
        <f>Analysis!B806</f>
        <v>2025.2083333333333</v>
      </c>
    </row>
    <row r="807" spans="1:12" ht="15" customHeight="1">
      <c r="A807" s="18" t="str">
        <f>Analysis!A807</f>
        <v>4/2025</v>
      </c>
      <c r="B807" s="19">
        <f>Analysis!E807</f>
        <v>1.25</v>
      </c>
      <c r="C807" s="20">
        <f>Analysis!F807</f>
        <v>0.61770148904698363</v>
      </c>
      <c r="D807" s="19">
        <f>ENSO!D807</f>
        <v>-0.46</v>
      </c>
      <c r="E807" s="34">
        <f t="shared" si="39"/>
        <v>1.5630000000000002E-2</v>
      </c>
      <c r="F807" s="18"/>
      <c r="G807" s="32">
        <v>1.404E-2</v>
      </c>
      <c r="H807" s="33">
        <v>0.1472</v>
      </c>
      <c r="I807" s="20">
        <f t="shared" si="37"/>
        <v>1.0473729225709054</v>
      </c>
      <c r="J807" s="20">
        <f t="shared" si="38"/>
        <v>0.20262707742909458</v>
      </c>
      <c r="K807" s="20">
        <f>ENSO!I807</f>
        <v>0.18763895819148724</v>
      </c>
      <c r="L807" s="19">
        <f>Analysis!B807</f>
        <v>2025.2916666666667</v>
      </c>
    </row>
    <row r="808" spans="1:12" ht="15" customHeight="1">
      <c r="A808" s="18" t="str">
        <f>Analysis!A808</f>
        <v>5/2025</v>
      </c>
      <c r="B808" s="19">
        <f>Analysis!E808</f>
        <v>1.0800000000000036</v>
      </c>
      <c r="C808" s="20">
        <f>Analysis!F808</f>
        <v>0.62061992214258854</v>
      </c>
      <c r="D808" s="19">
        <f>ENSO!D808</f>
        <v>-0.22</v>
      </c>
      <c r="E808" s="34">
        <f t="shared" si="39"/>
        <v>1.5779999999999999E-2</v>
      </c>
      <c r="F808" s="18"/>
      <c r="G808" s="32">
        <v>1.328E-2</v>
      </c>
      <c r="H808" s="33">
        <v>0.16500000000000001</v>
      </c>
      <c r="I808" s="20">
        <f t="shared" si="37"/>
        <v>1.0772734834196871</v>
      </c>
      <c r="J808" s="20">
        <f t="shared" si="38"/>
        <v>2.7265165803165292E-3</v>
      </c>
      <c r="K808" s="20">
        <f>ENSO!I808</f>
        <v>-1.1266447352925812E-2</v>
      </c>
      <c r="L808" s="19">
        <f>Analysis!B808</f>
        <v>2025.375</v>
      </c>
    </row>
    <row r="809" spans="1:12" ht="15" customHeight="1">
      <c r="A809" s="18" t="str">
        <f>Analysis!A809</f>
        <v>6/2025</v>
      </c>
      <c r="B809" s="19">
        <f>Analysis!E809</f>
        <v>1.0700000000000021</v>
      </c>
      <c r="C809" s="20">
        <f>Analysis!F809</f>
        <v>0.61760074804903375</v>
      </c>
      <c r="D809" s="19">
        <f>ENSO!D809</f>
        <v>-0.08</v>
      </c>
      <c r="E809" s="34">
        <f t="shared" si="39"/>
        <v>1.6060000000000001E-2</v>
      </c>
      <c r="F809" s="18"/>
      <c r="G809" s="32">
        <v>1.4590000000000001E-2</v>
      </c>
      <c r="H809" s="33">
        <v>0.13750000000000001</v>
      </c>
      <c r="I809" s="20">
        <f t="shared" si="37"/>
        <v>1.0814141134079038</v>
      </c>
      <c r="J809" s="20">
        <f t="shared" si="38"/>
        <v>-1.1414113407901771E-2</v>
      </c>
      <c r="K809" s="20">
        <f>ENSO!I809</f>
        <v>-2.5158679381917848E-2</v>
      </c>
      <c r="L809" s="19">
        <f>Analysis!B809</f>
        <v>2025.4583333333333</v>
      </c>
    </row>
    <row r="810" spans="1:12" ht="15" customHeight="1">
      <c r="A810" s="18" t="str">
        <f>Analysis!A810</f>
        <v>7/2025</v>
      </c>
      <c r="B810" s="19">
        <f>Analysis!E810</f>
        <v>1.0200000000000014</v>
      </c>
      <c r="C810" s="20">
        <f>Analysis!F810</f>
        <v>0.61174570112861226</v>
      </c>
      <c r="D810" s="19">
        <f>ENSO!D810</f>
        <v>0.02</v>
      </c>
      <c r="E810" s="34">
        <f t="shared" si="39"/>
        <v>1.601E-2</v>
      </c>
      <c r="F810" s="18"/>
      <c r="G810" s="32">
        <v>1.387E-2</v>
      </c>
      <c r="H810" s="33">
        <v>0.1368</v>
      </c>
      <c r="I810" s="20">
        <f t="shared" si="37"/>
        <v>1.0748344260768692</v>
      </c>
      <c r="J810" s="20">
        <f t="shared" si="38"/>
        <v>-5.4834426076867837E-2</v>
      </c>
      <c r="K810" s="20">
        <f>ENSO!I810</f>
        <v>-6.777983607214666E-2</v>
      </c>
      <c r="L810" s="19">
        <f>Analysis!B810</f>
        <v>2025.5416666666667</v>
      </c>
    </row>
    <row r="811" spans="1:12" ht="15" customHeight="1">
      <c r="A811" s="18" t="str">
        <f>Analysis!A811</f>
        <v>8/2025</v>
      </c>
      <c r="B811" s="19">
        <f>Analysis!E811</f>
        <v>1.1799999999999997</v>
      </c>
      <c r="C811" s="20">
        <f>Analysis!F811</f>
        <v>0.60366449139444733</v>
      </c>
      <c r="D811" s="19">
        <f>ENSO!D811</f>
        <v>-0.04</v>
      </c>
      <c r="E811" s="34">
        <f t="shared" si="39"/>
        <v>1.532E-2</v>
      </c>
      <c r="F811" s="18"/>
      <c r="G811" s="32">
        <v>1.291E-2</v>
      </c>
      <c r="H811" s="33">
        <v>0.15809999999999999</v>
      </c>
      <c r="I811" s="20">
        <f t="shared" si="37"/>
        <v>1.0487440676272608</v>
      </c>
      <c r="J811" s="20">
        <f t="shared" si="38"/>
        <v>0.13125593237273891</v>
      </c>
      <c r="K811" s="20">
        <f>ENSO!I811</f>
        <v>0.11963986585067166</v>
      </c>
      <c r="L811" s="19">
        <f>Analysis!B811</f>
        <v>2025.625</v>
      </c>
    </row>
    <row r="812" spans="1:12" ht="15" customHeight="1">
      <c r="A812" s="18" t="str">
        <f>Analysis!A812</f>
        <v>9/2025</v>
      </c>
      <c r="B812" s="19">
        <f>Analysis!E812</f>
        <v>1.25</v>
      </c>
      <c r="C812" s="20">
        <f>Analysis!F812</f>
        <v>0.59989584420727626</v>
      </c>
      <c r="D812" s="19">
        <f>ENSO!D812</f>
        <v>-0.02</v>
      </c>
      <c r="E812" s="34">
        <f t="shared" si="39"/>
        <v>1.4789999999999999E-2</v>
      </c>
      <c r="F812" s="18"/>
      <c r="G812" s="32">
        <v>1.2019999999999999E-2</v>
      </c>
      <c r="H812" s="33">
        <v>0.17380000000000001</v>
      </c>
      <c r="I812" s="20">
        <f t="shared" si="37"/>
        <v>1.0414874487611014</v>
      </c>
      <c r="J812" s="20">
        <f t="shared" si="38"/>
        <v>0.20851255123889856</v>
      </c>
      <c r="K812" s="20">
        <f>ENSO!I812</f>
        <v>0.19825081601133543</v>
      </c>
      <c r="L812" s="19">
        <f>Analysis!B812</f>
        <v>2025.7083333333333</v>
      </c>
    </row>
    <row r="813" spans="1:12" ht="15" customHeight="1">
      <c r="A813" s="18" t="str">
        <f>Analysis!A813</f>
        <v>10/2025</v>
      </c>
      <c r="B813" s="19">
        <f>Analysis!E813</f>
        <v>1.1899999999999977</v>
      </c>
      <c r="C813" s="20">
        <f>Analysis!F813</f>
        <v>0.60159465162047843</v>
      </c>
      <c r="D813" s="19">
        <f>ENSO!D813</f>
        <v>-0.11</v>
      </c>
      <c r="E813" s="34">
        <f t="shared" si="39"/>
        <v>1.422E-2</v>
      </c>
      <c r="F813" s="18"/>
      <c r="G813" s="32">
        <v>1.1639999999999999E-2</v>
      </c>
      <c r="H813" s="33">
        <v>0.18279999999999999</v>
      </c>
      <c r="I813" s="20">
        <f t="shared" si="37"/>
        <v>1.0390234694485343</v>
      </c>
      <c r="J813" s="20">
        <f t="shared" si="38"/>
        <v>0.15097653055146343</v>
      </c>
      <c r="K813" s="20">
        <f>ENSO!I813</f>
        <v>0.14141793765092658</v>
      </c>
      <c r="L813" s="19">
        <f>Analysis!B813</f>
        <v>2025.7916666666667</v>
      </c>
    </row>
    <row r="814" spans="1:12" ht="15" customHeight="1">
      <c r="A814" s="18" t="str">
        <f>Analysis!A814</f>
        <v>11/2025</v>
      </c>
      <c r="B814" s="19">
        <f>Analysis!E814</f>
        <v>1.2099999999999991</v>
      </c>
      <c r="C814" s="20">
        <f>Analysis!F814</f>
        <v>0.60698360251420269</v>
      </c>
      <c r="D814" s="19">
        <f>ENSO!D814</f>
        <v>-0.26</v>
      </c>
      <c r="E814" s="34">
        <f t="shared" si="39"/>
        <v>1.404E-2</v>
      </c>
      <c r="F814" s="18"/>
      <c r="G814" s="32">
        <v>1.159E-2</v>
      </c>
      <c r="H814" s="33">
        <v>0.1734</v>
      </c>
      <c r="I814" s="20">
        <f t="shared" si="37"/>
        <v>1.0401982446540483</v>
      </c>
      <c r="J814" s="20">
        <f t="shared" si="38"/>
        <v>0.16980175534595077</v>
      </c>
      <c r="K814" s="20">
        <f>ENSO!I814</f>
        <v>0.15967125360408274</v>
      </c>
      <c r="L814" s="19">
        <f>Analysis!B814</f>
        <v>2025.875</v>
      </c>
    </row>
    <row r="815" spans="1:12" ht="15" customHeight="1">
      <c r="A815" s="18" t="str">
        <f>Analysis!A815</f>
        <v>12/2025</v>
      </c>
      <c r="B815" s="19">
        <f>Analysis!E815</f>
        <v>1.0600000000000023</v>
      </c>
      <c r="C815" s="20">
        <f>Analysis!F815</f>
        <v>0.61046384518116448</v>
      </c>
      <c r="D815" s="19">
        <f>ENSO!D815</f>
        <v>-0.43</v>
      </c>
      <c r="E815" s="34">
        <f t="shared" si="39"/>
        <v>1.328E-2</v>
      </c>
      <c r="F815" s="18"/>
      <c r="G815" s="32">
        <v>1.102E-2</v>
      </c>
      <c r="H815" s="33">
        <v>0.17730000000000001</v>
      </c>
      <c r="I815" s="20">
        <f t="shared" si="37"/>
        <v>1.0355874636395579</v>
      </c>
      <c r="J815" s="20">
        <f t="shared" si="38"/>
        <v>2.4412536360444381E-2</v>
      </c>
      <c r="K815" s="20">
        <f>ENSO!I815</f>
        <v>1.4908157350620677E-2</v>
      </c>
      <c r="L815" s="19">
        <f>Analysis!B815</f>
        <v>2025.9583333333333</v>
      </c>
    </row>
    <row r="816" spans="1:12" ht="15" customHeight="1">
      <c r="A816" s="18" t="str">
        <f>Analysis!A816</f>
        <v>1/2026</v>
      </c>
      <c r="B816" s="19">
        <f>Analysis!E816</f>
        <v>1.0899999999999999</v>
      </c>
      <c r="C816" s="20">
        <f>Analysis!F816</f>
        <v>0.61427234255403185</v>
      </c>
      <c r="D816" s="19">
        <f>ENSO!D816</f>
        <v>-0.56999999999999995</v>
      </c>
      <c r="E816" s="34">
        <f t="shared" si="39"/>
        <v>1.4590000000000001E-2</v>
      </c>
      <c r="F816" s="18"/>
      <c r="I816" s="20">
        <f t="shared" si="37"/>
        <v>1.0301010943108466</v>
      </c>
      <c r="J816" s="20">
        <f t="shared" si="38"/>
        <v>5.9898905689153237E-2</v>
      </c>
      <c r="K816" s="20">
        <f>ENSO!I816</f>
        <v>4.66322792403282E-2</v>
      </c>
      <c r="L816" s="19">
        <f>Analysis!B816</f>
        <v>2026.0416666666667</v>
      </c>
    </row>
    <row r="817" spans="1:12" ht="15" customHeight="1">
      <c r="A817" s="18" t="str">
        <f>Analysis!A817</f>
        <v>2/2026</v>
      </c>
      <c r="B817" s="19">
        <f>Analysis!E817</f>
        <v>1.25</v>
      </c>
      <c r="C817" s="20">
        <f>Analysis!F817</f>
        <v>0.61672736460373478</v>
      </c>
      <c r="D817" s="19">
        <f>ENSO!D817</f>
        <v>-0.61</v>
      </c>
      <c r="E817" s="34">
        <f t="shared" si="39"/>
        <v>1.387E-2</v>
      </c>
      <c r="F817" s="18"/>
      <c r="I817" s="20">
        <f t="shared" si="37"/>
        <v>1.0346694379840524</v>
      </c>
      <c r="J817" s="20">
        <f t="shared" si="38"/>
        <v>0.21533056201594758</v>
      </c>
      <c r="K817" s="20">
        <f>ENSO!I817</f>
        <v>0.20337034493854222</v>
      </c>
      <c r="L817" s="19">
        <f>Analysis!B817</f>
        <v>2026.125</v>
      </c>
    </row>
    <row r="818" spans="1:12" ht="15" customHeight="1">
      <c r="A818" s="18" t="str">
        <f>Analysis!A818</f>
        <v>3/2026</v>
      </c>
      <c r="B818" s="19">
        <f>Analysis!E818</f>
        <v>1.3200000000000003</v>
      </c>
      <c r="C818" s="20">
        <f>Analysis!F818</f>
        <v>0.61941301059793685</v>
      </c>
      <c r="D818" s="19">
        <f>ENSO!D818</f>
        <v>-0.6</v>
      </c>
      <c r="E818" s="34">
        <f t="shared" si="39"/>
        <v>1.291E-2</v>
      </c>
      <c r="F818" s="18"/>
      <c r="I818" s="20">
        <f t="shared" si="37"/>
        <v>1.0450346266900661</v>
      </c>
      <c r="J818" s="20">
        <f t="shared" si="38"/>
        <v>0.2749653733099342</v>
      </c>
      <c r="K818" s="20">
        <f>ENSO!I818</f>
        <v>0.26512304518102092</v>
      </c>
      <c r="L818" s="19">
        <f>Analysis!B818</f>
        <v>2026.2083333333333</v>
      </c>
    </row>
    <row r="819" spans="1:12" ht="15" customHeight="1">
      <c r="A819" s="18" t="str">
        <f>Analysis!A819</f>
        <v>4/2026</v>
      </c>
      <c r="B819" s="19">
        <f>Analysis!E819</f>
        <v>1.1699999999999964</v>
      </c>
      <c r="C819" s="20">
        <f>Analysis!F819</f>
        <v>0.6226626646700556</v>
      </c>
      <c r="D819" s="19">
        <f>ENSO!D819</f>
        <v>-0.39</v>
      </c>
      <c r="E819" s="34">
        <f t="shared" si="39"/>
        <v>1.2019999999999999E-2</v>
      </c>
      <c r="F819" s="18"/>
      <c r="I819" s="20">
        <f t="shared" si="37"/>
        <v>1.0753430840772848</v>
      </c>
      <c r="J819" s="20">
        <f t="shared" si="38"/>
        <v>9.4656915922711526E-2</v>
      </c>
      <c r="K819" s="20">
        <f>ENSO!I819</f>
        <v>8.7918976232482349E-2</v>
      </c>
      <c r="L819" s="19">
        <f>Analysis!B819</f>
        <v>2026.2916666666667</v>
      </c>
    </row>
    <row r="820" spans="1:12" ht="15" customHeight="1">
      <c r="A820" s="18" t="str">
        <f>Analysis!A820</f>
        <v>5/2026</v>
      </c>
      <c r="B820" s="19">
        <f>Analysis!E820</f>
        <v>1.1299999999999955</v>
      </c>
      <c r="C820" s="20">
        <f>Analysis!F820</f>
        <v>0.62673949306079169</v>
      </c>
      <c r="D820" s="19">
        <f>ENSO!D820</f>
        <v>-0.21</v>
      </c>
      <c r="E820" s="34">
        <f t="shared" si="39"/>
        <v>1.1639999999999999E-2</v>
      </c>
      <c r="F820" s="18"/>
      <c r="I820" s="20">
        <f t="shared" si="37"/>
        <v>1.1040015679933757</v>
      </c>
      <c r="J820" s="20">
        <f t="shared" si="38"/>
        <v>2.5998432006619776E-2</v>
      </c>
      <c r="K820" s="20">
        <f>ENSO!I820</f>
        <v>2.1053961152577294E-2</v>
      </c>
      <c r="L820" s="19">
        <f>Analysis!B820</f>
        <v>2026.375</v>
      </c>
    </row>
    <row r="821" spans="1:12" ht="15" customHeight="1">
      <c r="A821" s="18" t="str">
        <f>Analysis!A821</f>
        <v>6/2026</v>
      </c>
      <c r="B821" s="19">
        <f>Analysis!E821</f>
        <v>1.1799999999999997</v>
      </c>
      <c r="C821" s="20">
        <f>Analysis!F821</f>
        <v>0.6236996723378585</v>
      </c>
      <c r="D821" s="19">
        <f>ENSO!D821</f>
        <v>0.11</v>
      </c>
      <c r="E821" s="34">
        <f t="shared" si="39"/>
        <v>1.159E-2</v>
      </c>
      <c r="F821" s="18"/>
      <c r="I821" s="20">
        <f t="shared" si="37"/>
        <v>1.1255151048728973</v>
      </c>
      <c r="J821" s="20">
        <f t="shared" si="38"/>
        <v>5.4484895127102417E-2</v>
      </c>
      <c r="K821" s="20">
        <f>ENSO!I821</f>
        <v>5.1551642625417005E-2</v>
      </c>
      <c r="L821" s="19">
        <f>Analysis!B821</f>
        <v>2026.4583333333333</v>
      </c>
    </row>
    <row r="822" spans="1:12" ht="15" customHeight="1">
      <c r="A822" s="18" t="str">
        <f>Analysis!A822</f>
        <v>7/2026</v>
      </c>
      <c r="B822" s="19">
        <f>Analysis!E822</f>
        <v>1.25</v>
      </c>
      <c r="C822" s="20">
        <f>Analysis!F822</f>
        <v>0.61598793464393697</v>
      </c>
      <c r="D822" s="19">
        <f>ENSO!D822</f>
        <v>0.46</v>
      </c>
      <c r="E822" s="34">
        <f t="shared" si="39"/>
        <v>1.102E-2</v>
      </c>
      <c r="F822" s="18"/>
      <c r="I822" s="20">
        <f t="shared" si="37"/>
        <v>1.1382143681343375</v>
      </c>
      <c r="J822" s="20">
        <f t="shared" si="38"/>
        <v>0.11178563186566248</v>
      </c>
      <c r="K822" s="20">
        <f>ENSO!I822</f>
        <v>0.11227099451839528</v>
      </c>
      <c r="L822" s="19">
        <f>Analysis!B822</f>
        <v>2026.5416666666667</v>
      </c>
    </row>
    <row r="823" spans="1:12" ht="15" customHeight="1">
      <c r="A823" s="18" t="str">
        <f>Analysis!A823</f>
        <v>8/2026</v>
      </c>
      <c r="B823" s="19">
        <f>Analysis!E823</f>
        <v>1.3999999999999986</v>
      </c>
      <c r="C823" s="20">
        <f>Analysis!F823</f>
        <v>0.61066631922353776</v>
      </c>
      <c r="D823" s="19">
        <f>ENSO!D823</f>
        <v>0.95</v>
      </c>
      <c r="E823" s="34" t="str">
        <f t="shared" si="39"/>
        <v/>
      </c>
      <c r="F823" s="18"/>
      <c r="I823" s="20" t="str">
        <f t="shared" si="37"/>
        <v/>
      </c>
      <c r="J823" s="20" t="str">
        <f t="shared" si="38"/>
        <v/>
      </c>
      <c r="K823" s="20">
        <f>ENSO!I823</f>
        <v>0.23423987998436813</v>
      </c>
      <c r="L823" s="19">
        <f>Analysis!B823</f>
        <v>2026.625</v>
      </c>
    </row>
  </sheetData>
  <pageMargins left="0.75" right="0.75" top="1" bottom="1" header="0.511811023622047" footer="0.511811023622047"/>
  <pageSetup paperSize="9" orientation="portrait" horizontalDpi="300" verticalDpi="300"/>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867B8-F2C6-408E-B50C-BC4652D8DB28}">
  <dimension ref="A1:BG68"/>
  <sheetViews>
    <sheetView zoomScaleNormal="100" workbookViewId="0">
      <pane xSplit="1" ySplit="1" topLeftCell="B2" activePane="bottomRight" state="frozen"/>
      <selection pane="topRight" activeCell="B1" sqref="B1"/>
      <selection pane="bottomLeft" activeCell="A2" sqref="A2"/>
      <selection pane="bottomRight" activeCell="BA11" sqref="BA11"/>
    </sheetView>
  </sheetViews>
  <sheetFormatPr defaultColWidth="8.5703125" defaultRowHeight="15"/>
  <cols>
    <col min="1" max="1" width="7" customWidth="1"/>
    <col min="2" max="3" width="11" customWidth="1"/>
    <col min="4" max="4" width="10" customWidth="1"/>
    <col min="5" max="7" width="9" customWidth="1"/>
    <col min="8" max="9" width="12" customWidth="1"/>
    <col min="10" max="10" width="14" customWidth="1"/>
    <col min="11" max="11" width="10" customWidth="1"/>
    <col min="12" max="12" width="12" customWidth="1"/>
    <col min="13" max="15" width="9" customWidth="1"/>
    <col min="16" max="16" width="12" customWidth="1"/>
    <col min="17" max="17" width="10" customWidth="1"/>
    <col min="18" max="18" width="3" customWidth="1"/>
    <col min="19" max="19" width="52" customWidth="1"/>
    <col min="20" max="20" width="10" customWidth="1"/>
    <col min="21" max="21" width="8" customWidth="1"/>
  </cols>
  <sheetData>
    <row r="1" spans="1:59" ht="57.75" customHeight="1">
      <c r="A1" s="35" t="s">
        <v>49</v>
      </c>
      <c r="B1" s="35" t="s">
        <v>1855</v>
      </c>
      <c r="C1" s="35" t="s">
        <v>1856</v>
      </c>
      <c r="D1" s="35" t="s">
        <v>1983</v>
      </c>
      <c r="E1" s="35" t="s">
        <v>1984</v>
      </c>
      <c r="F1" s="35" t="s">
        <v>1985</v>
      </c>
      <c r="G1" s="35" t="s">
        <v>1986</v>
      </c>
      <c r="H1" s="35" t="s">
        <v>1987</v>
      </c>
      <c r="I1" s="35" t="s">
        <v>1988</v>
      </c>
      <c r="J1" s="35" t="s">
        <v>1989</v>
      </c>
      <c r="K1" s="35" t="s">
        <v>1990</v>
      </c>
      <c r="L1" s="35" t="s">
        <v>1991</v>
      </c>
      <c r="M1" s="35" t="s">
        <v>1992</v>
      </c>
      <c r="N1" s="35" t="s">
        <v>1993</v>
      </c>
      <c r="O1" s="35" t="s">
        <v>1994</v>
      </c>
      <c r="P1" s="35" t="s">
        <v>1995</v>
      </c>
      <c r="Q1" s="35" t="s">
        <v>1996</v>
      </c>
      <c r="AN1" s="23" t="s">
        <v>1997</v>
      </c>
      <c r="AO1" s="23" t="s">
        <v>1998</v>
      </c>
      <c r="AQ1" s="23" t="s">
        <v>2611</v>
      </c>
      <c r="AR1" s="23" t="s">
        <v>1999</v>
      </c>
      <c r="AS1" s="23" t="s">
        <v>1998</v>
      </c>
      <c r="AU1" s="23" t="s">
        <v>1997</v>
      </c>
      <c r="AV1" s="23" t="s">
        <v>2000</v>
      </c>
      <c r="AW1" s="23" t="s">
        <v>1998</v>
      </c>
      <c r="AY1" s="23" t="s">
        <v>2001</v>
      </c>
      <c r="AZ1" s="23" t="s">
        <v>2002</v>
      </c>
      <c r="BA1" s="23" t="s">
        <v>2003</v>
      </c>
      <c r="BB1" s="23" t="s">
        <v>2004</v>
      </c>
      <c r="BC1" s="23" t="s">
        <v>2005</v>
      </c>
      <c r="BD1" s="23" t="s">
        <v>2006</v>
      </c>
      <c r="BE1" s="23" t="s">
        <v>2007</v>
      </c>
      <c r="BF1" s="23" t="s">
        <v>2008</v>
      </c>
      <c r="BG1" s="23" t="s">
        <v>2009</v>
      </c>
    </row>
    <row r="2" spans="1:59">
      <c r="A2" s="24">
        <v>1959</v>
      </c>
      <c r="B2" s="20">
        <f>AVERAGEIFS(Analysis!$E$2:$E$823,Analysis!$B$2:$B$823,"&gt;="&amp;A2,Analysis!$B$2:$B$823,"&lt;"&amp;(A2+1))</f>
        <v>3.0833333333332824E-2</v>
      </c>
      <c r="C2" s="25">
        <f>AVERAGEIFS(Analysis!$F$2:$F$823,Analysis!$B$2:$B$823,"&gt;="&amp;A2,Analysis!$B$2:$B$823,"&lt;"&amp;(A2+1))</f>
        <v>0.17439669687104098</v>
      </c>
      <c r="D2" s="19">
        <f>AVERAGEIFS(ENSO!$D$2:$D$823,Analysis!$B$2:$B$823,"&gt;="&amp;A2,Analysis!$B$2:$B$823,"&lt;"&amp;(A2+1))</f>
        <v>0.26083333333333336</v>
      </c>
      <c r="E2" s="33">
        <v>0.6996</v>
      </c>
      <c r="F2" s="33">
        <v>0.28999999999999998</v>
      </c>
      <c r="G2" s="33">
        <v>7.7600000000000002E-2</v>
      </c>
      <c r="H2" s="33">
        <v>0.39200000000000002</v>
      </c>
      <c r="I2" s="33">
        <v>-0.91220000000000001</v>
      </c>
      <c r="J2" s="33">
        <v>0.12640000000000001</v>
      </c>
      <c r="K2" s="20">
        <f t="shared" ref="K2:K33" si="0">E2+H2</f>
        <v>1.0916000000000001</v>
      </c>
      <c r="L2" s="20">
        <f t="shared" ref="L2:L33" si="1">K2+I2+J2</f>
        <v>0.30580000000000013</v>
      </c>
      <c r="M2" s="33">
        <v>6.4000000000000001E-2</v>
      </c>
      <c r="N2" s="33">
        <v>0.2175</v>
      </c>
      <c r="O2" s="20">
        <f t="shared" ref="O2:O33" si="2">L2+M2+N2</f>
        <v>0.58730000000000016</v>
      </c>
      <c r="P2" s="20">
        <f t="shared" ref="P2:P33" si="3">$T$13+$T$14*L2+$T$15*D2</f>
        <v>-1.6962681538356283E-2</v>
      </c>
      <c r="Q2" s="20">
        <f t="shared" ref="Q2:Q33" si="4">B2-P2</f>
        <v>4.7796014871689108E-2</v>
      </c>
      <c r="S2" s="17" t="s">
        <v>2010</v>
      </c>
      <c r="AN2" s="20">
        <f t="shared" ref="AN2:AN33" si="5">L2</f>
        <v>0.30580000000000013</v>
      </c>
      <c r="AO2" s="20">
        <f t="shared" ref="AO2:AO33" si="6">D2</f>
        <v>0.26083333333333336</v>
      </c>
      <c r="AQ2" s="20">
        <f t="shared" ref="AQ2:AQ33" si="7">K2+J2</f>
        <v>1.2180000000000002</v>
      </c>
      <c r="AR2" s="20">
        <f t="shared" ref="AR2:AR33" si="8">I2</f>
        <v>-0.91220000000000001</v>
      </c>
      <c r="AS2" s="20">
        <f t="shared" ref="AS2:AS33" si="9">D2</f>
        <v>0.26083333333333336</v>
      </c>
      <c r="AU2" s="20">
        <f t="shared" ref="AU2:AU33" si="10">L2</f>
        <v>0.30580000000000013</v>
      </c>
      <c r="AV2" s="20">
        <f t="shared" ref="AV2:AV33" si="11">N2</f>
        <v>0.2175</v>
      </c>
      <c r="AW2" s="20">
        <f t="shared" ref="AW2:AW33" si="12">D2</f>
        <v>0.26083333333333336</v>
      </c>
      <c r="AY2" s="20">
        <f t="shared" ref="AY2:AY33" si="13">INDEX(LINEST($B$2:$B$68,$AU$2:$AW$68),1,4)+$T$37*L2+$T$38*N2+INDEX(LINEST($B$2:$B$68,$AU$2:$AW$68),1,1)*D2</f>
        <v>1.32186216777057E-2</v>
      </c>
      <c r="AZ2" s="20">
        <f t="shared" ref="AZ2:AZ33" si="14">B2-AY2</f>
        <v>1.7614711655627124E-2</v>
      </c>
      <c r="BA2" s="20">
        <f t="shared" ref="BA2:BA33" si="15">B2-$T$14*(L2-E2)-$T$15*D2</f>
        <v>0.16542641707229502</v>
      </c>
      <c r="BB2" s="20">
        <f t="shared" ref="BB2:BB33" si="16">$T$14*(E2-$E$2)</f>
        <v>0</v>
      </c>
      <c r="BC2" s="20">
        <f t="shared" ref="BC2:BC33" si="17">$T$14*(H2-$H$2)</f>
        <v>0</v>
      </c>
      <c r="BD2" s="20">
        <f t="shared" ref="BD2:BD33" si="18">$T$14*(J2-$J$2)</f>
        <v>0</v>
      </c>
      <c r="BE2" s="20">
        <f t="shared" ref="BE2:BE33" si="19">$T$14*(I2-$I$2)</f>
        <v>0</v>
      </c>
      <c r="BF2" s="20">
        <f t="shared" ref="BF2:BF33" si="20">B2-$B$2</f>
        <v>0</v>
      </c>
      <c r="BG2" s="20">
        <f t="shared" ref="BG2:BG33" si="21">B2-$B$2-$T$15*(D2-$D$2)</f>
        <v>0</v>
      </c>
    </row>
    <row r="3" spans="1:59">
      <c r="A3" s="24">
        <v>1960</v>
      </c>
      <c r="B3" s="20">
        <f>AVERAGEIFS(Analysis!$E$2:$E$823,Analysis!$B$2:$B$823,"&gt;="&amp;A3,Analysis!$B$2:$B$823,"&lt;"&amp;(A3+1))</f>
        <v>-2.4999999999999616E-2</v>
      </c>
      <c r="C3" s="25">
        <f>AVERAGEIFS(Analysis!$F$2:$F$823,Analysis!$B$2:$B$823,"&gt;="&amp;A3,Analysis!$B$2:$B$823,"&lt;"&amp;(A3+1))</f>
        <v>0.17861133837791365</v>
      </c>
      <c r="D3" s="19">
        <f>AVERAGEIFS(ENSO!$D$2:$D$823,Analysis!$B$2:$B$823,"&gt;="&amp;A3,Analysis!$B$2:$B$823,"&lt;"&amp;(A3+1))</f>
        <v>9.583333333333334E-2</v>
      </c>
      <c r="E3" s="33">
        <v>0.7137</v>
      </c>
      <c r="F3" s="33">
        <v>0.29320000000000002</v>
      </c>
      <c r="G3" s="33">
        <v>7.8600000000000003E-2</v>
      </c>
      <c r="H3" s="33">
        <v>0.39879999999999999</v>
      </c>
      <c r="I3" s="33">
        <v>-0.9486</v>
      </c>
      <c r="J3" s="33">
        <v>0.13270000000000001</v>
      </c>
      <c r="K3" s="20">
        <f t="shared" si="0"/>
        <v>1.1125</v>
      </c>
      <c r="L3" s="20">
        <f t="shared" si="1"/>
        <v>0.29660000000000009</v>
      </c>
      <c r="M3" s="33">
        <v>4.4400000000000002E-2</v>
      </c>
      <c r="N3" s="33">
        <v>0.223</v>
      </c>
      <c r="O3" s="20">
        <f t="shared" si="2"/>
        <v>0.56400000000000006</v>
      </c>
      <c r="P3" s="20">
        <f t="shared" si="3"/>
        <v>-3.7425997759434226E-2</v>
      </c>
      <c r="Q3" s="20">
        <f t="shared" si="4"/>
        <v>1.242599775943461E-2</v>
      </c>
      <c r="S3" t="s">
        <v>2011</v>
      </c>
      <c r="T3" s="21">
        <v>3.93</v>
      </c>
      <c r="U3" s="21">
        <v>0.47</v>
      </c>
      <c r="AN3" s="20">
        <f t="shared" si="5"/>
        <v>0.29660000000000009</v>
      </c>
      <c r="AO3" s="20">
        <f t="shared" si="6"/>
        <v>9.583333333333334E-2</v>
      </c>
      <c r="AQ3" s="20">
        <f t="shared" si="7"/>
        <v>1.2452000000000001</v>
      </c>
      <c r="AR3" s="20">
        <f t="shared" si="8"/>
        <v>-0.9486</v>
      </c>
      <c r="AS3" s="20">
        <f t="shared" si="9"/>
        <v>9.583333333333334E-2</v>
      </c>
      <c r="AU3" s="20">
        <f t="shared" si="10"/>
        <v>0.29660000000000009</v>
      </c>
      <c r="AV3" s="20">
        <f t="shared" si="11"/>
        <v>0.223</v>
      </c>
      <c r="AW3" s="20">
        <f t="shared" si="12"/>
        <v>9.583333333333334E-2</v>
      </c>
      <c r="AY3" s="20">
        <f t="shared" si="13"/>
        <v>-9.7246447509998814E-3</v>
      </c>
      <c r="AZ3" s="20">
        <f t="shared" si="14"/>
        <v>-1.5275355248999735E-2</v>
      </c>
      <c r="BA3" s="20">
        <f t="shared" si="15"/>
        <v>0.13582085507136643</v>
      </c>
      <c r="BB3" s="20">
        <f t="shared" si="16"/>
        <v>5.7644551113258564E-3</v>
      </c>
      <c r="BC3" s="20">
        <f t="shared" si="17"/>
        <v>2.780020904752884E-3</v>
      </c>
      <c r="BD3" s="20">
        <f t="shared" si="18"/>
        <v>2.5756076029328293E-3</v>
      </c>
      <c r="BE3" s="20">
        <f t="shared" si="19"/>
        <v>-1.4881288372500787E-2</v>
      </c>
      <c r="BF3" s="20">
        <f t="shared" si="20"/>
        <v>-5.5833333333332444E-2</v>
      </c>
      <c r="BG3" s="20">
        <f t="shared" si="21"/>
        <v>-3.9131221865743714E-2</v>
      </c>
    </row>
    <row r="4" spans="1:59">
      <c r="A4" s="24">
        <v>1961</v>
      </c>
      <c r="B4" s="20">
        <f>AVERAGEIFS(Analysis!$E$2:$E$823,Analysis!$B$2:$B$823,"&gt;="&amp;A4,Analysis!$B$2:$B$823,"&lt;"&amp;(A4+1))</f>
        <v>5.6666666666666345E-2</v>
      </c>
      <c r="C4" s="25">
        <f>AVERAGEIFS(Analysis!$F$2:$F$823,Analysis!$B$2:$B$823,"&gt;="&amp;A4,Analysis!$B$2:$B$823,"&lt;"&amp;(A4+1))</f>
        <v>0.18196022855888627</v>
      </c>
      <c r="D4" s="19">
        <f>AVERAGEIFS(ENSO!$D$2:$D$823,Analysis!$B$2:$B$823,"&gt;="&amp;A4,Analysis!$B$2:$B$823,"&lt;"&amp;(A4+1))</f>
        <v>2.4999999999999931E-3</v>
      </c>
      <c r="E4" s="33">
        <v>0.72529999999999994</v>
      </c>
      <c r="F4" s="33">
        <v>0.29570000000000002</v>
      </c>
      <c r="G4" s="33">
        <v>7.9699999999999993E-2</v>
      </c>
      <c r="H4" s="33">
        <v>0.40539999999999998</v>
      </c>
      <c r="I4" s="33">
        <v>-0.98460000000000003</v>
      </c>
      <c r="J4" s="33">
        <v>0.1401</v>
      </c>
      <c r="K4" s="20">
        <f t="shared" si="0"/>
        <v>1.1307</v>
      </c>
      <c r="L4" s="20">
        <f t="shared" si="1"/>
        <v>0.28620000000000001</v>
      </c>
      <c r="M4" s="33">
        <v>-4.8999999999999998E-3</v>
      </c>
      <c r="N4" s="33">
        <v>0.2238</v>
      </c>
      <c r="O4" s="20">
        <f t="shared" si="2"/>
        <v>0.50509999999999999</v>
      </c>
      <c r="P4" s="20">
        <f t="shared" si="3"/>
        <v>-5.1125453449261012E-2</v>
      </c>
      <c r="Q4" s="20">
        <f t="shared" si="4"/>
        <v>0.10779212011592736</v>
      </c>
      <c r="S4" t="s">
        <v>2012</v>
      </c>
      <c r="T4" s="15">
        <f>SLOPE(E2:E68,C2:C68)</f>
        <v>3.8372771954762408</v>
      </c>
      <c r="AN4" s="20">
        <f t="shared" si="5"/>
        <v>0.28620000000000001</v>
      </c>
      <c r="AO4" s="20">
        <f t="shared" si="6"/>
        <v>2.4999999999999931E-3</v>
      </c>
      <c r="AQ4" s="20">
        <f t="shared" si="7"/>
        <v>1.2707999999999999</v>
      </c>
      <c r="AR4" s="20">
        <f t="shared" si="8"/>
        <v>-0.98460000000000003</v>
      </c>
      <c r="AS4" s="20">
        <f t="shared" si="9"/>
        <v>2.4999999999999931E-3</v>
      </c>
      <c r="AU4" s="20">
        <f t="shared" si="10"/>
        <v>0.28620000000000001</v>
      </c>
      <c r="AV4" s="20">
        <f t="shared" si="11"/>
        <v>0.2238</v>
      </c>
      <c r="AW4" s="20">
        <f t="shared" si="12"/>
        <v>2.4999999999999931E-3</v>
      </c>
      <c r="AY4" s="20">
        <f t="shared" si="13"/>
        <v>-2.5100050288419665E-2</v>
      </c>
      <c r="AZ4" s="20">
        <f t="shared" si="14"/>
        <v>8.1766716955086013E-2</v>
      </c>
      <c r="BA4" s="20">
        <f t="shared" si="15"/>
        <v>0.23592936603008463</v>
      </c>
      <c r="BB4" s="20">
        <f t="shared" si="16"/>
        <v>1.050684371355136E-2</v>
      </c>
      <c r="BC4" s="20">
        <f t="shared" si="17"/>
        <v>5.4782764887777507E-3</v>
      </c>
      <c r="BD4" s="20">
        <f t="shared" si="18"/>
        <v>5.6009244698697995E-3</v>
      </c>
      <c r="BE4" s="20">
        <f t="shared" si="19"/>
        <v>-2.9599046103545537E-2</v>
      </c>
      <c r="BF4" s="20">
        <f t="shared" si="20"/>
        <v>2.583333333333352E-2</v>
      </c>
      <c r="BG4" s="20">
        <f t="shared" si="21"/>
        <v>5.1983103812891632E-2</v>
      </c>
    </row>
    <row r="5" spans="1:59">
      <c r="A5" s="24">
        <v>1962</v>
      </c>
      <c r="B5" s="20">
        <f>AVERAGEIFS(Analysis!$E$2:$E$823,Analysis!$B$2:$B$823,"&gt;="&amp;A5,Analysis!$B$2:$B$823,"&lt;"&amp;(A5+1))</f>
        <v>3.0833333333334007E-2</v>
      </c>
      <c r="C5" s="25">
        <f>AVERAGEIFS(Analysis!$F$2:$F$823,Analysis!$B$2:$B$823,"&gt;="&amp;A5,Analysis!$B$2:$B$823,"&lt;"&amp;(A5+1))</f>
        <v>0.18563275308825636</v>
      </c>
      <c r="D5" s="19">
        <f>AVERAGEIFS(ENSO!$D$2:$D$823,Analysis!$B$2:$B$823,"&gt;="&amp;A5,Analysis!$B$2:$B$823,"&lt;"&amp;(A5+1))</f>
        <v>-0.13666666666666666</v>
      </c>
      <c r="E5" s="33">
        <v>0.73819999999999997</v>
      </c>
      <c r="F5" s="33">
        <v>0.3019</v>
      </c>
      <c r="G5" s="33">
        <v>8.09E-2</v>
      </c>
      <c r="H5" s="33">
        <v>0.41610000000000003</v>
      </c>
      <c r="I5" s="33">
        <v>-0.99160000000000004</v>
      </c>
      <c r="J5" s="33">
        <v>0.1434</v>
      </c>
      <c r="K5" s="20">
        <f t="shared" si="0"/>
        <v>1.1543000000000001</v>
      </c>
      <c r="L5" s="20">
        <f t="shared" si="1"/>
        <v>0.30610000000000004</v>
      </c>
      <c r="M5" s="33">
        <v>-2.81E-2</v>
      </c>
      <c r="N5" s="33">
        <v>0.22370000000000001</v>
      </c>
      <c r="O5" s="20">
        <f t="shared" si="2"/>
        <v>0.50170000000000003</v>
      </c>
      <c r="P5" s="20">
        <f t="shared" si="3"/>
        <v>-5.7076938456455284E-2</v>
      </c>
      <c r="Q5" s="20">
        <f t="shared" si="4"/>
        <v>8.7910271789789288E-2</v>
      </c>
      <c r="S5" s="17" t="s">
        <v>2013</v>
      </c>
      <c r="AN5" s="20">
        <f t="shared" si="5"/>
        <v>0.30610000000000004</v>
      </c>
      <c r="AO5" s="20">
        <f t="shared" si="6"/>
        <v>-0.13666666666666666</v>
      </c>
      <c r="AQ5" s="20">
        <f t="shared" si="7"/>
        <v>1.2977000000000001</v>
      </c>
      <c r="AR5" s="20">
        <f t="shared" si="8"/>
        <v>-0.99160000000000004</v>
      </c>
      <c r="AS5" s="20">
        <f t="shared" si="9"/>
        <v>-0.13666666666666666</v>
      </c>
      <c r="AU5" s="20">
        <f t="shared" si="10"/>
        <v>0.30610000000000004</v>
      </c>
      <c r="AV5" s="20">
        <f t="shared" si="11"/>
        <v>0.22370000000000001</v>
      </c>
      <c r="AW5" s="20">
        <f t="shared" si="12"/>
        <v>-0.13666666666666666</v>
      </c>
      <c r="AY5" s="20">
        <f t="shared" si="13"/>
        <v>-3.3897161929477428E-2</v>
      </c>
      <c r="AZ5" s="20">
        <f t="shared" si="14"/>
        <v>6.4730495262811438E-2</v>
      </c>
      <c r="BA5" s="20">
        <f t="shared" si="15"/>
        <v>0.22132138089090431</v>
      </c>
      <c r="BB5" s="20">
        <f t="shared" si="16"/>
        <v>1.5780706900509069E-2</v>
      </c>
      <c r="BC5" s="20">
        <f t="shared" si="17"/>
        <v>9.852721147727176E-3</v>
      </c>
      <c r="BD5" s="20">
        <f t="shared" si="18"/>
        <v>6.9500522618822329E-3</v>
      </c>
      <c r="BE5" s="20">
        <f t="shared" si="19"/>
        <v>-3.2460832329026461E-2</v>
      </c>
      <c r="BF5" s="20">
        <f t="shared" si="20"/>
        <v>1.1830814106161824E-15</v>
      </c>
      <c r="BG5" s="20">
        <f t="shared" si="21"/>
        <v>4.0236904899192211E-2</v>
      </c>
    </row>
    <row r="6" spans="1:59">
      <c r="A6" s="24">
        <v>1963</v>
      </c>
      <c r="B6" s="20">
        <f>AVERAGEIFS(Analysis!$E$2:$E$823,Analysis!$B$2:$B$823,"&gt;="&amp;A6,Analysis!$B$2:$B$823,"&lt;"&amp;(A6+1))</f>
        <v>5.4166666666666995E-2</v>
      </c>
      <c r="C6" s="25">
        <f>AVERAGEIFS(Analysis!$F$2:$F$823,Analysis!$B$2:$B$823,"&gt;="&amp;A6,Analysis!$B$2:$B$823,"&lt;"&amp;(A6+1))</f>
        <v>0.18806837681949565</v>
      </c>
      <c r="D6" s="19">
        <f>AVERAGEIFS(ENSO!$D$2:$D$823,Analysis!$B$2:$B$823,"&gt;="&amp;A6,Analysis!$B$2:$B$823,"&lt;"&amp;(A6+1))</f>
        <v>0.19416666666666668</v>
      </c>
      <c r="E6" s="33">
        <v>0.74860000000000004</v>
      </c>
      <c r="F6" s="33">
        <v>0.31040000000000001</v>
      </c>
      <c r="G6" s="33">
        <v>8.2199999999999995E-2</v>
      </c>
      <c r="H6" s="33">
        <v>0.4299</v>
      </c>
      <c r="I6" s="33">
        <v>-1.0605</v>
      </c>
      <c r="J6" s="33">
        <v>0.1613</v>
      </c>
      <c r="K6" s="20">
        <f t="shared" si="0"/>
        <v>1.1785000000000001</v>
      </c>
      <c r="L6" s="20">
        <f t="shared" si="1"/>
        <v>0.2793000000000001</v>
      </c>
      <c r="M6" s="33">
        <v>-3.56E-2</v>
      </c>
      <c r="N6" s="33">
        <v>-0.66490000000000005</v>
      </c>
      <c r="O6" s="20">
        <f t="shared" si="2"/>
        <v>-0.42119999999999991</v>
      </c>
      <c r="P6" s="20">
        <f t="shared" si="3"/>
        <v>-3.4544914400512189E-2</v>
      </c>
      <c r="Q6" s="20">
        <f t="shared" si="4"/>
        <v>8.871158106717919E-2</v>
      </c>
      <c r="S6" s="17" t="s">
        <v>2014</v>
      </c>
      <c r="U6" s="17" t="s">
        <v>12</v>
      </c>
      <c r="AN6" s="20">
        <f t="shared" si="5"/>
        <v>0.2793000000000001</v>
      </c>
      <c r="AO6" s="20">
        <f t="shared" si="6"/>
        <v>0.19416666666666668</v>
      </c>
      <c r="AQ6" s="20">
        <f t="shared" si="7"/>
        <v>1.3398000000000001</v>
      </c>
      <c r="AR6" s="20">
        <f t="shared" si="8"/>
        <v>-1.0605</v>
      </c>
      <c r="AS6" s="20">
        <f t="shared" si="9"/>
        <v>0.19416666666666668</v>
      </c>
      <c r="AU6" s="20">
        <f t="shared" si="10"/>
        <v>0.2793000000000001</v>
      </c>
      <c r="AV6" s="20">
        <f t="shared" si="11"/>
        <v>-0.66490000000000005</v>
      </c>
      <c r="AW6" s="20">
        <f t="shared" si="12"/>
        <v>0.19416666666666668</v>
      </c>
      <c r="AY6" s="20">
        <f t="shared" si="13"/>
        <v>-0.11986699984004556</v>
      </c>
      <c r="AZ6" s="20">
        <f t="shared" si="14"/>
        <v>0.17403366650671256</v>
      </c>
      <c r="BA6" s="20">
        <f t="shared" si="15"/>
        <v>0.22637448684615158</v>
      </c>
      <c r="BB6" s="20">
        <f t="shared" si="16"/>
        <v>2.0032503578366466E-2</v>
      </c>
      <c r="BC6" s="20">
        <f t="shared" si="17"/>
        <v>1.5494528277960985E-2</v>
      </c>
      <c r="BD6" s="20">
        <f t="shared" si="18"/>
        <v>1.4268048467040589E-2</v>
      </c>
      <c r="BE6" s="20">
        <f t="shared" si="19"/>
        <v>-6.0628985319831512E-2</v>
      </c>
      <c r="BF6" s="20">
        <f t="shared" si="20"/>
        <v>2.3333333333334171E-2</v>
      </c>
      <c r="BG6" s="20">
        <f t="shared" si="21"/>
        <v>3.0081661199026586E-2</v>
      </c>
    </row>
    <row r="7" spans="1:59">
      <c r="A7" s="24">
        <v>1964</v>
      </c>
      <c r="B7" s="20">
        <f>AVERAGEIFS(Analysis!$E$2:$E$823,Analysis!$B$2:$B$823,"&gt;="&amp;A7,Analysis!$B$2:$B$823,"&lt;"&amp;(A7+1))</f>
        <v>-0.1991666666666673</v>
      </c>
      <c r="C7" s="25">
        <f>AVERAGEIFS(Analysis!$F$2:$F$823,Analysis!$B$2:$B$823,"&gt;="&amp;A7,Analysis!$B$2:$B$823,"&lt;"&amp;(A7+1))</f>
        <v>0.19090694656901711</v>
      </c>
      <c r="D7" s="19">
        <f>AVERAGEIFS(ENSO!$D$2:$D$823,Analysis!$B$2:$B$823,"&gt;="&amp;A7,Analysis!$B$2:$B$823,"&lt;"&amp;(A7+1))</f>
        <v>0.10666666666666667</v>
      </c>
      <c r="E7" s="33">
        <v>0.76029999999999998</v>
      </c>
      <c r="F7" s="33">
        <v>0.31809999999999999</v>
      </c>
      <c r="G7" s="33">
        <v>8.3500000000000005E-2</v>
      </c>
      <c r="H7" s="33">
        <v>0.44340000000000002</v>
      </c>
      <c r="I7" s="33">
        <v>-1.0545</v>
      </c>
      <c r="J7" s="33">
        <v>0.1603</v>
      </c>
      <c r="K7" s="20">
        <f t="shared" si="0"/>
        <v>1.2037</v>
      </c>
      <c r="L7" s="20">
        <f t="shared" si="1"/>
        <v>0.3095</v>
      </c>
      <c r="M7" s="33">
        <v>-3.8199999999999998E-2</v>
      </c>
      <c r="N7" s="33">
        <v>-0.54769999999999996</v>
      </c>
      <c r="O7" s="20">
        <f t="shared" si="2"/>
        <v>-0.27639999999999998</v>
      </c>
      <c r="P7" s="20">
        <f t="shared" si="3"/>
        <v>-3.1055531294301567E-2</v>
      </c>
      <c r="Q7" s="20">
        <f t="shared" si="4"/>
        <v>-0.16811113537236572</v>
      </c>
      <c r="S7" s="18" t="s">
        <v>2015</v>
      </c>
      <c r="T7" s="19">
        <f>SLOPE($B$2:$B$68,$C$2:$C$68)</f>
        <v>2.7423885028518846</v>
      </c>
      <c r="U7" s="20">
        <f>RSQ($B$2:$B$68,$C$2:$C$68)</f>
        <v>0.93091854237560612</v>
      </c>
      <c r="AN7" s="20">
        <f t="shared" si="5"/>
        <v>0.3095</v>
      </c>
      <c r="AO7" s="20">
        <f t="shared" si="6"/>
        <v>0.10666666666666667</v>
      </c>
      <c r="AQ7" s="20">
        <f t="shared" si="7"/>
        <v>1.3639999999999999</v>
      </c>
      <c r="AR7" s="20">
        <f t="shared" si="8"/>
        <v>-1.0545</v>
      </c>
      <c r="AS7" s="20">
        <f t="shared" si="9"/>
        <v>0.10666666666666667</v>
      </c>
      <c r="AU7" s="20">
        <f t="shared" si="10"/>
        <v>0.3095</v>
      </c>
      <c r="AV7" s="20">
        <f t="shared" si="11"/>
        <v>-0.54769999999999996</v>
      </c>
      <c r="AW7" s="20">
        <f t="shared" si="12"/>
        <v>0.10666666666666667</v>
      </c>
      <c r="AY7" s="20">
        <f t="shared" si="13"/>
        <v>-0.10306304007953603</v>
      </c>
      <c r="AZ7" s="20">
        <f t="shared" si="14"/>
        <v>-9.6103626587131272E-2</v>
      </c>
      <c r="BA7" s="20">
        <f t="shared" si="15"/>
        <v>-2.566495833080383E-2</v>
      </c>
      <c r="BB7" s="20">
        <f t="shared" si="16"/>
        <v>2.4815774840955981E-2</v>
      </c>
      <c r="BC7" s="20">
        <f t="shared" si="17"/>
        <v>2.1013687427102766E-2</v>
      </c>
      <c r="BD7" s="20">
        <f t="shared" si="18"/>
        <v>1.3859221863400457E-2</v>
      </c>
      <c r="BE7" s="20">
        <f t="shared" si="19"/>
        <v>-5.817602569799072E-2</v>
      </c>
      <c r="BF7" s="20">
        <f t="shared" si="20"/>
        <v>-0.23000000000000012</v>
      </c>
      <c r="BG7" s="20">
        <f t="shared" si="21"/>
        <v>-0.21439449181058642</v>
      </c>
    </row>
    <row r="8" spans="1:59">
      <c r="A8" s="24">
        <v>1965</v>
      </c>
      <c r="B8" s="20">
        <f>AVERAGEIFS(Analysis!$E$2:$E$823,Analysis!$B$2:$B$823,"&gt;="&amp;A8,Analysis!$B$2:$B$823,"&lt;"&amp;(A8+1))</f>
        <v>-0.10666666666666676</v>
      </c>
      <c r="C8" s="25">
        <f>AVERAGEIFS(Analysis!$F$2:$F$823,Analysis!$B$2:$B$823,"&gt;="&amp;A8,Analysis!$B$2:$B$823,"&lt;"&amp;(A8+1))</f>
        <v>0.19279248762081727</v>
      </c>
      <c r="D8" s="19">
        <f>AVERAGEIFS(ENSO!$D$2:$D$823,Analysis!$B$2:$B$823,"&gt;="&amp;A8,Analysis!$B$2:$B$823,"&lt;"&amp;(A8+1))</f>
        <v>0.18333333333333335</v>
      </c>
      <c r="E8" s="33">
        <v>0.76849999999999996</v>
      </c>
      <c r="F8" s="33">
        <v>0.32440000000000002</v>
      </c>
      <c r="G8" s="33">
        <v>8.4699999999999998E-2</v>
      </c>
      <c r="H8" s="33">
        <v>0.45610000000000001</v>
      </c>
      <c r="I8" s="33">
        <v>-1.0791999999999999</v>
      </c>
      <c r="J8" s="33">
        <v>0.16869999999999999</v>
      </c>
      <c r="K8" s="20">
        <f t="shared" si="0"/>
        <v>1.2245999999999999</v>
      </c>
      <c r="L8" s="20">
        <f t="shared" si="1"/>
        <v>0.31409999999999993</v>
      </c>
      <c r="M8" s="33">
        <v>-3.3700000000000001E-2</v>
      </c>
      <c r="N8" s="33">
        <v>5.6000000000000001E-2</v>
      </c>
      <c r="O8" s="20">
        <f t="shared" si="2"/>
        <v>0.33639999999999992</v>
      </c>
      <c r="P8" s="20">
        <f t="shared" si="3"/>
        <v>-2.1414351872010698E-2</v>
      </c>
      <c r="Q8" s="20">
        <f t="shared" si="4"/>
        <v>-8.5252314794656059E-2</v>
      </c>
      <c r="S8" s="18" t="s">
        <v>2016</v>
      </c>
      <c r="T8" s="20">
        <f>SLOPE($B$2:$B$68,$L$2:$L$68)</f>
        <v>0.40864436384996261</v>
      </c>
      <c r="U8" s="20">
        <f>RSQ($B$2:$B$68,$L$2:$L$68)</f>
        <v>0.927470724766016</v>
      </c>
      <c r="AN8" s="20">
        <f t="shared" si="5"/>
        <v>0.31409999999999993</v>
      </c>
      <c r="AO8" s="20">
        <f t="shared" si="6"/>
        <v>0.18333333333333335</v>
      </c>
      <c r="AQ8" s="20">
        <f t="shared" si="7"/>
        <v>1.3933</v>
      </c>
      <c r="AR8" s="20">
        <f t="shared" si="8"/>
        <v>-1.0791999999999999</v>
      </c>
      <c r="AS8" s="20">
        <f t="shared" si="9"/>
        <v>0.18333333333333335</v>
      </c>
      <c r="AU8" s="20">
        <f t="shared" si="10"/>
        <v>0.31409999999999993</v>
      </c>
      <c r="AV8" s="20">
        <f t="shared" si="11"/>
        <v>5.6000000000000001E-2</v>
      </c>
      <c r="AW8" s="20">
        <f t="shared" si="12"/>
        <v>0.18333333333333335</v>
      </c>
      <c r="AY8" s="20">
        <f t="shared" si="13"/>
        <v>-1.3721301812357162E-2</v>
      </c>
      <c r="AZ8" s="20">
        <f t="shared" si="14"/>
        <v>-9.2945364854309598E-2</v>
      </c>
      <c r="BA8" s="20">
        <f t="shared" si="15"/>
        <v>6.0546240396754936E-2</v>
      </c>
      <c r="BB8" s="20">
        <f t="shared" si="16"/>
        <v>2.8168152990805054E-2</v>
      </c>
      <c r="BC8" s="20">
        <f t="shared" si="17"/>
        <v>2.6205785293332434E-2</v>
      </c>
      <c r="BD8" s="20">
        <f t="shared" si="18"/>
        <v>1.7293365333977559E-2</v>
      </c>
      <c r="BE8" s="20">
        <f t="shared" si="19"/>
        <v>-6.8274042807901947E-2</v>
      </c>
      <c r="BF8" s="20">
        <f t="shared" si="20"/>
        <v>-0.13749999999999957</v>
      </c>
      <c r="BG8" s="20">
        <f t="shared" si="21"/>
        <v>-0.12965506885613212</v>
      </c>
    </row>
    <row r="9" spans="1:59">
      <c r="A9" s="24">
        <v>1966</v>
      </c>
      <c r="B9" s="20">
        <f>AVERAGEIFS(Analysis!$E$2:$E$823,Analysis!$B$2:$B$823,"&gt;="&amp;A9,Analysis!$B$2:$B$823,"&lt;"&amp;(A9+1))</f>
        <v>-5.7499999999999364E-2</v>
      </c>
      <c r="C9" s="25">
        <f>AVERAGEIFS(Analysis!$F$2:$F$823,Analysis!$B$2:$B$823,"&gt;="&amp;A9,Analysis!$B$2:$B$823,"&lt;"&amp;(A9+1))</f>
        <v>0.19877221770103162</v>
      </c>
      <c r="D9" s="19">
        <f>AVERAGEIFS(ENSO!$D$2:$D$823,Analysis!$B$2:$B$823,"&gt;="&amp;A9,Analysis!$B$2:$B$823,"&lt;"&amp;(A9+1))</f>
        <v>0.76750000000000007</v>
      </c>
      <c r="E9" s="33">
        <v>0.78669999999999995</v>
      </c>
      <c r="F9" s="33">
        <v>0.32950000000000002</v>
      </c>
      <c r="G9" s="33">
        <v>8.6099999999999996E-2</v>
      </c>
      <c r="H9" s="33">
        <v>0.46839999999999998</v>
      </c>
      <c r="I9" s="33">
        <v>-1.0942000000000001</v>
      </c>
      <c r="J9" s="33">
        <v>0.1739</v>
      </c>
      <c r="K9" s="20">
        <f t="shared" si="0"/>
        <v>1.2550999999999999</v>
      </c>
      <c r="L9" s="20">
        <f t="shared" si="1"/>
        <v>0.33479999999999982</v>
      </c>
      <c r="M9" s="33">
        <v>-8.8000000000000005E-3</v>
      </c>
      <c r="N9" s="33">
        <v>0.1706</v>
      </c>
      <c r="O9" s="20">
        <f t="shared" si="2"/>
        <v>0.49659999999999982</v>
      </c>
      <c r="P9" s="20">
        <f t="shared" si="3"/>
        <v>4.6180581746469759E-2</v>
      </c>
      <c r="Q9" s="20">
        <f t="shared" si="4"/>
        <v>-0.10368058174646913</v>
      </c>
      <c r="S9" s="18" t="s">
        <v>2017</v>
      </c>
      <c r="T9" s="20">
        <f>SLOPE($B$2:$B$68,$O$2:$O$68)</f>
        <v>0.35681814568808756</v>
      </c>
      <c r="U9" s="20">
        <f>RSQ($B$2:$B$68,$O$2:$O$68)</f>
        <v>0.86772401385933362</v>
      </c>
      <c r="AN9" s="20">
        <f t="shared" si="5"/>
        <v>0.33479999999999982</v>
      </c>
      <c r="AO9" s="20">
        <f t="shared" si="6"/>
        <v>0.76750000000000007</v>
      </c>
      <c r="AQ9" s="20">
        <f t="shared" si="7"/>
        <v>1.4289999999999998</v>
      </c>
      <c r="AR9" s="20">
        <f t="shared" si="8"/>
        <v>-1.0942000000000001</v>
      </c>
      <c r="AS9" s="20">
        <f t="shared" si="9"/>
        <v>0.76750000000000007</v>
      </c>
      <c r="AU9" s="20">
        <f t="shared" si="10"/>
        <v>0.33479999999999982</v>
      </c>
      <c r="AV9" s="20">
        <f t="shared" si="11"/>
        <v>0.1706</v>
      </c>
      <c r="AW9" s="20">
        <f t="shared" si="12"/>
        <v>0.76750000000000007</v>
      </c>
      <c r="AY9" s="20">
        <f t="shared" si="13"/>
        <v>8.0084883665580753E-2</v>
      </c>
      <c r="AZ9" s="20">
        <f t="shared" si="14"/>
        <v>-0.13758488366558011</v>
      </c>
      <c r="BA9" s="20">
        <f t="shared" si="15"/>
        <v>4.955861763119225E-2</v>
      </c>
      <c r="BB9" s="20">
        <f t="shared" si="16"/>
        <v>3.5608797177055444E-2</v>
      </c>
      <c r="BC9" s="20">
        <f t="shared" si="17"/>
        <v>3.1234352518106044E-2</v>
      </c>
      <c r="BD9" s="20">
        <f t="shared" si="18"/>
        <v>1.9419263672906247E-2</v>
      </c>
      <c r="BE9" s="20">
        <f t="shared" si="19"/>
        <v>-7.4406441862503975E-2</v>
      </c>
      <c r="BF9" s="20">
        <f t="shared" si="20"/>
        <v>-8.8333333333332181E-2</v>
      </c>
      <c r="BG9" s="20">
        <f t="shared" si="21"/>
        <v>-0.13962062511259454</v>
      </c>
    </row>
    <row r="10" spans="1:59">
      <c r="A10" s="24">
        <v>1967</v>
      </c>
      <c r="B10" s="20">
        <f>AVERAGEIFS(Analysis!$E$2:$E$823,Analysis!$B$2:$B$823,"&gt;="&amp;A10,Analysis!$B$2:$B$823,"&lt;"&amp;(A10+1))</f>
        <v>-2.4166666666666597E-2</v>
      </c>
      <c r="C10" s="25">
        <f>AVERAGEIFS(Analysis!$F$2:$F$823,Analysis!$B$2:$B$823,"&gt;="&amp;A10,Analysis!$B$2:$B$823,"&lt;"&amp;(A10+1))</f>
        <v>0.20241455784943219</v>
      </c>
      <c r="D10" s="19">
        <f>AVERAGEIFS(ENSO!$D$2:$D$823,Analysis!$B$2:$B$823,"&gt;="&amp;A10,Analysis!$B$2:$B$823,"&lt;"&amp;(A10+1))</f>
        <v>-0.27416666666666661</v>
      </c>
      <c r="E10" s="33">
        <v>0.79690000000000005</v>
      </c>
      <c r="F10" s="33">
        <v>0.33500000000000002</v>
      </c>
      <c r="G10" s="33">
        <v>8.7499999999999994E-2</v>
      </c>
      <c r="H10" s="33">
        <v>0.48170000000000002</v>
      </c>
      <c r="I10" s="33">
        <v>-1.1205000000000001</v>
      </c>
      <c r="J10" s="33">
        <v>0.186</v>
      </c>
      <c r="K10" s="20">
        <f t="shared" si="0"/>
        <v>1.2786</v>
      </c>
      <c r="L10" s="20">
        <f t="shared" si="1"/>
        <v>0.34409999999999991</v>
      </c>
      <c r="M10" s="33">
        <v>1.7899999999999999E-2</v>
      </c>
      <c r="N10" s="33">
        <v>0.20069999999999999</v>
      </c>
      <c r="O10" s="20">
        <f t="shared" si="2"/>
        <v>0.56269999999999987</v>
      </c>
      <c r="P10" s="20">
        <f t="shared" si="3"/>
        <v>-5.5459953741120942E-2</v>
      </c>
      <c r="Q10" s="20">
        <f t="shared" si="4"/>
        <v>3.1293287074454348E-2</v>
      </c>
      <c r="S10" s="18" t="s">
        <v>2018</v>
      </c>
      <c r="T10" s="20">
        <f>SLOPE($B$2:$B$68,$K$2:$K$68)</f>
        <v>0.4685894817474896</v>
      </c>
      <c r="U10" s="20">
        <f>RSQ($B$2:$B$68,$K$2:$K$68)</f>
        <v>0.90550431578051815</v>
      </c>
      <c r="AN10" s="20">
        <f t="shared" si="5"/>
        <v>0.34409999999999991</v>
      </c>
      <c r="AO10" s="20">
        <f t="shared" si="6"/>
        <v>-0.27416666666666661</v>
      </c>
      <c r="AQ10" s="20">
        <f t="shared" si="7"/>
        <v>1.4645999999999999</v>
      </c>
      <c r="AR10" s="20">
        <f t="shared" si="8"/>
        <v>-1.1205000000000001</v>
      </c>
      <c r="AS10" s="20">
        <f t="shared" si="9"/>
        <v>-0.27416666666666661</v>
      </c>
      <c r="AU10" s="20">
        <f t="shared" si="10"/>
        <v>0.34409999999999991</v>
      </c>
      <c r="AV10" s="20">
        <f t="shared" si="11"/>
        <v>0.20069999999999999</v>
      </c>
      <c r="AW10" s="20">
        <f t="shared" si="12"/>
        <v>-0.27416666666666661</v>
      </c>
      <c r="AY10" s="20">
        <f t="shared" si="13"/>
        <v>-3.815172306345424E-2</v>
      </c>
      <c r="AZ10" s="20">
        <f t="shared" si="14"/>
        <v>1.3985056396787644E-2</v>
      </c>
      <c r="BA10" s="20">
        <f t="shared" si="15"/>
        <v>0.18870251780924513</v>
      </c>
      <c r="BB10" s="20">
        <f t="shared" si="16"/>
        <v>3.9778828534184831E-2</v>
      </c>
      <c r="BC10" s="20">
        <f t="shared" si="17"/>
        <v>3.6671746346519811E-2</v>
      </c>
      <c r="BD10" s="20">
        <f t="shared" si="18"/>
        <v>2.436606557695184E-2</v>
      </c>
      <c r="BE10" s="20">
        <f t="shared" si="19"/>
        <v>-8.5158581538239436E-2</v>
      </c>
      <c r="BF10" s="20">
        <f t="shared" si="20"/>
        <v>-5.4999999999999424E-2</v>
      </c>
      <c r="BG10" s="20">
        <f t="shared" si="21"/>
        <v>-8.4466887781780436E-4</v>
      </c>
    </row>
    <row r="11" spans="1:59">
      <c r="A11" s="24">
        <v>1968</v>
      </c>
      <c r="B11" s="20">
        <f>AVERAGEIFS(Analysis!$E$2:$E$823,Analysis!$B$2:$B$823,"&gt;="&amp;A11,Analysis!$B$2:$B$823,"&lt;"&amp;(A11+1))</f>
        <v>-8.2500000000000018E-2</v>
      </c>
      <c r="C11" s="25">
        <f>AVERAGEIFS(Analysis!$F$2:$F$823,Analysis!$B$2:$B$823,"&gt;="&amp;A11,Analysis!$B$2:$B$823,"&lt;"&amp;(A11+1))</f>
        <v>0.20630941394392599</v>
      </c>
      <c r="D11" s="19">
        <f>AVERAGEIFS(ENSO!$D$2:$D$823,Analysis!$B$2:$B$823,"&gt;="&amp;A11,Analysis!$B$2:$B$823,"&lt;"&amp;(A11+1))</f>
        <v>-0.20083333333333334</v>
      </c>
      <c r="E11" s="33">
        <v>0.81240000000000001</v>
      </c>
      <c r="F11" s="33">
        <v>0.34279999999999999</v>
      </c>
      <c r="G11" s="33">
        <v>8.8900000000000007E-2</v>
      </c>
      <c r="H11" s="33">
        <v>0.49819999999999998</v>
      </c>
      <c r="I11" s="33">
        <v>-1.1406000000000001</v>
      </c>
      <c r="J11" s="33">
        <v>0.19070000000000001</v>
      </c>
      <c r="K11" s="20">
        <f t="shared" si="0"/>
        <v>1.3106</v>
      </c>
      <c r="L11" s="20">
        <f t="shared" si="1"/>
        <v>0.36069999999999991</v>
      </c>
      <c r="M11" s="33">
        <v>2.4899999999999999E-2</v>
      </c>
      <c r="N11" s="33">
        <v>0.10349999999999999</v>
      </c>
      <c r="O11" s="20">
        <f t="shared" si="2"/>
        <v>0.48909999999999987</v>
      </c>
      <c r="P11" s="20">
        <f t="shared" si="3"/>
        <v>-4.1250271468433117E-2</v>
      </c>
      <c r="Q11" s="20">
        <f t="shared" si="4"/>
        <v>-4.1249728531566901E-2</v>
      </c>
      <c r="AN11" s="20">
        <f t="shared" si="5"/>
        <v>0.36069999999999991</v>
      </c>
      <c r="AO11" s="20">
        <f t="shared" si="6"/>
        <v>-0.20083333333333334</v>
      </c>
      <c r="AQ11" s="20">
        <f t="shared" si="7"/>
        <v>1.5013000000000001</v>
      </c>
      <c r="AR11" s="20">
        <f t="shared" si="8"/>
        <v>-1.1406000000000001</v>
      </c>
      <c r="AS11" s="20">
        <f t="shared" si="9"/>
        <v>-0.20083333333333334</v>
      </c>
      <c r="AU11" s="20">
        <f t="shared" si="10"/>
        <v>0.36069999999999991</v>
      </c>
      <c r="AV11" s="20">
        <f t="shared" si="11"/>
        <v>0.10349999999999999</v>
      </c>
      <c r="AW11" s="20">
        <f t="shared" si="12"/>
        <v>-0.20083333333333334</v>
      </c>
      <c r="AY11" s="20">
        <f t="shared" si="13"/>
        <v>-3.5180211998032132E-2</v>
      </c>
      <c r="AZ11" s="20">
        <f t="shared" si="14"/>
        <v>-4.7319788001967886E-2</v>
      </c>
      <c r="BA11" s="20">
        <f t="shared" si="15"/>
        <v>0.12249631455964587</v>
      </c>
      <c r="BB11" s="20">
        <f t="shared" si="16"/>
        <v>4.6115640890606852E-2</v>
      </c>
      <c r="BC11" s="20">
        <f t="shared" si="17"/>
        <v>4.3417385306581964E-2</v>
      </c>
      <c r="BD11" s="20">
        <f t="shared" si="18"/>
        <v>2.6287550614060462E-2</v>
      </c>
      <c r="BE11" s="20">
        <f t="shared" si="19"/>
        <v>-9.3375996271406081E-2</v>
      </c>
      <c r="BF11" s="20">
        <f t="shared" si="20"/>
        <v>-0.11333333333333284</v>
      </c>
      <c r="BG11" s="20">
        <f t="shared" si="21"/>
        <v>-6.6601162863412874E-2</v>
      </c>
    </row>
    <row r="12" spans="1:59">
      <c r="A12" s="24">
        <v>1969</v>
      </c>
      <c r="B12" s="20">
        <f>AVERAGEIFS(Analysis!$E$2:$E$823,Analysis!$B$2:$B$823,"&gt;="&amp;A12,Analysis!$B$2:$B$823,"&lt;"&amp;(A12+1))</f>
        <v>5.2500000000000213E-2</v>
      </c>
      <c r="C12" s="25">
        <f>AVERAGEIFS(Analysis!$F$2:$F$823,Analysis!$B$2:$B$823,"&gt;="&amp;A12,Analysis!$B$2:$B$823,"&lt;"&amp;(A12+1))</f>
        <v>0.21330789689493801</v>
      </c>
      <c r="D12" s="19">
        <f>AVERAGEIFS(ENSO!$D$2:$D$823,Analysis!$B$2:$B$823,"&gt;="&amp;A12,Analysis!$B$2:$B$823,"&lt;"&amp;(A12+1))</f>
        <v>0.66666666666666663</v>
      </c>
      <c r="E12" s="33">
        <v>0.82709999999999995</v>
      </c>
      <c r="F12" s="33">
        <v>0.35070000000000001</v>
      </c>
      <c r="G12" s="33">
        <v>9.0300000000000005E-2</v>
      </c>
      <c r="H12" s="33">
        <v>0.51570000000000005</v>
      </c>
      <c r="I12" s="33">
        <v>-1.1591</v>
      </c>
      <c r="J12" s="33">
        <v>0.19570000000000001</v>
      </c>
      <c r="K12" s="20">
        <f t="shared" si="0"/>
        <v>1.3428</v>
      </c>
      <c r="L12" s="20">
        <f t="shared" si="1"/>
        <v>0.37939999999999996</v>
      </c>
      <c r="M12" s="33">
        <v>3.3599999999999998E-2</v>
      </c>
      <c r="N12" s="33">
        <v>2.35E-2</v>
      </c>
      <c r="O12" s="20">
        <f t="shared" si="2"/>
        <v>0.4365</v>
      </c>
      <c r="P12" s="20">
        <f t="shared" si="3"/>
        <v>5.4207402371959895E-2</v>
      </c>
      <c r="Q12" s="20">
        <f t="shared" si="4"/>
        <v>-1.707402371959682E-3</v>
      </c>
      <c r="S12" s="17" t="s">
        <v>2019</v>
      </c>
      <c r="AN12" s="20">
        <f t="shared" si="5"/>
        <v>0.37939999999999996</v>
      </c>
      <c r="AO12" s="20">
        <f t="shared" si="6"/>
        <v>0.66666666666666663</v>
      </c>
      <c r="AQ12" s="20">
        <f t="shared" si="7"/>
        <v>1.5385</v>
      </c>
      <c r="AR12" s="20">
        <f t="shared" si="8"/>
        <v>-1.1591</v>
      </c>
      <c r="AS12" s="20">
        <f t="shared" si="9"/>
        <v>0.66666666666666663</v>
      </c>
      <c r="AU12" s="20">
        <f t="shared" si="10"/>
        <v>0.37939999999999996</v>
      </c>
      <c r="AV12" s="20">
        <f t="shared" si="11"/>
        <v>2.35E-2</v>
      </c>
      <c r="AW12" s="20">
        <f t="shared" si="12"/>
        <v>0.66666666666666663</v>
      </c>
      <c r="AY12" s="20">
        <f t="shared" si="13"/>
        <v>6.684746688859397E-2</v>
      </c>
      <c r="AZ12" s="20">
        <f t="shared" si="14"/>
        <v>-1.4347466888593757E-2</v>
      </c>
      <c r="BA12" s="20">
        <f t="shared" si="15"/>
        <v>0.16804839179276301</v>
      </c>
      <c r="BB12" s="20">
        <f t="shared" si="16"/>
        <v>5.2125391964116759E-2</v>
      </c>
      <c r="BC12" s="20">
        <f t="shared" si="17"/>
        <v>5.0571850870284298E-2</v>
      </c>
      <c r="BD12" s="20">
        <f t="shared" si="18"/>
        <v>2.8331683632261122E-2</v>
      </c>
      <c r="BE12" s="20">
        <f t="shared" si="19"/>
        <v>-0.1009392884387485</v>
      </c>
      <c r="BF12" s="20">
        <f t="shared" si="20"/>
        <v>2.1666666666667389E-2</v>
      </c>
      <c r="BG12" s="20">
        <f t="shared" si="21"/>
        <v>-1.9413779215735179E-2</v>
      </c>
    </row>
    <row r="13" spans="1:59">
      <c r="A13" s="24">
        <v>1970</v>
      </c>
      <c r="B13" s="20">
        <f>AVERAGEIFS(Analysis!$E$2:$E$823,Analysis!$B$2:$B$823,"&gt;="&amp;A13,Analysis!$B$2:$B$823,"&lt;"&amp;(A13+1))</f>
        <v>2.7500000000000746E-2</v>
      </c>
      <c r="C13" s="25">
        <f>AVERAGEIFS(Analysis!$F$2:$F$823,Analysis!$B$2:$B$823,"&gt;="&amp;A13,Analysis!$B$2:$B$823,"&lt;"&amp;(A13+1))</f>
        <v>0.21801538220265768</v>
      </c>
      <c r="D13" s="19">
        <f>AVERAGEIFS(ENSO!$D$2:$D$823,Analysis!$B$2:$B$823,"&gt;="&amp;A13,Analysis!$B$2:$B$823,"&lt;"&amp;(A13+1))</f>
        <v>0.10999999999999999</v>
      </c>
      <c r="E13" s="33">
        <v>0.85309999999999997</v>
      </c>
      <c r="F13" s="33">
        <v>0.3604</v>
      </c>
      <c r="G13" s="33">
        <v>9.1700000000000004E-2</v>
      </c>
      <c r="H13" s="33">
        <v>0.53569999999999995</v>
      </c>
      <c r="I13" s="33">
        <v>-1.2258</v>
      </c>
      <c r="J13" s="33">
        <v>0.2112</v>
      </c>
      <c r="K13" s="20">
        <f t="shared" si="0"/>
        <v>1.3887999999999998</v>
      </c>
      <c r="L13" s="20">
        <f t="shared" si="1"/>
        <v>0.37419999999999981</v>
      </c>
      <c r="M13" s="33">
        <v>3.2599999999999997E-2</v>
      </c>
      <c r="N13" s="33">
        <v>0.1638</v>
      </c>
      <c r="O13" s="20">
        <f t="shared" si="2"/>
        <v>0.57059999999999977</v>
      </c>
      <c r="P13" s="20">
        <f t="shared" si="3"/>
        <v>-4.2670336455004898E-3</v>
      </c>
      <c r="Q13" s="20">
        <f t="shared" si="4"/>
        <v>3.1767033645501236E-2</v>
      </c>
      <c r="S13" s="18" t="s">
        <v>1940</v>
      </c>
      <c r="T13" s="20">
        <f>INDEX(LINEST($B$2:$B$68,$AN$2:$AN$68:$AO$2:$AO$68),1,3)</f>
        <v>-0.16838468970603016</v>
      </c>
      <c r="AN13" s="20">
        <f t="shared" si="5"/>
        <v>0.37419999999999981</v>
      </c>
      <c r="AO13" s="20">
        <f t="shared" si="6"/>
        <v>0.10999999999999999</v>
      </c>
      <c r="AQ13" s="20">
        <f t="shared" si="7"/>
        <v>1.5999999999999999</v>
      </c>
      <c r="AR13" s="20">
        <f t="shared" si="8"/>
        <v>-1.2258</v>
      </c>
      <c r="AS13" s="20">
        <f t="shared" si="9"/>
        <v>0.10999999999999999</v>
      </c>
      <c r="AU13" s="20">
        <f t="shared" si="10"/>
        <v>0.37419999999999981</v>
      </c>
      <c r="AV13" s="20">
        <f t="shared" si="11"/>
        <v>0.1638</v>
      </c>
      <c r="AW13" s="20">
        <f t="shared" si="12"/>
        <v>0.10999999999999999</v>
      </c>
      <c r="AY13" s="20">
        <f t="shared" si="13"/>
        <v>1.5649491073341397E-2</v>
      </c>
      <c r="AZ13" s="20">
        <f t="shared" si="14"/>
        <v>1.1850508926659349E-2</v>
      </c>
      <c r="BA13" s="20">
        <f t="shared" si="15"/>
        <v>0.21215231950486738</v>
      </c>
      <c r="BB13" s="20">
        <f t="shared" si="16"/>
        <v>6.2754883658760197E-2</v>
      </c>
      <c r="BC13" s="20">
        <f t="shared" si="17"/>
        <v>5.8748382943086888E-2</v>
      </c>
      <c r="BD13" s="20">
        <f t="shared" si="18"/>
        <v>3.4668495988683157E-2</v>
      </c>
      <c r="BE13" s="20">
        <f t="shared" si="19"/>
        <v>-0.12820802290154526</v>
      </c>
      <c r="BF13" s="20">
        <f t="shared" si="20"/>
        <v>-3.333333333332078E-3</v>
      </c>
      <c r="BG13" s="20">
        <f t="shared" si="21"/>
        <v>1.1934758462797013E-2</v>
      </c>
    </row>
    <row r="14" spans="1:59">
      <c r="A14" s="24">
        <v>1971</v>
      </c>
      <c r="B14" s="20">
        <f>AVERAGEIFS(Analysis!$E$2:$E$823,Analysis!$B$2:$B$823,"&gt;="&amp;A14,Analysis!$B$2:$B$823,"&lt;"&amp;(A14+1))</f>
        <v>-7.9166666666666455E-2</v>
      </c>
      <c r="C14" s="25">
        <f>AVERAGEIFS(Analysis!$F$2:$F$823,Analysis!$B$2:$B$823,"&gt;="&amp;A14,Analysis!$B$2:$B$823,"&lt;"&amp;(A14+1))</f>
        <v>0.22084048798225211</v>
      </c>
      <c r="D14" s="19">
        <f>AVERAGEIFS(ENSO!$D$2:$D$823,Analysis!$B$2:$B$823,"&gt;="&amp;A14,Analysis!$B$2:$B$823,"&lt;"&amp;(A14+1))</f>
        <v>-0.87583333333333335</v>
      </c>
      <c r="E14" s="33">
        <v>0.86350000000000005</v>
      </c>
      <c r="F14" s="33">
        <v>0.36930000000000002</v>
      </c>
      <c r="G14" s="33">
        <v>9.3200000000000005E-2</v>
      </c>
      <c r="H14" s="33">
        <v>0.55559999999999998</v>
      </c>
      <c r="I14" s="33">
        <v>-1.2357</v>
      </c>
      <c r="J14" s="33">
        <v>0.222</v>
      </c>
      <c r="K14" s="20">
        <f t="shared" si="0"/>
        <v>1.4191</v>
      </c>
      <c r="L14" s="20">
        <f t="shared" si="1"/>
        <v>0.40539999999999998</v>
      </c>
      <c r="M14" s="33">
        <v>-4.7000000000000002E-3</v>
      </c>
      <c r="N14" s="33">
        <v>0.21049999999999999</v>
      </c>
      <c r="O14" s="20">
        <f t="shared" si="2"/>
        <v>0.61119999999999997</v>
      </c>
      <c r="P14" s="20">
        <f t="shared" si="3"/>
        <v>-9.1302541925854894E-2</v>
      </c>
      <c r="Q14" s="20">
        <f t="shared" si="4"/>
        <v>1.2135875259188439E-2</v>
      </c>
      <c r="S14" s="18" t="s">
        <v>2020</v>
      </c>
      <c r="T14" s="20">
        <f>INDEX(LINEST($B$2:$B$68,$AN$2:$AN$68:$AO$2:$AO$68),1,2)</f>
        <v>0.40882660364013163</v>
      </c>
      <c r="AN14" s="20">
        <f t="shared" si="5"/>
        <v>0.40539999999999998</v>
      </c>
      <c r="AO14" s="20">
        <f t="shared" si="6"/>
        <v>-0.87583333333333335</v>
      </c>
      <c r="AQ14" s="20">
        <f t="shared" si="7"/>
        <v>1.6411</v>
      </c>
      <c r="AR14" s="20">
        <f t="shared" si="8"/>
        <v>-1.2357</v>
      </c>
      <c r="AS14" s="20">
        <f t="shared" si="9"/>
        <v>-0.87583333333333335</v>
      </c>
      <c r="AU14" s="20">
        <f t="shared" si="10"/>
        <v>0.40539999999999998</v>
      </c>
      <c r="AV14" s="20">
        <f t="shared" si="11"/>
        <v>0.21049999999999999</v>
      </c>
      <c r="AW14" s="20">
        <f t="shared" si="12"/>
        <v>-0.87583333333333335</v>
      </c>
      <c r="AY14" s="20">
        <f t="shared" si="13"/>
        <v>-8.4846046485769294E-2</v>
      </c>
      <c r="AZ14" s="20">
        <f t="shared" si="14"/>
        <v>5.6793798191028394E-3</v>
      </c>
      <c r="BA14" s="20">
        <f t="shared" si="15"/>
        <v>0.19677295779641196</v>
      </c>
      <c r="BB14" s="20">
        <f t="shared" si="16"/>
        <v>6.7006680336617594E-2</v>
      </c>
      <c r="BC14" s="20">
        <f t="shared" si="17"/>
        <v>6.6884032355525522E-2</v>
      </c>
      <c r="BD14" s="20">
        <f t="shared" si="18"/>
        <v>3.9083823307996576E-2</v>
      </c>
      <c r="BE14" s="20">
        <f t="shared" si="19"/>
        <v>-0.13225540627758259</v>
      </c>
      <c r="BF14" s="20">
        <f t="shared" si="20"/>
        <v>-0.10999999999999928</v>
      </c>
      <c r="BG14" s="20">
        <f t="shared" si="21"/>
        <v>5.0589901100563939E-3</v>
      </c>
    </row>
    <row r="15" spans="1:59">
      <c r="A15" s="24">
        <v>1972</v>
      </c>
      <c r="B15" s="20">
        <f>AVERAGEIFS(Analysis!$E$2:$E$823,Analysis!$B$2:$B$823,"&gt;="&amp;A15,Analysis!$B$2:$B$823,"&lt;"&amp;(A15+1))</f>
        <v>9.1666666666673589E-3</v>
      </c>
      <c r="C15" s="25">
        <f>AVERAGEIFS(Analysis!$F$2:$F$823,Analysis!$B$2:$B$823,"&gt;="&amp;A15,Analysis!$B$2:$B$823,"&lt;"&amp;(A15+1))</f>
        <v>0.22586052597671843</v>
      </c>
      <c r="D15" s="19">
        <f>AVERAGEIFS(ENSO!$D$2:$D$823,Analysis!$B$2:$B$823,"&gt;="&amp;A15,Analysis!$B$2:$B$823,"&lt;"&amp;(A15+1))</f>
        <v>0.16333333333333336</v>
      </c>
      <c r="E15" s="33">
        <v>0.89649999999999996</v>
      </c>
      <c r="F15" s="33">
        <v>0.37719999999999998</v>
      </c>
      <c r="G15" s="33">
        <v>9.4600000000000004E-2</v>
      </c>
      <c r="H15" s="33">
        <v>0.5756</v>
      </c>
      <c r="I15" s="33">
        <v>-1.3046</v>
      </c>
      <c r="J15" s="33">
        <v>0.24349999999999999</v>
      </c>
      <c r="K15" s="20">
        <f t="shared" si="0"/>
        <v>1.4721</v>
      </c>
      <c r="L15" s="20">
        <f t="shared" si="1"/>
        <v>0.41099999999999998</v>
      </c>
      <c r="M15" s="33">
        <v>5.8999999999999999E-3</v>
      </c>
      <c r="N15" s="33">
        <v>0.21990000000000001</v>
      </c>
      <c r="O15" s="20">
        <f t="shared" si="2"/>
        <v>0.63680000000000003</v>
      </c>
      <c r="P15" s="20">
        <f t="shared" si="3"/>
        <v>1.6176447661010351E-2</v>
      </c>
      <c r="Q15" s="20">
        <f t="shared" si="4"/>
        <v>-7.0097809943429918E-3</v>
      </c>
      <c r="S15" s="18" t="s">
        <v>1941</v>
      </c>
      <c r="T15" s="20">
        <f>INDEX(LINEST($B$2:$B$68,$AN$2:$AN$68:$AO$2:$AO$68),1,1)</f>
        <v>0.10122491798538621</v>
      </c>
      <c r="AN15" s="20">
        <f t="shared" si="5"/>
        <v>0.41099999999999998</v>
      </c>
      <c r="AO15" s="20">
        <f t="shared" si="6"/>
        <v>0.16333333333333336</v>
      </c>
      <c r="AQ15" s="20">
        <f t="shared" si="7"/>
        <v>1.7156</v>
      </c>
      <c r="AR15" s="20">
        <f t="shared" si="8"/>
        <v>-1.3046</v>
      </c>
      <c r="AS15" s="20">
        <f t="shared" si="9"/>
        <v>0.16333333333333336</v>
      </c>
      <c r="AU15" s="20">
        <f t="shared" si="10"/>
        <v>0.41099999999999998</v>
      </c>
      <c r="AV15" s="20">
        <f t="shared" si="11"/>
        <v>0.21990000000000001</v>
      </c>
      <c r="AW15" s="20">
        <f t="shared" si="12"/>
        <v>0.16333333333333336</v>
      </c>
      <c r="AY15" s="20">
        <f t="shared" si="13"/>
        <v>4.4222388495223655E-2</v>
      </c>
      <c r="AZ15" s="20">
        <f t="shared" si="14"/>
        <v>-3.5055721828556298E-2</v>
      </c>
      <c r="BA15" s="20">
        <f t="shared" si="15"/>
        <v>0.19111857946300484</v>
      </c>
      <c r="BB15" s="20">
        <f t="shared" si="16"/>
        <v>8.04979582567419E-2</v>
      </c>
      <c r="BC15" s="20">
        <f t="shared" si="17"/>
        <v>7.5060564428328161E-2</v>
      </c>
      <c r="BD15" s="20">
        <f t="shared" si="18"/>
        <v>4.7873595286259403E-2</v>
      </c>
      <c r="BE15" s="20">
        <f t="shared" si="19"/>
        <v>-0.16042355926838764</v>
      </c>
      <c r="BF15" s="20">
        <f t="shared" si="20"/>
        <v>-2.1666666666665467E-2</v>
      </c>
      <c r="BG15" s="20">
        <f t="shared" si="21"/>
        <v>-1.1797237163090311E-2</v>
      </c>
    </row>
    <row r="16" spans="1:59">
      <c r="A16" s="24">
        <v>1973</v>
      </c>
      <c r="B16" s="20">
        <f>AVERAGEIFS(Analysis!$E$2:$E$823,Analysis!$B$2:$B$823,"&gt;="&amp;A16,Analysis!$B$2:$B$823,"&lt;"&amp;(A16+1))</f>
        <v>0.16083333333333302</v>
      </c>
      <c r="C16" s="25">
        <f>AVERAGEIFS(Analysis!$F$2:$F$823,Analysis!$B$2:$B$823,"&gt;="&amp;A16,Analysis!$B$2:$B$823,"&lt;"&amp;(A16+1))</f>
        <v>0.23562787907160213</v>
      </c>
      <c r="D16" s="19">
        <f>AVERAGEIFS(ENSO!$D$2:$D$823,Analysis!$B$2:$B$823,"&gt;="&amp;A16,Analysis!$B$2:$B$823,"&lt;"&amp;(A16+1))</f>
        <v>0.32000000000000012</v>
      </c>
      <c r="E16" s="33">
        <v>0.93969999999999998</v>
      </c>
      <c r="F16" s="33">
        <v>0.3831</v>
      </c>
      <c r="G16" s="33">
        <v>9.6100000000000005E-2</v>
      </c>
      <c r="H16" s="33">
        <v>0.59470000000000001</v>
      </c>
      <c r="I16" s="33">
        <v>-1.3083</v>
      </c>
      <c r="J16" s="33">
        <v>0.2427</v>
      </c>
      <c r="K16" s="20">
        <f t="shared" si="0"/>
        <v>1.5344</v>
      </c>
      <c r="L16" s="20">
        <f t="shared" si="1"/>
        <v>0.46879999999999999</v>
      </c>
      <c r="M16" s="33">
        <v>-2.3E-2</v>
      </c>
      <c r="N16" s="33">
        <v>0.21529999999999999</v>
      </c>
      <c r="O16" s="20">
        <f t="shared" si="2"/>
        <v>0.66110000000000002</v>
      </c>
      <c r="P16" s="20">
        <f t="shared" si="3"/>
        <v>5.5665195835787135E-2</v>
      </c>
      <c r="Q16" s="20">
        <f t="shared" si="4"/>
        <v>0.10516813749754589</v>
      </c>
      <c r="S16" s="18" t="s">
        <v>1912</v>
      </c>
      <c r="T16" s="20">
        <f>INDEX(LINEST($B$2:$B$68,$AN$2:$AN$68:$AO$2:$AO$68,TRUE(),TRUE()),3,1)</f>
        <v>0.95321835462445192</v>
      </c>
      <c r="AN16" s="20">
        <f t="shared" si="5"/>
        <v>0.46879999999999999</v>
      </c>
      <c r="AO16" s="20">
        <f t="shared" si="6"/>
        <v>0.32000000000000012</v>
      </c>
      <c r="AQ16" s="20">
        <f t="shared" si="7"/>
        <v>1.7770999999999999</v>
      </c>
      <c r="AR16" s="20">
        <f t="shared" si="8"/>
        <v>-1.3083</v>
      </c>
      <c r="AS16" s="20">
        <f t="shared" si="9"/>
        <v>0.32000000000000012</v>
      </c>
      <c r="AU16" s="20">
        <f t="shared" si="10"/>
        <v>0.46879999999999999</v>
      </c>
      <c r="AV16" s="20">
        <f t="shared" si="11"/>
        <v>0.21529999999999999</v>
      </c>
      <c r="AW16" s="20">
        <f t="shared" si="12"/>
        <v>0.32000000000000012</v>
      </c>
      <c r="AY16" s="20">
        <f t="shared" si="13"/>
        <v>8.5898194404286976E-2</v>
      </c>
      <c r="AZ16" s="20">
        <f t="shared" si="14"/>
        <v>7.4935138929046047E-2</v>
      </c>
      <c r="BA16" s="20">
        <f t="shared" si="15"/>
        <v>0.3209578072321474</v>
      </c>
      <c r="BB16" s="20">
        <f t="shared" si="16"/>
        <v>9.8159267533995592E-2</v>
      </c>
      <c r="BC16" s="20">
        <f t="shared" si="17"/>
        <v>8.2869152557854681E-2</v>
      </c>
      <c r="BD16" s="20">
        <f t="shared" si="18"/>
        <v>4.7546534003347303E-2</v>
      </c>
      <c r="BE16" s="20">
        <f t="shared" si="19"/>
        <v>-0.16193621770185615</v>
      </c>
      <c r="BF16" s="20">
        <f t="shared" si="20"/>
        <v>0.1300000000000002</v>
      </c>
      <c r="BG16" s="20">
        <f t="shared" si="21"/>
        <v>0.12401085901919817</v>
      </c>
    </row>
    <row r="17" spans="1:59">
      <c r="A17" s="24">
        <v>1974</v>
      </c>
      <c r="B17" s="20">
        <f>AVERAGEIFS(Analysis!$E$2:$E$823,Analysis!$B$2:$B$823,"&gt;="&amp;A17,Analysis!$B$2:$B$823,"&lt;"&amp;(A17+1))</f>
        <v>-7.1666666666667364E-2</v>
      </c>
      <c r="C17" s="25">
        <f>AVERAGEIFS(Analysis!$F$2:$F$823,Analysis!$B$2:$B$823,"&gt;="&amp;A17,Analysis!$B$2:$B$823,"&lt;"&amp;(A17+1))</f>
        <v>0.23785981722471297</v>
      </c>
      <c r="D17" s="19">
        <f>AVERAGEIFS(ENSO!$D$2:$D$823,Analysis!$B$2:$B$823,"&gt;="&amp;A17,Analysis!$B$2:$B$823,"&lt;"&amp;(A17+1))</f>
        <v>-1.156666666666667</v>
      </c>
      <c r="E17" s="33">
        <v>0.95379999999999998</v>
      </c>
      <c r="F17" s="33">
        <v>0.38879999999999998</v>
      </c>
      <c r="G17" s="33">
        <v>9.7699999999999995E-2</v>
      </c>
      <c r="H17" s="33">
        <v>0.61499999999999999</v>
      </c>
      <c r="I17" s="33">
        <v>-1.3004</v>
      </c>
      <c r="J17" s="33">
        <v>0.24379999999999999</v>
      </c>
      <c r="K17" s="20">
        <f t="shared" si="0"/>
        <v>1.5688</v>
      </c>
      <c r="L17" s="20">
        <f t="shared" si="1"/>
        <v>0.51219999999999999</v>
      </c>
      <c r="M17" s="33">
        <v>-3.27E-2</v>
      </c>
      <c r="N17" s="33">
        <v>0.21390000000000001</v>
      </c>
      <c r="O17" s="20">
        <f t="shared" si="2"/>
        <v>0.69340000000000002</v>
      </c>
      <c r="P17" s="20">
        <f t="shared" si="3"/>
        <v>-7.606719179131817E-2</v>
      </c>
      <c r="Q17" s="20">
        <f t="shared" si="4"/>
        <v>4.4005251246508059E-3</v>
      </c>
      <c r="S17" s="18" t="s">
        <v>2021</v>
      </c>
      <c r="T17" s="19">
        <f>T14*T3</f>
        <v>1.6066885523057173</v>
      </c>
      <c r="AN17" s="20">
        <f t="shared" si="5"/>
        <v>0.51219999999999999</v>
      </c>
      <c r="AO17" s="20">
        <f t="shared" si="6"/>
        <v>-1.156666666666667</v>
      </c>
      <c r="AQ17" s="20">
        <f t="shared" si="7"/>
        <v>1.8126</v>
      </c>
      <c r="AR17" s="20">
        <f t="shared" si="8"/>
        <v>-1.3004</v>
      </c>
      <c r="AS17" s="20">
        <f t="shared" si="9"/>
        <v>-1.156666666666667</v>
      </c>
      <c r="AU17" s="20">
        <f t="shared" si="10"/>
        <v>0.51219999999999999</v>
      </c>
      <c r="AV17" s="20">
        <f t="shared" si="11"/>
        <v>0.21390000000000001</v>
      </c>
      <c r="AW17" s="20">
        <f t="shared" si="12"/>
        <v>-1.156666666666667</v>
      </c>
      <c r="AY17" s="20">
        <f t="shared" si="13"/>
        <v>-7.5223602471908513E-2</v>
      </c>
      <c r="AZ17" s="20">
        <f t="shared" si="14"/>
        <v>3.5569358052411487E-3</v>
      </c>
      <c r="BA17" s="20">
        <f t="shared" si="15"/>
        <v>0.22595464997057818</v>
      </c>
      <c r="BB17" s="20">
        <f t="shared" si="16"/>
        <v>0.10392372264532145</v>
      </c>
      <c r="BC17" s="20">
        <f t="shared" si="17"/>
        <v>9.1168332611749336E-2</v>
      </c>
      <c r="BD17" s="20">
        <f t="shared" si="18"/>
        <v>4.7996243267351441E-2</v>
      </c>
      <c r="BE17" s="20">
        <f t="shared" si="19"/>
        <v>-0.1587064875330991</v>
      </c>
      <c r="BF17" s="20">
        <f t="shared" si="20"/>
        <v>-0.10250000000000019</v>
      </c>
      <c r="BG17" s="20">
        <f t="shared" si="21"/>
        <v>4.0986321244284821E-2</v>
      </c>
    </row>
    <row r="18" spans="1:59">
      <c r="A18" s="24">
        <v>1975</v>
      </c>
      <c r="B18" s="20">
        <f>AVERAGEIFS(Analysis!$E$2:$E$823,Analysis!$B$2:$B$823,"&gt;="&amp;A18,Analysis!$B$2:$B$823,"&lt;"&amp;(A18+1))</f>
        <v>-1.3333333333332309E-2</v>
      </c>
      <c r="C18" s="25">
        <f>AVERAGEIFS(Analysis!$F$2:$F$823,Analysis!$B$2:$B$823,"&gt;="&amp;A18,Analysis!$B$2:$B$823,"&lt;"&amp;(A18+1))</f>
        <v>0.24193918054612207</v>
      </c>
      <c r="D18" s="19">
        <f>AVERAGEIFS(ENSO!$D$2:$D$823,Analysis!$B$2:$B$823,"&gt;="&amp;A18,Analysis!$B$2:$B$823,"&lt;"&amp;(A18+1))</f>
        <v>-0.82249999999999979</v>
      </c>
      <c r="E18" s="33">
        <v>0.95479999999999998</v>
      </c>
      <c r="F18" s="33">
        <v>0.39550000000000002</v>
      </c>
      <c r="G18" s="33">
        <v>9.9299999999999999E-2</v>
      </c>
      <c r="H18" s="33">
        <v>0.63660000000000005</v>
      </c>
      <c r="I18" s="33">
        <v>-1.2810999999999999</v>
      </c>
      <c r="J18" s="33">
        <v>0.2429</v>
      </c>
      <c r="K18" s="20">
        <f t="shared" si="0"/>
        <v>1.5914000000000001</v>
      </c>
      <c r="L18" s="20">
        <f t="shared" si="1"/>
        <v>0.55320000000000025</v>
      </c>
      <c r="M18" s="33">
        <v>-4.0500000000000001E-2</v>
      </c>
      <c r="N18" s="33">
        <v>0.20349999999999999</v>
      </c>
      <c r="O18" s="20">
        <f t="shared" si="2"/>
        <v>0.71620000000000028</v>
      </c>
      <c r="P18" s="20">
        <f t="shared" si="3"/>
        <v>-2.5479307615289382E-2</v>
      </c>
      <c r="Q18" s="20">
        <f t="shared" si="4"/>
        <v>1.2145974281957073E-2</v>
      </c>
      <c r="S18" s="18" t="s">
        <v>1943</v>
      </c>
      <c r="T18" s="19">
        <f>CORREL($Q$2:$Q$67,$Q$3:$Q$68)</f>
        <v>0.357450780058027</v>
      </c>
      <c r="AN18" s="20">
        <f t="shared" si="5"/>
        <v>0.55320000000000025</v>
      </c>
      <c r="AO18" s="20">
        <f t="shared" si="6"/>
        <v>-0.82249999999999979</v>
      </c>
      <c r="AQ18" s="20">
        <f t="shared" si="7"/>
        <v>1.8343000000000003</v>
      </c>
      <c r="AR18" s="20">
        <f t="shared" si="8"/>
        <v>-1.2810999999999999</v>
      </c>
      <c r="AS18" s="20">
        <f t="shared" si="9"/>
        <v>-0.82249999999999979</v>
      </c>
      <c r="AU18" s="20">
        <f t="shared" si="10"/>
        <v>0.55320000000000025</v>
      </c>
      <c r="AV18" s="20">
        <f t="shared" si="11"/>
        <v>0.20349999999999999</v>
      </c>
      <c r="AW18" s="20">
        <f t="shared" si="12"/>
        <v>-0.82249999999999979</v>
      </c>
      <c r="AY18" s="20">
        <f t="shared" si="13"/>
        <v>-1.963063594849454E-2</v>
      </c>
      <c r="AZ18" s="20">
        <f t="shared" si="14"/>
        <v>6.2973026151622313E-3</v>
      </c>
      <c r="BA18" s="20">
        <f t="shared" si="15"/>
        <v>0.23410892573152459</v>
      </c>
      <c r="BB18" s="20">
        <f t="shared" si="16"/>
        <v>0.10433254924896158</v>
      </c>
      <c r="BC18" s="20">
        <f t="shared" si="17"/>
        <v>9.9998987250376217E-2</v>
      </c>
      <c r="BD18" s="20">
        <f t="shared" si="18"/>
        <v>4.7628299324075328E-2</v>
      </c>
      <c r="BE18" s="20">
        <f t="shared" si="19"/>
        <v>-0.1508161340828445</v>
      </c>
      <c r="BF18" s="20">
        <f t="shared" si="20"/>
        <v>-4.4166666666665133E-2</v>
      </c>
      <c r="BG18" s="20">
        <f t="shared" si="21"/>
        <v>6.5493661150836574E-2</v>
      </c>
    </row>
    <row r="19" spans="1:59">
      <c r="A19" s="24">
        <v>1976</v>
      </c>
      <c r="B19" s="20">
        <f>AVERAGEIFS(Analysis!$E$2:$E$823,Analysis!$B$2:$B$823,"&gt;="&amp;A19,Analysis!$B$2:$B$823,"&lt;"&amp;(A19+1))</f>
        <v>-9.7499999999999698E-2</v>
      </c>
      <c r="C19" s="25">
        <f>AVERAGEIFS(Analysis!$F$2:$F$823,Analysis!$B$2:$B$823,"&gt;="&amp;A19,Analysis!$B$2:$B$823,"&lt;"&amp;(A19+1))</f>
        <v>0.24584257261243991</v>
      </c>
      <c r="D19" s="19">
        <f>AVERAGEIFS(ENSO!$D$2:$D$823,Analysis!$B$2:$B$823,"&gt;="&amp;A19,Analysis!$B$2:$B$823,"&lt;"&amp;(A19+1))</f>
        <v>-0.58916666666666673</v>
      </c>
      <c r="E19" s="33">
        <v>0.9667</v>
      </c>
      <c r="F19" s="33">
        <v>0.40300000000000002</v>
      </c>
      <c r="G19" s="33">
        <v>0.1009</v>
      </c>
      <c r="H19" s="33">
        <v>0.65859999999999996</v>
      </c>
      <c r="I19" s="33">
        <v>-1.3487</v>
      </c>
      <c r="J19" s="33">
        <v>0.25919999999999999</v>
      </c>
      <c r="K19" s="20">
        <f t="shared" si="0"/>
        <v>1.6253</v>
      </c>
      <c r="L19" s="20">
        <f t="shared" si="1"/>
        <v>0.53579999999999994</v>
      </c>
      <c r="M19" s="33">
        <v>-4.3400000000000001E-2</v>
      </c>
      <c r="N19" s="33">
        <v>0.2041</v>
      </c>
      <c r="O19" s="20">
        <f t="shared" si="2"/>
        <v>0.6964999999999999</v>
      </c>
      <c r="P19" s="20">
        <f t="shared" si="3"/>
        <v>-8.9737429887043751E-3</v>
      </c>
      <c r="Q19" s="20">
        <f t="shared" si="4"/>
        <v>-8.8526257011295323E-2</v>
      </c>
      <c r="S19" s="18" t="s">
        <v>2022</v>
      </c>
      <c r="T19" s="25">
        <f>INDEX(LINEST($B$2:$B$68,$AN$2:$AN$68:$AO$2:$AO$68,TRUE(),TRUE()),2,2)</f>
        <v>1.1472147526369443E-2</v>
      </c>
      <c r="U19" s="25">
        <f>T19*SQRT((1+T18)/(1-T18))</f>
        <v>1.6674528737347687E-2</v>
      </c>
      <c r="AN19" s="20">
        <f t="shared" si="5"/>
        <v>0.53579999999999994</v>
      </c>
      <c r="AO19" s="20">
        <f t="shared" si="6"/>
        <v>-0.58916666666666673</v>
      </c>
      <c r="AQ19" s="20">
        <f t="shared" si="7"/>
        <v>1.8845000000000001</v>
      </c>
      <c r="AR19" s="20">
        <f t="shared" si="8"/>
        <v>-1.3487</v>
      </c>
      <c r="AS19" s="20">
        <f t="shared" si="9"/>
        <v>-0.58916666666666673</v>
      </c>
      <c r="AU19" s="20">
        <f t="shared" si="10"/>
        <v>0.53579999999999994</v>
      </c>
      <c r="AV19" s="20">
        <f t="shared" si="11"/>
        <v>0.2041</v>
      </c>
      <c r="AW19" s="20">
        <f t="shared" si="12"/>
        <v>-0.58916666666666673</v>
      </c>
      <c r="AY19" s="20">
        <f t="shared" si="13"/>
        <v>1.6212727093554286E-3</v>
      </c>
      <c r="AZ19" s="20">
        <f t="shared" si="14"/>
        <v>-9.9121272709355127E-2</v>
      </c>
      <c r="BA19" s="20">
        <f t="shared" si="15"/>
        <v>0.13830173102158977</v>
      </c>
      <c r="BB19" s="20">
        <f t="shared" si="16"/>
        <v>0.10919758583227916</v>
      </c>
      <c r="BC19" s="20">
        <f t="shared" si="17"/>
        <v>0.10899317253045906</v>
      </c>
      <c r="BD19" s="20">
        <f t="shared" si="18"/>
        <v>5.429217296340947E-2</v>
      </c>
      <c r="BE19" s="20">
        <f t="shared" si="19"/>
        <v>-0.17845281248891745</v>
      </c>
      <c r="BF19" s="20">
        <f t="shared" si="20"/>
        <v>-0.12833333333333252</v>
      </c>
      <c r="BG19" s="20">
        <f t="shared" si="21"/>
        <v>-4.2292153045754233E-2</v>
      </c>
    </row>
    <row r="20" spans="1:59">
      <c r="A20" s="24">
        <v>1977</v>
      </c>
      <c r="B20" s="20">
        <f>AVERAGEIFS(Analysis!$E$2:$E$823,Analysis!$B$2:$B$823,"&gt;="&amp;A20,Analysis!$B$2:$B$823,"&lt;"&amp;(A20+1))</f>
        <v>0.17833333333333354</v>
      </c>
      <c r="C20" s="25">
        <f>AVERAGEIFS(Analysis!$F$2:$F$823,Analysis!$B$2:$B$823,"&gt;="&amp;A20,Analysis!$B$2:$B$823,"&lt;"&amp;(A20+1))</f>
        <v>0.25372586794152979</v>
      </c>
      <c r="D20" s="19">
        <f>AVERAGEIFS(ENSO!$D$2:$D$823,Analysis!$B$2:$B$823,"&gt;="&amp;A20,Analysis!$B$2:$B$823,"&lt;"&amp;(A20+1))</f>
        <v>0.52583333333333326</v>
      </c>
      <c r="E20" s="33">
        <v>0.99680000000000002</v>
      </c>
      <c r="F20" s="33">
        <v>0.4108</v>
      </c>
      <c r="G20" s="33">
        <v>0.1026</v>
      </c>
      <c r="H20" s="33">
        <v>0.68100000000000005</v>
      </c>
      <c r="I20" s="33">
        <v>-1.3574999999999999</v>
      </c>
      <c r="J20" s="33">
        <v>0.26769999999999999</v>
      </c>
      <c r="K20" s="20">
        <f t="shared" si="0"/>
        <v>1.6778</v>
      </c>
      <c r="L20" s="20">
        <f t="shared" si="1"/>
        <v>0.58800000000000008</v>
      </c>
      <c r="M20" s="33">
        <v>-2.1299999999999999E-2</v>
      </c>
      <c r="N20" s="33">
        <v>0.2177</v>
      </c>
      <c r="O20" s="20">
        <f t="shared" si="2"/>
        <v>0.7844000000000001</v>
      </c>
      <c r="P20" s="20">
        <f t="shared" si="3"/>
        <v>0.12523278927501619</v>
      </c>
      <c r="Q20" s="20">
        <f t="shared" si="4"/>
        <v>5.310054405831735E-2</v>
      </c>
      <c r="S20" s="17" t="s">
        <v>2612</v>
      </c>
      <c r="T20" s="19">
        <f>(T14-1.96*U19)*T3</f>
        <v>1.4782479923476755</v>
      </c>
      <c r="U20" s="19">
        <f>(T14+1.96*U19)*T3</f>
        <v>1.7351291122637591</v>
      </c>
      <c r="AN20" s="20">
        <f t="shared" si="5"/>
        <v>0.58800000000000008</v>
      </c>
      <c r="AO20" s="20">
        <f t="shared" si="6"/>
        <v>0.52583333333333326</v>
      </c>
      <c r="AQ20" s="20">
        <f t="shared" si="7"/>
        <v>1.9455</v>
      </c>
      <c r="AR20" s="20">
        <f t="shared" si="8"/>
        <v>-1.3574999999999999</v>
      </c>
      <c r="AS20" s="20">
        <f t="shared" si="9"/>
        <v>0.52583333333333326</v>
      </c>
      <c r="AU20" s="20">
        <f t="shared" si="10"/>
        <v>0.58800000000000008</v>
      </c>
      <c r="AV20" s="20">
        <f t="shared" si="11"/>
        <v>0.2177</v>
      </c>
      <c r="AW20" s="20">
        <f t="shared" si="12"/>
        <v>0.52583333333333326</v>
      </c>
      <c r="AY20" s="20">
        <f t="shared" si="13"/>
        <v>0.15921431877037695</v>
      </c>
      <c r="AZ20" s="20">
        <f t="shared" si="14"/>
        <v>1.9119014562956588E-2</v>
      </c>
      <c r="BA20" s="20">
        <f t="shared" si="15"/>
        <v>0.29223421286077039</v>
      </c>
      <c r="BB20" s="20">
        <f t="shared" si="16"/>
        <v>0.12150326660184713</v>
      </c>
      <c r="BC20" s="20">
        <f t="shared" si="17"/>
        <v>0.11815088845199806</v>
      </c>
      <c r="BD20" s="20">
        <f t="shared" si="18"/>
        <v>5.7767199094350588E-2</v>
      </c>
      <c r="BE20" s="20">
        <f t="shared" si="19"/>
        <v>-0.18205048660095058</v>
      </c>
      <c r="BF20" s="20">
        <f t="shared" si="20"/>
        <v>0.14750000000000071</v>
      </c>
      <c r="BG20" s="20">
        <f t="shared" si="21"/>
        <v>0.12067539673387337</v>
      </c>
    </row>
    <row r="21" spans="1:59">
      <c r="A21" s="24">
        <v>1978</v>
      </c>
      <c r="B21" s="20">
        <f>AVERAGEIFS(Analysis!$E$2:$E$823,Analysis!$B$2:$B$823,"&gt;="&amp;A21,Analysis!$B$2:$B$823,"&lt;"&amp;(A21+1))</f>
        <v>6.6666666666666277E-2</v>
      </c>
      <c r="C21" s="25">
        <f>AVERAGEIFS(Analysis!$F$2:$F$823,Analysis!$B$2:$B$823,"&gt;="&amp;A21,Analysis!$B$2:$B$823,"&lt;"&amp;(A21+1))</f>
        <v>0.26049697715420922</v>
      </c>
      <c r="D21" s="19">
        <f>AVERAGEIFS(ENSO!$D$2:$D$823,Analysis!$B$2:$B$823,"&gt;="&amp;A21,Analysis!$B$2:$B$823,"&lt;"&amp;(A21+1))</f>
        <v>0.16499999999999992</v>
      </c>
      <c r="E21" s="33">
        <v>1.0242</v>
      </c>
      <c r="F21" s="33">
        <v>0.41889999999999999</v>
      </c>
      <c r="G21" s="33">
        <v>0.10440000000000001</v>
      </c>
      <c r="H21" s="33">
        <v>0.7036</v>
      </c>
      <c r="I21" s="33">
        <v>-1.3764000000000001</v>
      </c>
      <c r="J21" s="33">
        <v>0.2782</v>
      </c>
      <c r="K21" s="20">
        <f t="shared" si="0"/>
        <v>1.7278</v>
      </c>
      <c r="L21" s="20">
        <f t="shared" si="1"/>
        <v>0.62959999999999994</v>
      </c>
      <c r="M21" s="33">
        <v>2.76E-2</v>
      </c>
      <c r="N21" s="33">
        <v>0.2203</v>
      </c>
      <c r="O21" s="20">
        <f t="shared" si="2"/>
        <v>0.87749999999999995</v>
      </c>
      <c r="P21" s="20">
        <f t="shared" si="3"/>
        <v>0.10571465141338537</v>
      </c>
      <c r="Q21" s="20">
        <f t="shared" si="4"/>
        <v>-3.9047984746719097E-2</v>
      </c>
      <c r="S21" s="18" t="s">
        <v>2613</v>
      </c>
      <c r="T21" s="20">
        <f>INDEX(LINEST($B$2:$B$68,$AQ$2:$AQ$68:$AS$2:$AS$68),1,3)</f>
        <v>0.40867799906458935</v>
      </c>
      <c r="AN21" s="20">
        <f t="shared" si="5"/>
        <v>0.62959999999999994</v>
      </c>
      <c r="AO21" s="20">
        <f t="shared" si="6"/>
        <v>0.16499999999999992</v>
      </c>
      <c r="AQ21" s="20">
        <f t="shared" si="7"/>
        <v>2.0060000000000002</v>
      </c>
      <c r="AR21" s="20">
        <f t="shared" si="8"/>
        <v>-1.3764000000000001</v>
      </c>
      <c r="AS21" s="20">
        <f t="shared" si="9"/>
        <v>0.16499999999999992</v>
      </c>
      <c r="AU21" s="20">
        <f t="shared" si="10"/>
        <v>0.62959999999999994</v>
      </c>
      <c r="AV21" s="20">
        <f t="shared" si="11"/>
        <v>0.2203</v>
      </c>
      <c r="AW21" s="20">
        <f t="shared" si="12"/>
        <v>0.16499999999999992</v>
      </c>
      <c r="AY21" s="20">
        <f t="shared" si="13"/>
        <v>0.13273904760468111</v>
      </c>
      <c r="AZ21" s="20">
        <f t="shared" si="14"/>
        <v>-6.6072380938014832E-2</v>
      </c>
      <c r="BA21" s="20">
        <f t="shared" si="15"/>
        <v>0.21128753299547354</v>
      </c>
      <c r="BB21" s="20">
        <f t="shared" si="16"/>
        <v>0.13270511554158673</v>
      </c>
      <c r="BC21" s="20">
        <f t="shared" si="17"/>
        <v>0.12739036969426501</v>
      </c>
      <c r="BD21" s="20">
        <f t="shared" si="18"/>
        <v>6.2059878432571977E-2</v>
      </c>
      <c r="BE21" s="20">
        <f t="shared" si="19"/>
        <v>-0.18977730940974913</v>
      </c>
      <c r="BF21" s="20">
        <f t="shared" si="20"/>
        <v>3.5833333333333453E-2</v>
      </c>
      <c r="BG21" s="20">
        <f t="shared" si="21"/>
        <v>4.553405464026631E-2</v>
      </c>
    </row>
    <row r="22" spans="1:59">
      <c r="A22" s="24">
        <v>1979</v>
      </c>
      <c r="B22" s="20">
        <f>AVERAGEIFS(Analysis!$E$2:$E$823,Analysis!$B$2:$B$823,"&gt;="&amp;A22,Analysis!$B$2:$B$823,"&lt;"&amp;(A22+1))</f>
        <v>0.16416666666666671</v>
      </c>
      <c r="C22" s="25">
        <f>AVERAGEIFS(Analysis!$F$2:$F$823,Analysis!$B$2:$B$823,"&gt;="&amp;A22,Analysis!$B$2:$B$823,"&lt;"&amp;(A22+1))</f>
        <v>0.26659553851729739</v>
      </c>
      <c r="D22" s="19">
        <f>AVERAGEIFS(ENSO!$D$2:$D$823,Analysis!$B$2:$B$823,"&gt;="&amp;A22,Analysis!$B$2:$B$823,"&lt;"&amp;(A22+1))</f>
        <v>0.155</v>
      </c>
      <c r="E22" s="33">
        <v>1.0524</v>
      </c>
      <c r="F22" s="33">
        <v>0.4269</v>
      </c>
      <c r="G22" s="33">
        <v>0.1062</v>
      </c>
      <c r="H22" s="33">
        <v>0.72529999999999994</v>
      </c>
      <c r="I22" s="33">
        <v>-1.3988</v>
      </c>
      <c r="J22" s="33">
        <v>0.2848</v>
      </c>
      <c r="K22" s="20">
        <f t="shared" si="0"/>
        <v>1.7776999999999998</v>
      </c>
      <c r="L22" s="20">
        <f t="shared" si="1"/>
        <v>0.66369999999999973</v>
      </c>
      <c r="M22" s="33">
        <v>7.4099999999999999E-2</v>
      </c>
      <c r="N22" s="33">
        <v>0.19570000000000001</v>
      </c>
      <c r="O22" s="20">
        <f t="shared" si="2"/>
        <v>0.93349999999999977</v>
      </c>
      <c r="P22" s="20">
        <f t="shared" si="3"/>
        <v>0.11864338941765998</v>
      </c>
      <c r="Q22" s="20">
        <f t="shared" si="4"/>
        <v>4.5523277249006733E-2</v>
      </c>
      <c r="S22" s="18" t="s">
        <v>2023</v>
      </c>
      <c r="T22" s="20">
        <f>INDEX(LINEST($B$2:$B$68,$AQ$2:$AQ$68:$AS$2:$AS$68),1,2)</f>
        <v>0.4137644284953973</v>
      </c>
      <c r="AN22" s="20">
        <f t="shared" si="5"/>
        <v>0.66369999999999973</v>
      </c>
      <c r="AO22" s="20">
        <f t="shared" si="6"/>
        <v>0.155</v>
      </c>
      <c r="AQ22" s="20">
        <f t="shared" si="7"/>
        <v>2.0625</v>
      </c>
      <c r="AR22" s="20">
        <f t="shared" si="8"/>
        <v>-1.3988</v>
      </c>
      <c r="AS22" s="20">
        <f t="shared" si="9"/>
        <v>0.155</v>
      </c>
      <c r="AU22" s="20">
        <f t="shared" si="10"/>
        <v>0.66369999999999973</v>
      </c>
      <c r="AV22" s="20">
        <f t="shared" si="11"/>
        <v>0.19570000000000001</v>
      </c>
      <c r="AW22" s="20">
        <f t="shared" si="12"/>
        <v>0.155</v>
      </c>
      <c r="AY22" s="20">
        <f t="shared" si="13"/>
        <v>0.14211161858455443</v>
      </c>
      <c r="AZ22" s="20">
        <f t="shared" si="14"/>
        <v>2.2055048082112283E-2</v>
      </c>
      <c r="BA22" s="20">
        <f t="shared" si="15"/>
        <v>0.30738770521385117</v>
      </c>
      <c r="BB22" s="20">
        <f t="shared" si="16"/>
        <v>0.14423402576423844</v>
      </c>
      <c r="BC22" s="20">
        <f t="shared" si="17"/>
        <v>0.13626190699325585</v>
      </c>
      <c r="BD22" s="20">
        <f t="shared" si="18"/>
        <v>6.4758134016596844E-2</v>
      </c>
      <c r="BE22" s="20">
        <f t="shared" si="19"/>
        <v>-0.19893502533128807</v>
      </c>
      <c r="BF22" s="20">
        <f t="shared" si="20"/>
        <v>0.13333333333333389</v>
      </c>
      <c r="BG22" s="20">
        <f t="shared" si="21"/>
        <v>0.1440463038201206</v>
      </c>
    </row>
    <row r="23" spans="1:59">
      <c r="A23" s="24">
        <v>1980</v>
      </c>
      <c r="B23" s="20">
        <f>AVERAGEIFS(Analysis!$E$2:$E$823,Analysis!$B$2:$B$823,"&gt;="&amp;A23,Analysis!$B$2:$B$823,"&lt;"&amp;(A23+1))</f>
        <v>0.25583333333333363</v>
      </c>
      <c r="C23" s="25">
        <f>AVERAGEIFS(Analysis!$F$2:$F$823,Analysis!$B$2:$B$823,"&gt;="&amp;A23,Analysis!$B$2:$B$823,"&lt;"&amp;(A23+1))</f>
        <v>0.27482718847371568</v>
      </c>
      <c r="D23" s="19">
        <f>AVERAGEIFS(ENSO!$D$2:$D$823,Analysis!$B$2:$B$823,"&gt;="&amp;A23,Analysis!$B$2:$B$823,"&lt;"&amp;(A23+1))</f>
        <v>0.34916666666666668</v>
      </c>
      <c r="E23" s="33">
        <v>1.0864</v>
      </c>
      <c r="F23" s="33">
        <v>0.43469999999999998</v>
      </c>
      <c r="G23" s="33">
        <v>0.1084</v>
      </c>
      <c r="H23" s="33">
        <v>0.74709999999999999</v>
      </c>
      <c r="I23" s="33">
        <v>-1.3938999999999999</v>
      </c>
      <c r="J23" s="33">
        <v>0.28360000000000002</v>
      </c>
      <c r="K23" s="20">
        <f t="shared" si="0"/>
        <v>1.8334999999999999</v>
      </c>
      <c r="L23" s="20">
        <f t="shared" si="1"/>
        <v>0.72320000000000007</v>
      </c>
      <c r="M23" s="33">
        <v>7.7399999999999997E-2</v>
      </c>
      <c r="N23" s="33">
        <v>0.15160000000000001</v>
      </c>
      <c r="O23" s="20">
        <f t="shared" si="2"/>
        <v>0.95220000000000016</v>
      </c>
      <c r="P23" s="20">
        <f t="shared" si="3"/>
        <v>0.16262307724307712</v>
      </c>
      <c r="Q23" s="20">
        <f t="shared" si="4"/>
        <v>9.3210256090256516E-2</v>
      </c>
      <c r="S23" s="18" t="s">
        <v>1912</v>
      </c>
      <c r="T23" s="20">
        <f>INDEX(LINEST($B$2:$B$68,$AQ$2:$AQ$68:$AS$2:$AS$68,TRUE(),TRUE()),3,1)</f>
        <v>0.95322246731435467</v>
      </c>
      <c r="AN23" s="20">
        <f t="shared" si="5"/>
        <v>0.72320000000000007</v>
      </c>
      <c r="AO23" s="20">
        <f t="shared" si="6"/>
        <v>0.34916666666666668</v>
      </c>
      <c r="AQ23" s="20">
        <f t="shared" si="7"/>
        <v>2.1170999999999998</v>
      </c>
      <c r="AR23" s="20">
        <f t="shared" si="8"/>
        <v>-1.3938999999999999</v>
      </c>
      <c r="AS23" s="20">
        <f t="shared" si="9"/>
        <v>0.34916666666666668</v>
      </c>
      <c r="AU23" s="20">
        <f t="shared" si="10"/>
        <v>0.72320000000000007</v>
      </c>
      <c r="AV23" s="20">
        <f t="shared" si="11"/>
        <v>0.15160000000000001</v>
      </c>
      <c r="AW23" s="20">
        <f t="shared" si="12"/>
        <v>0.34916666666666668</v>
      </c>
      <c r="AY23" s="20">
        <f t="shared" si="13"/>
        <v>0.1838880804402096</v>
      </c>
      <c r="AZ23" s="20">
        <f t="shared" si="14"/>
        <v>7.1945252893124034E-2</v>
      </c>
      <c r="BA23" s="20">
        <f t="shared" si="15"/>
        <v>0.3689747885788654</v>
      </c>
      <c r="BB23" s="20">
        <f t="shared" si="16"/>
        <v>0.15813413028800294</v>
      </c>
      <c r="BC23" s="20">
        <f t="shared" si="17"/>
        <v>0.14517432695261073</v>
      </c>
      <c r="BD23" s="20">
        <f t="shared" si="18"/>
        <v>6.4267542092228694E-2</v>
      </c>
      <c r="BE23" s="20">
        <f t="shared" si="19"/>
        <v>-0.19693177497345138</v>
      </c>
      <c r="BF23" s="20">
        <f t="shared" si="20"/>
        <v>0.22500000000000081</v>
      </c>
      <c r="BG23" s="20">
        <f t="shared" si="21"/>
        <v>0.21605846557795835</v>
      </c>
    </row>
    <row r="24" spans="1:59">
      <c r="A24" s="24">
        <v>1981</v>
      </c>
      <c r="B24" s="20">
        <f>AVERAGEIFS(Analysis!$E$2:$E$823,Analysis!$B$2:$B$823,"&gt;="&amp;A24,Analysis!$B$2:$B$823,"&lt;"&amp;(A24+1))</f>
        <v>0.32333333333333264</v>
      </c>
      <c r="C24" s="25">
        <f>AVERAGEIFS(Analysis!$F$2:$F$823,Analysis!$B$2:$B$823,"&gt;="&amp;A24,Analysis!$B$2:$B$823,"&lt;"&amp;(A24+1))</f>
        <v>0.28059166813261399</v>
      </c>
      <c r="D24" s="19">
        <f>AVERAGEIFS(ENSO!$D$2:$D$823,Analysis!$B$2:$B$823,"&gt;="&amp;A24,Analysis!$B$2:$B$823,"&lt;"&amp;(A24+1))</f>
        <v>-0.21250000000000002</v>
      </c>
      <c r="E24" s="33">
        <v>1.1060000000000001</v>
      </c>
      <c r="F24" s="33">
        <v>0.442</v>
      </c>
      <c r="G24" s="33">
        <v>0.11119999999999999</v>
      </c>
      <c r="H24" s="33">
        <v>0.76870000000000005</v>
      </c>
      <c r="I24" s="33">
        <v>-1.3544</v>
      </c>
      <c r="J24" s="33">
        <v>0.27900000000000003</v>
      </c>
      <c r="K24" s="20">
        <f t="shared" si="0"/>
        <v>1.8747000000000003</v>
      </c>
      <c r="L24" s="20">
        <f t="shared" si="1"/>
        <v>0.79930000000000023</v>
      </c>
      <c r="M24" s="33">
        <v>8.3500000000000005E-2</v>
      </c>
      <c r="N24" s="33">
        <v>0.1187</v>
      </c>
      <c r="O24" s="20">
        <f t="shared" si="2"/>
        <v>1.0015000000000003</v>
      </c>
      <c r="P24" s="20">
        <f t="shared" si="3"/>
        <v>0.13688011951163259</v>
      </c>
      <c r="Q24" s="20">
        <f t="shared" si="4"/>
        <v>0.18645321382170005</v>
      </c>
      <c r="S24" s="18" t="s">
        <v>2024</v>
      </c>
      <c r="T24" s="19">
        <f>CORREL($K$2:$K$68,$I$2:$I$68)</f>
        <v>1.8611198965483026E-2</v>
      </c>
      <c r="AN24" s="20">
        <f t="shared" si="5"/>
        <v>0.79930000000000023</v>
      </c>
      <c r="AO24" s="20">
        <f t="shared" si="6"/>
        <v>-0.21250000000000002</v>
      </c>
      <c r="AQ24" s="20">
        <f t="shared" si="7"/>
        <v>2.1537000000000002</v>
      </c>
      <c r="AR24" s="20">
        <f t="shared" si="8"/>
        <v>-1.3544</v>
      </c>
      <c r="AS24" s="20">
        <f t="shared" si="9"/>
        <v>-0.21250000000000002</v>
      </c>
      <c r="AU24" s="20">
        <f t="shared" si="10"/>
        <v>0.79930000000000023</v>
      </c>
      <c r="AV24" s="20">
        <f t="shared" si="11"/>
        <v>0.1187</v>
      </c>
      <c r="AW24" s="20">
        <f t="shared" si="12"/>
        <v>-0.21250000000000002</v>
      </c>
      <c r="AY24" s="20">
        <f t="shared" si="13"/>
        <v>0.14247128670105846</v>
      </c>
      <c r="AZ24" s="20">
        <f t="shared" si="14"/>
        <v>0.18086204663227418</v>
      </c>
      <c r="BA24" s="20">
        <f t="shared" si="15"/>
        <v>0.47023074774165552</v>
      </c>
      <c r="BB24" s="20">
        <f t="shared" si="16"/>
        <v>0.16614713171934953</v>
      </c>
      <c r="BC24" s="20">
        <f t="shared" si="17"/>
        <v>0.1540049815912376</v>
      </c>
      <c r="BD24" s="20">
        <f t="shared" si="18"/>
        <v>6.2386939715484091E-2</v>
      </c>
      <c r="BE24" s="20">
        <f t="shared" si="19"/>
        <v>-0.18078312412966621</v>
      </c>
      <c r="BF24" s="20">
        <f t="shared" si="20"/>
        <v>0.29249999999999982</v>
      </c>
      <c r="BG24" s="20">
        <f t="shared" si="21"/>
        <v>0.34041312784641597</v>
      </c>
    </row>
    <row r="25" spans="1:59">
      <c r="A25" s="24">
        <v>1982</v>
      </c>
      <c r="B25" s="20">
        <f>AVERAGEIFS(Analysis!$E$2:$E$823,Analysis!$B$2:$B$823,"&gt;="&amp;A25,Analysis!$B$2:$B$823,"&lt;"&amp;(A25+1))</f>
        <v>0.13916666666666591</v>
      </c>
      <c r="C25" s="25">
        <f>AVERAGEIFS(Analysis!$F$2:$F$823,Analysis!$B$2:$B$823,"&gt;="&amp;A25,Analysis!$B$2:$B$823,"&lt;"&amp;(A25+1))</f>
        <v>0.2863409347995432</v>
      </c>
      <c r="D25" s="19">
        <f>AVERAGEIFS(ENSO!$D$2:$D$823,Analysis!$B$2:$B$823,"&gt;="&amp;A25,Analysis!$B$2:$B$823,"&lt;"&amp;(A25+1))</f>
        <v>0.3741666666666667</v>
      </c>
      <c r="E25" s="33">
        <v>1.1181000000000001</v>
      </c>
      <c r="F25" s="33">
        <v>0.44850000000000001</v>
      </c>
      <c r="G25" s="33">
        <v>0.1152</v>
      </c>
      <c r="H25" s="33">
        <v>0.79049999999999998</v>
      </c>
      <c r="I25" s="33">
        <v>-1.393</v>
      </c>
      <c r="J25" s="33">
        <v>0.29609999999999997</v>
      </c>
      <c r="K25" s="20">
        <f t="shared" si="0"/>
        <v>1.9086000000000001</v>
      </c>
      <c r="L25" s="20">
        <f t="shared" si="1"/>
        <v>0.81170000000000009</v>
      </c>
      <c r="M25" s="33">
        <v>2.7E-2</v>
      </c>
      <c r="N25" s="33">
        <v>-0.19850000000000001</v>
      </c>
      <c r="O25" s="20">
        <f t="shared" si="2"/>
        <v>0.6402000000000001</v>
      </c>
      <c r="P25" s="20">
        <f t="shared" si="3"/>
        <v>0.20133485461486342</v>
      </c>
      <c r="Q25" s="20">
        <f t="shared" si="4"/>
        <v>-6.2168187948197506E-2</v>
      </c>
      <c r="AN25" s="20">
        <f t="shared" si="5"/>
        <v>0.81170000000000009</v>
      </c>
      <c r="AO25" s="20">
        <f t="shared" si="6"/>
        <v>0.3741666666666667</v>
      </c>
      <c r="AQ25" s="20">
        <f t="shared" si="7"/>
        <v>2.2046999999999999</v>
      </c>
      <c r="AR25" s="20">
        <f t="shared" si="8"/>
        <v>-1.393</v>
      </c>
      <c r="AS25" s="20">
        <f t="shared" si="9"/>
        <v>0.3741666666666667</v>
      </c>
      <c r="AU25" s="20">
        <f t="shared" si="10"/>
        <v>0.81170000000000009</v>
      </c>
      <c r="AV25" s="20">
        <f t="shared" si="11"/>
        <v>-0.19850000000000001</v>
      </c>
      <c r="AW25" s="20">
        <f t="shared" si="12"/>
        <v>0.3741666666666667</v>
      </c>
      <c r="AY25" s="20">
        <f t="shared" si="13"/>
        <v>0.17728189376501691</v>
      </c>
      <c r="AZ25" s="20">
        <f t="shared" si="14"/>
        <v>-3.8115227098350996E-2</v>
      </c>
      <c r="BA25" s="20">
        <f t="shared" si="15"/>
        <v>0.22655614787580355</v>
      </c>
      <c r="BB25" s="20">
        <f t="shared" si="16"/>
        <v>0.17109393362339512</v>
      </c>
      <c r="BC25" s="20">
        <f t="shared" si="17"/>
        <v>0.16291740155059245</v>
      </c>
      <c r="BD25" s="20">
        <f t="shared" si="18"/>
        <v>6.9377874637730319E-2</v>
      </c>
      <c r="BE25" s="20">
        <f t="shared" si="19"/>
        <v>-0.1965638310301753</v>
      </c>
      <c r="BF25" s="20">
        <f t="shared" si="20"/>
        <v>0.10833333333333309</v>
      </c>
      <c r="BG25" s="20">
        <f t="shared" si="21"/>
        <v>9.6861175961655985E-2</v>
      </c>
    </row>
    <row r="26" spans="1:59">
      <c r="A26" s="24">
        <v>1983</v>
      </c>
      <c r="B26" s="20">
        <f>AVERAGEIFS(Analysis!$E$2:$E$823,Analysis!$B$2:$B$823,"&gt;="&amp;A26,Analysis!$B$2:$B$823,"&lt;"&amp;(A26+1))</f>
        <v>0.31500000000000039</v>
      </c>
      <c r="C26" s="25">
        <f>AVERAGEIFS(Analysis!$F$2:$F$823,Analysis!$B$2:$B$823,"&gt;="&amp;A26,Analysis!$B$2:$B$823,"&lt;"&amp;(A26+1))</f>
        <v>0.29340200418028634</v>
      </c>
      <c r="D26" s="19">
        <f>AVERAGEIFS(ENSO!$D$2:$D$823,Analysis!$B$2:$B$823,"&gt;="&amp;A26,Analysis!$B$2:$B$823,"&lt;"&amp;(A26+1))</f>
        <v>1.1749999999999998</v>
      </c>
      <c r="E26" s="33">
        <v>1.1456</v>
      </c>
      <c r="F26" s="33">
        <v>0.45419999999999999</v>
      </c>
      <c r="G26" s="33">
        <v>0.1171</v>
      </c>
      <c r="H26" s="33">
        <v>0.80940000000000001</v>
      </c>
      <c r="I26" s="33">
        <v>-1.3101</v>
      </c>
      <c r="J26" s="33">
        <v>0.27739999999999998</v>
      </c>
      <c r="K26" s="20">
        <f t="shared" si="0"/>
        <v>1.9550000000000001</v>
      </c>
      <c r="L26" s="20">
        <f t="shared" si="1"/>
        <v>0.92230000000000001</v>
      </c>
      <c r="M26" s="33">
        <v>2.75E-2</v>
      </c>
      <c r="N26" s="33">
        <v>-0.64500000000000002</v>
      </c>
      <c r="O26" s="20">
        <f t="shared" si="2"/>
        <v>0.30479999999999996</v>
      </c>
      <c r="P26" s="20">
        <f t="shared" si="3"/>
        <v>0.32761536546409203</v>
      </c>
      <c r="Q26" s="20">
        <f t="shared" si="4"/>
        <v>-1.2615365464091643E-2</v>
      </c>
      <c r="S26" s="17" t="s">
        <v>2025</v>
      </c>
      <c r="AN26" s="20">
        <f t="shared" si="5"/>
        <v>0.92230000000000001</v>
      </c>
      <c r="AO26" s="20">
        <f t="shared" si="6"/>
        <v>1.1749999999999998</v>
      </c>
      <c r="AQ26" s="20">
        <f t="shared" si="7"/>
        <v>2.2324000000000002</v>
      </c>
      <c r="AR26" s="20">
        <f t="shared" si="8"/>
        <v>-1.3101</v>
      </c>
      <c r="AS26" s="20">
        <f t="shared" si="9"/>
        <v>1.1749999999999998</v>
      </c>
      <c r="AU26" s="20">
        <f t="shared" si="10"/>
        <v>0.92230000000000001</v>
      </c>
      <c r="AV26" s="20">
        <f t="shared" si="11"/>
        <v>-0.64500000000000002</v>
      </c>
      <c r="AW26" s="20">
        <f t="shared" si="12"/>
        <v>1.1749999999999998</v>
      </c>
      <c r="AY26" s="20">
        <f t="shared" si="13"/>
        <v>0.26087285831661866</v>
      </c>
      <c r="AZ26" s="20">
        <f t="shared" si="14"/>
        <v>5.412714168338173E-2</v>
      </c>
      <c r="BA26" s="20">
        <f t="shared" si="15"/>
        <v>0.28735170196001297</v>
      </c>
      <c r="BB26" s="20">
        <f t="shared" si="16"/>
        <v>0.18233666522349867</v>
      </c>
      <c r="BC26" s="20">
        <f t="shared" si="17"/>
        <v>0.17064422435939094</v>
      </c>
      <c r="BD26" s="20">
        <f t="shared" si="18"/>
        <v>6.1732817149659863E-2</v>
      </c>
      <c r="BE26" s="20">
        <f t="shared" si="19"/>
        <v>-0.16267210558840839</v>
      </c>
      <c r="BF26" s="20">
        <f t="shared" si="20"/>
        <v>0.28416666666666757</v>
      </c>
      <c r="BG26" s="20">
        <f t="shared" si="21"/>
        <v>0.19163022080836034</v>
      </c>
    </row>
    <row r="27" spans="1:59">
      <c r="A27" s="24">
        <v>1984</v>
      </c>
      <c r="B27" s="20">
        <f>AVERAGEIFS(Analysis!$E$2:$E$823,Analysis!$B$2:$B$823,"&gt;="&amp;A27,Analysis!$B$2:$B$823,"&lt;"&amp;(A27+1))</f>
        <v>0.15500000000000011</v>
      </c>
      <c r="C27" s="25">
        <f>AVERAGEIFS(Analysis!$F$2:$F$823,Analysis!$B$2:$B$823,"&gt;="&amp;A27,Analysis!$B$2:$B$823,"&lt;"&amp;(A27+1))</f>
        <v>0.3005889072552464</v>
      </c>
      <c r="D27" s="19">
        <f>AVERAGEIFS(ENSO!$D$2:$D$823,Analysis!$B$2:$B$823,"&gt;="&amp;A27,Analysis!$B$2:$B$823,"&lt;"&amp;(A27+1))</f>
        <v>-0.54999999999999993</v>
      </c>
      <c r="E27" s="33">
        <v>1.1706000000000001</v>
      </c>
      <c r="F27" s="33">
        <v>0.45900000000000002</v>
      </c>
      <c r="G27" s="33">
        <v>0.11940000000000001</v>
      </c>
      <c r="H27" s="33">
        <v>0.82799999999999996</v>
      </c>
      <c r="I27" s="33">
        <v>-1.3374999999999999</v>
      </c>
      <c r="J27" s="33">
        <v>0.2883</v>
      </c>
      <c r="K27" s="20">
        <f t="shared" si="0"/>
        <v>1.9986000000000002</v>
      </c>
      <c r="L27" s="20">
        <f t="shared" si="1"/>
        <v>0.94940000000000024</v>
      </c>
      <c r="M27" s="33">
        <v>-2.47E-2</v>
      </c>
      <c r="N27" s="33">
        <v>-0.24229999999999999</v>
      </c>
      <c r="O27" s="20">
        <f t="shared" si="2"/>
        <v>0.68240000000000034</v>
      </c>
      <c r="P27" s="20">
        <f t="shared" si="3"/>
        <v>0.16408158289794852</v>
      </c>
      <c r="Q27" s="20">
        <f t="shared" si="4"/>
        <v>-9.0815828979484148E-3</v>
      </c>
      <c r="S27" s="18" t="s">
        <v>2026</v>
      </c>
      <c r="T27" s="19">
        <f>L68-L2</f>
        <v>2.7976999999999999</v>
      </c>
      <c r="AN27" s="20">
        <f t="shared" si="5"/>
        <v>0.94940000000000024</v>
      </c>
      <c r="AO27" s="20">
        <f t="shared" si="6"/>
        <v>-0.54999999999999993</v>
      </c>
      <c r="AQ27" s="20">
        <f t="shared" si="7"/>
        <v>2.2869000000000002</v>
      </c>
      <c r="AR27" s="20">
        <f t="shared" si="8"/>
        <v>-1.3374999999999999</v>
      </c>
      <c r="AS27" s="20">
        <f t="shared" si="9"/>
        <v>-0.54999999999999993</v>
      </c>
      <c r="AU27" s="20">
        <f t="shared" si="10"/>
        <v>0.94940000000000024</v>
      </c>
      <c r="AV27" s="20">
        <f t="shared" si="11"/>
        <v>-0.24229999999999999</v>
      </c>
      <c r="AW27" s="20">
        <f t="shared" si="12"/>
        <v>-0.54999999999999993</v>
      </c>
      <c r="AY27" s="20">
        <f t="shared" si="13"/>
        <v>0.1155146003979773</v>
      </c>
      <c r="AZ27" s="20">
        <f t="shared" si="14"/>
        <v>3.9485399602022811E-2</v>
      </c>
      <c r="BA27" s="20">
        <f t="shared" si="15"/>
        <v>0.30110614961715954</v>
      </c>
      <c r="BB27" s="20">
        <f t="shared" si="16"/>
        <v>0.19255733031450203</v>
      </c>
      <c r="BC27" s="20">
        <f t="shared" si="17"/>
        <v>0.17824839918709737</v>
      </c>
      <c r="BD27" s="20">
        <f t="shared" si="18"/>
        <v>6.6189027129337302E-2</v>
      </c>
      <c r="BE27" s="20">
        <f t="shared" si="19"/>
        <v>-0.17387395452814794</v>
      </c>
      <c r="BF27" s="20">
        <f t="shared" si="20"/>
        <v>0.12416666666666729</v>
      </c>
      <c r="BG27" s="20">
        <f t="shared" si="21"/>
        <v>0.20624320433315127</v>
      </c>
    </row>
    <row r="28" spans="1:59">
      <c r="A28" s="24">
        <v>1985</v>
      </c>
      <c r="B28" s="20">
        <f>AVERAGEIFS(Analysis!$E$2:$E$823,Analysis!$B$2:$B$823,"&gt;="&amp;A28,Analysis!$B$2:$B$823,"&lt;"&amp;(A28+1))</f>
        <v>0.11833333333333303</v>
      </c>
      <c r="C28" s="25">
        <f>AVERAGEIFS(Analysis!$F$2:$F$823,Analysis!$B$2:$B$823,"&gt;="&amp;A28,Analysis!$B$2:$B$823,"&lt;"&amp;(A28+1))</f>
        <v>0.30678880266607567</v>
      </c>
      <c r="D28" s="19">
        <f>AVERAGEIFS(ENSO!$D$2:$D$823,Analysis!$B$2:$B$823,"&gt;="&amp;A28,Analysis!$B$2:$B$823,"&lt;"&amp;(A28+1))</f>
        <v>-0.71833333333333327</v>
      </c>
      <c r="E28" s="33">
        <v>1.1943999999999999</v>
      </c>
      <c r="F28" s="33">
        <v>0.46410000000000001</v>
      </c>
      <c r="G28" s="33">
        <v>0.1212</v>
      </c>
      <c r="H28" s="33">
        <v>0.8478</v>
      </c>
      <c r="I28" s="33">
        <v>-1.3503000000000001</v>
      </c>
      <c r="J28" s="33">
        <v>0.29380000000000001</v>
      </c>
      <c r="K28" s="20">
        <f t="shared" si="0"/>
        <v>2.0421999999999998</v>
      </c>
      <c r="L28" s="20">
        <f t="shared" si="1"/>
        <v>0.9856999999999998</v>
      </c>
      <c r="M28" s="33">
        <v>-4.3400000000000001E-2</v>
      </c>
      <c r="N28" s="33">
        <v>2.76E-2</v>
      </c>
      <c r="O28" s="20">
        <f t="shared" si="2"/>
        <v>0.96989999999999976</v>
      </c>
      <c r="P28" s="20">
        <f t="shared" si="3"/>
        <v>0.16188246074921175</v>
      </c>
      <c r="Q28" s="20">
        <f t="shared" si="4"/>
        <v>-4.3549127415878727E-2</v>
      </c>
      <c r="S28" s="18" t="s">
        <v>2027</v>
      </c>
      <c r="T28" s="19">
        <f>T14*T27</f>
        <v>1.1437741890039961</v>
      </c>
      <c r="AN28" s="20">
        <f t="shared" si="5"/>
        <v>0.9856999999999998</v>
      </c>
      <c r="AO28" s="20">
        <f t="shared" si="6"/>
        <v>-0.71833333333333327</v>
      </c>
      <c r="AQ28" s="20">
        <f t="shared" si="7"/>
        <v>2.3359999999999999</v>
      </c>
      <c r="AR28" s="20">
        <f t="shared" si="8"/>
        <v>-1.3503000000000001</v>
      </c>
      <c r="AS28" s="20">
        <f t="shared" si="9"/>
        <v>-0.71833333333333327</v>
      </c>
      <c r="AU28" s="20">
        <f t="shared" si="10"/>
        <v>0.9856999999999998</v>
      </c>
      <c r="AV28" s="20">
        <f t="shared" si="11"/>
        <v>2.76E-2</v>
      </c>
      <c r="AW28" s="20">
        <f t="shared" si="12"/>
        <v>-0.71833333333333327</v>
      </c>
      <c r="AY28" s="20">
        <f t="shared" si="13"/>
        <v>0.14479702895001179</v>
      </c>
      <c r="AZ28" s="20">
        <f t="shared" si="14"/>
        <v>-2.6463695616678759E-2</v>
      </c>
      <c r="BA28" s="20">
        <f t="shared" si="15"/>
        <v>0.27636867826586431</v>
      </c>
      <c r="BB28" s="20">
        <f t="shared" si="16"/>
        <v>0.20228740348113708</v>
      </c>
      <c r="BC28" s="20">
        <f t="shared" si="17"/>
        <v>0.186343165939172</v>
      </c>
      <c r="BD28" s="20">
        <f t="shared" si="18"/>
        <v>6.8437573449358025E-2</v>
      </c>
      <c r="BE28" s="20">
        <f t="shared" si="19"/>
        <v>-0.17910693505474168</v>
      </c>
      <c r="BF28" s="20">
        <f t="shared" si="20"/>
        <v>8.7500000000000203E-2</v>
      </c>
      <c r="BG28" s="20">
        <f t="shared" si="21"/>
        <v>0.18661606552735754</v>
      </c>
    </row>
    <row r="29" spans="1:59">
      <c r="A29" s="24">
        <v>1986</v>
      </c>
      <c r="B29" s="20">
        <f>AVERAGEIFS(Analysis!$E$2:$E$823,Analysis!$B$2:$B$823,"&gt;="&amp;A29,Analysis!$B$2:$B$823,"&lt;"&amp;(A29+1))</f>
        <v>0.17999999999999927</v>
      </c>
      <c r="C29" s="25">
        <f>AVERAGEIFS(Analysis!$F$2:$F$823,Analysis!$B$2:$B$823,"&gt;="&amp;A29,Analysis!$B$2:$B$823,"&lt;"&amp;(A29+1))</f>
        <v>0.31201397935412778</v>
      </c>
      <c r="D29" s="19">
        <f>AVERAGEIFS(ENSO!$D$2:$D$823,Analysis!$B$2:$B$823,"&gt;="&amp;A29,Analysis!$B$2:$B$823,"&lt;"&amp;(A29+1))</f>
        <v>-7.2499999999999995E-2</v>
      </c>
      <c r="E29" s="33">
        <v>1.2174</v>
      </c>
      <c r="F29" s="33">
        <v>0.46920000000000001</v>
      </c>
      <c r="G29" s="33">
        <v>0.1242</v>
      </c>
      <c r="H29" s="33">
        <v>0.86990000000000001</v>
      </c>
      <c r="I29" s="33">
        <v>-1.3520000000000001</v>
      </c>
      <c r="J29" s="33">
        <v>0.30270000000000002</v>
      </c>
      <c r="K29" s="20">
        <f t="shared" si="0"/>
        <v>2.0872999999999999</v>
      </c>
      <c r="L29" s="20">
        <f t="shared" si="1"/>
        <v>1.0379999999999998</v>
      </c>
      <c r="M29" s="33">
        <v>-4.2599999999999999E-2</v>
      </c>
      <c r="N29" s="33">
        <v>2.2599999999999999E-2</v>
      </c>
      <c r="O29" s="20">
        <f t="shared" si="2"/>
        <v>1.0179999999999998</v>
      </c>
      <c r="P29" s="20">
        <f t="shared" si="3"/>
        <v>0.24863851831848591</v>
      </c>
      <c r="Q29" s="20">
        <f t="shared" si="4"/>
        <v>-6.8638518318486635E-2</v>
      </c>
      <c r="AN29" s="20">
        <f t="shared" si="5"/>
        <v>1.0379999999999998</v>
      </c>
      <c r="AO29" s="20">
        <f t="shared" si="6"/>
        <v>-7.2499999999999995E-2</v>
      </c>
      <c r="AQ29" s="20">
        <f t="shared" si="7"/>
        <v>2.39</v>
      </c>
      <c r="AR29" s="20">
        <f t="shared" si="8"/>
        <v>-1.3520000000000001</v>
      </c>
      <c r="AS29" s="20">
        <f t="shared" si="9"/>
        <v>-7.2499999999999995E-2</v>
      </c>
      <c r="AU29" s="20">
        <f t="shared" si="10"/>
        <v>1.0379999999999998</v>
      </c>
      <c r="AV29" s="20">
        <f t="shared" si="11"/>
        <v>2.2599999999999999E-2</v>
      </c>
      <c r="AW29" s="20">
        <f t="shared" si="12"/>
        <v>-7.2499999999999995E-2</v>
      </c>
      <c r="AY29" s="20">
        <f t="shared" si="13"/>
        <v>0.24331896996524488</v>
      </c>
      <c r="AZ29" s="20">
        <f t="shared" si="14"/>
        <v>-6.3318969965245608E-2</v>
      </c>
      <c r="BA29" s="20">
        <f t="shared" si="15"/>
        <v>0.26068229924697944</v>
      </c>
      <c r="BB29" s="20">
        <f t="shared" si="16"/>
        <v>0.21169041536486016</v>
      </c>
      <c r="BC29" s="20">
        <f t="shared" si="17"/>
        <v>0.19537823387961889</v>
      </c>
      <c r="BD29" s="20">
        <f t="shared" si="18"/>
        <v>7.2076130221755214E-2</v>
      </c>
      <c r="BE29" s="20">
        <f t="shared" si="19"/>
        <v>-0.17980194028092991</v>
      </c>
      <c r="BF29" s="20">
        <f t="shared" si="20"/>
        <v>0.14916666666666645</v>
      </c>
      <c r="BG29" s="20">
        <f t="shared" si="21"/>
        <v>0.18290830599512853</v>
      </c>
    </row>
    <row r="30" spans="1:59">
      <c r="A30" s="24">
        <v>1987</v>
      </c>
      <c r="B30" s="20">
        <f>AVERAGEIFS(Analysis!$E$2:$E$823,Analysis!$B$2:$B$823,"&gt;="&amp;A30,Analysis!$B$2:$B$823,"&lt;"&amp;(A30+1))</f>
        <v>0.3216666666666666</v>
      </c>
      <c r="C30" s="25">
        <f>AVERAGEIFS(Analysis!$F$2:$F$823,Analysis!$B$2:$B$823,"&gt;="&amp;A30,Analysis!$B$2:$B$823,"&lt;"&amp;(A30+1))</f>
        <v>0.31907046120568344</v>
      </c>
      <c r="D30" s="19">
        <f>AVERAGEIFS(ENSO!$D$2:$D$823,Analysis!$B$2:$B$823,"&gt;="&amp;A30,Analysis!$B$2:$B$823,"&lt;"&amp;(A30+1))</f>
        <v>1.1424999999999998</v>
      </c>
      <c r="E30" s="33">
        <v>1.2448999999999999</v>
      </c>
      <c r="F30" s="33">
        <v>0.47320000000000001</v>
      </c>
      <c r="G30" s="33">
        <v>0.12479999999999999</v>
      </c>
      <c r="H30" s="33">
        <v>0.88919999999999999</v>
      </c>
      <c r="I30" s="33">
        <v>-1.3934</v>
      </c>
      <c r="J30" s="33">
        <v>0.3135</v>
      </c>
      <c r="K30" s="20">
        <f t="shared" si="0"/>
        <v>2.1341000000000001</v>
      </c>
      <c r="L30" s="20">
        <f t="shared" si="1"/>
        <v>1.0542000000000002</v>
      </c>
      <c r="M30" s="33">
        <v>-2.5399999999999999E-2</v>
      </c>
      <c r="N30" s="33">
        <v>9.8299999999999998E-2</v>
      </c>
      <c r="O30" s="20">
        <f t="shared" si="2"/>
        <v>1.1271000000000002</v>
      </c>
      <c r="P30" s="20">
        <f t="shared" si="3"/>
        <v>0.37824978464970044</v>
      </c>
      <c r="Q30" s="20">
        <f t="shared" si="4"/>
        <v>-5.6583117983033837E-2</v>
      </c>
      <c r="S30" s="17" t="s">
        <v>2028</v>
      </c>
      <c r="AN30" s="20">
        <f t="shared" si="5"/>
        <v>1.0542000000000002</v>
      </c>
      <c r="AO30" s="20">
        <f t="shared" si="6"/>
        <v>1.1424999999999998</v>
      </c>
      <c r="AQ30" s="20">
        <f t="shared" si="7"/>
        <v>2.4476</v>
      </c>
      <c r="AR30" s="20">
        <f t="shared" si="8"/>
        <v>-1.3934</v>
      </c>
      <c r="AS30" s="20">
        <f t="shared" si="9"/>
        <v>1.1424999999999998</v>
      </c>
      <c r="AU30" s="20">
        <f t="shared" si="10"/>
        <v>1.0542000000000002</v>
      </c>
      <c r="AV30" s="20">
        <f t="shared" si="11"/>
        <v>9.8299999999999998E-2</v>
      </c>
      <c r="AW30" s="20">
        <f t="shared" si="12"/>
        <v>1.1424999999999998</v>
      </c>
      <c r="AY30" s="20">
        <f t="shared" si="13"/>
        <v>0.40650803183430895</v>
      </c>
      <c r="AZ30" s="20">
        <f t="shared" si="14"/>
        <v>-8.4841365167642346E-2</v>
      </c>
      <c r="BA30" s="20">
        <f t="shared" si="15"/>
        <v>0.2839804311825358</v>
      </c>
      <c r="BB30" s="20">
        <f t="shared" si="16"/>
        <v>0.22293314696496372</v>
      </c>
      <c r="BC30" s="20">
        <f t="shared" si="17"/>
        <v>0.20326858732987343</v>
      </c>
      <c r="BD30" s="20">
        <f t="shared" si="18"/>
        <v>7.6491457541068619E-2</v>
      </c>
      <c r="BE30" s="20">
        <f t="shared" si="19"/>
        <v>-0.19672736167163132</v>
      </c>
      <c r="BF30" s="20">
        <f t="shared" si="20"/>
        <v>0.29083333333333378</v>
      </c>
      <c r="BG30" s="20">
        <f t="shared" si="21"/>
        <v>0.20158669730955162</v>
      </c>
    </row>
    <row r="31" spans="1:59">
      <c r="A31" s="24">
        <v>1988</v>
      </c>
      <c r="B31" s="20">
        <f>AVERAGEIFS(Analysis!$E$2:$E$823,Analysis!$B$2:$B$823,"&gt;="&amp;A31,Analysis!$B$2:$B$823,"&lt;"&amp;(A31+1))</f>
        <v>0.38999999999999985</v>
      </c>
      <c r="C31" s="25">
        <f>AVERAGEIFS(Analysis!$F$2:$F$823,Analysis!$B$2:$B$823,"&gt;="&amp;A31,Analysis!$B$2:$B$823,"&lt;"&amp;(A31+1))</f>
        <v>0.32886051990619497</v>
      </c>
      <c r="D31" s="19">
        <f>AVERAGEIFS(ENSO!$D$2:$D$823,Analysis!$B$2:$B$823,"&gt;="&amp;A31,Analysis!$B$2:$B$823,"&lt;"&amp;(A31+1))</f>
        <v>-0.15583333333333335</v>
      </c>
      <c r="E31" s="33">
        <v>1.2845</v>
      </c>
      <c r="F31" s="33">
        <v>0.4783</v>
      </c>
      <c r="G31" s="33">
        <v>0.12720000000000001</v>
      </c>
      <c r="H31" s="33">
        <v>0.91239999999999999</v>
      </c>
      <c r="I31" s="33">
        <v>-1.4008</v>
      </c>
      <c r="J31" s="33">
        <v>0.32329999999999998</v>
      </c>
      <c r="K31" s="20">
        <f t="shared" si="0"/>
        <v>2.1968999999999999</v>
      </c>
      <c r="L31" s="20">
        <f t="shared" si="1"/>
        <v>1.1193999999999997</v>
      </c>
      <c r="M31" s="33">
        <v>1.37E-2</v>
      </c>
      <c r="N31" s="33">
        <v>0.15129999999999999</v>
      </c>
      <c r="O31" s="20">
        <f t="shared" si="2"/>
        <v>1.2843999999999998</v>
      </c>
      <c r="P31" s="20">
        <f t="shared" si="3"/>
        <v>0.27348159402267702</v>
      </c>
      <c r="Q31" s="20">
        <f t="shared" si="4"/>
        <v>0.11651840597732283</v>
      </c>
      <c r="S31" s="18" t="s">
        <v>2029</v>
      </c>
      <c r="T31" s="19">
        <f>AVERAGE(Q66:Q68)</f>
        <v>0.13648317597795803</v>
      </c>
      <c r="AN31" s="20">
        <f t="shared" si="5"/>
        <v>1.1193999999999997</v>
      </c>
      <c r="AO31" s="20">
        <f t="shared" si="6"/>
        <v>-0.15583333333333335</v>
      </c>
      <c r="AQ31" s="20">
        <f t="shared" si="7"/>
        <v>2.5202</v>
      </c>
      <c r="AR31" s="20">
        <f t="shared" si="8"/>
        <v>-1.4008</v>
      </c>
      <c r="AS31" s="20">
        <f t="shared" si="9"/>
        <v>-0.15583333333333335</v>
      </c>
      <c r="AU31" s="20">
        <f t="shared" si="10"/>
        <v>1.1193999999999997</v>
      </c>
      <c r="AV31" s="20">
        <f t="shared" si="11"/>
        <v>0.15129999999999999</v>
      </c>
      <c r="AW31" s="20">
        <f t="shared" si="12"/>
        <v>-0.15583333333333335</v>
      </c>
      <c r="AY31" s="20">
        <f t="shared" si="13"/>
        <v>0.28278935751364304</v>
      </c>
      <c r="AZ31" s="20">
        <f t="shared" si="14"/>
        <v>0.10721064248635681</v>
      </c>
      <c r="BA31" s="20">
        <f t="shared" si="15"/>
        <v>0.47327148864704172</v>
      </c>
      <c r="BB31" s="20">
        <f t="shared" si="16"/>
        <v>0.23912268046911297</v>
      </c>
      <c r="BC31" s="20">
        <f t="shared" si="17"/>
        <v>0.21275336453432447</v>
      </c>
      <c r="BD31" s="20">
        <f t="shared" si="18"/>
        <v>8.04979582567419E-2</v>
      </c>
      <c r="BE31" s="20">
        <f t="shared" si="19"/>
        <v>-0.19975267853856832</v>
      </c>
      <c r="BF31" s="20">
        <f t="shared" si="20"/>
        <v>0.35916666666666702</v>
      </c>
      <c r="BG31" s="20">
        <f t="shared" si="21"/>
        <v>0.4013437158272446</v>
      </c>
    </row>
    <row r="32" spans="1:59">
      <c r="A32" s="24">
        <v>1989</v>
      </c>
      <c r="B32" s="20">
        <f>AVERAGEIFS(Analysis!$E$2:$E$823,Analysis!$B$2:$B$823,"&gt;="&amp;A32,Analysis!$B$2:$B$823,"&lt;"&amp;(A32+1))</f>
        <v>0.27416666666666512</v>
      </c>
      <c r="C32" s="25">
        <f>AVERAGEIFS(Analysis!$F$2:$F$823,Analysis!$B$2:$B$823,"&gt;="&amp;A32,Analysis!$B$2:$B$823,"&lt;"&amp;(A32+1))</f>
        <v>0.3350581779738751</v>
      </c>
      <c r="D32" s="19">
        <f>AVERAGEIFS(ENSO!$D$2:$D$823,Analysis!$B$2:$B$823,"&gt;="&amp;A32,Analysis!$B$2:$B$823,"&lt;"&amp;(A32+1))</f>
        <v>-1.0191666666666663</v>
      </c>
      <c r="E32" s="33">
        <v>1.3104</v>
      </c>
      <c r="F32" s="33">
        <v>0.48370000000000002</v>
      </c>
      <c r="G32" s="33">
        <v>0.13070000000000001</v>
      </c>
      <c r="H32" s="33">
        <v>0.93520000000000003</v>
      </c>
      <c r="I32" s="33">
        <v>-1.3841000000000001</v>
      </c>
      <c r="J32" s="33">
        <v>0.32600000000000001</v>
      </c>
      <c r="K32" s="20">
        <f t="shared" si="0"/>
        <v>2.2456</v>
      </c>
      <c r="L32" s="20">
        <f t="shared" si="1"/>
        <v>1.1875</v>
      </c>
      <c r="M32" s="33">
        <v>7.7399999999999997E-2</v>
      </c>
      <c r="N32" s="33">
        <v>0.188</v>
      </c>
      <c r="O32" s="20">
        <f t="shared" si="2"/>
        <v>1.4528999999999999</v>
      </c>
      <c r="P32" s="20">
        <f t="shared" si="3"/>
        <v>0.21393183986985342</v>
      </c>
      <c r="Q32" s="20">
        <f t="shared" si="4"/>
        <v>6.0234826796811691E-2</v>
      </c>
      <c r="S32" s="18" t="s">
        <v>2030</v>
      </c>
      <c r="T32" s="19">
        <f>AVERAGE(Q2:Q65)</f>
        <v>-6.3976488739667962E-3</v>
      </c>
      <c r="AN32" s="20">
        <f t="shared" si="5"/>
        <v>1.1875</v>
      </c>
      <c r="AO32" s="20">
        <f t="shared" si="6"/>
        <v>-1.0191666666666663</v>
      </c>
      <c r="AQ32" s="20">
        <f t="shared" si="7"/>
        <v>2.5716000000000001</v>
      </c>
      <c r="AR32" s="20">
        <f t="shared" si="8"/>
        <v>-1.3841000000000001</v>
      </c>
      <c r="AS32" s="20">
        <f t="shared" si="9"/>
        <v>-1.0191666666666663</v>
      </c>
      <c r="AU32" s="20">
        <f t="shared" si="10"/>
        <v>1.1875</v>
      </c>
      <c r="AV32" s="20">
        <f t="shared" si="11"/>
        <v>0.188</v>
      </c>
      <c r="AW32" s="20">
        <f t="shared" si="12"/>
        <v>-1.0191666666666663</v>
      </c>
      <c r="AY32" s="20">
        <f t="shared" si="13"/>
        <v>0.21070200340014439</v>
      </c>
      <c r="AZ32" s="20">
        <f t="shared" si="14"/>
        <v>6.3464663266520727E-2</v>
      </c>
      <c r="BA32" s="20">
        <f t="shared" si="15"/>
        <v>0.42757651850081002</v>
      </c>
      <c r="BB32" s="20">
        <f t="shared" si="16"/>
        <v>0.24971128950339241</v>
      </c>
      <c r="BC32" s="20">
        <f t="shared" si="17"/>
        <v>0.22207461109731952</v>
      </c>
      <c r="BD32" s="20">
        <f t="shared" si="18"/>
        <v>8.1601790086570272E-2</v>
      </c>
      <c r="BE32" s="20">
        <f t="shared" si="19"/>
        <v>-0.19292527425777814</v>
      </c>
      <c r="BF32" s="20">
        <f t="shared" si="20"/>
        <v>0.24333333333333229</v>
      </c>
      <c r="BG32" s="20">
        <f t="shared" si="21"/>
        <v>0.37290122835462663</v>
      </c>
    </row>
    <row r="33" spans="1:59">
      <c r="A33" s="24">
        <v>1990</v>
      </c>
      <c r="B33" s="20">
        <f>AVERAGEIFS(Analysis!$E$2:$E$823,Analysis!$B$2:$B$823,"&gt;="&amp;A33,Analysis!$B$2:$B$823,"&lt;"&amp;(A33+1))</f>
        <v>0.44916666666666821</v>
      </c>
      <c r="C33" s="25">
        <f>AVERAGEIFS(Analysis!$F$2:$F$823,Analysis!$B$2:$B$823,"&gt;="&amp;A33,Analysis!$B$2:$B$823,"&lt;"&amp;(A33+1))</f>
        <v>0.34014660517272827</v>
      </c>
      <c r="D33" s="19">
        <f>AVERAGEIFS(ENSO!$D$2:$D$823,Analysis!$B$2:$B$823,"&gt;="&amp;A33,Analysis!$B$2:$B$823,"&lt;"&amp;(A33+1))</f>
        <v>0.16</v>
      </c>
      <c r="E33" s="33">
        <v>1.3305</v>
      </c>
      <c r="F33" s="33">
        <v>0.48670000000000002</v>
      </c>
      <c r="G33" s="33">
        <v>0.13370000000000001</v>
      </c>
      <c r="H33" s="33">
        <v>0.95309999999999995</v>
      </c>
      <c r="I33" s="33">
        <v>-1.3994</v>
      </c>
      <c r="J33" s="33">
        <v>0.33169999999999999</v>
      </c>
      <c r="K33" s="20">
        <f t="shared" si="0"/>
        <v>2.2835999999999999</v>
      </c>
      <c r="L33" s="20">
        <f t="shared" si="1"/>
        <v>1.2159</v>
      </c>
      <c r="M33" s="33">
        <v>6.7100000000000007E-2</v>
      </c>
      <c r="N33" s="33">
        <v>0.1837</v>
      </c>
      <c r="O33" s="20">
        <f t="shared" si="2"/>
        <v>1.4666999999999999</v>
      </c>
      <c r="P33" s="20">
        <f t="shared" si="3"/>
        <v>0.34490356453766763</v>
      </c>
      <c r="Q33" s="20">
        <f t="shared" si="4"/>
        <v>0.10426310212900058</v>
      </c>
      <c r="S33" s="18" t="s">
        <v>2031</v>
      </c>
      <c r="T33" s="19">
        <f>I68-I62</f>
        <v>0.15110000000000001</v>
      </c>
      <c r="AN33" s="20">
        <f t="shared" si="5"/>
        <v>1.2159</v>
      </c>
      <c r="AO33" s="20">
        <f t="shared" si="6"/>
        <v>0.16</v>
      </c>
      <c r="AQ33" s="20">
        <f t="shared" si="7"/>
        <v>2.6153</v>
      </c>
      <c r="AR33" s="20">
        <f t="shared" si="8"/>
        <v>-1.3994</v>
      </c>
      <c r="AS33" s="20">
        <f t="shared" si="9"/>
        <v>0.16</v>
      </c>
      <c r="AU33" s="20">
        <f t="shared" si="10"/>
        <v>1.2159</v>
      </c>
      <c r="AV33" s="20">
        <f t="shared" si="11"/>
        <v>0.1837</v>
      </c>
      <c r="AW33" s="20">
        <f t="shared" si="12"/>
        <v>0.16</v>
      </c>
      <c r="AY33" s="20">
        <f t="shared" si="13"/>
        <v>0.36412109629762041</v>
      </c>
      <c r="AZ33" s="20">
        <f t="shared" si="14"/>
        <v>8.5045570369047807E-2</v>
      </c>
      <c r="BA33" s="20">
        <f t="shared" si="15"/>
        <v>0.47982220856616553</v>
      </c>
      <c r="BB33" s="20">
        <f t="shared" si="16"/>
        <v>0.25792870423655906</v>
      </c>
      <c r="BC33" s="20">
        <f t="shared" si="17"/>
        <v>0.22939260730247782</v>
      </c>
      <c r="BD33" s="20">
        <f t="shared" si="18"/>
        <v>8.393210172731902E-2</v>
      </c>
      <c r="BE33" s="20">
        <f t="shared" si="19"/>
        <v>-0.1991803212934721</v>
      </c>
      <c r="BF33" s="20">
        <f t="shared" si="20"/>
        <v>0.41833333333333539</v>
      </c>
      <c r="BG33" s="20">
        <f t="shared" si="21"/>
        <v>0.42854017923019516</v>
      </c>
    </row>
    <row r="34" spans="1:59">
      <c r="A34" s="24">
        <v>1991</v>
      </c>
      <c r="B34" s="20">
        <f>AVERAGEIFS(Analysis!$E$2:$E$823,Analysis!$B$2:$B$823,"&gt;="&amp;A34,Analysis!$B$2:$B$823,"&lt;"&amp;(A34+1))</f>
        <v>0.40749999999999975</v>
      </c>
      <c r="C34" s="25">
        <f>AVERAGEIFS(Analysis!$F$2:$F$823,Analysis!$B$2:$B$823,"&gt;="&amp;A34,Analysis!$B$2:$B$823,"&lt;"&amp;(A34+1))</f>
        <v>0.34522235607120461</v>
      </c>
      <c r="D34" s="19">
        <f>AVERAGEIFS(ENSO!$D$2:$D$823,Analysis!$B$2:$B$823,"&gt;="&amp;A34,Analysis!$B$2:$B$823,"&lt;"&amp;(A34+1))</f>
        <v>0.44416666666666665</v>
      </c>
      <c r="E34" s="33">
        <v>1.3513999999999999</v>
      </c>
      <c r="F34" s="33">
        <v>0.49199999999999999</v>
      </c>
      <c r="G34" s="33">
        <v>0.13600000000000001</v>
      </c>
      <c r="H34" s="33">
        <v>0.97019999999999995</v>
      </c>
      <c r="I34" s="33">
        <v>-1.4888999999999999</v>
      </c>
      <c r="J34" s="33">
        <v>0.36730000000000002</v>
      </c>
      <c r="K34" s="20">
        <f t="shared" ref="K34:K68" si="22">E34+H34</f>
        <v>2.3216000000000001</v>
      </c>
      <c r="L34" s="20">
        <f t="shared" ref="L34:L65" si="23">K34+I34+J34</f>
        <v>1.2000000000000002</v>
      </c>
      <c r="M34" s="33">
        <v>5.33E-2</v>
      </c>
      <c r="N34" s="33">
        <v>-0.52859999999999996</v>
      </c>
      <c r="O34" s="20">
        <f t="shared" ref="O34:O65" si="24">L34+M34+N34</f>
        <v>0.72470000000000012</v>
      </c>
      <c r="P34" s="20">
        <f t="shared" ref="P34:P68" si="25">$T$13+$T$14*L34+$T$15*D34</f>
        <v>0.36716796906730359</v>
      </c>
      <c r="Q34" s="20">
        <f t="shared" ref="Q34:Q65" si="26">B34-P34</f>
        <v>4.0332030932696161E-2</v>
      </c>
      <c r="S34" s="18" t="s">
        <v>2032</v>
      </c>
      <c r="T34" s="19">
        <f>T33*T14</f>
        <v>6.1773699810023897E-2</v>
      </c>
      <c r="AN34" s="20">
        <f t="shared" ref="AN34:AN68" si="27">L34</f>
        <v>1.2000000000000002</v>
      </c>
      <c r="AO34" s="20">
        <f t="shared" ref="AO34:AO68" si="28">D34</f>
        <v>0.44416666666666665</v>
      </c>
      <c r="AQ34" s="20">
        <f t="shared" ref="AQ34:AQ68" si="29">K34+J34</f>
        <v>2.6889000000000003</v>
      </c>
      <c r="AR34" s="20">
        <f t="shared" ref="AR34:AR68" si="30">I34</f>
        <v>-1.4888999999999999</v>
      </c>
      <c r="AS34" s="20">
        <f t="shared" ref="AS34:AS68" si="31">D34</f>
        <v>0.44416666666666665</v>
      </c>
      <c r="AU34" s="20">
        <f t="shared" ref="AU34:AU68" si="32">L34</f>
        <v>1.2000000000000002</v>
      </c>
      <c r="AV34" s="20">
        <f t="shared" ref="AV34:AV68" si="33">N34</f>
        <v>-0.52859999999999996</v>
      </c>
      <c r="AW34" s="20">
        <f t="shared" ref="AW34:AW68" si="34">D34</f>
        <v>0.44416666666666665</v>
      </c>
      <c r="AY34" s="20">
        <f t="shared" ref="AY34:AY68" si="35">INDEX(LINEST($B$2:$B$68,$AU$2:$AW$68),1,4)+$T$37*L34+$T$38*N34+INDEX(LINEST($B$2:$B$68,$AU$2:$AW$68),1,1)*D34</f>
        <v>0.2997548004617917</v>
      </c>
      <c r="AZ34" s="20">
        <f t="shared" ref="AZ34:AZ65" si="36">B34-AY34</f>
        <v>0.10774519953820805</v>
      </c>
      <c r="BA34" s="20">
        <f t="shared" ref="BA34:BA68" si="37">B34-$T$14*(L34-E34)-$T$15*D34</f>
        <v>0.42443561338593988</v>
      </c>
      <c r="BB34" s="20">
        <f t="shared" ref="BB34:BB68" si="38">$T$14*(E34-$E$2)</f>
        <v>0.26647318025263778</v>
      </c>
      <c r="BC34" s="20">
        <f t="shared" ref="BC34:BC68" si="39">$T$14*(H34-$H$2)</f>
        <v>0.23638354222472407</v>
      </c>
      <c r="BD34" s="20">
        <f t="shared" ref="BD34:BD68" si="40">$T$14*(J34-$J$2)</f>
        <v>9.8486328816907706E-2</v>
      </c>
      <c r="BE34" s="20">
        <f t="shared" ref="BE34:BE68" si="41">$T$14*(I34-$I$2)</f>
        <v>-0.23577030231926385</v>
      </c>
      <c r="BF34" s="20">
        <f t="shared" ref="BF34:BF68" si="42">B34-$B$2</f>
        <v>0.37666666666666693</v>
      </c>
      <c r="BG34" s="20">
        <f t="shared" ref="BG34:BG68" si="43">B34-$B$2-$T$15*(D34-$D$2)</f>
        <v>0.3581087650360128</v>
      </c>
    </row>
    <row r="35" spans="1:59">
      <c r="A35" s="24">
        <v>1992</v>
      </c>
      <c r="B35" s="20">
        <f>AVERAGEIFS(Analysis!$E$2:$E$823,Analysis!$B$2:$B$823,"&gt;="&amp;A35,Analysis!$B$2:$B$823,"&lt;"&amp;(A35+1))</f>
        <v>0.22416666666666707</v>
      </c>
      <c r="C35" s="25">
        <f>AVERAGEIFS(Analysis!$F$2:$F$823,Analysis!$B$2:$B$823,"&gt;="&amp;A35,Analysis!$B$2:$B$823,"&lt;"&amp;(A35+1))</f>
        <v>0.34862967062131672</v>
      </c>
      <c r="D35" s="19">
        <f>AVERAGEIFS(ENSO!$D$2:$D$823,Analysis!$B$2:$B$823,"&gt;="&amp;A35,Analysis!$B$2:$B$823,"&lt;"&amp;(A35+1))</f>
        <v>0.93833333333333335</v>
      </c>
      <c r="E35" s="33">
        <v>1.3625</v>
      </c>
      <c r="F35" s="33">
        <v>0.495</v>
      </c>
      <c r="G35" s="33">
        <v>0.13780000000000001</v>
      </c>
      <c r="H35" s="33">
        <v>0.98299999999999998</v>
      </c>
      <c r="I35" s="33">
        <v>-1.333</v>
      </c>
      <c r="J35" s="33">
        <v>0.33629999999999999</v>
      </c>
      <c r="K35" s="20">
        <f t="shared" si="22"/>
        <v>2.3454999999999999</v>
      </c>
      <c r="L35" s="20">
        <f t="shared" si="23"/>
        <v>1.3488</v>
      </c>
      <c r="M35" s="33">
        <v>3.6600000000000001E-2</v>
      </c>
      <c r="N35" s="33">
        <v>-1.7412000000000001</v>
      </c>
      <c r="O35" s="20">
        <f t="shared" si="24"/>
        <v>-0.35580000000000012</v>
      </c>
      <c r="P35" s="20">
        <f t="shared" si="25"/>
        <v>0.47802334799340007</v>
      </c>
      <c r="Q35" s="20">
        <f t="shared" si="26"/>
        <v>-0.253856681326733</v>
      </c>
      <c r="AN35" s="20">
        <f t="shared" si="27"/>
        <v>1.3488</v>
      </c>
      <c r="AO35" s="20">
        <f t="shared" si="28"/>
        <v>0.93833333333333335</v>
      </c>
      <c r="AQ35" s="20">
        <f t="shared" si="29"/>
        <v>2.6818</v>
      </c>
      <c r="AR35" s="20">
        <f t="shared" si="30"/>
        <v>-1.333</v>
      </c>
      <c r="AS35" s="20">
        <f t="shared" si="31"/>
        <v>0.93833333333333335</v>
      </c>
      <c r="AU35" s="20">
        <f t="shared" si="32"/>
        <v>1.3488</v>
      </c>
      <c r="AV35" s="20">
        <f t="shared" si="33"/>
        <v>-1.7412000000000001</v>
      </c>
      <c r="AW35" s="20">
        <f t="shared" si="34"/>
        <v>0.93833333333333335</v>
      </c>
      <c r="AY35" s="20">
        <f t="shared" si="35"/>
        <v>0.26244692126804803</v>
      </c>
      <c r="AZ35" s="20">
        <f t="shared" si="36"/>
        <v>-3.8280254601380959E-2</v>
      </c>
      <c r="BA35" s="20">
        <f t="shared" si="37"/>
        <v>0.13478487642691617</v>
      </c>
      <c r="BB35" s="20">
        <f t="shared" si="38"/>
        <v>0.27101115555304328</v>
      </c>
      <c r="BC35" s="20">
        <f t="shared" si="39"/>
        <v>0.24161652275131779</v>
      </c>
      <c r="BD35" s="20">
        <f t="shared" si="40"/>
        <v>8.5812704104063622E-2</v>
      </c>
      <c r="BE35" s="20">
        <f t="shared" si="41"/>
        <v>-0.17203423481176736</v>
      </c>
      <c r="BF35" s="20">
        <f t="shared" si="42"/>
        <v>0.19333333333333425</v>
      </c>
      <c r="BG35" s="20">
        <f t="shared" si="43"/>
        <v>0.12475345139823509</v>
      </c>
    </row>
    <row r="36" spans="1:59">
      <c r="A36" s="24">
        <v>1993</v>
      </c>
      <c r="B36" s="20">
        <f>AVERAGEIFS(Analysis!$E$2:$E$823,Analysis!$B$2:$B$823,"&gt;="&amp;A36,Analysis!$B$2:$B$823,"&lt;"&amp;(A36+1))</f>
        <v>0.23333333333333339</v>
      </c>
      <c r="C36" s="25">
        <f>AVERAGEIFS(Analysis!$F$2:$F$823,Analysis!$B$2:$B$823,"&gt;="&amp;A36,Analysis!$B$2:$B$823,"&lt;"&amp;(A36+1))</f>
        <v>0.35134440078007922</v>
      </c>
      <c r="D36" s="19">
        <f>AVERAGEIFS(ENSO!$D$2:$D$823,Analysis!$B$2:$B$823,"&gt;="&amp;A36,Analysis!$B$2:$B$823,"&lt;"&amp;(A36+1))</f>
        <v>0.26500000000000001</v>
      </c>
      <c r="E36" s="33">
        <v>1.3741000000000001</v>
      </c>
      <c r="F36" s="33">
        <v>0.49569999999999997</v>
      </c>
      <c r="G36" s="33">
        <v>0.13880000000000001</v>
      </c>
      <c r="H36" s="33">
        <v>0.98970000000000002</v>
      </c>
      <c r="I36" s="33">
        <v>-1.3407</v>
      </c>
      <c r="J36" s="33">
        <v>0.3468</v>
      </c>
      <c r="K36" s="20">
        <f t="shared" si="22"/>
        <v>2.3638000000000003</v>
      </c>
      <c r="L36" s="20">
        <f t="shared" si="23"/>
        <v>1.3699000000000003</v>
      </c>
      <c r="M36" s="33">
        <v>2.3999999999999998E-3</v>
      </c>
      <c r="N36" s="33">
        <v>-0.74760000000000004</v>
      </c>
      <c r="O36" s="20">
        <f t="shared" si="24"/>
        <v>0.62470000000000026</v>
      </c>
      <c r="P36" s="20">
        <f t="shared" si="25"/>
        <v>0.41849147788671359</v>
      </c>
      <c r="Q36" s="20">
        <f t="shared" si="26"/>
        <v>-0.1851581445533802</v>
      </c>
      <c r="S36" s="17" t="s">
        <v>2033</v>
      </c>
      <c r="AN36" s="20">
        <f t="shared" si="27"/>
        <v>1.3699000000000003</v>
      </c>
      <c r="AO36" s="20">
        <f t="shared" si="28"/>
        <v>0.26500000000000001</v>
      </c>
      <c r="AQ36" s="20">
        <f t="shared" si="29"/>
        <v>2.7106000000000003</v>
      </c>
      <c r="AR36" s="20">
        <f t="shared" si="30"/>
        <v>-1.3407</v>
      </c>
      <c r="AS36" s="20">
        <f t="shared" si="31"/>
        <v>0.26500000000000001</v>
      </c>
      <c r="AU36" s="20">
        <f t="shared" si="32"/>
        <v>1.3699000000000003</v>
      </c>
      <c r="AV36" s="20">
        <f t="shared" si="33"/>
        <v>-0.74760000000000004</v>
      </c>
      <c r="AW36" s="20">
        <f t="shared" si="34"/>
        <v>0.26500000000000001</v>
      </c>
      <c r="AY36" s="20">
        <f t="shared" si="35"/>
        <v>0.31832653752983336</v>
      </c>
      <c r="AZ36" s="20">
        <f t="shared" si="36"/>
        <v>-8.4993204196499972E-2</v>
      </c>
      <c r="BA36" s="20">
        <f t="shared" si="37"/>
        <v>0.2082258018024945</v>
      </c>
      <c r="BB36" s="20">
        <f t="shared" si="38"/>
        <v>0.27575354415526881</v>
      </c>
      <c r="BC36" s="20">
        <f t="shared" si="39"/>
        <v>0.24435566099570669</v>
      </c>
      <c r="BD36" s="20">
        <f t="shared" si="40"/>
        <v>9.0105383442284998E-2</v>
      </c>
      <c r="BE36" s="20">
        <f t="shared" si="41"/>
        <v>-0.17518219965979639</v>
      </c>
      <c r="BF36" s="20">
        <f t="shared" si="42"/>
        <v>0.20250000000000057</v>
      </c>
      <c r="BG36" s="20">
        <f t="shared" si="43"/>
        <v>0.2020782295083948</v>
      </c>
    </row>
    <row r="37" spans="1:59">
      <c r="A37" s="24">
        <v>1994</v>
      </c>
      <c r="B37" s="20">
        <f>AVERAGEIFS(Analysis!$E$2:$E$823,Analysis!$B$2:$B$823,"&gt;="&amp;A37,Analysis!$B$2:$B$823,"&lt;"&amp;(A37+1))</f>
        <v>0.31583333333333358</v>
      </c>
      <c r="C37" s="25">
        <f>AVERAGEIFS(Analysis!$F$2:$F$823,Analysis!$B$2:$B$823,"&gt;="&amp;A37,Analysis!$B$2:$B$823,"&lt;"&amp;(A37+1))</f>
        <v>0.35837405183815102</v>
      </c>
      <c r="D37" s="19">
        <f>AVERAGEIFS(ENSO!$D$2:$D$823,Analysis!$B$2:$B$823,"&gt;="&amp;A37,Analysis!$B$2:$B$823,"&lt;"&amp;(A37+1))</f>
        <v>0.20166666666666666</v>
      </c>
      <c r="E37" s="33">
        <v>1.3976</v>
      </c>
      <c r="F37" s="33">
        <v>0.49790000000000001</v>
      </c>
      <c r="G37" s="33">
        <v>0.1406</v>
      </c>
      <c r="H37" s="33">
        <v>0.99760000000000004</v>
      </c>
      <c r="I37" s="33">
        <v>-1.3979999999999999</v>
      </c>
      <c r="J37" s="33">
        <v>0.3725</v>
      </c>
      <c r="K37" s="20">
        <f t="shared" si="22"/>
        <v>2.3952</v>
      </c>
      <c r="L37" s="20">
        <f t="shared" si="23"/>
        <v>1.3697000000000001</v>
      </c>
      <c r="M37" s="33">
        <v>-2.5499999999999998E-2</v>
      </c>
      <c r="N37" s="33">
        <v>-4.1000000000000002E-2</v>
      </c>
      <c r="O37" s="20">
        <f t="shared" si="24"/>
        <v>1.3032000000000001</v>
      </c>
      <c r="P37" s="20">
        <f t="shared" si="25"/>
        <v>0.41199880109357778</v>
      </c>
      <c r="Q37" s="20">
        <f t="shared" si="26"/>
        <v>-9.6165467760244205E-2</v>
      </c>
      <c r="S37" s="18" t="s">
        <v>2034</v>
      </c>
      <c r="T37" s="20">
        <f>INDEX(LINEST($B$2:$B$68,$AU$2:$AU$68:$AW$2:$AW$68),1,3)</f>
        <v>0.40376672617190751</v>
      </c>
      <c r="AN37" s="20">
        <f t="shared" si="27"/>
        <v>1.3697000000000001</v>
      </c>
      <c r="AO37" s="20">
        <f t="shared" si="28"/>
        <v>0.20166666666666666</v>
      </c>
      <c r="AQ37" s="20">
        <f t="shared" si="29"/>
        <v>2.7677</v>
      </c>
      <c r="AR37" s="20">
        <f t="shared" si="30"/>
        <v>-1.3979999999999999</v>
      </c>
      <c r="AS37" s="20">
        <f t="shared" si="31"/>
        <v>0.20166666666666666</v>
      </c>
      <c r="AU37" s="20">
        <f t="shared" si="32"/>
        <v>1.3697000000000001</v>
      </c>
      <c r="AV37" s="20">
        <f t="shared" si="33"/>
        <v>-4.1000000000000002E-2</v>
      </c>
      <c r="AW37" s="20">
        <f t="shared" si="34"/>
        <v>0.20166666666666666</v>
      </c>
      <c r="AY37" s="20">
        <f t="shared" si="35"/>
        <v>0.40214267630947254</v>
      </c>
      <c r="AZ37" s="20">
        <f t="shared" si="36"/>
        <v>-8.6309342976138959E-2</v>
      </c>
      <c r="BA37" s="20">
        <f t="shared" si="37"/>
        <v>0.30682590378117364</v>
      </c>
      <c r="BB37" s="20">
        <f t="shared" si="38"/>
        <v>0.28536096934081184</v>
      </c>
      <c r="BC37" s="20">
        <f t="shared" si="39"/>
        <v>0.24758539116446374</v>
      </c>
      <c r="BD37" s="20">
        <f t="shared" si="40"/>
        <v>0.10061222715583638</v>
      </c>
      <c r="BE37" s="20">
        <f t="shared" si="41"/>
        <v>-0.19860796404837591</v>
      </c>
      <c r="BF37" s="20">
        <f t="shared" si="42"/>
        <v>0.28500000000000075</v>
      </c>
      <c r="BG37" s="20">
        <f t="shared" si="43"/>
        <v>0.29098914098080275</v>
      </c>
    </row>
    <row r="38" spans="1:59">
      <c r="A38" s="24">
        <v>1995</v>
      </c>
      <c r="B38" s="20">
        <f>AVERAGEIFS(Analysis!$E$2:$E$823,Analysis!$B$2:$B$823,"&gt;="&amp;A38,Analysis!$B$2:$B$823,"&lt;"&amp;(A38+1))</f>
        <v>0.4475000000000004</v>
      </c>
      <c r="C38" s="25">
        <f>AVERAGEIFS(Analysis!$F$2:$F$823,Analysis!$B$2:$B$823,"&gt;="&amp;A38,Analysis!$B$2:$B$823,"&lt;"&amp;(A38+1))</f>
        <v>0.36642608584109237</v>
      </c>
      <c r="D38" s="19">
        <f>AVERAGEIFS(ENSO!$D$2:$D$823,Analysis!$B$2:$B$823,"&gt;="&amp;A38,Analysis!$B$2:$B$823,"&lt;"&amp;(A38+1))</f>
        <v>0.25000000000000006</v>
      </c>
      <c r="E38" s="33">
        <v>1.4262999999999999</v>
      </c>
      <c r="F38" s="33">
        <v>0.49980000000000002</v>
      </c>
      <c r="G38" s="33">
        <v>0.1426</v>
      </c>
      <c r="H38" s="33">
        <v>1.0051000000000001</v>
      </c>
      <c r="I38" s="33">
        <v>-1.3271999999999999</v>
      </c>
      <c r="J38" s="33">
        <v>0.36780000000000002</v>
      </c>
      <c r="K38" s="20">
        <f t="shared" si="22"/>
        <v>2.4314</v>
      </c>
      <c r="L38" s="20">
        <f t="shared" si="23"/>
        <v>1.472</v>
      </c>
      <c r="M38" s="33">
        <v>-3.6299999999999999E-2</v>
      </c>
      <c r="N38" s="33">
        <v>0.1323</v>
      </c>
      <c r="O38" s="20">
        <f t="shared" si="24"/>
        <v>1.5680000000000001</v>
      </c>
      <c r="P38" s="20">
        <f t="shared" si="25"/>
        <v>0.45871430034859006</v>
      </c>
      <c r="Q38" s="20">
        <f t="shared" si="26"/>
        <v>-1.1214300348589668E-2</v>
      </c>
      <c r="S38" s="18" t="s">
        <v>2035</v>
      </c>
      <c r="T38" s="20">
        <f>INDEX(LINEST($B$2:$B$68,$AU$2:$AU$68:$AW$2:$AW$68),1,2)</f>
        <v>0.12956566544673995</v>
      </c>
      <c r="AN38" s="20">
        <f t="shared" si="27"/>
        <v>1.472</v>
      </c>
      <c r="AO38" s="20">
        <f t="shared" si="28"/>
        <v>0.25000000000000006</v>
      </c>
      <c r="AQ38" s="20">
        <f t="shared" si="29"/>
        <v>2.7991999999999999</v>
      </c>
      <c r="AR38" s="20">
        <f t="shared" si="30"/>
        <v>-1.3271999999999999</v>
      </c>
      <c r="AS38" s="20">
        <f t="shared" si="31"/>
        <v>0.25000000000000006</v>
      </c>
      <c r="AU38" s="20">
        <f t="shared" si="32"/>
        <v>1.472</v>
      </c>
      <c r="AV38" s="20">
        <f t="shared" si="33"/>
        <v>0.1323</v>
      </c>
      <c r="AW38" s="20">
        <f t="shared" si="34"/>
        <v>0.25000000000000006</v>
      </c>
      <c r="AY38" s="20">
        <f t="shared" si="35"/>
        <v>0.47174311077967318</v>
      </c>
      <c r="AZ38" s="20">
        <f t="shared" si="36"/>
        <v>-2.4243110779672783E-2</v>
      </c>
      <c r="BA38" s="20">
        <f t="shared" si="37"/>
        <v>0.40351039471729977</v>
      </c>
      <c r="BB38" s="20">
        <f t="shared" si="38"/>
        <v>0.2970942928652836</v>
      </c>
      <c r="BC38" s="20">
        <f t="shared" si="39"/>
        <v>0.25065159069176474</v>
      </c>
      <c r="BD38" s="20">
        <f t="shared" si="40"/>
        <v>9.8690742118727776E-2</v>
      </c>
      <c r="BE38" s="20">
        <f t="shared" si="41"/>
        <v>-0.16966304051065459</v>
      </c>
      <c r="BF38" s="20">
        <f t="shared" si="42"/>
        <v>0.41666666666666757</v>
      </c>
      <c r="BG38" s="20">
        <f t="shared" si="43"/>
        <v>0.41776326994484259</v>
      </c>
    </row>
    <row r="39" spans="1:59">
      <c r="A39" s="24">
        <v>1996</v>
      </c>
      <c r="B39" s="20">
        <f>AVERAGEIFS(Analysis!$E$2:$E$823,Analysis!$B$2:$B$823,"&gt;="&amp;A39,Analysis!$B$2:$B$823,"&lt;"&amp;(A39+1))</f>
        <v>0.33416666666666667</v>
      </c>
      <c r="C39" s="25">
        <f>AVERAGEIFS(Analysis!$F$2:$F$823,Analysis!$B$2:$B$823,"&gt;="&amp;A39,Analysis!$B$2:$B$823,"&lt;"&amp;(A39+1))</f>
        <v>0.37350293517077987</v>
      </c>
      <c r="D39" s="19">
        <f>AVERAGEIFS(ENSO!$D$2:$D$823,Analysis!$B$2:$B$823,"&gt;="&amp;A39,Analysis!$B$2:$B$823,"&lt;"&amp;(A39+1))</f>
        <v>-0.56416666666666671</v>
      </c>
      <c r="E39" s="33">
        <v>1.4536</v>
      </c>
      <c r="F39" s="33">
        <v>0.50060000000000004</v>
      </c>
      <c r="G39" s="33">
        <v>0.1454</v>
      </c>
      <c r="H39" s="33">
        <v>1.0119</v>
      </c>
      <c r="I39" s="33">
        <v>-1.2894000000000001</v>
      </c>
      <c r="J39" s="33">
        <v>0.3659</v>
      </c>
      <c r="K39" s="20">
        <f t="shared" si="22"/>
        <v>2.4655</v>
      </c>
      <c r="L39" s="20">
        <f t="shared" si="23"/>
        <v>1.5419999999999998</v>
      </c>
      <c r="M39" s="33">
        <v>-4.5999999999999999E-2</v>
      </c>
      <c r="N39" s="33">
        <v>0.1951</v>
      </c>
      <c r="O39" s="20">
        <f t="shared" si="24"/>
        <v>1.6910999999999998</v>
      </c>
      <c r="P39" s="20">
        <f t="shared" si="25"/>
        <v>0.4049182085436307</v>
      </c>
      <c r="Q39" s="20">
        <f t="shared" si="26"/>
        <v>-7.075154187696403E-2</v>
      </c>
      <c r="S39" s="18" t="s">
        <v>1912</v>
      </c>
      <c r="T39" s="20">
        <f>INDEX(LINEST($B$2:$B$68,$AU$2:$AU$68:$AW$2:$AW$68,TRUE(),TRUE()),3,1)</f>
        <v>0.96451601938691411</v>
      </c>
      <c r="AN39" s="20">
        <f t="shared" si="27"/>
        <v>1.5419999999999998</v>
      </c>
      <c r="AO39" s="20">
        <f t="shared" si="28"/>
        <v>-0.56416666666666671</v>
      </c>
      <c r="AQ39" s="20">
        <f t="shared" si="29"/>
        <v>2.8313999999999999</v>
      </c>
      <c r="AR39" s="20">
        <f t="shared" si="30"/>
        <v>-1.2894000000000001</v>
      </c>
      <c r="AS39" s="20">
        <f t="shared" si="31"/>
        <v>-0.56416666666666671</v>
      </c>
      <c r="AU39" s="20">
        <f t="shared" si="32"/>
        <v>1.5419999999999998</v>
      </c>
      <c r="AV39" s="20">
        <f t="shared" si="33"/>
        <v>0.1951</v>
      </c>
      <c r="AW39" s="20">
        <f t="shared" si="34"/>
        <v>-0.56416666666666671</v>
      </c>
      <c r="AY39" s="20">
        <f t="shared" si="35"/>
        <v>0.40974665912600522</v>
      </c>
      <c r="AZ39" s="20">
        <f t="shared" si="36"/>
        <v>-7.5579992459338552E-2</v>
      </c>
      <c r="BA39" s="20">
        <f t="shared" si="37"/>
        <v>0.35513411946830115</v>
      </c>
      <c r="BB39" s="20">
        <f t="shared" si="38"/>
        <v>0.30825525914465923</v>
      </c>
      <c r="BC39" s="20">
        <f t="shared" si="39"/>
        <v>0.25343161159651761</v>
      </c>
      <c r="BD39" s="20">
        <f t="shared" si="40"/>
        <v>9.7913971571811517E-2</v>
      </c>
      <c r="BE39" s="20">
        <f t="shared" si="41"/>
        <v>-0.15420939489305768</v>
      </c>
      <c r="BF39" s="20">
        <f t="shared" si="42"/>
        <v>0.30333333333333384</v>
      </c>
      <c r="BG39" s="20">
        <f t="shared" si="43"/>
        <v>0.38684389067127745</v>
      </c>
    </row>
    <row r="40" spans="1:59">
      <c r="A40" s="24">
        <v>1997</v>
      </c>
      <c r="B40" s="20">
        <f>AVERAGEIFS(Analysis!$E$2:$E$823,Analysis!$B$2:$B$823,"&gt;="&amp;A40,Analysis!$B$2:$B$823,"&lt;"&amp;(A40+1))</f>
        <v>0.46749999999999964</v>
      </c>
      <c r="C40" s="25">
        <f>AVERAGEIFS(Analysis!$F$2:$F$823,Analysis!$B$2:$B$823,"&gt;="&amp;A40,Analysis!$B$2:$B$823,"&lt;"&amp;(A40+1))</f>
        <v>0.37800252302471615</v>
      </c>
      <c r="D40" s="19">
        <f>AVERAGEIFS(ENSO!$D$2:$D$823,Analysis!$B$2:$B$823,"&gt;="&amp;A40,Analysis!$B$2:$B$823,"&lt;"&amp;(A40+1))</f>
        <v>0.46833333333333332</v>
      </c>
      <c r="E40" s="33">
        <v>1.4708000000000001</v>
      </c>
      <c r="F40" s="33">
        <v>0.50190000000000001</v>
      </c>
      <c r="G40" s="33">
        <v>0.1482</v>
      </c>
      <c r="H40" s="33">
        <v>1.0183</v>
      </c>
      <c r="I40" s="33">
        <v>-1.4273</v>
      </c>
      <c r="J40" s="33">
        <v>0.4133</v>
      </c>
      <c r="K40" s="20">
        <f t="shared" si="22"/>
        <v>2.4891000000000001</v>
      </c>
      <c r="L40" s="20">
        <f t="shared" si="23"/>
        <v>1.4751000000000001</v>
      </c>
      <c r="M40" s="33">
        <v>-3.04E-2</v>
      </c>
      <c r="N40" s="33">
        <v>0.2157</v>
      </c>
      <c r="O40" s="20">
        <f t="shared" si="24"/>
        <v>1.6604000000000001</v>
      </c>
      <c r="P40" s="20">
        <f t="shared" si="25"/>
        <v>0.4820824365800172</v>
      </c>
      <c r="Q40" s="20">
        <f t="shared" si="26"/>
        <v>-1.4582436580017566E-2</v>
      </c>
      <c r="S40" s="18" t="s">
        <v>2036</v>
      </c>
      <c r="T40" s="19">
        <f>T37*T3</f>
        <v>1.5868032338555966</v>
      </c>
      <c r="AN40" s="20">
        <f t="shared" si="27"/>
        <v>1.4751000000000001</v>
      </c>
      <c r="AO40" s="20">
        <f t="shared" si="28"/>
        <v>0.46833333333333332</v>
      </c>
      <c r="AQ40" s="20">
        <f t="shared" si="29"/>
        <v>2.9024000000000001</v>
      </c>
      <c r="AR40" s="20">
        <f t="shared" si="30"/>
        <v>-1.4273</v>
      </c>
      <c r="AS40" s="20">
        <f t="shared" si="31"/>
        <v>0.46833333333333332</v>
      </c>
      <c r="AU40" s="20">
        <f t="shared" si="32"/>
        <v>1.4751000000000001</v>
      </c>
      <c r="AV40" s="20">
        <f t="shared" si="33"/>
        <v>0.2157</v>
      </c>
      <c r="AW40" s="20">
        <f t="shared" si="34"/>
        <v>0.46833333333333332</v>
      </c>
      <c r="AY40" s="20">
        <f t="shared" si="35"/>
        <v>0.51018743590413929</v>
      </c>
      <c r="AZ40" s="20">
        <f t="shared" si="36"/>
        <v>-4.2687435904139648E-2</v>
      </c>
      <c r="BA40" s="20">
        <f t="shared" si="37"/>
        <v>0.41833504234785784</v>
      </c>
      <c r="BB40" s="20">
        <f t="shared" si="38"/>
        <v>0.31528707672726958</v>
      </c>
      <c r="BC40" s="20">
        <f t="shared" si="39"/>
        <v>0.25604810185981441</v>
      </c>
      <c r="BD40" s="20">
        <f t="shared" si="40"/>
        <v>0.11729235258435376</v>
      </c>
      <c r="BE40" s="20">
        <f t="shared" si="41"/>
        <v>-0.21058658353503179</v>
      </c>
      <c r="BF40" s="20">
        <f t="shared" si="42"/>
        <v>0.43666666666666681</v>
      </c>
      <c r="BG40" s="20">
        <f t="shared" si="43"/>
        <v>0.41566249618469919</v>
      </c>
    </row>
    <row r="41" spans="1:59">
      <c r="A41" s="24">
        <v>1998</v>
      </c>
      <c r="B41" s="20">
        <f>AVERAGEIFS(Analysis!$E$2:$E$823,Analysis!$B$2:$B$823,"&gt;="&amp;A41,Analysis!$B$2:$B$823,"&lt;"&amp;(A41+1))</f>
        <v>0.6091666666666683</v>
      </c>
      <c r="C41" s="25">
        <f>AVERAGEIFS(Analysis!$F$2:$F$823,Analysis!$B$2:$B$823,"&gt;="&amp;A41,Analysis!$B$2:$B$823,"&lt;"&amp;(A41+1))</f>
        <v>0.3897083812206969</v>
      </c>
      <c r="D41" s="19">
        <f>AVERAGEIFS(ENSO!$D$2:$D$823,Analysis!$B$2:$B$823,"&gt;="&amp;A41,Analysis!$B$2:$B$823,"&lt;"&amp;(A41+1))</f>
        <v>0.9458333333333333</v>
      </c>
      <c r="E41" s="33">
        <v>1.5117</v>
      </c>
      <c r="F41" s="33">
        <v>0.50590000000000002</v>
      </c>
      <c r="G41" s="33">
        <v>0.1507</v>
      </c>
      <c r="H41" s="33">
        <v>1.0271999999999999</v>
      </c>
      <c r="I41" s="33">
        <v>-1.4064000000000001</v>
      </c>
      <c r="J41" s="33">
        <v>0.40749999999999997</v>
      </c>
      <c r="K41" s="20">
        <f t="shared" si="22"/>
        <v>2.5388999999999999</v>
      </c>
      <c r="L41" s="20">
        <f t="shared" si="23"/>
        <v>1.5399999999999998</v>
      </c>
      <c r="M41" s="33">
        <v>1.37E-2</v>
      </c>
      <c r="N41" s="33">
        <v>0.21740000000000001</v>
      </c>
      <c r="O41" s="20">
        <f t="shared" si="24"/>
        <v>1.7710999999999999</v>
      </c>
      <c r="P41" s="20">
        <f t="shared" si="25"/>
        <v>0.55695018149428355</v>
      </c>
      <c r="Q41" s="20">
        <f t="shared" si="26"/>
        <v>5.2216485172384752E-2</v>
      </c>
      <c r="S41" s="18" t="s">
        <v>2037</v>
      </c>
      <c r="T41" s="20">
        <f>CORREL($C$2:$C$68,$L$2:$L$68)</f>
        <v>0.99710092814904838</v>
      </c>
      <c r="AN41" s="20">
        <f t="shared" si="27"/>
        <v>1.5399999999999998</v>
      </c>
      <c r="AO41" s="20">
        <f t="shared" si="28"/>
        <v>0.9458333333333333</v>
      </c>
      <c r="AQ41" s="20">
        <f t="shared" si="29"/>
        <v>2.9463999999999997</v>
      </c>
      <c r="AR41" s="20">
        <f t="shared" si="30"/>
        <v>-1.4064000000000001</v>
      </c>
      <c r="AS41" s="20">
        <f t="shared" si="31"/>
        <v>0.9458333333333333</v>
      </c>
      <c r="AU41" s="20">
        <f t="shared" si="32"/>
        <v>1.5399999999999998</v>
      </c>
      <c r="AV41" s="20">
        <f t="shared" si="33"/>
        <v>0.21740000000000001</v>
      </c>
      <c r="AW41" s="20">
        <f t="shared" si="34"/>
        <v>0.9458333333333333</v>
      </c>
      <c r="AY41" s="20">
        <f t="shared" si="35"/>
        <v>0.59432085091555065</v>
      </c>
      <c r="AZ41" s="20">
        <f t="shared" si="36"/>
        <v>1.4845815751117653E-2</v>
      </c>
      <c r="BA41" s="20">
        <f t="shared" si="37"/>
        <v>0.50185497218914155</v>
      </c>
      <c r="BB41" s="20">
        <f t="shared" si="38"/>
        <v>0.33200808481615091</v>
      </c>
      <c r="BC41" s="20">
        <f t="shared" si="39"/>
        <v>0.25968665863221158</v>
      </c>
      <c r="BD41" s="20">
        <f t="shared" si="40"/>
        <v>0.11492115828324098</v>
      </c>
      <c r="BE41" s="20">
        <f t="shared" si="41"/>
        <v>-0.20204210751895307</v>
      </c>
      <c r="BF41" s="20">
        <f t="shared" si="42"/>
        <v>0.57833333333333548</v>
      </c>
      <c r="BG41" s="20">
        <f t="shared" si="43"/>
        <v>0.50899426451334595</v>
      </c>
    </row>
    <row r="42" spans="1:59">
      <c r="A42" s="24">
        <v>1999</v>
      </c>
      <c r="B42" s="20">
        <f>AVERAGEIFS(Analysis!$E$2:$E$823,Analysis!$B$2:$B$823,"&gt;="&amp;A42,Analysis!$B$2:$B$823,"&lt;"&amp;(A42+1))</f>
        <v>0.38249999999999984</v>
      </c>
      <c r="C42" s="25">
        <f>AVERAGEIFS(Analysis!$F$2:$F$823,Analysis!$B$2:$B$823,"&gt;="&amp;A42,Analysis!$B$2:$B$823,"&lt;"&amp;(A42+1))</f>
        <v>0.3963732865394658</v>
      </c>
      <c r="D42" s="19">
        <f>AVERAGEIFS(ENSO!$D$2:$D$823,Analysis!$B$2:$B$823,"&gt;="&amp;A42,Analysis!$B$2:$B$823,"&lt;"&amp;(A42+1))</f>
        <v>-1.0716666666666665</v>
      </c>
      <c r="E42" s="33">
        <v>1.5439000000000001</v>
      </c>
      <c r="F42" s="33">
        <v>0.50890000000000002</v>
      </c>
      <c r="G42" s="33">
        <v>0.154</v>
      </c>
      <c r="H42" s="33">
        <v>1.0356000000000001</v>
      </c>
      <c r="I42" s="33">
        <v>-1.2664</v>
      </c>
      <c r="J42" s="33">
        <v>0.38190000000000002</v>
      </c>
      <c r="K42" s="20">
        <f t="shared" si="22"/>
        <v>2.5795000000000003</v>
      </c>
      <c r="L42" s="20">
        <f t="shared" si="23"/>
        <v>1.6950000000000003</v>
      </c>
      <c r="M42" s="33">
        <v>4.8300000000000003E-2</v>
      </c>
      <c r="N42" s="33">
        <v>0.22090000000000001</v>
      </c>
      <c r="O42" s="20">
        <f t="shared" si="24"/>
        <v>1.9642000000000004</v>
      </c>
      <c r="P42" s="20">
        <f t="shared" si="25"/>
        <v>0.41609703302298751</v>
      </c>
      <c r="Q42" s="20">
        <f t="shared" si="26"/>
        <v>-3.3597033022987666E-2</v>
      </c>
      <c r="S42" s="18" t="s">
        <v>2038</v>
      </c>
      <c r="T42" s="19">
        <f>E2/L2</f>
        <v>2.287769784172661</v>
      </c>
      <c r="U42" s="19">
        <f>E68/L68</f>
        <v>0.76394393426776219</v>
      </c>
      <c r="AN42" s="20">
        <f t="shared" si="27"/>
        <v>1.6950000000000003</v>
      </c>
      <c r="AO42" s="20">
        <f t="shared" si="28"/>
        <v>-1.0716666666666665</v>
      </c>
      <c r="AQ42" s="20">
        <f t="shared" si="29"/>
        <v>2.9614000000000003</v>
      </c>
      <c r="AR42" s="20">
        <f t="shared" si="30"/>
        <v>-1.2664</v>
      </c>
      <c r="AS42" s="20">
        <f t="shared" si="31"/>
        <v>-1.0716666666666665</v>
      </c>
      <c r="AU42" s="20">
        <f t="shared" si="32"/>
        <v>1.6950000000000003</v>
      </c>
      <c r="AV42" s="20">
        <f t="shared" si="33"/>
        <v>0.22090000000000001</v>
      </c>
      <c r="AW42" s="20">
        <f t="shared" si="34"/>
        <v>-1.0716666666666665</v>
      </c>
      <c r="AY42" s="20">
        <f t="shared" si="35"/>
        <v>0.41353139250944132</v>
      </c>
      <c r="AZ42" s="20">
        <f t="shared" si="36"/>
        <v>-3.103139250944148E-2</v>
      </c>
      <c r="BA42" s="20">
        <f t="shared" si="37"/>
        <v>0.42920567063098136</v>
      </c>
      <c r="BB42" s="20">
        <f t="shared" si="38"/>
        <v>0.34517230145336314</v>
      </c>
      <c r="BC42" s="20">
        <f t="shared" si="39"/>
        <v>0.26312080210278876</v>
      </c>
      <c r="BD42" s="20">
        <f t="shared" si="40"/>
        <v>0.10445519723005363</v>
      </c>
      <c r="BE42" s="20">
        <f t="shared" si="41"/>
        <v>-0.1448063830093346</v>
      </c>
      <c r="BF42" s="20">
        <f t="shared" si="42"/>
        <v>0.35166666666666702</v>
      </c>
      <c r="BG42" s="20">
        <f t="shared" si="43"/>
        <v>0.48654886988219415</v>
      </c>
    </row>
    <row r="43" spans="1:59">
      <c r="A43" s="24">
        <v>2000</v>
      </c>
      <c r="B43" s="20">
        <f>AVERAGEIFS(Analysis!$E$2:$E$823,Analysis!$B$2:$B$823,"&gt;="&amp;A43,Analysis!$B$2:$B$823,"&lt;"&amp;(A43+1))</f>
        <v>0.39333333333333381</v>
      </c>
      <c r="C43" s="25">
        <f>AVERAGEIFS(Analysis!$F$2:$F$823,Analysis!$B$2:$B$823,"&gt;="&amp;A43,Analysis!$B$2:$B$823,"&lt;"&amp;(A43+1))</f>
        <v>0.400943554731721</v>
      </c>
      <c r="D43" s="19">
        <f>AVERAGEIFS(ENSO!$D$2:$D$823,Analysis!$B$2:$B$823,"&gt;="&amp;A43,Analysis!$B$2:$B$823,"&lt;"&amp;(A43+1))</f>
        <v>-0.92666666666666664</v>
      </c>
      <c r="E43" s="33">
        <v>1.5616000000000001</v>
      </c>
      <c r="F43" s="33">
        <v>0.50939999999999996</v>
      </c>
      <c r="G43" s="33">
        <v>0.15720000000000001</v>
      </c>
      <c r="H43" s="33">
        <v>1.0414000000000001</v>
      </c>
      <c r="I43" s="33">
        <v>-1.2185999999999999</v>
      </c>
      <c r="J43" s="33">
        <v>0.37480000000000002</v>
      </c>
      <c r="K43" s="20">
        <f t="shared" si="22"/>
        <v>2.6030000000000002</v>
      </c>
      <c r="L43" s="20">
        <f t="shared" si="23"/>
        <v>1.7592000000000003</v>
      </c>
      <c r="M43" s="33">
        <v>8.4099999999999994E-2</v>
      </c>
      <c r="N43" s="33">
        <v>0.2215</v>
      </c>
      <c r="O43" s="20">
        <f t="shared" si="24"/>
        <v>2.0648000000000004</v>
      </c>
      <c r="P43" s="20">
        <f t="shared" si="25"/>
        <v>0.45702131408456492</v>
      </c>
      <c r="Q43" s="20">
        <f t="shared" si="26"/>
        <v>-6.368798075123111E-2</v>
      </c>
      <c r="S43" s="18" t="s">
        <v>2039</v>
      </c>
      <c r="T43" s="19">
        <f>T17-1.96*SQRT((T3*U19)^2+(T14*U3/1.645)^2)</f>
        <v>1.3441779277500809</v>
      </c>
      <c r="U43" s="19">
        <f>T17+1.96*SQRT((T3*U19)^2+(T14*U3/1.645)^2)</f>
        <v>1.8691991768613536</v>
      </c>
      <c r="AN43" s="20">
        <f t="shared" si="27"/>
        <v>1.7592000000000003</v>
      </c>
      <c r="AO43" s="20">
        <f t="shared" si="28"/>
        <v>-0.92666666666666664</v>
      </c>
      <c r="AQ43" s="20">
        <f t="shared" si="29"/>
        <v>2.9778000000000002</v>
      </c>
      <c r="AR43" s="20">
        <f t="shared" si="30"/>
        <v>-1.2185999999999999</v>
      </c>
      <c r="AS43" s="20">
        <f t="shared" si="31"/>
        <v>-0.92666666666666664</v>
      </c>
      <c r="AU43" s="20">
        <f t="shared" si="32"/>
        <v>1.7592000000000003</v>
      </c>
      <c r="AV43" s="20">
        <f t="shared" si="33"/>
        <v>0.2215</v>
      </c>
      <c r="AW43" s="20">
        <f t="shared" si="34"/>
        <v>-0.92666666666666664</v>
      </c>
      <c r="AY43" s="20">
        <f t="shared" si="35"/>
        <v>0.45705506141162927</v>
      </c>
      <c r="AZ43" s="20">
        <f t="shared" si="36"/>
        <v>-6.3721728078295459E-2</v>
      </c>
      <c r="BA43" s="20">
        <f t="shared" si="37"/>
        <v>0.40635095378716829</v>
      </c>
      <c r="BB43" s="20">
        <f t="shared" si="38"/>
        <v>0.35240853233779351</v>
      </c>
      <c r="BC43" s="20">
        <f t="shared" si="39"/>
        <v>0.26549199640390153</v>
      </c>
      <c r="BD43" s="20">
        <f t="shared" si="40"/>
        <v>0.10155252834420871</v>
      </c>
      <c r="BE43" s="20">
        <f t="shared" si="41"/>
        <v>-0.12526447135533628</v>
      </c>
      <c r="BF43" s="20">
        <f t="shared" si="42"/>
        <v>0.36250000000000099</v>
      </c>
      <c r="BG43" s="20">
        <f t="shared" si="43"/>
        <v>0.4827045901076471</v>
      </c>
    </row>
    <row r="44" spans="1:59">
      <c r="A44" s="24">
        <v>2001</v>
      </c>
      <c r="B44" s="20">
        <f>AVERAGEIFS(Analysis!$E$2:$E$823,Analysis!$B$2:$B$823,"&gt;="&amp;A44,Analysis!$B$2:$B$823,"&lt;"&amp;(A44+1))</f>
        <v>0.5333333333333331</v>
      </c>
      <c r="C44" s="25">
        <f>AVERAGEIFS(Analysis!$F$2:$F$823,Analysis!$B$2:$B$823,"&gt;="&amp;A44,Analysis!$B$2:$B$823,"&lt;"&amp;(A44+1))</f>
        <v>0.40721575059890908</v>
      </c>
      <c r="D44" s="19">
        <f>AVERAGEIFS(ENSO!$D$2:$D$823,Analysis!$B$2:$B$823,"&gt;="&amp;A44,Analysis!$B$2:$B$823,"&lt;"&amp;(A44+1))</f>
        <v>-0.39166666666666666</v>
      </c>
      <c r="E44" s="33">
        <v>1.5859000000000001</v>
      </c>
      <c r="F44" s="33">
        <v>0.50870000000000004</v>
      </c>
      <c r="G44" s="33">
        <v>0.15970000000000001</v>
      </c>
      <c r="H44" s="33">
        <v>1.0450999999999999</v>
      </c>
      <c r="I44" s="33">
        <v>-1.2191000000000001</v>
      </c>
      <c r="J44" s="33">
        <v>0.37959999999999999</v>
      </c>
      <c r="K44" s="20">
        <f t="shared" si="22"/>
        <v>2.6310000000000002</v>
      </c>
      <c r="L44" s="20">
        <f t="shared" si="23"/>
        <v>1.7915000000000001</v>
      </c>
      <c r="M44" s="33">
        <v>6.2100000000000002E-2</v>
      </c>
      <c r="N44" s="33">
        <v>0.2162</v>
      </c>
      <c r="O44" s="20">
        <f t="shared" si="24"/>
        <v>2.0698000000000003</v>
      </c>
      <c r="P44" s="20">
        <f t="shared" si="25"/>
        <v>0.52438174450432273</v>
      </c>
      <c r="Q44" s="20">
        <f t="shared" si="26"/>
        <v>8.9515888290103707E-3</v>
      </c>
      <c r="S44" s="18" t="s">
        <v>2040</v>
      </c>
      <c r="T44" s="19">
        <f>T14*T4</f>
        <v>1.5687810030522811</v>
      </c>
      <c r="AN44" s="20">
        <f t="shared" si="27"/>
        <v>1.7915000000000001</v>
      </c>
      <c r="AO44" s="20">
        <f t="shared" si="28"/>
        <v>-0.39166666666666666</v>
      </c>
      <c r="AQ44" s="20">
        <f t="shared" si="29"/>
        <v>3.0106000000000002</v>
      </c>
      <c r="AR44" s="20">
        <f t="shared" si="30"/>
        <v>-1.2191000000000001</v>
      </c>
      <c r="AS44" s="20">
        <f t="shared" si="31"/>
        <v>-0.39166666666666666</v>
      </c>
      <c r="AU44" s="20">
        <f t="shared" si="32"/>
        <v>1.7915000000000001</v>
      </c>
      <c r="AV44" s="20">
        <f t="shared" si="33"/>
        <v>0.2162</v>
      </c>
      <c r="AW44" s="20">
        <f t="shared" si="34"/>
        <v>-0.39166666666666666</v>
      </c>
      <c r="AY44" s="20">
        <f t="shared" si="35"/>
        <v>0.53406793581415268</v>
      </c>
      <c r="AZ44" s="20">
        <f t="shared" si="36"/>
        <v>-7.3460248081957946E-4</v>
      </c>
      <c r="BA44" s="20">
        <f t="shared" si="37"/>
        <v>0.48892500983586495</v>
      </c>
      <c r="BB44" s="20">
        <f t="shared" si="38"/>
        <v>0.3623430188062487</v>
      </c>
      <c r="BC44" s="20">
        <f t="shared" si="39"/>
        <v>0.2670046548373699</v>
      </c>
      <c r="BD44" s="20">
        <f t="shared" si="40"/>
        <v>0.10351489604168132</v>
      </c>
      <c r="BE44" s="20">
        <f t="shared" si="41"/>
        <v>-0.12546888465715642</v>
      </c>
      <c r="BF44" s="20">
        <f t="shared" si="42"/>
        <v>0.50250000000000028</v>
      </c>
      <c r="BG44" s="20">
        <f t="shared" si="43"/>
        <v>0.56854925898546482</v>
      </c>
    </row>
    <row r="45" spans="1:59">
      <c r="A45" s="24">
        <v>2002</v>
      </c>
      <c r="B45" s="20">
        <f>AVERAGEIFS(Analysis!$E$2:$E$823,Analysis!$B$2:$B$823,"&gt;="&amp;A45,Analysis!$B$2:$B$823,"&lt;"&amp;(A45+1))</f>
        <v>0.6275000000000005</v>
      </c>
      <c r="C45" s="25">
        <f>AVERAGEIFS(Analysis!$F$2:$F$823,Analysis!$B$2:$B$823,"&gt;="&amp;A45,Analysis!$B$2:$B$823,"&lt;"&amp;(A45+1))</f>
        <v>0.41548364377270341</v>
      </c>
      <c r="D45" s="19">
        <f>AVERAGEIFS(ENSO!$D$2:$D$823,Analysis!$B$2:$B$823,"&gt;="&amp;A45,Analysis!$B$2:$B$823,"&lt;"&amp;(A45+1))</f>
        <v>0.16666666666666666</v>
      </c>
      <c r="E45" s="33">
        <v>1.6164000000000001</v>
      </c>
      <c r="F45" s="33">
        <v>0.5091</v>
      </c>
      <c r="G45" s="33">
        <v>0.1618</v>
      </c>
      <c r="H45" s="33">
        <v>1.0492999999999999</v>
      </c>
      <c r="I45" s="33">
        <v>-1.3027</v>
      </c>
      <c r="J45" s="33">
        <v>0.39800000000000002</v>
      </c>
      <c r="K45" s="20">
        <f t="shared" si="22"/>
        <v>2.6657000000000002</v>
      </c>
      <c r="L45" s="20">
        <f t="shared" si="23"/>
        <v>1.7610000000000001</v>
      </c>
      <c r="M45" s="33">
        <v>7.6100000000000001E-2</v>
      </c>
      <c r="N45" s="33">
        <v>0.223</v>
      </c>
      <c r="O45" s="20">
        <f t="shared" si="24"/>
        <v>2.0601000000000003</v>
      </c>
      <c r="P45" s="20">
        <f t="shared" si="25"/>
        <v>0.56842977896847269</v>
      </c>
      <c r="Q45" s="20">
        <f t="shared" si="26"/>
        <v>5.9070221031527814E-2</v>
      </c>
      <c r="S45" s="18" t="s">
        <v>2041</v>
      </c>
      <c r="T45" s="19">
        <f>AVERAGE(AZ66:AZ68)</f>
        <v>0.12607973676228715</v>
      </c>
      <c r="AN45" s="20">
        <f t="shared" si="27"/>
        <v>1.7610000000000001</v>
      </c>
      <c r="AO45" s="20">
        <f t="shared" si="28"/>
        <v>0.16666666666666666</v>
      </c>
      <c r="AQ45" s="20">
        <f t="shared" si="29"/>
        <v>3.0637000000000003</v>
      </c>
      <c r="AR45" s="20">
        <f t="shared" si="30"/>
        <v>-1.3027</v>
      </c>
      <c r="AS45" s="20">
        <f t="shared" si="31"/>
        <v>0.16666666666666666</v>
      </c>
      <c r="AU45" s="20">
        <f t="shared" si="32"/>
        <v>1.7610000000000001</v>
      </c>
      <c r="AV45" s="20">
        <f t="shared" si="33"/>
        <v>0.223</v>
      </c>
      <c r="AW45" s="20">
        <f t="shared" si="34"/>
        <v>0.16666666666666666</v>
      </c>
      <c r="AY45" s="20">
        <f t="shared" si="35"/>
        <v>0.59011197539438343</v>
      </c>
      <c r="AZ45" s="20">
        <f t="shared" si="36"/>
        <v>3.7388024605617076E-2</v>
      </c>
      <c r="BA45" s="20">
        <f t="shared" si="37"/>
        <v>0.55151285344940648</v>
      </c>
      <c r="BB45" s="20">
        <f t="shared" si="38"/>
        <v>0.37481223021727272</v>
      </c>
      <c r="BC45" s="20">
        <f t="shared" si="39"/>
        <v>0.26872172657265847</v>
      </c>
      <c r="BD45" s="20">
        <f t="shared" si="40"/>
        <v>0.11103730554865976</v>
      </c>
      <c r="BE45" s="20">
        <f t="shared" si="41"/>
        <v>-0.15964678872147139</v>
      </c>
      <c r="BF45" s="20">
        <f t="shared" si="42"/>
        <v>0.59666666666666768</v>
      </c>
      <c r="BG45" s="20">
        <f t="shared" si="43"/>
        <v>0.60619867977695818</v>
      </c>
    </row>
    <row r="46" spans="1:59">
      <c r="A46" s="24">
        <v>2003</v>
      </c>
      <c r="B46" s="20">
        <f>AVERAGEIFS(Analysis!$E$2:$E$823,Analysis!$B$2:$B$823,"&gt;="&amp;A46,Analysis!$B$2:$B$823,"&lt;"&amp;(A46+1))</f>
        <v>0.61666666666666703</v>
      </c>
      <c r="C46" s="25">
        <f>AVERAGEIFS(Analysis!$F$2:$F$823,Analysis!$B$2:$B$823,"&gt;="&amp;A46,Analysis!$B$2:$B$823,"&lt;"&amp;(A46+1))</f>
        <v>0.42522603502993445</v>
      </c>
      <c r="D46" s="19">
        <f>AVERAGEIFS(ENSO!$D$2:$D$823,Analysis!$B$2:$B$823,"&gt;="&amp;A46,Analysis!$B$2:$B$823,"&lt;"&amp;(A46+1))</f>
        <v>0.43916666666666671</v>
      </c>
      <c r="E46" s="33">
        <v>1.655</v>
      </c>
      <c r="F46" s="33">
        <v>0.51060000000000005</v>
      </c>
      <c r="G46" s="33">
        <v>0.1641</v>
      </c>
      <c r="H46" s="33">
        <v>1.0546</v>
      </c>
      <c r="I46" s="33">
        <v>-1.343</v>
      </c>
      <c r="J46" s="33">
        <v>0.40329999999999999</v>
      </c>
      <c r="K46" s="20">
        <f t="shared" si="22"/>
        <v>2.7096</v>
      </c>
      <c r="L46" s="20">
        <f t="shared" si="23"/>
        <v>1.7699</v>
      </c>
      <c r="M46" s="33">
        <v>1.2200000000000001E-2</v>
      </c>
      <c r="N46" s="33">
        <v>0.20669999999999999</v>
      </c>
      <c r="O46" s="20">
        <f t="shared" si="24"/>
        <v>1.9887999999999999</v>
      </c>
      <c r="P46" s="20">
        <f t="shared" si="25"/>
        <v>0.59965212589188754</v>
      </c>
      <c r="Q46" s="20">
        <f t="shared" si="26"/>
        <v>1.7014540774779485E-2</v>
      </c>
      <c r="AN46" s="20">
        <f t="shared" si="27"/>
        <v>1.7699</v>
      </c>
      <c r="AO46" s="20">
        <f t="shared" si="28"/>
        <v>0.43916666666666671</v>
      </c>
      <c r="AQ46" s="20">
        <f t="shared" si="29"/>
        <v>3.1128999999999998</v>
      </c>
      <c r="AR46" s="20">
        <f t="shared" si="30"/>
        <v>-1.343</v>
      </c>
      <c r="AS46" s="20">
        <f t="shared" si="31"/>
        <v>0.43916666666666671</v>
      </c>
      <c r="AU46" s="20">
        <f t="shared" si="32"/>
        <v>1.7699</v>
      </c>
      <c r="AV46" s="20">
        <f t="shared" si="33"/>
        <v>0.20669999999999999</v>
      </c>
      <c r="AW46" s="20">
        <f t="shared" si="34"/>
        <v>0.43916666666666671</v>
      </c>
      <c r="AY46" s="20">
        <f t="shared" si="35"/>
        <v>0.6245268120038503</v>
      </c>
      <c r="AZ46" s="20">
        <f t="shared" si="36"/>
        <v>-7.8601453371832664E-3</v>
      </c>
      <c r="BA46" s="20">
        <f t="shared" si="37"/>
        <v>0.52523788009316719</v>
      </c>
      <c r="BB46" s="20">
        <f t="shared" si="38"/>
        <v>0.39059293711778176</v>
      </c>
      <c r="BC46" s="20">
        <f t="shared" si="39"/>
        <v>0.27088850757195121</v>
      </c>
      <c r="BD46" s="20">
        <f t="shared" si="40"/>
        <v>0.11320408654795244</v>
      </c>
      <c r="BE46" s="20">
        <f t="shared" si="41"/>
        <v>-0.17612250084816869</v>
      </c>
      <c r="BF46" s="20">
        <f t="shared" si="42"/>
        <v>0.58583333333333421</v>
      </c>
      <c r="BG46" s="20">
        <f t="shared" si="43"/>
        <v>0.56778155629260696</v>
      </c>
    </row>
    <row r="47" spans="1:59">
      <c r="A47" s="24">
        <v>2004</v>
      </c>
      <c r="B47" s="20">
        <f>AVERAGEIFS(Analysis!$E$2:$E$823,Analysis!$B$2:$B$823,"&gt;="&amp;A47,Analysis!$B$2:$B$823,"&lt;"&amp;(A47+1))</f>
        <v>0.53416666666666723</v>
      </c>
      <c r="C47" s="25">
        <f>AVERAGEIFS(Analysis!$F$2:$F$823,Analysis!$B$2:$B$823,"&gt;="&amp;A47,Analysis!$B$2:$B$823,"&lt;"&amp;(A47+1))</f>
        <v>0.43178694907654275</v>
      </c>
      <c r="D47" s="19">
        <f>AVERAGEIFS(ENSO!$D$2:$D$823,Analysis!$B$2:$B$823,"&gt;="&amp;A47,Analysis!$B$2:$B$823,"&lt;"&amp;(A47+1))</f>
        <v>0.29666666666666669</v>
      </c>
      <c r="E47" s="33">
        <v>1.6820999999999999</v>
      </c>
      <c r="F47" s="33">
        <v>0.51039999999999996</v>
      </c>
      <c r="G47" s="33">
        <v>0.16619999999999999</v>
      </c>
      <c r="H47" s="33">
        <v>1.0582</v>
      </c>
      <c r="I47" s="33">
        <v>-1.3455999999999999</v>
      </c>
      <c r="J47" s="33">
        <v>0.41749999999999998</v>
      </c>
      <c r="K47" s="20">
        <f t="shared" si="22"/>
        <v>2.7403</v>
      </c>
      <c r="L47" s="20">
        <f t="shared" si="23"/>
        <v>1.8122</v>
      </c>
      <c r="M47" s="33">
        <v>-1.5900000000000001E-2</v>
      </c>
      <c r="N47" s="33">
        <v>0.21759999999999999</v>
      </c>
      <c r="O47" s="20">
        <f t="shared" si="24"/>
        <v>2.0139</v>
      </c>
      <c r="P47" s="20">
        <f t="shared" si="25"/>
        <v>0.60252094041294768</v>
      </c>
      <c r="Q47" s="20">
        <f t="shared" si="26"/>
        <v>-6.8354273746280447E-2</v>
      </c>
      <c r="S47" s="17" t="s">
        <v>2042</v>
      </c>
      <c r="AN47" s="20">
        <f t="shared" si="27"/>
        <v>1.8122</v>
      </c>
      <c r="AO47" s="20">
        <f t="shared" si="28"/>
        <v>0.29666666666666669</v>
      </c>
      <c r="AQ47" s="20">
        <f t="shared" si="29"/>
        <v>3.1577999999999999</v>
      </c>
      <c r="AR47" s="20">
        <f t="shared" si="30"/>
        <v>-1.3455999999999999</v>
      </c>
      <c r="AS47" s="20">
        <f t="shared" si="31"/>
        <v>0.29666666666666669</v>
      </c>
      <c r="AU47" s="20">
        <f t="shared" si="32"/>
        <v>1.8122</v>
      </c>
      <c r="AV47" s="20">
        <f t="shared" si="33"/>
        <v>0.21759999999999999</v>
      </c>
      <c r="AW47" s="20">
        <f t="shared" si="34"/>
        <v>0.29666666666666669</v>
      </c>
      <c r="AY47" s="20">
        <f t="shared" si="35"/>
        <v>0.62579644434475779</v>
      </c>
      <c r="AZ47" s="20">
        <f t="shared" si="36"/>
        <v>-9.1629777678090552E-2</v>
      </c>
      <c r="BA47" s="20">
        <f t="shared" si="37"/>
        <v>0.45094826653075482</v>
      </c>
      <c r="BB47" s="20">
        <f t="shared" si="38"/>
        <v>0.40167213807642932</v>
      </c>
      <c r="BC47" s="20">
        <f t="shared" si="39"/>
        <v>0.27236028334505569</v>
      </c>
      <c r="BD47" s="20">
        <f t="shared" si="40"/>
        <v>0.1190094243196423</v>
      </c>
      <c r="BE47" s="20">
        <f t="shared" si="41"/>
        <v>-0.177185450017633</v>
      </c>
      <c r="BF47" s="20">
        <f t="shared" si="42"/>
        <v>0.50333333333333441</v>
      </c>
      <c r="BG47" s="20">
        <f t="shared" si="43"/>
        <v>0.49970610710552471</v>
      </c>
    </row>
    <row r="48" spans="1:59">
      <c r="A48" s="24">
        <v>2005</v>
      </c>
      <c r="B48" s="20">
        <f>AVERAGEIFS(Analysis!$E$2:$E$823,Analysis!$B$2:$B$823,"&gt;="&amp;A48,Analysis!$B$2:$B$823,"&lt;"&amp;(A48+1))</f>
        <v>0.67916666666666681</v>
      </c>
      <c r="C48" s="25">
        <f>AVERAGEIFS(Analysis!$F$2:$F$823,Analysis!$B$2:$B$823,"&gt;="&amp;A48,Analysis!$B$2:$B$823,"&lt;"&amp;(A48+1))</f>
        <v>0.44049121010051245</v>
      </c>
      <c r="D48" s="19">
        <f>AVERAGEIFS(ENSO!$D$2:$D$823,Analysis!$B$2:$B$823,"&gt;="&amp;A48,Analysis!$B$2:$B$823,"&lt;"&amp;(A48+1))</f>
        <v>0.33083333333333337</v>
      </c>
      <c r="E48" s="33">
        <v>1.7122999999999999</v>
      </c>
      <c r="F48" s="33">
        <v>0.50960000000000005</v>
      </c>
      <c r="G48" s="33">
        <v>0.16850000000000001</v>
      </c>
      <c r="H48" s="33">
        <v>1.0613999999999999</v>
      </c>
      <c r="I48" s="33">
        <v>-1.3895</v>
      </c>
      <c r="J48" s="33">
        <v>0.42709999999999998</v>
      </c>
      <c r="K48" s="20">
        <f t="shared" si="22"/>
        <v>2.7736999999999998</v>
      </c>
      <c r="L48" s="20">
        <f t="shared" si="23"/>
        <v>1.8112999999999999</v>
      </c>
      <c r="M48" s="33">
        <v>-4.2500000000000003E-2</v>
      </c>
      <c r="N48" s="33">
        <v>0.18790000000000001</v>
      </c>
      <c r="O48" s="20">
        <f t="shared" si="24"/>
        <v>1.9566999999999999</v>
      </c>
      <c r="P48" s="20">
        <f t="shared" si="25"/>
        <v>0.60561151450083883</v>
      </c>
      <c r="Q48" s="20">
        <f t="shared" si="26"/>
        <v>7.3555152165827975E-2</v>
      </c>
      <c r="S48" s="18" t="s">
        <v>2043</v>
      </c>
      <c r="T48" s="19">
        <f>SLOPE($BA$2:$BA$68,$C$2:$C$68)</f>
        <v>1.5796659788076364</v>
      </c>
      <c r="U48" s="20">
        <f>RSQ($BA$2:$BA$68,$C$2:$C$68)</f>
        <v>0.86738012695187361</v>
      </c>
      <c r="AN48" s="20">
        <f t="shared" si="27"/>
        <v>1.8112999999999999</v>
      </c>
      <c r="AO48" s="20">
        <f t="shared" si="28"/>
        <v>0.33083333333333337</v>
      </c>
      <c r="AQ48" s="20">
        <f t="shared" si="29"/>
        <v>3.2007999999999996</v>
      </c>
      <c r="AR48" s="20">
        <f t="shared" si="30"/>
        <v>-1.3895</v>
      </c>
      <c r="AS48" s="20">
        <f t="shared" si="31"/>
        <v>0.33083333333333337</v>
      </c>
      <c r="AU48" s="20">
        <f t="shared" si="32"/>
        <v>1.8112999999999999</v>
      </c>
      <c r="AV48" s="20">
        <f t="shared" si="33"/>
        <v>0.18790000000000001</v>
      </c>
      <c r="AW48" s="20">
        <f t="shared" si="34"/>
        <v>0.33083333333333337</v>
      </c>
      <c r="AY48" s="20">
        <f t="shared" si="35"/>
        <v>0.62571419732048073</v>
      </c>
      <c r="AZ48" s="20">
        <f t="shared" si="36"/>
        <v>5.3452469346186082E-2</v>
      </c>
      <c r="BA48" s="20">
        <f t="shared" si="37"/>
        <v>0.60520425587279514</v>
      </c>
      <c r="BB48" s="20">
        <f t="shared" si="38"/>
        <v>0.41401870150636128</v>
      </c>
      <c r="BC48" s="20">
        <f t="shared" si="39"/>
        <v>0.27366852847670409</v>
      </c>
      <c r="BD48" s="20">
        <f t="shared" si="40"/>
        <v>0.12293415971458757</v>
      </c>
      <c r="BE48" s="20">
        <f t="shared" si="41"/>
        <v>-0.1951329379174348</v>
      </c>
      <c r="BF48" s="20">
        <f t="shared" si="42"/>
        <v>0.64833333333333398</v>
      </c>
      <c r="BG48" s="20">
        <f t="shared" si="43"/>
        <v>0.64124758907435697</v>
      </c>
    </row>
    <row r="49" spans="1:59">
      <c r="A49" s="24">
        <v>2006</v>
      </c>
      <c r="B49" s="20">
        <f>AVERAGEIFS(Analysis!$E$2:$E$823,Analysis!$B$2:$B$823,"&gt;="&amp;A49,Analysis!$B$2:$B$823,"&lt;"&amp;(A49+1))</f>
        <v>0.64083333333333392</v>
      </c>
      <c r="C49" s="25">
        <f>AVERAGEIFS(Analysis!$F$2:$F$823,Analysis!$B$2:$B$823,"&gt;="&amp;A49,Analysis!$B$2:$B$823,"&lt;"&amp;(A49+1))</f>
        <v>0.44847021068533954</v>
      </c>
      <c r="D49" s="19">
        <f>AVERAGEIFS(ENSO!$D$2:$D$823,Analysis!$B$2:$B$823,"&gt;="&amp;A49,Analysis!$B$2:$B$823,"&lt;"&amp;(A49+1))</f>
        <v>-0.3041666666666667</v>
      </c>
      <c r="E49" s="33">
        <v>1.7444999999999999</v>
      </c>
      <c r="F49" s="33">
        <v>0.50960000000000005</v>
      </c>
      <c r="G49" s="33">
        <v>0.17119999999999999</v>
      </c>
      <c r="H49" s="33">
        <v>1.0658000000000001</v>
      </c>
      <c r="I49" s="33">
        <v>-1.4141999999999999</v>
      </c>
      <c r="J49" s="33">
        <v>0.436</v>
      </c>
      <c r="K49" s="20">
        <f t="shared" si="22"/>
        <v>2.8102999999999998</v>
      </c>
      <c r="L49" s="20">
        <f t="shared" si="23"/>
        <v>1.8320999999999998</v>
      </c>
      <c r="M49" s="33">
        <v>-4.5900000000000003E-2</v>
      </c>
      <c r="N49" s="33">
        <v>0.1673</v>
      </c>
      <c r="O49" s="20">
        <f t="shared" si="24"/>
        <v>1.9534999999999998</v>
      </c>
      <c r="P49" s="20">
        <f t="shared" si="25"/>
        <v>0.54983728493583328</v>
      </c>
      <c r="Q49" s="20">
        <f t="shared" si="26"/>
        <v>9.099604839750064E-2</v>
      </c>
      <c r="S49" s="18" t="s">
        <v>2044</v>
      </c>
      <c r="T49" s="19">
        <f>T14*T4</f>
        <v>1.5687810030522811</v>
      </c>
      <c r="AN49" s="20">
        <f t="shared" si="27"/>
        <v>1.8320999999999998</v>
      </c>
      <c r="AO49" s="20">
        <f t="shared" si="28"/>
        <v>-0.3041666666666667</v>
      </c>
      <c r="AQ49" s="20">
        <f t="shared" si="29"/>
        <v>3.2462999999999997</v>
      </c>
      <c r="AR49" s="20">
        <f t="shared" si="30"/>
        <v>-1.4141999999999999</v>
      </c>
      <c r="AS49" s="20">
        <f t="shared" si="31"/>
        <v>-0.3041666666666667</v>
      </c>
      <c r="AU49" s="20">
        <f t="shared" si="32"/>
        <v>1.8320999999999998</v>
      </c>
      <c r="AV49" s="20">
        <f t="shared" si="33"/>
        <v>0.1673</v>
      </c>
      <c r="AW49" s="20">
        <f t="shared" si="34"/>
        <v>-0.3041666666666667</v>
      </c>
      <c r="AY49" s="20">
        <f t="shared" si="35"/>
        <v>0.55469999521662627</v>
      </c>
      <c r="AZ49" s="20">
        <f t="shared" si="36"/>
        <v>8.6133338116707647E-2</v>
      </c>
      <c r="BA49" s="20">
        <f t="shared" si="37"/>
        <v>0.63580936874168004</v>
      </c>
      <c r="BB49" s="20">
        <f t="shared" si="38"/>
        <v>0.42718291814357351</v>
      </c>
      <c r="BC49" s="20">
        <f t="shared" si="39"/>
        <v>0.27546736553272072</v>
      </c>
      <c r="BD49" s="20">
        <f t="shared" si="40"/>
        <v>0.12657271648698473</v>
      </c>
      <c r="BE49" s="20">
        <f t="shared" si="41"/>
        <v>-0.20523095502734603</v>
      </c>
      <c r="BF49" s="20">
        <f t="shared" si="42"/>
        <v>0.6100000000000011</v>
      </c>
      <c r="BG49" s="20">
        <f t="shared" si="43"/>
        <v>0.66719207866174435</v>
      </c>
    </row>
    <row r="50" spans="1:59">
      <c r="A50" s="24">
        <v>2007</v>
      </c>
      <c r="B50" s="20">
        <f>AVERAGEIFS(Analysis!$E$2:$E$823,Analysis!$B$2:$B$823,"&gt;="&amp;A50,Analysis!$B$2:$B$823,"&lt;"&amp;(A50+1))</f>
        <v>0.66416666666666746</v>
      </c>
      <c r="C50" s="25">
        <f>AVERAGEIFS(Analysis!$F$2:$F$823,Analysis!$B$2:$B$823,"&gt;="&amp;A50,Analysis!$B$2:$B$823,"&lt;"&amp;(A50+1))</f>
        <v>0.45575620866675709</v>
      </c>
      <c r="D50" s="19">
        <f>AVERAGEIFS(ENSO!$D$2:$D$823,Analysis!$B$2:$B$823,"&gt;="&amp;A50,Analysis!$B$2:$B$823,"&lt;"&amp;(A50+1))</f>
        <v>-1.8333333333333351E-2</v>
      </c>
      <c r="E50" s="33">
        <v>1.7703</v>
      </c>
      <c r="F50" s="33">
        <v>0.51229999999999998</v>
      </c>
      <c r="G50" s="33">
        <v>0.17369999999999999</v>
      </c>
      <c r="H50" s="33">
        <v>1.0727</v>
      </c>
      <c r="I50" s="33">
        <v>-1.3866000000000001</v>
      </c>
      <c r="J50" s="33">
        <v>0.44750000000000001</v>
      </c>
      <c r="K50" s="20">
        <f t="shared" si="22"/>
        <v>2.843</v>
      </c>
      <c r="L50" s="20">
        <f t="shared" si="23"/>
        <v>1.9038999999999999</v>
      </c>
      <c r="M50" s="33">
        <v>-5.45E-2</v>
      </c>
      <c r="N50" s="33">
        <v>0.15379999999999999</v>
      </c>
      <c r="O50" s="20">
        <f t="shared" si="24"/>
        <v>2.0032000000000001</v>
      </c>
      <c r="P50" s="20">
        <f t="shared" si="25"/>
        <v>0.608124490801351</v>
      </c>
      <c r="Q50" s="20">
        <f t="shared" si="26"/>
        <v>5.6042175865316457E-2</v>
      </c>
      <c r="S50" s="17" t="s">
        <v>2045</v>
      </c>
      <c r="AN50" s="20">
        <f t="shared" si="27"/>
        <v>1.9038999999999999</v>
      </c>
      <c r="AO50" s="20">
        <f t="shared" si="28"/>
        <v>-1.8333333333333351E-2</v>
      </c>
      <c r="AQ50" s="20">
        <f t="shared" si="29"/>
        <v>3.2904999999999998</v>
      </c>
      <c r="AR50" s="20">
        <f t="shared" si="30"/>
        <v>-1.3866000000000001</v>
      </c>
      <c r="AS50" s="20">
        <f t="shared" si="31"/>
        <v>-1.8333333333333351E-2</v>
      </c>
      <c r="AU50" s="20">
        <f t="shared" si="32"/>
        <v>1.9038999999999999</v>
      </c>
      <c r="AV50" s="20">
        <f t="shared" si="33"/>
        <v>0.15379999999999999</v>
      </c>
      <c r="AW50" s="20">
        <f t="shared" si="34"/>
        <v>-1.8333333333333351E-2</v>
      </c>
      <c r="AY50" s="20">
        <f t="shared" si="35"/>
        <v>0.61648595478235568</v>
      </c>
      <c r="AZ50" s="20">
        <f t="shared" si="36"/>
        <v>4.7680711884311777E-2</v>
      </c>
      <c r="BA50" s="20">
        <f t="shared" si="37"/>
        <v>0.61140322258341129</v>
      </c>
      <c r="BB50" s="20">
        <f t="shared" si="38"/>
        <v>0.43773064451748894</v>
      </c>
      <c r="BC50" s="20">
        <f t="shared" si="39"/>
        <v>0.2782882690978376</v>
      </c>
      <c r="BD50" s="20">
        <f t="shared" si="40"/>
        <v>0.13127422242884626</v>
      </c>
      <c r="BE50" s="20">
        <f t="shared" si="41"/>
        <v>-0.19394734076687847</v>
      </c>
      <c r="BF50" s="20">
        <f t="shared" si="42"/>
        <v>0.63333333333333464</v>
      </c>
      <c r="BG50" s="20">
        <f t="shared" si="43"/>
        <v>0.6615919562709216</v>
      </c>
    </row>
    <row r="51" spans="1:59">
      <c r="A51" s="24">
        <v>2008</v>
      </c>
      <c r="B51" s="20">
        <f>AVERAGEIFS(Analysis!$E$2:$E$823,Analysis!$B$2:$B$823,"&gt;="&amp;A51,Analysis!$B$2:$B$823,"&lt;"&amp;(A51+1))</f>
        <v>0.54333333333333378</v>
      </c>
      <c r="C51" s="25">
        <f>AVERAGEIFS(Analysis!$F$2:$F$823,Analysis!$B$2:$B$823,"&gt;="&amp;A51,Analysis!$B$2:$B$823,"&lt;"&amp;(A51+1))</f>
        <v>0.46253433128659666</v>
      </c>
      <c r="D51" s="19">
        <f>AVERAGEIFS(ENSO!$D$2:$D$823,Analysis!$B$2:$B$823,"&gt;="&amp;A51,Analysis!$B$2:$B$823,"&lt;"&amp;(A51+1))</f>
        <v>-1.0541666666666667</v>
      </c>
      <c r="E51" s="33">
        <v>1.8015000000000001</v>
      </c>
      <c r="F51" s="33">
        <v>0.51470000000000005</v>
      </c>
      <c r="G51" s="33">
        <v>0.17660000000000001</v>
      </c>
      <c r="H51" s="33">
        <v>1.0801000000000001</v>
      </c>
      <c r="I51" s="33">
        <v>-1.3311999999999999</v>
      </c>
      <c r="J51" s="33">
        <v>0.4405</v>
      </c>
      <c r="K51" s="20">
        <f t="shared" si="22"/>
        <v>2.8816000000000002</v>
      </c>
      <c r="L51" s="20">
        <f t="shared" si="23"/>
        <v>1.9909000000000003</v>
      </c>
      <c r="M51" s="33">
        <v>-5.0900000000000001E-2</v>
      </c>
      <c r="N51" s="33">
        <v>0.17150000000000001</v>
      </c>
      <c r="O51" s="20">
        <f t="shared" si="24"/>
        <v>2.1115000000000004</v>
      </c>
      <c r="P51" s="20">
        <f t="shared" si="25"/>
        <v>0.53884026110484684</v>
      </c>
      <c r="Q51" s="20">
        <f t="shared" si="26"/>
        <v>4.4930722284869384E-3</v>
      </c>
      <c r="S51" s="18" t="s">
        <v>2046</v>
      </c>
      <c r="T51" s="19">
        <f>BB68</f>
        <v>0.68327190266375193</v>
      </c>
      <c r="U51" s="36">
        <f>BB68/(BB68+BC68+BD68+BE68)</f>
        <v>0.59738356507130852</v>
      </c>
      <c r="AN51" s="20">
        <f t="shared" si="27"/>
        <v>1.9909000000000003</v>
      </c>
      <c r="AO51" s="20">
        <f t="shared" si="28"/>
        <v>-1.0541666666666667</v>
      </c>
      <c r="AQ51" s="20">
        <f t="shared" si="29"/>
        <v>3.3221000000000003</v>
      </c>
      <c r="AR51" s="20">
        <f t="shared" si="30"/>
        <v>-1.3311999999999999</v>
      </c>
      <c r="AS51" s="20">
        <f t="shared" si="31"/>
        <v>-1.0541666666666667</v>
      </c>
      <c r="AU51" s="20">
        <f t="shared" si="32"/>
        <v>1.9909000000000003</v>
      </c>
      <c r="AV51" s="20">
        <f t="shared" si="33"/>
        <v>0.17150000000000001</v>
      </c>
      <c r="AW51" s="20">
        <f t="shared" si="34"/>
        <v>-1.0541666666666667</v>
      </c>
      <c r="AY51" s="20">
        <f t="shared" si="35"/>
        <v>0.52872040118268759</v>
      </c>
      <c r="AZ51" s="20">
        <f t="shared" si="36"/>
        <v>1.4612932150646185E-2</v>
      </c>
      <c r="BA51" s="20">
        <f t="shared" si="37"/>
        <v>0.57260950898015406</v>
      </c>
      <c r="BB51" s="20">
        <f t="shared" si="38"/>
        <v>0.45048603455106107</v>
      </c>
      <c r="BC51" s="20">
        <f t="shared" si="39"/>
        <v>0.28131358596477457</v>
      </c>
      <c r="BD51" s="20">
        <f t="shared" si="40"/>
        <v>0.12841243620336534</v>
      </c>
      <c r="BE51" s="20">
        <f t="shared" si="41"/>
        <v>-0.17129834692521512</v>
      </c>
      <c r="BF51" s="20">
        <f t="shared" si="42"/>
        <v>0.51250000000000095</v>
      </c>
      <c r="BG51" s="20">
        <f t="shared" si="43"/>
        <v>0.6456107671507838</v>
      </c>
    </row>
    <row r="52" spans="1:59">
      <c r="A52" s="24">
        <v>2009</v>
      </c>
      <c r="B52" s="20">
        <f>AVERAGEIFS(Analysis!$E$2:$E$823,Analysis!$B$2:$B$823,"&gt;="&amp;A52,Analysis!$B$2:$B$823,"&lt;"&amp;(A52+1))</f>
        <v>0.65583333333333371</v>
      </c>
      <c r="C52" s="25">
        <f>AVERAGEIFS(Analysis!$F$2:$F$823,Analysis!$B$2:$B$823,"&gt;="&amp;A52,Analysis!$B$2:$B$823,"&lt;"&amp;(A52+1))</f>
        <v>0.46928442493460149</v>
      </c>
      <c r="D52" s="19">
        <f>AVERAGEIFS(ENSO!$D$2:$D$823,Analysis!$B$2:$B$823,"&gt;="&amp;A52,Analysis!$B$2:$B$823,"&lt;"&amp;(A52+1))</f>
        <v>-0.19499999999999995</v>
      </c>
      <c r="E52" s="33">
        <v>1.8231999999999999</v>
      </c>
      <c r="F52" s="33">
        <v>0.51659999999999995</v>
      </c>
      <c r="G52" s="33">
        <v>0.17879999999999999</v>
      </c>
      <c r="H52" s="33">
        <v>1.0859000000000001</v>
      </c>
      <c r="I52" s="33">
        <v>-1.2533000000000001</v>
      </c>
      <c r="J52" s="33">
        <v>0.42870000000000003</v>
      </c>
      <c r="K52" s="20">
        <f t="shared" si="22"/>
        <v>2.9091</v>
      </c>
      <c r="L52" s="20">
        <f t="shared" si="23"/>
        <v>2.0844999999999998</v>
      </c>
      <c r="M52" s="33">
        <v>-5.1700000000000003E-2</v>
      </c>
      <c r="N52" s="33">
        <v>0.1429</v>
      </c>
      <c r="O52" s="20">
        <f t="shared" si="24"/>
        <v>2.1757</v>
      </c>
      <c r="P52" s="20">
        <f t="shared" si="25"/>
        <v>0.66407550657467385</v>
      </c>
      <c r="Q52" s="20">
        <f t="shared" si="26"/>
        <v>-8.2421732413401338E-3</v>
      </c>
      <c r="S52" s="18" t="s">
        <v>2047</v>
      </c>
      <c r="T52" s="19">
        <f>BC68</f>
        <v>0.33593282021109616</v>
      </c>
      <c r="U52" s="36">
        <f>BC68/(BB68+BC68+BD68+BE68)</f>
        <v>0.29370554383958253</v>
      </c>
      <c r="AN52" s="20">
        <f t="shared" si="27"/>
        <v>2.0844999999999998</v>
      </c>
      <c r="AO52" s="20">
        <f t="shared" si="28"/>
        <v>-0.19499999999999995</v>
      </c>
      <c r="AQ52" s="20">
        <f t="shared" si="29"/>
        <v>3.3378000000000001</v>
      </c>
      <c r="AR52" s="20">
        <f t="shared" si="30"/>
        <v>-1.2533000000000001</v>
      </c>
      <c r="AS52" s="20">
        <f t="shared" si="31"/>
        <v>-0.19499999999999995</v>
      </c>
      <c r="AU52" s="20">
        <f t="shared" si="32"/>
        <v>2.0844999999999998</v>
      </c>
      <c r="AV52" s="20">
        <f t="shared" si="33"/>
        <v>0.1429</v>
      </c>
      <c r="AW52" s="20">
        <f t="shared" si="34"/>
        <v>-0.19499999999999995</v>
      </c>
      <c r="AY52" s="20">
        <f t="shared" si="35"/>
        <v>0.66664275055305289</v>
      </c>
      <c r="AZ52" s="20">
        <f t="shared" si="36"/>
        <v>-1.0809417219719175E-2</v>
      </c>
      <c r="BA52" s="20">
        <f t="shared" si="37"/>
        <v>0.56874580080931769</v>
      </c>
      <c r="BB52" s="20">
        <f t="shared" si="38"/>
        <v>0.45935757185005188</v>
      </c>
      <c r="BC52" s="20">
        <f t="shared" si="39"/>
        <v>0.28368478026588734</v>
      </c>
      <c r="BD52" s="20">
        <f t="shared" si="40"/>
        <v>0.1235882822804118</v>
      </c>
      <c r="BE52" s="20">
        <f t="shared" si="41"/>
        <v>-0.13945075450164893</v>
      </c>
      <c r="BF52" s="20">
        <f t="shared" si="42"/>
        <v>0.62500000000000089</v>
      </c>
      <c r="BG52" s="20">
        <f t="shared" si="43"/>
        <v>0.67114169178167282</v>
      </c>
    </row>
    <row r="53" spans="1:59">
      <c r="A53" s="24">
        <v>2010</v>
      </c>
      <c r="B53" s="20">
        <f>AVERAGEIFS(Analysis!$E$2:$E$823,Analysis!$B$2:$B$823,"&gt;="&amp;A53,Analysis!$B$2:$B$823,"&lt;"&amp;(A53+1))</f>
        <v>0.7241666666666674</v>
      </c>
      <c r="C53" s="25">
        <f>AVERAGEIFS(Analysis!$F$2:$F$823,Analysis!$B$2:$B$823,"&gt;="&amp;A53,Analysis!$B$2:$B$823,"&lt;"&amp;(A53+1))</f>
        <v>0.47840548027096802</v>
      </c>
      <c r="D53" s="19">
        <f>AVERAGEIFS(ENSO!$D$2:$D$823,Analysis!$B$2:$B$823,"&gt;="&amp;A53,Analysis!$B$2:$B$823,"&lt;"&amp;(A53+1))</f>
        <v>0.26666666666666661</v>
      </c>
      <c r="E53" s="33">
        <v>1.8559000000000001</v>
      </c>
      <c r="F53" s="33">
        <v>0.51849999999999996</v>
      </c>
      <c r="G53" s="33">
        <v>0.1817</v>
      </c>
      <c r="H53" s="33">
        <v>1.0926</v>
      </c>
      <c r="I53" s="33">
        <v>-1.2698</v>
      </c>
      <c r="J53" s="33">
        <v>0.44819999999999999</v>
      </c>
      <c r="K53" s="20">
        <f t="shared" si="22"/>
        <v>2.9485000000000001</v>
      </c>
      <c r="L53" s="20">
        <f t="shared" si="23"/>
        <v>2.1269</v>
      </c>
      <c r="M53" s="33">
        <v>-3.27E-2</v>
      </c>
      <c r="N53" s="33">
        <v>0.1774</v>
      </c>
      <c r="O53" s="20">
        <f t="shared" si="24"/>
        <v>2.2715999999999998</v>
      </c>
      <c r="P53" s="20">
        <f t="shared" si="25"/>
        <v>0.72814192503893538</v>
      </c>
      <c r="Q53" s="20">
        <f t="shared" si="26"/>
        <v>-3.9752583722679757E-3</v>
      </c>
      <c r="S53" s="18" t="s">
        <v>2048</v>
      </c>
      <c r="T53" s="19">
        <f>BD68</f>
        <v>0.14484726566969863</v>
      </c>
      <c r="U53" s="36">
        <f>BD68/(BB68+BC68+BD68+BE68)</f>
        <v>0.12663973978625298</v>
      </c>
      <c r="AN53" s="20">
        <f t="shared" si="27"/>
        <v>2.1269</v>
      </c>
      <c r="AO53" s="20">
        <f t="shared" si="28"/>
        <v>0.26666666666666661</v>
      </c>
      <c r="AQ53" s="20">
        <f t="shared" si="29"/>
        <v>3.3967000000000001</v>
      </c>
      <c r="AR53" s="20">
        <f t="shared" si="30"/>
        <v>-1.2698</v>
      </c>
      <c r="AS53" s="20">
        <f t="shared" si="31"/>
        <v>0.26666666666666661</v>
      </c>
      <c r="AU53" s="20">
        <f t="shared" si="32"/>
        <v>2.1269</v>
      </c>
      <c r="AV53" s="20">
        <f t="shared" si="33"/>
        <v>0.1774</v>
      </c>
      <c r="AW53" s="20">
        <f t="shared" si="34"/>
        <v>0.26666666666666661</v>
      </c>
      <c r="AY53" s="20">
        <f t="shared" si="35"/>
        <v>0.74402761628230141</v>
      </c>
      <c r="AZ53" s="20">
        <f t="shared" si="36"/>
        <v>-1.9860949615634005E-2</v>
      </c>
      <c r="BA53" s="20">
        <f t="shared" si="37"/>
        <v>0.58638134561742217</v>
      </c>
      <c r="BB53" s="20">
        <f t="shared" si="38"/>
        <v>0.47272620178908425</v>
      </c>
      <c r="BC53" s="20">
        <f t="shared" si="39"/>
        <v>0.28642391851027621</v>
      </c>
      <c r="BD53" s="20">
        <f t="shared" si="40"/>
        <v>0.13156040105139435</v>
      </c>
      <c r="BE53" s="20">
        <f t="shared" si="41"/>
        <v>-0.14619639346171109</v>
      </c>
      <c r="BF53" s="20">
        <f t="shared" si="42"/>
        <v>0.69333333333333458</v>
      </c>
      <c r="BG53" s="20">
        <f t="shared" si="43"/>
        <v>0.69274285464508645</v>
      </c>
    </row>
    <row r="54" spans="1:59">
      <c r="A54" s="24">
        <v>2011</v>
      </c>
      <c r="B54" s="20">
        <f>AVERAGEIFS(Analysis!$E$2:$E$823,Analysis!$B$2:$B$823,"&gt;="&amp;A54,Analysis!$B$2:$B$823,"&lt;"&amp;(A54+1))</f>
        <v>0.60750000000000037</v>
      </c>
      <c r="C54" s="25">
        <f>AVERAGEIFS(Analysis!$F$2:$F$823,Analysis!$B$2:$B$823,"&gt;="&amp;A54,Analysis!$B$2:$B$823,"&lt;"&amp;(A54+1))</f>
        <v>0.48486472333529007</v>
      </c>
      <c r="D54" s="19">
        <f>AVERAGEIFS(ENSO!$D$2:$D$823,Analysis!$B$2:$B$823,"&gt;="&amp;A54,Analysis!$B$2:$B$823,"&lt;"&amp;(A54+1))</f>
        <v>-0.91166666666666651</v>
      </c>
      <c r="E54" s="33">
        <v>1.8831</v>
      </c>
      <c r="F54" s="33">
        <v>0.52059999999999995</v>
      </c>
      <c r="G54" s="33">
        <v>0.18490000000000001</v>
      </c>
      <c r="H54" s="33">
        <v>1.0995999999999999</v>
      </c>
      <c r="I54" s="33">
        <v>-1.2567999999999999</v>
      </c>
      <c r="J54" s="33">
        <v>0.44919999999999999</v>
      </c>
      <c r="K54" s="20">
        <f t="shared" si="22"/>
        <v>2.9826999999999999</v>
      </c>
      <c r="L54" s="20">
        <f t="shared" si="23"/>
        <v>2.1751</v>
      </c>
      <c r="M54" s="33">
        <v>1.4E-3</v>
      </c>
      <c r="N54" s="33">
        <v>0.13619999999999999</v>
      </c>
      <c r="O54" s="20">
        <f t="shared" si="24"/>
        <v>2.3127</v>
      </c>
      <c r="P54" s="20">
        <f t="shared" si="25"/>
        <v>0.62857067230827635</v>
      </c>
      <c r="Q54" s="20">
        <f t="shared" si="26"/>
        <v>-2.1070672308275973E-2</v>
      </c>
      <c r="S54" s="18" t="s">
        <v>2049</v>
      </c>
      <c r="T54" s="19">
        <f>BE68</f>
        <v>-2.027779954055052E-2</v>
      </c>
      <c r="U54" s="36">
        <f>BE68/(BB68+BC68+BD68+BE68)</f>
        <v>-1.7728848697144074E-2</v>
      </c>
      <c r="AN54" s="20">
        <f t="shared" si="27"/>
        <v>2.1751</v>
      </c>
      <c r="AO54" s="20">
        <f t="shared" si="28"/>
        <v>-0.91166666666666651</v>
      </c>
      <c r="AQ54" s="20">
        <f t="shared" si="29"/>
        <v>3.4318999999999997</v>
      </c>
      <c r="AR54" s="20">
        <f t="shared" si="30"/>
        <v>-1.2567999999999999</v>
      </c>
      <c r="AS54" s="20">
        <f t="shared" si="31"/>
        <v>-0.91166666666666651</v>
      </c>
      <c r="AU54" s="20">
        <f t="shared" si="32"/>
        <v>2.1751</v>
      </c>
      <c r="AV54" s="20">
        <f t="shared" si="33"/>
        <v>0.13619999999999999</v>
      </c>
      <c r="AW54" s="20">
        <f t="shared" si="34"/>
        <v>-0.91166666666666651</v>
      </c>
      <c r="AY54" s="20">
        <f t="shared" si="35"/>
        <v>0.61574253008281665</v>
      </c>
      <c r="AZ54" s="20">
        <f t="shared" si="36"/>
        <v>-8.2425300828162795E-3</v>
      </c>
      <c r="BA54" s="20">
        <f t="shared" si="37"/>
        <v>0.58040601530042568</v>
      </c>
      <c r="BB54" s="20">
        <f t="shared" si="38"/>
        <v>0.48384628540809577</v>
      </c>
      <c r="BC54" s="20">
        <f t="shared" si="39"/>
        <v>0.2892857047357571</v>
      </c>
      <c r="BD54" s="20">
        <f t="shared" si="40"/>
        <v>0.13196922765503447</v>
      </c>
      <c r="BE54" s="20">
        <f t="shared" si="41"/>
        <v>-0.14088164761438932</v>
      </c>
      <c r="BF54" s="20">
        <f t="shared" si="42"/>
        <v>0.57666666666666755</v>
      </c>
      <c r="BG54" s="20">
        <f t="shared" si="43"/>
        <v>0.69535288300453291</v>
      </c>
    </row>
    <row r="55" spans="1:59">
      <c r="A55" s="24">
        <v>2012</v>
      </c>
      <c r="B55" s="20">
        <f>AVERAGEIFS(Analysis!$E$2:$E$823,Analysis!$B$2:$B$823,"&gt;="&amp;A55,Analysis!$B$2:$B$823,"&lt;"&amp;(A55+1))</f>
        <v>0.64666666666666694</v>
      </c>
      <c r="C55" s="25">
        <f>AVERAGEIFS(Analysis!$F$2:$F$823,Analysis!$B$2:$B$823,"&gt;="&amp;A55,Analysis!$B$2:$B$823,"&lt;"&amp;(A55+1))</f>
        <v>0.49295906457010003</v>
      </c>
      <c r="D55" s="19">
        <f>AVERAGEIFS(ENSO!$D$2:$D$823,Analysis!$B$2:$B$823,"&gt;="&amp;A55,Analysis!$B$2:$B$823,"&lt;"&amp;(A55+1))</f>
        <v>-0.33749999999999997</v>
      </c>
      <c r="E55" s="33">
        <v>1.9124000000000001</v>
      </c>
      <c r="F55" s="33">
        <v>0.52249999999999996</v>
      </c>
      <c r="G55" s="33">
        <v>0.18770000000000001</v>
      </c>
      <c r="H55" s="33">
        <v>1.1057999999999999</v>
      </c>
      <c r="I55" s="33">
        <v>-1.2790999999999999</v>
      </c>
      <c r="J55" s="33">
        <v>0.45939999999999998</v>
      </c>
      <c r="K55" s="20">
        <f t="shared" si="22"/>
        <v>3.0182000000000002</v>
      </c>
      <c r="L55" s="20">
        <f t="shared" si="23"/>
        <v>2.1985000000000001</v>
      </c>
      <c r="M55" s="33">
        <v>2.2100000000000002E-2</v>
      </c>
      <c r="N55" s="33">
        <v>0.1749</v>
      </c>
      <c r="O55" s="20">
        <f t="shared" si="24"/>
        <v>2.3955000000000002</v>
      </c>
      <c r="P55" s="20">
        <f t="shared" si="25"/>
        <v>0.69625718857673147</v>
      </c>
      <c r="Q55" s="20">
        <f t="shared" si="26"/>
        <v>-4.9590521910064522E-2</v>
      </c>
      <c r="S55" s="18" t="s">
        <v>2050</v>
      </c>
      <c r="T55" s="19">
        <f>BB68+BC68+BD68+BE68</f>
        <v>1.1437741890039963</v>
      </c>
      <c r="U55" s="19">
        <f>BF68</f>
        <v>1.1625000000000012</v>
      </c>
      <c r="AN55" s="20">
        <f t="shared" si="27"/>
        <v>2.1985000000000001</v>
      </c>
      <c r="AO55" s="20">
        <f t="shared" si="28"/>
        <v>-0.33749999999999997</v>
      </c>
      <c r="AQ55" s="20">
        <f t="shared" si="29"/>
        <v>3.4776000000000002</v>
      </c>
      <c r="AR55" s="20">
        <f t="shared" si="30"/>
        <v>-1.2790999999999999</v>
      </c>
      <c r="AS55" s="20">
        <f t="shared" si="31"/>
        <v>-0.33749999999999997</v>
      </c>
      <c r="AU55" s="20">
        <f t="shared" si="32"/>
        <v>2.1985000000000001</v>
      </c>
      <c r="AV55" s="20">
        <f t="shared" si="33"/>
        <v>0.1749</v>
      </c>
      <c r="AW55" s="20">
        <f t="shared" si="34"/>
        <v>-0.33749999999999997</v>
      </c>
      <c r="AY55" s="20">
        <f t="shared" si="35"/>
        <v>0.69959629270141255</v>
      </c>
      <c r="AZ55" s="20">
        <f t="shared" si="36"/>
        <v>-5.2929626034745603E-2</v>
      </c>
      <c r="BA55" s="20">
        <f t="shared" si="37"/>
        <v>0.56386478518529315</v>
      </c>
      <c r="BB55" s="20">
        <f t="shared" si="38"/>
        <v>0.49582490489475167</v>
      </c>
      <c r="BC55" s="20">
        <f t="shared" si="39"/>
        <v>0.29182042967832589</v>
      </c>
      <c r="BD55" s="20">
        <f t="shared" si="40"/>
        <v>0.13613925901216381</v>
      </c>
      <c r="BE55" s="20">
        <f t="shared" si="41"/>
        <v>-0.14999848087556425</v>
      </c>
      <c r="BF55" s="20">
        <f t="shared" si="42"/>
        <v>0.61583333333333412</v>
      </c>
      <c r="BG55" s="20">
        <f t="shared" si="43"/>
        <v>0.67639957592792355</v>
      </c>
    </row>
    <row r="56" spans="1:59">
      <c r="A56" s="24">
        <v>2013</v>
      </c>
      <c r="B56" s="20">
        <f>AVERAGEIFS(Analysis!$E$2:$E$823,Analysis!$B$2:$B$823,"&gt;="&amp;A56,Analysis!$B$2:$B$823,"&lt;"&amp;(A56+1))</f>
        <v>0.67666666666666764</v>
      </c>
      <c r="C56" s="25">
        <f>AVERAGEIFS(Analysis!$F$2:$F$823,Analysis!$B$2:$B$823,"&gt;="&amp;A56,Analysis!$B$2:$B$823,"&lt;"&amp;(A56+1))</f>
        <v>0.50274186240145013</v>
      </c>
      <c r="D56" s="19">
        <f>AVERAGEIFS(ENSO!$D$2:$D$823,Analysis!$B$2:$B$823,"&gt;="&amp;A56,Analysis!$B$2:$B$823,"&lt;"&amp;(A56+1))</f>
        <v>-0.19666666666666666</v>
      </c>
      <c r="E56" s="33">
        <v>1.9519</v>
      </c>
      <c r="F56" s="33">
        <v>0.52449999999999997</v>
      </c>
      <c r="G56" s="33">
        <v>0.19059999999999999</v>
      </c>
      <c r="H56" s="33">
        <v>1.1126</v>
      </c>
      <c r="I56" s="33">
        <v>-1.1999</v>
      </c>
      <c r="J56" s="33">
        <v>0.44869999999999999</v>
      </c>
      <c r="K56" s="20">
        <f t="shared" si="22"/>
        <v>3.0644999999999998</v>
      </c>
      <c r="L56" s="20">
        <f t="shared" si="23"/>
        <v>2.3132999999999999</v>
      </c>
      <c r="M56" s="33">
        <v>2.7799999999999998E-2</v>
      </c>
      <c r="N56" s="33">
        <v>0.21129999999999999</v>
      </c>
      <c r="O56" s="20">
        <f t="shared" si="24"/>
        <v>2.5524</v>
      </c>
      <c r="P56" s="20">
        <f t="shared" si="25"/>
        <v>0.75744632529089373</v>
      </c>
      <c r="Q56" s="20">
        <f t="shared" si="26"/>
        <v>-8.0779658624226092E-2</v>
      </c>
      <c r="AN56" s="20">
        <f t="shared" si="27"/>
        <v>2.3132999999999999</v>
      </c>
      <c r="AO56" s="20">
        <f t="shared" si="28"/>
        <v>-0.19666666666666666</v>
      </c>
      <c r="AQ56" s="20">
        <f t="shared" si="29"/>
        <v>3.5131999999999999</v>
      </c>
      <c r="AR56" s="20">
        <f t="shared" si="30"/>
        <v>-1.1999</v>
      </c>
      <c r="AS56" s="20">
        <f t="shared" si="31"/>
        <v>-0.19666666666666666</v>
      </c>
      <c r="AU56" s="20">
        <f t="shared" si="32"/>
        <v>2.3132999999999999</v>
      </c>
      <c r="AV56" s="20">
        <f t="shared" si="33"/>
        <v>0.21129999999999999</v>
      </c>
      <c r="AW56" s="20">
        <f t="shared" si="34"/>
        <v>-0.19666666666666666</v>
      </c>
      <c r="AY56" s="20">
        <f t="shared" si="35"/>
        <v>0.76768544251564264</v>
      </c>
      <c r="AZ56" s="20">
        <f t="shared" si="36"/>
        <v>-9.1018775848974998E-2</v>
      </c>
      <c r="BA56" s="20">
        <f t="shared" si="37"/>
        <v>0.54882429931491672</v>
      </c>
      <c r="BB56" s="20">
        <f t="shared" si="38"/>
        <v>0.51197355573853687</v>
      </c>
      <c r="BC56" s="20">
        <f t="shared" si="39"/>
        <v>0.29460045058307888</v>
      </c>
      <c r="BD56" s="20">
        <f t="shared" si="40"/>
        <v>0.13176481435321441</v>
      </c>
      <c r="BE56" s="20">
        <f t="shared" si="41"/>
        <v>-0.11761941386726585</v>
      </c>
      <c r="BF56" s="20">
        <f t="shared" si="42"/>
        <v>0.64583333333333481</v>
      </c>
      <c r="BG56" s="20">
        <f t="shared" si="43"/>
        <v>0.69214373331164902</v>
      </c>
    </row>
    <row r="57" spans="1:59">
      <c r="A57" s="24">
        <v>2014</v>
      </c>
      <c r="B57" s="20">
        <f>AVERAGEIFS(Analysis!$E$2:$E$823,Analysis!$B$2:$B$823,"&gt;="&amp;A57,Analysis!$B$2:$B$823,"&lt;"&amp;(A57+1))</f>
        <v>0.74916666666666665</v>
      </c>
      <c r="C57" s="25">
        <f>AVERAGEIFS(Analysis!$F$2:$F$823,Analysis!$B$2:$B$823,"&gt;="&amp;A57,Analysis!$B$2:$B$823,"&lt;"&amp;(A57+1))</f>
        <v>0.51026535704843223</v>
      </c>
      <c r="D57" s="19">
        <f>AVERAGEIFS(ENSO!$D$2:$D$823,Analysis!$B$2:$B$823,"&gt;="&amp;A57,Analysis!$B$2:$B$823,"&lt;"&amp;(A57+1))</f>
        <v>0.03</v>
      </c>
      <c r="E57" s="33">
        <v>1.9796</v>
      </c>
      <c r="F57" s="33">
        <v>0.52790000000000004</v>
      </c>
      <c r="G57" s="33">
        <v>0.19420000000000001</v>
      </c>
      <c r="H57" s="33">
        <v>1.1213</v>
      </c>
      <c r="I57" s="33">
        <v>-1.2081</v>
      </c>
      <c r="J57" s="33">
        <v>0.46060000000000001</v>
      </c>
      <c r="K57" s="20">
        <f t="shared" si="22"/>
        <v>3.1009000000000002</v>
      </c>
      <c r="L57" s="20">
        <f t="shared" si="23"/>
        <v>2.3534000000000002</v>
      </c>
      <c r="M57" s="33">
        <v>3.7499999999999999E-2</v>
      </c>
      <c r="N57" s="33">
        <v>0.17399999999999999</v>
      </c>
      <c r="O57" s="20">
        <f t="shared" si="24"/>
        <v>2.5649000000000002</v>
      </c>
      <c r="P57" s="20">
        <f t="shared" si="25"/>
        <v>0.79678458684021725</v>
      </c>
      <c r="Q57" s="20">
        <f t="shared" si="26"/>
        <v>-4.7617920173550599E-2</v>
      </c>
      <c r="AN57" s="20">
        <f t="shared" si="27"/>
        <v>2.3534000000000002</v>
      </c>
      <c r="AO57" s="20">
        <f t="shared" si="28"/>
        <v>0.03</v>
      </c>
      <c r="AQ57" s="20">
        <f t="shared" si="29"/>
        <v>3.5615000000000001</v>
      </c>
      <c r="AR57" s="20">
        <f t="shared" si="30"/>
        <v>-1.2081</v>
      </c>
      <c r="AS57" s="20">
        <f t="shared" si="31"/>
        <v>0.03</v>
      </c>
      <c r="AU57" s="20">
        <f t="shared" si="32"/>
        <v>2.3534000000000002</v>
      </c>
      <c r="AV57" s="20">
        <f t="shared" si="33"/>
        <v>0.17399999999999999</v>
      </c>
      <c r="AW57" s="20">
        <f t="shared" si="34"/>
        <v>0.03</v>
      </c>
      <c r="AY57" s="20">
        <f t="shared" si="35"/>
        <v>0.80643769319954683</v>
      </c>
      <c r="AZ57" s="20">
        <f t="shared" si="36"/>
        <v>-5.7271026532880187E-2</v>
      </c>
      <c r="BA57" s="20">
        <f t="shared" si="37"/>
        <v>0.59331053468642381</v>
      </c>
      <c r="BB57" s="20">
        <f t="shared" si="38"/>
        <v>0.52329805265936846</v>
      </c>
      <c r="BC57" s="20">
        <f t="shared" si="39"/>
        <v>0.29815724203474797</v>
      </c>
      <c r="BD57" s="20">
        <f t="shared" si="40"/>
        <v>0.13662985093653199</v>
      </c>
      <c r="BE57" s="20">
        <f t="shared" si="41"/>
        <v>-0.12097179201711493</v>
      </c>
      <c r="BF57" s="20">
        <f t="shared" si="42"/>
        <v>0.71833333333333382</v>
      </c>
      <c r="BG57" s="20">
        <f t="shared" si="43"/>
        <v>0.7416994185682938</v>
      </c>
    </row>
    <row r="58" spans="1:59">
      <c r="A58" s="24">
        <v>2015</v>
      </c>
      <c r="B58" s="20">
        <f>AVERAGEIFS(Analysis!$E$2:$E$823,Analysis!$B$2:$B$823,"&gt;="&amp;A58,Analysis!$B$2:$B$823,"&lt;"&amp;(A58+1))</f>
        <v>0.89833333333333354</v>
      </c>
      <c r="C58" s="25">
        <f>AVERAGEIFS(Analysis!$F$2:$F$823,Analysis!$B$2:$B$823,"&gt;="&amp;A58,Analysis!$B$2:$B$823,"&lt;"&amp;(A58+1))</f>
        <v>0.5182044540111318</v>
      </c>
      <c r="D58" s="19">
        <f>AVERAGEIFS(ENSO!$D$2:$D$823,Analysis!$B$2:$B$823,"&gt;="&amp;A58,Analysis!$B$2:$B$823,"&lt;"&amp;(A58+1))</f>
        <v>1.0325</v>
      </c>
      <c r="E58" s="33">
        <v>2.0124</v>
      </c>
      <c r="F58" s="33">
        <v>0.53210000000000002</v>
      </c>
      <c r="G58" s="33">
        <v>0.1971</v>
      </c>
      <c r="H58" s="33">
        <v>1.1299999999999999</v>
      </c>
      <c r="I58" s="33">
        <v>-1.1941999999999999</v>
      </c>
      <c r="J58" s="33">
        <v>0.47239999999999999</v>
      </c>
      <c r="K58" s="20">
        <f t="shared" si="22"/>
        <v>3.1423999999999999</v>
      </c>
      <c r="L58" s="20">
        <f t="shared" si="23"/>
        <v>2.4205999999999999</v>
      </c>
      <c r="M58" s="33">
        <v>4.5199999999999997E-2</v>
      </c>
      <c r="N58" s="33">
        <v>0.1381</v>
      </c>
      <c r="O58" s="20">
        <f t="shared" si="24"/>
        <v>2.6038999999999999</v>
      </c>
      <c r="P58" s="20">
        <f t="shared" si="25"/>
        <v>0.92573571488518358</v>
      </c>
      <c r="Q58" s="20">
        <f t="shared" si="26"/>
        <v>-2.7402381551850041E-2</v>
      </c>
      <c r="S58" s="17" t="s">
        <v>1886</v>
      </c>
      <c r="AN58" s="20">
        <f t="shared" si="27"/>
        <v>2.4205999999999999</v>
      </c>
      <c r="AO58" s="20">
        <f t="shared" si="28"/>
        <v>1.0325</v>
      </c>
      <c r="AQ58" s="20">
        <f t="shared" si="29"/>
        <v>3.6147999999999998</v>
      </c>
      <c r="AR58" s="20">
        <f t="shared" si="30"/>
        <v>-1.1941999999999999</v>
      </c>
      <c r="AS58" s="20">
        <f t="shared" si="31"/>
        <v>1.0325</v>
      </c>
      <c r="AU58" s="20">
        <f t="shared" si="32"/>
        <v>2.4205999999999999</v>
      </c>
      <c r="AV58" s="20">
        <f t="shared" si="33"/>
        <v>0.1381</v>
      </c>
      <c r="AW58" s="20">
        <f t="shared" si="34"/>
        <v>1.0325</v>
      </c>
      <c r="AY58" s="20">
        <f t="shared" si="35"/>
        <v>0.95007745082179595</v>
      </c>
      <c r="AZ58" s="20">
        <f t="shared" si="36"/>
        <v>-5.1744117488462416E-2</v>
      </c>
      <c r="BA58" s="20">
        <f t="shared" si="37"/>
        <v>0.62693558590752063</v>
      </c>
      <c r="BB58" s="20">
        <f t="shared" si="38"/>
        <v>0.53670756525876473</v>
      </c>
      <c r="BC58" s="20">
        <f t="shared" si="39"/>
        <v>0.30171403348641707</v>
      </c>
      <c r="BD58" s="20">
        <f t="shared" si="40"/>
        <v>0.14145400485948553</v>
      </c>
      <c r="BE58" s="20">
        <f t="shared" si="41"/>
        <v>-0.11528910222651709</v>
      </c>
      <c r="BF58" s="20">
        <f t="shared" si="42"/>
        <v>0.86750000000000071</v>
      </c>
      <c r="BG58" s="20">
        <f t="shared" si="43"/>
        <v>0.78938810495461098</v>
      </c>
    </row>
    <row r="59" spans="1:59">
      <c r="A59" s="24">
        <v>2016</v>
      </c>
      <c r="B59" s="20">
        <f>AVERAGEIFS(Analysis!$E$2:$E$823,Analysis!$B$2:$B$823,"&gt;="&amp;A59,Analysis!$B$2:$B$823,"&lt;"&amp;(A59+1))</f>
        <v>1.0124999999999997</v>
      </c>
      <c r="C59" s="25">
        <f>AVERAGEIFS(Analysis!$F$2:$F$823,Analysis!$B$2:$B$823,"&gt;="&amp;A59,Analysis!$B$2:$B$823,"&lt;"&amp;(A59+1))</f>
        <v>0.53038105662294244</v>
      </c>
      <c r="D59" s="19">
        <f>AVERAGEIFS(ENSO!$D$2:$D$823,Analysis!$B$2:$B$823,"&gt;="&amp;A59,Analysis!$B$2:$B$823,"&lt;"&amp;(A59+1))</f>
        <v>1.2116666666666667</v>
      </c>
      <c r="E59" s="33">
        <v>2.0607000000000002</v>
      </c>
      <c r="F59" s="33">
        <v>0.53510000000000002</v>
      </c>
      <c r="G59" s="33">
        <v>0.19969999999999999</v>
      </c>
      <c r="H59" s="33">
        <v>1.1374</v>
      </c>
      <c r="I59" s="33">
        <v>-1.0971</v>
      </c>
      <c r="J59" s="33">
        <v>0.45610000000000001</v>
      </c>
      <c r="K59" s="20">
        <f t="shared" si="22"/>
        <v>3.1981000000000002</v>
      </c>
      <c r="L59" s="20">
        <f t="shared" si="23"/>
        <v>2.5571000000000002</v>
      </c>
      <c r="M59" s="33">
        <v>-1.67E-2</v>
      </c>
      <c r="N59" s="33">
        <v>0.17050000000000001</v>
      </c>
      <c r="O59" s="20">
        <f t="shared" si="24"/>
        <v>2.7109000000000001</v>
      </c>
      <c r="P59" s="20">
        <f t="shared" si="25"/>
        <v>0.9996766774211101</v>
      </c>
      <c r="Q59" s="20">
        <f t="shared" si="26"/>
        <v>1.2823322578889629E-2</v>
      </c>
      <c r="S59" s="29" t="s">
        <v>2051</v>
      </c>
      <c r="AN59" s="20">
        <f t="shared" si="27"/>
        <v>2.5571000000000002</v>
      </c>
      <c r="AO59" s="20">
        <f t="shared" si="28"/>
        <v>1.2116666666666667</v>
      </c>
      <c r="AQ59" s="20">
        <f t="shared" si="29"/>
        <v>3.6542000000000003</v>
      </c>
      <c r="AR59" s="20">
        <f t="shared" si="30"/>
        <v>-1.0971</v>
      </c>
      <c r="AS59" s="20">
        <f t="shared" si="31"/>
        <v>1.2116666666666667</v>
      </c>
      <c r="AU59" s="20">
        <f t="shared" si="32"/>
        <v>2.5571000000000002</v>
      </c>
      <c r="AV59" s="20">
        <f t="shared" si="33"/>
        <v>0.17050000000000001</v>
      </c>
      <c r="AW59" s="20">
        <f t="shared" si="34"/>
        <v>1.2116666666666667</v>
      </c>
      <c r="AY59" s="20">
        <f t="shared" si="35"/>
        <v>1.0310428854804652</v>
      </c>
      <c r="AZ59" s="20">
        <f t="shared" si="36"/>
        <v>-1.8542885480465454E-2</v>
      </c>
      <c r="BA59" s="20">
        <f t="shared" si="37"/>
        <v>0.68690761499407871</v>
      </c>
      <c r="BB59" s="20">
        <f t="shared" si="38"/>
        <v>0.55645389021458325</v>
      </c>
      <c r="BC59" s="20">
        <f t="shared" si="39"/>
        <v>0.30473935035335409</v>
      </c>
      <c r="BD59" s="20">
        <f t="shared" si="40"/>
        <v>0.1347901312201514</v>
      </c>
      <c r="BE59" s="20">
        <f t="shared" si="41"/>
        <v>-7.5592039013060316E-2</v>
      </c>
      <c r="BF59" s="20">
        <f t="shared" si="42"/>
        <v>0.98166666666666691</v>
      </c>
      <c r="BG59" s="20">
        <f t="shared" si="43"/>
        <v>0.88541864048222885</v>
      </c>
    </row>
    <row r="60" spans="1:59">
      <c r="A60" s="24">
        <v>2017</v>
      </c>
      <c r="B60" s="20">
        <f>AVERAGEIFS(Analysis!$E$2:$E$823,Analysis!$B$2:$B$823,"&gt;="&amp;A60,Analysis!$B$2:$B$823,"&lt;"&amp;(A60+1))</f>
        <v>0.91499999999999904</v>
      </c>
      <c r="C60" s="25">
        <f>AVERAGEIFS(Analysis!$F$2:$F$823,Analysis!$B$2:$B$823,"&gt;="&amp;A60,Analysis!$B$2:$B$823,"&lt;"&amp;(A60+1))</f>
        <v>0.53872858215798958</v>
      </c>
      <c r="D60" s="19">
        <f>AVERAGEIFS(ENSO!$D$2:$D$823,Analysis!$B$2:$B$823,"&gt;="&amp;A60,Analysis!$B$2:$B$823,"&lt;"&amp;(A60+1))</f>
        <v>-2.2500000000000003E-2</v>
      </c>
      <c r="E60" s="33">
        <v>2.0909</v>
      </c>
      <c r="F60" s="33">
        <v>0.53769999999999996</v>
      </c>
      <c r="G60" s="33">
        <v>0.2026</v>
      </c>
      <c r="H60" s="33">
        <v>1.1449</v>
      </c>
      <c r="I60" s="33">
        <v>-1.0743</v>
      </c>
      <c r="J60" s="33">
        <v>0.46129999999999999</v>
      </c>
      <c r="K60" s="20">
        <f t="shared" si="22"/>
        <v>3.2358000000000002</v>
      </c>
      <c r="L60" s="20">
        <f t="shared" si="23"/>
        <v>2.6228000000000002</v>
      </c>
      <c r="M60" s="33">
        <v>-3.8800000000000001E-2</v>
      </c>
      <c r="N60" s="33">
        <v>0.1953</v>
      </c>
      <c r="O60" s="20">
        <f t="shared" si="24"/>
        <v>2.7793000000000001</v>
      </c>
      <c r="P60" s="20">
        <f t="shared" si="25"/>
        <v>0.90160816566663593</v>
      </c>
      <c r="Q60" s="20">
        <f t="shared" si="26"/>
        <v>1.3391834333363106E-2</v>
      </c>
      <c r="S60" s="29" t="s">
        <v>2052</v>
      </c>
      <c r="AN60" s="20">
        <f t="shared" si="27"/>
        <v>2.6228000000000002</v>
      </c>
      <c r="AO60" s="20">
        <f t="shared" si="28"/>
        <v>-2.2500000000000003E-2</v>
      </c>
      <c r="AQ60" s="20">
        <f t="shared" si="29"/>
        <v>3.6971000000000003</v>
      </c>
      <c r="AR60" s="20">
        <f t="shared" si="30"/>
        <v>-1.0743</v>
      </c>
      <c r="AS60" s="20">
        <f t="shared" si="31"/>
        <v>-2.2500000000000003E-2</v>
      </c>
      <c r="AU60" s="20">
        <f t="shared" si="32"/>
        <v>2.6228000000000002</v>
      </c>
      <c r="AV60" s="20">
        <f t="shared" si="33"/>
        <v>0.1953</v>
      </c>
      <c r="AW60" s="20">
        <f t="shared" si="34"/>
        <v>-2.2500000000000003E-2</v>
      </c>
      <c r="AY60" s="20">
        <f t="shared" si="35"/>
        <v>0.91162726308813002</v>
      </c>
      <c r="AZ60" s="20">
        <f t="shared" si="36"/>
        <v>3.372736911869012E-3</v>
      </c>
      <c r="BA60" s="20">
        <f t="shared" si="37"/>
        <v>0.69982269017848409</v>
      </c>
      <c r="BB60" s="20">
        <f t="shared" si="38"/>
        <v>0.56880045364451515</v>
      </c>
      <c r="BC60" s="20">
        <f t="shared" si="39"/>
        <v>0.30780554988065512</v>
      </c>
      <c r="BD60" s="20">
        <f t="shared" si="40"/>
        <v>0.13691602955908008</v>
      </c>
      <c r="BE60" s="20">
        <f t="shared" si="41"/>
        <v>-6.6270792450065341E-2</v>
      </c>
      <c r="BF60" s="20">
        <f t="shared" si="42"/>
        <v>0.88416666666666621</v>
      </c>
      <c r="BG60" s="20">
        <f t="shared" si="43"/>
        <v>0.91284706009585903</v>
      </c>
    </row>
    <row r="61" spans="1:59">
      <c r="A61" s="24">
        <v>2018</v>
      </c>
      <c r="B61" s="20">
        <f>AVERAGEIFS(Analysis!$E$2:$E$823,Analysis!$B$2:$B$823,"&gt;="&amp;A61,Analysis!$B$2:$B$823,"&lt;"&amp;(A61+1))</f>
        <v>0.85083333333333433</v>
      </c>
      <c r="C61" s="25">
        <f>AVERAGEIFS(Analysis!$F$2:$F$823,Analysis!$B$2:$B$823,"&gt;="&amp;A61,Analysis!$B$2:$B$823,"&lt;"&amp;(A61+1))</f>
        <v>0.54565570832238308</v>
      </c>
      <c r="D61" s="19">
        <f>AVERAGEIFS(ENSO!$D$2:$D$823,Analysis!$B$2:$B$823,"&gt;="&amp;A61,Analysis!$B$2:$B$823,"&lt;"&amp;(A61+1))</f>
        <v>-0.25083333333333335</v>
      </c>
      <c r="E61" s="33">
        <v>2.1242999999999999</v>
      </c>
      <c r="F61" s="33">
        <v>0.54090000000000005</v>
      </c>
      <c r="G61" s="33">
        <v>0.20619999999999999</v>
      </c>
      <c r="H61" s="33">
        <v>1.1536999999999999</v>
      </c>
      <c r="I61" s="33">
        <v>-1.0561</v>
      </c>
      <c r="J61" s="33">
        <v>0.46050000000000002</v>
      </c>
      <c r="K61" s="20">
        <f t="shared" si="22"/>
        <v>3.2779999999999996</v>
      </c>
      <c r="L61" s="20">
        <f t="shared" si="23"/>
        <v>2.6823999999999999</v>
      </c>
      <c r="M61" s="33">
        <v>-4.2500000000000003E-2</v>
      </c>
      <c r="N61" s="33">
        <v>0.17549999999999999</v>
      </c>
      <c r="O61" s="20">
        <f t="shared" si="24"/>
        <v>2.8153999999999999</v>
      </c>
      <c r="P61" s="20">
        <f t="shared" si="25"/>
        <v>0.90286120830359118</v>
      </c>
      <c r="Q61" s="20">
        <f t="shared" si="26"/>
        <v>-5.2027874970256849E-2</v>
      </c>
      <c r="S61" s="29" t="s">
        <v>2614</v>
      </c>
      <c r="AN61" s="20">
        <f t="shared" si="27"/>
        <v>2.6823999999999999</v>
      </c>
      <c r="AO61" s="20">
        <f t="shared" si="28"/>
        <v>-0.25083333333333335</v>
      </c>
      <c r="AQ61" s="20">
        <f t="shared" si="29"/>
        <v>3.7384999999999997</v>
      </c>
      <c r="AR61" s="20">
        <f t="shared" si="30"/>
        <v>-1.0561</v>
      </c>
      <c r="AS61" s="20">
        <f t="shared" si="31"/>
        <v>-0.25083333333333335</v>
      </c>
      <c r="AU61" s="20">
        <f t="shared" si="32"/>
        <v>2.6823999999999999</v>
      </c>
      <c r="AV61" s="20">
        <f t="shared" si="33"/>
        <v>0.17549999999999999</v>
      </c>
      <c r="AW61" s="20">
        <f t="shared" si="34"/>
        <v>-0.25083333333333335</v>
      </c>
      <c r="AY61" s="20">
        <f t="shared" si="35"/>
        <v>0.90553092900445642</v>
      </c>
      <c r="AZ61" s="20">
        <f t="shared" si="36"/>
        <v>-5.469759567112209E-2</v>
      </c>
      <c r="BA61" s="20">
        <f t="shared" si="37"/>
        <v>0.64805778943644454</v>
      </c>
      <c r="BB61" s="20">
        <f t="shared" si="38"/>
        <v>0.58245526220609545</v>
      </c>
      <c r="BC61" s="20">
        <f t="shared" si="39"/>
        <v>0.31140322399268822</v>
      </c>
      <c r="BD61" s="20">
        <f t="shared" si="40"/>
        <v>0.13658896827616798</v>
      </c>
      <c r="BE61" s="20">
        <f t="shared" si="41"/>
        <v>-5.8830148263814955E-2</v>
      </c>
      <c r="BF61" s="20">
        <f t="shared" si="42"/>
        <v>0.82000000000000151</v>
      </c>
      <c r="BG61" s="20">
        <f t="shared" si="43"/>
        <v>0.87179341636919083</v>
      </c>
    </row>
    <row r="62" spans="1:59">
      <c r="A62" s="24">
        <v>2019</v>
      </c>
      <c r="B62" s="20">
        <f>AVERAGEIFS(Analysis!$E$2:$E$823,Analysis!$B$2:$B$823,"&gt;="&amp;A62,Analysis!$B$2:$B$823,"&lt;"&amp;(A62+1))</f>
        <v>0.97999999999999898</v>
      </c>
      <c r="C62" s="25">
        <f>AVERAGEIFS(Analysis!$F$2:$F$823,Analysis!$B$2:$B$823,"&gt;="&amp;A62,Analysis!$B$2:$B$823,"&lt;"&amp;(A62+1))</f>
        <v>0.55597376133382259</v>
      </c>
      <c r="D62" s="19">
        <f>AVERAGEIFS(ENSO!$D$2:$D$823,Analysis!$B$2:$B$823,"&gt;="&amp;A62,Analysis!$B$2:$B$823,"&lt;"&amp;(A62+1))</f>
        <v>0.72666666666666668</v>
      </c>
      <c r="E62" s="33">
        <v>2.1585000000000001</v>
      </c>
      <c r="F62" s="33">
        <v>0.54400000000000004</v>
      </c>
      <c r="G62" s="33">
        <v>0.20910000000000001</v>
      </c>
      <c r="H62" s="33">
        <v>1.1612</v>
      </c>
      <c r="I62" s="33">
        <v>-1.1129</v>
      </c>
      <c r="J62" s="33">
        <v>0.48089999999999999</v>
      </c>
      <c r="K62" s="20">
        <f t="shared" si="22"/>
        <v>3.3197000000000001</v>
      </c>
      <c r="L62" s="20">
        <f t="shared" si="23"/>
        <v>2.6877000000000004</v>
      </c>
      <c r="M62" s="33">
        <v>-4.3400000000000001E-2</v>
      </c>
      <c r="N62" s="33">
        <v>6.7000000000000004E-2</v>
      </c>
      <c r="O62" s="20">
        <f t="shared" si="24"/>
        <v>2.7113000000000005</v>
      </c>
      <c r="P62" s="20">
        <f t="shared" si="25"/>
        <v>1.0039753466335992</v>
      </c>
      <c r="Q62" s="20">
        <f t="shared" si="26"/>
        <v>-2.3975346633600236E-2</v>
      </c>
      <c r="S62" s="29" t="s">
        <v>2615</v>
      </c>
      <c r="AN62" s="20">
        <f t="shared" si="27"/>
        <v>2.6877000000000004</v>
      </c>
      <c r="AO62" s="20">
        <f t="shared" si="28"/>
        <v>0.72666666666666668</v>
      </c>
      <c r="AQ62" s="20">
        <f t="shared" si="29"/>
        <v>3.8006000000000002</v>
      </c>
      <c r="AR62" s="20">
        <f t="shared" si="30"/>
        <v>-1.1129</v>
      </c>
      <c r="AS62" s="20">
        <f t="shared" si="31"/>
        <v>0.72666666666666668</v>
      </c>
      <c r="AU62" s="20">
        <f t="shared" si="32"/>
        <v>2.6877000000000004</v>
      </c>
      <c r="AV62" s="20">
        <f t="shared" si="33"/>
        <v>6.7000000000000004E-2</v>
      </c>
      <c r="AW62" s="20">
        <f t="shared" si="34"/>
        <v>0.72666666666666668</v>
      </c>
      <c r="AY62" s="20">
        <f t="shared" si="35"/>
        <v>1.0117496614337345</v>
      </c>
      <c r="AZ62" s="20">
        <f t="shared" si="36"/>
        <v>-3.1749661433735477E-2</v>
      </c>
      <c r="BA62" s="20">
        <f t="shared" si="37"/>
        <v>0.69009218761759394</v>
      </c>
      <c r="BB62" s="20">
        <f t="shared" si="38"/>
        <v>0.59643713205058801</v>
      </c>
      <c r="BC62" s="20">
        <f t="shared" si="39"/>
        <v>0.31446942351998924</v>
      </c>
      <c r="BD62" s="20">
        <f t="shared" si="40"/>
        <v>0.14492903099042664</v>
      </c>
      <c r="BE62" s="20">
        <f t="shared" si="41"/>
        <v>-8.2051499350574417E-2</v>
      </c>
      <c r="BF62" s="20">
        <f t="shared" si="42"/>
        <v>0.94916666666666616</v>
      </c>
      <c r="BG62" s="20">
        <f t="shared" si="43"/>
        <v>0.90201272570514046</v>
      </c>
    </row>
    <row r="63" spans="1:59">
      <c r="A63" s="24">
        <v>2020</v>
      </c>
      <c r="B63" s="20">
        <f>AVERAGEIFS(Analysis!$E$2:$E$823,Analysis!$B$2:$B$823,"&gt;="&amp;A63,Analysis!$B$2:$B$823,"&lt;"&amp;(A63+1))</f>
        <v>1.0075000000000005</v>
      </c>
      <c r="C63" s="25">
        <f>AVERAGEIFS(Analysis!$F$2:$F$823,Analysis!$B$2:$B$823,"&gt;="&amp;A63,Analysis!$B$2:$B$823,"&lt;"&amp;(A63+1))</f>
        <v>0.56493356806233885</v>
      </c>
      <c r="D63" s="19">
        <f>AVERAGEIFS(ENSO!$D$2:$D$823,Analysis!$B$2:$B$823,"&gt;="&amp;A63,Analysis!$B$2:$B$823,"&lt;"&amp;(A63+1))</f>
        <v>0.21833333333333335</v>
      </c>
      <c r="E63" s="33">
        <v>2.1913</v>
      </c>
      <c r="F63" s="33">
        <v>0.5484</v>
      </c>
      <c r="G63" s="33">
        <v>0.21279999999999999</v>
      </c>
      <c r="H63" s="33">
        <v>1.1698999999999999</v>
      </c>
      <c r="I63" s="33">
        <v>-0.95650000000000002</v>
      </c>
      <c r="J63" s="33">
        <v>0.42699999999999999</v>
      </c>
      <c r="K63" s="20">
        <f t="shared" si="22"/>
        <v>3.3612000000000002</v>
      </c>
      <c r="L63" s="20">
        <f t="shared" si="23"/>
        <v>2.8317000000000001</v>
      </c>
      <c r="M63" s="33">
        <v>-3.4799999999999998E-2</v>
      </c>
      <c r="N63" s="33">
        <v>3.2000000000000001E-2</v>
      </c>
      <c r="O63" s="20">
        <f t="shared" si="24"/>
        <v>2.8289</v>
      </c>
      <c r="P63" s="20">
        <f t="shared" si="25"/>
        <v>1.0113903775818733</v>
      </c>
      <c r="Q63" s="20">
        <f t="shared" si="26"/>
        <v>-3.8903775818728281E-3</v>
      </c>
      <c r="S63" s="29" t="s">
        <v>2053</v>
      </c>
      <c r="AN63" s="20">
        <f t="shared" si="27"/>
        <v>2.8317000000000001</v>
      </c>
      <c r="AO63" s="20">
        <f t="shared" si="28"/>
        <v>0.21833333333333335</v>
      </c>
      <c r="AQ63" s="20">
        <f t="shared" si="29"/>
        <v>3.7882000000000002</v>
      </c>
      <c r="AR63" s="20">
        <f t="shared" si="30"/>
        <v>-0.95650000000000002</v>
      </c>
      <c r="AS63" s="20">
        <f t="shared" si="31"/>
        <v>0.21833333333333335</v>
      </c>
      <c r="AU63" s="20">
        <f t="shared" si="32"/>
        <v>2.8317000000000001</v>
      </c>
      <c r="AV63" s="20">
        <f t="shared" si="33"/>
        <v>3.2000000000000001E-2</v>
      </c>
      <c r="AW63" s="20">
        <f t="shared" si="34"/>
        <v>0.21833333333333335</v>
      </c>
      <c r="AY63" s="20">
        <f t="shared" si="35"/>
        <v>1.0039221885714114</v>
      </c>
      <c r="AZ63" s="20">
        <f t="shared" si="36"/>
        <v>3.5778114285891505E-3</v>
      </c>
      <c r="BA63" s="20">
        <f t="shared" si="37"/>
        <v>0.72358666926871762</v>
      </c>
      <c r="BB63" s="20">
        <f t="shared" si="38"/>
        <v>0.60984664464998439</v>
      </c>
      <c r="BC63" s="20">
        <f t="shared" si="39"/>
        <v>0.31802621497165834</v>
      </c>
      <c r="BD63" s="20">
        <f t="shared" si="40"/>
        <v>0.12289327705422355</v>
      </c>
      <c r="BE63" s="20">
        <f t="shared" si="41"/>
        <v>-1.8111018541257833E-2</v>
      </c>
      <c r="BF63" s="20">
        <f t="shared" si="42"/>
        <v>0.97666666666666768</v>
      </c>
      <c r="BG63" s="20">
        <f t="shared" si="43"/>
        <v>0.98096872568104665</v>
      </c>
    </row>
    <row r="64" spans="1:59">
      <c r="A64" s="24">
        <v>2021</v>
      </c>
      <c r="B64" s="20">
        <f>AVERAGEIFS(Analysis!$E$2:$E$823,Analysis!$B$2:$B$823,"&gt;="&amp;A64,Analysis!$B$2:$B$823,"&lt;"&amp;(A64+1))</f>
        <v>0.84916666666666762</v>
      </c>
      <c r="C64" s="25">
        <f>AVERAGEIFS(Analysis!$F$2:$F$823,Analysis!$B$2:$B$823,"&gt;="&amp;A64,Analysis!$B$2:$B$823,"&lt;"&amp;(A64+1))</f>
        <v>0.57257663795460223</v>
      </c>
      <c r="D64" s="19">
        <f>AVERAGEIFS(ENSO!$D$2:$D$823,Analysis!$B$2:$B$823,"&gt;="&amp;A64,Analysis!$B$2:$B$823,"&lt;"&amp;(A64+1))</f>
        <v>-0.70583333333333342</v>
      </c>
      <c r="E64" s="33">
        <v>2.2223999999999999</v>
      </c>
      <c r="F64" s="33">
        <v>0.55449999999999999</v>
      </c>
      <c r="G64" s="33">
        <v>0.2167</v>
      </c>
      <c r="H64" s="33">
        <v>1.181</v>
      </c>
      <c r="I64" s="33">
        <v>-1.0387</v>
      </c>
      <c r="J64" s="33">
        <v>0.45190000000000002</v>
      </c>
      <c r="K64" s="20">
        <f t="shared" si="22"/>
        <v>3.4034</v>
      </c>
      <c r="L64" s="20">
        <f t="shared" si="23"/>
        <v>2.8166000000000002</v>
      </c>
      <c r="M64" s="33">
        <v>-1.35E-2</v>
      </c>
      <c r="N64" s="33">
        <v>0.1133</v>
      </c>
      <c r="O64" s="20">
        <f t="shared" si="24"/>
        <v>2.9164000000000003</v>
      </c>
      <c r="P64" s="20">
        <f t="shared" si="25"/>
        <v>0.91166840082874623</v>
      </c>
      <c r="Q64" s="20">
        <f t="shared" si="26"/>
        <v>-6.2501734162078604E-2</v>
      </c>
      <c r="S64" s="29" t="s">
        <v>2054</v>
      </c>
      <c r="AN64" s="20">
        <f t="shared" si="27"/>
        <v>2.8166000000000002</v>
      </c>
      <c r="AO64" s="20">
        <f t="shared" si="28"/>
        <v>-0.70583333333333342</v>
      </c>
      <c r="AQ64" s="20">
        <f t="shared" si="29"/>
        <v>3.8553000000000002</v>
      </c>
      <c r="AR64" s="20">
        <f t="shared" si="30"/>
        <v>-1.0387</v>
      </c>
      <c r="AS64" s="20">
        <f t="shared" si="31"/>
        <v>-0.70583333333333342</v>
      </c>
      <c r="AU64" s="20">
        <f t="shared" si="32"/>
        <v>2.8166000000000002</v>
      </c>
      <c r="AV64" s="20">
        <f t="shared" si="33"/>
        <v>0.1133</v>
      </c>
      <c r="AW64" s="20">
        <f t="shared" si="34"/>
        <v>-0.70583333333333342</v>
      </c>
      <c r="AY64" s="20">
        <f t="shared" si="35"/>
        <v>0.89666800419269155</v>
      </c>
      <c r="AZ64" s="20">
        <f t="shared" si="36"/>
        <v>-4.7501337526023923E-2</v>
      </c>
      <c r="BA64" s="20">
        <f t="shared" si="37"/>
        <v>0.67768982006171974</v>
      </c>
      <c r="BB64" s="20">
        <f t="shared" si="38"/>
        <v>0.6225611520231924</v>
      </c>
      <c r="BC64" s="20">
        <f t="shared" si="39"/>
        <v>0.32256419027206384</v>
      </c>
      <c r="BD64" s="20">
        <f t="shared" si="40"/>
        <v>0.13307305948486284</v>
      </c>
      <c r="BE64" s="20">
        <f t="shared" si="41"/>
        <v>-5.1716565360476627E-2</v>
      </c>
      <c r="BF64" s="20">
        <f t="shared" si="42"/>
        <v>0.8183333333333348</v>
      </c>
      <c r="BG64" s="20">
        <f t="shared" si="43"/>
        <v>0.91618408738587487</v>
      </c>
    </row>
    <row r="65" spans="1:59">
      <c r="A65" s="24">
        <v>2022</v>
      </c>
      <c r="B65" s="20">
        <f>AVERAGEIFS(Analysis!$E$2:$E$823,Analysis!$B$2:$B$823,"&gt;="&amp;A65,Analysis!$B$2:$B$823,"&lt;"&amp;(A65+1))</f>
        <v>0.89250000000000063</v>
      </c>
      <c r="C65" s="25">
        <f>AVERAGEIFS(Analysis!$F$2:$F$823,Analysis!$B$2:$B$823,"&gt;="&amp;A65,Analysis!$B$2:$B$823,"&lt;"&amp;(A65+1))</f>
        <v>0.579887058389435</v>
      </c>
      <c r="D65" s="19">
        <f>AVERAGEIFS(ENSO!$D$2:$D$823,Analysis!$B$2:$B$823,"&gt;="&amp;A65,Analysis!$B$2:$B$823,"&lt;"&amp;(A65+1))</f>
        <v>-0.79083333333333339</v>
      </c>
      <c r="E65" s="33">
        <v>2.2549000000000001</v>
      </c>
      <c r="F65" s="33">
        <v>0.56040000000000001</v>
      </c>
      <c r="G65" s="33">
        <v>0.22070000000000001</v>
      </c>
      <c r="H65" s="33">
        <v>1.1919</v>
      </c>
      <c r="I65" s="33">
        <v>-0.92569999999999997</v>
      </c>
      <c r="J65" s="33">
        <v>0.44950000000000001</v>
      </c>
      <c r="K65" s="20">
        <f t="shared" si="22"/>
        <v>3.4468000000000001</v>
      </c>
      <c r="L65" s="20">
        <f t="shared" si="23"/>
        <v>2.9706000000000001</v>
      </c>
      <c r="M65" s="33">
        <v>4.9299999999999997E-2</v>
      </c>
      <c r="N65" s="33">
        <v>-3.5400000000000001E-2</v>
      </c>
      <c r="O65" s="20">
        <f t="shared" si="24"/>
        <v>2.9845000000000002</v>
      </c>
      <c r="P65" s="20">
        <f t="shared" si="25"/>
        <v>0.96602357976056852</v>
      </c>
      <c r="Q65" s="20">
        <f t="shared" si="26"/>
        <v>-7.3523579760567892E-2</v>
      </c>
      <c r="S65" s="29" t="s">
        <v>2616</v>
      </c>
      <c r="AN65" s="20">
        <f t="shared" si="27"/>
        <v>2.9706000000000001</v>
      </c>
      <c r="AO65" s="20">
        <f t="shared" si="28"/>
        <v>-0.79083333333333339</v>
      </c>
      <c r="AQ65" s="20">
        <f t="shared" si="29"/>
        <v>3.8963000000000001</v>
      </c>
      <c r="AR65" s="20">
        <f t="shared" si="30"/>
        <v>-0.92569999999999997</v>
      </c>
      <c r="AS65" s="20">
        <f t="shared" si="31"/>
        <v>-0.79083333333333339</v>
      </c>
      <c r="AU65" s="20">
        <f t="shared" si="32"/>
        <v>2.9706000000000001</v>
      </c>
      <c r="AV65" s="20">
        <f t="shared" si="33"/>
        <v>-3.5400000000000001E-2</v>
      </c>
      <c r="AW65" s="20">
        <f t="shared" si="34"/>
        <v>-0.79083333333333339</v>
      </c>
      <c r="AY65" s="20">
        <f t="shared" si="35"/>
        <v>0.92930891396414472</v>
      </c>
      <c r="AZ65" s="20">
        <f t="shared" si="36"/>
        <v>-3.6808913964144097E-2</v>
      </c>
      <c r="BA65" s="20">
        <f t="shared" si="37"/>
        <v>0.67995483908153465</v>
      </c>
      <c r="BB65" s="20">
        <f t="shared" si="38"/>
        <v>0.63584801664149682</v>
      </c>
      <c r="BC65" s="20">
        <f t="shared" si="39"/>
        <v>0.32702040025174128</v>
      </c>
      <c r="BD65" s="20">
        <f t="shared" si="40"/>
        <v>0.13209187563612654</v>
      </c>
      <c r="BE65" s="20">
        <f t="shared" si="41"/>
        <v>-5.5191591491417589E-3</v>
      </c>
      <c r="BF65" s="20">
        <f t="shared" si="42"/>
        <v>0.8616666666666678</v>
      </c>
      <c r="BG65" s="20">
        <f t="shared" si="43"/>
        <v>0.96812153874796569</v>
      </c>
    </row>
    <row r="66" spans="1:59">
      <c r="A66" s="24">
        <v>2023</v>
      </c>
      <c r="B66" s="20">
        <f>AVERAGEIFS(Analysis!$E$2:$E$823,Analysis!$B$2:$B$823,"&gt;="&amp;A66,Analysis!$B$2:$B$823,"&lt;"&amp;(A66+1))</f>
        <v>1.1724999999999992</v>
      </c>
      <c r="C66" s="25">
        <f>AVERAGEIFS(Analysis!$F$2:$F$823,Analysis!$B$2:$B$823,"&gt;="&amp;A66,Analysis!$B$2:$B$823,"&lt;"&amp;(A66+1))</f>
        <v>0.58865435505823871</v>
      </c>
      <c r="D66" s="19">
        <f>AVERAGEIFS(ENSO!$D$2:$D$823,Analysis!$B$2:$B$823,"&gt;="&amp;A66,Analysis!$B$2:$B$823,"&lt;"&amp;(A66+1))</f>
        <v>0.14416666666666667</v>
      </c>
      <c r="E66" s="33">
        <v>2.286</v>
      </c>
      <c r="F66" s="33">
        <v>0.56420000000000003</v>
      </c>
      <c r="G66" s="33">
        <v>0.224</v>
      </c>
      <c r="H66" s="33">
        <v>1.1993</v>
      </c>
      <c r="I66" s="33">
        <v>-1.1308</v>
      </c>
      <c r="J66" s="33">
        <v>0.50460000000000005</v>
      </c>
      <c r="K66" s="20">
        <f t="shared" si="22"/>
        <v>3.4853000000000001</v>
      </c>
      <c r="L66" s="20">
        <f t="shared" ref="L66:L68" si="44">K66+I66+J66</f>
        <v>2.8590999999999998</v>
      </c>
      <c r="M66" s="33">
        <v>0.1089</v>
      </c>
      <c r="N66" s="33">
        <v>0.16819999999999999</v>
      </c>
      <c r="O66" s="20">
        <f t="shared" ref="O66:O68" si="45">L66+M66+N66</f>
        <v>3.1362000000000001</v>
      </c>
      <c r="P66" s="20">
        <f t="shared" si="25"/>
        <v>1.01508471177103</v>
      </c>
      <c r="Q66" s="20">
        <f t="shared" ref="Q66:Q68" si="46">B66-P66</f>
        <v>0.15741528822896922</v>
      </c>
      <c r="S66" s="29" t="s">
        <v>2055</v>
      </c>
      <c r="AN66" s="20">
        <f t="shared" si="27"/>
        <v>2.8590999999999998</v>
      </c>
      <c r="AO66" s="20">
        <f t="shared" si="28"/>
        <v>0.14416666666666667</v>
      </c>
      <c r="AQ66" s="20">
        <f t="shared" si="29"/>
        <v>3.9899</v>
      </c>
      <c r="AR66" s="20">
        <f t="shared" si="30"/>
        <v>-1.1308</v>
      </c>
      <c r="AS66" s="20">
        <f t="shared" si="31"/>
        <v>0.14416666666666667</v>
      </c>
      <c r="AU66" s="20">
        <f t="shared" si="32"/>
        <v>2.8590999999999998</v>
      </c>
      <c r="AV66" s="20">
        <f t="shared" si="33"/>
        <v>0.16819999999999999</v>
      </c>
      <c r="AW66" s="20">
        <f t="shared" si="34"/>
        <v>0.14416666666666667</v>
      </c>
      <c r="AY66" s="20">
        <f t="shared" si="35"/>
        <v>1.0236687611589261</v>
      </c>
      <c r="AZ66" s="20">
        <f t="shared" ref="AZ66:AZ68" si="47">B66-AY66</f>
        <v>0.14883123884107308</v>
      </c>
      <c r="BA66" s="20">
        <f t="shared" si="37"/>
        <v>0.92360821444427998</v>
      </c>
      <c r="BB66" s="20">
        <f t="shared" si="38"/>
        <v>0.64856252401470482</v>
      </c>
      <c r="BC66" s="20">
        <f t="shared" si="39"/>
        <v>0.33004571711867825</v>
      </c>
      <c r="BD66" s="20">
        <f t="shared" si="40"/>
        <v>0.15461822149669779</v>
      </c>
      <c r="BE66" s="20">
        <f t="shared" si="41"/>
        <v>-8.9369495555732786E-2</v>
      </c>
      <c r="BF66" s="20">
        <f t="shared" si="42"/>
        <v>1.1416666666666664</v>
      </c>
      <c r="BG66" s="20">
        <f t="shared" si="43"/>
        <v>1.1534762404316281</v>
      </c>
    </row>
    <row r="67" spans="1:59">
      <c r="A67" s="24">
        <v>2024</v>
      </c>
      <c r="B67" s="20">
        <f>AVERAGEIFS(Analysis!$E$2:$E$823,Analysis!$B$2:$B$823,"&gt;="&amp;A67,Analysis!$B$2:$B$823,"&lt;"&amp;(A67+1))</f>
        <v>1.2858333333333338</v>
      </c>
      <c r="C67" s="25">
        <f>AVERAGEIFS(Analysis!$F$2:$F$823,Analysis!$B$2:$B$823,"&gt;="&amp;A67,Analysis!$B$2:$B$823,"&lt;"&amp;(A67+1))</f>
        <v>0.6006802435656321</v>
      </c>
      <c r="D67" s="19">
        <f>AVERAGEIFS(ENSO!$D$2:$D$823,Analysis!$B$2:$B$823,"&gt;="&amp;A67,Analysis!$B$2:$B$823,"&lt;"&amp;(A67+1))</f>
        <v>0.95500000000000007</v>
      </c>
      <c r="E67" s="33">
        <v>2.3325</v>
      </c>
      <c r="F67" s="33">
        <v>0.56689999999999996</v>
      </c>
      <c r="G67" s="33">
        <v>0.2273</v>
      </c>
      <c r="H67" s="33">
        <v>1.2058</v>
      </c>
      <c r="I67" s="33">
        <v>-1.0662</v>
      </c>
      <c r="J67" s="33">
        <v>0.5111</v>
      </c>
      <c r="K67" s="20">
        <f t="shared" si="22"/>
        <v>3.5383</v>
      </c>
      <c r="L67" s="20">
        <f t="shared" si="44"/>
        <v>2.9832000000000001</v>
      </c>
      <c r="M67" s="33">
        <v>0.1239</v>
      </c>
      <c r="N67" s="33">
        <v>0.1663</v>
      </c>
      <c r="O67" s="20">
        <f t="shared" si="45"/>
        <v>3.2734000000000001</v>
      </c>
      <c r="P67" s="20">
        <f t="shared" si="25"/>
        <v>1.1478966309492544</v>
      </c>
      <c r="Q67" s="20">
        <f t="shared" si="46"/>
        <v>0.1379367023840794</v>
      </c>
      <c r="AN67" s="20">
        <f t="shared" si="27"/>
        <v>2.9832000000000001</v>
      </c>
      <c r="AO67" s="20">
        <f t="shared" si="28"/>
        <v>0.95500000000000007</v>
      </c>
      <c r="AQ67" s="20">
        <f t="shared" si="29"/>
        <v>4.0494000000000003</v>
      </c>
      <c r="AR67" s="20">
        <f t="shared" si="30"/>
        <v>-1.0662</v>
      </c>
      <c r="AS67" s="20">
        <f t="shared" si="31"/>
        <v>0.95500000000000007</v>
      </c>
      <c r="AU67" s="20">
        <f t="shared" si="32"/>
        <v>2.9832000000000001</v>
      </c>
      <c r="AV67" s="20">
        <f t="shared" si="33"/>
        <v>0.1663</v>
      </c>
      <c r="AW67" s="20">
        <f t="shared" si="34"/>
        <v>0.95500000000000007</v>
      </c>
      <c r="AY67" s="20">
        <f t="shared" si="35"/>
        <v>1.1715240303840682</v>
      </c>
      <c r="AZ67" s="20">
        <f t="shared" si="47"/>
        <v>0.11430930294926567</v>
      </c>
      <c r="BA67" s="20">
        <f t="shared" si="37"/>
        <v>0.92314006566865625</v>
      </c>
      <c r="BB67" s="20">
        <f t="shared" si="38"/>
        <v>0.66757296108397091</v>
      </c>
      <c r="BC67" s="20">
        <f t="shared" si="39"/>
        <v>0.33270309004233911</v>
      </c>
      <c r="BD67" s="20">
        <f t="shared" si="40"/>
        <v>0.15727559442035863</v>
      </c>
      <c r="BE67" s="20">
        <f t="shared" si="41"/>
        <v>-6.295929696058028E-2</v>
      </c>
      <c r="BF67" s="20">
        <f t="shared" si="42"/>
        <v>1.255000000000001</v>
      </c>
      <c r="BG67" s="20">
        <f t="shared" si="43"/>
        <v>1.1847330360984787</v>
      </c>
    </row>
    <row r="68" spans="1:59">
      <c r="A68" s="24">
        <v>2025</v>
      </c>
      <c r="B68" s="20">
        <f>AVERAGEIFS(Analysis!$E$2:$E$823,Analysis!$B$2:$B$823,"&gt;="&amp;A68,Analysis!$B$2:$B$823,"&lt;"&amp;(A68+1))</f>
        <v>1.193333333333334</v>
      </c>
      <c r="C68" s="25">
        <f>AVERAGEIFS(Analysis!$F$2:$F$823,Analysis!$B$2:$B$823,"&gt;="&amp;A68,Analysis!$B$2:$B$823,"&lt;"&amp;(A68+1))</f>
        <v>0.60997494216523618</v>
      </c>
      <c r="D68" s="19">
        <f>AVERAGEIFS(ENSO!$D$2:$D$823,Analysis!$B$2:$B$823,"&gt;="&amp;A68,Analysis!$B$2:$B$823,"&lt;"&amp;(A68+1))</f>
        <v>-0.2091666666666667</v>
      </c>
      <c r="E68" s="33">
        <v>2.3708999999999998</v>
      </c>
      <c r="F68" s="33">
        <v>0.5696</v>
      </c>
      <c r="G68" s="33">
        <v>0.2316</v>
      </c>
      <c r="H68" s="33">
        <v>1.2137</v>
      </c>
      <c r="I68" s="33">
        <v>-0.96179999999999999</v>
      </c>
      <c r="J68" s="33">
        <v>0.48070000000000002</v>
      </c>
      <c r="K68" s="20">
        <f t="shared" si="22"/>
        <v>3.5846</v>
      </c>
      <c r="L68" s="20">
        <f t="shared" si="44"/>
        <v>3.1034999999999999</v>
      </c>
      <c r="M68" s="33">
        <v>0.10489999999999999</v>
      </c>
      <c r="N68" s="33">
        <v>0.1573</v>
      </c>
      <c r="O68" s="20">
        <f t="shared" si="45"/>
        <v>3.3657000000000004</v>
      </c>
      <c r="P68" s="20">
        <f t="shared" si="25"/>
        <v>1.0792357960125085</v>
      </c>
      <c r="Q68" s="20">
        <f t="shared" si="46"/>
        <v>0.1140975373208255</v>
      </c>
      <c r="AN68" s="20">
        <f t="shared" si="27"/>
        <v>3.1034999999999999</v>
      </c>
      <c r="AO68" s="20">
        <f t="shared" si="28"/>
        <v>-0.2091666666666667</v>
      </c>
      <c r="AQ68" s="20">
        <f t="shared" si="29"/>
        <v>4.0652999999999997</v>
      </c>
      <c r="AR68" s="20">
        <f t="shared" si="30"/>
        <v>-0.96179999999999999</v>
      </c>
      <c r="AS68" s="20">
        <f t="shared" si="31"/>
        <v>-0.2091666666666667</v>
      </c>
      <c r="AU68" s="20">
        <f t="shared" si="32"/>
        <v>3.1034999999999999</v>
      </c>
      <c r="AV68" s="20">
        <f t="shared" si="33"/>
        <v>0.1573</v>
      </c>
      <c r="AW68" s="20">
        <f t="shared" si="34"/>
        <v>-0.2091666666666667</v>
      </c>
      <c r="AY68" s="20">
        <f t="shared" si="35"/>
        <v>1.0782346648368113</v>
      </c>
      <c r="AZ68" s="20">
        <f t="shared" si="47"/>
        <v>0.11509866849652273</v>
      </c>
      <c r="BA68" s="20">
        <f t="shared" si="37"/>
        <v>0.91499984218518349</v>
      </c>
      <c r="BB68" s="20">
        <f t="shared" si="38"/>
        <v>0.68327190266375193</v>
      </c>
      <c r="BC68" s="20">
        <f t="shared" si="39"/>
        <v>0.33593282021109616</v>
      </c>
      <c r="BD68" s="20">
        <f t="shared" si="40"/>
        <v>0.14484726566969863</v>
      </c>
      <c r="BE68" s="20">
        <f t="shared" si="41"/>
        <v>-2.027779954055052E-2</v>
      </c>
      <c r="BF68" s="20">
        <f t="shared" si="42"/>
        <v>1.1625000000000012</v>
      </c>
      <c r="BG68" s="20">
        <f t="shared" si="43"/>
        <v>1.2100757114531326</v>
      </c>
    </row>
  </sheetData>
  <pageMargins left="0.75" right="0.75" top="1" bottom="1" header="0.511811023622047" footer="0.511811023622047"/>
  <pageSetup paperSize="9" orientation="portrait" horizontalDpi="300" verticalDpi="300"/>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7D2BA-E1BD-42BB-99E2-227867E5A09C}">
  <dimension ref="A1:AB823"/>
  <sheetViews>
    <sheetView zoomScaleNormal="100" workbookViewId="0">
      <pane ySplit="1" topLeftCell="A2" activePane="bottomLeft" state="frozen"/>
      <selection pane="bottomLeft"/>
    </sheetView>
  </sheetViews>
  <sheetFormatPr defaultColWidth="8.5703125" defaultRowHeight="15"/>
  <cols>
    <col min="1" max="1" width="11" customWidth="1"/>
    <col min="2" max="2" width="9" customWidth="1"/>
    <col min="3" max="3" width="10" customWidth="1"/>
    <col min="4" max="4" width="11" customWidth="1"/>
    <col min="5" max="5" width="10" customWidth="1"/>
    <col min="6" max="6" width="11" customWidth="1"/>
    <col min="7" max="7" width="10" customWidth="1"/>
    <col min="8" max="11" width="12" customWidth="1"/>
    <col min="12" max="12" width="13" customWidth="1"/>
    <col min="13" max="13" width="11" customWidth="1"/>
    <col min="14" max="14" width="3" customWidth="1"/>
    <col min="15" max="15" width="54" customWidth="1"/>
    <col min="16" max="16" width="11" customWidth="1"/>
    <col min="17" max="17" width="10" customWidth="1"/>
    <col min="18" max="18" width="3" customWidth="1"/>
    <col min="19" max="19" width="10" customWidth="1"/>
    <col min="20" max="21" width="11" customWidth="1"/>
  </cols>
  <sheetData>
    <row r="1" spans="1:28" ht="31.5" customHeight="1">
      <c r="A1" s="35" t="s">
        <v>63</v>
      </c>
      <c r="B1" s="35" t="s">
        <v>1961</v>
      </c>
      <c r="C1" s="35" t="s">
        <v>1892</v>
      </c>
      <c r="D1" s="35" t="s">
        <v>1893</v>
      </c>
      <c r="E1" s="35" t="s">
        <v>1925</v>
      </c>
      <c r="F1" s="35" t="s">
        <v>1956</v>
      </c>
      <c r="G1" s="35" t="s">
        <v>1924</v>
      </c>
      <c r="H1" s="35" t="s">
        <v>2056</v>
      </c>
      <c r="I1" s="35" t="s">
        <v>2057</v>
      </c>
      <c r="J1" s="35" t="s">
        <v>2058</v>
      </c>
      <c r="K1" s="35" t="s">
        <v>2059</v>
      </c>
      <c r="L1" s="35" t="s">
        <v>2060</v>
      </c>
      <c r="M1" s="35" t="s">
        <v>2061</v>
      </c>
      <c r="AB1" s="23" t="s">
        <v>2062</v>
      </c>
    </row>
    <row r="2" spans="1:28">
      <c r="A2" s="18" t="str">
        <f>Analysis!A2</f>
        <v>3/1958</v>
      </c>
      <c r="B2" s="19">
        <f>Analysis!B2</f>
        <v>1958.2083333333333</v>
      </c>
      <c r="C2" s="19">
        <f>Analysis!E2</f>
        <v>8.0000000000000071E-2</v>
      </c>
      <c r="D2" s="20">
        <f>Analysis!F2</f>
        <v>0.17317313104772078</v>
      </c>
      <c r="E2" s="19" t="str">
        <f>IF(ENSO!F2="","",ENSO!F2)</f>
        <v/>
      </c>
      <c r="F2" s="25">
        <f>IF(Volcanic!G2="","",Volcanic!G2)</f>
        <v>6.4000000000000003E-3</v>
      </c>
      <c r="G2" s="19">
        <f>IF(Solar!D2="","",Solar!D2)</f>
        <v>1361.03</v>
      </c>
      <c r="H2" s="20">
        <f t="shared" ref="H2:H65" si="0">IF(D2="","",IF(OR(ROW()=2,H1=""),D2,$Q$3*H1+(1-$Q$3)*D2))</f>
        <v>0.17317313104772078</v>
      </c>
      <c r="I2" s="20" t="str">
        <f t="shared" ref="I2:I65" si="1">IF(E2="","",IF(OR(ROW()=2,I1=""),E2,$Q$4*I1+(1-$Q$4)*E2))</f>
        <v/>
      </c>
      <c r="J2" s="25">
        <f t="shared" ref="J2:J65" si="2">IF(F2="","",IF(OR(ROW()=2,J1=""),F2,$Q$5*J1+(1-$Q$5)*F2))</f>
        <v>6.4000000000000003E-3</v>
      </c>
      <c r="K2" s="19">
        <f t="shared" ref="K2:K65" si="3">IF(G2="","",IF(OR(ROW()=2,K1=""),G2,$Q$6*K1+(1-$Q$6)*G2))</f>
        <v>1361.03</v>
      </c>
      <c r="L2" s="20" t="str">
        <f t="shared" ref="L2:L65" si="4">IF(OR(I2="",J2=""),"",$P$13+$P$14*H2+$P$15*I2+$P$16*J2)</f>
        <v/>
      </c>
      <c r="M2" s="20" t="str">
        <f t="shared" ref="M2:M65" si="5">IF(L2="","",C2-L2)</f>
        <v/>
      </c>
      <c r="O2" s="17" t="s">
        <v>2063</v>
      </c>
      <c r="Q2" s="17" t="s">
        <v>2064</v>
      </c>
      <c r="AB2" s="20" t="str">
        <f t="shared" ref="AB2:AB65" si="6">IF(OR(I2="",J2=""),"",$P$52+$P$53*H2+$P$54*I2+$P$55*J2)</f>
        <v/>
      </c>
    </row>
    <row r="3" spans="1:28">
      <c r="A3" s="18" t="str">
        <f>Analysis!A3</f>
        <v>4/1958</v>
      </c>
      <c r="B3" s="19">
        <f>Analysis!B3</f>
        <v>1958.2916666666667</v>
      </c>
      <c r="C3" s="19">
        <f>Analysis!E3</f>
        <v>1.0000000000001563E-2</v>
      </c>
      <c r="D3" s="20">
        <f>Analysis!F3</f>
        <v>0.1811025507537978</v>
      </c>
      <c r="E3" s="19" t="str">
        <f>IF(ENSO!F3="","",ENSO!F3)</f>
        <v/>
      </c>
      <c r="F3" s="25">
        <f>IF(Volcanic!G3="","",Volcanic!G3)</f>
        <v>6.11E-3</v>
      </c>
      <c r="G3" s="19">
        <f>IF(Solar!D3="","",Solar!D3)</f>
        <v>1361.85</v>
      </c>
      <c r="H3" s="20">
        <f t="shared" si="0"/>
        <v>0.1811025507537978</v>
      </c>
      <c r="I3" s="20" t="str">
        <f t="shared" si="1"/>
        <v/>
      </c>
      <c r="J3" s="25">
        <f t="shared" si="2"/>
        <v>6.3768128802425047E-3</v>
      </c>
      <c r="K3" s="19">
        <f t="shared" si="3"/>
        <v>1361.095563580004</v>
      </c>
      <c r="L3" s="20" t="str">
        <f t="shared" si="4"/>
        <v/>
      </c>
      <c r="M3" s="20" t="str">
        <f t="shared" si="5"/>
        <v/>
      </c>
      <c r="O3" s="18" t="s">
        <v>2065</v>
      </c>
      <c r="P3" s="21">
        <v>0</v>
      </c>
      <c r="Q3" s="25">
        <f>IF(P3&lt;=0,0,EXP(-1/P3))</f>
        <v>0</v>
      </c>
      <c r="AB3" s="20" t="str">
        <f t="shared" si="6"/>
        <v/>
      </c>
    </row>
    <row r="4" spans="1:28">
      <c r="A4" s="18" t="str">
        <f>Analysis!A4</f>
        <v>5/1958</v>
      </c>
      <c r="B4" s="19">
        <f>Analysis!B4</f>
        <v>1958.375</v>
      </c>
      <c r="C4" s="19">
        <f>Analysis!E4</f>
        <v>5.9999999999998721E-2</v>
      </c>
      <c r="D4" s="20">
        <f>Analysis!F4</f>
        <v>0.18137520321288492</v>
      </c>
      <c r="E4" s="19" t="str">
        <f>IF(ENSO!F4="","",ENSO!F4)</f>
        <v/>
      </c>
      <c r="F4" s="25">
        <f>IF(Volcanic!G4="","",Volcanic!G4)</f>
        <v>5.8700000000000002E-3</v>
      </c>
      <c r="G4" s="19">
        <f>IF(Solar!D4="","",Solar!D4)</f>
        <v>1362.07</v>
      </c>
      <c r="H4" s="20">
        <f t="shared" si="0"/>
        <v>0.18137520321288492</v>
      </c>
      <c r="I4" s="20" t="str">
        <f t="shared" si="1"/>
        <v/>
      </c>
      <c r="J4" s="25">
        <f t="shared" si="2"/>
        <v>6.3362903597293163E-3</v>
      </c>
      <c r="K4" s="19">
        <f t="shared" si="3"/>
        <v>1361.1734752143714</v>
      </c>
      <c r="L4" s="20" t="str">
        <f t="shared" si="4"/>
        <v/>
      </c>
      <c r="M4" s="20" t="str">
        <f t="shared" si="5"/>
        <v/>
      </c>
      <c r="O4" s="18" t="s">
        <v>2066</v>
      </c>
      <c r="P4" s="21">
        <v>6</v>
      </c>
      <c r="Q4" s="25">
        <f>IF(P4&lt;=0,0,EXP(-1/P4))</f>
        <v>0.84648172489061413</v>
      </c>
      <c r="AB4" s="20" t="str">
        <f t="shared" si="6"/>
        <v/>
      </c>
    </row>
    <row r="5" spans="1:28">
      <c r="A5" s="18" t="str">
        <f>Analysis!A5</f>
        <v>6/1958</v>
      </c>
      <c r="B5" s="19">
        <f>Analysis!B5</f>
        <v>1958.4583333333333</v>
      </c>
      <c r="C5" s="19">
        <f>Analysis!E5</f>
        <v>-9.0000000000001634E-2</v>
      </c>
      <c r="D5" s="20">
        <f>Analysis!F5</f>
        <v>0.1802842840714132</v>
      </c>
      <c r="E5" s="19" t="str">
        <f>IF(ENSO!F5="","",ENSO!F5)</f>
        <v/>
      </c>
      <c r="F5" s="25">
        <f>IF(Volcanic!G5="","",Volcanic!G5)</f>
        <v>5.7000000000000002E-3</v>
      </c>
      <c r="G5" s="19">
        <f>IF(Solar!D5="","",Solar!D5)</f>
        <v>1362.08</v>
      </c>
      <c r="H5" s="20">
        <f t="shared" si="0"/>
        <v>0.1802842840714132</v>
      </c>
      <c r="I5" s="20" t="str">
        <f t="shared" si="1"/>
        <v/>
      </c>
      <c r="J5" s="25">
        <f t="shared" si="2"/>
        <v>6.2854153915514405E-3</v>
      </c>
      <c r="K5" s="19">
        <f t="shared" si="3"/>
        <v>1361.2459569342593</v>
      </c>
      <c r="L5" s="20" t="str">
        <f t="shared" si="4"/>
        <v/>
      </c>
      <c r="M5" s="20" t="str">
        <f t="shared" si="5"/>
        <v/>
      </c>
      <c r="O5" s="18" t="s">
        <v>2067</v>
      </c>
      <c r="P5" s="21">
        <v>12</v>
      </c>
      <c r="Q5" s="25">
        <f>IF(P5&lt;=0,0,EXP(-1/P5))</f>
        <v>0.92004441462932329</v>
      </c>
      <c r="AB5" s="20" t="str">
        <f t="shared" si="6"/>
        <v/>
      </c>
    </row>
    <row r="6" spans="1:28">
      <c r="A6" s="18" t="str">
        <f>Analysis!A6</f>
        <v>7/1958</v>
      </c>
      <c r="B6" s="19">
        <f>Analysis!B6</f>
        <v>1958.5416666666667</v>
      </c>
      <c r="C6" s="19">
        <f>Analysis!E6</f>
        <v>5.0000000000004263E-2</v>
      </c>
      <c r="D6" s="20">
        <f>Analysis!F6</f>
        <v>0.17390409533246803</v>
      </c>
      <c r="E6" s="19">
        <f>IF(ENSO!F6="","",ENSO!F6)</f>
        <v>0.43</v>
      </c>
      <c r="F6" s="25">
        <f>IF(Volcanic!G6="","",Volcanic!G6)</f>
        <v>5.5599999999999998E-3</v>
      </c>
      <c r="G6" s="19">
        <f>IF(Solar!D6="","",Solar!D6)</f>
        <v>1361.68</v>
      </c>
      <c r="H6" s="20">
        <f t="shared" si="0"/>
        <v>0.17390409533246803</v>
      </c>
      <c r="I6" s="20">
        <f t="shared" si="1"/>
        <v>0.43</v>
      </c>
      <c r="J6" s="25">
        <f t="shared" si="2"/>
        <v>6.2274143792830465E-3</v>
      </c>
      <c r="K6" s="19">
        <f t="shared" si="3"/>
        <v>1361.2806611016567</v>
      </c>
      <c r="L6" s="20">
        <f t="shared" si="4"/>
        <v>-2.9769489928205457E-2</v>
      </c>
      <c r="M6" s="20">
        <f t="shared" si="5"/>
        <v>7.9769489928209716E-2</v>
      </c>
      <c r="O6" s="18" t="s">
        <v>2068</v>
      </c>
      <c r="P6" s="21">
        <v>12</v>
      </c>
      <c r="Q6" s="25">
        <f>IF(P6&lt;=0,0,EXP(-1/P6))</f>
        <v>0.92004441462932329</v>
      </c>
      <c r="AB6" s="20">
        <f t="shared" si="6"/>
        <v>-2.247899173277659E-2</v>
      </c>
    </row>
    <row r="7" spans="1:28">
      <c r="A7" s="18" t="str">
        <f>Analysis!A7</f>
        <v>8/1958</v>
      </c>
      <c r="B7" s="19">
        <f>Analysis!B7</f>
        <v>1958.625</v>
      </c>
      <c r="C7" s="19">
        <f>Analysis!E7</f>
        <v>-5.0000000000000711E-2</v>
      </c>
      <c r="D7" s="20">
        <f>Analysis!F7</f>
        <v>0.16960436691695893</v>
      </c>
      <c r="E7" s="19">
        <f>IF(ENSO!F7="","",ENSO!F7)</f>
        <v>0.32</v>
      </c>
      <c r="F7" s="25">
        <f>IF(Volcanic!G7="","",Volcanic!G7)</f>
        <v>5.47E-3</v>
      </c>
      <c r="G7" s="19">
        <f>IF(Solar!D7="","",Solar!D7)</f>
        <v>1361.92</v>
      </c>
      <c r="H7" s="20">
        <f t="shared" si="0"/>
        <v>0.16960436691695893</v>
      </c>
      <c r="I7" s="20">
        <f t="shared" si="1"/>
        <v>0.41311298973796756</v>
      </c>
      <c r="J7" s="25">
        <f t="shared" si="2"/>
        <v>6.1668548692193027E-3</v>
      </c>
      <c r="K7" s="19">
        <f t="shared" si="3"/>
        <v>1361.331779817524</v>
      </c>
      <c r="L7" s="20">
        <f t="shared" si="4"/>
        <v>-4.3574374160750967E-2</v>
      </c>
      <c r="M7" s="20">
        <f t="shared" si="5"/>
        <v>-6.4256258392497434E-3</v>
      </c>
      <c r="O7" s="23" t="s">
        <v>2069</v>
      </c>
      <c r="AB7" s="20">
        <f t="shared" si="6"/>
        <v>-3.5991809593476899E-2</v>
      </c>
    </row>
    <row r="8" spans="1:28">
      <c r="A8" s="18" t="str">
        <f>Analysis!A8</f>
        <v>9/1958</v>
      </c>
      <c r="B8" s="19">
        <f>Analysis!B8</f>
        <v>1958.7083333333333</v>
      </c>
      <c r="C8" s="19">
        <f>Analysis!E8</f>
        <v>-2.9999999999999361E-2</v>
      </c>
      <c r="D8" s="20">
        <f>Analysis!F8</f>
        <v>0.1617034477834195</v>
      </c>
      <c r="E8" s="19">
        <f>IF(ENSO!F8="","",ENSO!F8)</f>
        <v>0.28000000000000003</v>
      </c>
      <c r="F8" s="25">
        <f>IF(Volcanic!G8="","",Volcanic!G8)</f>
        <v>5.3600000000000002E-3</v>
      </c>
      <c r="G8" s="19">
        <f>IF(Solar!D8="","",Solar!D8)</f>
        <v>1362.04</v>
      </c>
      <c r="H8" s="20">
        <f t="shared" si="0"/>
        <v>0.1617034477834195</v>
      </c>
      <c r="I8" s="20">
        <f t="shared" si="1"/>
        <v>0.39267771315874145</v>
      </c>
      <c r="J8" s="25">
        <f t="shared" si="2"/>
        <v>6.1023423158416924E-3</v>
      </c>
      <c r="K8" s="19">
        <f t="shared" si="3"/>
        <v>1361.3884059767852</v>
      </c>
      <c r="L8" s="20">
        <f t="shared" si="4"/>
        <v>-6.7604829164571834E-2</v>
      </c>
      <c r="M8" s="20">
        <f t="shared" si="5"/>
        <v>3.7604829164572473E-2</v>
      </c>
      <c r="AB8" s="20">
        <f t="shared" si="6"/>
        <v>-5.9610535151242802E-2</v>
      </c>
    </row>
    <row r="9" spans="1:28">
      <c r="A9" s="18" t="str">
        <f>Analysis!A9</f>
        <v>10/1958</v>
      </c>
      <c r="B9" s="19">
        <f>Analysis!B9</f>
        <v>1958.7916666666667</v>
      </c>
      <c r="C9" s="19">
        <f>Analysis!E9</f>
        <v>3.9999999999999147E-2</v>
      </c>
      <c r="D9" s="20">
        <f>Analysis!F9</f>
        <v>0.1580599853917147</v>
      </c>
      <c r="E9" s="19">
        <f>IF(ENSO!F9="","",ENSO!F9)</f>
        <v>0.3</v>
      </c>
      <c r="F9" s="25">
        <f>IF(Volcanic!G9="","",Volcanic!G9)</f>
        <v>5.2900000000000004E-3</v>
      </c>
      <c r="G9" s="19">
        <f>IF(Solar!D9="","",Solar!D9)</f>
        <v>1361.99</v>
      </c>
      <c r="H9" s="20">
        <f t="shared" si="0"/>
        <v>0.1580599853917147</v>
      </c>
      <c r="I9" s="20">
        <f t="shared" si="1"/>
        <v>0.37844999049352906</v>
      </c>
      <c r="J9" s="25">
        <f t="shared" si="2"/>
        <v>6.0373910104571989E-3</v>
      </c>
      <c r="K9" s="19">
        <f t="shared" si="3"/>
        <v>1361.4365067790668</v>
      </c>
      <c r="L9" s="20">
        <f t="shared" si="4"/>
        <v>-7.9244876006525411E-2</v>
      </c>
      <c r="M9" s="20">
        <f t="shared" si="5"/>
        <v>0.11924487600652456</v>
      </c>
      <c r="O9" s="17" t="s">
        <v>2070</v>
      </c>
      <c r="S9" s="17" t="s">
        <v>2071</v>
      </c>
      <c r="T9" s="17" t="s">
        <v>2072</v>
      </c>
      <c r="U9" s="17" t="s">
        <v>2073</v>
      </c>
      <c r="AB9" s="20">
        <f t="shared" si="6"/>
        <v>-7.0997431121814239E-2</v>
      </c>
    </row>
    <row r="10" spans="1:28">
      <c r="A10" s="18" t="str">
        <f>Analysis!A10</f>
        <v>11/1958</v>
      </c>
      <c r="B10" s="19">
        <f>Analysis!B10</f>
        <v>1958.875</v>
      </c>
      <c r="C10" s="19">
        <f>Analysis!E10</f>
        <v>2.0000000000003126E-2</v>
      </c>
      <c r="D10" s="20">
        <f>Analysis!F10</f>
        <v>0.16225608099765507</v>
      </c>
      <c r="E10" s="19">
        <f>IF(ENSO!F10="","",ENSO!F10)</f>
        <v>0.36</v>
      </c>
      <c r="F10" s="25">
        <f>IF(Volcanic!G10="","",Volcanic!G10)</f>
        <v>5.0800000000000003E-3</v>
      </c>
      <c r="G10" s="19">
        <f>IF(Solar!D10="","",Solar!D10)</f>
        <v>1362.07</v>
      </c>
      <c r="H10" s="20">
        <f t="shared" si="0"/>
        <v>0.16225608099765507</v>
      </c>
      <c r="I10" s="20">
        <f t="shared" si="1"/>
        <v>0.37561757977717791</v>
      </c>
      <c r="J10" s="25">
        <f t="shared" si="2"/>
        <v>5.9608422517874703E-3</v>
      </c>
      <c r="K10" s="19">
        <f t="shared" si="3"/>
        <v>1361.4871581003749</v>
      </c>
      <c r="L10" s="20">
        <f t="shared" si="4"/>
        <v>-6.8037933711352944E-2</v>
      </c>
      <c r="M10" s="20">
        <f t="shared" si="5"/>
        <v>8.803793371135607E-2</v>
      </c>
      <c r="S10" s="18">
        <v>0</v>
      </c>
      <c r="T10" s="20">
        <f t="shared" ref="T10:T46" si="7">(1-$Q$4)*$Q$4^S10</f>
        <v>0.15351827510938587</v>
      </c>
      <c r="U10" s="20">
        <f t="shared" ref="U10:U46" si="8">(1-$Q$5)*$Q$5^S10</f>
        <v>7.9955585370676707E-2</v>
      </c>
      <c r="AB10" s="20">
        <f t="shared" si="6"/>
        <v>-5.9823890281259215E-2</v>
      </c>
    </row>
    <row r="11" spans="1:28">
      <c r="A11" s="18" t="str">
        <f>Analysis!A11</f>
        <v>12/1958</v>
      </c>
      <c r="B11" s="19">
        <f>Analysis!B11</f>
        <v>1958.9583333333333</v>
      </c>
      <c r="C11" s="19">
        <f>Analysis!E11</f>
        <v>1.0000000000001563E-2</v>
      </c>
      <c r="D11" s="20">
        <f>Analysis!F11</f>
        <v>0.16841281440122227</v>
      </c>
      <c r="E11" s="19">
        <f>IF(ENSO!F11="","",ENSO!F11)</f>
        <v>0.56000000000000005</v>
      </c>
      <c r="F11" s="25">
        <f>IF(Volcanic!G11="","",Volcanic!G11)</f>
        <v>4.8500000000000001E-3</v>
      </c>
      <c r="G11" s="19">
        <f>IF(Solar!D11="","",Solar!D11)</f>
        <v>1361.54</v>
      </c>
      <c r="H11" s="20">
        <f t="shared" si="0"/>
        <v>0.16841281440122227</v>
      </c>
      <c r="I11" s="20">
        <f t="shared" si="1"/>
        <v>0.40392365089027948</v>
      </c>
      <c r="J11" s="25">
        <f t="shared" si="2"/>
        <v>5.872024209291323E-3</v>
      </c>
      <c r="K11" s="19">
        <f t="shared" si="3"/>
        <v>1361.4913831053916</v>
      </c>
      <c r="L11" s="20">
        <f t="shared" si="4"/>
        <v>-4.7093170710357679E-2</v>
      </c>
      <c r="M11" s="20">
        <f t="shared" si="5"/>
        <v>5.7093170710359242E-2</v>
      </c>
      <c r="S11" s="18">
        <v>1</v>
      </c>
      <c r="T11" s="20">
        <f t="shared" si="7"/>
        <v>0.12995041431682477</v>
      </c>
      <c r="U11" s="20">
        <f t="shared" si="8"/>
        <v>7.3562689738709136E-2</v>
      </c>
      <c r="AB11" s="20">
        <f t="shared" si="6"/>
        <v>-3.9254247966907282E-2</v>
      </c>
    </row>
    <row r="12" spans="1:28">
      <c r="A12" s="18" t="str">
        <f>Analysis!A12</f>
        <v>1/1959</v>
      </c>
      <c r="B12" s="19">
        <f>Analysis!B12</f>
        <v>1959.0416666666667</v>
      </c>
      <c r="C12" s="19">
        <f>Analysis!E12</f>
        <v>8.0000000000000071E-2</v>
      </c>
      <c r="D12" s="20">
        <f>Analysis!F12</f>
        <v>0.17257894974287927</v>
      </c>
      <c r="E12" s="19">
        <f>IF(ENSO!F12="","",ENSO!F12)</f>
        <v>0.6</v>
      </c>
      <c r="F12" s="25">
        <f>IF(Volcanic!G12="","",Volcanic!G12)</f>
        <v>4.6600000000000001E-3</v>
      </c>
      <c r="G12" s="19">
        <f>IF(Solar!D12="","",Solar!D12)</f>
        <v>1361.36</v>
      </c>
      <c r="H12" s="20">
        <f t="shared" si="0"/>
        <v>0.17257894974287927</v>
      </c>
      <c r="I12" s="20">
        <f t="shared" si="1"/>
        <v>0.43402495379534956</v>
      </c>
      <c r="J12" s="25">
        <f t="shared" si="2"/>
        <v>5.7751161041540034E-3</v>
      </c>
      <c r="K12" s="19">
        <f t="shared" si="3"/>
        <v>1361.4808782922921</v>
      </c>
      <c r="L12" s="20">
        <f t="shared" si="4"/>
        <v>-3.1250541744676966E-2</v>
      </c>
      <c r="M12" s="20">
        <f t="shared" si="5"/>
        <v>0.11125054174467704</v>
      </c>
      <c r="O12" s="17" t="s">
        <v>2074</v>
      </c>
      <c r="S12" s="18">
        <v>2</v>
      </c>
      <c r="T12" s="20">
        <f t="shared" si="7"/>
        <v>0.1100006508611558</v>
      </c>
      <c r="U12" s="20">
        <f t="shared" si="8"/>
        <v>6.7680941819209167E-2</v>
      </c>
      <c r="AB12" s="20">
        <f t="shared" si="6"/>
        <v>-2.3754249322200445E-2</v>
      </c>
    </row>
    <row r="13" spans="1:28">
      <c r="A13" s="18" t="str">
        <f>Analysis!A13</f>
        <v>2/1959</v>
      </c>
      <c r="B13" s="19">
        <f>Analysis!B13</f>
        <v>1959.125</v>
      </c>
      <c r="C13" s="19">
        <f>Analysis!E13</f>
        <v>7.0000000000000284E-2</v>
      </c>
      <c r="D13" s="20">
        <f>Analysis!F13</f>
        <v>0.17673308898155007</v>
      </c>
      <c r="E13" s="19">
        <f>IF(ENSO!F13="","",ENSO!F13)</f>
        <v>0.64</v>
      </c>
      <c r="F13" s="25">
        <f>IF(Volcanic!G13="","",Volcanic!G13)</f>
        <v>4.4400000000000004E-3</v>
      </c>
      <c r="G13" s="19">
        <f>IF(Solar!D13="","",Solar!D13)</f>
        <v>1361.98</v>
      </c>
      <c r="H13" s="20">
        <f t="shared" si="0"/>
        <v>0.17673308898155007</v>
      </c>
      <c r="I13" s="20">
        <f t="shared" si="1"/>
        <v>0.46564588760426351</v>
      </c>
      <c r="J13" s="25">
        <f t="shared" si="2"/>
        <v>5.6683661145085521E-3</v>
      </c>
      <c r="K13" s="19">
        <f t="shared" si="3"/>
        <v>1361.5207858606029</v>
      </c>
      <c r="L13" s="20">
        <f t="shared" si="4"/>
        <v>-1.5192513133167045E-2</v>
      </c>
      <c r="M13" s="20">
        <f t="shared" si="5"/>
        <v>8.5192513133167336E-2</v>
      </c>
      <c r="O13" s="18" t="s">
        <v>1940</v>
      </c>
      <c r="P13" s="20">
        <f>INDEX(LINEST($C$9:$C$815,$H$9:$H$815:$J$9:$J$815),1,4)</f>
        <v>-0.53959268975182573</v>
      </c>
      <c r="S13" s="18">
        <v>3</v>
      </c>
      <c r="T13" s="20">
        <f t="shared" si="7"/>
        <v>9.3113540680041379E-2</v>
      </c>
      <c r="U13" s="20">
        <f t="shared" si="8"/>
        <v>6.2269472497615594E-2</v>
      </c>
      <c r="AB13" s="20">
        <f t="shared" si="6"/>
        <v>-8.0486582803431447E-3</v>
      </c>
    </row>
    <row r="14" spans="1:28">
      <c r="A14" s="18" t="str">
        <f>Analysis!A14</f>
        <v>3/1959</v>
      </c>
      <c r="B14" s="19">
        <f>Analysis!B14</f>
        <v>1959.2083333333333</v>
      </c>
      <c r="C14" s="19">
        <f>Analysis!E14</f>
        <v>0.17999999999999972</v>
      </c>
      <c r="D14" s="20">
        <f>Analysis!F14</f>
        <v>0.17746225223598333</v>
      </c>
      <c r="E14" s="19">
        <f>IF(ENSO!F14="","",ENSO!F14)</f>
        <v>0.48</v>
      </c>
      <c r="F14" s="25">
        <f>IF(Volcanic!G14="","",Volcanic!G14)</f>
        <v>4.3E-3</v>
      </c>
      <c r="G14" s="19">
        <f>IF(Solar!D14="","",Solar!D14)</f>
        <v>1361.39</v>
      </c>
      <c r="H14" s="20">
        <f t="shared" si="0"/>
        <v>0.17746225223598333</v>
      </c>
      <c r="I14" s="20">
        <f t="shared" si="1"/>
        <v>0.46784950617998322</v>
      </c>
      <c r="J14" s="25">
        <f t="shared" si="2"/>
        <v>5.5589576008216223E-3</v>
      </c>
      <c r="K14" s="19">
        <f t="shared" si="3"/>
        <v>1361.5103288005603</v>
      </c>
      <c r="L14" s="20">
        <f t="shared" si="4"/>
        <v>-1.2538596941481135E-2</v>
      </c>
      <c r="M14" s="20">
        <f t="shared" si="5"/>
        <v>0.19253859694148084</v>
      </c>
      <c r="O14" s="18" t="s">
        <v>1910</v>
      </c>
      <c r="P14" s="20">
        <f>INDEX(LINEST($C$9:$C$815,$H$9:$H$815:$J$9:$J$815),1,3)</f>
        <v>2.7041739651109489</v>
      </c>
      <c r="S14" s="18">
        <v>4</v>
      </c>
      <c r="T14" s="20">
        <f t="shared" si="7"/>
        <v>7.8818910525513805E-2</v>
      </c>
      <c r="U14" s="20">
        <f t="shared" si="8"/>
        <v>5.7290680373345483E-2</v>
      </c>
      <c r="AB14" s="20">
        <f t="shared" si="6"/>
        <v>-5.3811955951220368E-3</v>
      </c>
    </row>
    <row r="15" spans="1:28">
      <c r="A15" s="18" t="str">
        <f>Analysis!A15</f>
        <v>4/1959</v>
      </c>
      <c r="B15" s="19">
        <f>Analysis!B15</f>
        <v>1959.2916666666667</v>
      </c>
      <c r="C15" s="19">
        <f>Analysis!E15</f>
        <v>0.16000000000000014</v>
      </c>
      <c r="D15" s="20">
        <f>Analysis!F15</f>
        <v>0.18232908124013067</v>
      </c>
      <c r="E15" s="19">
        <f>IF(ENSO!F15="","",ENSO!F15)</f>
        <v>0.39</v>
      </c>
      <c r="F15" s="25">
        <f>IF(Volcanic!G15="","",Volcanic!G15)</f>
        <v>4.2599999999999999E-3</v>
      </c>
      <c r="G15" s="19">
        <f>IF(Solar!D15="","",Solar!D15)</f>
        <v>1361.71</v>
      </c>
      <c r="H15" s="20">
        <f t="shared" si="0"/>
        <v>0.18232908124013067</v>
      </c>
      <c r="I15" s="20">
        <f t="shared" si="1"/>
        <v>0.45589818427311474</v>
      </c>
      <c r="J15" s="25">
        <f t="shared" si="2"/>
        <v>5.4550986854762394E-3</v>
      </c>
      <c r="K15" s="19">
        <f t="shared" si="3"/>
        <v>1361.5262936281931</v>
      </c>
      <c r="L15" s="20">
        <f t="shared" si="4"/>
        <v>-7.1209811497794859E-4</v>
      </c>
      <c r="M15" s="20">
        <f t="shared" si="5"/>
        <v>0.16071209811497808</v>
      </c>
      <c r="O15" s="18" t="s">
        <v>2075</v>
      </c>
      <c r="P15" s="25">
        <f>INDEX(LINEST($C$9:$C$815,$H$9:$H$815:$J$9:$J$815),1,2)</f>
        <v>0.14112097651339991</v>
      </c>
      <c r="S15" s="18">
        <v>5</v>
      </c>
      <c r="T15" s="20">
        <f t="shared" si="7"/>
        <v>6.6718767335635906E-2</v>
      </c>
      <c r="U15" s="20">
        <f t="shared" si="8"/>
        <v>5.2709970487810301E-2</v>
      </c>
      <c r="AB15" s="20">
        <f t="shared" si="6"/>
        <v>6.4977902317785927E-3</v>
      </c>
    </row>
    <row r="16" spans="1:28">
      <c r="A16" s="18" t="str">
        <f>Analysis!A16</f>
        <v>5/1959</v>
      </c>
      <c r="B16" s="19">
        <f>Analysis!B16</f>
        <v>1959.375</v>
      </c>
      <c r="C16" s="19">
        <f>Analysis!E16</f>
        <v>3.9999999999999147E-2</v>
      </c>
      <c r="D16" s="20">
        <f>Analysis!F16</f>
        <v>0.18491500408245293</v>
      </c>
      <c r="E16" s="19">
        <f>IF(ENSO!F16="","",ENSO!F16)</f>
        <v>0.24</v>
      </c>
      <c r="F16" s="25">
        <f>IF(Volcanic!G16="","",Volcanic!G16)</f>
        <v>4.2500000000000003E-3</v>
      </c>
      <c r="G16" s="19">
        <f>IF(Solar!D16="","",Solar!D16)</f>
        <v>1361.74</v>
      </c>
      <c r="H16" s="20">
        <f t="shared" si="0"/>
        <v>0.18491500408245293</v>
      </c>
      <c r="I16" s="20">
        <f t="shared" si="1"/>
        <v>0.42275386742425786</v>
      </c>
      <c r="J16" s="25">
        <f t="shared" si="2"/>
        <v>5.3587443146495542E-3</v>
      </c>
      <c r="K16" s="19">
        <f t="shared" si="3"/>
        <v>1361.5433806462486</v>
      </c>
      <c r="L16" s="20">
        <f t="shared" si="4"/>
        <v>1.930199254379341E-3</v>
      </c>
      <c r="M16" s="20">
        <f t="shared" si="5"/>
        <v>3.8069800745619803E-2</v>
      </c>
      <c r="O16" s="18" t="s">
        <v>2076</v>
      </c>
      <c r="P16" s="19">
        <f>INDEX(LINEST($C$9:$C$815,$H$9:$H$815:$J$9:$J$815),1,1)</f>
        <v>-3.3923785723419986</v>
      </c>
      <c r="S16" s="18">
        <v>6</v>
      </c>
      <c r="T16" s="20">
        <f t="shared" si="7"/>
        <v>5.6476217256844652E-2</v>
      </c>
      <c r="U16" s="20">
        <f t="shared" si="8"/>
        <v>4.8495513942586332E-2</v>
      </c>
      <c r="AB16" s="20">
        <f t="shared" si="6"/>
        <v>9.4474604964608772E-3</v>
      </c>
    </row>
    <row r="17" spans="1:28">
      <c r="A17" s="18" t="str">
        <f>Analysis!A17</f>
        <v>6/1959</v>
      </c>
      <c r="B17" s="19">
        <f>Analysis!B17</f>
        <v>1959.4583333333333</v>
      </c>
      <c r="C17" s="19">
        <f>Analysis!E17</f>
        <v>2.9999999999997584E-2</v>
      </c>
      <c r="D17" s="20">
        <f>Analysis!F17</f>
        <v>0.1842802944193824</v>
      </c>
      <c r="E17" s="19">
        <f>IF(ENSO!F17="","",ENSO!F17)</f>
        <v>0.02</v>
      </c>
      <c r="F17" s="25">
        <f>IF(Volcanic!G17="","",Volcanic!G17)</f>
        <v>4.2700000000000004E-3</v>
      </c>
      <c r="G17" s="19">
        <f>IF(Solar!D17="","",Solar!D17)</f>
        <v>1361.6</v>
      </c>
      <c r="H17" s="20">
        <f t="shared" si="0"/>
        <v>0.1842802944193824</v>
      </c>
      <c r="I17" s="20">
        <f t="shared" si="1"/>
        <v>0.36092378840365152</v>
      </c>
      <c r="J17" s="25">
        <f t="shared" si="2"/>
        <v>5.271693125652753E-3</v>
      </c>
      <c r="K17" s="19">
        <f t="shared" si="3"/>
        <v>1361.547907679821</v>
      </c>
      <c r="L17" s="20">
        <f t="shared" si="4"/>
        <v>-8.2163766329393373E-3</v>
      </c>
      <c r="M17" s="20">
        <f t="shared" si="5"/>
        <v>3.8216376632936921E-2</v>
      </c>
      <c r="O17" s="18" t="s">
        <v>1912</v>
      </c>
      <c r="P17" s="20">
        <f>INDEX(LINEST($C$9:$C$815,$H$9:$H$815:$J$9:$J$815,TRUE(),TRUE()),3,1)</f>
        <v>0.90365215591368819</v>
      </c>
      <c r="S17" s="18">
        <v>7</v>
      </c>
      <c r="T17" s="20">
        <f t="shared" si="7"/>
        <v>4.7806085798870919E-2</v>
      </c>
      <c r="U17" s="20">
        <f t="shared" si="8"/>
        <v>4.461802673745504E-2</v>
      </c>
      <c r="AB17" s="20">
        <f t="shared" si="6"/>
        <v>-4.3251226133075166E-5</v>
      </c>
    </row>
    <row r="18" spans="1:28">
      <c r="A18" s="18" t="str">
        <f>Analysis!A18</f>
        <v>7/1959</v>
      </c>
      <c r="B18" s="19">
        <f>Analysis!B18</f>
        <v>1959.5416666666667</v>
      </c>
      <c r="C18" s="19">
        <f>Analysis!E18</f>
        <v>2.9999999999997584E-2</v>
      </c>
      <c r="D18" s="20">
        <f>Analysis!F18</f>
        <v>0.17696099208944205</v>
      </c>
      <c r="E18" s="19">
        <f>IF(ENSO!F18="","",ENSO!F18)</f>
        <v>-0.19</v>
      </c>
      <c r="F18" s="25">
        <f>IF(Volcanic!G18="","",Volcanic!G18)</f>
        <v>4.3099999999999996E-3</v>
      </c>
      <c r="G18" s="19">
        <f>IF(Solar!D18="","",Solar!D18)</f>
        <v>1361.81</v>
      </c>
      <c r="H18" s="20">
        <f t="shared" si="0"/>
        <v>0.17696099208944205</v>
      </c>
      <c r="I18" s="20">
        <f t="shared" si="1"/>
        <v>0.27634691869119465</v>
      </c>
      <c r="J18" s="25">
        <f t="shared" si="2"/>
        <v>5.1948003888442305E-3</v>
      </c>
      <c r="K18" s="19">
        <f t="shared" si="3"/>
        <v>1361.5688634247019</v>
      </c>
      <c r="L18" s="20">
        <f t="shared" si="4"/>
        <v>-3.9683764607890526E-2</v>
      </c>
      <c r="M18" s="20">
        <f t="shared" si="5"/>
        <v>6.968376460788811E-2</v>
      </c>
      <c r="O18" s="18" t="s">
        <v>1942</v>
      </c>
      <c r="P18" s="22">
        <f>COUNT($J$9:$J$815)</f>
        <v>807</v>
      </c>
      <c r="S18" s="18">
        <v>8</v>
      </c>
      <c r="T18" s="20">
        <f t="shared" si="7"/>
        <v>4.0466977967296959E-2</v>
      </c>
      <c r="U18" s="20">
        <f t="shared" si="8"/>
        <v>4.1050566291577315E-2</v>
      </c>
      <c r="AB18" s="20">
        <f t="shared" si="6"/>
        <v>-3.0484130956290639E-2</v>
      </c>
    </row>
    <row r="19" spans="1:28">
      <c r="A19" s="18" t="str">
        <f>Analysis!A19</f>
        <v>8/1959</v>
      </c>
      <c r="B19" s="19">
        <f>Analysis!B19</f>
        <v>1959.625</v>
      </c>
      <c r="C19" s="19">
        <f>Analysis!E19</f>
        <v>-9.9999999999980105E-3</v>
      </c>
      <c r="D19" s="20">
        <f>Analysis!F19</f>
        <v>0.16900871367515766</v>
      </c>
      <c r="E19" s="19">
        <f>IF(ENSO!F19="","",ENSO!F19)</f>
        <v>-0.23</v>
      </c>
      <c r="F19" s="25">
        <f>IF(Volcanic!G19="","",Volcanic!G19)</f>
        <v>4.3699999999999998E-3</v>
      </c>
      <c r="G19" s="19">
        <f>IF(Solar!D19="","",Solar!D19)</f>
        <v>1361.19</v>
      </c>
      <c r="H19" s="20">
        <f t="shared" si="0"/>
        <v>0.16900871367515766</v>
      </c>
      <c r="I19" s="20">
        <f t="shared" si="1"/>
        <v>0.19861341312677</v>
      </c>
      <c r="J19" s="25">
        <f t="shared" si="2"/>
        <v>5.128852990940228E-3</v>
      </c>
      <c r="K19" s="19">
        <f t="shared" si="3"/>
        <v>1361.5385711778044</v>
      </c>
      <c r="L19" s="20">
        <f t="shared" si="4"/>
        <v>-7.1934218532622302E-2</v>
      </c>
      <c r="M19" s="20">
        <f t="shared" si="5"/>
        <v>6.1934218532624291E-2</v>
      </c>
      <c r="O19" s="18" t="s">
        <v>1934</v>
      </c>
      <c r="P19" s="20">
        <f>STDEV($M$9:$M$815)</f>
        <v>0.11857710718592421</v>
      </c>
      <c r="S19" s="18">
        <v>9</v>
      </c>
      <c r="T19" s="20">
        <f t="shared" si="7"/>
        <v>3.425455731086801E-2</v>
      </c>
      <c r="U19" s="20">
        <f t="shared" si="8"/>
        <v>3.7768344233936477E-2</v>
      </c>
      <c r="AB19" s="20">
        <f t="shared" si="6"/>
        <v>-6.1765009836608362E-2</v>
      </c>
    </row>
    <row r="20" spans="1:28">
      <c r="A20" s="18" t="str">
        <f>Analysis!A20</f>
        <v>9/1959</v>
      </c>
      <c r="B20" s="19">
        <f>Analysis!B20</f>
        <v>1959.7083333333333</v>
      </c>
      <c r="C20" s="19">
        <f>Analysis!E20</f>
        <v>-6.0000000000000497E-2</v>
      </c>
      <c r="D20" s="20">
        <f>Analysis!F20</f>
        <v>0.16460241335740428</v>
      </c>
      <c r="E20" s="19">
        <f>IF(ENSO!F20="","",ENSO!F20)</f>
        <v>-0.04</v>
      </c>
      <c r="F20" s="25">
        <f>IF(Volcanic!G20="","",Volcanic!G20)</f>
        <v>4.4099999999999999E-3</v>
      </c>
      <c r="G20" s="19">
        <f>IF(Solar!D20="","",Solar!D20)</f>
        <v>1361.64</v>
      </c>
      <c r="H20" s="20">
        <f t="shared" si="0"/>
        <v>0.16460241335740428</v>
      </c>
      <c r="I20" s="20">
        <f t="shared" si="1"/>
        <v>0.16198189352558498</v>
      </c>
      <c r="J20" s="25">
        <f t="shared" si="2"/>
        <v>5.0713766792541406E-3</v>
      </c>
      <c r="K20" s="19">
        <f t="shared" si="3"/>
        <v>1361.5466809786565</v>
      </c>
      <c r="L20" s="20">
        <f t="shared" si="4"/>
        <v>-8.882411554345894E-2</v>
      </c>
      <c r="M20" s="20">
        <f t="shared" si="5"/>
        <v>2.8824115543458442E-2</v>
      </c>
      <c r="O20" s="18" t="s">
        <v>1943</v>
      </c>
      <c r="P20" s="19">
        <f>CORREL($M$9:$M$814,$M$10:$M$815)</f>
        <v>0.47349000139964903</v>
      </c>
      <c r="S20" s="18">
        <v>10</v>
      </c>
      <c r="T20" s="20">
        <f t="shared" si="7"/>
        <v>2.8995856757867949E-2</v>
      </c>
      <c r="U20" s="20">
        <f t="shared" si="8"/>
        <v>3.4748554162230862E-2</v>
      </c>
      <c r="AB20" s="20">
        <f t="shared" si="6"/>
        <v>-7.8170248178061758E-2</v>
      </c>
    </row>
    <row r="21" spans="1:28">
      <c r="A21" s="18" t="str">
        <f>Analysis!A21</f>
        <v>10/1959</v>
      </c>
      <c r="B21" s="19">
        <f>Analysis!B21</f>
        <v>1959.7916666666667</v>
      </c>
      <c r="C21" s="19">
        <f>Analysis!E21</f>
        <v>-7.0000000000000284E-2</v>
      </c>
      <c r="D21" s="20">
        <f>Analysis!F21</f>
        <v>0.16225608099765507</v>
      </c>
      <c r="E21" s="19">
        <f>IF(ENSO!F21="","",ENSO!F21)</f>
        <v>0.11</v>
      </c>
      <c r="F21" s="25">
        <f>IF(Volcanic!G21="","",Volcanic!G21)</f>
        <v>4.45E-3</v>
      </c>
      <c r="G21" s="19">
        <f>IF(Solar!D21="","",Solar!D21)</f>
        <v>1361.6</v>
      </c>
      <c r="H21" s="20">
        <f t="shared" si="0"/>
        <v>0.16225608099765507</v>
      </c>
      <c r="I21" s="20">
        <f t="shared" si="1"/>
        <v>0.15400172289461744</v>
      </c>
      <c r="J21" s="25">
        <f t="shared" si="2"/>
        <v>5.0216941431286887E-3</v>
      </c>
      <c r="K21" s="19">
        <f t="shared" si="3"/>
        <v>1361.5509441322195</v>
      </c>
      <c r="L21" s="20">
        <f t="shared" si="4"/>
        <v>-9.6126633925404187E-2</v>
      </c>
      <c r="M21" s="20">
        <f t="shared" si="5"/>
        <v>2.6126633925403903E-2</v>
      </c>
      <c r="O21" s="18" t="s">
        <v>2077</v>
      </c>
      <c r="P21" s="20">
        <f>INDEX(LINEST($C$9:$C$815,Volcanic!$C$9:$E$815,TRUE(),TRUE()),3,1)</f>
        <v>0.89830013237906148</v>
      </c>
      <c r="S21" s="18">
        <v>11</v>
      </c>
      <c r="T21" s="20">
        <f t="shared" si="7"/>
        <v>2.4544462843081233E-2</v>
      </c>
      <c r="U21" s="20">
        <f t="shared" si="8"/>
        <v>3.1970213173405038E-2</v>
      </c>
      <c r="AB21" s="20">
        <f t="shared" si="6"/>
        <v>-8.531749360580583E-2</v>
      </c>
    </row>
    <row r="22" spans="1:28">
      <c r="A22" s="18" t="str">
        <f>Analysis!A22</f>
        <v>11/1959</v>
      </c>
      <c r="B22" s="19">
        <f>Analysis!B22</f>
        <v>1959.875</v>
      </c>
      <c r="C22" s="19">
        <f>Analysis!E22</f>
        <v>-8.0000000000001847E-2</v>
      </c>
      <c r="D22" s="20">
        <f>Analysis!F22</f>
        <v>0.16905454188757499</v>
      </c>
      <c r="E22" s="19">
        <f>IF(ENSO!F22="","",ENSO!F22)</f>
        <v>0.23</v>
      </c>
      <c r="F22" s="25">
        <f>IF(Volcanic!G22="","",Volcanic!G22)</f>
        <v>4.3499999999999997E-3</v>
      </c>
      <c r="G22" s="19">
        <f>IF(Solar!D22="","",Solar!D22)</f>
        <v>1361.37</v>
      </c>
      <c r="H22" s="20">
        <f t="shared" si="0"/>
        <v>0.16905454188757499</v>
      </c>
      <c r="I22" s="20">
        <f t="shared" si="1"/>
        <v>0.16566884730712089</v>
      </c>
      <c r="J22" s="25">
        <f t="shared" si="2"/>
        <v>4.9679884447247791E-3</v>
      </c>
      <c r="K22" s="19">
        <f t="shared" si="3"/>
        <v>1361.5364766382086</v>
      </c>
      <c r="L22" s="20">
        <f t="shared" si="4"/>
        <v>-7.5913746933383847E-2</v>
      </c>
      <c r="M22" s="20">
        <f t="shared" si="5"/>
        <v>-4.0862530666180008E-3</v>
      </c>
      <c r="O22" s="18" t="s">
        <v>2078</v>
      </c>
      <c r="P22" s="20">
        <f>INDEX(LINEST($C$9:$C$815,$H$9:$J$815,TRUE(),TRUE()),3,1)</f>
        <v>0.90365215591368819</v>
      </c>
      <c r="S22" s="18">
        <v>12</v>
      </c>
      <c r="T22" s="20">
        <f t="shared" si="7"/>
        <v>2.0776439243924992E-2</v>
      </c>
      <c r="U22" s="20">
        <f t="shared" si="8"/>
        <v>2.9414016064700114E-2</v>
      </c>
      <c r="AB22" s="20">
        <f t="shared" si="6"/>
        <v>-6.5349757435493289E-2</v>
      </c>
    </row>
    <row r="23" spans="1:28">
      <c r="A23" s="18" t="str">
        <f>Analysis!A23</f>
        <v>12/1959</v>
      </c>
      <c r="B23" s="19">
        <f>Analysis!B23</f>
        <v>1959.9583333333333</v>
      </c>
      <c r="C23" s="19">
        <f>Analysis!E23</f>
        <v>0</v>
      </c>
      <c r="D23" s="20">
        <f>Analysis!F23</f>
        <v>0.17257894974287927</v>
      </c>
      <c r="E23" s="19">
        <f>IF(ENSO!F23="","",ENSO!F23)</f>
        <v>0.14000000000000001</v>
      </c>
      <c r="F23" s="25">
        <f>IF(Volcanic!G23="","",Volcanic!G23)</f>
        <v>4.2199999999999998E-3</v>
      </c>
      <c r="G23" s="19">
        <f>IF(Solar!D23="","",Solar!D23)</f>
        <v>1361.39</v>
      </c>
      <c r="H23" s="20">
        <f t="shared" si="0"/>
        <v>0.17257894974287927</v>
      </c>
      <c r="I23" s="20">
        <f t="shared" si="1"/>
        <v>0.16172821014448546</v>
      </c>
      <c r="J23" s="25">
        <f t="shared" si="2"/>
        <v>4.9081825907763069E-3</v>
      </c>
      <c r="K23" s="19">
        <f t="shared" si="3"/>
        <v>1361.5247650128576</v>
      </c>
      <c r="L23" s="20">
        <f t="shared" si="4"/>
        <v>-6.673635743567817E-2</v>
      </c>
      <c r="M23" s="20">
        <f t="shared" si="5"/>
        <v>6.673635743567817E-2</v>
      </c>
      <c r="O23" s="18" t="s">
        <v>2079</v>
      </c>
      <c r="P23" s="22">
        <f>COUNT($J$9:$J$815)</f>
        <v>807</v>
      </c>
      <c r="S23" s="18">
        <v>13</v>
      </c>
      <c r="T23" s="20">
        <f t="shared" si="7"/>
        <v>1.7586876128282674E-2</v>
      </c>
      <c r="U23" s="20">
        <f t="shared" si="8"/>
        <v>2.7062201192144527E-2</v>
      </c>
      <c r="AB23" s="20">
        <f t="shared" si="6"/>
        <v>-5.6187395743752915E-2</v>
      </c>
    </row>
    <row r="24" spans="1:28">
      <c r="A24" s="18" t="str">
        <f>Analysis!A24</f>
        <v>1/1960</v>
      </c>
      <c r="B24" s="19">
        <f>Analysis!B24</f>
        <v>1960.0416666666667</v>
      </c>
      <c r="C24" s="19">
        <f>Analysis!E24</f>
        <v>0</v>
      </c>
      <c r="D24" s="20">
        <f>Analysis!F24</f>
        <v>0.17645955772100325</v>
      </c>
      <c r="E24" s="19">
        <f>IF(ENSO!F24="","",ENSO!F24)</f>
        <v>0.02</v>
      </c>
      <c r="F24" s="25">
        <f>IF(Volcanic!G24="","",Volcanic!G24)</f>
        <v>4.1099999999999999E-3</v>
      </c>
      <c r="G24" s="19">
        <f>IF(Solar!D24="","",Solar!D24)</f>
        <v>1361.48</v>
      </c>
      <c r="H24" s="20">
        <f t="shared" si="0"/>
        <v>0.17645955772100325</v>
      </c>
      <c r="I24" s="20">
        <f t="shared" si="1"/>
        <v>0.1399703397887635</v>
      </c>
      <c r="J24" s="25">
        <f t="shared" si="2"/>
        <v>4.8443634344981041E-3</v>
      </c>
      <c r="K24" s="19">
        <f t="shared" si="3"/>
        <v>1361.5211858000505</v>
      </c>
      <c r="L24" s="20">
        <f t="shared" si="4"/>
        <v>-5.9096511545621795E-2</v>
      </c>
      <c r="M24" s="20">
        <f t="shared" si="5"/>
        <v>5.9096511545621795E-2</v>
      </c>
      <c r="O24" s="17" t="s">
        <v>2080</v>
      </c>
      <c r="S24" s="18">
        <v>14</v>
      </c>
      <c r="T24" s="20">
        <f t="shared" si="7"/>
        <v>1.4886969240506285E-2</v>
      </c>
      <c r="U24" s="20">
        <f t="shared" si="8"/>
        <v>2.4898427054407583E-2</v>
      </c>
      <c r="AB24" s="20">
        <f t="shared" si="6"/>
        <v>-4.8396038184870309E-2</v>
      </c>
    </row>
    <row r="25" spans="1:28">
      <c r="A25" s="18" t="str">
        <f>Analysis!A25</f>
        <v>2/1960</v>
      </c>
      <c r="B25" s="19">
        <f>Analysis!B25</f>
        <v>1960.125</v>
      </c>
      <c r="C25" s="19">
        <f>Analysis!E25</f>
        <v>0.12999999999999901</v>
      </c>
      <c r="D25" s="20">
        <f>Analysis!F25</f>
        <v>0.17896498855382964</v>
      </c>
      <c r="E25" s="19">
        <f>IF(ENSO!F25="","",ENSO!F25)</f>
        <v>0.03</v>
      </c>
      <c r="F25" s="25">
        <f>IF(Volcanic!G25="","",Volcanic!G25)</f>
        <v>3.9699999999999996E-3</v>
      </c>
      <c r="G25" s="19">
        <f>IF(Solar!D25="","",Solar!D25)</f>
        <v>1361.54</v>
      </c>
      <c r="H25" s="20">
        <f t="shared" si="0"/>
        <v>0.17896498855382964</v>
      </c>
      <c r="I25" s="20">
        <f t="shared" si="1"/>
        <v>0.12308788291119946</v>
      </c>
      <c r="J25" s="25">
        <f t="shared" si="2"/>
        <v>4.7744531942660933E-3</v>
      </c>
      <c r="K25" s="19">
        <f t="shared" si="3"/>
        <v>1361.5226901004207</v>
      </c>
      <c r="L25" s="20">
        <f t="shared" si="4"/>
        <v>-5.446669751566327E-2</v>
      </c>
      <c r="M25" s="20">
        <f t="shared" si="5"/>
        <v>0.18446669751566228</v>
      </c>
      <c r="O25" s="18" t="s">
        <v>1910</v>
      </c>
      <c r="P25" s="20">
        <f>INDEX(LINEST($C$9:$C$791,$H$9:$H$791:$K$9:$K$791),1,4)</f>
        <v>2.6555664152600329</v>
      </c>
      <c r="S25" s="18">
        <v>15</v>
      </c>
      <c r="T25" s="20">
        <f t="shared" si="7"/>
        <v>1.2601547401097273E-2</v>
      </c>
      <c r="U25" s="20">
        <f t="shared" si="8"/>
        <v>2.2907658744463339E-2</v>
      </c>
      <c r="AB25" s="20">
        <f t="shared" si="6"/>
        <v>-4.3627302339892496E-2</v>
      </c>
    </row>
    <row r="26" spans="1:28">
      <c r="A26" s="18" t="str">
        <f>Analysis!A26</f>
        <v>3/1960</v>
      </c>
      <c r="B26" s="19">
        <f>Analysis!B26</f>
        <v>1960.2083333333333</v>
      </c>
      <c r="C26" s="19">
        <f>Analysis!E26</f>
        <v>-0.35000000000000142</v>
      </c>
      <c r="D26" s="20">
        <f>Analysis!F26</f>
        <v>0.1816932326363403</v>
      </c>
      <c r="E26" s="19">
        <f>IF(ENSO!F26="","",ENSO!F26)</f>
        <v>0.06</v>
      </c>
      <c r="F26" s="25">
        <f>IF(Volcanic!G26="","",Volcanic!G26)</f>
        <v>3.8899999999999998E-3</v>
      </c>
      <c r="G26" s="19">
        <f>IF(Solar!D26="","",Solar!D26)</f>
        <v>1361.63</v>
      </c>
      <c r="H26" s="20">
        <f t="shared" si="0"/>
        <v>0.1816932326363403</v>
      </c>
      <c r="I26" s="20">
        <f t="shared" si="1"/>
        <v>0.11340273994636922</v>
      </c>
      <c r="J26" s="25">
        <f t="shared" si="2"/>
        <v>4.7037362213855826E-3</v>
      </c>
      <c r="K26" s="19">
        <f t="shared" si="3"/>
        <v>1361.5312701262576</v>
      </c>
      <c r="L26" s="20">
        <f t="shared" si="4"/>
        <v>-4.8215928986637915E-2</v>
      </c>
      <c r="M26" s="20">
        <f t="shared" si="5"/>
        <v>-0.30178407101336352</v>
      </c>
      <c r="O26" s="18" t="s">
        <v>1941</v>
      </c>
      <c r="P26" s="25">
        <f>INDEX(LINEST($C$9:$C$791,$H$9:$H$791:$K$9:$K$791),1,3)</f>
        <v>0.13187637118806772</v>
      </c>
      <c r="S26" s="18">
        <v>16</v>
      </c>
      <c r="T26" s="20">
        <f t="shared" si="7"/>
        <v>1.0666979580371659E-2</v>
      </c>
      <c r="U26" s="20">
        <f t="shared" si="8"/>
        <v>2.107606348007807E-2</v>
      </c>
      <c r="AB26" s="20">
        <f t="shared" si="6"/>
        <v>-3.7312224861504747E-2</v>
      </c>
    </row>
    <row r="27" spans="1:28">
      <c r="A27" s="18" t="str">
        <f>Analysis!A27</f>
        <v>4/1960</v>
      </c>
      <c r="B27" s="19">
        <f>Analysis!B27</f>
        <v>1960.2916666666667</v>
      </c>
      <c r="C27" s="19">
        <f>Analysis!E27</f>
        <v>-0.14999999999999858</v>
      </c>
      <c r="D27" s="20">
        <f>Analysis!F27</f>
        <v>0.18826526709013644</v>
      </c>
      <c r="E27" s="19">
        <f>IF(ENSO!F27="","",ENSO!F27)</f>
        <v>0.17</v>
      </c>
      <c r="F27" s="25">
        <f>IF(Volcanic!G27="","",Volcanic!G27)</f>
        <v>3.9100000000000003E-3</v>
      </c>
      <c r="G27" s="19">
        <f>IF(Solar!D27="","",Solar!D27)</f>
        <v>1361.28</v>
      </c>
      <c r="H27" s="20">
        <f t="shared" si="0"/>
        <v>0.18826526709013644</v>
      </c>
      <c r="I27" s="20">
        <f t="shared" si="1"/>
        <v>0.12209145368571997</v>
      </c>
      <c r="J27" s="25">
        <f t="shared" si="2"/>
        <v>4.6402725771747897E-3</v>
      </c>
      <c r="K27" s="19">
        <f t="shared" si="3"/>
        <v>1361.5111796762264</v>
      </c>
      <c r="L27" s="20">
        <f t="shared" si="4"/>
        <v>-2.9002552044584205E-2</v>
      </c>
      <c r="M27" s="20">
        <f t="shared" si="5"/>
        <v>-0.12099744795541437</v>
      </c>
      <c r="O27" s="18" t="s">
        <v>1968</v>
      </c>
      <c r="P27" s="19">
        <f>INDEX(LINEST($C$9:$C$791,$H$9:$H$791:$K$9:$K$791),1,2)</f>
        <v>-3.4079761800634452</v>
      </c>
      <c r="S27" s="18">
        <v>17</v>
      </c>
      <c r="T27" s="20">
        <f t="shared" si="7"/>
        <v>9.0294032745659603E-3</v>
      </c>
      <c r="U27" s="20">
        <f t="shared" si="8"/>
        <v>1.9390914487218885E-2</v>
      </c>
      <c r="AB27" s="20">
        <f t="shared" si="6"/>
        <v>-1.8305236545645729E-2</v>
      </c>
    </row>
    <row r="28" spans="1:28">
      <c r="A28" s="18" t="str">
        <f>Analysis!A28</f>
        <v>5/1960</v>
      </c>
      <c r="B28" s="19">
        <f>Analysis!B28</f>
        <v>1960.375</v>
      </c>
      <c r="C28" s="19">
        <f>Analysis!E28</f>
        <v>-8.0000000000001847E-2</v>
      </c>
      <c r="D28" s="20">
        <f>Analysis!F28</f>
        <v>0.19278032426290692</v>
      </c>
      <c r="E28" s="19">
        <f>IF(ENSO!F28="","",ENSO!F28)</f>
        <v>0.04</v>
      </c>
      <c r="F28" s="25">
        <f>IF(Volcanic!G28="","",Volcanic!G28)</f>
        <v>3.9399999999999999E-3</v>
      </c>
      <c r="G28" s="19">
        <f>IF(Solar!D28="","",Solar!D28)</f>
        <v>1361.33</v>
      </c>
      <c r="H28" s="20">
        <f t="shared" si="0"/>
        <v>0.19278032426290692</v>
      </c>
      <c r="I28" s="20">
        <f t="shared" si="1"/>
        <v>0.1094889153146662</v>
      </c>
      <c r="J28" s="25">
        <f t="shared" si="2"/>
        <v>4.5842818733477465E-3</v>
      </c>
      <c r="K28" s="19">
        <f t="shared" si="3"/>
        <v>1361.4966933491567</v>
      </c>
      <c r="L28" s="20">
        <f t="shared" si="4"/>
        <v>-1.8381592844548336E-2</v>
      </c>
      <c r="M28" s="20">
        <f t="shared" si="5"/>
        <v>-6.1618407155453511E-2</v>
      </c>
      <c r="O28" s="18" t="s">
        <v>1969</v>
      </c>
      <c r="P28" s="25">
        <f>INDEX(LINEST($C$9:$C$791,$H$9:$H$791:$K$9:$K$791),1,1)</f>
        <v>6.9416177514055571E-2</v>
      </c>
      <c r="S28" s="18">
        <v>18</v>
      </c>
      <c r="T28" s="20">
        <f t="shared" si="7"/>
        <v>7.643224858587554E-3</v>
      </c>
      <c r="U28" s="20">
        <f t="shared" si="8"/>
        <v>1.7840502568520565E-2</v>
      </c>
      <c r="AB28" s="20">
        <f t="shared" si="6"/>
        <v>-7.6399952836790821E-3</v>
      </c>
    </row>
    <row r="29" spans="1:28">
      <c r="A29" s="18" t="str">
        <f>Analysis!A29</f>
        <v>6/1960</v>
      </c>
      <c r="B29" s="19">
        <f>Analysis!B29</f>
        <v>1960.4583333333333</v>
      </c>
      <c r="C29" s="19">
        <f>Analysis!E29</f>
        <v>-3.9999999999999147E-2</v>
      </c>
      <c r="D29" s="20">
        <f>Analysis!F29</f>
        <v>0.19075029697903845</v>
      </c>
      <c r="E29" s="19">
        <f>IF(ENSO!F29="","",ENSO!F29)</f>
        <v>0</v>
      </c>
      <c r="F29" s="25">
        <f>IF(Volcanic!G29="","",Volcanic!G29)</f>
        <v>4.0000000000000001E-3</v>
      </c>
      <c r="G29" s="19">
        <f>IF(Solar!D29="","",Solar!D29)</f>
        <v>1361.56</v>
      </c>
      <c r="H29" s="20">
        <f t="shared" si="0"/>
        <v>0.19075029697903845</v>
      </c>
      <c r="I29" s="20">
        <f t="shared" si="1"/>
        <v>9.268036589196102E-2</v>
      </c>
      <c r="J29" s="25">
        <f t="shared" si="2"/>
        <v>4.5375652741427514E-3</v>
      </c>
      <c r="K29" s="19">
        <f t="shared" si="3"/>
        <v>1361.5017550694827</v>
      </c>
      <c r="L29" s="20">
        <f t="shared" si="4"/>
        <v>-2.6084698292240513E-2</v>
      </c>
      <c r="M29" s="20">
        <f t="shared" si="5"/>
        <v>-1.3915301707758634E-2</v>
      </c>
      <c r="O29" s="18" t="s">
        <v>1912</v>
      </c>
      <c r="P29" s="20">
        <f>INDEX(LINEST($C$9:$C$791,$H$9:$H$791:$K$9:$K$791,TRUE(),TRUE()),3,1)</f>
        <v>0.89825223325646553</v>
      </c>
      <c r="S29" s="18">
        <v>19</v>
      </c>
      <c r="T29" s="20">
        <f t="shared" si="7"/>
        <v>6.4698501620240132E-3</v>
      </c>
      <c r="U29" s="20">
        <f t="shared" si="8"/>
        <v>1.6414054742347441E-2</v>
      </c>
      <c r="AB29" s="20">
        <f t="shared" si="6"/>
        <v>-1.5110890464374164E-2</v>
      </c>
    </row>
    <row r="30" spans="1:28">
      <c r="A30" s="18" t="str">
        <f>Analysis!A30</f>
        <v>7/1960</v>
      </c>
      <c r="B30" s="19">
        <f>Analysis!B30</f>
        <v>1960.5416666666667</v>
      </c>
      <c r="C30" s="19">
        <f>Analysis!E30</f>
        <v>-3.9999999999999147E-2</v>
      </c>
      <c r="D30" s="20">
        <f>Analysis!F30</f>
        <v>0.1844163271422109</v>
      </c>
      <c r="E30" s="19">
        <f>IF(ENSO!F30="","",ENSO!F30)</f>
        <v>0.01</v>
      </c>
      <c r="F30" s="25">
        <f>IF(Volcanic!G30="","",Volcanic!G30)</f>
        <v>4.0800000000000003E-3</v>
      </c>
      <c r="G30" s="19">
        <f>IF(Solar!D30="","",Solar!D30)</f>
        <v>1361.34</v>
      </c>
      <c r="H30" s="20">
        <f t="shared" si="0"/>
        <v>0.1844163271422109</v>
      </c>
      <c r="I30" s="20">
        <f t="shared" si="1"/>
        <v>7.998741873481427E-2</v>
      </c>
      <c r="J30" s="25">
        <f t="shared" si="2"/>
        <v>4.500980374803374E-3</v>
      </c>
      <c r="K30" s="19">
        <f t="shared" si="3"/>
        <v>1361.4888218482154</v>
      </c>
      <c r="L30" s="20">
        <f t="shared" si="4"/>
        <v>-4.4879985889846992E-2</v>
      </c>
      <c r="M30" s="20">
        <f t="shared" si="5"/>
        <v>4.8799858898478446E-3</v>
      </c>
      <c r="O30" s="18" t="s">
        <v>2081</v>
      </c>
      <c r="P30" s="19">
        <f>P28/((1-Solar!O3)/4)</f>
        <v>0.39666387150888899</v>
      </c>
      <c r="S30" s="18">
        <v>20</v>
      </c>
      <c r="T30" s="20">
        <f t="shared" si="7"/>
        <v>5.4766099249339058E-3</v>
      </c>
      <c r="U30" s="20">
        <f t="shared" si="8"/>
        <v>1.5101659387116719E-2</v>
      </c>
      <c r="AB30" s="20">
        <f t="shared" si="6"/>
        <v>-3.3619070847284063E-2</v>
      </c>
    </row>
    <row r="31" spans="1:28">
      <c r="A31" s="18" t="str">
        <f>Analysis!A31</f>
        <v>8/1960</v>
      </c>
      <c r="B31" s="19">
        <f>Analysis!B31</f>
        <v>1960.625</v>
      </c>
      <c r="C31" s="19">
        <f>Analysis!E31</f>
        <v>2.0000000000003126E-2</v>
      </c>
      <c r="D31" s="20">
        <f>Analysis!F31</f>
        <v>0.17404110991454413</v>
      </c>
      <c r="E31" s="19">
        <f>IF(ENSO!F31="","",ENSO!F31)</f>
        <v>0.15</v>
      </c>
      <c r="F31" s="25">
        <f>IF(Volcanic!G31="","",Volcanic!G31)</f>
        <v>4.1799999999999997E-3</v>
      </c>
      <c r="G31" s="19">
        <f>IF(Solar!D31="","",Solar!D31)</f>
        <v>1361.38</v>
      </c>
      <c r="H31" s="20">
        <f t="shared" si="0"/>
        <v>0.17404110991454413</v>
      </c>
      <c r="I31" s="20">
        <f t="shared" si="1"/>
        <v>9.0735629446601296E-2</v>
      </c>
      <c r="J31" s="25">
        <f t="shared" si="2"/>
        <v>4.4753162010434709E-3</v>
      </c>
      <c r="K31" s="19">
        <f t="shared" si="3"/>
        <v>1361.4801209336401</v>
      </c>
      <c r="L31" s="20">
        <f t="shared" si="4"/>
        <v>-7.1332517614714944E-2</v>
      </c>
      <c r="M31" s="20">
        <f t="shared" si="5"/>
        <v>9.133251761471807E-2</v>
      </c>
      <c r="S31" s="18">
        <v>21</v>
      </c>
      <c r="T31" s="20">
        <f t="shared" si="7"/>
        <v>4.6358502158111098E-3</v>
      </c>
      <c r="U31" s="20">
        <f t="shared" si="8"/>
        <v>1.3894197370751225E-2</v>
      </c>
      <c r="AB31" s="20">
        <f t="shared" si="6"/>
        <v>-5.992357309532706E-2</v>
      </c>
    </row>
    <row r="32" spans="1:28">
      <c r="A32" s="18" t="str">
        <f>Analysis!A32</f>
        <v>9/1960</v>
      </c>
      <c r="B32" s="19">
        <f>Analysis!B32</f>
        <v>1960.7083333333333</v>
      </c>
      <c r="C32" s="19">
        <f>Analysis!E32</f>
        <v>7.0000000000000284E-2</v>
      </c>
      <c r="D32" s="20">
        <f>Analysis!F32</f>
        <v>0.16611859751788685</v>
      </c>
      <c r="E32" s="19">
        <f>IF(ENSO!F32="","",ENSO!F32)</f>
        <v>0.19</v>
      </c>
      <c r="F32" s="25">
        <f>IF(Volcanic!G32="","",Volcanic!G32)</f>
        <v>4.2399999999999998E-3</v>
      </c>
      <c r="G32" s="19">
        <f>IF(Solar!D32="","",Solar!D32)</f>
        <v>1361.59</v>
      </c>
      <c r="H32" s="20">
        <f t="shared" si="0"/>
        <v>0.16611859751788685</v>
      </c>
      <c r="I32" s="20">
        <f t="shared" si="1"/>
        <v>0.10597452439377798</v>
      </c>
      <c r="J32" s="25">
        <f t="shared" si="2"/>
        <v>4.4565013564418368E-3</v>
      </c>
      <c r="K32" s="19">
        <f t="shared" si="3"/>
        <v>1361.4889063787109</v>
      </c>
      <c r="L32" s="20">
        <f t="shared" si="4"/>
        <v>-9.0542014564425066E-2</v>
      </c>
      <c r="M32" s="20">
        <f t="shared" si="5"/>
        <v>0.16054201456442535</v>
      </c>
      <c r="O32" s="17" t="s">
        <v>2082</v>
      </c>
      <c r="S32" s="18">
        <v>22</v>
      </c>
      <c r="T32" s="20">
        <f t="shared" si="7"/>
        <v>3.9241624870143144E-3</v>
      </c>
      <c r="U32" s="20">
        <f t="shared" si="8"/>
        <v>1.2783278686717095E-2</v>
      </c>
      <c r="AB32" s="20">
        <f t="shared" si="6"/>
        <v>-7.9088634044897507E-2</v>
      </c>
    </row>
    <row r="33" spans="1:28">
      <c r="A33" s="18" t="str">
        <f>Analysis!A33</f>
        <v>10/1960</v>
      </c>
      <c r="B33" s="19">
        <f>Analysis!B33</f>
        <v>1960.7916666666667</v>
      </c>
      <c r="C33" s="19">
        <f>Analysis!E33</f>
        <v>5.9999999999998721E-2</v>
      </c>
      <c r="D33" s="20">
        <f>Analysis!F33</f>
        <v>0.16455644349932552</v>
      </c>
      <c r="E33" s="19">
        <f>IF(ENSO!F33="","",ENSO!F33)</f>
        <v>0.08</v>
      </c>
      <c r="F33" s="25">
        <f>IF(Volcanic!G33="","",Volcanic!G33)</f>
        <v>4.3099999999999996E-3</v>
      </c>
      <c r="G33" s="19">
        <f>IF(Solar!D33="","",Solar!D33)</f>
        <v>1361.44</v>
      </c>
      <c r="H33" s="20">
        <f t="shared" si="0"/>
        <v>0.16455644349932552</v>
      </c>
      <c r="I33" s="20">
        <f t="shared" si="1"/>
        <v>0.10198696021205853</v>
      </c>
      <c r="J33" s="25">
        <f t="shared" si="2"/>
        <v>4.4447877547299317E-3</v>
      </c>
      <c r="K33" s="19">
        <f t="shared" si="3"/>
        <v>1361.4849960405727</v>
      </c>
      <c r="L33" s="20">
        <f t="shared" si="4"/>
        <v>-9.5289342770693744E-2</v>
      </c>
      <c r="M33" s="20">
        <f t="shared" si="5"/>
        <v>0.15528934277069245</v>
      </c>
      <c r="O33" s="18" t="s">
        <v>2083</v>
      </c>
      <c r="P33" s="19">
        <f>P16*MAX($J$400:$J$430)</f>
        <v>-0.25808372196111712</v>
      </c>
      <c r="S33" s="18">
        <v>23</v>
      </c>
      <c r="T33" s="20">
        <f t="shared" si="7"/>
        <v>3.3217318307589188E-3</v>
      </c>
      <c r="U33" s="20">
        <f t="shared" si="8"/>
        <v>1.1761184156364136E-2</v>
      </c>
      <c r="AB33" s="20">
        <f t="shared" si="6"/>
        <v>-8.3755562083976692E-2</v>
      </c>
    </row>
    <row r="34" spans="1:28">
      <c r="A34" s="18" t="str">
        <f>Analysis!A34</f>
        <v>11/1960</v>
      </c>
      <c r="B34" s="19">
        <f>Analysis!B34</f>
        <v>1960.875</v>
      </c>
      <c r="C34" s="19">
        <f>Analysis!E34</f>
        <v>-0.10999999999999766</v>
      </c>
      <c r="D34" s="20">
        <f>Analysis!F34</f>
        <v>0.16992500144231237</v>
      </c>
      <c r="E34" s="19">
        <f>IF(ENSO!F34="","",ENSO!F34)</f>
        <v>-7.0000000000000007E-2</v>
      </c>
      <c r="F34" s="25">
        <f>IF(Volcanic!G34="","",Volcanic!G34)</f>
        <v>4.2300000000000003E-3</v>
      </c>
      <c r="G34" s="19">
        <f>IF(Solar!D34="","",Solar!D34)</f>
        <v>1361.23</v>
      </c>
      <c r="H34" s="20">
        <f t="shared" si="0"/>
        <v>0.16992500144231237</v>
      </c>
      <c r="I34" s="20">
        <f t="shared" si="1"/>
        <v>7.5583818738996722E-2</v>
      </c>
      <c r="J34" s="25">
        <f t="shared" si="2"/>
        <v>4.4276142740700469E-3</v>
      </c>
      <c r="K34" s="19">
        <f t="shared" si="3"/>
        <v>1361.4646076828815</v>
      </c>
      <c r="L34" s="20">
        <f t="shared" si="4"/>
        <v>-8.4439606310975912E-2</v>
      </c>
      <c r="M34" s="20">
        <f t="shared" si="5"/>
        <v>-2.5560393689021743E-2</v>
      </c>
      <c r="O34" s="18" t="s">
        <v>2084</v>
      </c>
      <c r="P34" s="19">
        <f>P16*MAX($J$60:$J$95)</f>
        <v>-0.14930985021155205</v>
      </c>
      <c r="S34" s="18">
        <v>24</v>
      </c>
      <c r="T34" s="20">
        <f t="shared" si="7"/>
        <v>2.8117852897248676E-3</v>
      </c>
      <c r="U34" s="20">
        <f t="shared" si="8"/>
        <v>1.0820811792489712E-2</v>
      </c>
      <c r="AB34" s="20">
        <f t="shared" si="6"/>
        <v>-7.2765771319813904E-2</v>
      </c>
    </row>
    <row r="35" spans="1:28">
      <c r="A35" s="18" t="str">
        <f>Analysis!A35</f>
        <v>12/1960</v>
      </c>
      <c r="B35" s="19">
        <f>Analysis!B35</f>
        <v>1960.9583333333333</v>
      </c>
      <c r="C35" s="19">
        <f>Analysis!E35</f>
        <v>0.19000000000000128</v>
      </c>
      <c r="D35" s="20">
        <f>Analysis!F35</f>
        <v>0.17536491377542907</v>
      </c>
      <c r="E35" s="19">
        <f>IF(ENSO!F35="","",ENSO!F35)</f>
        <v>-7.0000000000000007E-2</v>
      </c>
      <c r="F35" s="25">
        <f>IF(Volcanic!G35="","",Volcanic!G35)</f>
        <v>4.1200000000000004E-3</v>
      </c>
      <c r="G35" s="19">
        <f>IF(Solar!D35="","",Solar!D35)</f>
        <v>1361.34</v>
      </c>
      <c r="H35" s="20">
        <f t="shared" si="0"/>
        <v>0.17536491377542907</v>
      </c>
      <c r="I35" s="20">
        <f t="shared" si="1"/>
        <v>5.3234042002348457E-2</v>
      </c>
      <c r="J35" s="25">
        <f t="shared" si="2"/>
        <v>4.4030187947184003E-3</v>
      </c>
      <c r="K35" s="19">
        <f t="shared" si="3"/>
        <v>1361.454644602655</v>
      </c>
      <c r="L35" s="20">
        <f t="shared" si="4"/>
        <v>-7.2799722148079116E-2</v>
      </c>
      <c r="M35" s="20">
        <f t="shared" si="5"/>
        <v>0.26279972214808039</v>
      </c>
      <c r="O35" s="18" t="s">
        <v>2085</v>
      </c>
      <c r="P35" s="19">
        <f>P16*MAX($J$290:$J$320)</f>
        <v>-0.12372504375084305</v>
      </c>
      <c r="S35" s="18">
        <v>25</v>
      </c>
      <c r="T35" s="20">
        <f t="shared" si="7"/>
        <v>2.3801248620683615E-3</v>
      </c>
      <c r="U35" s="20">
        <f t="shared" si="8"/>
        <v>9.9556274514352745E-3</v>
      </c>
      <c r="AB35" s="20">
        <f t="shared" si="6"/>
        <v>-6.102330077736734E-2</v>
      </c>
    </row>
    <row r="36" spans="1:28">
      <c r="A36" s="18" t="str">
        <f>Analysis!A36</f>
        <v>1/1961</v>
      </c>
      <c r="B36" s="19">
        <f>Analysis!B36</f>
        <v>1961.0416666666667</v>
      </c>
      <c r="C36" s="19">
        <f>Analysis!E36</f>
        <v>7.0000000000000284E-2</v>
      </c>
      <c r="D36" s="20">
        <f>Analysis!F36</f>
        <v>0.17855530658575247</v>
      </c>
      <c r="E36" s="19">
        <f>IF(ENSO!F36="","",ENSO!F36)</f>
        <v>0</v>
      </c>
      <c r="F36" s="25">
        <f>IF(Volcanic!G36="","",Volcanic!G36)</f>
        <v>4.0200000000000001E-3</v>
      </c>
      <c r="G36" s="19">
        <f>IF(Solar!D36="","",Solar!D36)</f>
        <v>1361.24</v>
      </c>
      <c r="H36" s="20">
        <f t="shared" si="0"/>
        <v>0.17855530658575247</v>
      </c>
      <c r="I36" s="20">
        <f t="shared" si="1"/>
        <v>4.5061643697047321E-2</v>
      </c>
      <c r="J36" s="25">
        <f t="shared" si="2"/>
        <v>4.3723943027787196E-3</v>
      </c>
      <c r="K36" s="19">
        <f t="shared" si="3"/>
        <v>1361.437482567803</v>
      </c>
      <c r="L36" s="20">
        <f t="shared" si="4"/>
        <v>-6.522175193098087E-2</v>
      </c>
      <c r="M36" s="20">
        <f t="shared" si="5"/>
        <v>0.13522175193098115</v>
      </c>
      <c r="O36" s="18" t="s">
        <v>2086</v>
      </c>
      <c r="P36" s="19">
        <f>P15*MAX($I$470:$I$490)</f>
        <v>0.22218338595972634</v>
      </c>
      <c r="S36" s="18">
        <v>26</v>
      </c>
      <c r="T36" s="20">
        <f t="shared" si="7"/>
        <v>2.0147321986986612E-3</v>
      </c>
      <c r="U36" s="20">
        <f t="shared" si="8"/>
        <v>9.1596194308233899E-3</v>
      </c>
      <c r="AB36" s="20">
        <f t="shared" si="6"/>
        <v>-5.3425382853803022E-2</v>
      </c>
    </row>
    <row r="37" spans="1:28">
      <c r="A37" s="18" t="str">
        <f>Analysis!A37</f>
        <v>2/1961</v>
      </c>
      <c r="B37" s="19">
        <f>Analysis!B37</f>
        <v>1961.125</v>
      </c>
      <c r="C37" s="19">
        <f>Analysis!E37</f>
        <v>0.19000000000000128</v>
      </c>
      <c r="D37" s="20">
        <f>Analysis!F37</f>
        <v>0.18223826288116377</v>
      </c>
      <c r="E37" s="19">
        <f>IF(ENSO!F37="","",ENSO!F37)</f>
        <v>0.03</v>
      </c>
      <c r="F37" s="25">
        <f>IF(Volcanic!G37="","",Volcanic!G37)</f>
        <v>3.8899999999999998E-3</v>
      </c>
      <c r="G37" s="19">
        <f>IF(Solar!D37="","",Solar!D37)</f>
        <v>1361.13</v>
      </c>
      <c r="H37" s="20">
        <f t="shared" si="0"/>
        <v>0.18223826288116377</v>
      </c>
      <c r="I37" s="20">
        <f t="shared" si="1"/>
        <v>4.2749406136364465E-2</v>
      </c>
      <c r="J37" s="25">
        <f t="shared" si="2"/>
        <v>4.3338241839205672E-3</v>
      </c>
      <c r="K37" s="19">
        <f t="shared" si="3"/>
        <v>1361.412897619103</v>
      </c>
      <c r="L37" s="20">
        <f t="shared" si="4"/>
        <v>-5.5457858180035645E-2</v>
      </c>
      <c r="M37" s="20">
        <f t="shared" si="5"/>
        <v>0.24545785818003693</v>
      </c>
      <c r="O37" s="18" t="s">
        <v>2087</v>
      </c>
      <c r="P37" s="19">
        <f>P15*MAX($I$685:$I$705)</f>
        <v>0.25968084683912573</v>
      </c>
      <c r="S37" s="18">
        <v>27</v>
      </c>
      <c r="T37" s="20">
        <f t="shared" si="7"/>
        <v>1.7054339867471023E-3</v>
      </c>
      <c r="U37" s="20">
        <f t="shared" si="8"/>
        <v>8.4272566974592806E-3</v>
      </c>
      <c r="AB37" s="20">
        <f t="shared" si="6"/>
        <v>-4.3706043401864042E-2</v>
      </c>
    </row>
    <row r="38" spans="1:28">
      <c r="A38" s="18" t="str">
        <f>Analysis!A38</f>
        <v>3/1961</v>
      </c>
      <c r="B38" s="19">
        <f>Analysis!B38</f>
        <v>1961.2083333333333</v>
      </c>
      <c r="C38" s="19">
        <f>Analysis!E38</f>
        <v>8.9999999999999858E-2</v>
      </c>
      <c r="D38" s="20">
        <f>Analysis!F38</f>
        <v>0.18604772012519621</v>
      </c>
      <c r="E38" s="19">
        <f>IF(ENSO!F38="","",ENSO!F38)</f>
        <v>0.01</v>
      </c>
      <c r="F38" s="25">
        <f>IF(Volcanic!G38="","",Volcanic!G38)</f>
        <v>3.82E-3</v>
      </c>
      <c r="G38" s="19">
        <f>IF(Solar!D38="","",Solar!D38)</f>
        <v>1361.04</v>
      </c>
      <c r="H38" s="20">
        <f t="shared" si="0"/>
        <v>0.18604772012519621</v>
      </c>
      <c r="I38" s="20">
        <f t="shared" si="1"/>
        <v>3.7721773795453051E-2</v>
      </c>
      <c r="J38" s="25">
        <f t="shared" si="2"/>
        <v>4.2927410705175875E-3</v>
      </c>
      <c r="K38" s="19">
        <f t="shared" si="3"/>
        <v>1361.3830823716844</v>
      </c>
      <c r="L38" s="20">
        <f t="shared" si="4"/>
        <v>-4.5726557991426206E-2</v>
      </c>
      <c r="M38" s="20">
        <f t="shared" si="5"/>
        <v>0.13572655799142608</v>
      </c>
      <c r="S38" s="18">
        <v>28</v>
      </c>
      <c r="T38" s="20">
        <f t="shared" si="7"/>
        <v>1.4436187027887645E-3</v>
      </c>
      <c r="U38" s="20">
        <f t="shared" si="8"/>
        <v>7.7534504551449689E-3</v>
      </c>
      <c r="AB38" s="20">
        <f t="shared" si="6"/>
        <v>-3.3994687764337839E-2</v>
      </c>
    </row>
    <row r="39" spans="1:28">
      <c r="A39" s="18" t="str">
        <f>Analysis!A39</f>
        <v>4/1961</v>
      </c>
      <c r="B39" s="19">
        <f>Analysis!B39</f>
        <v>1961.2916666666667</v>
      </c>
      <c r="C39" s="19">
        <f>Analysis!E39</f>
        <v>0.12999999999999901</v>
      </c>
      <c r="D39" s="20">
        <f>Analysis!F39</f>
        <v>0.19029879162659466</v>
      </c>
      <c r="E39" s="19">
        <f>IF(ENSO!F39="","",ENSO!F39)</f>
        <v>0.05</v>
      </c>
      <c r="F39" s="25">
        <f>IF(Volcanic!G39="","",Volcanic!G39)</f>
        <v>3.8500000000000001E-3</v>
      </c>
      <c r="G39" s="19">
        <f>IF(Solar!D39="","",Solar!D39)</f>
        <v>1360.93</v>
      </c>
      <c r="H39" s="20">
        <f t="shared" si="0"/>
        <v>0.19029879162659466</v>
      </c>
      <c r="I39" s="20">
        <f t="shared" si="1"/>
        <v>3.9606705903777961E-2</v>
      </c>
      <c r="J39" s="25">
        <f t="shared" si="2"/>
        <v>4.2573414490567141E-3</v>
      </c>
      <c r="K39" s="19">
        <f t="shared" si="3"/>
        <v>1361.3468559054354</v>
      </c>
      <c r="L39" s="20">
        <f t="shared" si="4"/>
        <v>-3.3844828736418267E-2</v>
      </c>
      <c r="M39" s="20">
        <f t="shared" si="5"/>
        <v>0.16384482873641726</v>
      </c>
      <c r="O39" s="17" t="s">
        <v>2088</v>
      </c>
      <c r="S39" s="18">
        <v>29</v>
      </c>
      <c r="T39" s="20">
        <f t="shared" si="7"/>
        <v>1.221996849620984E-3</v>
      </c>
      <c r="U39" s="20">
        <f t="shared" si="8"/>
        <v>7.1335187853613126E-3</v>
      </c>
      <c r="AB39" s="20">
        <f t="shared" si="6"/>
        <v>-2.2212891101065207E-2</v>
      </c>
    </row>
    <row r="40" spans="1:28">
      <c r="A40" s="18" t="str">
        <f>Analysis!A40</f>
        <v>5/1961</v>
      </c>
      <c r="B40" s="19">
        <f>Analysis!B40</f>
        <v>1961.375</v>
      </c>
      <c r="C40" s="19">
        <f>Analysis!E40</f>
        <v>0.11999999999999744</v>
      </c>
      <c r="D40" s="20">
        <f>Analysis!F40</f>
        <v>0.1952575958242399</v>
      </c>
      <c r="E40" s="19">
        <f>IF(ENSO!F40="","",ENSO!F40)</f>
        <v>0.22</v>
      </c>
      <c r="F40" s="25">
        <f>IF(Volcanic!G40="","",Volcanic!G40)</f>
        <v>3.8899999999999998E-3</v>
      </c>
      <c r="G40" s="19">
        <f>IF(Solar!D40="","",Solar!D40)</f>
        <v>1361.01</v>
      </c>
      <c r="H40" s="20">
        <f t="shared" si="0"/>
        <v>0.1952575958242399</v>
      </c>
      <c r="I40" s="20">
        <f t="shared" si="1"/>
        <v>6.7300373254730123E-2</v>
      </c>
      <c r="J40" s="25">
        <f t="shared" si="2"/>
        <v>4.2279704484664716E-3</v>
      </c>
      <c r="K40" s="19">
        <f t="shared" si="3"/>
        <v>1361.3199223943307</v>
      </c>
      <c r="L40" s="20">
        <f t="shared" si="4"/>
        <v>-1.6427564594208903E-2</v>
      </c>
      <c r="M40" s="20">
        <f t="shared" si="5"/>
        <v>0.13642756459420635</v>
      </c>
      <c r="O40" s="18" t="s">
        <v>2029</v>
      </c>
      <c r="P40" s="19">
        <f>AVERAGEIFS($M$2:$M$823,$B$2:$B$823,"&gt;=2023",$B$2:$B$823,"&lt;2026")</f>
        <v>0.15565484853813841</v>
      </c>
      <c r="S40" s="18">
        <v>30</v>
      </c>
      <c r="T40" s="20">
        <f t="shared" si="7"/>
        <v>1.0343980010780671E-3</v>
      </c>
      <c r="U40" s="20">
        <f t="shared" si="8"/>
        <v>6.5631541151250292E-3</v>
      </c>
      <c r="AB40" s="20">
        <f t="shared" si="6"/>
        <v>-5.1652249090274743E-3</v>
      </c>
    </row>
    <row r="41" spans="1:28">
      <c r="A41" s="18" t="str">
        <f>Analysis!A41</f>
        <v>6/1961</v>
      </c>
      <c r="B41" s="19">
        <f>Analysis!B41</f>
        <v>1961.4583333333333</v>
      </c>
      <c r="C41" s="19">
        <f>Analysis!E41</f>
        <v>0.10999999999999766</v>
      </c>
      <c r="D41" s="20">
        <f>Analysis!F41</f>
        <v>0.19160776805384336</v>
      </c>
      <c r="E41" s="19">
        <f>IF(ENSO!F41="","",ENSO!F41)</f>
        <v>0.22</v>
      </c>
      <c r="F41" s="25">
        <f>IF(Volcanic!G41="","",Volcanic!G41)</f>
        <v>3.96E-3</v>
      </c>
      <c r="G41" s="19">
        <f>IF(Solar!D41="","",Solar!D41)</f>
        <v>1360.82</v>
      </c>
      <c r="H41" s="20">
        <f t="shared" si="0"/>
        <v>0.19160776805384336</v>
      </c>
      <c r="I41" s="20">
        <f t="shared" si="1"/>
        <v>9.0742556562510998E-2</v>
      </c>
      <c r="J41" s="25">
        <f t="shared" si="2"/>
        <v>4.2065447143972918E-3</v>
      </c>
      <c r="K41" s="19">
        <f t="shared" si="3"/>
        <v>1361.2799508066519</v>
      </c>
      <c r="L41" s="20">
        <f t="shared" si="4"/>
        <v>-2.2916465826901065E-2</v>
      </c>
      <c r="M41" s="20">
        <f t="shared" si="5"/>
        <v>0.13291646582689873</v>
      </c>
      <c r="O41" s="18" t="s">
        <v>2030</v>
      </c>
      <c r="P41" s="19">
        <f>AVERAGEIFS($M$2:$M$823,$B$2:$B$823,"&gt;=1959",$B$2:$B$823,"&lt;2023")</f>
        <v>-7.6405605830753148E-3</v>
      </c>
      <c r="S41" s="18">
        <v>31</v>
      </c>
      <c r="T41" s="20">
        <f t="shared" si="7"/>
        <v>8.7559900417596536E-4</v>
      </c>
      <c r="U41" s="20">
        <f t="shared" si="8"/>
        <v>6.0383932859722437E-3</v>
      </c>
      <c r="AB41" s="20">
        <f t="shared" si="6"/>
        <v>-1.1786957705318265E-2</v>
      </c>
    </row>
    <row r="42" spans="1:28">
      <c r="A42" s="18" t="str">
        <f>Analysis!A42</f>
        <v>7/1961</v>
      </c>
      <c r="B42" s="19">
        <f>Analysis!B42</f>
        <v>1961.5416666666667</v>
      </c>
      <c r="C42" s="19">
        <f>Analysis!E42</f>
        <v>1.0000000000001563E-2</v>
      </c>
      <c r="D42" s="20">
        <f>Analysis!F42</f>
        <v>0.18613829900081141</v>
      </c>
      <c r="E42" s="19">
        <f>IF(ENSO!F42="","",ENSO!F42)</f>
        <v>0.08</v>
      </c>
      <c r="F42" s="25">
        <f>IF(Volcanic!G42="","",Volcanic!G42)</f>
        <v>4.0499999999999998E-3</v>
      </c>
      <c r="G42" s="19">
        <f>IF(Solar!D42="","",Solar!D42)</f>
        <v>1360.94</v>
      </c>
      <c r="H42" s="20">
        <f t="shared" si="0"/>
        <v>0.18613829900081141</v>
      </c>
      <c r="I42" s="20">
        <f t="shared" si="1"/>
        <v>8.9093377808769289E-2</v>
      </c>
      <c r="J42" s="25">
        <f t="shared" si="2"/>
        <v>4.1940280901209713E-3</v>
      </c>
      <c r="K42" s="19">
        <f t="shared" si="3"/>
        <v>1361.2527698409087</v>
      </c>
      <c r="L42" s="20">
        <f t="shared" si="4"/>
        <v>-3.7897134231270217E-2</v>
      </c>
      <c r="M42" s="20">
        <f t="shared" si="5"/>
        <v>4.789713423127178E-2</v>
      </c>
      <c r="S42" s="18">
        <v>32</v>
      </c>
      <c r="T42" s="20">
        <f t="shared" si="7"/>
        <v>7.4117855536737546E-4</v>
      </c>
      <c r="U42" s="20">
        <f t="shared" si="8"/>
        <v>5.5555900160939682E-3</v>
      </c>
      <c r="AB42" s="20">
        <f t="shared" si="6"/>
        <v>-2.6619087681853677E-2</v>
      </c>
    </row>
    <row r="43" spans="1:28">
      <c r="A43" s="18" t="str">
        <f>Analysis!A43</f>
        <v>8/1961</v>
      </c>
      <c r="B43" s="19">
        <f>Analysis!B43</f>
        <v>1961.625</v>
      </c>
      <c r="C43" s="19">
        <f>Analysis!E43</f>
        <v>1.0000000000001563E-2</v>
      </c>
      <c r="D43" s="20">
        <f>Analysis!F43</f>
        <v>0.17809996791233229</v>
      </c>
      <c r="E43" s="19">
        <f>IF(ENSO!F43="","",ENSO!F43)</f>
        <v>-0.2</v>
      </c>
      <c r="F43" s="25">
        <f>IF(Volcanic!G43="","",Volcanic!G43)</f>
        <v>4.15E-3</v>
      </c>
      <c r="G43" s="19">
        <f>IF(Solar!D43="","",Solar!D43)</f>
        <v>1361.23</v>
      </c>
      <c r="H43" s="20">
        <f t="shared" si="0"/>
        <v>0.17809996791233229</v>
      </c>
      <c r="I43" s="20">
        <f t="shared" si="1"/>
        <v>4.471226110202102E-2</v>
      </c>
      <c r="J43" s="25">
        <f t="shared" si="2"/>
        <v>4.1905077984025962E-3</v>
      </c>
      <c r="K43" s="19">
        <f t="shared" si="3"/>
        <v>1361.2509492649501</v>
      </c>
      <c r="L43" s="20">
        <f t="shared" si="4"/>
        <v>-6.5885344249895034E-2</v>
      </c>
      <c r="M43" s="20">
        <f t="shared" si="5"/>
        <v>7.5885344249896597E-2</v>
      </c>
      <c r="O43" s="17" t="s">
        <v>1886</v>
      </c>
      <c r="S43" s="18">
        <v>33</v>
      </c>
      <c r="T43" s="20">
        <f t="shared" si="7"/>
        <v>6.2739410199930947E-4</v>
      </c>
      <c r="U43" s="20">
        <f t="shared" si="8"/>
        <v>5.111389564277688E-3</v>
      </c>
      <c r="AB43" s="20">
        <f t="shared" si="6"/>
        <v>-5.3988916986209133E-2</v>
      </c>
    </row>
    <row r="44" spans="1:28">
      <c r="A44" s="18" t="str">
        <f>Analysis!A44</f>
        <v>9/1961</v>
      </c>
      <c r="B44" s="19">
        <f>Analysis!B44</f>
        <v>1961.7083333333333</v>
      </c>
      <c r="C44" s="19">
        <f>Analysis!E44</f>
        <v>8.0000000000000071E-2</v>
      </c>
      <c r="D44" s="20">
        <f>Analysis!F44</f>
        <v>0.16987920087274735</v>
      </c>
      <c r="E44" s="19">
        <f>IF(ENSO!F44="","",ENSO!F44)</f>
        <v>-0.32</v>
      </c>
      <c r="F44" s="25">
        <f>IF(Volcanic!G44="","",Volcanic!G44)</f>
        <v>4.2199999999999998E-3</v>
      </c>
      <c r="G44" s="19">
        <f>IF(Solar!D44="","",Solar!D44)</f>
        <v>1360.78</v>
      </c>
      <c r="H44" s="20">
        <f t="shared" si="0"/>
        <v>0.16987920087274735</v>
      </c>
      <c r="I44" s="20">
        <f t="shared" si="1"/>
        <v>-1.1277736133605214E-2</v>
      </c>
      <c r="J44" s="25">
        <f t="shared" si="2"/>
        <v>4.1928658646451867E-3</v>
      </c>
      <c r="K44" s="19">
        <f t="shared" si="3"/>
        <v>1361.2132942407911</v>
      </c>
      <c r="L44" s="20">
        <f t="shared" si="4"/>
        <v>-9.6025090989850515E-2</v>
      </c>
      <c r="M44" s="20">
        <f t="shared" si="5"/>
        <v>0.17602509098985059</v>
      </c>
      <c r="O44" s="29" t="s">
        <v>2089</v>
      </c>
      <c r="S44" s="18">
        <v>34</v>
      </c>
      <c r="T44" s="20">
        <f t="shared" si="7"/>
        <v>5.3107764164657346E-4</v>
      </c>
      <c r="U44" s="20">
        <f t="shared" si="8"/>
        <v>4.7027054196082966E-3</v>
      </c>
      <c r="AB44" s="20">
        <f t="shared" si="6"/>
        <v>-8.3396199954272693E-2</v>
      </c>
    </row>
    <row r="45" spans="1:28">
      <c r="A45" s="18" t="str">
        <f>Analysis!A45</f>
        <v>10/1961</v>
      </c>
      <c r="B45" s="19">
        <f>Analysis!B45</f>
        <v>1961.7916666666667</v>
      </c>
      <c r="C45" s="19">
        <f>Analysis!E45</f>
        <v>0</v>
      </c>
      <c r="D45" s="20">
        <f>Analysis!F45</f>
        <v>0.17134409839059492</v>
      </c>
      <c r="E45" s="19">
        <f>IF(ENSO!F45="","",ENSO!F45)</f>
        <v>-0.22</v>
      </c>
      <c r="F45" s="25">
        <f>IF(Volcanic!G45="","",Volcanic!G45)</f>
        <v>4.3E-3</v>
      </c>
      <c r="G45" s="19">
        <f>IF(Solar!D45="","",Solar!D45)</f>
        <v>1361.02</v>
      </c>
      <c r="H45" s="20">
        <f t="shared" si="0"/>
        <v>0.17134409839059492</v>
      </c>
      <c r="I45" s="20">
        <f t="shared" si="1"/>
        <v>-4.3320418059300238E-2</v>
      </c>
      <c r="J45" s="25">
        <f t="shared" si="2"/>
        <v>4.2014318371506624E-3</v>
      </c>
      <c r="K45" s="19">
        <f t="shared" si="3"/>
        <v>1361.1978392866199</v>
      </c>
      <c r="L45" s="20">
        <f t="shared" si="4"/>
        <v>-9.6614706845572662E-2</v>
      </c>
      <c r="M45" s="20">
        <f t="shared" si="5"/>
        <v>9.6614706845572662E-2</v>
      </c>
      <c r="O45" s="29" t="s">
        <v>2090</v>
      </c>
      <c r="S45" s="18">
        <v>35</v>
      </c>
      <c r="T45" s="20">
        <f t="shared" si="7"/>
        <v>4.4954751815183091E-4</v>
      </c>
      <c r="U45" s="20">
        <f t="shared" si="8"/>
        <v>4.326697854957662E-3</v>
      </c>
      <c r="AB45" s="20">
        <f t="shared" si="6"/>
        <v>-8.3712864790825348E-2</v>
      </c>
    </row>
    <row r="46" spans="1:28">
      <c r="A46" s="18" t="str">
        <f>Analysis!A46</f>
        <v>11/1961</v>
      </c>
      <c r="B46" s="19">
        <f>Analysis!B46</f>
        <v>1961.875</v>
      </c>
      <c r="C46" s="19">
        <f>Analysis!E46</f>
        <v>2.9999999999997584E-2</v>
      </c>
      <c r="D46" s="20">
        <f>Analysis!F46</f>
        <v>0.17495420807216977</v>
      </c>
      <c r="E46" s="19">
        <f>IF(ENSO!F46="","",ENSO!F46)</f>
        <v>-0.11</v>
      </c>
      <c r="F46" s="25">
        <f>IF(Volcanic!G46="","",Volcanic!G46)</f>
        <v>4.2199999999999998E-3</v>
      </c>
      <c r="G46" s="19">
        <f>IF(Solar!D46="","",Solar!D46)</f>
        <v>1360.89</v>
      </c>
      <c r="H46" s="20">
        <f t="shared" si="0"/>
        <v>0.17495420807216977</v>
      </c>
      <c r="I46" s="20">
        <f t="shared" si="1"/>
        <v>-5.355695246385142E-2</v>
      </c>
      <c r="J46" s="25">
        <f t="shared" si="2"/>
        <v>4.2029164654805396E-3</v>
      </c>
      <c r="K46" s="19">
        <f t="shared" si="3"/>
        <v>1361.1732258162581</v>
      </c>
      <c r="L46" s="20">
        <f t="shared" si="4"/>
        <v>-8.8301968386080454E-2</v>
      </c>
      <c r="M46" s="20">
        <f t="shared" si="5"/>
        <v>0.11830196838607804</v>
      </c>
      <c r="O46" s="29" t="s">
        <v>2091</v>
      </c>
      <c r="S46" s="18">
        <v>36</v>
      </c>
      <c r="T46" s="20">
        <f t="shared" si="7"/>
        <v>3.8053375858545656E-4</v>
      </c>
      <c r="U46" s="20">
        <f t="shared" si="8"/>
        <v>3.980754195242471E-3</v>
      </c>
      <c r="AB46" s="20">
        <f t="shared" si="6"/>
        <v>-7.5385070065281445E-2</v>
      </c>
    </row>
    <row r="47" spans="1:28">
      <c r="A47" s="18" t="str">
        <f>Analysis!A47</f>
        <v>12/1961</v>
      </c>
      <c r="B47" s="19">
        <f>Analysis!B47</f>
        <v>1961.9583333333333</v>
      </c>
      <c r="C47" s="19">
        <f>Analysis!E47</f>
        <v>-0.16000000000000014</v>
      </c>
      <c r="D47" s="20">
        <f>Analysis!F47</f>
        <v>0.17910152336118931</v>
      </c>
      <c r="E47" s="19">
        <f>IF(ENSO!F47="","",ENSO!F47)</f>
        <v>-0.05</v>
      </c>
      <c r="F47" s="25">
        <f>IF(Volcanic!G47="","",Volcanic!G47)</f>
        <v>4.1099999999999999E-3</v>
      </c>
      <c r="G47" s="19">
        <f>IF(Solar!D47="","",Solar!D47)</f>
        <v>1360.91</v>
      </c>
      <c r="H47" s="20">
        <f t="shared" si="0"/>
        <v>0.17910152336118931</v>
      </c>
      <c r="I47" s="20">
        <f t="shared" si="1"/>
        <v>-5.3010895256954876E-2</v>
      </c>
      <c r="J47" s="25">
        <f t="shared" si="2"/>
        <v>4.1954872750924691E-3</v>
      </c>
      <c r="K47" s="19">
        <f t="shared" si="3"/>
        <v>1361.1521794420346</v>
      </c>
      <c r="L47" s="20">
        <f t="shared" si="4"/>
        <v>-7.6984643603855415E-2</v>
      </c>
      <c r="M47" s="20">
        <f t="shared" si="5"/>
        <v>-8.3015356396144727E-2</v>
      </c>
      <c r="O47" s="29" t="s">
        <v>2092</v>
      </c>
      <c r="AB47" s="20">
        <f t="shared" si="6"/>
        <v>-6.416552937744624E-2</v>
      </c>
    </row>
    <row r="48" spans="1:28">
      <c r="A48" s="18" t="str">
        <f>Analysis!A48</f>
        <v>1/1962</v>
      </c>
      <c r="B48" s="19">
        <f>Analysis!B48</f>
        <v>1962.0416666666667</v>
      </c>
      <c r="C48" s="19">
        <f>Analysis!E48</f>
        <v>5.0000000000004263E-2</v>
      </c>
      <c r="D48" s="20">
        <f>Analysis!F48</f>
        <v>0.18332770604480075</v>
      </c>
      <c r="E48" s="19">
        <f>IF(ENSO!F48="","",ENSO!F48)</f>
        <v>-0.16</v>
      </c>
      <c r="F48" s="25">
        <f>IF(Volcanic!G48="","",Volcanic!G48)</f>
        <v>4.0099999999999997E-3</v>
      </c>
      <c r="G48" s="19">
        <f>IF(Solar!D48="","",Solar!D48)</f>
        <v>1360.76</v>
      </c>
      <c r="H48" s="20">
        <f t="shared" si="0"/>
        <v>0.18332770604480075</v>
      </c>
      <c r="I48" s="20">
        <f t="shared" si="1"/>
        <v>-6.9435678072604576E-2</v>
      </c>
      <c r="J48" s="25">
        <f t="shared" si="2"/>
        <v>4.1806565314336389E-3</v>
      </c>
      <c r="K48" s="19">
        <f t="shared" si="3"/>
        <v>1361.1208225051762</v>
      </c>
      <c r="L48" s="20">
        <f t="shared" si="4"/>
        <v>-6.7823880311995516E-2</v>
      </c>
      <c r="M48" s="20">
        <f t="shared" si="5"/>
        <v>0.11782388031199978</v>
      </c>
      <c r="O48" s="29" t="s">
        <v>2093</v>
      </c>
      <c r="AB48" s="20">
        <f t="shared" si="6"/>
        <v>-5.4936199230277302E-2</v>
      </c>
    </row>
    <row r="49" spans="1:28">
      <c r="A49" s="18" t="str">
        <f>Analysis!A49</f>
        <v>2/1962</v>
      </c>
      <c r="B49" s="19">
        <f>Analysis!B49</f>
        <v>1962.125</v>
      </c>
      <c r="C49" s="19">
        <f>Analysis!E49</f>
        <v>0.14999999999999858</v>
      </c>
      <c r="D49" s="20">
        <f>Analysis!F49</f>
        <v>0.18609301027387254</v>
      </c>
      <c r="E49" s="19">
        <f>IF(ENSO!F49="","",ENSO!F49)</f>
        <v>-0.17</v>
      </c>
      <c r="F49" s="25">
        <f>IF(Volcanic!G49="","",Volcanic!G49)</f>
        <v>3.8899999999999998E-3</v>
      </c>
      <c r="G49" s="19">
        <f>IF(Solar!D49="","",Solar!D49)</f>
        <v>1360.67</v>
      </c>
      <c r="H49" s="20">
        <f t="shared" si="0"/>
        <v>0.18609301027387254</v>
      </c>
      <c r="I49" s="20">
        <f t="shared" si="1"/>
        <v>-8.4874139312443309E-2</v>
      </c>
      <c r="J49" s="25">
        <f t="shared" si="2"/>
        <v>4.1574169183210517E-3</v>
      </c>
      <c r="K49" s="19">
        <f t="shared" si="3"/>
        <v>1361.0847767278765</v>
      </c>
      <c r="L49" s="20">
        <f t="shared" si="4"/>
        <v>-6.2445869770606031E-2</v>
      </c>
      <c r="M49" s="20">
        <f t="shared" si="5"/>
        <v>0.21244586977060462</v>
      </c>
      <c r="O49" s="29" t="s">
        <v>2094</v>
      </c>
      <c r="AB49" s="20">
        <f t="shared" si="6"/>
        <v>-4.9461393604070217E-2</v>
      </c>
    </row>
    <row r="50" spans="1:28">
      <c r="A50" s="18" t="str">
        <f>Analysis!A50</f>
        <v>3/1962</v>
      </c>
      <c r="B50" s="19">
        <f>Analysis!B50</f>
        <v>1962.2083333333333</v>
      </c>
      <c r="C50" s="19">
        <f>Analysis!E50</f>
        <v>9.9999999999997868E-2</v>
      </c>
      <c r="D50" s="20">
        <f>Analysis!F50</f>
        <v>0.19120166107272715</v>
      </c>
      <c r="E50" s="19">
        <f>IF(ENSO!F50="","",ENSO!F50)</f>
        <v>-0.15</v>
      </c>
      <c r="F50" s="25">
        <f>IF(Volcanic!G50="","",Volcanic!G50)</f>
        <v>3.82E-3</v>
      </c>
      <c r="G50" s="19">
        <f>IF(Solar!D50="","",Solar!D50)</f>
        <v>1360.96</v>
      </c>
      <c r="H50" s="20">
        <f t="shared" si="0"/>
        <v>0.19120166107272715</v>
      </c>
      <c r="I50" s="20">
        <f t="shared" si="1"/>
        <v>-9.4872149110211162E-2</v>
      </c>
      <c r="J50" s="25">
        <f t="shared" si="2"/>
        <v>4.1304385511027218E-3</v>
      </c>
      <c r="K50" s="19">
        <f t="shared" si="3"/>
        <v>1361.0748001315585</v>
      </c>
      <c r="L50" s="20">
        <f t="shared" si="4"/>
        <v>-4.9950597354483456E-2</v>
      </c>
      <c r="M50" s="20">
        <f t="shared" si="5"/>
        <v>0.14995059735448132</v>
      </c>
      <c r="O50" s="29" t="s">
        <v>2095</v>
      </c>
      <c r="AB50" s="20">
        <f t="shared" si="6"/>
        <v>-3.6974590199850332E-2</v>
      </c>
    </row>
    <row r="51" spans="1:28">
      <c r="A51" s="18" t="str">
        <f>Analysis!A51</f>
        <v>4/1962</v>
      </c>
      <c r="B51" s="19">
        <f>Analysis!B51</f>
        <v>1962.2916666666667</v>
      </c>
      <c r="C51" s="19">
        <f>Analysis!E51</f>
        <v>5.0000000000004263E-2</v>
      </c>
      <c r="D51" s="20">
        <f>Analysis!F51</f>
        <v>0.19521259246961153</v>
      </c>
      <c r="E51" s="19">
        <f>IF(ENSO!F51="","",ENSO!F51)</f>
        <v>-0.2</v>
      </c>
      <c r="F51" s="25">
        <f>IF(Volcanic!G51="","",Volcanic!G51)</f>
        <v>3.8500000000000001E-3</v>
      </c>
      <c r="G51" s="19">
        <f>IF(Solar!D51="","",Solar!D51)</f>
        <v>1360.85</v>
      </c>
      <c r="H51" s="20">
        <f t="shared" si="0"/>
        <v>0.19521259246961153</v>
      </c>
      <c r="I51" s="20">
        <f t="shared" si="1"/>
        <v>-0.11101119544476827</v>
      </c>
      <c r="J51" s="25">
        <f t="shared" si="2"/>
        <v>4.1080159225887992E-3</v>
      </c>
      <c r="K51" s="19">
        <f t="shared" si="3"/>
        <v>1361.0568261054484</v>
      </c>
      <c r="L51" s="20">
        <f t="shared" si="4"/>
        <v>-4.1305833029404146E-2</v>
      </c>
      <c r="M51" s="20">
        <f t="shared" si="5"/>
        <v>9.1305833029408409E-2</v>
      </c>
      <c r="O51" s="29" t="s">
        <v>2096</v>
      </c>
      <c r="AB51" s="20">
        <f t="shared" si="6"/>
        <v>-2.8255453928767535E-2</v>
      </c>
    </row>
    <row r="52" spans="1:28">
      <c r="A52" s="18" t="str">
        <f>Analysis!A52</f>
        <v>5/1962</v>
      </c>
      <c r="B52" s="19">
        <f>Analysis!B52</f>
        <v>1962.375</v>
      </c>
      <c r="C52" s="19">
        <f>Analysis!E52</f>
        <v>-6.0000000000000497E-2</v>
      </c>
      <c r="D52" s="20">
        <f>Analysis!F52</f>
        <v>0.19723635491870628</v>
      </c>
      <c r="E52" s="19">
        <f>IF(ENSO!F52="","",ENSO!F52)</f>
        <v>-0.19</v>
      </c>
      <c r="F52" s="25">
        <f>IF(Volcanic!G52="","",Volcanic!G52)</f>
        <v>3.8899999999999998E-3</v>
      </c>
      <c r="G52" s="19">
        <f>IF(Solar!D52="","",Solar!D52)</f>
        <v>1360.84</v>
      </c>
      <c r="H52" s="20">
        <f t="shared" si="0"/>
        <v>0.19723635491870628</v>
      </c>
      <c r="I52" s="20">
        <f t="shared" si="1"/>
        <v>-0.12313742047303984</v>
      </c>
      <c r="J52" s="25">
        <f t="shared" si="2"/>
        <v>4.0905843318780836E-3</v>
      </c>
      <c r="K52" s="19">
        <f t="shared" si="3"/>
        <v>1361.0394896472637</v>
      </c>
      <c r="L52" s="20">
        <f t="shared" si="4"/>
        <v>-3.7485357465595018E-2</v>
      </c>
      <c r="M52" s="20">
        <f t="shared" si="5"/>
        <v>-2.251464253440548E-2</v>
      </c>
      <c r="O52" s="18" t="s">
        <v>2097</v>
      </c>
      <c r="P52" s="20">
        <f>INDEX(LINEST($C$9:$C$455,$H$9:$J$455),1,4)</f>
        <v>-0.5211553820514726</v>
      </c>
      <c r="AB52" s="20">
        <f t="shared" si="6"/>
        <v>-2.4355907410392483E-2</v>
      </c>
    </row>
    <row r="53" spans="1:28">
      <c r="A53" s="18" t="str">
        <f>Analysis!A53</f>
        <v>6/1962</v>
      </c>
      <c r="B53" s="19">
        <f>Analysis!B53</f>
        <v>1962.4583333333333</v>
      </c>
      <c r="C53" s="19">
        <f>Analysis!E53</f>
        <v>2.9999999999997584E-2</v>
      </c>
      <c r="D53" s="20">
        <f>Analysis!F53</f>
        <v>0.19543759520574477</v>
      </c>
      <c r="E53" s="19">
        <f>IF(ENSO!F53="","",ENSO!F53)</f>
        <v>-0.13</v>
      </c>
      <c r="F53" s="25">
        <f>IF(Volcanic!G53="","",Volcanic!G53)</f>
        <v>3.9699999999999996E-3</v>
      </c>
      <c r="G53" s="19">
        <f>IF(Solar!D53="","",Solar!D53)</f>
        <v>1360.93</v>
      </c>
      <c r="H53" s="20">
        <f t="shared" si="0"/>
        <v>0.19543759520574477</v>
      </c>
      <c r="I53" s="20">
        <f t="shared" si="1"/>
        <v>-0.12419095184481975</v>
      </c>
      <c r="J53" s="25">
        <f t="shared" si="2"/>
        <v>4.0809429410362391E-3</v>
      </c>
      <c r="K53" s="19">
        <f t="shared" si="3"/>
        <v>1361.0307353384246</v>
      </c>
      <c r="L53" s="20">
        <f t="shared" si="4"/>
        <v>-4.246548477914959E-2</v>
      </c>
      <c r="M53" s="20">
        <f t="shared" si="5"/>
        <v>7.2465484779147174E-2</v>
      </c>
      <c r="O53" s="18" t="s">
        <v>2098</v>
      </c>
      <c r="P53" s="20">
        <f>INDEX(LINEST($C$9:$C$455,$H$9:$J$455),1,3)</f>
        <v>2.6810256201120004</v>
      </c>
      <c r="AB53" s="20">
        <f t="shared" si="6"/>
        <v>-2.927960833292733E-2</v>
      </c>
    </row>
    <row r="54" spans="1:28">
      <c r="A54" s="18" t="str">
        <f>Analysis!A54</f>
        <v>7/1962</v>
      </c>
      <c r="B54" s="19">
        <f>Analysis!B54</f>
        <v>1962.5416666666667</v>
      </c>
      <c r="C54" s="19">
        <f>Analysis!E54</f>
        <v>2.0000000000003126E-2</v>
      </c>
      <c r="D54" s="20">
        <f>Analysis!F54</f>
        <v>0.19088572103529255</v>
      </c>
      <c r="E54" s="19">
        <f>IF(ENSO!F54="","",ENSO!F54)</f>
        <v>0</v>
      </c>
      <c r="F54" s="25">
        <f>IF(Volcanic!G54="","",Volcanic!G54)</f>
        <v>4.0499999999999998E-3</v>
      </c>
      <c r="G54" s="19">
        <f>IF(Solar!D54="","",Solar!D54)</f>
        <v>1360.8</v>
      </c>
      <c r="H54" s="20">
        <f t="shared" si="0"/>
        <v>0.19088572103529255</v>
      </c>
      <c r="I54" s="20">
        <f t="shared" si="1"/>
        <v>-0.10512537113341022</v>
      </c>
      <c r="J54" s="25">
        <f t="shared" si="2"/>
        <v>4.0784688800725964E-3</v>
      </c>
      <c r="K54" s="19">
        <f t="shared" si="3"/>
        <v>1361.0122867593752</v>
      </c>
      <c r="L54" s="20">
        <f t="shared" si="4"/>
        <v>-5.2075598084158521E-2</v>
      </c>
      <c r="M54" s="20">
        <f t="shared" si="5"/>
        <v>7.2075598084161641E-2</v>
      </c>
      <c r="O54" s="18" t="s">
        <v>2099</v>
      </c>
      <c r="P54" s="25">
        <f>INDEX(LINEST($C$9:$C$455,$H$9:$J$455),1,2)</f>
        <v>0.13141775720214585</v>
      </c>
      <c r="AB54" s="20">
        <f t="shared" si="6"/>
        <v>-3.8968179266735015E-2</v>
      </c>
    </row>
    <row r="55" spans="1:28">
      <c r="A55" s="18" t="str">
        <f>Analysis!A55</f>
        <v>8/1962</v>
      </c>
      <c r="B55" s="19">
        <f>Analysis!B55</f>
        <v>1962.625</v>
      </c>
      <c r="C55" s="19">
        <f>Analysis!E55</f>
        <v>-9.9999999999980105E-3</v>
      </c>
      <c r="D55" s="20">
        <f>Analysis!F55</f>
        <v>0.18087530100285296</v>
      </c>
      <c r="E55" s="19">
        <f>IF(ENSO!F55="","",ENSO!F55)</f>
        <v>-0.1</v>
      </c>
      <c r="F55" s="25">
        <f>IF(Volcanic!G55="","",Volcanic!G55)</f>
        <v>4.1599999999999996E-3</v>
      </c>
      <c r="G55" s="19">
        <f>IF(Solar!D55="","",Solar!D55)</f>
        <v>1360.76</v>
      </c>
      <c r="H55" s="20">
        <f t="shared" si="0"/>
        <v>0.18087530100285296</v>
      </c>
      <c r="I55" s="20">
        <f t="shared" si="1"/>
        <v>-0.10433853299771365</v>
      </c>
      <c r="J55" s="25">
        <f t="shared" si="2"/>
        <v>4.0849877484923185E-3</v>
      </c>
      <c r="K55" s="19">
        <f t="shared" si="3"/>
        <v>1360.9921150238481</v>
      </c>
      <c r="L55" s="20">
        <f t="shared" si="4"/>
        <v>-7.9056590419182352E-2</v>
      </c>
      <c r="M55" s="20">
        <f t="shared" si="5"/>
        <v>6.9056590419184341E-2</v>
      </c>
      <c r="O55" s="18" t="s">
        <v>2100</v>
      </c>
      <c r="P55" s="19">
        <f>INDEX(LINEST($C$9:$C$455,$H$9:$J$455),1,1)</f>
        <v>-3.865903060355671</v>
      </c>
      <c r="AB55" s="20">
        <f t="shared" si="6"/>
        <v>-6.5728168652087499E-2</v>
      </c>
    </row>
    <row r="56" spans="1:28">
      <c r="A56" s="18" t="str">
        <f>Analysis!A56</f>
        <v>9/1962</v>
      </c>
      <c r="B56" s="19">
        <f>Analysis!B56</f>
        <v>1962.7083333333333</v>
      </c>
      <c r="C56" s="19">
        <f>Analysis!E56</f>
        <v>0</v>
      </c>
      <c r="D56" s="20">
        <f>Analysis!F56</f>
        <v>0.17559303309992255</v>
      </c>
      <c r="E56" s="19">
        <f>IF(ENSO!F56="","",ENSO!F56)</f>
        <v>-0.16</v>
      </c>
      <c r="F56" s="25">
        <f>IF(Volcanic!G56="","",Volcanic!G56)</f>
        <v>4.2300000000000003E-3</v>
      </c>
      <c r="G56" s="19">
        <f>IF(Solar!D56="","",Solar!D56)</f>
        <v>1360.64</v>
      </c>
      <c r="H56" s="20">
        <f t="shared" si="0"/>
        <v>0.17559303309992255</v>
      </c>
      <c r="I56" s="20">
        <f t="shared" si="1"/>
        <v>-0.11288358540196264</v>
      </c>
      <c r="J56" s="25">
        <f t="shared" si="2"/>
        <v>4.0965822879475353E-3</v>
      </c>
      <c r="K56" s="19">
        <f t="shared" si="3"/>
        <v>1360.9639614609987</v>
      </c>
      <c r="L56" s="20">
        <f t="shared" si="4"/>
        <v>-9.4585980965877808E-2</v>
      </c>
      <c r="M56" s="20">
        <f t="shared" si="5"/>
        <v>9.4585980965877808E-2</v>
      </c>
      <c r="O56" s="18" t="s">
        <v>2101</v>
      </c>
      <c r="P56" s="20">
        <f>INDEX(LINEST($C$9:$C$455,$H$9:$J$455,TRUE(),TRUE()),3,1)</f>
        <v>0.66408184661562464</v>
      </c>
      <c r="AB56" s="20">
        <f t="shared" si="6"/>
        <v>-8.105785921984375E-2</v>
      </c>
    </row>
    <row r="57" spans="1:28">
      <c r="A57" s="18" t="str">
        <f>Analysis!A57</f>
        <v>10/1962</v>
      </c>
      <c r="B57" s="19">
        <f>Analysis!B57</f>
        <v>1962.7916666666667</v>
      </c>
      <c r="C57" s="19">
        <f>Analysis!E57</f>
        <v>1.0000000000001563E-2</v>
      </c>
      <c r="D57" s="20">
        <f>Analysis!F57</f>
        <v>0.17184731357334099</v>
      </c>
      <c r="E57" s="19">
        <f>IF(ENSO!F57="","",ENSO!F57)</f>
        <v>-0.25</v>
      </c>
      <c r="F57" s="25">
        <f>IF(Volcanic!G57="","",Volcanic!G57)</f>
        <v>4.3E-3</v>
      </c>
      <c r="G57" s="19">
        <f>IF(Solar!D57="","",Solar!D57)</f>
        <v>1360.8</v>
      </c>
      <c r="H57" s="20">
        <f t="shared" si="0"/>
        <v>0.17184731357334099</v>
      </c>
      <c r="I57" s="20">
        <f t="shared" si="1"/>
        <v>-0.13393346086023675</v>
      </c>
      <c r="J57" s="25">
        <f t="shared" si="2"/>
        <v>4.1128466701894541E-3</v>
      </c>
      <c r="K57" s="19">
        <f t="shared" si="3"/>
        <v>1360.9508518264063</v>
      </c>
      <c r="L57" s="20">
        <f t="shared" si="4"/>
        <v>-0.10774081211223432</v>
      </c>
      <c r="M57" s="20">
        <f t="shared" si="5"/>
        <v>0.11774081211223589</v>
      </c>
      <c r="O57" s="18" t="s">
        <v>2102</v>
      </c>
      <c r="P57" s="20">
        <f>1-SUMXMY2($C$456:$C$815,$AB$456:$AB$815)/DEVSQ($C$456:$C$815)</f>
        <v>0.77832880625708811</v>
      </c>
      <c r="AB57" s="20">
        <f t="shared" si="6"/>
        <v>-9.392943318355744E-2</v>
      </c>
    </row>
    <row r="58" spans="1:28">
      <c r="A58" s="18" t="str">
        <f>Analysis!A58</f>
        <v>11/1962</v>
      </c>
      <c r="B58" s="19">
        <f>Analysis!B58</f>
        <v>1962.875</v>
      </c>
      <c r="C58" s="19">
        <f>Analysis!E58</f>
        <v>5.9999999999998721E-2</v>
      </c>
      <c r="D58" s="20">
        <f>Analysis!F58</f>
        <v>0.17764448548104073</v>
      </c>
      <c r="E58" s="19">
        <f>IF(ENSO!F58="","",ENSO!F58)</f>
        <v>-0.25</v>
      </c>
      <c r="F58" s="25">
        <f>IF(Volcanic!G58="","",Volcanic!G58)</f>
        <v>4.2300000000000003E-3</v>
      </c>
      <c r="G58" s="19">
        <f>IF(Solar!D58="","",Solar!D58)</f>
        <v>1360.76</v>
      </c>
      <c r="H58" s="20">
        <f t="shared" si="0"/>
        <v>0.17764448548104073</v>
      </c>
      <c r="I58" s="20">
        <f t="shared" si="1"/>
        <v>-0.15175179574688924</v>
      </c>
      <c r="J58" s="25">
        <f t="shared" si="2"/>
        <v>4.1222137332525798E-3</v>
      </c>
      <c r="K58" s="19">
        <f t="shared" si="3"/>
        <v>1360.9355921569068</v>
      </c>
      <c r="L58" s="20">
        <f t="shared" si="4"/>
        <v>-9.461056821122843E-2</v>
      </c>
      <c r="M58" s="20">
        <f t="shared" si="5"/>
        <v>0.15461056821122715</v>
      </c>
      <c r="O58" s="18" t="s">
        <v>2103</v>
      </c>
      <c r="P58" s="19">
        <f>AVERAGE($C$456:$C$815)-AVERAGE($AB$456:$AB$815)</f>
        <v>-8.8948210816812701E-3</v>
      </c>
      <c r="AB58" s="20">
        <f t="shared" si="6"/>
        <v>-8.0764924540463759E-2</v>
      </c>
    </row>
    <row r="59" spans="1:28">
      <c r="A59" s="18" t="str">
        <f>Analysis!A59</f>
        <v>12/1962</v>
      </c>
      <c r="B59" s="19">
        <f>Analysis!B59</f>
        <v>1962.9583333333333</v>
      </c>
      <c r="C59" s="19">
        <f>Analysis!E59</f>
        <v>-2.9999999999999361E-2</v>
      </c>
      <c r="D59" s="20">
        <f>Analysis!F59</f>
        <v>0.18223826288116377</v>
      </c>
      <c r="E59" s="19">
        <f>IF(ENSO!F59="","",ENSO!F59)</f>
        <v>-0.32</v>
      </c>
      <c r="F59" s="25">
        <f>IF(Volcanic!G59="","",Volcanic!G59)</f>
        <v>4.1099999999999999E-3</v>
      </c>
      <c r="G59" s="19">
        <f>IF(Solar!D59="","",Solar!D59)</f>
        <v>1360.8</v>
      </c>
      <c r="H59" s="20">
        <f t="shared" si="0"/>
        <v>0.18223826288116377</v>
      </c>
      <c r="I59" s="20">
        <f t="shared" si="1"/>
        <v>-0.17758096985407842</v>
      </c>
      <c r="J59" s="25">
        <f t="shared" si="2"/>
        <v>4.1212371770608085E-3</v>
      </c>
      <c r="K59" s="19">
        <f t="shared" si="3"/>
        <v>1360.9247508066296</v>
      </c>
      <c r="L59" s="20">
        <f t="shared" si="4"/>
        <v>-8.5829920388542147E-2</v>
      </c>
      <c r="M59" s="20">
        <f t="shared" si="5"/>
        <v>5.5829920388542786E-2</v>
      </c>
      <c r="O59" s="18" t="s">
        <v>2104</v>
      </c>
      <c r="P59" s="19">
        <f>AVERAGE($C$780:$C$815)-AVERAGE($AB$780:$AB$815)</f>
        <v>0.1611181812346103</v>
      </c>
      <c r="AB59" s="20">
        <f t="shared" si="6"/>
        <v>-7.1839526497622569E-2</v>
      </c>
    </row>
    <row r="60" spans="1:28">
      <c r="A60" s="18" t="str">
        <f>Analysis!A60</f>
        <v>1/1963</v>
      </c>
      <c r="B60" s="19">
        <f>Analysis!B60</f>
        <v>1963.0416666666667</v>
      </c>
      <c r="C60" s="19">
        <f>Analysis!E60</f>
        <v>-2.9999999999999361E-2</v>
      </c>
      <c r="D60" s="20">
        <f>Analysis!F60</f>
        <v>0.18695325307037156</v>
      </c>
      <c r="E60" s="19">
        <f>IF(ENSO!F60="","",ENSO!F60)</f>
        <v>-0.33</v>
      </c>
      <c r="F60" s="25">
        <f>IF(Volcanic!G60="","",Volcanic!G60)</f>
        <v>4.0200000000000001E-3</v>
      </c>
      <c r="G60" s="19">
        <f>IF(Solar!D60="","",Solar!D60)</f>
        <v>1360.71</v>
      </c>
      <c r="H60" s="20">
        <f t="shared" si="0"/>
        <v>0.18695325307037156</v>
      </c>
      <c r="I60" s="20">
        <f t="shared" si="1"/>
        <v>-0.2009800764559258</v>
      </c>
      <c r="J60" s="25">
        <f t="shared" si="2"/>
        <v>4.1131426993076363E-3</v>
      </c>
      <c r="K60" s="19">
        <f t="shared" si="3"/>
        <v>1360.9075802801767</v>
      </c>
      <c r="L60" s="20">
        <f t="shared" si="4"/>
        <v>-7.635441191344261E-2</v>
      </c>
      <c r="M60" s="20">
        <f t="shared" si="5"/>
        <v>4.635441191344325E-2</v>
      </c>
      <c r="O60" s="18" t="s">
        <v>2105</v>
      </c>
      <c r="P60" s="20">
        <f>INDEX(LINEST($C$456:$C$815,$H$456:$J$815),1,3)</f>
        <v>2.5540921650194544</v>
      </c>
      <c r="AB60" s="20">
        <f t="shared" si="6"/>
        <v>-6.2242282645610519E-2</v>
      </c>
    </row>
    <row r="61" spans="1:28">
      <c r="A61" s="18" t="str">
        <f>Analysis!A61</f>
        <v>2/1963</v>
      </c>
      <c r="B61" s="19">
        <f>Analysis!B61</f>
        <v>1963.125</v>
      </c>
      <c r="C61" s="19">
        <f>Analysis!E61</f>
        <v>0.17999999999999972</v>
      </c>
      <c r="D61" s="20">
        <f>Analysis!F61</f>
        <v>0.18844614093972484</v>
      </c>
      <c r="E61" s="19">
        <f>IF(ENSO!F61="","",ENSO!F61)</f>
        <v>-0.17</v>
      </c>
      <c r="F61" s="25">
        <f>IF(Volcanic!G61="","",Volcanic!G61)</f>
        <v>3.8899999999999998E-3</v>
      </c>
      <c r="G61" s="19">
        <f>IF(Solar!D61="","",Solar!D61)</f>
        <v>1360.8</v>
      </c>
      <c r="H61" s="20">
        <f t="shared" si="0"/>
        <v>0.18844614093972484</v>
      </c>
      <c r="I61" s="20">
        <f t="shared" si="1"/>
        <v>-0.19622406855565516</v>
      </c>
      <c r="J61" s="25">
        <f t="shared" si="2"/>
        <v>4.0953011941633017E-3</v>
      </c>
      <c r="K61" s="19">
        <f t="shared" si="3"/>
        <v>1360.8989786359009</v>
      </c>
      <c r="L61" s="20">
        <f t="shared" si="4"/>
        <v>-7.158568578536588E-2</v>
      </c>
      <c r="M61" s="20">
        <f t="shared" si="5"/>
        <v>0.25158568578536561</v>
      </c>
      <c r="AB61" s="20">
        <f t="shared" si="6"/>
        <v>-5.7545814599091846E-2</v>
      </c>
    </row>
    <row r="62" spans="1:28">
      <c r="A62" s="18" t="str">
        <f>Analysis!A62</f>
        <v>3/1963</v>
      </c>
      <c r="B62" s="19">
        <f>Analysis!B62</f>
        <v>1963.2083333333333</v>
      </c>
      <c r="C62" s="19">
        <f>Analysis!E62</f>
        <v>-0.13999999999999879</v>
      </c>
      <c r="D62" s="20">
        <f>Analysis!F62</f>
        <v>0.19201376075129936</v>
      </c>
      <c r="E62" s="19">
        <f>IF(ENSO!F62="","",ENSO!F62)</f>
        <v>0.01</v>
      </c>
      <c r="F62" s="25">
        <f>IF(Volcanic!G62="","",Volcanic!G62)</f>
        <v>5.0600000000000003E-3</v>
      </c>
      <c r="G62" s="19">
        <f>IF(Solar!D62="","",Solar!D62)</f>
        <v>1360.78</v>
      </c>
      <c r="H62" s="20">
        <f t="shared" si="0"/>
        <v>0.19201376075129936</v>
      </c>
      <c r="I62" s="20">
        <f t="shared" si="1"/>
        <v>-0.16456490526495124</v>
      </c>
      <c r="J62" s="25">
        <f t="shared" si="2"/>
        <v>4.172434251890368E-3</v>
      </c>
      <c r="K62" s="19">
        <f t="shared" si="3"/>
        <v>1360.8894656294208</v>
      </c>
      <c r="L62" s="20">
        <f t="shared" si="4"/>
        <v>-5.7732113666563251E-2</v>
      </c>
      <c r="M62" s="20">
        <f t="shared" si="5"/>
        <v>-8.2267886333435541E-2</v>
      </c>
      <c r="O62" s="17" t="s">
        <v>2106</v>
      </c>
      <c r="AB62" s="20">
        <f t="shared" si="6"/>
        <v>-4.4118547170802234E-2</v>
      </c>
    </row>
    <row r="63" spans="1:28">
      <c r="A63" s="18" t="str">
        <f>Analysis!A63</f>
        <v>4/1963</v>
      </c>
      <c r="B63" s="19">
        <f>Analysis!B63</f>
        <v>1963.2916666666667</v>
      </c>
      <c r="C63" s="19">
        <f>Analysis!E63</f>
        <v>-7.0000000000000284E-2</v>
      </c>
      <c r="D63" s="20">
        <f>Analysis!F63</f>
        <v>0.198853323377887</v>
      </c>
      <c r="E63" s="19">
        <f>IF(ENSO!F63="","",ENSO!F63)</f>
        <v>0.13</v>
      </c>
      <c r="F63" s="25">
        <f>IF(Volcanic!G63="","",Volcanic!G63)</f>
        <v>2.034E-2</v>
      </c>
      <c r="G63" s="19">
        <f>IF(Solar!D63="","",Solar!D63)</f>
        <v>1360.67</v>
      </c>
      <c r="H63" s="20">
        <f t="shared" si="0"/>
        <v>0.198853323377887</v>
      </c>
      <c r="I63" s="20">
        <f t="shared" si="1"/>
        <v>-0.11934380910091627</v>
      </c>
      <c r="J63" s="25">
        <f t="shared" si="2"/>
        <v>5.4651214352993763E-3</v>
      </c>
      <c r="K63" s="19">
        <f t="shared" si="3"/>
        <v>1360.8719181265517</v>
      </c>
      <c r="L63" s="20">
        <f t="shared" si="4"/>
        <v>-3.7240385531061952E-2</v>
      </c>
      <c r="M63" s="20">
        <f t="shared" si="5"/>
        <v>-3.2759614468938332E-2</v>
      </c>
      <c r="O63" s="18" t="s">
        <v>2107</v>
      </c>
      <c r="P63" s="33">
        <v>0.61099999999999999</v>
      </c>
      <c r="Q63" s="37">
        <v>-8.5000000000000006E-2</v>
      </c>
      <c r="AB63" s="20">
        <f t="shared" si="6"/>
        <v>-2.4836052840883631E-2</v>
      </c>
    </row>
    <row r="64" spans="1:28">
      <c r="A64" s="18" t="str">
        <f>Analysis!A64</f>
        <v>5/1963</v>
      </c>
      <c r="B64" s="19">
        <f>Analysis!B64</f>
        <v>1963.375</v>
      </c>
      <c r="C64" s="19">
        <f>Analysis!E64</f>
        <v>-6.0000000000000497E-2</v>
      </c>
      <c r="D64" s="20">
        <f>Analysis!F64</f>
        <v>0.20270876128709345</v>
      </c>
      <c r="E64" s="19">
        <f>IF(ENSO!F64="","",ENSO!F64)</f>
        <v>0.12</v>
      </c>
      <c r="F64" s="25">
        <f>IF(Volcanic!G64="","",Volcanic!G64)</f>
        <v>3.2120000000000003E-2</v>
      </c>
      <c r="G64" s="19">
        <f>IF(Solar!D64="","",Solar!D64)</f>
        <v>1360.71</v>
      </c>
      <c r="H64" s="20">
        <f t="shared" si="0"/>
        <v>0.20270876128709345</v>
      </c>
      <c r="I64" s="20">
        <f t="shared" si="1"/>
        <v>-8.2600160369633469E-2</v>
      </c>
      <c r="J64" s="25">
        <f t="shared" si="2"/>
        <v>7.5963278539243183E-3</v>
      </c>
      <c r="K64" s="19">
        <f t="shared" si="3"/>
        <v>1360.8589718679611</v>
      </c>
      <c r="L64" s="20">
        <f t="shared" si="4"/>
        <v>-2.8859170111041103E-2</v>
      </c>
      <c r="M64" s="20">
        <f t="shared" si="5"/>
        <v>-3.1140829888959394E-2</v>
      </c>
      <c r="O64" s="18" t="s">
        <v>2108</v>
      </c>
      <c r="P64" s="33">
        <v>0.77800000000000002</v>
      </c>
      <c r="Q64" s="37">
        <v>-8.9999999999999993E-3</v>
      </c>
      <c r="AB64" s="20">
        <f t="shared" si="6"/>
        <v>-1.7909794537873246E-2</v>
      </c>
    </row>
    <row r="65" spans="1:28">
      <c r="A65" s="18" t="str">
        <f>Analysis!A65</f>
        <v>6/1963</v>
      </c>
      <c r="B65" s="19">
        <f>Analysis!B65</f>
        <v>1963.4583333333333</v>
      </c>
      <c r="C65" s="19">
        <f>Analysis!E65</f>
        <v>5.0000000000004263E-2</v>
      </c>
      <c r="D65" s="20">
        <f>Analysis!F65</f>
        <v>0.19934703581133892</v>
      </c>
      <c r="E65" s="19">
        <f>IF(ENSO!F65="","",ENSO!F65)</f>
        <v>0.45</v>
      </c>
      <c r="F65" s="25">
        <f>IF(Volcanic!G65="","",Volcanic!G65)</f>
        <v>5.5280000000000003E-2</v>
      </c>
      <c r="G65" s="19">
        <f>IF(Solar!D65="","",Solar!D65)</f>
        <v>1360.76</v>
      </c>
      <c r="H65" s="20">
        <f t="shared" si="0"/>
        <v>0.19934703581133892</v>
      </c>
      <c r="I65" s="20">
        <f t="shared" si="1"/>
        <v>-8.363024267050434E-4</v>
      </c>
      <c r="J65" s="25">
        <f t="shared" si="2"/>
        <v>1.1408903772987231E-2</v>
      </c>
      <c r="K65" s="19">
        <f t="shared" si="3"/>
        <v>1360.8510585143231</v>
      </c>
      <c r="L65" s="20">
        <f t="shared" si="4"/>
        <v>-3.9344965997273863E-2</v>
      </c>
      <c r="M65" s="20">
        <f t="shared" si="5"/>
        <v>8.934496599727812E-2</v>
      </c>
      <c r="O65" s="18" t="s">
        <v>2109</v>
      </c>
      <c r="P65" s="33">
        <v>0.77100000000000002</v>
      </c>
      <c r="Q65" s="37">
        <v>-2E-3</v>
      </c>
      <c r="AB65" s="20">
        <f t="shared" si="6"/>
        <v>-3.091649274844355E-2</v>
      </c>
    </row>
    <row r="66" spans="1:28">
      <c r="A66" s="18" t="str">
        <f>Analysis!A66</f>
        <v>7/1963</v>
      </c>
      <c r="B66" s="19">
        <f>Analysis!B66</f>
        <v>1963.5416666666667</v>
      </c>
      <c r="C66" s="19">
        <f>Analysis!E66</f>
        <v>5.9999999999998721E-2</v>
      </c>
      <c r="D66" s="20">
        <f>Analysis!F66</f>
        <v>0.19147241176149948</v>
      </c>
      <c r="E66" s="19">
        <f>IF(ENSO!F66="","",ENSO!F66)</f>
        <v>0.76</v>
      </c>
      <c r="F66" s="25">
        <f>IF(Volcanic!G66="","",Volcanic!G66)</f>
        <v>6.9760000000000003E-2</v>
      </c>
      <c r="G66" s="19">
        <f>IF(Solar!D66="","",Solar!D66)</f>
        <v>1360.76</v>
      </c>
      <c r="H66" s="20">
        <f t="shared" ref="H66:H129" si="9">IF(D66="","",IF(OR(ROW()=2,H65=""),D66,$Q$3*H65+(1-$Q$3)*D66))</f>
        <v>0.19147241176149948</v>
      </c>
      <c r="I66" s="20">
        <f t="shared" ref="I66:I129" si="10">IF(E66="","",IF(OR(ROW()=2,I65=""),E66,$Q$4*I65+(1-$Q$4)*E66))</f>
        <v>0.11596597436244578</v>
      </c>
      <c r="J66" s="25">
        <f t="shared" ref="J66:J129" si="11">IF(F66="","",IF(OR(ROW()=2,J65=""),F66,$Q$5*J65+(1-$Q$5)*F66))</f>
        <v>1.6074399828838723E-2</v>
      </c>
      <c r="K66" s="19">
        <f t="shared" ref="K66:K129" si="12">IF(G66="","",IF(OR(ROW()=2,K65=""),G66,$Q$6*K65+(1-$Q$6)*G66))</f>
        <v>1360.8437778775074</v>
      </c>
      <c r="L66" s="20">
        <f t="shared" ref="L66:L129" si="13">IF(OR(I66="",J66=""),"",$P$13+$P$14*H66+$P$15*I66+$P$16*J66)</f>
        <v>-5.9983196827629544E-2</v>
      </c>
      <c r="M66" s="20">
        <f t="shared" ref="M66:M129" si="14">IF(L66="","",C66-L66)</f>
        <v>0.11998319682762826</v>
      </c>
      <c r="O66" s="18" t="s">
        <v>2110</v>
      </c>
      <c r="P66" s="33">
        <v>0.88700000000000001</v>
      </c>
      <c r="Q66" s="37">
        <v>3.0000000000000001E-3</v>
      </c>
      <c r="AB66" s="20">
        <f t="shared" ref="AB66:AB129" si="15">IF(OR(I66="",J66=""),"",$P$52+$P$53*H66+$P$54*I66+$P$55*J66)</f>
        <v>-5.4715023803472311E-2</v>
      </c>
    </row>
    <row r="67" spans="1:28">
      <c r="A67" s="18" t="str">
        <f>Analysis!A67</f>
        <v>8/1963</v>
      </c>
      <c r="B67" s="19">
        <f>Analysis!B67</f>
        <v>1963.625</v>
      </c>
      <c r="C67" s="19">
        <f>Analysis!E67</f>
        <v>0.22000000000000242</v>
      </c>
      <c r="D67" s="20">
        <f>Analysis!F67</f>
        <v>0.18255610212855772</v>
      </c>
      <c r="E67" s="19">
        <f>IF(ENSO!F67="","",ENSO!F67)</f>
        <v>1.0900000000000001</v>
      </c>
      <c r="F67" s="25">
        <f>IF(Volcanic!G67="","",Volcanic!G67)</f>
        <v>7.7710000000000001E-2</v>
      </c>
      <c r="G67" s="19">
        <f>IF(Solar!D67="","",Solar!D67)</f>
        <v>1360.72</v>
      </c>
      <c r="H67" s="20">
        <f t="shared" si="9"/>
        <v>0.18255610212855772</v>
      </c>
      <c r="I67" s="20">
        <f t="shared" si="10"/>
        <v>0.26549799787617445</v>
      </c>
      <c r="J67" s="25">
        <f t="shared" si="11"/>
        <v>2.1002510320196906E-2</v>
      </c>
      <c r="K67" s="19">
        <f t="shared" si="12"/>
        <v>1360.8338811448552</v>
      </c>
      <c r="L67" s="20">
        <f t="shared" si="13"/>
        <v>-7.9710360456633808E-2</v>
      </c>
      <c r="M67" s="20">
        <f t="shared" si="14"/>
        <v>0.29971036045663624</v>
      </c>
      <c r="O67" s="18" t="s">
        <v>2111</v>
      </c>
      <c r="AB67" s="20">
        <f t="shared" si="15"/>
        <v>-7.8020312636480349E-2</v>
      </c>
    </row>
    <row r="68" spans="1:28">
      <c r="A68" s="18" t="str">
        <f>Analysis!A68</f>
        <v>9/1963</v>
      </c>
      <c r="B68" s="19">
        <f>Analysis!B68</f>
        <v>1963.7083333333333</v>
      </c>
      <c r="C68" s="19">
        <f>Analysis!E68</f>
        <v>0.16999999999999993</v>
      </c>
      <c r="D68" s="20">
        <f>Analysis!F68</f>
        <v>0.17545616583370666</v>
      </c>
      <c r="E68" s="19">
        <f>IF(ENSO!F68="","",ENSO!F68)</f>
        <v>1.0900000000000001</v>
      </c>
      <c r="F68" s="25">
        <f>IF(Volcanic!G68="","",Volcanic!G68)</f>
        <v>8.0869999999999997E-2</v>
      </c>
      <c r="G68" s="19">
        <f>IF(Solar!D68="","",Solar!D68)</f>
        <v>1360.57</v>
      </c>
      <c r="H68" s="20">
        <f t="shared" si="9"/>
        <v>0.17545616583370666</v>
      </c>
      <c r="I68" s="20">
        <f t="shared" si="10"/>
        <v>0.39207412306645939</v>
      </c>
      <c r="J68" s="25">
        <f t="shared" si="11"/>
        <v>2.578925050221851E-2</v>
      </c>
      <c r="K68" s="19">
        <f t="shared" si="12"/>
        <v>1360.8127823734501</v>
      </c>
      <c r="L68" s="20">
        <f t="shared" si="13"/>
        <v>-9.7285711773839489E-2</v>
      </c>
      <c r="M68" s="20">
        <f t="shared" si="14"/>
        <v>0.26728571177383942</v>
      </c>
      <c r="O68" s="18" t="s">
        <v>2112</v>
      </c>
      <c r="P68" s="33">
        <v>0.88900000000000001</v>
      </c>
      <c r="Q68" s="37">
        <v>3.0000000000000001E-3</v>
      </c>
      <c r="AB68" s="20">
        <f t="shared" si="15"/>
        <v>-9.8926146775098617E-2</v>
      </c>
    </row>
    <row r="69" spans="1:28">
      <c r="A69" s="18" t="str">
        <f>Analysis!A69</f>
        <v>10/1963</v>
      </c>
      <c r="B69" s="19">
        <f>Analysis!B69</f>
        <v>1963.7916666666667</v>
      </c>
      <c r="C69" s="19">
        <f>Analysis!E69</f>
        <v>0.14999999999999858</v>
      </c>
      <c r="D69" s="20">
        <f>Analysis!F69</f>
        <v>0.17445207560337639</v>
      </c>
      <c r="E69" s="19">
        <f>IF(ENSO!F69="","",ENSO!F69)</f>
        <v>1.1299999999999999</v>
      </c>
      <c r="F69" s="25">
        <f>IF(Volcanic!G69="","",Volcanic!G69)</f>
        <v>8.0670000000000006E-2</v>
      </c>
      <c r="G69" s="19">
        <f>IF(Solar!D69="","",Solar!D69)</f>
        <v>1360.7</v>
      </c>
      <c r="H69" s="20">
        <f t="shared" si="9"/>
        <v>0.17445207560337639</v>
      </c>
      <c r="I69" s="20">
        <f t="shared" si="10"/>
        <v>0.50535923085187751</v>
      </c>
      <c r="J69" s="25">
        <f t="shared" si="11"/>
        <v>3.0177272953895103E-2</v>
      </c>
      <c r="K69" s="19">
        <f t="shared" si="12"/>
        <v>1360.8037647927613</v>
      </c>
      <c r="L69" s="20">
        <f t="shared" si="13"/>
        <v>-9.8899874738240176E-2</v>
      </c>
      <c r="M69" s="20">
        <f t="shared" si="14"/>
        <v>0.24889987473823877</v>
      </c>
      <c r="O69" s="18" t="s">
        <v>2113</v>
      </c>
      <c r="P69" s="33">
        <v>0.83799999999999997</v>
      </c>
      <c r="AB69" s="20">
        <f t="shared" si="15"/>
        <v>-0.10369413304280112</v>
      </c>
    </row>
    <row r="70" spans="1:28">
      <c r="A70" s="18" t="str">
        <f>Analysis!A70</f>
        <v>11/1963</v>
      </c>
      <c r="B70" s="19">
        <f>Analysis!B70</f>
        <v>1963.875</v>
      </c>
      <c r="C70" s="19">
        <f>Analysis!E70</f>
        <v>0.14999999999999858</v>
      </c>
      <c r="D70" s="20">
        <f>Analysis!F70</f>
        <v>0.179374554217585</v>
      </c>
      <c r="E70" s="19">
        <f>IF(ENSO!F70="","",ENSO!F70)</f>
        <v>1.19</v>
      </c>
      <c r="F70" s="25">
        <f>IF(Volcanic!G70="","",Volcanic!G70)</f>
        <v>7.8039999999999998E-2</v>
      </c>
      <c r="G70" s="19">
        <f>IF(Solar!D70="","",Solar!D70)</f>
        <v>1360.84</v>
      </c>
      <c r="H70" s="20">
        <f t="shared" si="9"/>
        <v>0.179374554217585</v>
      </c>
      <c r="I70" s="20">
        <f t="shared" si="10"/>
        <v>0.61046410080106051</v>
      </c>
      <c r="J70" s="25">
        <f t="shared" si="11"/>
        <v>3.4004165312303339E-2</v>
      </c>
      <c r="K70" s="19">
        <f t="shared" si="12"/>
        <v>1360.806661999967</v>
      </c>
      <c r="L70" s="20">
        <f t="shared" si="13"/>
        <v>-8.3738401977662677E-2</v>
      </c>
      <c r="M70" s="20">
        <f t="shared" si="14"/>
        <v>0.23373840197766127</v>
      </c>
      <c r="O70" s="18" t="s">
        <v>2114</v>
      </c>
      <c r="P70" s="33">
        <v>0.90400000000000003</v>
      </c>
      <c r="AB70" s="20">
        <f t="shared" si="15"/>
        <v>-9.147859036393173E-2</v>
      </c>
    </row>
    <row r="71" spans="1:28">
      <c r="A71" s="18" t="str">
        <f>Analysis!A71</f>
        <v>12/1963</v>
      </c>
      <c r="B71" s="19">
        <f>Analysis!B71</f>
        <v>1963.9583333333333</v>
      </c>
      <c r="C71" s="19">
        <f>Analysis!E71</f>
        <v>-2.9999999999999361E-2</v>
      </c>
      <c r="D71" s="20">
        <f>Analysis!F71</f>
        <v>0.18518693705150802</v>
      </c>
      <c r="E71" s="19">
        <f>IF(ENSO!F71="","",ENSO!F71)</f>
        <v>1.1299999999999999</v>
      </c>
      <c r="F71" s="25">
        <f>IF(Volcanic!G71="","",Volcanic!G71)</f>
        <v>7.3910000000000003E-2</v>
      </c>
      <c r="G71" s="19">
        <f>IF(Solar!D71="","",Solar!D71)</f>
        <v>1360.78</v>
      </c>
      <c r="H71" s="20">
        <f t="shared" si="9"/>
        <v>0.18518693705150802</v>
      </c>
      <c r="I71" s="20">
        <f t="shared" si="10"/>
        <v>0.69022235590348546</v>
      </c>
      <c r="J71" s="25">
        <f t="shared" si="11"/>
        <v>3.7194859684463587E-2</v>
      </c>
      <c r="K71" s="19">
        <f t="shared" si="12"/>
        <v>1360.8045302241524</v>
      </c>
      <c r="L71" s="20">
        <f t="shared" si="13"/>
        <v>-6.7589188016859772E-2</v>
      </c>
      <c r="M71" s="20">
        <f t="shared" si="14"/>
        <v>3.7589188016860411E-2</v>
      </c>
      <c r="AB71" s="20">
        <f t="shared" si="15"/>
        <v>-7.7748707206361525E-2</v>
      </c>
    </row>
    <row r="72" spans="1:28">
      <c r="A72" s="18" t="str">
        <f>Analysis!A72</f>
        <v>1/1964</v>
      </c>
      <c r="B72" s="19">
        <f>Analysis!B72</f>
        <v>1964.0416666666667</v>
      </c>
      <c r="C72" s="19">
        <f>Analysis!E72</f>
        <v>-9.0000000000001634E-2</v>
      </c>
      <c r="D72" s="20">
        <f>Analysis!F72</f>
        <v>0.1907051528018969</v>
      </c>
      <c r="E72" s="19">
        <f>IF(ENSO!F72="","",ENSO!F72)</f>
        <v>0.95</v>
      </c>
      <c r="F72" s="25">
        <f>IF(Volcanic!G72="","",Volcanic!G72)</f>
        <v>6.8930000000000005E-2</v>
      </c>
      <c r="G72" s="19">
        <f>IF(Solar!D72="","",Solar!D72)</f>
        <v>1360.71</v>
      </c>
      <c r="H72" s="20">
        <f t="shared" si="9"/>
        <v>0.1907051528018969</v>
      </c>
      <c r="I72" s="20">
        <f t="shared" si="10"/>
        <v>0.73010297173716232</v>
      </c>
      <c r="J72" s="25">
        <f t="shared" si="11"/>
        <v>3.9732261405212861E-2</v>
      </c>
      <c r="K72" s="19">
        <f t="shared" si="12"/>
        <v>1360.7969720047449</v>
      </c>
      <c r="L72" s="20">
        <f t="shared" si="13"/>
        <v>-5.5646808427282368E-2</v>
      </c>
      <c r="M72" s="20">
        <f t="shared" si="14"/>
        <v>-3.4353191572719266E-2</v>
      </c>
      <c r="AB72" s="20">
        <f t="shared" si="15"/>
        <v>-6.7522557391157548E-2</v>
      </c>
    </row>
    <row r="73" spans="1:28">
      <c r="A73" s="18" t="str">
        <f>Analysis!A73</f>
        <v>2/1964</v>
      </c>
      <c r="B73" s="19">
        <f>Analysis!B73</f>
        <v>1964.125</v>
      </c>
      <c r="C73" s="19">
        <f>Analysis!E73</f>
        <v>-0.10000000000000142</v>
      </c>
      <c r="D73" s="20">
        <f>Analysis!F73</f>
        <v>0.19282540355239119</v>
      </c>
      <c r="E73" s="19">
        <f>IF(ENSO!F73="","",ENSO!F73)</f>
        <v>0.52</v>
      </c>
      <c r="F73" s="25">
        <f>IF(Volcanic!G73="","",Volcanic!G73)</f>
        <v>6.3469999999999999E-2</v>
      </c>
      <c r="G73" s="19">
        <f>IF(Solar!D73="","",Solar!D73)</f>
        <v>1360.74</v>
      </c>
      <c r="H73" s="20">
        <f t="shared" si="9"/>
        <v>0.19282540355239119</v>
      </c>
      <c r="I73" s="20">
        <f t="shared" si="10"/>
        <v>0.69784832592071711</v>
      </c>
      <c r="J73" s="25">
        <f t="shared" si="11"/>
        <v>4.1630226189935171E-2</v>
      </c>
      <c r="K73" s="19">
        <f t="shared" si="12"/>
        <v>1360.7924167747558</v>
      </c>
      <c r="L73" s="20">
        <f t="shared" si="13"/>
        <v>-6.0903703729750958E-2</v>
      </c>
      <c r="M73" s="20">
        <f t="shared" si="14"/>
        <v>-3.9096296270250464E-2</v>
      </c>
      <c r="AB73" s="20">
        <f t="shared" si="15"/>
        <v>-7.3414291890272682E-2</v>
      </c>
    </row>
    <row r="74" spans="1:28">
      <c r="A74" s="18" t="str">
        <f>Analysis!A74</f>
        <v>3/1964</v>
      </c>
      <c r="B74" s="19">
        <f>Analysis!B74</f>
        <v>1964.2083333333333</v>
      </c>
      <c r="C74" s="19">
        <f>Analysis!E74</f>
        <v>-0.20999999999999908</v>
      </c>
      <c r="D74" s="20">
        <f>Analysis!F74</f>
        <v>0.19602243814471609</v>
      </c>
      <c r="E74" s="19">
        <f>IF(ENSO!F74="","",ENSO!F74)</f>
        <v>0.06</v>
      </c>
      <c r="F74" s="25">
        <f>IF(Volcanic!G74="","",Volcanic!G74)</f>
        <v>5.7950000000000002E-2</v>
      </c>
      <c r="G74" s="19">
        <f>IF(Solar!D74="","",Solar!D74)</f>
        <v>1360.71</v>
      </c>
      <c r="H74" s="20">
        <f t="shared" si="9"/>
        <v>0.19602243814471609</v>
      </c>
      <c r="I74" s="20">
        <f t="shared" si="10"/>
        <v>0.59992695114395922</v>
      </c>
      <c r="J74" s="25">
        <f t="shared" si="11"/>
        <v>4.2935083258035939E-2</v>
      </c>
      <c r="K74" s="19">
        <f t="shared" si="12"/>
        <v>1360.7858270932857</v>
      </c>
      <c r="L74" s="20">
        <f t="shared" si="13"/>
        <v>-7.0503695207451589E-2</v>
      </c>
      <c r="M74" s="20">
        <f t="shared" si="14"/>
        <v>-0.13949630479254749</v>
      </c>
      <c r="AB74" s="20">
        <f t="shared" si="15"/>
        <v>-8.275601862807512E-2</v>
      </c>
    </row>
    <row r="75" spans="1:28">
      <c r="A75" s="18" t="str">
        <f>Analysis!A75</f>
        <v>4/1964</v>
      </c>
      <c r="B75" s="19">
        <f>Analysis!B75</f>
        <v>1964.2916666666667</v>
      </c>
      <c r="C75" s="19">
        <f>Analysis!E75</f>
        <v>-0.32000000000000206</v>
      </c>
      <c r="D75" s="20">
        <f>Analysis!F75</f>
        <v>0.20091681590593874</v>
      </c>
      <c r="E75" s="19">
        <f>IF(ENSO!F75="","",ENSO!F75)</f>
        <v>-0.35</v>
      </c>
      <c r="F75" s="25">
        <f>IF(Volcanic!G75="","",Volcanic!G75)</f>
        <v>5.262E-2</v>
      </c>
      <c r="G75" s="19">
        <f>IF(Solar!D75="","",Solar!D75)</f>
        <v>1360.78</v>
      </c>
      <c r="H75" s="20">
        <f t="shared" si="9"/>
        <v>0.20091681590593874</v>
      </c>
      <c r="I75" s="20">
        <f t="shared" si="10"/>
        <v>0.45409580412442074</v>
      </c>
      <c r="J75" s="25">
        <f t="shared" si="11"/>
        <v>4.370944644540594E-2</v>
      </c>
      <c r="K75" s="19">
        <f t="shared" si="12"/>
        <v>1360.785361184631</v>
      </c>
      <c r="L75" s="20">
        <f t="shared" si="13"/>
        <v>-8.0475213247646199E-2</v>
      </c>
      <c r="M75" s="20">
        <f t="shared" si="14"/>
        <v>-0.23952478675235586</v>
      </c>
      <c r="AB75" s="20">
        <f t="shared" si="15"/>
        <v>-9.1792481743135368E-2</v>
      </c>
    </row>
    <row r="76" spans="1:28">
      <c r="A76" s="18" t="str">
        <f>Analysis!A76</f>
        <v>5/1964</v>
      </c>
      <c r="B76" s="19">
        <f>Analysis!B76</f>
        <v>1964.375</v>
      </c>
      <c r="C76" s="19">
        <f>Analysis!E76</f>
        <v>-0.25</v>
      </c>
      <c r="D76" s="20">
        <f>Analysis!F76</f>
        <v>0.20275353141668456</v>
      </c>
      <c r="E76" s="19">
        <f>IF(ENSO!F76="","",ENSO!F76)</f>
        <v>-0.6</v>
      </c>
      <c r="F76" s="25">
        <f>IF(Volcanic!G76="","",Volcanic!G76)</f>
        <v>4.7509999999999997E-2</v>
      </c>
      <c r="G76" s="19">
        <f>IF(Solar!D76="","",Solar!D76)</f>
        <v>1360.71</v>
      </c>
      <c r="H76" s="20">
        <f t="shared" si="9"/>
        <v>0.20275353141668456</v>
      </c>
      <c r="I76" s="20">
        <f t="shared" si="10"/>
        <v>0.29227283447519858</v>
      </c>
      <c r="J76" s="25">
        <f t="shared" si="11"/>
        <v>4.4013321929596116E-2</v>
      </c>
      <c r="K76" s="19">
        <f t="shared" si="12"/>
        <v>1360.7793356369996</v>
      </c>
      <c r="L76" s="20">
        <f t="shared" si="13"/>
        <v>-9.9375891162595181E-2</v>
      </c>
      <c r="M76" s="20">
        <f t="shared" si="14"/>
        <v>-0.15062410883740482</v>
      </c>
      <c r="AB76" s="20">
        <f t="shared" si="15"/>
        <v>-0.10930936530135829</v>
      </c>
    </row>
    <row r="77" spans="1:28">
      <c r="A77" s="18" t="str">
        <f>Analysis!A77</f>
        <v>6/1964</v>
      </c>
      <c r="B77" s="19">
        <f>Analysis!B77</f>
        <v>1964.4583333333333</v>
      </c>
      <c r="C77" s="19">
        <f>Analysis!E77</f>
        <v>-3.9999999999999147E-2</v>
      </c>
      <c r="D77" s="20">
        <f>Analysis!F77</f>
        <v>0.20114093083670029</v>
      </c>
      <c r="E77" s="19">
        <f>IF(ENSO!F77="","",ENSO!F77)</f>
        <v>-0.66</v>
      </c>
      <c r="F77" s="25">
        <f>IF(Volcanic!G77="","",Volcanic!G77)</f>
        <v>4.2759999999999999E-2</v>
      </c>
      <c r="G77" s="19">
        <f>IF(Solar!D77="","",Solar!D77)</f>
        <v>1360.73</v>
      </c>
      <c r="H77" s="20">
        <f t="shared" si="9"/>
        <v>0.20114093083670029</v>
      </c>
      <c r="I77" s="20">
        <f t="shared" si="10"/>
        <v>0.14608155149304036</v>
      </c>
      <c r="J77" s="25">
        <f t="shared" si="11"/>
        <v>4.3913111841057353E-2</v>
      </c>
      <c r="K77" s="19">
        <f t="shared" si="12"/>
        <v>1360.7753909772637</v>
      </c>
      <c r="L77" s="20">
        <f t="shared" si="13"/>
        <v>-0.12402734972220905</v>
      </c>
      <c r="M77" s="20">
        <f t="shared" si="14"/>
        <v>8.4027349722209904E-2</v>
      </c>
      <c r="AB77" s="20">
        <f t="shared" si="15"/>
        <v>-0.13245751681536255</v>
      </c>
    </row>
    <row r="78" spans="1:28">
      <c r="A78" s="18" t="str">
        <f>Analysis!A78</f>
        <v>7/1964</v>
      </c>
      <c r="B78" s="19">
        <f>Analysis!B78</f>
        <v>1964.5416666666667</v>
      </c>
      <c r="C78" s="19">
        <f>Analysis!E78</f>
        <v>-3.9999999999999147E-2</v>
      </c>
      <c r="D78" s="20">
        <f>Analysis!F78</f>
        <v>0.19462742107482237</v>
      </c>
      <c r="E78" s="19">
        <f>IF(ENSO!F78="","",ENSO!F78)</f>
        <v>-0.67</v>
      </c>
      <c r="F78" s="25">
        <f>IF(Volcanic!G78="","",Volcanic!G78)</f>
        <v>3.8379999999999997E-2</v>
      </c>
      <c r="G78" s="19">
        <f>IF(Solar!D78="","",Solar!D78)</f>
        <v>1360.7</v>
      </c>
      <c r="H78" s="20">
        <f t="shared" si="9"/>
        <v>0.19462742107482237</v>
      </c>
      <c r="I78" s="20">
        <f t="shared" si="10"/>
        <v>2.0798119359237338E-2</v>
      </c>
      <c r="J78" s="25">
        <f t="shared" si="11"/>
        <v>4.3470708644884185E-2</v>
      </c>
      <c r="K78" s="19">
        <f t="shared" si="12"/>
        <v>1360.7693630475449</v>
      </c>
      <c r="L78" s="20">
        <f t="shared" si="13"/>
        <v>-0.15782033440241439</v>
      </c>
      <c r="M78" s="20">
        <f t="shared" si="14"/>
        <v>0.11782033440241524</v>
      </c>
      <c r="AB78" s="20">
        <f t="shared" si="15"/>
        <v>-0.16467458315942149</v>
      </c>
    </row>
    <row r="79" spans="1:28">
      <c r="A79" s="18" t="str">
        <f>Analysis!A79</f>
        <v>8/1964</v>
      </c>
      <c r="B79" s="19">
        <f>Analysis!B79</f>
        <v>1964.625</v>
      </c>
      <c r="C79" s="19">
        <f>Analysis!E79</f>
        <v>-0.21999999999999886</v>
      </c>
      <c r="D79" s="20">
        <f>Analysis!F79</f>
        <v>0.18672692311353747</v>
      </c>
      <c r="E79" s="19">
        <f>IF(ENSO!F79="","",ENSO!F79)</f>
        <v>-0.7</v>
      </c>
      <c r="F79" s="25">
        <f>IF(Volcanic!G79="","",Volcanic!G79)</f>
        <v>3.44E-2</v>
      </c>
      <c r="G79" s="19">
        <f>IF(Solar!D79="","",Solar!D79)</f>
        <v>1360.71</v>
      </c>
      <c r="H79" s="20">
        <f t="shared" si="9"/>
        <v>0.18672692311353747</v>
      </c>
      <c r="I79" s="20">
        <f t="shared" si="10"/>
        <v>-8.9857564626882006E-2</v>
      </c>
      <c r="J79" s="25">
        <f t="shared" si="11"/>
        <v>4.2745454825455616E-2</v>
      </c>
      <c r="K79" s="19">
        <f t="shared" si="12"/>
        <v>1360.764616640329</v>
      </c>
      <c r="L79" s="20">
        <f t="shared" si="13"/>
        <v>-0.19234015796507381</v>
      </c>
      <c r="M79" s="20">
        <f t="shared" si="14"/>
        <v>-2.7659842034925053E-2</v>
      </c>
      <c r="AB79" s="20">
        <f t="shared" si="15"/>
        <v>-0.1975943814563306</v>
      </c>
    </row>
    <row r="80" spans="1:28">
      <c r="A80" s="18" t="str">
        <f>Analysis!A80</f>
        <v>9/1964</v>
      </c>
      <c r="B80" s="19">
        <f>Analysis!B80</f>
        <v>1964.7083333333333</v>
      </c>
      <c r="C80" s="19">
        <f>Analysis!E80</f>
        <v>-0.30000000000000249</v>
      </c>
      <c r="D80" s="20">
        <f>Analysis!F80</f>
        <v>0.17773559347228587</v>
      </c>
      <c r="E80" s="19">
        <f>IF(ENSO!F80="","",ENSO!F80)</f>
        <v>-0.72</v>
      </c>
      <c r="F80" s="25">
        <f>IF(Volcanic!G80="","",Volcanic!G80)</f>
        <v>3.0769999999999999E-2</v>
      </c>
      <c r="G80" s="19">
        <f>IF(Solar!D80="","",Solar!D80)</f>
        <v>1360.71</v>
      </c>
      <c r="H80" s="20">
        <f t="shared" si="9"/>
        <v>0.17773559347228587</v>
      </c>
      <c r="I80" s="20">
        <f t="shared" si="10"/>
        <v>-0.18659594437859073</v>
      </c>
      <c r="J80" s="25">
        <f t="shared" si="11"/>
        <v>4.1787950324806221E-2</v>
      </c>
      <c r="K80" s="19">
        <f t="shared" si="12"/>
        <v>1360.7602497348805</v>
      </c>
      <c r="L80" s="20">
        <f t="shared" si="13"/>
        <v>-0.227057874358638</v>
      </c>
      <c r="M80" s="20">
        <f t="shared" si="14"/>
        <v>-7.2942125641364486E-2</v>
      </c>
      <c r="AB80" s="20">
        <f t="shared" si="15"/>
        <v>-0.23071188790637284</v>
      </c>
    </row>
    <row r="81" spans="1:28">
      <c r="A81" s="18" t="str">
        <f>Analysis!A81</f>
        <v>10/1964</v>
      </c>
      <c r="B81" s="19">
        <f>Analysis!B81</f>
        <v>1964.7916666666667</v>
      </c>
      <c r="C81" s="19">
        <f>Analysis!E81</f>
        <v>-0.31000000000000227</v>
      </c>
      <c r="D81" s="20">
        <f>Analysis!F81</f>
        <v>0.17846425034734256</v>
      </c>
      <c r="E81" s="19">
        <f>IF(ENSO!F81="","",ENSO!F81)</f>
        <v>-0.8</v>
      </c>
      <c r="F81" s="25">
        <f>IF(Volcanic!G81="","",Volcanic!G81)</f>
        <v>2.7529999999999999E-2</v>
      </c>
      <c r="G81" s="19">
        <f>IF(Solar!D81="","",Solar!D81)</f>
        <v>1360.75</v>
      </c>
      <c r="H81" s="20">
        <f t="shared" si="9"/>
        <v>0.17846425034734256</v>
      </c>
      <c r="I81" s="20">
        <f t="shared" si="10"/>
        <v>-0.28076467694269125</v>
      </c>
      <c r="J81" s="25">
        <f t="shared" si="11"/>
        <v>4.0647947560400306E-2</v>
      </c>
      <c r="K81" s="19">
        <f t="shared" si="12"/>
        <v>1360.7594302113284</v>
      </c>
      <c r="L81" s="20">
        <f t="shared" si="13"/>
        <v>-0.23450932195370444</v>
      </c>
      <c r="M81" s="20">
        <f t="shared" si="14"/>
        <v>-7.5490678046297832E-2</v>
      </c>
      <c r="AB81" s="20">
        <f t="shared" si="15"/>
        <v>-0.2367266436124871</v>
      </c>
    </row>
    <row r="82" spans="1:28">
      <c r="A82" s="18" t="str">
        <f>Analysis!A82</f>
        <v>11/1964</v>
      </c>
      <c r="B82" s="19">
        <f>Analysis!B82</f>
        <v>1964.875</v>
      </c>
      <c r="C82" s="19">
        <f>Analysis!E82</f>
        <v>-0.20999999999999908</v>
      </c>
      <c r="D82" s="20">
        <f>Analysis!F82</f>
        <v>0.18214743880477707</v>
      </c>
      <c r="E82" s="19">
        <f>IF(ENSO!F82="","",ENSO!F82)</f>
        <v>-0.79</v>
      </c>
      <c r="F82" s="25">
        <f>IF(Volcanic!G82="","",Volcanic!G82)</f>
        <v>2.462E-2</v>
      </c>
      <c r="G82" s="19">
        <f>IF(Solar!D82="","",Solar!D82)</f>
        <v>1360.73</v>
      </c>
      <c r="H82" s="20">
        <f t="shared" si="9"/>
        <v>0.18214743880477707</v>
      </c>
      <c r="I82" s="20">
        <f t="shared" si="10"/>
        <v>-0.35894160536322017</v>
      </c>
      <c r="J82" s="25">
        <f t="shared" si="11"/>
        <v>3.9366423630917989E-2</v>
      </c>
      <c r="K82" s="19">
        <f t="shared" si="12"/>
        <v>1360.7570771015542</v>
      </c>
      <c r="L82" s="20">
        <f t="shared" si="13"/>
        <v>-0.23123432977971672</v>
      </c>
      <c r="M82" s="20">
        <f t="shared" si="14"/>
        <v>2.1234329779717648E-2</v>
      </c>
      <c r="AB82" s="20">
        <f t="shared" si="15"/>
        <v>-0.23217151031147829</v>
      </c>
    </row>
    <row r="83" spans="1:28">
      <c r="A83" s="18" t="str">
        <f>Analysis!A83</f>
        <v>12/1964</v>
      </c>
      <c r="B83" s="19">
        <f>Analysis!B83</f>
        <v>1964.9583333333333</v>
      </c>
      <c r="C83" s="19">
        <f>Analysis!E83</f>
        <v>-0.30000000000000249</v>
      </c>
      <c r="D83" s="20">
        <f>Analysis!F83</f>
        <v>0.18681745935711205</v>
      </c>
      <c r="E83" s="19">
        <f>IF(ENSO!F83="","",ENSO!F83)</f>
        <v>-0.75</v>
      </c>
      <c r="F83" s="25">
        <f>IF(Volcanic!G83="","",Volcanic!G83)</f>
        <v>2.2419999999999999E-2</v>
      </c>
      <c r="G83" s="19">
        <f>IF(Solar!D83="","",Solar!D83)</f>
        <v>1360.76</v>
      </c>
      <c r="H83" s="20">
        <f t="shared" si="9"/>
        <v>0.18681745935711205</v>
      </c>
      <c r="I83" s="20">
        <f t="shared" si="10"/>
        <v>-0.41897621557490416</v>
      </c>
      <c r="J83" s="25">
        <f t="shared" si="11"/>
        <v>3.8011462409568472E-2</v>
      </c>
      <c r="K83" s="19">
        <f t="shared" si="12"/>
        <v>1360.7573108036104</v>
      </c>
      <c r="L83" s="20">
        <f t="shared" si="13"/>
        <v>-0.22248138318957314</v>
      </c>
      <c r="M83" s="20">
        <f t="shared" si="14"/>
        <v>-7.7518616810429347E-2</v>
      </c>
      <c r="AB83" s="20">
        <f t="shared" si="15"/>
        <v>-0.22230253066046485</v>
      </c>
    </row>
    <row r="84" spans="1:28">
      <c r="A84" s="18" t="str">
        <f>Analysis!A84</f>
        <v>1/1965</v>
      </c>
      <c r="B84" s="19">
        <f>Analysis!B84</f>
        <v>1965.0416666666667</v>
      </c>
      <c r="C84" s="19">
        <f>Analysis!E84</f>
        <v>-8.0000000000001847E-2</v>
      </c>
      <c r="D84" s="20">
        <f>Analysis!F84</f>
        <v>0.19011814991335674</v>
      </c>
      <c r="E84" s="19">
        <f>IF(ENSO!F84="","",ENSO!F84)</f>
        <v>-0.51</v>
      </c>
      <c r="F84" s="25">
        <f>IF(Volcanic!G84="","",Volcanic!G84)</f>
        <v>2.01E-2</v>
      </c>
      <c r="G84" s="19">
        <f>IF(Solar!D84="","",Solar!D84)</f>
        <v>1360.72</v>
      </c>
      <c r="H84" s="20">
        <f t="shared" si="9"/>
        <v>0.19011814991335674</v>
      </c>
      <c r="I84" s="20">
        <f t="shared" si="10"/>
        <v>-0.43295002995377346</v>
      </c>
      <c r="J84" s="25">
        <f t="shared" si="11"/>
        <v>3.6579340947766548E-2</v>
      </c>
      <c r="K84" s="19">
        <f t="shared" si="12"/>
        <v>1360.754327596467</v>
      </c>
      <c r="L84" s="20">
        <f t="shared" si="13"/>
        <v>-0.21066944189124376</v>
      </c>
      <c r="M84" s="20">
        <f t="shared" si="14"/>
        <v>0.13066944189124191</v>
      </c>
      <c r="AB84" s="20">
        <f t="shared" si="15"/>
        <v>-0.20975325931836014</v>
      </c>
    </row>
    <row r="85" spans="1:28">
      <c r="A85" s="18" t="str">
        <f>Analysis!A85</f>
        <v>2/1965</v>
      </c>
      <c r="B85" s="19">
        <f>Analysis!B85</f>
        <v>1965.125</v>
      </c>
      <c r="C85" s="19">
        <f>Analysis!E85</f>
        <v>-0.16999999999999638</v>
      </c>
      <c r="D85" s="20">
        <f>Analysis!F85</f>
        <v>0.19462742107482237</v>
      </c>
      <c r="E85" s="19">
        <f>IF(ENSO!F85="","",ENSO!F85)</f>
        <v>-0.25</v>
      </c>
      <c r="F85" s="25">
        <f>IF(Volcanic!G85="","",Volcanic!G85)</f>
        <v>1.789E-2</v>
      </c>
      <c r="G85" s="19">
        <f>IF(Solar!D85="","",Solar!D85)</f>
        <v>1360.73</v>
      </c>
      <c r="H85" s="20">
        <f t="shared" si="9"/>
        <v>0.19462742107482237</v>
      </c>
      <c r="I85" s="20">
        <f t="shared" si="10"/>
        <v>-0.40486385692405968</v>
      </c>
      <c r="J85" s="25">
        <f t="shared" si="11"/>
        <v>3.5085023752095719E-2</v>
      </c>
      <c r="K85" s="19">
        <f t="shared" si="12"/>
        <v>1360.7523824692507</v>
      </c>
      <c r="L85" s="20">
        <f t="shared" si="13"/>
        <v>-0.18944275041542935</v>
      </c>
      <c r="M85" s="20">
        <f t="shared" si="14"/>
        <v>1.9442750415432974E-2</v>
      </c>
      <c r="AB85" s="20">
        <f t="shared" si="15"/>
        <v>-0.18819588051859618</v>
      </c>
    </row>
    <row r="86" spans="1:28">
      <c r="A86" s="18" t="str">
        <f>Analysis!A86</f>
        <v>3/1965</v>
      </c>
      <c r="B86" s="19">
        <f>Analysis!B86</f>
        <v>1965.2083333333333</v>
      </c>
      <c r="C86" s="19">
        <f>Analysis!E86</f>
        <v>-0.13000000000000256</v>
      </c>
      <c r="D86" s="20">
        <f>Analysis!F86</f>
        <v>0.19665200397268703</v>
      </c>
      <c r="E86" s="19">
        <f>IF(ENSO!F86="","",ENSO!F86)</f>
        <v>-0.04</v>
      </c>
      <c r="F86" s="25">
        <f>IF(Volcanic!G86="","",Volcanic!G86)</f>
        <v>1.5949999999999999E-2</v>
      </c>
      <c r="G86" s="19">
        <f>IF(Solar!D86="","",Solar!D86)</f>
        <v>1360.75</v>
      </c>
      <c r="H86" s="20">
        <f t="shared" si="9"/>
        <v>0.19665200397268703</v>
      </c>
      <c r="I86" s="20">
        <f t="shared" si="10"/>
        <v>-0.34885058695932031</v>
      </c>
      <c r="J86" s="25">
        <f t="shared" si="11"/>
        <v>3.3555071726915103E-2</v>
      </c>
      <c r="K86" s="19">
        <f t="shared" si="12"/>
        <v>1360.7521919775272</v>
      </c>
      <c r="L86" s="20">
        <f t="shared" si="13"/>
        <v>-0.17087310223074817</v>
      </c>
      <c r="M86" s="20">
        <f t="shared" si="14"/>
        <v>4.0873102230745612E-2</v>
      </c>
      <c r="AB86" s="20">
        <f t="shared" si="15"/>
        <v>-0.16949213737071295</v>
      </c>
    </row>
    <row r="87" spans="1:28">
      <c r="A87" s="18" t="str">
        <f>Analysis!A87</f>
        <v>4/1965</v>
      </c>
      <c r="B87" s="19">
        <f>Analysis!B87</f>
        <v>1965.2916666666667</v>
      </c>
      <c r="C87" s="19">
        <f>Analysis!E87</f>
        <v>-0.18999999999999773</v>
      </c>
      <c r="D87" s="20">
        <f>Analysis!F87</f>
        <v>0.20226098356200239</v>
      </c>
      <c r="E87" s="19">
        <f>IF(ENSO!F87="","",ENSO!F87)</f>
        <v>0.16</v>
      </c>
      <c r="F87" s="25">
        <f>IF(Volcanic!G87="","",Volcanic!G87)</f>
        <v>1.4330000000000001E-2</v>
      </c>
      <c r="G87" s="19">
        <f>IF(Solar!D87="","",Solar!D87)</f>
        <v>1360.77</v>
      </c>
      <c r="H87" s="20">
        <f t="shared" si="9"/>
        <v>0.20226098356200239</v>
      </c>
      <c r="I87" s="20">
        <f t="shared" si="10"/>
        <v>-0.2707327225609269</v>
      </c>
      <c r="J87" s="25">
        <f t="shared" si="11"/>
        <v>3.201791986319636E-2</v>
      </c>
      <c r="K87" s="19">
        <f t="shared" si="12"/>
        <v>1360.7536158283883</v>
      </c>
      <c r="L87" s="20">
        <f t="shared" si="13"/>
        <v>-0.13946677530252521</v>
      </c>
      <c r="M87" s="20">
        <f t="shared" si="14"/>
        <v>-5.0533224697472512E-2</v>
      </c>
      <c r="AB87" s="20">
        <f t="shared" si="15"/>
        <v>-0.1382457647582333</v>
      </c>
    </row>
    <row r="88" spans="1:28">
      <c r="A88" s="18" t="str">
        <f>Analysis!A88</f>
        <v>5/1965</v>
      </c>
      <c r="B88" s="19">
        <f>Analysis!B88</f>
        <v>1965.375</v>
      </c>
      <c r="C88" s="19">
        <f>Analysis!E88</f>
        <v>-0.11999999999999744</v>
      </c>
      <c r="D88" s="20">
        <f>Analysis!F88</f>
        <v>0.20239533147297081</v>
      </c>
      <c r="E88" s="19">
        <f>IF(ENSO!F88="","",ENSO!F88)</f>
        <v>0.47</v>
      </c>
      <c r="F88" s="25">
        <f>IF(Volcanic!G88="","",Volcanic!G88)</f>
        <v>1.295E-2</v>
      </c>
      <c r="G88" s="19">
        <f>IF(Solar!D88="","",Solar!D88)</f>
        <v>1360.76</v>
      </c>
      <c r="H88" s="20">
        <f t="shared" si="9"/>
        <v>0.20239533147297081</v>
      </c>
      <c r="I88" s="20">
        <f t="shared" si="10"/>
        <v>-0.15701671267629413</v>
      </c>
      <c r="J88" s="25">
        <f t="shared" si="11"/>
        <v>3.0493333168733341E-2</v>
      </c>
      <c r="K88" s="19">
        <f t="shared" si="12"/>
        <v>1360.7541262785664</v>
      </c>
      <c r="L88" s="20">
        <f t="shared" si="13"/>
        <v>-0.11788378558531654</v>
      </c>
      <c r="M88" s="20">
        <f t="shared" si="14"/>
        <v>-2.1162144146809059E-3</v>
      </c>
      <c r="AB88" s="20">
        <f t="shared" si="15"/>
        <v>-0.11704736722200085</v>
      </c>
    </row>
    <row r="89" spans="1:28">
      <c r="A89" s="18" t="str">
        <f>Analysis!A89</f>
        <v>6/1965</v>
      </c>
      <c r="B89" s="19">
        <f>Analysis!B89</f>
        <v>1965.4583333333333</v>
      </c>
      <c r="C89" s="19">
        <f>Analysis!E89</f>
        <v>-8.0000000000001847E-2</v>
      </c>
      <c r="D89" s="20">
        <f>Analysis!F89</f>
        <v>0.20105128904215877</v>
      </c>
      <c r="E89" s="19">
        <f>IF(ENSO!F89="","",ENSO!F89)</f>
        <v>0.79</v>
      </c>
      <c r="F89" s="25">
        <f>IF(Volcanic!G89="","",Volcanic!G89)</f>
        <v>1.1809999999999999E-2</v>
      </c>
      <c r="G89" s="19">
        <f>IF(Solar!D89="","",Solar!D89)</f>
        <v>1360.83</v>
      </c>
      <c r="H89" s="20">
        <f t="shared" si="9"/>
        <v>0.20105128904215877</v>
      </c>
      <c r="I89" s="20">
        <f t="shared" si="10"/>
        <v>-1.1632340446468561E-2</v>
      </c>
      <c r="J89" s="25">
        <f t="shared" si="11"/>
        <v>2.8999496328551883E-2</v>
      </c>
      <c r="K89" s="19">
        <f t="shared" si="12"/>
        <v>1360.760192806378</v>
      </c>
      <c r="L89" s="20">
        <f t="shared" si="13"/>
        <v>-9.5933865468655649E-2</v>
      </c>
      <c r="M89" s="20">
        <f t="shared" si="14"/>
        <v>1.5933865468653802E-2</v>
      </c>
      <c r="AB89" s="20">
        <f t="shared" si="15"/>
        <v>-9.5769662870710301E-2</v>
      </c>
    </row>
    <row r="90" spans="1:28">
      <c r="A90" s="18" t="str">
        <f>Analysis!A90</f>
        <v>7/1965</v>
      </c>
      <c r="B90" s="19">
        <f>Analysis!B90</f>
        <v>1965.5416666666667</v>
      </c>
      <c r="C90" s="19">
        <f>Analysis!E90</f>
        <v>-0.13000000000000256</v>
      </c>
      <c r="D90" s="20">
        <f>Analysis!F90</f>
        <v>0.19808998077164383</v>
      </c>
      <c r="E90" s="19">
        <f>IF(ENSO!F90="","",ENSO!F90)</f>
        <v>1.1000000000000001</v>
      </c>
      <c r="F90" s="25">
        <f>IF(Volcanic!G90="","",Volcanic!G90)</f>
        <v>1.0829999999999999E-2</v>
      </c>
      <c r="G90" s="19">
        <f>IF(Solar!D90="","",Solar!D90)</f>
        <v>1360.82</v>
      </c>
      <c r="H90" s="20">
        <f t="shared" si="9"/>
        <v>0.19808998077164383</v>
      </c>
      <c r="I90" s="20">
        <f t="shared" si="10"/>
        <v>0.15902353901468291</v>
      </c>
      <c r="J90" s="25">
        <f t="shared" si="11"/>
        <v>2.7546743613712156E-2</v>
      </c>
      <c r="K90" s="19">
        <f t="shared" si="12"/>
        <v>1360.7649747255532</v>
      </c>
      <c r="L90" s="20">
        <f t="shared" si="13"/>
        <v>-7.4930346658405159E-2</v>
      </c>
      <c r="M90" s="20">
        <f t="shared" si="14"/>
        <v>-5.5069653341597399E-2</v>
      </c>
      <c r="AB90" s="20">
        <f t="shared" si="15"/>
        <v>-7.5665592114627284E-2</v>
      </c>
    </row>
    <row r="91" spans="1:28">
      <c r="A91" s="18" t="str">
        <f>Analysis!A91</f>
        <v>8/1965</v>
      </c>
      <c r="B91" s="19">
        <f>Analysis!B91</f>
        <v>1965.625</v>
      </c>
      <c r="C91" s="19">
        <f>Analysis!E91</f>
        <v>-3.9999999999999147E-2</v>
      </c>
      <c r="D91" s="20">
        <f>Analysis!F91</f>
        <v>0.18754154484093474</v>
      </c>
      <c r="E91" s="19">
        <f>IF(ENSO!F91="","",ENSO!F91)</f>
        <v>1.27</v>
      </c>
      <c r="F91" s="25">
        <f>IF(Volcanic!G91="","",Volcanic!G91)</f>
        <v>1.001E-2</v>
      </c>
      <c r="G91" s="19">
        <f>IF(Solar!D91="","",Solar!D91)</f>
        <v>1360.83</v>
      </c>
      <c r="H91" s="20">
        <f t="shared" si="9"/>
        <v>0.18754154484093474</v>
      </c>
      <c r="I91" s="20">
        <f t="shared" si="10"/>
        <v>0.32957872899227869</v>
      </c>
      <c r="J91" s="25">
        <f t="shared" si="11"/>
        <v>2.6144583012582327E-2</v>
      </c>
      <c r="K91" s="19">
        <f t="shared" si="12"/>
        <v>1360.7701738594355</v>
      </c>
      <c r="L91" s="20">
        <f t="shared" si="13"/>
        <v>-7.4629577937547736E-2</v>
      </c>
      <c r="M91" s="20">
        <f t="shared" si="14"/>
        <v>3.4629577937548589E-2</v>
      </c>
      <c r="AB91" s="20">
        <f t="shared" si="15"/>
        <v>-7.611162159190879E-2</v>
      </c>
    </row>
    <row r="92" spans="1:28">
      <c r="A92" s="18" t="str">
        <f>Analysis!A92</f>
        <v>9/1965</v>
      </c>
      <c r="B92" s="19">
        <f>Analysis!B92</f>
        <v>1965.7083333333333</v>
      </c>
      <c r="C92" s="19">
        <f>Analysis!E92</f>
        <v>-0.14999999999999858</v>
      </c>
      <c r="D92" s="20">
        <f>Analysis!F92</f>
        <v>0.18278308729885059</v>
      </c>
      <c r="E92" s="19">
        <f>IF(ENSO!F92="","",ENSO!F92)</f>
        <v>1.55</v>
      </c>
      <c r="F92" s="25">
        <f>IF(Volcanic!G92="","",Volcanic!G92)</f>
        <v>9.2800000000000001E-3</v>
      </c>
      <c r="G92" s="19">
        <f>IF(Solar!D92="","",Solar!D92)</f>
        <v>1360.75</v>
      </c>
      <c r="H92" s="20">
        <f t="shared" si="9"/>
        <v>0.18278308729885059</v>
      </c>
      <c r="I92" s="20">
        <f t="shared" si="10"/>
        <v>0.51693569742418843</v>
      </c>
      <c r="J92" s="25">
        <f t="shared" si="11"/>
        <v>2.4796165405778937E-2</v>
      </c>
      <c r="K92" s="19">
        <f t="shared" si="12"/>
        <v>1360.7685608466952</v>
      </c>
      <c r="L92" s="20">
        <f t="shared" si="13"/>
        <v>-5.6482933599347723E-2</v>
      </c>
      <c r="M92" s="20">
        <f t="shared" si="14"/>
        <v>-9.3517066400650856E-2</v>
      </c>
      <c r="AB92" s="20">
        <f t="shared" si="15"/>
        <v>-5.9034283834158083E-2</v>
      </c>
    </row>
    <row r="93" spans="1:28">
      <c r="A93" s="18" t="str">
        <f>Analysis!A93</f>
        <v>10/1965</v>
      </c>
      <c r="B93" s="19">
        <f>Analysis!B93</f>
        <v>1965.7916666666667</v>
      </c>
      <c r="C93" s="19">
        <f>Analysis!E93</f>
        <v>-5.0000000000000711E-2</v>
      </c>
      <c r="D93" s="20">
        <f>Analysis!F93</f>
        <v>0.18042069408530895</v>
      </c>
      <c r="E93" s="19">
        <f>IF(ENSO!F93="","",ENSO!F93)</f>
        <v>1.7</v>
      </c>
      <c r="F93" s="25">
        <f>IF(Volcanic!G93="","",Volcanic!G93)</f>
        <v>9.1400000000000006E-3</v>
      </c>
      <c r="G93" s="19">
        <f>IF(Solar!D93="","",Solar!D93)</f>
        <v>1360.8</v>
      </c>
      <c r="H93" s="20">
        <f t="shared" si="9"/>
        <v>0.18042069408530895</v>
      </c>
      <c r="I93" s="20">
        <f t="shared" si="10"/>
        <v>0.69855768849911559</v>
      </c>
      <c r="J93" s="25">
        <f t="shared" si="11"/>
        <v>2.3544367536099745E-2</v>
      </c>
      <c r="K93" s="19">
        <f t="shared" si="12"/>
        <v>1360.7710745826014</v>
      </c>
      <c r="L93" s="20">
        <f t="shared" si="13"/>
        <v>-3.2994010815957014E-2</v>
      </c>
      <c r="M93" s="20">
        <f t="shared" si="14"/>
        <v>-1.7005989184043696E-2</v>
      </c>
      <c r="AB93" s="20">
        <f t="shared" si="15"/>
        <v>-3.6660236623447376E-2</v>
      </c>
    </row>
    <row r="94" spans="1:28">
      <c r="A94" s="18" t="str">
        <f>Analysis!A94</f>
        <v>11/1965</v>
      </c>
      <c r="B94" s="19">
        <f>Analysis!B94</f>
        <v>1965.875</v>
      </c>
      <c r="C94" s="19">
        <f>Analysis!E94</f>
        <v>-6.0000000000000497E-2</v>
      </c>
      <c r="D94" s="20">
        <f>Analysis!F94</f>
        <v>0.18754154484093474</v>
      </c>
      <c r="E94" s="19">
        <f>IF(ENSO!F94="","",ENSO!F94)</f>
        <v>1.82</v>
      </c>
      <c r="F94" s="25">
        <f>IF(Volcanic!G94="","",Volcanic!G94)</f>
        <v>8.7299999999999999E-3</v>
      </c>
      <c r="G94" s="19">
        <f>IF(Solar!D94="","",Solar!D94)</f>
        <v>1360.76</v>
      </c>
      <c r="H94" s="20">
        <f t="shared" si="9"/>
        <v>0.18754154484093474</v>
      </c>
      <c r="I94" s="20">
        <f t="shared" si="10"/>
        <v>0.87071957779541398</v>
      </c>
      <c r="J94" s="25">
        <f t="shared" si="11"/>
        <v>2.2359876107854539E-2</v>
      </c>
      <c r="K94" s="19">
        <f t="shared" si="12"/>
        <v>1360.7701891078666</v>
      </c>
      <c r="L94" s="20">
        <f t="shared" si="13"/>
        <v>1.4575905683034171E-2</v>
      </c>
      <c r="M94" s="20">
        <f t="shared" si="14"/>
        <v>-7.4575905683034668E-2</v>
      </c>
      <c r="AB94" s="20">
        <f t="shared" si="15"/>
        <v>9.6352050938011413E-3</v>
      </c>
    </row>
    <row r="95" spans="1:28">
      <c r="A95" s="18" t="str">
        <f>Analysis!A95</f>
        <v>12/1965</v>
      </c>
      <c r="B95" s="19">
        <f>Analysis!B95</f>
        <v>1965.9583333333333</v>
      </c>
      <c r="C95" s="19">
        <f>Analysis!E95</f>
        <v>-8.0000000000001847E-2</v>
      </c>
      <c r="D95" s="20">
        <f>Analysis!F95</f>
        <v>0.19002782057413631</v>
      </c>
      <c r="E95" s="19">
        <f>IF(ENSO!F95="","",ENSO!F95)</f>
        <v>1.6</v>
      </c>
      <c r="F95" s="25">
        <f>IF(Volcanic!G95="","",Volcanic!G95)</f>
        <v>8.1399999999999997E-3</v>
      </c>
      <c r="G95" s="19">
        <f>IF(Solar!D95="","",Solar!D95)</f>
        <v>1360.75</v>
      </c>
      <c r="H95" s="20">
        <f t="shared" si="9"/>
        <v>0.19002782057413631</v>
      </c>
      <c r="I95" s="20">
        <f t="shared" si="10"/>
        <v>0.98267745028330666</v>
      </c>
      <c r="J95" s="25">
        <f t="shared" si="11"/>
        <v>2.1222917589752529E-2</v>
      </c>
      <c r="K95" s="19">
        <f t="shared" si="12"/>
        <v>1360.7685748759291</v>
      </c>
      <c r="L95" s="20">
        <f t="shared" si="13"/>
        <v>4.0955825799150053E-2</v>
      </c>
      <c r="M95" s="20">
        <f t="shared" si="14"/>
        <v>-0.1209558257991519</v>
      </c>
      <c r="AB95" s="20">
        <f t="shared" si="15"/>
        <v>3.5409597951287924E-2</v>
      </c>
    </row>
    <row r="96" spans="1:28">
      <c r="A96" s="18" t="str">
        <f>Analysis!A96</f>
        <v>1/1966</v>
      </c>
      <c r="B96" s="19">
        <f>Analysis!B96</f>
        <v>1966.0416666666667</v>
      </c>
      <c r="C96" s="19">
        <f>Analysis!E96</f>
        <v>-0.18999999999999773</v>
      </c>
      <c r="D96" s="20">
        <f>Analysis!F96</f>
        <v>0.19543759520574477</v>
      </c>
      <c r="E96" s="19">
        <f>IF(ENSO!F96="","",ENSO!F96)</f>
        <v>1.24</v>
      </c>
      <c r="F96" s="25">
        <f>IF(Volcanic!G96="","",Volcanic!G96)</f>
        <v>7.5900000000000004E-3</v>
      </c>
      <c r="G96" s="19">
        <f>IF(Solar!D96="","",Solar!D96)</f>
        <v>1360.83</v>
      </c>
      <c r="H96" s="20">
        <f t="shared" si="9"/>
        <v>0.19543759520574477</v>
      </c>
      <c r="I96" s="20">
        <f t="shared" si="10"/>
        <v>1.0221811642625627</v>
      </c>
      <c r="J96" s="25">
        <f t="shared" si="11"/>
        <v>2.013288968355367E-2</v>
      </c>
      <c r="K96" s="19">
        <f t="shared" si="12"/>
        <v>1360.7734861576805</v>
      </c>
      <c r="L96" s="20">
        <f t="shared" si="13"/>
        <v>6.4857387519965809E-2</v>
      </c>
      <c r="M96" s="20">
        <f t="shared" si="14"/>
        <v>-0.25485738751996356</v>
      </c>
      <c r="AB96" s="20">
        <f t="shared" si="15"/>
        <v>5.9318774048418427E-2</v>
      </c>
    </row>
    <row r="97" spans="1:28">
      <c r="A97" s="18" t="str">
        <f>Analysis!A97</f>
        <v>2/1966</v>
      </c>
      <c r="B97" s="19">
        <f>Analysis!B97</f>
        <v>1966.125</v>
      </c>
      <c r="C97" s="19">
        <f>Analysis!E97</f>
        <v>-3.9999999999999147E-2</v>
      </c>
      <c r="D97" s="20">
        <f>Analysis!F97</f>
        <v>0.19984057934659985</v>
      </c>
      <c r="E97" s="19">
        <f>IF(ENSO!F97="","",ENSO!F97)</f>
        <v>0.95</v>
      </c>
      <c r="F97" s="25">
        <f>IF(Volcanic!G97="","",Volcanic!G97)</f>
        <v>7.0299999999999998E-3</v>
      </c>
      <c r="G97" s="19">
        <f>IF(Solar!D97="","",Solar!D97)</f>
        <v>1360.87</v>
      </c>
      <c r="H97" s="20">
        <f t="shared" si="9"/>
        <v>0.19984057934659985</v>
      </c>
      <c r="I97" s="20">
        <f t="shared" si="10"/>
        <v>1.0111000364295868</v>
      </c>
      <c r="J97" s="25">
        <f t="shared" si="11"/>
        <v>1.9085240468857737E-2</v>
      </c>
      <c r="K97" s="19">
        <f t="shared" si="12"/>
        <v>1360.7812029784395</v>
      </c>
      <c r="L97" s="20">
        <f t="shared" si="13"/>
        <v>7.8754065769068515E-2</v>
      </c>
      <c r="M97" s="20">
        <f t="shared" si="14"/>
        <v>-0.11875406576906766</v>
      </c>
      <c r="AB97" s="20">
        <f t="shared" si="15"/>
        <v>7.3717140673189963E-2</v>
      </c>
    </row>
    <row r="98" spans="1:28">
      <c r="A98" s="18" t="str">
        <f>Analysis!A98</f>
        <v>3/1966</v>
      </c>
      <c r="B98" s="19">
        <f>Analysis!B98</f>
        <v>1966.2083333333333</v>
      </c>
      <c r="C98" s="19">
        <f>Analysis!E98</f>
        <v>2.9999999999997584E-2</v>
      </c>
      <c r="D98" s="20">
        <f>Analysis!F98</f>
        <v>0.20338016739614553</v>
      </c>
      <c r="E98" s="19">
        <f>IF(ENSO!F98="","",ENSO!F98)</f>
        <v>0.76</v>
      </c>
      <c r="F98" s="25">
        <f>IF(Volcanic!G98="","",Volcanic!G98)</f>
        <v>6.5900000000000004E-3</v>
      </c>
      <c r="G98" s="19">
        <f>IF(Solar!D98="","",Solar!D98)</f>
        <v>1360.78</v>
      </c>
      <c r="H98" s="20">
        <f t="shared" si="9"/>
        <v>0.20338016739614553</v>
      </c>
      <c r="I98" s="20">
        <f t="shared" si="10"/>
        <v>0.97255159195701268</v>
      </c>
      <c r="J98" s="25">
        <f t="shared" si="11"/>
        <v>1.8086176202822848E-2</v>
      </c>
      <c r="K98" s="19">
        <f t="shared" si="12"/>
        <v>1360.7811067935943</v>
      </c>
      <c r="L98" s="20">
        <f t="shared" si="13"/>
        <v>8.6274937701314891E-2</v>
      </c>
      <c r="M98" s="20">
        <f t="shared" si="14"/>
        <v>-5.6274937701317307E-2</v>
      </c>
      <c r="AB98" s="20">
        <f t="shared" si="15"/>
        <v>8.2003202406003242E-2</v>
      </c>
    </row>
    <row r="99" spans="1:28">
      <c r="A99" s="18" t="str">
        <f>Analysis!A99</f>
        <v>4/1966</v>
      </c>
      <c r="B99" s="19">
        <f>Analysis!B99</f>
        <v>1966.2916666666667</v>
      </c>
      <c r="C99" s="19">
        <f>Analysis!E99</f>
        <v>-0.13000000000000256</v>
      </c>
      <c r="D99" s="20">
        <f>Analysis!F99</f>
        <v>0.20923053837684438</v>
      </c>
      <c r="E99" s="19">
        <f>IF(ENSO!F99="","",ENSO!F99)</f>
        <v>0.43</v>
      </c>
      <c r="F99" s="25">
        <f>IF(Volcanic!G99="","",Volcanic!G99)</f>
        <v>6.28E-3</v>
      </c>
      <c r="G99" s="19">
        <f>IF(Solar!D99="","",Solar!D99)</f>
        <v>1360.76</v>
      </c>
      <c r="H99" s="20">
        <f t="shared" si="9"/>
        <v>0.20923053837684438</v>
      </c>
      <c r="I99" s="20">
        <f t="shared" si="10"/>
        <v>0.88926000740192079</v>
      </c>
      <c r="J99" s="25">
        <f t="shared" si="11"/>
        <v>1.7142206473536793E-2</v>
      </c>
      <c r="K99" s="19">
        <f t="shared" si="12"/>
        <v>1360.7794191875571</v>
      </c>
      <c r="L99" s="20">
        <f t="shared" si="13"/>
        <v>9.3543471528367839E-2</v>
      </c>
      <c r="M99" s="20">
        <f t="shared" si="14"/>
        <v>-0.2235434715283704</v>
      </c>
      <c r="AB99" s="20">
        <f t="shared" si="15"/>
        <v>9.039149912170362E-2</v>
      </c>
    </row>
    <row r="100" spans="1:28">
      <c r="A100" s="18" t="str">
        <f>Analysis!A100</f>
        <v>5/1966</v>
      </c>
      <c r="B100" s="19">
        <f>Analysis!B100</f>
        <v>1966.375</v>
      </c>
      <c r="C100" s="19">
        <f>Analysis!E100</f>
        <v>-0.11999999999999744</v>
      </c>
      <c r="D100" s="20">
        <f>Analysis!F100</f>
        <v>0.21092316296674554</v>
      </c>
      <c r="E100" s="19">
        <f>IF(ENSO!F100="","",ENSO!F100)</f>
        <v>0.24</v>
      </c>
      <c r="F100" s="25">
        <f>IF(Volcanic!G100="","",Volcanic!G100)</f>
        <v>6.5799999999999999E-3</v>
      </c>
      <c r="G100" s="19">
        <f>IF(Solar!D100="","",Solar!D100)</f>
        <v>1361.12</v>
      </c>
      <c r="H100" s="20">
        <f t="shared" si="9"/>
        <v>0.21092316296674554</v>
      </c>
      <c r="I100" s="20">
        <f t="shared" si="10"/>
        <v>0.78958673096807086</v>
      </c>
      <c r="J100" s="25">
        <f t="shared" si="11"/>
        <v>1.629769907213921E-2</v>
      </c>
      <c r="K100" s="19">
        <f t="shared" si="12"/>
        <v>1360.8066505257818</v>
      </c>
      <c r="L100" s="20">
        <f t="shared" si="13"/>
        <v>8.6919521587135687E-2</v>
      </c>
      <c r="M100" s="20">
        <f t="shared" si="14"/>
        <v>-0.20691952158713312</v>
      </c>
      <c r="AB100" s="20">
        <f t="shared" si="15"/>
        <v>8.5095414318090104E-2</v>
      </c>
    </row>
    <row r="101" spans="1:28">
      <c r="A101" s="18" t="str">
        <f>Analysis!A101</f>
        <v>6/1966</v>
      </c>
      <c r="B101" s="19">
        <f>Analysis!B101</f>
        <v>1966.4583333333333</v>
      </c>
      <c r="C101" s="19">
        <f>Analysis!E101</f>
        <v>1.0000000000001563E-2</v>
      </c>
      <c r="D101" s="20">
        <f>Analysis!F101</f>
        <v>0.20945336562894978</v>
      </c>
      <c r="E101" s="19">
        <f>IF(ENSO!F101="","",ENSO!F101)</f>
        <v>0.18</v>
      </c>
      <c r="F101" s="25">
        <f>IF(Volcanic!G101="","",Volcanic!G101)</f>
        <v>6.6E-3</v>
      </c>
      <c r="G101" s="19">
        <f>IF(Solar!D101="","",Solar!D101)</f>
        <v>1361.08</v>
      </c>
      <c r="H101" s="20">
        <f t="shared" si="9"/>
        <v>0.20945336562894978</v>
      </c>
      <c r="I101" s="20">
        <f t="shared" si="10"/>
        <v>0.69600402750028334</v>
      </c>
      <c r="J101" s="25">
        <f t="shared" si="11"/>
        <v>1.5522313866077652E-2</v>
      </c>
      <c r="K101" s="19">
        <f t="shared" si="12"/>
        <v>1360.8285063430037</v>
      </c>
      <c r="L101" s="20">
        <f t="shared" si="13"/>
        <v>7.2368851552495062E-2</v>
      </c>
      <c r="M101" s="20">
        <f t="shared" si="14"/>
        <v>-6.2368851552493498E-2</v>
      </c>
      <c r="AB101" s="20">
        <f t="shared" si="15"/>
        <v>7.1853985037505064E-2</v>
      </c>
    </row>
    <row r="102" spans="1:28">
      <c r="A102" s="18" t="str">
        <f>Analysis!A102</f>
        <v>7/1966</v>
      </c>
      <c r="B102" s="19">
        <f>Analysis!B102</f>
        <v>1966.5416666666667</v>
      </c>
      <c r="C102" s="19">
        <f>Analysis!E102</f>
        <v>8.0000000000000071E-2</v>
      </c>
      <c r="D102" s="20">
        <f>Analysis!F102</f>
        <v>0.20329066463286302</v>
      </c>
      <c r="E102" s="19">
        <f>IF(ENSO!F102="","",ENSO!F102)</f>
        <v>0.25</v>
      </c>
      <c r="F102" s="25">
        <f>IF(Volcanic!G102="","",Volcanic!G102)</f>
        <v>6.4799999999999996E-3</v>
      </c>
      <c r="G102" s="19">
        <f>IF(Solar!D102="","",Solar!D102)</f>
        <v>1361</v>
      </c>
      <c r="H102" s="20">
        <f t="shared" si="9"/>
        <v>0.20329066463286302</v>
      </c>
      <c r="I102" s="20">
        <f t="shared" si="10"/>
        <v>0.62753425850660072</v>
      </c>
      <c r="J102" s="25">
        <f t="shared" si="11"/>
        <v>1.4799330367810027E-2</v>
      </c>
      <c r="K102" s="19">
        <f t="shared" si="12"/>
        <v>1360.8422182187362</v>
      </c>
      <c r="L102" s="20">
        <f t="shared" si="13"/>
        <v>4.8493949029758426E-2</v>
      </c>
      <c r="M102" s="20">
        <f t="shared" si="14"/>
        <v>3.1506050970241645E-2</v>
      </c>
      <c r="AB102" s="20">
        <f t="shared" si="15"/>
        <v>4.9128466419147414E-2</v>
      </c>
    </row>
    <row r="103" spans="1:28">
      <c r="A103" s="18" t="str">
        <f>Analysis!A103</f>
        <v>8/1966</v>
      </c>
      <c r="B103" s="19">
        <f>Analysis!B103</f>
        <v>1966.625</v>
      </c>
      <c r="C103" s="19">
        <f>Analysis!E103</f>
        <v>-9.0000000000001634E-2</v>
      </c>
      <c r="D103" s="20">
        <f>Analysis!F103</f>
        <v>0.19426719759207978</v>
      </c>
      <c r="E103" s="19">
        <f>IF(ENSO!F103="","",ENSO!F103)</f>
        <v>0.13</v>
      </c>
      <c r="F103" s="25">
        <f>IF(Volcanic!G103="","",Volcanic!G103)</f>
        <v>6.5500000000000003E-3</v>
      </c>
      <c r="G103" s="19">
        <f>IF(Solar!D103="","",Solar!D103)</f>
        <v>1361.19</v>
      </c>
      <c r="H103" s="20">
        <f t="shared" si="9"/>
        <v>0.19426719759207978</v>
      </c>
      <c r="I103" s="20">
        <f t="shared" si="10"/>
        <v>0.55115365733284005</v>
      </c>
      <c r="J103" s="25">
        <f t="shared" si="11"/>
        <v>1.4139750329335676E-2</v>
      </c>
      <c r="K103" s="19">
        <f t="shared" si="12"/>
        <v>1360.8700253146385</v>
      </c>
      <c r="L103" s="20">
        <f t="shared" si="13"/>
        <v>1.5551564547978909E-2</v>
      </c>
      <c r="M103" s="20">
        <f t="shared" si="14"/>
        <v>-0.10555156454798054</v>
      </c>
      <c r="AB103" s="20">
        <f t="shared" si="15"/>
        <v>1.7448425289851563E-2</v>
      </c>
    </row>
    <row r="104" spans="1:28">
      <c r="A104" s="18" t="str">
        <f>Analysis!A104</f>
        <v>9/1966</v>
      </c>
      <c r="B104" s="19">
        <f>Analysis!B104</f>
        <v>1966.7083333333333</v>
      </c>
      <c r="C104" s="19">
        <f>Analysis!E104</f>
        <v>-2.9999999999999361E-2</v>
      </c>
      <c r="D104" s="20">
        <f>Analysis!F104</f>
        <v>0.18650055764449477</v>
      </c>
      <c r="E104" s="19">
        <f>IF(ENSO!F104="","",ENSO!F104)</f>
        <v>-0.09</v>
      </c>
      <c r="F104" s="25">
        <f>IF(Volcanic!G104="","",Volcanic!G104)</f>
        <v>6.9100000000000003E-3</v>
      </c>
      <c r="G104" s="19">
        <f>IF(Solar!D104="","",Solar!D104)</f>
        <v>1360.94</v>
      </c>
      <c r="H104" s="20">
        <f t="shared" si="9"/>
        <v>0.18650055764449477</v>
      </c>
      <c r="I104" s="20">
        <f t="shared" si="10"/>
        <v>0.45272485377902821</v>
      </c>
      <c r="J104" s="25">
        <f t="shared" si="11"/>
        <v>1.3561691409669801E-2</v>
      </c>
      <c r="K104" s="19">
        <f t="shared" si="12"/>
        <v>1360.8756201815677</v>
      </c>
      <c r="L104" s="20">
        <f t="shared" si="13"/>
        <v>-1.7380155176604961E-2</v>
      </c>
      <c r="M104" s="20">
        <f t="shared" si="14"/>
        <v>-1.2619844823394399E-2</v>
      </c>
      <c r="AB104" s="20">
        <f t="shared" si="15"/>
        <v>-1.4074708252339557E-2</v>
      </c>
    </row>
    <row r="105" spans="1:28">
      <c r="A105" s="18" t="str">
        <f>Analysis!A105</f>
        <v>10/1966</v>
      </c>
      <c r="B105" s="19">
        <f>Analysis!B105</f>
        <v>1966.7916666666667</v>
      </c>
      <c r="C105" s="19">
        <f>Analysis!E105</f>
        <v>-0.16999999999999638</v>
      </c>
      <c r="D105" s="20">
        <f>Analysis!F105</f>
        <v>0.18405354470718463</v>
      </c>
      <c r="E105" s="19">
        <f>IF(ENSO!F105="","",ENSO!F105)</f>
        <v>-0.12</v>
      </c>
      <c r="F105" s="25">
        <f>IF(Volcanic!G105="","",Volcanic!G105)</f>
        <v>6.8799999999999998E-3</v>
      </c>
      <c r="G105" s="19">
        <f>IF(Solar!D105="","",Solar!D105)</f>
        <v>1361.12</v>
      </c>
      <c r="H105" s="20">
        <f t="shared" si="9"/>
        <v>0.18405354470718463</v>
      </c>
      <c r="I105" s="20">
        <f t="shared" si="10"/>
        <v>0.36480112211459653</v>
      </c>
      <c r="J105" s="25">
        <f t="shared" si="11"/>
        <v>1.3027452861743428E-2</v>
      </c>
      <c r="K105" s="19">
        <f t="shared" si="12"/>
        <v>1360.8951597130031</v>
      </c>
      <c r="L105" s="20">
        <f t="shared" si="13"/>
        <v>-3.4592847322650909E-2</v>
      </c>
      <c r="M105" s="20">
        <f t="shared" si="14"/>
        <v>-0.13540715267734546</v>
      </c>
      <c r="AB105" s="20">
        <f t="shared" si="15"/>
        <v>-3.01246378128079E-2</v>
      </c>
    </row>
    <row r="106" spans="1:28">
      <c r="A106" s="18" t="str">
        <f>Analysis!A106</f>
        <v>11/1966</v>
      </c>
      <c r="B106" s="19">
        <f>Analysis!B106</f>
        <v>1966.875</v>
      </c>
      <c r="C106" s="19">
        <f>Analysis!E106</f>
        <v>-9.9999999999980105E-3</v>
      </c>
      <c r="D106" s="20">
        <f>Analysis!F106</f>
        <v>0.19165288399602148</v>
      </c>
      <c r="E106" s="19">
        <f>IF(ENSO!F106="","",ENSO!F106)</f>
        <v>-0.23</v>
      </c>
      <c r="F106" s="25">
        <f>IF(Volcanic!G106="","",Volcanic!G106)</f>
        <v>6.6100000000000004E-3</v>
      </c>
      <c r="G106" s="19">
        <f>IF(Solar!D106="","",Solar!D106)</f>
        <v>1361.18</v>
      </c>
      <c r="H106" s="20">
        <f t="shared" si="9"/>
        <v>0.19165288399602148</v>
      </c>
      <c r="I106" s="20">
        <f t="shared" si="10"/>
        <v>0.27348827981443652</v>
      </c>
      <c r="J106" s="25">
        <f t="shared" si="11"/>
        <v>1.2514341661594007E-2</v>
      </c>
      <c r="K106" s="19">
        <f t="shared" si="12"/>
        <v>1360.917934284887</v>
      </c>
      <c r="L106" s="20">
        <f t="shared" si="13"/>
        <v>-2.5188401898730589E-2</v>
      </c>
      <c r="M106" s="20">
        <f t="shared" si="14"/>
        <v>1.5188401898732579E-2</v>
      </c>
      <c r="AB106" s="20">
        <f t="shared" si="15"/>
        <v>-1.9767105263392468E-2</v>
      </c>
    </row>
    <row r="107" spans="1:28">
      <c r="A107" s="18" t="str">
        <f>Analysis!A107</f>
        <v>12/1966</v>
      </c>
      <c r="B107" s="19">
        <f>Analysis!B107</f>
        <v>1966.9583333333333</v>
      </c>
      <c r="C107" s="19">
        <f>Analysis!E107</f>
        <v>-2.9999999999999361E-2</v>
      </c>
      <c r="D107" s="20">
        <f>Analysis!F107</f>
        <v>0.19723635491870628</v>
      </c>
      <c r="E107" s="19">
        <f>IF(ENSO!F107="","",ENSO!F107)</f>
        <v>-0.35</v>
      </c>
      <c r="F107" s="25">
        <f>IF(Volcanic!G107="","",Volcanic!G107)</f>
        <v>6.3E-3</v>
      </c>
      <c r="G107" s="19">
        <f>IF(Solar!D107="","",Solar!D107)</f>
        <v>1361.14</v>
      </c>
      <c r="H107" s="20">
        <f t="shared" si="9"/>
        <v>0.19723635491870628</v>
      </c>
      <c r="I107" s="20">
        <f t="shared" si="10"/>
        <v>0.17777143454640609</v>
      </c>
      <c r="J107" s="25">
        <f t="shared" si="11"/>
        <v>1.2017470336347875E-2</v>
      </c>
      <c r="K107" s="19">
        <f t="shared" si="12"/>
        <v>1360.9356896791296</v>
      </c>
      <c r="L107" s="20">
        <f t="shared" si="13"/>
        <v>-2.1911804230682733E-2</v>
      </c>
      <c r="M107" s="20">
        <f t="shared" si="14"/>
        <v>-8.0881957693166272E-3</v>
      </c>
      <c r="AB107" s="20">
        <f t="shared" si="15"/>
        <v>-1.5455713425241536E-2</v>
      </c>
    </row>
    <row r="108" spans="1:28">
      <c r="A108" s="18" t="str">
        <f>Analysis!A108</f>
        <v>1/1967</v>
      </c>
      <c r="B108" s="19">
        <f>Analysis!B108</f>
        <v>1967.0416666666667</v>
      </c>
      <c r="C108" s="19">
        <f>Analysis!E108</f>
        <v>-8.0000000000001847E-2</v>
      </c>
      <c r="D108" s="20">
        <f>Analysis!F108</f>
        <v>0.20311164244670007</v>
      </c>
      <c r="E108" s="19">
        <f>IF(ENSO!F108="","",ENSO!F108)</f>
        <v>-0.46</v>
      </c>
      <c r="F108" s="25">
        <f>IF(Volcanic!G108="","",Volcanic!G108)</f>
        <v>6.0000000000000001E-3</v>
      </c>
      <c r="G108" s="19">
        <f>IF(Solar!D108="","",Solar!D108)</f>
        <v>1360.94</v>
      </c>
      <c r="H108" s="20">
        <f t="shared" si="9"/>
        <v>0.20311164244670007</v>
      </c>
      <c r="I108" s="20">
        <f t="shared" si="10"/>
        <v>7.9861864000803223E-2</v>
      </c>
      <c r="J108" s="25">
        <f t="shared" si="11"/>
        <v>1.1536339973154498E-2</v>
      </c>
      <c r="K108" s="19">
        <f t="shared" si="12"/>
        <v>1360.9360343133578</v>
      </c>
      <c r="L108" s="20">
        <f t="shared" si="13"/>
        <v>-1.8208922530743556E-2</v>
      </c>
      <c r="M108" s="20">
        <f t="shared" si="14"/>
        <v>-6.1791077469258292E-2</v>
      </c>
      <c r="AB108" s="20">
        <f t="shared" si="15"/>
        <v>-1.0710969863394738E-2</v>
      </c>
    </row>
    <row r="109" spans="1:28">
      <c r="A109" s="18" t="str">
        <f>Analysis!A109</f>
        <v>2/1967</v>
      </c>
      <c r="B109" s="19">
        <f>Analysis!B109</f>
        <v>1967.125</v>
      </c>
      <c r="C109" s="19">
        <f>Analysis!E109</f>
        <v>-0.20999999999999908</v>
      </c>
      <c r="D109" s="20">
        <f>Analysis!F109</f>
        <v>0.20387233336564989</v>
      </c>
      <c r="E109" s="19">
        <f>IF(ENSO!F109="","",ENSO!F109)</f>
        <v>-0.48</v>
      </c>
      <c r="F109" s="25">
        <f>IF(Volcanic!G109="","",Volcanic!G109)</f>
        <v>5.6800000000000002E-3</v>
      </c>
      <c r="G109" s="19">
        <f>IF(Solar!D109="","",Solar!D109)</f>
        <v>1361.28</v>
      </c>
      <c r="H109" s="20">
        <f t="shared" si="9"/>
        <v>0.20387233336564989</v>
      </c>
      <c r="I109" s="20">
        <f t="shared" si="10"/>
        <v>-6.087163660125669E-3</v>
      </c>
      <c r="J109" s="25">
        <f t="shared" si="11"/>
        <v>1.1068092882471237E-2</v>
      </c>
      <c r="K109" s="19">
        <f t="shared" si="12"/>
        <v>1360.9635362911806</v>
      </c>
      <c r="L109" s="20">
        <f t="shared" si="13"/>
        <v>-2.6692621269115278E-2</v>
      </c>
      <c r="M109" s="20">
        <f t="shared" si="14"/>
        <v>-0.18330737873088379</v>
      </c>
      <c r="AB109" s="20">
        <f t="shared" si="15"/>
        <v>-1.815656860873309E-2</v>
      </c>
    </row>
    <row r="110" spans="1:28">
      <c r="A110" s="18" t="str">
        <f>Analysis!A110</f>
        <v>3/1967</v>
      </c>
      <c r="B110" s="19">
        <f>Analysis!B110</f>
        <v>1967.2083333333333</v>
      </c>
      <c r="C110" s="19">
        <f>Analysis!E110</f>
        <v>5.0000000000004263E-2</v>
      </c>
      <c r="D110" s="20">
        <f>Analysis!F110</f>
        <v>0.20624132797002478</v>
      </c>
      <c r="E110" s="19">
        <f>IF(ENSO!F110="","",ENSO!F110)</f>
        <v>-0.5</v>
      </c>
      <c r="F110" s="25">
        <f>IF(Volcanic!G110="","",Volcanic!G110)</f>
        <v>5.4299999999999999E-3</v>
      </c>
      <c r="G110" s="19">
        <f>IF(Solar!D110="","",Solar!D110)</f>
        <v>1361.04</v>
      </c>
      <c r="H110" s="20">
        <f t="shared" si="9"/>
        <v>0.20624132797002478</v>
      </c>
      <c r="I110" s="20">
        <f t="shared" si="10"/>
        <v>-8.1911810349407574E-2</v>
      </c>
      <c r="J110" s="25">
        <f t="shared" si="11"/>
        <v>1.0617295865679003E-2</v>
      </c>
      <c r="K110" s="19">
        <f t="shared" si="12"/>
        <v>1360.9696499917791</v>
      </c>
      <c r="L110" s="20">
        <f t="shared" si="13"/>
        <v>-2.9457621780809771E-2</v>
      </c>
      <c r="M110" s="20">
        <f t="shared" si="14"/>
        <v>7.9457621780814031E-2</v>
      </c>
      <c r="AB110" s="20">
        <f t="shared" si="15"/>
        <v>-2.0027200822231164E-2</v>
      </c>
    </row>
    <row r="111" spans="1:28">
      <c r="A111" s="18" t="str">
        <f>Analysis!A111</f>
        <v>4/1967</v>
      </c>
      <c r="B111" s="19">
        <f>Analysis!B111</f>
        <v>1967.2916666666667</v>
      </c>
      <c r="C111" s="19">
        <f>Analysis!E111</f>
        <v>-5.0000000000000711E-2</v>
      </c>
      <c r="D111" s="20">
        <f>Analysis!F111</f>
        <v>0.21239146441962328</v>
      </c>
      <c r="E111" s="19">
        <f>IF(ENSO!F111="","",ENSO!F111)</f>
        <v>-0.37</v>
      </c>
      <c r="F111" s="25">
        <f>IF(Volcanic!G111="","",Volcanic!G111)</f>
        <v>5.2900000000000004E-3</v>
      </c>
      <c r="G111" s="19">
        <f>IF(Solar!D111="","",Solar!D111)</f>
        <v>1361.6</v>
      </c>
      <c r="H111" s="20">
        <f t="shared" si="9"/>
        <v>0.21239146441962328</v>
      </c>
      <c r="I111" s="20">
        <f t="shared" si="10"/>
        <v>-0.12613861230395215</v>
      </c>
      <c r="J111" s="25">
        <f t="shared" si="11"/>
        <v>1.0191348806295852E-2</v>
      </c>
      <c r="K111" s="19">
        <f t="shared" si="12"/>
        <v>1361.0200499956748</v>
      </c>
      <c r="L111" s="20">
        <f t="shared" si="13"/>
        <v>-1.7622938714612183E-2</v>
      </c>
      <c r="M111" s="20">
        <f t="shared" si="14"/>
        <v>-3.2377061285388531E-2</v>
      </c>
      <c r="AB111" s="20">
        <f t="shared" si="15"/>
        <v>-7.7040445143438802E-3</v>
      </c>
    </row>
    <row r="112" spans="1:28">
      <c r="A112" s="18" t="str">
        <f>Analysis!A112</f>
        <v>5/1967</v>
      </c>
      <c r="B112" s="19">
        <f>Analysis!B112</f>
        <v>1967.375</v>
      </c>
      <c r="C112" s="19">
        <f>Analysis!E112</f>
        <v>0.11999999999999744</v>
      </c>
      <c r="D112" s="20">
        <f>Analysis!F112</f>
        <v>0.21501289097085052</v>
      </c>
      <c r="E112" s="19">
        <f>IF(ENSO!F112="","",ENSO!F112)</f>
        <v>-0.15</v>
      </c>
      <c r="F112" s="25">
        <f>IF(Volcanic!G112="","",Volcanic!G112)</f>
        <v>5.1799999999999997E-3</v>
      </c>
      <c r="G112" s="19">
        <f>IF(Solar!D112="","",Solar!D112)</f>
        <v>1360.99</v>
      </c>
      <c r="H112" s="20">
        <f t="shared" si="9"/>
        <v>0.21501289097085052</v>
      </c>
      <c r="I112" s="20">
        <f t="shared" si="10"/>
        <v>-0.12980177138476573</v>
      </c>
      <c r="J112" s="25">
        <f t="shared" si="11"/>
        <v>9.7906634789918252E-3</v>
      </c>
      <c r="K112" s="19">
        <f t="shared" si="12"/>
        <v>1361.0176473306801</v>
      </c>
      <c r="L112" s="20">
        <f t="shared" si="13"/>
        <v>-9.6918175513431709E-3</v>
      </c>
      <c r="M112" s="20">
        <f t="shared" si="14"/>
        <v>0.12969181755134063</v>
      </c>
      <c r="AB112" s="20">
        <f t="shared" si="15"/>
        <v>3.9167371312728849E-4</v>
      </c>
    </row>
    <row r="113" spans="1:28">
      <c r="A113" s="18" t="str">
        <f>Analysis!A113</f>
        <v>6/1967</v>
      </c>
      <c r="B113" s="19">
        <f>Analysis!B113</f>
        <v>1967.4583333333333</v>
      </c>
      <c r="C113" s="19">
        <f>Analysis!E113</f>
        <v>-8.0000000000001847E-2</v>
      </c>
      <c r="D113" s="20">
        <f>Analysis!F113</f>
        <v>0.21096767891290158</v>
      </c>
      <c r="E113" s="19">
        <f>IF(ENSO!F113="","",ENSO!F113)</f>
        <v>0.05</v>
      </c>
      <c r="F113" s="25">
        <f>IF(Volcanic!G113="","",Volcanic!G113)</f>
        <v>5.11E-3</v>
      </c>
      <c r="G113" s="19">
        <f>IF(Solar!D113="","",Solar!D113)</f>
        <v>1361.25</v>
      </c>
      <c r="H113" s="20">
        <f t="shared" si="9"/>
        <v>0.21096767891290158</v>
      </c>
      <c r="I113" s="20">
        <f t="shared" si="10"/>
        <v>-0.10219891358016436</v>
      </c>
      <c r="J113" s="25">
        <f t="shared" si="11"/>
        <v>9.4164182906058859E-3</v>
      </c>
      <c r="K113" s="19">
        <f t="shared" si="12"/>
        <v>1361.0362252243681</v>
      </c>
      <c r="L113" s="20">
        <f t="shared" si="13"/>
        <v>-1.5465851075973203E-2</v>
      </c>
      <c r="M113" s="20">
        <f t="shared" si="14"/>
        <v>-6.4534148924028645E-2</v>
      </c>
      <c r="AB113" s="20">
        <f t="shared" si="15"/>
        <v>-5.3793421688647786E-3</v>
      </c>
    </row>
    <row r="114" spans="1:28">
      <c r="A114" s="18" t="str">
        <f>Analysis!A114</f>
        <v>7/1967</v>
      </c>
      <c r="B114" s="19">
        <f>Analysis!B114</f>
        <v>1967.5416666666667</v>
      </c>
      <c r="C114" s="19">
        <f>Analysis!E114</f>
        <v>2.0000000000003126E-2</v>
      </c>
      <c r="D114" s="20">
        <f>Analysis!F114</f>
        <v>0.20405126118938038</v>
      </c>
      <c r="E114" s="19">
        <f>IF(ENSO!F114="","",ENSO!F114)</f>
        <v>-0.02</v>
      </c>
      <c r="F114" s="25">
        <f>IF(Volcanic!G114="","",Volcanic!G114)</f>
        <v>5.0600000000000003E-3</v>
      </c>
      <c r="G114" s="19">
        <f>IF(Solar!D114="","",Solar!D114)</f>
        <v>1361.11</v>
      </c>
      <c r="H114" s="20">
        <f t="shared" si="9"/>
        <v>0.20405126118938038</v>
      </c>
      <c r="I114" s="20">
        <f t="shared" si="10"/>
        <v>-8.9579878151472059E-2</v>
      </c>
      <c r="J114" s="25">
        <f t="shared" si="11"/>
        <v>9.0680983160609692E-3</v>
      </c>
      <c r="K114" s="19">
        <f t="shared" si="12"/>
        <v>1361.0421239297393</v>
      </c>
      <c r="L114" s="20">
        <f t="shared" si="13"/>
        <v>-3.1206603995432007E-2</v>
      </c>
      <c r="M114" s="20">
        <f t="shared" si="14"/>
        <v>5.1206603995435133E-2</v>
      </c>
      <c r="AB114" s="20">
        <f t="shared" si="15"/>
        <v>-2.0917498695352504E-2</v>
      </c>
    </row>
    <row r="115" spans="1:28">
      <c r="A115" s="18" t="str">
        <f>Analysis!A115</f>
        <v>8/1967</v>
      </c>
      <c r="B115" s="19">
        <f>Analysis!B115</f>
        <v>1967.625</v>
      </c>
      <c r="C115" s="19">
        <f>Analysis!E115</f>
        <v>1.0000000000001563E-2</v>
      </c>
      <c r="D115" s="20">
        <f>Analysis!F115</f>
        <v>0.1967868752001786</v>
      </c>
      <c r="E115" s="19">
        <f>IF(ENSO!F115="","",ENSO!F115)</f>
        <v>-0.26</v>
      </c>
      <c r="F115" s="25">
        <f>IF(Volcanic!G115="","",Volcanic!G115)</f>
        <v>5.0499999999999998E-3</v>
      </c>
      <c r="G115" s="19">
        <f>IF(Solar!D115="","",Solar!D115)</f>
        <v>1361.17</v>
      </c>
      <c r="H115" s="20">
        <f t="shared" si="9"/>
        <v>0.1967868752001786</v>
      </c>
      <c r="I115" s="20">
        <f t="shared" si="10"/>
        <v>-0.11574248130158943</v>
      </c>
      <c r="J115" s="25">
        <f t="shared" si="11"/>
        <v>8.7468289131233841E-3</v>
      </c>
      <c r="K115" s="19">
        <f t="shared" si="12"/>
        <v>1361.0523483357917</v>
      </c>
      <c r="L115" s="20">
        <f t="shared" si="13"/>
        <v>-5.3452992126150803E-2</v>
      </c>
      <c r="M115" s="20">
        <f t="shared" si="14"/>
        <v>6.3452992126152366E-2</v>
      </c>
      <c r="AB115" s="20">
        <f t="shared" si="15"/>
        <v>-4.2589737907328326E-2</v>
      </c>
    </row>
    <row r="116" spans="1:28">
      <c r="A116" s="18" t="str">
        <f>Analysis!A116</f>
        <v>9/1967</v>
      </c>
      <c r="B116" s="19">
        <f>Analysis!B116</f>
        <v>1967.7083333333333</v>
      </c>
      <c r="C116" s="19">
        <f>Analysis!E116</f>
        <v>-6.0000000000000497E-2</v>
      </c>
      <c r="D116" s="20">
        <f>Analysis!F116</f>
        <v>0.18925979275775742</v>
      </c>
      <c r="E116" s="19">
        <f>IF(ENSO!F116="","",ENSO!F116)</f>
        <v>-0.4</v>
      </c>
      <c r="F116" s="25">
        <f>IF(Volcanic!G116="","",Volcanic!G116)</f>
        <v>5.0200000000000002E-3</v>
      </c>
      <c r="G116" s="19">
        <f>IF(Solar!D116="","",Solar!D116)</f>
        <v>1361.5</v>
      </c>
      <c r="H116" s="20">
        <f t="shared" si="9"/>
        <v>0.18925979275775742</v>
      </c>
      <c r="I116" s="20">
        <f t="shared" si="10"/>
        <v>-0.15938120525904342</v>
      </c>
      <c r="J116" s="25">
        <f t="shared" si="11"/>
        <v>8.44884812579824E-3</v>
      </c>
      <c r="K116" s="19">
        <f t="shared" si="12"/>
        <v>1361.0881405866457</v>
      </c>
      <c r="L116" s="20">
        <f t="shared" si="13"/>
        <v>-7.8955008200973037E-2</v>
      </c>
      <c r="M116" s="20">
        <f t="shared" si="14"/>
        <v>1.895500820097254E-2</v>
      </c>
      <c r="AB116" s="20">
        <f t="shared" si="15"/>
        <v>-6.7352977172159309E-2</v>
      </c>
    </row>
    <row r="117" spans="1:28">
      <c r="A117" s="18" t="str">
        <f>Analysis!A117</f>
        <v>10/1967</v>
      </c>
      <c r="B117" s="19">
        <f>Analysis!B117</f>
        <v>1967.7916666666667</v>
      </c>
      <c r="C117" s="19">
        <f>Analysis!E117</f>
        <v>8.9999999999999858E-2</v>
      </c>
      <c r="D117" s="20">
        <f>Analysis!F117</f>
        <v>0.18989231596006176</v>
      </c>
      <c r="E117" s="19">
        <f>IF(ENSO!F117="","",ENSO!F117)</f>
        <v>-0.4</v>
      </c>
      <c r="F117" s="25">
        <f>IF(Volcanic!G117="","",Volcanic!G117)</f>
        <v>5.0000000000000001E-3</v>
      </c>
      <c r="G117" s="19">
        <f>IF(Solar!D117="","",Solar!D117)</f>
        <v>1361.37</v>
      </c>
      <c r="H117" s="20">
        <f t="shared" si="9"/>
        <v>0.18989231596006176</v>
      </c>
      <c r="I117" s="20">
        <f t="shared" si="10"/>
        <v>-0.19632058758657445</v>
      </c>
      <c r="J117" s="25">
        <f t="shared" si="11"/>
        <v>8.1730934550454798E-3</v>
      </c>
      <c r="K117" s="19">
        <f t="shared" si="12"/>
        <v>1361.1106768210327</v>
      </c>
      <c r="L117" s="20">
        <f t="shared" si="13"/>
        <v>-8.1522012894551146E-2</v>
      </c>
      <c r="M117" s="20">
        <f t="shared" si="14"/>
        <v>0.17152201289455099</v>
      </c>
      <c r="AB117" s="20">
        <f t="shared" si="15"/>
        <v>-6.94456162138124E-2</v>
      </c>
    </row>
    <row r="118" spans="1:28">
      <c r="A118" s="18" t="str">
        <f>Analysis!A118</f>
        <v>11/1967</v>
      </c>
      <c r="B118" s="19">
        <f>Analysis!B118</f>
        <v>1967.875</v>
      </c>
      <c r="C118" s="19">
        <f>Analysis!E118</f>
        <v>-5.0000000000000711E-2</v>
      </c>
      <c r="D118" s="20">
        <f>Analysis!F118</f>
        <v>0.19593247773807179</v>
      </c>
      <c r="E118" s="19">
        <f>IF(ENSO!F118="","",ENSO!F118)</f>
        <v>-0.36</v>
      </c>
      <c r="F118" s="25">
        <f>IF(Volcanic!G118="","",Volcanic!G118)</f>
        <v>4.8399999999999997E-3</v>
      </c>
      <c r="G118" s="19">
        <f>IF(Solar!D118="","",Solar!D118)</f>
        <v>1361.23</v>
      </c>
      <c r="H118" s="20">
        <f t="shared" si="9"/>
        <v>0.19593247773807179</v>
      </c>
      <c r="I118" s="20">
        <f t="shared" si="10"/>
        <v>-0.22144836865120132</v>
      </c>
      <c r="J118" s="25">
        <f t="shared" si="11"/>
        <v>7.906594016752146E-3</v>
      </c>
      <c r="K118" s="19">
        <f t="shared" si="12"/>
        <v>1361.1202173756553</v>
      </c>
      <c r="L118" s="20">
        <f t="shared" si="13"/>
        <v>-6.7830354686845798E-2</v>
      </c>
      <c r="M118" s="20">
        <f t="shared" si="14"/>
        <v>1.7830354686845087E-2</v>
      </c>
      <c r="AB118" s="20">
        <f t="shared" si="15"/>
        <v>-5.552376337424484E-2</v>
      </c>
    </row>
    <row r="119" spans="1:28">
      <c r="A119" s="18" t="str">
        <f>Analysis!A119</f>
        <v>12/1967</v>
      </c>
      <c r="B119" s="19">
        <f>Analysis!B119</f>
        <v>1967.9583333333333</v>
      </c>
      <c r="C119" s="19">
        <f>Analysis!E119</f>
        <v>-5.0000000000000711E-2</v>
      </c>
      <c r="D119" s="20">
        <f>Analysis!F119</f>
        <v>0.20145463326198595</v>
      </c>
      <c r="E119" s="19">
        <f>IF(ENSO!F119="","",ENSO!F119)</f>
        <v>-0.42</v>
      </c>
      <c r="F119" s="25">
        <f>IF(Volcanic!G119="","",Volcanic!G119)</f>
        <v>4.6499999999999996E-3</v>
      </c>
      <c r="G119" s="19">
        <f>IF(Solar!D119="","",Solar!D119)</f>
        <v>1361.22</v>
      </c>
      <c r="H119" s="20">
        <f t="shared" si="9"/>
        <v>0.20145463326198595</v>
      </c>
      <c r="I119" s="20">
        <f t="shared" si="10"/>
        <v>-0.25192967261602356</v>
      </c>
      <c r="J119" s="25">
        <f t="shared" si="11"/>
        <v>7.6462111358280849E-3</v>
      </c>
      <c r="K119" s="19">
        <f t="shared" si="12"/>
        <v>1361.1281955537947</v>
      </c>
      <c r="L119" s="20">
        <f t="shared" si="13"/>
        <v>-5.6315719562849482E-2</v>
      </c>
      <c r="M119" s="20">
        <f t="shared" si="14"/>
        <v>6.315719562848772E-3</v>
      </c>
      <c r="AB119" s="20">
        <f t="shared" si="15"/>
        <v>-4.3717892563813185E-2</v>
      </c>
    </row>
    <row r="120" spans="1:28">
      <c r="A120" s="18" t="str">
        <f>Analysis!A120</f>
        <v>1/1968</v>
      </c>
      <c r="B120" s="19">
        <f>Analysis!B120</f>
        <v>1968.0416666666667</v>
      </c>
      <c r="C120" s="19">
        <f>Analysis!E120</f>
        <v>-0.25999999999999979</v>
      </c>
      <c r="D120" s="20">
        <f>Analysis!F120</f>
        <v>0.20418544249569365</v>
      </c>
      <c r="E120" s="19">
        <f>IF(ENSO!F120="","",ENSO!F120)</f>
        <v>-0.62</v>
      </c>
      <c r="F120" s="25">
        <f>IF(Volcanic!G120="","",Volcanic!G120)</f>
        <v>4.4999999999999997E-3</v>
      </c>
      <c r="G120" s="19">
        <f>IF(Solar!D120="","",Solar!D120)</f>
        <v>1361.36</v>
      </c>
      <c r="H120" s="20">
        <f t="shared" si="9"/>
        <v>0.20418544249569365</v>
      </c>
      <c r="I120" s="20">
        <f t="shared" si="10"/>
        <v>-0.30843519439495859</v>
      </c>
      <c r="J120" s="25">
        <f t="shared" si="11"/>
        <v>7.3946539827632086E-3</v>
      </c>
      <c r="K120" s="19">
        <f t="shared" si="12"/>
        <v>1361.1467296139826</v>
      </c>
      <c r="L120" s="20">
        <f t="shared" si="13"/>
        <v>-5.6051873645438427E-2</v>
      </c>
      <c r="M120" s="20">
        <f t="shared" si="14"/>
        <v>-0.20394812635456136</v>
      </c>
      <c r="AB120" s="20">
        <f t="shared" si="15"/>
        <v>-4.2849856418441162E-2</v>
      </c>
    </row>
    <row r="121" spans="1:28">
      <c r="A121" s="18" t="str">
        <f>Analysis!A121</f>
        <v>2/1968</v>
      </c>
      <c r="B121" s="19">
        <f>Analysis!B121</f>
        <v>1968.125</v>
      </c>
      <c r="C121" s="19">
        <f>Analysis!E121</f>
        <v>-0.13999999999999879</v>
      </c>
      <c r="D121" s="20">
        <f>Analysis!F121</f>
        <v>0.20677716444561006</v>
      </c>
      <c r="E121" s="19">
        <f>IF(ENSO!F121="","",ENSO!F121)</f>
        <v>-0.73</v>
      </c>
      <c r="F121" s="25">
        <f>IF(Volcanic!G121="","",Volcanic!G121)</f>
        <v>4.3099999999999996E-3</v>
      </c>
      <c r="G121" s="19">
        <f>IF(Solar!D121="","",Solar!D121)</f>
        <v>1361.48</v>
      </c>
      <c r="H121" s="20">
        <f t="shared" si="9"/>
        <v>0.20677716444561006</v>
      </c>
      <c r="I121" s="20">
        <f t="shared" si="10"/>
        <v>-0.37315309619826809</v>
      </c>
      <c r="J121" s="25">
        <f t="shared" si="11"/>
        <v>7.1480186679053863E-3</v>
      </c>
      <c r="K121" s="19">
        <f t="shared" si="12"/>
        <v>1361.1733764427834</v>
      </c>
      <c r="L121" s="20">
        <f t="shared" si="13"/>
        <v>-5.7339779766742691E-2</v>
      </c>
      <c r="M121" s="20">
        <f t="shared" si="14"/>
        <v>-8.2660220233256101E-2</v>
      </c>
      <c r="AB121" s="20">
        <f t="shared" si="15"/>
        <v>-4.3452996757827614E-2</v>
      </c>
    </row>
    <row r="122" spans="1:28">
      <c r="A122" s="18" t="str">
        <f>Analysis!A122</f>
        <v>3/1968</v>
      </c>
      <c r="B122" s="19">
        <f>Analysis!B122</f>
        <v>1968.2083333333333</v>
      </c>
      <c r="C122" s="19">
        <f>Analysis!E122</f>
        <v>0.20000000000000107</v>
      </c>
      <c r="D122" s="20">
        <f>Analysis!F122</f>
        <v>0.21007709890320869</v>
      </c>
      <c r="E122" s="19">
        <f>IF(ENSO!F122="","",ENSO!F122)</f>
        <v>-0.63</v>
      </c>
      <c r="F122" s="25">
        <f>IF(Volcanic!G122="","",Volcanic!G122)</f>
        <v>4.1900000000000001E-3</v>
      </c>
      <c r="G122" s="19">
        <f>IF(Solar!D122="","",Solar!D122)</f>
        <v>1361.47</v>
      </c>
      <c r="H122" s="20">
        <f t="shared" si="9"/>
        <v>0.21007709890320869</v>
      </c>
      <c r="I122" s="20">
        <f t="shared" si="10"/>
        <v>-0.41258378983709632</v>
      </c>
      <c r="J122" s="25">
        <f t="shared" si="11"/>
        <v>6.9115085537756219E-3</v>
      </c>
      <c r="K122" s="19">
        <f t="shared" si="12"/>
        <v>1361.1970931529354</v>
      </c>
      <c r="L122" s="20">
        <f t="shared" si="13"/>
        <v>-5.3178349067528205E-2</v>
      </c>
      <c r="M122" s="20">
        <f t="shared" si="14"/>
        <v>0.25317834906752928</v>
      </c>
      <c r="AB122" s="20">
        <f t="shared" si="15"/>
        <v>-3.8873356081235752E-2</v>
      </c>
    </row>
    <row r="123" spans="1:28">
      <c r="A123" s="18" t="str">
        <f>Analysis!A123</f>
        <v>4/1968</v>
      </c>
      <c r="B123" s="19">
        <f>Analysis!B123</f>
        <v>1968.2916666666667</v>
      </c>
      <c r="C123" s="19">
        <f>Analysis!E123</f>
        <v>-6.0000000000000497E-2</v>
      </c>
      <c r="D123" s="20">
        <f>Analysis!F123</f>
        <v>0.21510166947251774</v>
      </c>
      <c r="E123" s="19">
        <f>IF(ENSO!F123="","",ENSO!F123)</f>
        <v>-0.48</v>
      </c>
      <c r="F123" s="25">
        <f>IF(Volcanic!G123="","",Volcanic!G123)</f>
        <v>4.1799999999999997E-3</v>
      </c>
      <c r="G123" s="19">
        <f>IF(Solar!D123="","",Solar!D123)</f>
        <v>1361.48</v>
      </c>
      <c r="H123" s="20">
        <f t="shared" si="9"/>
        <v>0.21510166947251774</v>
      </c>
      <c r="I123" s="20">
        <f t="shared" si="10"/>
        <v>-0.42293341013571717</v>
      </c>
      <c r="J123" s="25">
        <f t="shared" si="11"/>
        <v>6.6931091884134819E-3</v>
      </c>
      <c r="K123" s="19">
        <f t="shared" si="12"/>
        <v>1361.2197131354978</v>
      </c>
      <c r="L123" s="20">
        <f t="shared" si="13"/>
        <v>-4.0310691343956567E-2</v>
      </c>
      <c r="M123" s="20">
        <f t="shared" si="14"/>
        <v>-1.968930865604393E-2</v>
      </c>
      <c r="AB123" s="20">
        <f t="shared" si="15"/>
        <v>-2.5918166767462742E-2</v>
      </c>
    </row>
    <row r="124" spans="1:28">
      <c r="A124" s="18" t="str">
        <f>Analysis!A124</f>
        <v>5/1968</v>
      </c>
      <c r="B124" s="19">
        <f>Analysis!B124</f>
        <v>1968.375</v>
      </c>
      <c r="C124" s="19">
        <f>Analysis!E124</f>
        <v>-0.13999999999999879</v>
      </c>
      <c r="D124" s="20">
        <f>Analysis!F124</f>
        <v>0.21754093986252426</v>
      </c>
      <c r="E124" s="19">
        <f>IF(ENSO!F124="","",ENSO!F124)</f>
        <v>-0.1</v>
      </c>
      <c r="F124" s="25">
        <f>IF(Volcanic!G124="","",Volcanic!G124)</f>
        <v>4.1900000000000001E-3</v>
      </c>
      <c r="G124" s="19">
        <f>IF(Solar!D124="","",Solar!D124)</f>
        <v>1361.15</v>
      </c>
      <c r="H124" s="20">
        <f t="shared" si="9"/>
        <v>0.21754093986252426</v>
      </c>
      <c r="I124" s="20">
        <f t="shared" si="10"/>
        <v>-0.37335723003649002</v>
      </c>
      <c r="J124" s="25">
        <f t="shared" si="11"/>
        <v>6.4929716280071629E-3</v>
      </c>
      <c r="K124" s="19">
        <f t="shared" si="12"/>
        <v>1361.2141391809412</v>
      </c>
      <c r="L124" s="20">
        <f t="shared" si="13"/>
        <v>-2.6039298542584601E-2</v>
      </c>
      <c r="M124" s="20">
        <f t="shared" si="14"/>
        <v>-0.11396070145741419</v>
      </c>
      <c r="AB124" s="20">
        <f t="shared" si="15"/>
        <v>-1.208951755091775E-2</v>
      </c>
    </row>
    <row r="125" spans="1:28">
      <c r="A125" s="18" t="str">
        <f>Analysis!A125</f>
        <v>6/1968</v>
      </c>
      <c r="B125" s="19">
        <f>Analysis!B125</f>
        <v>1968.4583333333333</v>
      </c>
      <c r="C125" s="19">
        <f>Analysis!E125</f>
        <v>-9.0000000000001634E-2</v>
      </c>
      <c r="D125" s="20">
        <f>Analysis!F125</f>
        <v>0.21661006874244201</v>
      </c>
      <c r="E125" s="19">
        <f>IF(ENSO!F125="","",ENSO!F125)</f>
        <v>0.17</v>
      </c>
      <c r="F125" s="25">
        <f>IF(Volcanic!G125="","",Volcanic!G125)</f>
        <v>5.4400000000000004E-3</v>
      </c>
      <c r="G125" s="19">
        <f>IF(Solar!D125="","",Solar!D125)</f>
        <v>1361.12</v>
      </c>
      <c r="H125" s="20">
        <f t="shared" si="9"/>
        <v>0.21661006874244201</v>
      </c>
      <c r="I125" s="20">
        <f t="shared" si="10"/>
        <v>-0.28994196531307431</v>
      </c>
      <c r="J125" s="25">
        <f t="shared" si="11"/>
        <v>6.4087806651111356E-3</v>
      </c>
      <c r="K125" s="19">
        <f t="shared" si="12"/>
        <v>1361.2066122276226</v>
      </c>
      <c r="L125" s="20">
        <f t="shared" si="13"/>
        <v>-1.6499284757979172E-2</v>
      </c>
      <c r="M125" s="20">
        <f t="shared" si="14"/>
        <v>-7.3500715242022466E-2</v>
      </c>
      <c r="AB125" s="20">
        <f t="shared" si="15"/>
        <v>-3.297485765392006E-3</v>
      </c>
    </row>
    <row r="126" spans="1:28">
      <c r="A126" s="18" t="str">
        <f>Analysis!A126</f>
        <v>7/1968</v>
      </c>
      <c r="B126" s="19">
        <f>Analysis!B126</f>
        <v>1968.5416666666667</v>
      </c>
      <c r="C126" s="19">
        <f>Analysis!E126</f>
        <v>-0.13000000000000256</v>
      </c>
      <c r="D126" s="20">
        <f>Analysis!F126</f>
        <v>0.21119023804218459</v>
      </c>
      <c r="E126" s="19">
        <f>IF(ENSO!F126="","",ENSO!F126)</f>
        <v>0.44</v>
      </c>
      <c r="F126" s="25">
        <f>IF(Volcanic!G126="","",Volcanic!G126)</f>
        <v>1.0580000000000001E-2</v>
      </c>
      <c r="G126" s="19">
        <f>IF(Solar!D126="","",Solar!D126)</f>
        <v>1361.32</v>
      </c>
      <c r="H126" s="20">
        <f t="shared" si="9"/>
        <v>0.21119023804218459</v>
      </c>
      <c r="I126" s="20">
        <f t="shared" si="10"/>
        <v>-0.17788253386825598</v>
      </c>
      <c r="J126" s="25">
        <f t="shared" si="11"/>
        <v>6.7422929487416603E-3</v>
      </c>
      <c r="K126" s="19">
        <f t="shared" si="12"/>
        <v>1361.215678213337</v>
      </c>
      <c r="L126" s="20">
        <f t="shared" si="13"/>
        <v>-1.6472913364496213E-2</v>
      </c>
      <c r="M126" s="20">
        <f t="shared" si="14"/>
        <v>-0.11352708663550634</v>
      </c>
      <c r="AB126" s="20">
        <f t="shared" si="15"/>
        <v>-4.3909177335794344E-3</v>
      </c>
    </row>
    <row r="127" spans="1:28">
      <c r="A127" s="18" t="str">
        <f>Analysis!A127</f>
        <v>8/1968</v>
      </c>
      <c r="B127" s="19">
        <f>Analysis!B127</f>
        <v>1968.625</v>
      </c>
      <c r="C127" s="19">
        <f>Analysis!E127</f>
        <v>-8.0000000000001847E-2</v>
      </c>
      <c r="D127" s="20">
        <f>Analysis!F127</f>
        <v>0.20212662313900553</v>
      </c>
      <c r="E127" s="19">
        <f>IF(ENSO!F127="","",ENSO!F127)</f>
        <v>0.38</v>
      </c>
      <c r="F127" s="25">
        <f>IF(Volcanic!G127="","",Volcanic!G127)</f>
        <v>1.392E-2</v>
      </c>
      <c r="G127" s="19">
        <f>IF(Solar!D127="","",Solar!D127)</f>
        <v>1361.19</v>
      </c>
      <c r="H127" s="20">
        <f t="shared" si="9"/>
        <v>0.20212662313900553</v>
      </c>
      <c r="I127" s="20">
        <f t="shared" si="10"/>
        <v>-9.2237369555147775E-2</v>
      </c>
      <c r="J127" s="25">
        <f t="shared" si="11"/>
        <v>7.316190717644255E-3</v>
      </c>
      <c r="K127" s="19">
        <f t="shared" si="12"/>
        <v>1361.2136250967583</v>
      </c>
      <c r="L127" s="20">
        <f t="shared" si="13"/>
        <v>-3.0843054087888268E-2</v>
      </c>
      <c r="M127" s="20">
        <f t="shared" si="14"/>
        <v>-4.915694591211358E-2</v>
      </c>
      <c r="AB127" s="20">
        <f t="shared" si="15"/>
        <v>-1.9654039231725404E-2</v>
      </c>
    </row>
    <row r="128" spans="1:28">
      <c r="A128" s="18" t="str">
        <f>Analysis!A128</f>
        <v>9/1968</v>
      </c>
      <c r="B128" s="19">
        <f>Analysis!B128</f>
        <v>1968.7083333333333</v>
      </c>
      <c r="C128" s="19">
        <f>Analysis!E128</f>
        <v>-0.18999999999999773</v>
      </c>
      <c r="D128" s="20">
        <f>Analysis!F128</f>
        <v>0.19413209059412975</v>
      </c>
      <c r="E128" s="19">
        <f>IF(ENSO!F128="","",ENSO!F128)</f>
        <v>0.34</v>
      </c>
      <c r="F128" s="25">
        <f>IF(Volcanic!G128="","",Volcanic!G128)</f>
        <v>1.6070000000000001E-2</v>
      </c>
      <c r="G128" s="19">
        <f>IF(Solar!D128="","",Solar!D128)</f>
        <v>1361.33</v>
      </c>
      <c r="H128" s="20">
        <f t="shared" si="9"/>
        <v>0.19413209059412975</v>
      </c>
      <c r="I128" s="20">
        <f t="shared" si="10"/>
        <v>-2.5881034143223305E-2</v>
      </c>
      <c r="J128" s="25">
        <f t="shared" si="11"/>
        <v>8.0161066630382721E-3</v>
      </c>
      <c r="K128" s="19">
        <f t="shared" si="12"/>
        <v>1361.2229299202695</v>
      </c>
      <c r="L128" s="20">
        <f t="shared" si="13"/>
        <v>-4.5471769863387232E-2</v>
      </c>
      <c r="M128" s="20">
        <f t="shared" si="14"/>
        <v>-0.14452823013661048</v>
      </c>
      <c r="AB128" s="20">
        <f t="shared" si="15"/>
        <v>-3.5072992224658595E-2</v>
      </c>
    </row>
    <row r="129" spans="1:28">
      <c r="A129" s="18" t="str">
        <f>Analysis!A129</f>
        <v>10/1968</v>
      </c>
      <c r="B129" s="19">
        <f>Analysis!B129</f>
        <v>1968.7916666666667</v>
      </c>
      <c r="C129" s="19">
        <f>Analysis!E129</f>
        <v>8.9999999999999858E-2</v>
      </c>
      <c r="D129" s="20">
        <f>Analysis!F129</f>
        <v>0.19377174339668018</v>
      </c>
      <c r="E129" s="19">
        <f>IF(ENSO!F129="","",ENSO!F129)</f>
        <v>0.5</v>
      </c>
      <c r="F129" s="25">
        <f>IF(Volcanic!G129="","",Volcanic!G129)</f>
        <v>1.738E-2</v>
      </c>
      <c r="G129" s="19">
        <f>IF(Solar!D129="","",Solar!D129)</f>
        <v>1361.27</v>
      </c>
      <c r="H129" s="20">
        <f t="shared" si="9"/>
        <v>0.19377174339668018</v>
      </c>
      <c r="I129" s="20">
        <f t="shared" si="10"/>
        <v>5.4851315131184394E-2</v>
      </c>
      <c r="J129" s="25">
        <f t="shared" si="11"/>
        <v>8.7648022361436258E-3</v>
      </c>
      <c r="K129" s="19">
        <f t="shared" si="12"/>
        <v>1361.226693436048</v>
      </c>
      <c r="L129" s="20">
        <f t="shared" si="13"/>
        <v>-3.7593042226715653E-2</v>
      </c>
      <c r="M129" s="20">
        <f t="shared" si="14"/>
        <v>0.12759304222671553</v>
      </c>
      <c r="AB129" s="20">
        <f t="shared" si="15"/>
        <v>-2.8323812525196217E-2</v>
      </c>
    </row>
    <row r="130" spans="1:28">
      <c r="A130" s="18" t="str">
        <f>Analysis!A130</f>
        <v>11/1968</v>
      </c>
      <c r="B130" s="19">
        <f>Analysis!B130</f>
        <v>1968.875</v>
      </c>
      <c r="C130" s="19">
        <f>Analysis!E130</f>
        <v>-5.0000000000000711E-2</v>
      </c>
      <c r="D130" s="20">
        <f>Analysis!F130</f>
        <v>0.19858395445706917</v>
      </c>
      <c r="E130" s="19">
        <f>IF(ENSO!F130="","",ENSO!F130)</f>
        <v>0.66</v>
      </c>
      <c r="F130" s="25">
        <f>IF(Volcanic!G130="","",Volcanic!G130)</f>
        <v>1.7930000000000001E-2</v>
      </c>
      <c r="G130" s="19">
        <f>IF(Solar!D130="","",Solar!D130)</f>
        <v>1361.4</v>
      </c>
      <c r="H130" s="20">
        <f t="shared" ref="H130:H193" si="16">IF(D130="","",IF(OR(ROW()=2,H129=""),D130,$Q$3*H129+(1-$Q$3)*D130))</f>
        <v>0.19858395445706917</v>
      </c>
      <c r="I130" s="20">
        <f t="shared" ref="I130:I193" si="17">IF(E130="","",IF(OR(ROW()=2,I129=""),E130,$Q$4*I129+(1-$Q$4)*E130))</f>
        <v>0.14775269741695829</v>
      </c>
      <c r="J130" s="25">
        <f t="shared" ref="J130:J193" si="18">IF(F130="","",IF(OR(ROW()=2,J129=""),F130,$Q$5*J129+(1-$Q$5)*F130))</f>
        <v>9.497610988390779E-3</v>
      </c>
      <c r="K130" s="19">
        <f t="shared" ref="K130:K193" si="19">IF(G130="","",IF(OR(ROW()=2,K129=""),G130,$Q$6*K129+(1-$Q$6)*G130))</f>
        <v>1361.2405502638173</v>
      </c>
      <c r="L130" s="20">
        <f t="shared" ref="L130:L193" si="20">IF(OR(I130="",J130=""),"",$P$13+$P$14*H130+$P$15*I130+$P$16*J130)</f>
        <v>-1.3955617283727666E-2</v>
      </c>
      <c r="M130" s="20">
        <f t="shared" ref="M130:M193" si="21">IF(L130="","",C130-L130)</f>
        <v>-3.6044382716273041E-2</v>
      </c>
      <c r="AB130" s="20">
        <f t="shared" ref="AB130:AB193" si="22">IF(OR(I130="",J130=""),"",$P$52+$P$53*H130+$P$54*I130+$P$55*J130)</f>
        <v>-6.0462276798991556E-3</v>
      </c>
    </row>
    <row r="131" spans="1:28">
      <c r="A131" s="18" t="str">
        <f>Analysis!A131</f>
        <v>12/1968</v>
      </c>
      <c r="B131" s="19">
        <f>Analysis!B131</f>
        <v>1968.9583333333333</v>
      </c>
      <c r="C131" s="19">
        <f>Analysis!E131</f>
        <v>-0.13999999999999879</v>
      </c>
      <c r="D131" s="20">
        <f>Analysis!F131</f>
        <v>0.20561593377604628</v>
      </c>
      <c r="E131" s="19">
        <f>IF(ENSO!F131="","",ENSO!F131)</f>
        <v>0.93</v>
      </c>
      <c r="F131" s="25">
        <f>IF(Volcanic!G131="","",Volcanic!G131)</f>
        <v>1.7989999999999999E-2</v>
      </c>
      <c r="G131" s="19">
        <f>IF(Solar!D131="","",Solar!D131)</f>
        <v>1361.08</v>
      </c>
      <c r="H131" s="20">
        <f t="shared" si="16"/>
        <v>0.20561593377604628</v>
      </c>
      <c r="I131" s="20">
        <f t="shared" si="17"/>
        <v>0.26784195401847671</v>
      </c>
      <c r="J131" s="25">
        <f t="shared" si="18"/>
        <v>1.0176624923009497E-2</v>
      </c>
      <c r="K131" s="19">
        <f t="shared" si="19"/>
        <v>1361.2277133734924</v>
      </c>
      <c r="L131" s="20">
        <f t="shared" si="20"/>
        <v>1.9703718952101226E-2</v>
      </c>
      <c r="M131" s="20">
        <f t="shared" si="21"/>
        <v>-0.1597037189521</v>
      </c>
      <c r="AB131" s="20">
        <f t="shared" si="22"/>
        <v>2.5963547753154202E-2</v>
      </c>
    </row>
    <row r="132" spans="1:28">
      <c r="A132" s="18" t="str">
        <f>Analysis!A132</f>
        <v>1/1969</v>
      </c>
      <c r="B132" s="19">
        <f>Analysis!B132</f>
        <v>1969.0416666666667</v>
      </c>
      <c r="C132" s="19">
        <f>Analysis!E132</f>
        <v>-0.10999999999999766</v>
      </c>
      <c r="D132" s="20">
        <f>Analysis!F132</f>
        <v>0.21056698593965839</v>
      </c>
      <c r="E132" s="19">
        <f>IF(ENSO!F132="","",ENSO!F132)</f>
        <v>0.98</v>
      </c>
      <c r="F132" s="25">
        <f>IF(Volcanic!G132="","",Volcanic!G132)</f>
        <v>1.7749999999999998E-2</v>
      </c>
      <c r="G132" s="19">
        <f>IF(Solar!D132="","",Solar!D132)</f>
        <v>1361.27</v>
      </c>
      <c r="H132" s="20">
        <f t="shared" si="16"/>
        <v>0.21056698593965839</v>
      </c>
      <c r="I132" s="20">
        <f t="shared" si="17"/>
        <v>0.37717122884283083</v>
      </c>
      <c r="J132" s="25">
        <f t="shared" si="18"/>
        <v>1.0782158560521967E-2</v>
      </c>
      <c r="K132" s="19">
        <f t="shared" si="19"/>
        <v>1361.2310944254682</v>
      </c>
      <c r="L132" s="20">
        <f t="shared" si="20"/>
        <v>4.6466680000832518E-2</v>
      </c>
      <c r="M132" s="20">
        <f t="shared" si="21"/>
        <v>-0.15646668000083017</v>
      </c>
      <c r="AB132" s="20">
        <f t="shared" si="22"/>
        <v>5.1264319201855015E-2</v>
      </c>
    </row>
    <row r="133" spans="1:28">
      <c r="A133" s="18" t="str">
        <f>Analysis!A133</f>
        <v>2/1969</v>
      </c>
      <c r="B133" s="19">
        <f>Analysis!B133</f>
        <v>1969.125</v>
      </c>
      <c r="C133" s="19">
        <f>Analysis!E133</f>
        <v>-0.17999999999999794</v>
      </c>
      <c r="D133" s="20">
        <f>Analysis!F133</f>
        <v>0.21239146441962328</v>
      </c>
      <c r="E133" s="19">
        <f>IF(ENSO!F133="","",ENSO!F133)</f>
        <v>0.98</v>
      </c>
      <c r="F133" s="25">
        <f>IF(Volcanic!G133="","",Volcanic!G133)</f>
        <v>1.7219999999999999E-2</v>
      </c>
      <c r="G133" s="19">
        <f>IF(Solar!D133="","",Solar!D133)</f>
        <v>1361.47</v>
      </c>
      <c r="H133" s="20">
        <f t="shared" si="16"/>
        <v>0.21239146441962328</v>
      </c>
      <c r="I133" s="20">
        <f t="shared" si="17"/>
        <v>0.46971646197719008</v>
      </c>
      <c r="J133" s="25">
        <f t="shared" si="18"/>
        <v>1.1296899941339034E-2</v>
      </c>
      <c r="K133" s="19">
        <f t="shared" si="19"/>
        <v>1361.2501962605281</v>
      </c>
      <c r="L133" s="20">
        <f t="shared" si="20"/>
        <v>6.2714263247258178E-2</v>
      </c>
      <c r="M133" s="20">
        <f t="shared" si="21"/>
        <v>-0.24271426324725612</v>
      </c>
      <c r="AB133" s="20">
        <f t="shared" si="22"/>
        <v>6.632793944885873E-2</v>
      </c>
    </row>
    <row r="134" spans="1:28">
      <c r="A134" s="18" t="str">
        <f>Analysis!A134</f>
        <v>3/1969</v>
      </c>
      <c r="B134" s="19">
        <f>Analysis!B134</f>
        <v>1969.2083333333333</v>
      </c>
      <c r="C134" s="19">
        <f>Analysis!E134</f>
        <v>1.0000000000001563E-2</v>
      </c>
      <c r="D134" s="20">
        <f>Analysis!F134</f>
        <v>0.21780679275778927</v>
      </c>
      <c r="E134" s="19">
        <f>IF(ENSO!F134="","",ENSO!F134)</f>
        <v>0.77</v>
      </c>
      <c r="F134" s="25">
        <f>IF(Volcanic!G134="","",Volcanic!G134)</f>
        <v>1.6590000000000001E-2</v>
      </c>
      <c r="G134" s="19">
        <f>IF(Solar!D134="","",Solar!D134)</f>
        <v>1361.33</v>
      </c>
      <c r="H134" s="20">
        <f t="shared" si="16"/>
        <v>0.21780679275778927</v>
      </c>
      <c r="I134" s="20">
        <f t="shared" si="17"/>
        <v>0.51581547277819551</v>
      </c>
      <c r="J134" s="25">
        <f t="shared" si="18"/>
        <v>1.1720112854954834E-2</v>
      </c>
      <c r="K134" s="19">
        <f t="shared" si="19"/>
        <v>1361.2565770152326</v>
      </c>
      <c r="L134" s="20">
        <f t="shared" si="20"/>
        <v>8.2428092152705204E-2</v>
      </c>
      <c r="M134" s="20">
        <f t="shared" si="21"/>
        <v>-7.2428092152703641E-2</v>
      </c>
      <c r="AB134" s="20">
        <f t="shared" si="22"/>
        <v>8.5268701975576539E-2</v>
      </c>
    </row>
    <row r="135" spans="1:28">
      <c r="A135" s="18" t="str">
        <f>Analysis!A135</f>
        <v>4/1969</v>
      </c>
      <c r="B135" s="19">
        <f>Analysis!B135</f>
        <v>1969.2916666666667</v>
      </c>
      <c r="C135" s="19">
        <f>Analysis!E135</f>
        <v>0.16999999999999993</v>
      </c>
      <c r="D135" s="20">
        <f>Analysis!F135</f>
        <v>0.22236297828007129</v>
      </c>
      <c r="E135" s="19">
        <f>IF(ENSO!F135="","",ENSO!F135)</f>
        <v>0.69</v>
      </c>
      <c r="F135" s="25">
        <f>IF(Volcanic!G135="","",Volcanic!G135)</f>
        <v>1.593E-2</v>
      </c>
      <c r="G135" s="19">
        <f>IF(Solar!D135="","",Solar!D135)</f>
        <v>1361.38</v>
      </c>
      <c r="H135" s="20">
        <f t="shared" si="16"/>
        <v>0.22236297828007129</v>
      </c>
      <c r="I135" s="20">
        <f t="shared" si="17"/>
        <v>0.54255598094803081</v>
      </c>
      <c r="J135" s="25">
        <f t="shared" si="18"/>
        <v>1.2056716845981408E-2</v>
      </c>
      <c r="K135" s="19">
        <f t="shared" si="19"/>
        <v>1361.266445372228</v>
      </c>
      <c r="L135" s="20">
        <f t="shared" si="20"/>
        <v>9.7380568881144075E-2</v>
      </c>
      <c r="M135" s="20">
        <f t="shared" si="21"/>
        <v>7.2619431118855854E-2</v>
      </c>
      <c r="AB135" s="20">
        <f t="shared" si="22"/>
        <v>9.9696851301885908E-2</v>
      </c>
    </row>
    <row r="136" spans="1:28">
      <c r="A136" s="18" t="str">
        <f>Analysis!A136</f>
        <v>5/1969</v>
      </c>
      <c r="B136" s="19">
        <f>Analysis!B136</f>
        <v>1969.375</v>
      </c>
      <c r="C136" s="19">
        <f>Analysis!E136</f>
        <v>0.17999999999999972</v>
      </c>
      <c r="D136" s="20">
        <f>Analysis!F136</f>
        <v>0.22553936152588727</v>
      </c>
      <c r="E136" s="19">
        <f>IF(ENSO!F136="","",ENSO!F136)</f>
        <v>0.62</v>
      </c>
      <c r="F136" s="25">
        <f>IF(Volcanic!G136="","",Volcanic!G136)</f>
        <v>1.52E-2</v>
      </c>
      <c r="G136" s="19">
        <f>IF(Solar!D136="","",Solar!D136)</f>
        <v>1361.6</v>
      </c>
      <c r="H136" s="20">
        <f t="shared" si="16"/>
        <v>0.22553936152588727</v>
      </c>
      <c r="I136" s="20">
        <f t="shared" si="17"/>
        <v>0.55444505317042747</v>
      </c>
      <c r="J136" s="25">
        <f t="shared" si="18"/>
        <v>1.2308039890546752E-2</v>
      </c>
      <c r="K136" s="19">
        <f t="shared" si="19"/>
        <v>1361.2931149277447</v>
      </c>
      <c r="L136" s="20">
        <f t="shared" si="20"/>
        <v>0.10679527632843797</v>
      </c>
      <c r="M136" s="20">
        <f t="shared" si="21"/>
        <v>7.320472367156175E-2</v>
      </c>
      <c r="AB136" s="20">
        <f t="shared" si="22"/>
        <v>0.10880366084277165</v>
      </c>
    </row>
    <row r="137" spans="1:28">
      <c r="A137" s="18" t="str">
        <f>Analysis!A137</f>
        <v>6/1969</v>
      </c>
      <c r="B137" s="19">
        <f>Analysis!B137</f>
        <v>1969.4583333333333</v>
      </c>
      <c r="C137" s="19">
        <f>Analysis!E137</f>
        <v>2.9999999999997584E-2</v>
      </c>
      <c r="D137" s="20">
        <f>Analysis!F137</f>
        <v>0.22258378655772451</v>
      </c>
      <c r="E137" s="19">
        <f>IF(ENSO!F137="","",ENSO!F137)</f>
        <v>0.48</v>
      </c>
      <c r="F137" s="25">
        <f>IF(Volcanic!G137="","",Volcanic!G137)</f>
        <v>1.4449999999999999E-2</v>
      </c>
      <c r="G137" s="19">
        <f>IF(Solar!D137="","",Solar!D137)</f>
        <v>1361.16</v>
      </c>
      <c r="H137" s="20">
        <f t="shared" si="16"/>
        <v>0.22258378655772451</v>
      </c>
      <c r="I137" s="20">
        <f t="shared" si="17"/>
        <v>0.5430163770172769</v>
      </c>
      <c r="J137" s="25">
        <f t="shared" si="18"/>
        <v>1.2479301564938726E-2</v>
      </c>
      <c r="K137" s="19">
        <f t="shared" si="19"/>
        <v>1361.2824716457753</v>
      </c>
      <c r="L137" s="20">
        <f t="shared" si="20"/>
        <v>9.6609077074139821E-2</v>
      </c>
      <c r="M137" s="20">
        <f t="shared" si="21"/>
        <v>-6.6609077074142237E-2</v>
      </c>
      <c r="AB137" s="20">
        <f t="shared" si="22"/>
        <v>9.871567661197532E-2</v>
      </c>
    </row>
    <row r="138" spans="1:28">
      <c r="A138" s="18" t="str">
        <f>Analysis!A138</f>
        <v>7/1969</v>
      </c>
      <c r="B138" s="19">
        <f>Analysis!B138</f>
        <v>1969.5416666666667</v>
      </c>
      <c r="C138" s="19">
        <f>Analysis!E138</f>
        <v>-3.9999999999999147E-2</v>
      </c>
      <c r="D138" s="20">
        <f>Analysis!F138</f>
        <v>0.21891398613294744</v>
      </c>
      <c r="E138" s="19">
        <f>IF(ENSO!F138="","",ENSO!F138)</f>
        <v>0.37</v>
      </c>
      <c r="F138" s="25">
        <f>IF(Volcanic!G138="","",Volcanic!G138)</f>
        <v>1.37E-2</v>
      </c>
      <c r="G138" s="19">
        <f>IF(Solar!D138="","",Solar!D138)</f>
        <v>1361.54</v>
      </c>
      <c r="H138" s="20">
        <f t="shared" si="16"/>
        <v>0.21891398613294744</v>
      </c>
      <c r="I138" s="20">
        <f t="shared" si="17"/>
        <v>0.51645520125190936</v>
      </c>
      <c r="J138" s="25">
        <f t="shared" si="18"/>
        <v>1.2576903222875118E-2</v>
      </c>
      <c r="K138" s="19">
        <f t="shared" si="19"/>
        <v>1361.303062476087</v>
      </c>
      <c r="L138" s="20">
        <f t="shared" si="20"/>
        <v>8.260585747394332E-2</v>
      </c>
      <c r="M138" s="20">
        <f t="shared" si="21"/>
        <v>-0.12260585747394247</v>
      </c>
      <c r="AB138" s="20">
        <f t="shared" si="22"/>
        <v>8.5008918956601398E-2</v>
      </c>
    </row>
    <row r="139" spans="1:28">
      <c r="A139" s="18" t="str">
        <f>Analysis!A139</f>
        <v>8/1969</v>
      </c>
      <c r="B139" s="19">
        <f>Analysis!B139</f>
        <v>1969.625</v>
      </c>
      <c r="C139" s="19">
        <f>Analysis!E139</f>
        <v>3.9999999999999147E-2</v>
      </c>
      <c r="D139" s="20">
        <f>Analysis!F139</f>
        <v>0.20905225179222678</v>
      </c>
      <c r="E139" s="19">
        <f>IF(ENSO!F139="","",ENSO!F139)</f>
        <v>0.41</v>
      </c>
      <c r="F139" s="25">
        <f>IF(Volcanic!G139="","",Volcanic!G139)</f>
        <v>1.3010000000000001E-2</v>
      </c>
      <c r="G139" s="19">
        <f>IF(Solar!D139="","",Solar!D139)</f>
        <v>1361.3</v>
      </c>
      <c r="H139" s="20">
        <f t="shared" si="16"/>
        <v>0.20905225179222678</v>
      </c>
      <c r="I139" s="20">
        <f t="shared" si="17"/>
        <v>0.50011238237929367</v>
      </c>
      <c r="J139" s="25">
        <f t="shared" si="18"/>
        <v>1.2611531729212292E-2</v>
      </c>
      <c r="K139" s="19">
        <f t="shared" si="19"/>
        <v>1361.3028176140187</v>
      </c>
      <c r="L139" s="20">
        <f t="shared" si="20"/>
        <v>5.3514224657750444E-2</v>
      </c>
      <c r="M139" s="20">
        <f t="shared" si="21"/>
        <v>-1.3514224657751296E-2</v>
      </c>
      <c r="AB139" s="20">
        <f t="shared" si="22"/>
        <v>5.6287749479166524E-2</v>
      </c>
    </row>
    <row r="140" spans="1:28">
      <c r="A140" s="18" t="str">
        <f>Analysis!A140</f>
        <v>9/1969</v>
      </c>
      <c r="B140" s="19">
        <f>Analysis!B140</f>
        <v>1969.7083333333333</v>
      </c>
      <c r="C140" s="19">
        <f>Analysis!E140</f>
        <v>8.0000000000000071E-2</v>
      </c>
      <c r="D140" s="20">
        <f>Analysis!F140</f>
        <v>0.20333541670858227</v>
      </c>
      <c r="E140" s="19">
        <f>IF(ENSO!F140="","",ENSO!F140)</f>
        <v>0.61</v>
      </c>
      <c r="F140" s="25">
        <f>IF(Volcanic!G140="","",Volcanic!G140)</f>
        <v>1.23E-2</v>
      </c>
      <c r="G140" s="19">
        <f>IF(Solar!D140="","",Solar!D140)</f>
        <v>1361.6</v>
      </c>
      <c r="H140" s="20">
        <f t="shared" si="16"/>
        <v>0.20333541670858227</v>
      </c>
      <c r="I140" s="20">
        <f t="shared" si="17"/>
        <v>0.51698213989230424</v>
      </c>
      <c r="J140" s="25">
        <f t="shared" si="18"/>
        <v>1.2586623027441584E-2</v>
      </c>
      <c r="K140" s="19">
        <f t="shared" si="19"/>
        <v>1361.3265790056516</v>
      </c>
      <c r="L140" s="20">
        <f t="shared" si="20"/>
        <v>4.0520084461658161E-2</v>
      </c>
      <c r="M140" s="20">
        <f t="shared" si="21"/>
        <v>3.947991553834191E-2</v>
      </c>
      <c r="AB140" s="20">
        <f t="shared" si="22"/>
        <v>4.3274048477269247E-2</v>
      </c>
    </row>
    <row r="141" spans="1:28">
      <c r="A141" s="18" t="str">
        <f>Analysis!A141</f>
        <v>10/1969</v>
      </c>
      <c r="B141" s="19">
        <f>Analysis!B141</f>
        <v>1969.7916666666667</v>
      </c>
      <c r="C141" s="19">
        <f>Analysis!E141</f>
        <v>8.9999999999999858E-2</v>
      </c>
      <c r="D141" s="20">
        <f>Analysis!F141</f>
        <v>0.20064783202506462</v>
      </c>
      <c r="E141" s="19">
        <f>IF(ENSO!F141="","",ENSO!F141)</f>
        <v>0.71</v>
      </c>
      <c r="F141" s="25">
        <f>IF(Volcanic!G141="","",Volcanic!G141)</f>
        <v>1.163E-2</v>
      </c>
      <c r="G141" s="19">
        <f>IF(Solar!D141="","",Solar!D141)</f>
        <v>1361.28</v>
      </c>
      <c r="H141" s="20">
        <f t="shared" si="16"/>
        <v>0.20064783202506462</v>
      </c>
      <c r="I141" s="20">
        <f t="shared" si="17"/>
        <v>0.54661390884134242</v>
      </c>
      <c r="J141" s="25">
        <f t="shared" si="18"/>
        <v>1.2510135673303424E-2</v>
      </c>
      <c r="K141" s="19">
        <f t="shared" si="19"/>
        <v>1361.3228547539886</v>
      </c>
      <c r="L141" s="20">
        <f t="shared" si="20"/>
        <v>3.7693526162599876E-2</v>
      </c>
      <c r="M141" s="20">
        <f t="shared" si="21"/>
        <v>5.2306473837399982E-2</v>
      </c>
      <c r="AB141" s="20">
        <f t="shared" si="22"/>
        <v>4.0258398398193833E-2</v>
      </c>
    </row>
    <row r="142" spans="1:28">
      <c r="A142" s="18" t="str">
        <f>Analysis!A142</f>
        <v>11/1969</v>
      </c>
      <c r="B142" s="19">
        <f>Analysis!B142</f>
        <v>1969.875</v>
      </c>
      <c r="C142" s="19">
        <f>Analysis!E142</f>
        <v>0.11999999999999744</v>
      </c>
      <c r="D142" s="20">
        <f>Analysis!F142</f>
        <v>0.2054371999150208</v>
      </c>
      <c r="E142" s="19">
        <f>IF(ENSO!F142="","",ENSO!F142)</f>
        <v>0.81</v>
      </c>
      <c r="F142" s="25">
        <f>IF(Volcanic!G142="","",Volcanic!G142)</f>
        <v>1.0840000000000001E-2</v>
      </c>
      <c r="G142" s="19">
        <f>IF(Solar!D142="","",Solar!D142)</f>
        <v>1361.17</v>
      </c>
      <c r="H142" s="20">
        <f t="shared" si="16"/>
        <v>0.2054371999150208</v>
      </c>
      <c r="I142" s="20">
        <f t="shared" si="17"/>
        <v>0.58704848724382297</v>
      </c>
      <c r="J142" s="25">
        <f t="shared" si="18"/>
        <v>1.2376598997895999E-2</v>
      </c>
      <c r="K142" s="19">
        <f t="shared" si="19"/>
        <v>1361.3106331626566</v>
      </c>
      <c r="L142" s="20">
        <f t="shared" si="20"/>
        <v>5.6803984265297383E-2</v>
      </c>
      <c r="M142" s="20">
        <f t="shared" si="21"/>
        <v>6.3196015734700059E-2</v>
      </c>
      <c r="AB142" s="20">
        <f t="shared" si="22"/>
        <v>5.8928877864503661E-2</v>
      </c>
    </row>
    <row r="143" spans="1:28">
      <c r="A143" s="18" t="str">
        <f>Analysis!A143</f>
        <v>12/1969</v>
      </c>
      <c r="B143" s="19">
        <f>Analysis!B143</f>
        <v>1969.9583333333333</v>
      </c>
      <c r="C143" s="19">
        <f>Analysis!E143</f>
        <v>0.24000000000000199</v>
      </c>
      <c r="D143" s="20">
        <f>Analysis!F143</f>
        <v>0.21105670668466028</v>
      </c>
      <c r="E143" s="19">
        <f>IF(ENSO!F143="","",ENSO!F143)</f>
        <v>0.71</v>
      </c>
      <c r="F143" s="25">
        <f>IF(Volcanic!G143="","",Volcanic!G143)</f>
        <v>1.0059999999999999E-2</v>
      </c>
      <c r="G143" s="19">
        <f>IF(Solar!D143="","",Solar!D143)</f>
        <v>1361.42</v>
      </c>
      <c r="H143" s="20">
        <f t="shared" si="16"/>
        <v>0.21105670668466028</v>
      </c>
      <c r="I143" s="20">
        <f t="shared" si="17"/>
        <v>0.60592379140424091</v>
      </c>
      <c r="J143" s="25">
        <f t="shared" si="18"/>
        <v>1.2191373968950101E-2</v>
      </c>
      <c r="K143" s="19">
        <f t="shared" si="19"/>
        <v>1361.3193776521566</v>
      </c>
      <c r="L143" s="20">
        <f t="shared" si="20"/>
        <v>7.5292162942884405E-2</v>
      </c>
      <c r="M143" s="20">
        <f t="shared" si="21"/>
        <v>0.16470783705711758</v>
      </c>
      <c r="AB143" s="20">
        <f t="shared" si="22"/>
        <v>7.7191531631826904E-2</v>
      </c>
    </row>
    <row r="144" spans="1:28">
      <c r="A144" s="18" t="str">
        <f>Analysis!A144</f>
        <v>1/1970</v>
      </c>
      <c r="B144" s="19">
        <f>Analysis!B144</f>
        <v>1970.0416666666667</v>
      </c>
      <c r="C144" s="19">
        <f>Analysis!E144</f>
        <v>8.0000000000000071E-2</v>
      </c>
      <c r="D144" s="20">
        <f>Analysis!F144</f>
        <v>0.21527921008816014</v>
      </c>
      <c r="E144" s="19">
        <f>IF(ENSO!F144="","",ENSO!F144)</f>
        <v>0.46</v>
      </c>
      <c r="F144" s="25">
        <f>IF(Volcanic!G144="","",Volcanic!G144)</f>
        <v>9.3399999999999993E-3</v>
      </c>
      <c r="G144" s="19">
        <f>IF(Solar!D144="","",Solar!D144)</f>
        <v>1361.36</v>
      </c>
      <c r="H144" s="20">
        <f t="shared" si="16"/>
        <v>0.21527921008816014</v>
      </c>
      <c r="I144" s="20">
        <f t="shared" si="17"/>
        <v>0.58352182265043995</v>
      </c>
      <c r="J144" s="25">
        <f t="shared" si="18"/>
        <v>1.1963390694151985E-2</v>
      </c>
      <c r="K144" s="19">
        <f t="shared" si="19"/>
        <v>1361.3226256357575</v>
      </c>
      <c r="L144" s="20">
        <f t="shared" si="20"/>
        <v>8.4322564584139448E-2</v>
      </c>
      <c r="M144" s="20">
        <f t="shared" si="21"/>
        <v>-4.3225645841393767E-3</v>
      </c>
      <c r="AB144" s="20">
        <f t="shared" si="22"/>
        <v>8.6449516186834982E-2</v>
      </c>
    </row>
    <row r="145" spans="1:28">
      <c r="A145" s="18" t="str">
        <f>Analysis!A145</f>
        <v>2/1970</v>
      </c>
      <c r="B145" s="19">
        <f>Analysis!B145</f>
        <v>1970.125</v>
      </c>
      <c r="C145" s="19">
        <f>Analysis!E145</f>
        <v>0.22000000000000242</v>
      </c>
      <c r="D145" s="20">
        <f>Analysis!F145</f>
        <v>0.21940088215824097</v>
      </c>
      <c r="E145" s="19">
        <f>IF(ENSO!F145="","",ENSO!F145)</f>
        <v>0.23</v>
      </c>
      <c r="F145" s="25">
        <f>IF(Volcanic!G145="","",Volcanic!G145)</f>
        <v>8.6400000000000001E-3</v>
      </c>
      <c r="G145" s="19">
        <f>IF(Solar!D145="","",Solar!D145)</f>
        <v>1361.09</v>
      </c>
      <c r="H145" s="20">
        <f t="shared" si="16"/>
        <v>0.21940088215824097</v>
      </c>
      <c r="I145" s="20">
        <f t="shared" si="17"/>
        <v>0.52924976222361819</v>
      </c>
      <c r="J145" s="25">
        <f t="shared" si="18"/>
        <v>1.1697667045785603E-2</v>
      </c>
      <c r="K145" s="19">
        <f t="shared" si="19"/>
        <v>1361.3040259168783</v>
      </c>
      <c r="L145" s="20">
        <f t="shared" si="20"/>
        <v>8.8710791934832278E-2</v>
      </c>
      <c r="M145" s="20">
        <f t="shared" si="21"/>
        <v>0.13128920806517014</v>
      </c>
      <c r="AB145" s="20">
        <f t="shared" si="22"/>
        <v>9.1394774009817936E-2</v>
      </c>
    </row>
    <row r="146" spans="1:28">
      <c r="A146" s="18" t="str">
        <f>Analysis!A146</f>
        <v>3/1970</v>
      </c>
      <c r="B146" s="19">
        <f>Analysis!B146</f>
        <v>1970.2083333333333</v>
      </c>
      <c r="C146" s="19">
        <f>Analysis!E146</f>
        <v>5.9999999999998721E-2</v>
      </c>
      <c r="D146" s="20">
        <f>Analysis!F146</f>
        <v>0.22355494169199039</v>
      </c>
      <c r="E146" s="19">
        <f>IF(ENSO!F146="","",ENSO!F146)</f>
        <v>0.23</v>
      </c>
      <c r="F146" s="25">
        <f>IF(Volcanic!G146="","",Volcanic!G146)</f>
        <v>8.0499999999999999E-3</v>
      </c>
      <c r="G146" s="19">
        <f>IF(Solar!D146="","",Solar!D146)</f>
        <v>1361.64</v>
      </c>
      <c r="H146" s="20">
        <f t="shared" si="16"/>
        <v>0.22355494169199039</v>
      </c>
      <c r="I146" s="20">
        <f t="shared" si="17"/>
        <v>0.48330945490015448</v>
      </c>
      <c r="J146" s="25">
        <f t="shared" si="18"/>
        <v>1.1406015691902487E-2</v>
      </c>
      <c r="K146" s="19">
        <f t="shared" si="19"/>
        <v>1361.3308889213636</v>
      </c>
      <c r="L146" s="20">
        <f t="shared" si="20"/>
        <v>9.445034234821309E-2</v>
      </c>
      <c r="M146" s="20">
        <f t="shared" si="21"/>
        <v>-3.4450342348214369E-2</v>
      </c>
      <c r="AB146" s="20">
        <f t="shared" si="22"/>
        <v>9.7622037755177318E-2</v>
      </c>
    </row>
    <row r="147" spans="1:28">
      <c r="A147" s="18" t="str">
        <f>Analysis!A147</f>
        <v>4/1970</v>
      </c>
      <c r="B147" s="19">
        <f>Analysis!B147</f>
        <v>1970.2916666666667</v>
      </c>
      <c r="C147" s="19">
        <f>Analysis!E147</f>
        <v>5.0000000000004263E-2</v>
      </c>
      <c r="D147" s="20">
        <f>Analysis!F147</f>
        <v>0.22884067425281851</v>
      </c>
      <c r="E147" s="19">
        <f>IF(ENSO!F147="","",ENSO!F147)</f>
        <v>0.28000000000000003</v>
      </c>
      <c r="F147" s="25">
        <f>IF(Volcanic!G147="","",Volcanic!G147)</f>
        <v>7.6099999999999996E-3</v>
      </c>
      <c r="G147" s="19">
        <f>IF(Solar!D147="","",Solar!D147)</f>
        <v>1361.35</v>
      </c>
      <c r="H147" s="20">
        <f t="shared" si="16"/>
        <v>0.22884067425281851</v>
      </c>
      <c r="I147" s="20">
        <f t="shared" si="17"/>
        <v>0.45209773807045328</v>
      </c>
      <c r="J147" s="25">
        <f t="shared" si="18"/>
        <v>1.1102503035180148E-2</v>
      </c>
      <c r="K147" s="19">
        <f t="shared" si="19"/>
        <v>1361.3324169588429</v>
      </c>
      <c r="L147" s="20">
        <f t="shared" si="20"/>
        <v>0.10536888460117599</v>
      </c>
      <c r="M147" s="20">
        <f t="shared" si="21"/>
        <v>-5.5368884601171731E-2</v>
      </c>
      <c r="AB147" s="20">
        <f t="shared" si="22"/>
        <v>0.10886479885610953</v>
      </c>
    </row>
    <row r="148" spans="1:28">
      <c r="A148" s="18" t="str">
        <f>Analysis!A148</f>
        <v>5/1970</v>
      </c>
      <c r="B148" s="19">
        <f>Analysis!B148</f>
        <v>1970.375</v>
      </c>
      <c r="C148" s="19">
        <f>Analysis!E148</f>
        <v>-2.9999999999999361E-2</v>
      </c>
      <c r="D148" s="20">
        <f>Analysis!F148</f>
        <v>0.22862082160752503</v>
      </c>
      <c r="E148" s="19">
        <f>IF(ENSO!F148="","",ENSO!F148)</f>
        <v>0.11</v>
      </c>
      <c r="F148" s="25">
        <f>IF(Volcanic!G148="","",Volcanic!G148)</f>
        <v>7.2300000000000003E-3</v>
      </c>
      <c r="G148" s="19">
        <f>IF(Solar!D148="","",Solar!D148)</f>
        <v>1361.24</v>
      </c>
      <c r="H148" s="20">
        <f t="shared" si="16"/>
        <v>0.22862082160752503</v>
      </c>
      <c r="I148" s="20">
        <f t="shared" si="17"/>
        <v>0.39957948340305477</v>
      </c>
      <c r="J148" s="25">
        <f t="shared" si="18"/>
        <v>1.0792874788152598E-2</v>
      </c>
      <c r="K148" s="19">
        <f t="shared" si="19"/>
        <v>1361.3250277068005</v>
      </c>
      <c r="L148" s="20">
        <f t="shared" si="20"/>
        <v>9.8413313648778006E-2</v>
      </c>
      <c r="M148" s="20">
        <f t="shared" si="21"/>
        <v>-0.12841331364877737</v>
      </c>
      <c r="AB148" s="20">
        <f t="shared" si="22"/>
        <v>0.10257052982862405</v>
      </c>
    </row>
    <row r="149" spans="1:28">
      <c r="A149" s="18" t="str">
        <f>Analysis!A149</f>
        <v>6/1970</v>
      </c>
      <c r="B149" s="19">
        <f>Analysis!B149</f>
        <v>1970.4583333333333</v>
      </c>
      <c r="C149" s="19">
        <f>Analysis!E149</f>
        <v>-1.9999999999999574E-2</v>
      </c>
      <c r="D149" s="20">
        <f>Analysis!F149</f>
        <v>0.22681676504986711</v>
      </c>
      <c r="E149" s="19">
        <f>IF(ENSO!F149="","",ENSO!F149)</f>
        <v>-0.26</v>
      </c>
      <c r="F149" s="25">
        <f>IF(Volcanic!G149="","",Volcanic!G149)</f>
        <v>6.9100000000000003E-3</v>
      </c>
      <c r="G149" s="19">
        <f>IF(Solar!D149="","",Solar!D149)</f>
        <v>1361.54</v>
      </c>
      <c r="H149" s="20">
        <f t="shared" si="16"/>
        <v>0.22681676504986711</v>
      </c>
      <c r="I149" s="20">
        <f t="shared" si="17"/>
        <v>0.29832197881347799</v>
      </c>
      <c r="J149" s="25">
        <f t="shared" si="18"/>
        <v>1.0482417261544816E-2</v>
      </c>
      <c r="K149" s="19">
        <f t="shared" si="19"/>
        <v>1361.3422159423417</v>
      </c>
      <c r="L149" s="20">
        <f t="shared" si="20"/>
        <v>8.0298462407867199E-2</v>
      </c>
      <c r="M149" s="20">
        <f t="shared" si="21"/>
        <v>-0.10029846240786677</v>
      </c>
      <c r="AB149" s="20">
        <f t="shared" si="22"/>
        <v>8.562697252658738E-2</v>
      </c>
    </row>
    <row r="150" spans="1:28">
      <c r="A150" s="18" t="str">
        <f>Analysis!A150</f>
        <v>7/1970</v>
      </c>
      <c r="B150" s="19">
        <f>Analysis!B150</f>
        <v>1970.5416666666667</v>
      </c>
      <c r="C150" s="19">
        <f>Analysis!E150</f>
        <v>2.0000000000003126E-2</v>
      </c>
      <c r="D150" s="20">
        <f>Analysis!F150</f>
        <v>0.2209490044667792</v>
      </c>
      <c r="E150" s="19">
        <f>IF(ENSO!F150="","",ENSO!F150)</f>
        <v>-0.55000000000000004</v>
      </c>
      <c r="F150" s="25">
        <f>IF(Volcanic!G150="","",Volcanic!G150)</f>
        <v>6.6499999999999997E-3</v>
      </c>
      <c r="G150" s="19">
        <f>IF(Solar!D150="","",Solar!D150)</f>
        <v>1361.33</v>
      </c>
      <c r="H150" s="20">
        <f t="shared" si="16"/>
        <v>0.2209490044667792</v>
      </c>
      <c r="I150" s="20">
        <f t="shared" si="17"/>
        <v>0.16808905188865184</v>
      </c>
      <c r="J150" s="25">
        <f t="shared" si="18"/>
        <v>1.0175994096013314E-2</v>
      </c>
      <c r="K150" s="19">
        <f t="shared" si="19"/>
        <v>1361.3412392095211</v>
      </c>
      <c r="L150" s="20">
        <f t="shared" si="20"/>
        <v>4.7091922564565195E-2</v>
      </c>
      <c r="M150" s="20">
        <f t="shared" si="21"/>
        <v>-2.7091922564562068E-2</v>
      </c>
      <c r="AB150" s="20">
        <f t="shared" si="22"/>
        <v>5.3965039153705881E-2</v>
      </c>
    </row>
    <row r="151" spans="1:28">
      <c r="A151" s="18" t="str">
        <f>Analysis!A151</f>
        <v>8/1970</v>
      </c>
      <c r="B151" s="19">
        <f>Analysis!B151</f>
        <v>1970.625</v>
      </c>
      <c r="C151" s="19">
        <f>Analysis!E151</f>
        <v>-0.10000000000000142</v>
      </c>
      <c r="D151" s="20">
        <f>Analysis!F151</f>
        <v>0.21359169145595572</v>
      </c>
      <c r="E151" s="19">
        <f>IF(ENSO!F151="","",ENSO!F151)</f>
        <v>-0.72</v>
      </c>
      <c r="F151" s="25">
        <f>IF(Volcanic!G151="","",Volcanic!G151)</f>
        <v>6.45E-3</v>
      </c>
      <c r="G151" s="19">
        <f>IF(Solar!D151="","",Solar!D151)</f>
        <v>1361.3</v>
      </c>
      <c r="H151" s="20">
        <f t="shared" si="16"/>
        <v>0.21359169145595572</v>
      </c>
      <c r="I151" s="20">
        <f t="shared" si="17"/>
        <v>3.1751152499176122E-2</v>
      </c>
      <c r="J151" s="25">
        <f t="shared" si="18"/>
        <v>9.8780800569788843E-3</v>
      </c>
      <c r="K151" s="19">
        <f t="shared" si="19"/>
        <v>1361.3379419043836</v>
      </c>
      <c r="L151" s="20">
        <f t="shared" si="20"/>
        <v>8.966967972316095E-3</v>
      </c>
      <c r="M151" s="20">
        <f t="shared" si="21"/>
        <v>-0.10896696797231752</v>
      </c>
      <c r="AB151" s="20">
        <f t="shared" si="22"/>
        <v>1.7474380312314193E-2</v>
      </c>
    </row>
    <row r="152" spans="1:28">
      <c r="A152" s="18" t="str">
        <f>Analysis!A152</f>
        <v>9/1970</v>
      </c>
      <c r="B152" s="19">
        <f>Analysis!B152</f>
        <v>1970.7083333333333</v>
      </c>
      <c r="C152" s="19">
        <f>Analysis!E152</f>
        <v>0.11999999999999744</v>
      </c>
      <c r="D152" s="20">
        <f>Analysis!F152</f>
        <v>0.20655392343303489</v>
      </c>
      <c r="E152" s="19">
        <f>IF(ENSO!F152="","",ENSO!F152)</f>
        <v>-0.69</v>
      </c>
      <c r="F152" s="25">
        <f>IF(Volcanic!G152="","",Volcanic!G152)</f>
        <v>6.2500000000000003E-3</v>
      </c>
      <c r="G152" s="19">
        <f>IF(Solar!D152="","",Solar!D152)</f>
        <v>1361.34</v>
      </c>
      <c r="H152" s="20">
        <f t="shared" si="16"/>
        <v>0.20655392343303489</v>
      </c>
      <c r="I152" s="20">
        <f t="shared" si="17"/>
        <v>-7.9050839490708708E-2</v>
      </c>
      <c r="J152" s="25">
        <f t="shared" si="18"/>
        <v>9.5879947922514596E-3</v>
      </c>
      <c r="K152" s="19">
        <f t="shared" si="19"/>
        <v>1361.3381064606233</v>
      </c>
      <c r="L152" s="20">
        <f t="shared" si="20"/>
        <v>-2.4716787360785759E-2</v>
      </c>
      <c r="M152" s="20">
        <f t="shared" si="21"/>
        <v>0.14471678736078319</v>
      </c>
      <c r="AB152" s="20">
        <f t="shared" si="22"/>
        <v>-1.4833963833708504E-2</v>
      </c>
    </row>
    <row r="153" spans="1:28">
      <c r="A153" s="18" t="str">
        <f>Analysis!A153</f>
        <v>10/1970</v>
      </c>
      <c r="B153" s="19">
        <f>Analysis!B153</f>
        <v>1970.7916666666667</v>
      </c>
      <c r="C153" s="19">
        <f>Analysis!E153</f>
        <v>2.9999999999997584E-2</v>
      </c>
      <c r="D153" s="20">
        <f>Analysis!F153</f>
        <v>0.20637530574791263</v>
      </c>
      <c r="E153" s="19">
        <f>IF(ENSO!F153="","",ENSO!F153)</f>
        <v>-0.72</v>
      </c>
      <c r="F153" s="25">
        <f>IF(Volcanic!G153="","",Volcanic!G153)</f>
        <v>6.0899999999999999E-3</v>
      </c>
      <c r="G153" s="19">
        <f>IF(Solar!D153="","",Solar!D153)</f>
        <v>1361.39</v>
      </c>
      <c r="H153" s="20">
        <f t="shared" si="16"/>
        <v>0.20637530574791263</v>
      </c>
      <c r="I153" s="20">
        <f t="shared" si="17"/>
        <v>-0.17744824904490403</v>
      </c>
      <c r="J153" s="25">
        <f t="shared" si="18"/>
        <v>9.3083105710134156E-3</v>
      </c>
      <c r="K153" s="19">
        <f t="shared" si="19"/>
        <v>1361.3422556389412</v>
      </c>
      <c r="L153" s="20">
        <f t="shared" si="20"/>
        <v>-3.8136944418128711E-2</v>
      </c>
      <c r="M153" s="20">
        <f t="shared" si="21"/>
        <v>6.8136944418126288E-2</v>
      </c>
      <c r="AB153" s="20">
        <f t="shared" si="22"/>
        <v>-2.7162777215022332E-2</v>
      </c>
    </row>
    <row r="154" spans="1:28">
      <c r="A154" s="18" t="str">
        <f>Analysis!A154</f>
        <v>11/1970</v>
      </c>
      <c r="B154" s="19">
        <f>Analysis!B154</f>
        <v>1970.875</v>
      </c>
      <c r="C154" s="19">
        <f>Analysis!E154</f>
        <v>2.0000000000003126E-2</v>
      </c>
      <c r="D154" s="20">
        <f>Analysis!F154</f>
        <v>0.21061151287723645</v>
      </c>
      <c r="E154" s="19">
        <f>IF(ENSO!F154="","",ENSO!F154)</f>
        <v>-0.78</v>
      </c>
      <c r="F154" s="25">
        <f>IF(Volcanic!G154="","",Volcanic!G154)</f>
        <v>5.79E-3</v>
      </c>
      <c r="G154" s="19">
        <f>IF(Solar!D154="","",Solar!D154)</f>
        <v>1361.37</v>
      </c>
      <c r="H154" s="20">
        <f t="shared" si="16"/>
        <v>0.21061151287723645</v>
      </c>
      <c r="I154" s="20">
        <f t="shared" si="17"/>
        <v>-0.26995095451567064</v>
      </c>
      <c r="J154" s="25">
        <f t="shared" si="18"/>
        <v>9.0270019897921976E-3</v>
      </c>
      <c r="K154" s="19">
        <f t="shared" si="19"/>
        <v>1361.3444739555705</v>
      </c>
      <c r="L154" s="20">
        <f t="shared" si="20"/>
        <v>-3.8781270311209023E-2</v>
      </c>
      <c r="M154" s="20">
        <f t="shared" si="21"/>
        <v>5.878127031121215E-2</v>
      </c>
      <c r="AB154" s="20">
        <f t="shared" si="22"/>
        <v>-2.6874383752255537E-2</v>
      </c>
    </row>
    <row r="155" spans="1:28">
      <c r="A155" s="18" t="str">
        <f>Analysis!A155</f>
        <v>12/1970</v>
      </c>
      <c r="B155" s="19">
        <f>Analysis!B155</f>
        <v>1970.9583333333333</v>
      </c>
      <c r="C155" s="19">
        <f>Analysis!E155</f>
        <v>-0.11999999999999744</v>
      </c>
      <c r="D155" s="20">
        <f>Analysis!F155</f>
        <v>0.21558985360237096</v>
      </c>
      <c r="E155" s="19">
        <f>IF(ENSO!F155="","",ENSO!F155)</f>
        <v>-1.1000000000000001</v>
      </c>
      <c r="F155" s="25">
        <f>IF(Volcanic!G155="","",Volcanic!G155)</f>
        <v>5.4900000000000001E-3</v>
      </c>
      <c r="G155" s="19">
        <f>IF(Solar!D155="","",Solar!D155)</f>
        <v>1361.54</v>
      </c>
      <c r="H155" s="20">
        <f t="shared" si="16"/>
        <v>0.21558985360237096</v>
      </c>
      <c r="I155" s="20">
        <f t="shared" si="17"/>
        <v>-0.3973786522346171</v>
      </c>
      <c r="J155" s="25">
        <f t="shared" si="18"/>
        <v>8.7441989252411145E-3</v>
      </c>
      <c r="K155" s="19">
        <f t="shared" si="19"/>
        <v>1361.360107354908</v>
      </c>
      <c r="L155" s="20">
        <f t="shared" si="20"/>
        <v>-4.234231701342505E-2</v>
      </c>
      <c r="M155" s="20">
        <f t="shared" si="21"/>
        <v>-7.7657682986572385E-2</v>
      </c>
      <c r="AB155" s="20">
        <f t="shared" si="22"/>
        <v>-2.9180297729453936E-2</v>
      </c>
    </row>
    <row r="156" spans="1:28">
      <c r="A156" s="18" t="str">
        <f>Analysis!A156</f>
        <v>1/1971</v>
      </c>
      <c r="B156" s="19">
        <f>Analysis!B156</f>
        <v>1971.0416666666667</v>
      </c>
      <c r="C156" s="19">
        <f>Analysis!E156</f>
        <v>-1.9999999999999574E-2</v>
      </c>
      <c r="D156" s="20">
        <f>Analysis!F156</f>
        <v>0.22019726683057364</v>
      </c>
      <c r="E156" s="19">
        <f>IF(ENSO!F156="","",ENSO!F156)</f>
        <v>-1.29</v>
      </c>
      <c r="F156" s="25">
        <f>IF(Volcanic!G156="","",Volcanic!G156)</f>
        <v>5.2199999999999998E-3</v>
      </c>
      <c r="G156" s="19">
        <f>IF(Solar!D156="","",Solar!D156)</f>
        <v>1361.07</v>
      </c>
      <c r="H156" s="20">
        <f t="shared" si="16"/>
        <v>0.22019726683057364</v>
      </c>
      <c r="I156" s="20">
        <f t="shared" si="17"/>
        <v>-0.53441234186937392</v>
      </c>
      <c r="J156" s="25">
        <f t="shared" si="18"/>
        <v>8.4624195372107504E-3</v>
      </c>
      <c r="K156" s="19">
        <f t="shared" si="19"/>
        <v>1361.336911651526</v>
      </c>
      <c r="L156" s="20">
        <f t="shared" si="20"/>
        <v>-4.8265495853620818E-2</v>
      </c>
      <c r="M156" s="20">
        <f t="shared" si="21"/>
        <v>2.8265495853621245E-2</v>
      </c>
      <c r="AB156" s="20">
        <f t="shared" si="22"/>
        <v>-3.3747033176602451E-2</v>
      </c>
    </row>
    <row r="157" spans="1:28">
      <c r="A157" s="18" t="str">
        <f>Analysis!A157</f>
        <v>2/1971</v>
      </c>
      <c r="B157" s="19">
        <f>Analysis!B157</f>
        <v>1971.125</v>
      </c>
      <c r="C157" s="19">
        <f>Analysis!E157</f>
        <v>-0.14999999999999858</v>
      </c>
      <c r="D157" s="20">
        <f>Analysis!F157</f>
        <v>0.22249546730205641</v>
      </c>
      <c r="E157" s="19">
        <f>IF(ENSO!F157="","",ENSO!F157)</f>
        <v>-1.36</v>
      </c>
      <c r="F157" s="25">
        <f>IF(Volcanic!G157="","",Volcanic!G157)</f>
        <v>4.9500000000000004E-3</v>
      </c>
      <c r="G157" s="19">
        <f>IF(Solar!D157="","",Solar!D157)</f>
        <v>1361.08</v>
      </c>
      <c r="H157" s="20">
        <f t="shared" si="16"/>
        <v>0.22249546730205641</v>
      </c>
      <c r="I157" s="20">
        <f t="shared" si="17"/>
        <v>-0.66115513509718493</v>
      </c>
      <c r="J157" s="25">
        <f t="shared" si="18"/>
        <v>8.1815819770456634E-3</v>
      </c>
      <c r="K157" s="19">
        <f t="shared" si="19"/>
        <v>1361.3163701300396</v>
      </c>
      <c r="L157" s="20">
        <f t="shared" si="20"/>
        <v>-5.8984121396963164E-2</v>
      </c>
      <c r="M157" s="20">
        <f t="shared" si="21"/>
        <v>-9.1015878603035422E-2</v>
      </c>
      <c r="AB157" s="20">
        <f t="shared" si="22"/>
        <v>-4.3156061676632912E-2</v>
      </c>
    </row>
    <row r="158" spans="1:28">
      <c r="A158" s="18" t="str">
        <f>Analysis!A158</f>
        <v>3/1971</v>
      </c>
      <c r="B158" s="19">
        <f>Analysis!B158</f>
        <v>1971.2083333333333</v>
      </c>
      <c r="C158" s="19">
        <f>Analysis!E158</f>
        <v>-0.17999999999999794</v>
      </c>
      <c r="D158" s="20">
        <f>Analysis!F158</f>
        <v>0.22465773412073844</v>
      </c>
      <c r="E158" s="19">
        <f>IF(ENSO!F158="","",ENSO!F158)</f>
        <v>-1.08</v>
      </c>
      <c r="F158" s="25">
        <f>IF(Volcanic!G158="","",Volcanic!G158)</f>
        <v>4.7499999999999999E-3</v>
      </c>
      <c r="G158" s="19">
        <f>IF(Solar!D158="","",Solar!D158)</f>
        <v>1361.33</v>
      </c>
      <c r="H158" s="20">
        <f t="shared" si="16"/>
        <v>0.22465773412073844</v>
      </c>
      <c r="I158" s="20">
        <f t="shared" si="17"/>
        <v>-0.7254554762954889</v>
      </c>
      <c r="J158" s="25">
        <f t="shared" si="18"/>
        <v>7.9072078313235129E-3</v>
      </c>
      <c r="K158" s="19">
        <f t="shared" si="19"/>
        <v>1361.3174599142708</v>
      </c>
      <c r="L158" s="20">
        <f t="shared" si="20"/>
        <v>-6.1280321727556847E-2</v>
      </c>
      <c r="M158" s="20">
        <f t="shared" si="21"/>
        <v>-0.11871967827244109</v>
      </c>
      <c r="AB158" s="20">
        <f t="shared" si="22"/>
        <v>-4.4748471716212462E-2</v>
      </c>
    </row>
    <row r="159" spans="1:28">
      <c r="A159" s="18" t="str">
        <f>Analysis!A159</f>
        <v>4/1971</v>
      </c>
      <c r="B159" s="19">
        <f>Analysis!B159</f>
        <v>1971.2916666666667</v>
      </c>
      <c r="C159" s="19">
        <f>Analysis!E159</f>
        <v>-7.0000000000000284E-2</v>
      </c>
      <c r="D159" s="20">
        <f>Analysis!F159</f>
        <v>0.22730100169945941</v>
      </c>
      <c r="E159" s="19">
        <f>IF(ENSO!F159="","",ENSO!F159)</f>
        <v>-0.81</v>
      </c>
      <c r="F159" s="25">
        <f>IF(Volcanic!G159="","",Volcanic!G159)</f>
        <v>4.6699999999999997E-3</v>
      </c>
      <c r="G159" s="19">
        <f>IF(Solar!D159="","",Solar!D159)</f>
        <v>1361.09</v>
      </c>
      <c r="H159" s="20">
        <f t="shared" si="16"/>
        <v>0.22730100169945941</v>
      </c>
      <c r="I159" s="20">
        <f t="shared" si="17"/>
        <v>-0.73843460574455</v>
      </c>
      <c r="J159" s="25">
        <f t="shared" si="18"/>
        <v>7.6483749842035029E-3</v>
      </c>
      <c r="K159" s="19">
        <f t="shared" si="19"/>
        <v>1361.2992732236769</v>
      </c>
      <c r="L159" s="20">
        <f t="shared" si="20"/>
        <v>-5.5086034776114942E-2</v>
      </c>
      <c r="M159" s="20">
        <f t="shared" si="21"/>
        <v>-1.4913965223885342E-2</v>
      </c>
      <c r="AB159" s="20">
        <f t="shared" si="22"/>
        <v>-3.8366869003680262E-2</v>
      </c>
    </row>
    <row r="160" spans="1:28">
      <c r="A160" s="18" t="str">
        <f>Analysis!A160</f>
        <v>5/1971</v>
      </c>
      <c r="B160" s="19">
        <f>Analysis!B160</f>
        <v>1971.375</v>
      </c>
      <c r="C160" s="19">
        <f>Analysis!E160</f>
        <v>-5.0000000000000711E-2</v>
      </c>
      <c r="D160" s="20">
        <f>Analysis!F160</f>
        <v>0.23235376773902855</v>
      </c>
      <c r="E160" s="19">
        <f>IF(ENSO!F160="","",ENSO!F160)</f>
        <v>-0.72</v>
      </c>
      <c r="F160" s="25">
        <f>IF(Volcanic!G160="","",Volcanic!G160)</f>
        <v>4.62E-3</v>
      </c>
      <c r="G160" s="19">
        <f>IF(Solar!D160="","",Solar!D160)</f>
        <v>1361.07</v>
      </c>
      <c r="H160" s="20">
        <f t="shared" si="16"/>
        <v>0.23235376773902855</v>
      </c>
      <c r="I160" s="20">
        <f t="shared" si="17"/>
        <v>-0.73560455686832515</v>
      </c>
      <c r="J160" s="25">
        <f t="shared" si="18"/>
        <v>7.4062394896195977E-3</v>
      </c>
      <c r="K160" s="19">
        <f t="shared" si="19"/>
        <v>1361.280941548868</v>
      </c>
      <c r="L160" s="20">
        <f t="shared" si="20"/>
        <v>-4.0201681875691939E-2</v>
      </c>
      <c r="M160" s="20">
        <f t="shared" si="21"/>
        <v>-9.7983181243087719E-3</v>
      </c>
      <c r="AB160" s="20">
        <f t="shared" si="22"/>
        <v>-2.3512282773544953E-2</v>
      </c>
    </row>
    <row r="161" spans="1:28">
      <c r="A161" s="18" t="str">
        <f>Analysis!A161</f>
        <v>6/1971</v>
      </c>
      <c r="B161" s="19">
        <f>Analysis!B161</f>
        <v>1971.4583333333333</v>
      </c>
      <c r="C161" s="19">
        <f>Analysis!E161</f>
        <v>-0.16000000000000014</v>
      </c>
      <c r="D161" s="20">
        <f>Analysis!F161</f>
        <v>0.23077393422839654</v>
      </c>
      <c r="E161" s="19">
        <f>IF(ENSO!F161="","",ENSO!F161)</f>
        <v>-0.69</v>
      </c>
      <c r="F161" s="25">
        <f>IF(Volcanic!G161="","",Volcanic!G161)</f>
        <v>4.5999999999999999E-3</v>
      </c>
      <c r="G161" s="19">
        <f>IF(Solar!D161="","",Solar!D161)</f>
        <v>1361.14</v>
      </c>
      <c r="H161" s="20">
        <f t="shared" si="16"/>
        <v>0.23077393422839654</v>
      </c>
      <c r="I161" s="20">
        <f t="shared" si="17"/>
        <v>-0.72860342396077193</v>
      </c>
      <c r="J161" s="25">
        <f t="shared" si="18"/>
        <v>7.1818649685367539E-3</v>
      </c>
      <c r="K161" s="19">
        <f t="shared" si="19"/>
        <v>1361.2696724848252</v>
      </c>
      <c r="L161" s="20">
        <f t="shared" si="20"/>
        <v>-4.2724656494237984E-2</v>
      </c>
      <c r="M161" s="20">
        <f t="shared" si="21"/>
        <v>-0.11727534350576216</v>
      </c>
      <c r="AB161" s="20">
        <f t="shared" si="22"/>
        <v>-2.5960373558756026E-2</v>
      </c>
    </row>
    <row r="162" spans="1:28">
      <c r="A162" s="18" t="str">
        <f>Analysis!A162</f>
        <v>7/1971</v>
      </c>
      <c r="B162" s="19">
        <f>Analysis!B162</f>
        <v>1971.5416666666667</v>
      </c>
      <c r="C162" s="19">
        <f>Analysis!E162</f>
        <v>-7.0000000000000284E-2</v>
      </c>
      <c r="D162" s="20">
        <f>Analysis!F162</f>
        <v>0.22545122302563764</v>
      </c>
      <c r="E162" s="19">
        <f>IF(ENSO!F162="","",ENSO!F162)</f>
        <v>-0.68</v>
      </c>
      <c r="F162" s="25">
        <f>IF(Volcanic!G162="","",Volcanic!G162)</f>
        <v>4.6100000000000004E-3</v>
      </c>
      <c r="G162" s="19">
        <f>IF(Solar!D162="","",Solar!D162)</f>
        <v>1360.92</v>
      </c>
      <c r="H162" s="20">
        <f t="shared" si="16"/>
        <v>0.22545122302563764</v>
      </c>
      <c r="I162" s="20">
        <f t="shared" si="17"/>
        <v>-0.72114191014990414</v>
      </c>
      <c r="J162" s="25">
        <f t="shared" si="18"/>
        <v>6.976229999483061E-3</v>
      </c>
      <c r="K162" s="19">
        <f t="shared" si="19"/>
        <v>1361.241714216613</v>
      </c>
      <c r="L162" s="20">
        <f t="shared" si="20"/>
        <v>-5.5367625774543065E-2</v>
      </c>
      <c r="M162" s="20">
        <f t="shared" si="21"/>
        <v>-1.4632374225457219E-2</v>
      </c>
      <c r="AB162" s="20">
        <f t="shared" si="22"/>
        <v>-3.8455158395271936E-2</v>
      </c>
    </row>
    <row r="163" spans="1:28">
      <c r="A163" s="18" t="str">
        <f>Analysis!A163</f>
        <v>8/1971</v>
      </c>
      <c r="B163" s="19">
        <f>Analysis!B163</f>
        <v>1971.625</v>
      </c>
      <c r="C163" s="19">
        <f>Analysis!E163</f>
        <v>-9.9999999999980105E-3</v>
      </c>
      <c r="D163" s="20">
        <f>Analysis!F163</f>
        <v>0.21692042585687715</v>
      </c>
      <c r="E163" s="19">
        <f>IF(ENSO!F163="","",ENSO!F163)</f>
        <v>-0.6</v>
      </c>
      <c r="F163" s="25">
        <f>IF(Volcanic!G163="","",Volcanic!G163)</f>
        <v>4.6600000000000001E-3</v>
      </c>
      <c r="G163" s="19">
        <f>IF(Solar!D163="","",Solar!D163)</f>
        <v>1360.89</v>
      </c>
      <c r="H163" s="20">
        <f t="shared" si="16"/>
        <v>0.21692042585687715</v>
      </c>
      <c r="I163" s="20">
        <f t="shared" si="17"/>
        <v>-0.70254441306023463</v>
      </c>
      <c r="J163" s="25">
        <f t="shared" si="18"/>
        <v>6.7910344740212706E-3</v>
      </c>
      <c r="K163" s="19">
        <f t="shared" si="19"/>
        <v>1361.2135927005404</v>
      </c>
      <c r="L163" s="20">
        <f t="shared" si="20"/>
        <v>-7.518363509767792E-2</v>
      </c>
      <c r="M163" s="20">
        <f t="shared" si="21"/>
        <v>6.5183635097679909E-2</v>
      </c>
      <c r="AB163" s="20">
        <f t="shared" si="22"/>
        <v>-5.8166454858952998E-2</v>
      </c>
    </row>
    <row r="164" spans="1:28">
      <c r="A164" s="18" t="str">
        <f>Analysis!A164</f>
        <v>9/1971</v>
      </c>
      <c r="B164" s="19">
        <f>Analysis!B164</f>
        <v>1971.7083333333333</v>
      </c>
      <c r="C164" s="19">
        <f>Analysis!E164</f>
        <v>-5.0000000000000711E-2</v>
      </c>
      <c r="D164" s="20">
        <f>Analysis!F164</f>
        <v>0.2077143996600441</v>
      </c>
      <c r="E164" s="19">
        <f>IF(ENSO!F164="","",ENSO!F164)</f>
        <v>-0.68</v>
      </c>
      <c r="F164" s="25">
        <f>IF(Volcanic!G164="","",Volcanic!G164)</f>
        <v>4.6699999999999997E-3</v>
      </c>
      <c r="G164" s="19">
        <f>IF(Solar!D164="","",Solar!D164)</f>
        <v>1361.09</v>
      </c>
      <c r="H164" s="20">
        <f t="shared" si="16"/>
        <v>0.2077143996600441</v>
      </c>
      <c r="I164" s="20">
        <f t="shared" si="17"/>
        <v>-0.69908343365387382</v>
      </c>
      <c r="J164" s="25">
        <f t="shared" si="18"/>
        <v>6.6214459210595144E-3</v>
      </c>
      <c r="K164" s="19">
        <f t="shared" si="19"/>
        <v>1361.2037107738213</v>
      </c>
      <c r="L164" s="20">
        <f t="shared" si="20"/>
        <v>-9.9014606094582874E-2</v>
      </c>
      <c r="M164" s="20">
        <f t="shared" si="21"/>
        <v>4.9014606094582164E-2</v>
      </c>
      <c r="AB164" s="20">
        <f t="shared" si="22"/>
        <v>-8.1737599894881802E-2</v>
      </c>
    </row>
    <row r="165" spans="1:28">
      <c r="A165" s="18" t="str">
        <f>Analysis!A165</f>
        <v>10/1971</v>
      </c>
      <c r="B165" s="19">
        <f>Analysis!B165</f>
        <v>1971.7916666666667</v>
      </c>
      <c r="C165" s="19">
        <f>Analysis!E165</f>
        <v>-3.9999999999999147E-2</v>
      </c>
      <c r="D165" s="20">
        <f>Analysis!F165</f>
        <v>0.20860643891488381</v>
      </c>
      <c r="E165" s="19">
        <f>IF(ENSO!F165="","",ENSO!F165)</f>
        <v>-0.78</v>
      </c>
      <c r="F165" s="25">
        <f>IF(Volcanic!G165="","",Volcanic!G165)</f>
        <v>4.7000000000000002E-3</v>
      </c>
      <c r="G165" s="19">
        <f>IF(Solar!D165="","",Solar!D165)</f>
        <v>1360.84</v>
      </c>
      <c r="H165" s="20">
        <f t="shared" si="16"/>
        <v>0.20860643891488381</v>
      </c>
      <c r="I165" s="20">
        <f t="shared" si="17"/>
        <v>-0.71150560534710527</v>
      </c>
      <c r="J165" s="25">
        <f t="shared" si="18"/>
        <v>6.4678155876831019E-3</v>
      </c>
      <c r="K165" s="19">
        <f t="shared" si="19"/>
        <v>1361.1746300659947</v>
      </c>
      <c r="L165" s="20">
        <f t="shared" si="20"/>
        <v>-9.7834233514546329E-2</v>
      </c>
      <c r="M165" s="20">
        <f t="shared" si="21"/>
        <v>5.7834233514547181E-2</v>
      </c>
      <c r="AB165" s="20">
        <f t="shared" si="22"/>
        <v>-8.0384593766051948E-2</v>
      </c>
    </row>
    <row r="166" spans="1:28">
      <c r="A166" s="18" t="str">
        <f>Analysis!A166</f>
        <v>11/1971</v>
      </c>
      <c r="B166" s="19">
        <f>Analysis!B166</f>
        <v>1971.875</v>
      </c>
      <c r="C166" s="19">
        <f>Analysis!E166</f>
        <v>-7.0000000000000284E-2</v>
      </c>
      <c r="D166" s="20">
        <f>Analysis!F166</f>
        <v>0.21412480535284761</v>
      </c>
      <c r="E166" s="19">
        <f>IF(ENSO!F166="","",ENSO!F166)</f>
        <v>-0.86</v>
      </c>
      <c r="F166" s="25">
        <f>IF(Volcanic!G166="","",Volcanic!G166)</f>
        <v>4.5799999999999999E-3</v>
      </c>
      <c r="G166" s="19">
        <f>IF(Solar!D166="","",Solar!D166)</f>
        <v>1360.99</v>
      </c>
      <c r="H166" s="20">
        <f t="shared" si="16"/>
        <v>0.21412480535284761</v>
      </c>
      <c r="I166" s="20">
        <f t="shared" si="17"/>
        <v>-0.73430220867763007</v>
      </c>
      <c r="J166" s="25">
        <f t="shared" si="18"/>
        <v>6.3168741872980114E-3</v>
      </c>
      <c r="K166" s="19">
        <f t="shared" si="19"/>
        <v>1361.159867860991</v>
      </c>
      <c r="L166" s="20">
        <f t="shared" si="20"/>
        <v>-8.5616639213909218E-2</v>
      </c>
      <c r="M166" s="20">
        <f t="shared" si="21"/>
        <v>1.5616639213908934E-2</v>
      </c>
      <c r="AB166" s="20">
        <f t="shared" si="22"/>
        <v>-6.8002065624546262E-2</v>
      </c>
    </row>
    <row r="167" spans="1:28">
      <c r="A167" s="18" t="str">
        <f>Analysis!A167</f>
        <v>12/1971</v>
      </c>
      <c r="B167" s="19">
        <f>Analysis!B167</f>
        <v>1971.9583333333333</v>
      </c>
      <c r="C167" s="19">
        <f>Analysis!E167</f>
        <v>-8.0000000000001847E-2</v>
      </c>
      <c r="D167" s="20">
        <f>Analysis!F167</f>
        <v>0.21948939105648271</v>
      </c>
      <c r="E167" s="19">
        <f>IF(ENSO!F167="","",ENSO!F167)</f>
        <v>-0.78</v>
      </c>
      <c r="F167" s="25">
        <f>IF(Volcanic!G167="","",Volcanic!G167)</f>
        <v>4.4299999999999999E-3</v>
      </c>
      <c r="G167" s="19">
        <f>IF(Solar!D167="","",Solar!D167)</f>
        <v>1360.97</v>
      </c>
      <c r="H167" s="20">
        <f t="shared" si="16"/>
        <v>0.21948939105648271</v>
      </c>
      <c r="I167" s="20">
        <f t="shared" si="17"/>
        <v>-0.74131765477774902</v>
      </c>
      <c r="J167" s="25">
        <f t="shared" si="18"/>
        <v>6.1660080571317791E-3</v>
      </c>
      <c r="K167" s="19">
        <f t="shared" si="19"/>
        <v>1361.1446868650223</v>
      </c>
      <c r="L167" s="20">
        <f t="shared" si="20"/>
        <v>-7.1588097797590608E-2</v>
      </c>
      <c r="M167" s="20">
        <f t="shared" si="21"/>
        <v>-8.4119022024112394E-3</v>
      </c>
      <c r="AB167" s="20">
        <f t="shared" si="22"/>
        <v>-5.3958194269750508E-2</v>
      </c>
    </row>
    <row r="168" spans="1:28">
      <c r="A168" s="18" t="str">
        <f>Analysis!A168</f>
        <v>1/1972</v>
      </c>
      <c r="B168" s="19">
        <f>Analysis!B168</f>
        <v>1972.0416666666667</v>
      </c>
      <c r="C168" s="19">
        <f>Analysis!E168</f>
        <v>-0.21999999999999886</v>
      </c>
      <c r="D168" s="20">
        <f>Analysis!F168</f>
        <v>0.22284871188886418</v>
      </c>
      <c r="E168" s="19">
        <f>IF(ENSO!F168="","",ENSO!F168)</f>
        <v>-0.56999999999999995</v>
      </c>
      <c r="F168" s="25">
        <f>IF(Volcanic!G168="","",Volcanic!G168)</f>
        <v>4.3E-3</v>
      </c>
      <c r="G168" s="19">
        <f>IF(Solar!D168="","",Solar!D168)</f>
        <v>1361.26</v>
      </c>
      <c r="H168" s="20">
        <f t="shared" si="16"/>
        <v>0.22284871188886418</v>
      </c>
      <c r="I168" s="20">
        <f t="shared" si="17"/>
        <v>-0.7150172639204837</v>
      </c>
      <c r="J168" s="25">
        <f t="shared" si="18"/>
        <v>6.0168102906174087E-3</v>
      </c>
      <c r="K168" s="19">
        <f t="shared" si="19"/>
        <v>1361.1539067942304</v>
      </c>
      <c r="L168" s="20">
        <f t="shared" si="20"/>
        <v>-5.8286237715583805E-2</v>
      </c>
      <c r="M168" s="20">
        <f t="shared" si="21"/>
        <v>-0.16171376228441506</v>
      </c>
      <c r="AB168" s="20">
        <f t="shared" si="22"/>
        <v>-4.091864656979214E-2</v>
      </c>
    </row>
    <row r="169" spans="1:28">
      <c r="A169" s="18" t="str">
        <f>Analysis!A169</f>
        <v>2/1972</v>
      </c>
      <c r="B169" s="19">
        <f>Analysis!B169</f>
        <v>1972.125</v>
      </c>
      <c r="C169" s="19">
        <f>Analysis!E169</f>
        <v>-0.17999999999999794</v>
      </c>
      <c r="D169" s="20">
        <f>Analysis!F169</f>
        <v>0.22664063869031495</v>
      </c>
      <c r="E169" s="19">
        <f>IF(ENSO!F169="","",ENSO!F169)</f>
        <v>-0.27</v>
      </c>
      <c r="F169" s="25">
        <f>IF(Volcanic!G169="","",Volcanic!G169)</f>
        <v>4.15E-3</v>
      </c>
      <c r="G169" s="19">
        <f>IF(Solar!D169="","",Solar!D169)</f>
        <v>1361.02</v>
      </c>
      <c r="H169" s="20">
        <f t="shared" si="16"/>
        <v>0.22664063869031495</v>
      </c>
      <c r="I169" s="20">
        <f t="shared" si="17"/>
        <v>-0.64669898116951263</v>
      </c>
      <c r="J169" s="25">
        <f t="shared" si="18"/>
        <v>5.8675483810550905E-3</v>
      </c>
      <c r="K169" s="19">
        <f t="shared" si="19"/>
        <v>1361.1432001981125</v>
      </c>
      <c r="L169" s="20">
        <f t="shared" si="20"/>
        <v>-3.7884712302292525E-2</v>
      </c>
      <c r="M169" s="20">
        <f t="shared" si="21"/>
        <v>-0.14211528769770543</v>
      </c>
      <c r="AB169" s="20">
        <f t="shared" si="22"/>
        <v>-2.1197126097507128E-2</v>
      </c>
    </row>
    <row r="170" spans="1:28">
      <c r="A170" s="18" t="str">
        <f>Analysis!A170</f>
        <v>3/1972</v>
      </c>
      <c r="B170" s="19">
        <f>Analysis!B170</f>
        <v>1972.2083333333333</v>
      </c>
      <c r="C170" s="19">
        <f>Analysis!E170</f>
        <v>2.9999999999997584E-2</v>
      </c>
      <c r="D170" s="20">
        <f>Analysis!F170</f>
        <v>0.22716895327678804</v>
      </c>
      <c r="E170" s="19">
        <f>IF(ENSO!F170="","",ENSO!F170)</f>
        <v>0.04</v>
      </c>
      <c r="F170" s="25">
        <f>IF(Volcanic!G170="","",Volcanic!G170)</f>
        <v>4.0499999999999998E-3</v>
      </c>
      <c r="G170" s="19">
        <f>IF(Solar!D170="","",Solar!D170)</f>
        <v>1361.06</v>
      </c>
      <c r="H170" s="20">
        <f t="shared" si="16"/>
        <v>0.22716895327678804</v>
      </c>
      <c r="I170" s="20">
        <f t="shared" si="17"/>
        <v>-0.54127813806099645</v>
      </c>
      <c r="J170" s="25">
        <f t="shared" si="18"/>
        <v>5.7222252363083046E-3</v>
      </c>
      <c r="K170" s="19">
        <f t="shared" si="19"/>
        <v>1361.1365478775695</v>
      </c>
      <c r="L170" s="20">
        <f t="shared" si="20"/>
        <v>-2.1085974305519582E-2</v>
      </c>
      <c r="M170" s="20">
        <f t="shared" si="21"/>
        <v>5.1085974305517166E-2</v>
      </c>
      <c r="AB170" s="20">
        <f t="shared" si="22"/>
        <v>-5.3647252019962607E-3</v>
      </c>
    </row>
    <row r="171" spans="1:28">
      <c r="A171" s="18" t="str">
        <f>Analysis!A171</f>
        <v>4/1972</v>
      </c>
      <c r="B171" s="19">
        <f>Analysis!B171</f>
        <v>1972.2916666666667</v>
      </c>
      <c r="C171" s="19">
        <f>Analysis!E171</f>
        <v>0</v>
      </c>
      <c r="D171" s="20">
        <f>Analysis!F171</f>
        <v>0.23581457280650558</v>
      </c>
      <c r="E171" s="19">
        <f>IF(ENSO!F171="","",ENSO!F171)</f>
        <v>0.25</v>
      </c>
      <c r="F171" s="25">
        <f>IF(Volcanic!G171="","",Volcanic!G171)</f>
        <v>4.0699999999999998E-3</v>
      </c>
      <c r="G171" s="19">
        <f>IF(Solar!D171="","",Solar!D171)</f>
        <v>1361.41</v>
      </c>
      <c r="H171" s="20">
        <f t="shared" si="16"/>
        <v>0.23581457280650558</v>
      </c>
      <c r="I171" s="20">
        <f t="shared" si="17"/>
        <v>-0.41980248317410573</v>
      </c>
      <c r="J171" s="25">
        <f t="shared" si="18"/>
        <v>5.5901206003750696E-3</v>
      </c>
      <c r="K171" s="19">
        <f t="shared" si="19"/>
        <v>1361.1584119020893</v>
      </c>
      <c r="L171" s="20">
        <f t="shared" si="20"/>
        <v>1.9884196915487148E-2</v>
      </c>
      <c r="M171" s="20">
        <f t="shared" si="21"/>
        <v>-1.9884196915487148E-2</v>
      </c>
      <c r="AB171" s="20">
        <f t="shared" si="22"/>
        <v>3.4289164095155714E-2</v>
      </c>
    </row>
    <row r="172" spans="1:28">
      <c r="A172" s="18" t="str">
        <f>Analysis!A172</f>
        <v>5/1972</v>
      </c>
      <c r="B172" s="19">
        <f>Analysis!B172</f>
        <v>1972.375</v>
      </c>
      <c r="C172" s="19">
        <f>Analysis!E172</f>
        <v>-2.9999999999999361E-2</v>
      </c>
      <c r="D172" s="20">
        <f>Analysis!F172</f>
        <v>0.23734519106890656</v>
      </c>
      <c r="E172" s="19">
        <f>IF(ENSO!F172="","",ENSO!F172)</f>
        <v>0.48</v>
      </c>
      <c r="F172" s="25">
        <f>IF(Volcanic!G172="","",Volcanic!G172)</f>
        <v>4.0899999999999999E-3</v>
      </c>
      <c r="G172" s="19">
        <f>IF(Solar!D172="","",Solar!D172)</f>
        <v>1360.91</v>
      </c>
      <c r="H172" s="20">
        <f t="shared" si="16"/>
        <v>0.23734519106890656</v>
      </c>
      <c r="I172" s="20">
        <f t="shared" si="17"/>
        <v>-0.28166635801807482</v>
      </c>
      <c r="J172" s="25">
        <f t="shared" si="18"/>
        <v>5.4701775796454702E-3</v>
      </c>
      <c r="K172" s="19">
        <f t="shared" si="19"/>
        <v>1361.1385499830446</v>
      </c>
      <c r="L172" s="20">
        <f t="shared" si="20"/>
        <v>4.3924051978416541E-2</v>
      </c>
      <c r="M172" s="20">
        <f t="shared" si="21"/>
        <v>-7.3924051978415894E-2</v>
      </c>
      <c r="AB172" s="20">
        <f t="shared" si="22"/>
        <v>5.7010018718771392E-2</v>
      </c>
    </row>
    <row r="173" spans="1:28">
      <c r="A173" s="18" t="str">
        <f>Analysis!A173</f>
        <v>6/1972</v>
      </c>
      <c r="B173" s="19">
        <f>Analysis!B173</f>
        <v>1972.4583333333333</v>
      </c>
      <c r="C173" s="19">
        <f>Analysis!E173</f>
        <v>3.9999999999999147E-2</v>
      </c>
      <c r="D173" s="20">
        <f>Analysis!F173</f>
        <v>0.23305536103738234</v>
      </c>
      <c r="E173" s="19">
        <f>IF(ENSO!F173="","",ENSO!F173)</f>
        <v>0.7</v>
      </c>
      <c r="F173" s="25">
        <f>IF(Volcanic!G173="","",Volcanic!G173)</f>
        <v>4.15E-3</v>
      </c>
      <c r="G173" s="19">
        <f>IF(Solar!D173="","",Solar!D173)</f>
        <v>1361.13</v>
      </c>
      <c r="H173" s="20">
        <f t="shared" si="16"/>
        <v>0.23305536103738234</v>
      </c>
      <c r="I173" s="20">
        <f t="shared" si="17"/>
        <v>-0.13096263200222713</v>
      </c>
      <c r="J173" s="25">
        <f t="shared" si="18"/>
        <v>5.3646220084716733E-3</v>
      </c>
      <c r="K173" s="19">
        <f t="shared" si="19"/>
        <v>1361.1378663641453</v>
      </c>
      <c r="L173" s="20">
        <f t="shared" si="20"/>
        <v>5.3949146729823247E-2</v>
      </c>
      <c r="M173" s="20">
        <f t="shared" si="21"/>
        <v>-1.39491467298241E-2</v>
      </c>
      <c r="AB173" s="20">
        <f t="shared" si="22"/>
        <v>6.5722087778976812E-2</v>
      </c>
    </row>
    <row r="174" spans="1:28">
      <c r="A174" s="18" t="str">
        <f>Analysis!A174</f>
        <v>7/1972</v>
      </c>
      <c r="B174" s="19">
        <f>Analysis!B174</f>
        <v>1972.5416666666667</v>
      </c>
      <c r="C174" s="19">
        <f>Analysis!E174</f>
        <v>1.0000000000001563E-2</v>
      </c>
      <c r="D174" s="20">
        <f>Analysis!F174</f>
        <v>0.2284449153656577</v>
      </c>
      <c r="E174" s="19">
        <f>IF(ENSO!F174="","",ENSO!F174)</f>
        <v>1</v>
      </c>
      <c r="F174" s="25">
        <f>IF(Volcanic!G174="","",Volcanic!G174)</f>
        <v>4.2199999999999998E-3</v>
      </c>
      <c r="G174" s="19">
        <f>IF(Solar!D174="","",Solar!D174)</f>
        <v>1361.25</v>
      </c>
      <c r="H174" s="20">
        <f t="shared" si="16"/>
        <v>0.2284449153656577</v>
      </c>
      <c r="I174" s="20">
        <f t="shared" si="17"/>
        <v>4.2660800475925909E-2</v>
      </c>
      <c r="J174" s="25">
        <f t="shared" si="18"/>
        <v>5.2731030857561612E-3</v>
      </c>
      <c r="K174" s="19">
        <f t="shared" si="19"/>
        <v>1361.1468320746399</v>
      </c>
      <c r="L174" s="20">
        <f t="shared" si="20"/>
        <v>6.6294074746096318E-2</v>
      </c>
      <c r="M174" s="20">
        <f t="shared" si="21"/>
        <v>-5.6294074746094755E-2</v>
      </c>
      <c r="AB174" s="20">
        <f t="shared" si="22"/>
        <v>7.653237019037204E-2</v>
      </c>
    </row>
    <row r="175" spans="1:28">
      <c r="A175" s="18" t="str">
        <f>Analysis!A175</f>
        <v>8/1972</v>
      </c>
      <c r="B175" s="19">
        <f>Analysis!B175</f>
        <v>1972.625</v>
      </c>
      <c r="C175" s="19">
        <f>Analysis!E175</f>
        <v>0.16000000000000014</v>
      </c>
      <c r="D175" s="20">
        <f>Analysis!F175</f>
        <v>0.22086058507283202</v>
      </c>
      <c r="E175" s="19">
        <f>IF(ENSO!F175="","",ENSO!F175)</f>
        <v>1.26</v>
      </c>
      <c r="F175" s="25">
        <f>IF(Volcanic!G175="","",Volcanic!G175)</f>
        <v>4.3200000000000001E-3</v>
      </c>
      <c r="G175" s="19">
        <f>IF(Solar!D175="","",Solar!D175)</f>
        <v>1361.11</v>
      </c>
      <c r="H175" s="20">
        <f t="shared" si="16"/>
        <v>0.22086058507283202</v>
      </c>
      <c r="I175" s="20">
        <f t="shared" si="17"/>
        <v>0.22954461460990228</v>
      </c>
      <c r="J175" s="25">
        <f t="shared" si="18"/>
        <v>5.1968971706159292E-3</v>
      </c>
      <c r="K175" s="19">
        <f t="shared" si="19"/>
        <v>1361.1438871445516</v>
      </c>
      <c r="L175" s="20">
        <f t="shared" si="20"/>
        <v>7.2416471884177686E-2</v>
      </c>
      <c r="M175" s="20">
        <f t="shared" si="21"/>
        <v>8.7583528115822457E-2</v>
      </c>
      <c r="AB175" s="20">
        <f t="shared" si="22"/>
        <v>8.1053042755342503E-2</v>
      </c>
    </row>
    <row r="176" spans="1:28">
      <c r="A176" s="18" t="str">
        <f>Analysis!A176</f>
        <v>9/1972</v>
      </c>
      <c r="B176" s="19">
        <f>Analysis!B176</f>
        <v>1972.7083333333333</v>
      </c>
      <c r="C176" s="19">
        <f>Analysis!E176</f>
        <v>2.0000000000003126E-2</v>
      </c>
      <c r="D176" s="20">
        <f>Analysis!F176</f>
        <v>0.21430246621642873</v>
      </c>
      <c r="E176" s="19">
        <f>IF(ENSO!F176="","",ENSO!F176)</f>
        <v>1.49</v>
      </c>
      <c r="F176" s="25">
        <f>IF(Volcanic!G176="","",Volcanic!G176)</f>
        <v>4.3800000000000002E-3</v>
      </c>
      <c r="G176" s="19">
        <f>IF(Solar!D176="","",Solar!D176)</f>
        <v>1361.28</v>
      </c>
      <c r="H176" s="20">
        <f t="shared" si="16"/>
        <v>0.21430246621642873</v>
      </c>
      <c r="I176" s="20">
        <f t="shared" si="17"/>
        <v>0.42304755122732629</v>
      </c>
      <c r="J176" s="25">
        <f t="shared" si="18"/>
        <v>5.1315816791516825E-3</v>
      </c>
      <c r="K176" s="19">
        <f t="shared" si="19"/>
        <v>1361.1547701275854</v>
      </c>
      <c r="L176" s="20">
        <f t="shared" si="20"/>
        <v>8.2211075859935479E-2</v>
      </c>
      <c r="M176" s="20">
        <f t="shared" si="21"/>
        <v>-6.2211075859932352E-2</v>
      </c>
      <c r="AB176" s="20">
        <f t="shared" si="22"/>
        <v>8.9152783382216827E-2</v>
      </c>
    </row>
    <row r="177" spans="1:28">
      <c r="A177" s="18" t="str">
        <f>Analysis!A177</f>
        <v>10/1972</v>
      </c>
      <c r="B177" s="19">
        <f>Analysis!B177</f>
        <v>1972.7916666666667</v>
      </c>
      <c r="C177" s="19">
        <f>Analysis!E177</f>
        <v>8.0000000000000071E-2</v>
      </c>
      <c r="D177" s="20">
        <f>Analysis!F177</f>
        <v>0.21590043024269898</v>
      </c>
      <c r="E177" s="19">
        <f>IF(ENSO!F177="","",ENSO!F177)</f>
        <v>1.69</v>
      </c>
      <c r="F177" s="25">
        <f>IF(Volcanic!G177="","",Volcanic!G177)</f>
        <v>4.45E-3</v>
      </c>
      <c r="G177" s="19">
        <f>IF(Solar!D177="","",Solar!D177)</f>
        <v>1360.9</v>
      </c>
      <c r="H177" s="20">
        <f t="shared" si="16"/>
        <v>0.21590043024269898</v>
      </c>
      <c r="I177" s="20">
        <f t="shared" si="17"/>
        <v>0.6175479058085197</v>
      </c>
      <c r="J177" s="25">
        <f t="shared" si="18"/>
        <v>5.0770854170171806E-3</v>
      </c>
      <c r="K177" s="19">
        <f t="shared" si="19"/>
        <v>1361.1343998328994</v>
      </c>
      <c r="L177" s="20">
        <f t="shared" si="20"/>
        <v>0.11416520049959766</v>
      </c>
      <c r="M177" s="20">
        <f t="shared" si="21"/>
        <v>-3.4165200499597592E-2</v>
      </c>
      <c r="AB177" s="20">
        <f t="shared" si="22"/>
        <v>0.11920844351731094</v>
      </c>
    </row>
    <row r="178" spans="1:28">
      <c r="A178" s="18" t="str">
        <f>Analysis!A178</f>
        <v>11/1972</v>
      </c>
      <c r="B178" s="19">
        <f>Analysis!B178</f>
        <v>1972.875</v>
      </c>
      <c r="C178" s="19">
        <f>Analysis!E178</f>
        <v>2.0000000000003126E-2</v>
      </c>
      <c r="D178" s="20">
        <f>Analysis!F178</f>
        <v>0.22165616460146442</v>
      </c>
      <c r="E178" s="19">
        <f>IF(ENSO!F178="","",ENSO!F178)</f>
        <v>1.84</v>
      </c>
      <c r="F178" s="25">
        <f>IF(Volcanic!G178="","",Volcanic!G178)</f>
        <v>4.3699999999999998E-3</v>
      </c>
      <c r="G178" s="19">
        <f>IF(Solar!D178="","",Solar!D178)</f>
        <v>1361.03</v>
      </c>
      <c r="H178" s="20">
        <f t="shared" si="16"/>
        <v>0.22165616460146442</v>
      </c>
      <c r="I178" s="20">
        <f t="shared" si="17"/>
        <v>0.80521664271265225</v>
      </c>
      <c r="J178" s="25">
        <f t="shared" si="18"/>
        <v>5.0205499885925021E-3</v>
      </c>
      <c r="K178" s="19">
        <f t="shared" si="19"/>
        <v>1361.1260524831473</v>
      </c>
      <c r="L178" s="20">
        <f t="shared" si="20"/>
        <v>0.15640549249157931</v>
      </c>
      <c r="M178" s="20">
        <f t="shared" si="21"/>
        <v>-0.13640549249157619</v>
      </c>
      <c r="AB178" s="20">
        <f t="shared" si="22"/>
        <v>0.15952127978238617</v>
      </c>
    </row>
    <row r="179" spans="1:28">
      <c r="A179" s="18" t="str">
        <f>Analysis!A179</f>
        <v>12/1972</v>
      </c>
      <c r="B179" s="19">
        <f>Analysis!B179</f>
        <v>1972.9583333333333</v>
      </c>
      <c r="C179" s="19">
        <f>Analysis!E179</f>
        <v>0.17999999999999972</v>
      </c>
      <c r="D179" s="20">
        <f>Analysis!F179</f>
        <v>0.22628832145277814</v>
      </c>
      <c r="E179" s="19">
        <f>IF(ENSO!F179="","",ENSO!F179)</f>
        <v>1.77</v>
      </c>
      <c r="F179" s="25">
        <f>IF(Volcanic!G179="","",Volcanic!G179)</f>
        <v>4.2500000000000003E-3</v>
      </c>
      <c r="G179" s="19">
        <f>IF(Solar!D179="","",Solar!D179)</f>
        <v>1360.85</v>
      </c>
      <c r="H179" s="20">
        <f t="shared" si="16"/>
        <v>0.22628832145277814</v>
      </c>
      <c r="I179" s="20">
        <f t="shared" si="17"/>
        <v>0.95332851957764819</v>
      </c>
      <c r="J179" s="25">
        <f t="shared" si="18"/>
        <v>4.9589402131972205E-3</v>
      </c>
      <c r="K179" s="19">
        <f t="shared" si="19"/>
        <v>1361.1039805452642</v>
      </c>
      <c r="L179" s="20">
        <f t="shared" si="20"/>
        <v>0.19004234682953064</v>
      </c>
      <c r="M179" s="20">
        <f t="shared" si="21"/>
        <v>-1.0042346829530924E-2</v>
      </c>
      <c r="AB179" s="20">
        <f t="shared" si="22"/>
        <v>0.19164291906898223</v>
      </c>
    </row>
    <row r="180" spans="1:28">
      <c r="A180" s="18" t="str">
        <f>Analysis!A180</f>
        <v>1/1973</v>
      </c>
      <c r="B180" s="19">
        <f>Analysis!B180</f>
        <v>1973.0416666666667</v>
      </c>
      <c r="C180" s="19">
        <f>Analysis!E180</f>
        <v>0.28999999999999559</v>
      </c>
      <c r="D180" s="20">
        <f>Analysis!F180</f>
        <v>0.23068611495390581</v>
      </c>
      <c r="E180" s="19">
        <f>IF(ENSO!F180="","",ENSO!F180)</f>
        <v>1.55</v>
      </c>
      <c r="F180" s="25">
        <f>IF(Volcanic!G180="","",Volcanic!G180)</f>
        <v>4.15E-3</v>
      </c>
      <c r="G180" s="19">
        <f>IF(Solar!D180="","",Solar!D180)</f>
        <v>1360.99</v>
      </c>
      <c r="H180" s="20">
        <f t="shared" si="16"/>
        <v>0.23068611495390581</v>
      </c>
      <c r="I180" s="20">
        <f t="shared" si="17"/>
        <v>1.0449284960590512</v>
      </c>
      <c r="J180" s="25">
        <f t="shared" si="18"/>
        <v>4.8942609249211563E-3</v>
      </c>
      <c r="K180" s="19">
        <f t="shared" si="19"/>
        <v>1361.0948671640467</v>
      </c>
      <c r="L180" s="20">
        <f t="shared" si="20"/>
        <v>0.21508084028049634</v>
      </c>
      <c r="M180" s="20">
        <f t="shared" si="21"/>
        <v>7.4919159719499251E-2</v>
      </c>
      <c r="AB180" s="20">
        <f t="shared" si="22"/>
        <v>0.21572142344491085</v>
      </c>
    </row>
    <row r="181" spans="1:28">
      <c r="A181" s="18" t="str">
        <f>Analysis!A181</f>
        <v>2/1973</v>
      </c>
      <c r="B181" s="19">
        <f>Analysis!B181</f>
        <v>1973.125</v>
      </c>
      <c r="C181" s="19">
        <f>Analysis!E181</f>
        <v>0.32000000000000028</v>
      </c>
      <c r="D181" s="20">
        <f>Analysis!F181</f>
        <v>0.23515809611228167</v>
      </c>
      <c r="E181" s="19">
        <f>IF(ENSO!F181="","",ENSO!F181)</f>
        <v>1.1299999999999999</v>
      </c>
      <c r="F181" s="25">
        <f>IF(Volcanic!G181="","",Volcanic!G181)</f>
        <v>4.0099999999999997E-3</v>
      </c>
      <c r="G181" s="19">
        <f>IF(Solar!D181="","",Solar!D181)</f>
        <v>1360.99</v>
      </c>
      <c r="H181" s="20">
        <f t="shared" si="16"/>
        <v>0.23515809611228167</v>
      </c>
      <c r="I181" s="20">
        <f t="shared" si="17"/>
        <v>1.0579885266050271</v>
      </c>
      <c r="J181" s="25">
        <f t="shared" si="18"/>
        <v>4.8235593250486692E-3</v>
      </c>
      <c r="K181" s="19">
        <f t="shared" si="19"/>
        <v>1361.0864824485591</v>
      </c>
      <c r="L181" s="20">
        <f t="shared" si="20"/>
        <v>0.22925674615782363</v>
      </c>
      <c r="M181" s="20">
        <f t="shared" si="21"/>
        <v>9.0743253842176658E-2</v>
      </c>
      <c r="AB181" s="20">
        <f t="shared" si="22"/>
        <v>0.22970056495783742</v>
      </c>
    </row>
    <row r="182" spans="1:28">
      <c r="A182" s="18" t="str">
        <f>Analysis!A182</f>
        <v>3/1973</v>
      </c>
      <c r="B182" s="19">
        <f>Analysis!B182</f>
        <v>1973.2083333333333</v>
      </c>
      <c r="C182" s="19">
        <f>Analysis!E182</f>
        <v>0.28999999999999559</v>
      </c>
      <c r="D182" s="20">
        <f>Analysis!F182</f>
        <v>0.23835014245319641</v>
      </c>
      <c r="E182" s="19">
        <f>IF(ENSO!F182="","",ENSO!F182)</f>
        <v>0.56000000000000005</v>
      </c>
      <c r="F182" s="25">
        <f>IF(Volcanic!G182="","",Volcanic!G182)</f>
        <v>3.9399999999999999E-3</v>
      </c>
      <c r="G182" s="19">
        <f>IF(Solar!D182="","",Solar!D182)</f>
        <v>1360.78</v>
      </c>
      <c r="H182" s="20">
        <f t="shared" si="16"/>
        <v>0.23835014245319641</v>
      </c>
      <c r="I182" s="20">
        <f t="shared" si="17"/>
        <v>0.98153818697635886</v>
      </c>
      <c r="J182" s="25">
        <f t="shared" si="18"/>
        <v>4.7529138220046823E-3</v>
      </c>
      <c r="K182" s="19">
        <f t="shared" si="19"/>
        <v>1361.0619774649788</v>
      </c>
      <c r="L182" s="20">
        <f t="shared" si="20"/>
        <v>0.22733950447593299</v>
      </c>
      <c r="M182" s="20">
        <f t="shared" si="21"/>
        <v>6.2660495524062609E-2</v>
      </c>
      <c r="AB182" s="20">
        <f t="shared" si="22"/>
        <v>0.2284846994734909</v>
      </c>
    </row>
    <row r="183" spans="1:28">
      <c r="A183" s="18" t="str">
        <f>Analysis!A183</f>
        <v>4/1973</v>
      </c>
      <c r="B183" s="19">
        <f>Analysis!B183</f>
        <v>1973.2916666666667</v>
      </c>
      <c r="C183" s="19">
        <f>Analysis!E183</f>
        <v>0.27000000000000135</v>
      </c>
      <c r="D183" s="20">
        <f>Analysis!F183</f>
        <v>0.24358204316762133</v>
      </c>
      <c r="E183" s="19">
        <f>IF(ENSO!F183="","",ENSO!F183)</f>
        <v>-0.03</v>
      </c>
      <c r="F183" s="25">
        <f>IF(Volcanic!G183="","",Volcanic!G183)</f>
        <v>3.9699999999999996E-3</v>
      </c>
      <c r="G183" s="19">
        <f>IF(Solar!D183="","",Solar!D183)</f>
        <v>1360.89</v>
      </c>
      <c r="H183" s="20">
        <f t="shared" si="16"/>
        <v>0.24358204316762133</v>
      </c>
      <c r="I183" s="20">
        <f t="shared" si="17"/>
        <v>0.82624858930447287</v>
      </c>
      <c r="J183" s="25">
        <f t="shared" si="18"/>
        <v>4.6903154890715042E-3</v>
      </c>
      <c r="K183" s="19">
        <f t="shared" si="19"/>
        <v>1361.0482269060958</v>
      </c>
      <c r="L183" s="20">
        <f t="shared" si="20"/>
        <v>0.21978521175340351</v>
      </c>
      <c r="M183" s="20">
        <f t="shared" si="21"/>
        <v>5.0214788246597836E-2</v>
      </c>
      <c r="AB183" s="20">
        <f t="shared" si="22"/>
        <v>0.22234574777474309</v>
      </c>
    </row>
    <row r="184" spans="1:28">
      <c r="A184" s="18" t="str">
        <f>Analysis!A184</f>
        <v>5/1973</v>
      </c>
      <c r="B184" s="19">
        <f>Analysis!B184</f>
        <v>1973.375</v>
      </c>
      <c r="C184" s="19">
        <f>Analysis!E184</f>
        <v>0.2300000000000022</v>
      </c>
      <c r="D184" s="20">
        <f>Analysis!F184</f>
        <v>0.24784073218452071</v>
      </c>
      <c r="E184" s="19">
        <f>IF(ENSO!F184="","",ENSO!F184)</f>
        <v>-0.51</v>
      </c>
      <c r="F184" s="25">
        <f>IF(Volcanic!G184="","",Volcanic!G184)</f>
        <v>4.0099999999999997E-3</v>
      </c>
      <c r="G184" s="19">
        <f>IF(Solar!D184="","",Solar!D184)</f>
        <v>1361</v>
      </c>
      <c r="H184" s="20">
        <f t="shared" si="16"/>
        <v>0.24784073218452071</v>
      </c>
      <c r="I184" s="20">
        <f t="shared" si="17"/>
        <v>0.62111001075710004</v>
      </c>
      <c r="J184" s="25">
        <f t="shared" si="18"/>
        <v>4.6359204659060542E-3</v>
      </c>
      <c r="K184" s="19">
        <f t="shared" si="19"/>
        <v>1361.0443708955881</v>
      </c>
      <c r="L184" s="20">
        <f t="shared" si="20"/>
        <v>0.20253661970425926</v>
      </c>
      <c r="M184" s="20">
        <f t="shared" si="21"/>
        <v>2.746338029574294E-2</v>
      </c>
      <c r="AB184" s="20">
        <f t="shared" si="22"/>
        <v>0.20701483611533139</v>
      </c>
    </row>
    <row r="185" spans="1:28">
      <c r="A185" s="18" t="str">
        <f>Analysis!A185</f>
        <v>6/1973</v>
      </c>
      <c r="B185" s="19">
        <f>Analysis!B185</f>
        <v>1973.4583333333333</v>
      </c>
      <c r="C185" s="19">
        <f>Analysis!E185</f>
        <v>0.19000000000000128</v>
      </c>
      <c r="D185" s="20">
        <f>Analysis!F185</f>
        <v>0.24606056502835677</v>
      </c>
      <c r="E185" s="19">
        <f>IF(ENSO!F185="","",ENSO!F185)</f>
        <v>-0.8</v>
      </c>
      <c r="F185" s="25">
        <f>IF(Volcanic!G185="","",Volcanic!G185)</f>
        <v>4.0800000000000003E-3</v>
      </c>
      <c r="G185" s="19">
        <f>IF(Solar!D185="","",Solar!D185)</f>
        <v>1360.93</v>
      </c>
      <c r="H185" s="20">
        <f t="shared" si="16"/>
        <v>0.24606056502835677</v>
      </c>
      <c r="I185" s="20">
        <f t="shared" si="17"/>
        <v>0.4029436531649892</v>
      </c>
      <c r="J185" s="25">
        <f t="shared" si="18"/>
        <v>4.5914715196349962E-3</v>
      </c>
      <c r="K185" s="19">
        <f t="shared" si="19"/>
        <v>1361.0352263036821</v>
      </c>
      <c r="L185" s="20">
        <f t="shared" si="20"/>
        <v>0.16708567625413792</v>
      </c>
      <c r="M185" s="20">
        <f t="shared" si="21"/>
        <v>2.2914323745863358E-2</v>
      </c>
      <c r="AB185" s="20">
        <f t="shared" si="22"/>
        <v>0.17374306426727626</v>
      </c>
    </row>
    <row r="186" spans="1:28">
      <c r="A186" s="18" t="str">
        <f>Analysis!A186</f>
        <v>7/1973</v>
      </c>
      <c r="B186" s="19">
        <f>Analysis!B186</f>
        <v>1973.5416666666667</v>
      </c>
      <c r="C186" s="19">
        <f>Analysis!E186</f>
        <v>0.12999999999999901</v>
      </c>
      <c r="D186" s="20">
        <f>Analysis!F186</f>
        <v>0.24083766117617278</v>
      </c>
      <c r="E186" s="19">
        <f>IF(ENSO!F186="","",ENSO!F186)</f>
        <v>-0.99</v>
      </c>
      <c r="F186" s="25">
        <f>IF(Volcanic!G186="","",Volcanic!G186)</f>
        <v>4.3400000000000001E-3</v>
      </c>
      <c r="G186" s="19">
        <f>IF(Solar!D186="","",Solar!D186)</f>
        <v>1360.85</v>
      </c>
      <c r="H186" s="20">
        <f t="shared" si="16"/>
        <v>0.24083766117617278</v>
      </c>
      <c r="I186" s="20">
        <f t="shared" si="17"/>
        <v>0.18910134620653343</v>
      </c>
      <c r="J186" s="25">
        <f t="shared" si="18"/>
        <v>4.5713649670785263E-3</v>
      </c>
      <c r="K186" s="19">
        <f t="shared" si="19"/>
        <v>1361.0204164261452</v>
      </c>
      <c r="L186" s="20">
        <f t="shared" si="20"/>
        <v>0.12285260949498511</v>
      </c>
      <c r="M186" s="20">
        <f t="shared" si="21"/>
        <v>7.1473905050138953E-3</v>
      </c>
      <c r="AB186" s="20">
        <f t="shared" si="22"/>
        <v>0.13171537883583742</v>
      </c>
    </row>
    <row r="187" spans="1:28">
      <c r="A187" s="18" t="str">
        <f>Analysis!A187</f>
        <v>8/1973</v>
      </c>
      <c r="B187" s="19">
        <f>Analysis!B187</f>
        <v>1973.625</v>
      </c>
      <c r="C187" s="19">
        <f>Analysis!E187</f>
        <v>5.0000000000004263E-2</v>
      </c>
      <c r="D187" s="20">
        <f>Analysis!F187</f>
        <v>0.23401949506170835</v>
      </c>
      <c r="E187" s="19">
        <f>IF(ENSO!F187="","",ENSO!F187)</f>
        <v>-1.1100000000000001</v>
      </c>
      <c r="F187" s="25">
        <f>IF(Volcanic!G187="","",Volcanic!G187)</f>
        <v>5.0800000000000003E-3</v>
      </c>
      <c r="G187" s="19">
        <f>IF(Solar!D187="","",Solar!D187)</f>
        <v>1360.85</v>
      </c>
      <c r="H187" s="20">
        <f t="shared" si="16"/>
        <v>0.23401949506170835</v>
      </c>
      <c r="I187" s="20">
        <f t="shared" si="17"/>
        <v>-1.0334451655374721E-2</v>
      </c>
      <c r="J187" s="25">
        <f t="shared" si="18"/>
        <v>4.6120331788757967E-3</v>
      </c>
      <c r="K187" s="19">
        <f t="shared" si="19"/>
        <v>1361.0067906810359</v>
      </c>
      <c r="L187" s="20">
        <f t="shared" si="20"/>
        <v>7.6132565682170694E-2</v>
      </c>
      <c r="M187" s="20">
        <f t="shared" si="21"/>
        <v>-2.6132565682166431E-2</v>
      </c>
      <c r="AB187" s="20">
        <f t="shared" si="22"/>
        <v>8.7069076175500082E-2</v>
      </c>
    </row>
    <row r="188" spans="1:28">
      <c r="A188" s="18" t="str">
        <f>Analysis!A188</f>
        <v>9/1973</v>
      </c>
      <c r="B188" s="19">
        <f>Analysis!B188</f>
        <v>1973.7083333333333</v>
      </c>
      <c r="C188" s="19">
        <f>Analysis!E188</f>
        <v>8.9999999999999858E-2</v>
      </c>
      <c r="D188" s="20">
        <f>Analysis!F188</f>
        <v>0.22615618030371948</v>
      </c>
      <c r="E188" s="19">
        <f>IF(ENSO!F188="","",ENSO!F188)</f>
        <v>-1.26</v>
      </c>
      <c r="F188" s="25">
        <f>IF(Volcanic!G188="","",Volcanic!G188)</f>
        <v>5.13E-3</v>
      </c>
      <c r="G188" s="19">
        <f>IF(Solar!D188="","",Solar!D188)</f>
        <v>1360.68</v>
      </c>
      <c r="H188" s="20">
        <f t="shared" si="16"/>
        <v>0.22615618030371948</v>
      </c>
      <c r="I188" s="20">
        <f t="shared" si="17"/>
        <v>-0.20218095110086645</v>
      </c>
      <c r="J188" s="25">
        <f t="shared" si="18"/>
        <v>4.6534475192613715E-3</v>
      </c>
      <c r="K188" s="19">
        <f t="shared" si="19"/>
        <v>1360.98066194084</v>
      </c>
      <c r="L188" s="20">
        <f t="shared" si="20"/>
        <v>2.7654736170807534E-2</v>
      </c>
      <c r="M188" s="20">
        <f t="shared" si="21"/>
        <v>6.2345263829192324E-2</v>
      </c>
      <c r="AB188" s="20">
        <f t="shared" si="22"/>
        <v>4.0615187340878683E-2</v>
      </c>
    </row>
    <row r="189" spans="1:28">
      <c r="A189" s="18" t="str">
        <f>Analysis!A189</f>
        <v>10/1973</v>
      </c>
      <c r="B189" s="19">
        <f>Analysis!B189</f>
        <v>1973.7916666666667</v>
      </c>
      <c r="C189" s="19">
        <f>Analysis!E189</f>
        <v>9.9999999999997868E-2</v>
      </c>
      <c r="D189" s="20">
        <f>Analysis!F189</f>
        <v>0.22470182828890004</v>
      </c>
      <c r="E189" s="19">
        <f>IF(ENSO!F189="","",ENSO!F189)</f>
        <v>-1.58</v>
      </c>
      <c r="F189" s="25">
        <f>IF(Volcanic!G189="","",Volcanic!G189)</f>
        <v>5.13E-3</v>
      </c>
      <c r="G189" s="19">
        <f>IF(Solar!D189="","",Solar!D189)</f>
        <v>1360.84</v>
      </c>
      <c r="H189" s="20">
        <f t="shared" si="16"/>
        <v>0.22470182828890004</v>
      </c>
      <c r="I189" s="20">
        <f t="shared" si="17"/>
        <v>-0.41370135490071602</v>
      </c>
      <c r="J189" s="25">
        <f t="shared" si="18"/>
        <v>4.6915505518186768E-3</v>
      </c>
      <c r="K189" s="19">
        <f t="shared" si="19"/>
        <v>1360.9694152330208</v>
      </c>
      <c r="L189" s="20">
        <f t="shared" si="20"/>
        <v>-6.2573105317060215E-3</v>
      </c>
      <c r="M189" s="20">
        <f t="shared" si="21"/>
        <v>0.1062573105317039</v>
      </c>
      <c r="AB189" s="20">
        <f t="shared" si="22"/>
        <v>8.771192628445619E-3</v>
      </c>
    </row>
    <row r="190" spans="1:28">
      <c r="A190" s="18" t="str">
        <f>Analysis!A190</f>
        <v>11/1973</v>
      </c>
      <c r="B190" s="19">
        <f>Analysis!B190</f>
        <v>1973.875</v>
      </c>
      <c r="C190" s="19">
        <f>Analysis!E190</f>
        <v>3.9999999999999147E-2</v>
      </c>
      <c r="D190" s="20">
        <f>Analysis!F190</f>
        <v>0.22901653224979263</v>
      </c>
      <c r="E190" s="19">
        <f>IF(ENSO!F190="","",ENSO!F190)</f>
        <v>-1.89</v>
      </c>
      <c r="F190" s="25">
        <f>IF(Volcanic!G190="","",Volcanic!G190)</f>
        <v>4.9699999999999996E-3</v>
      </c>
      <c r="G190" s="19">
        <f>IF(Solar!D190="","",Solar!D190)</f>
        <v>1360.78</v>
      </c>
      <c r="H190" s="20">
        <f t="shared" si="16"/>
        <v>0.22901653224979263</v>
      </c>
      <c r="I190" s="20">
        <f t="shared" si="17"/>
        <v>-0.64034017644268149</v>
      </c>
      <c r="J190" s="25">
        <f t="shared" si="18"/>
        <v>4.7138141404441556E-3</v>
      </c>
      <c r="K190" s="19">
        <f t="shared" si="19"/>
        <v>1360.9542704271864</v>
      </c>
      <c r="L190" s="20">
        <f t="shared" si="20"/>
        <v>-2.6648618746343979E-2</v>
      </c>
      <c r="M190" s="20">
        <f t="shared" si="21"/>
        <v>6.6648618746343119E-2</v>
      </c>
      <c r="AB190" s="20">
        <f t="shared" si="22"/>
        <v>-9.531410006586815E-3</v>
      </c>
    </row>
    <row r="191" spans="1:28">
      <c r="A191" s="18" t="str">
        <f>Analysis!A191</f>
        <v>12/1973</v>
      </c>
      <c r="B191" s="19">
        <f>Analysis!B191</f>
        <v>1973.9583333333333</v>
      </c>
      <c r="C191" s="19">
        <f>Analysis!E191</f>
        <v>-7.0000000000000284E-2</v>
      </c>
      <c r="D191" s="20">
        <f>Analysis!F191</f>
        <v>0.23112515787904964</v>
      </c>
      <c r="E191" s="19">
        <f>IF(ENSO!F191="","",ENSO!F191)</f>
        <v>-2.04</v>
      </c>
      <c r="F191" s="25">
        <f>IF(Volcanic!G191="","",Volcanic!G191)</f>
        <v>4.7800000000000004E-3</v>
      </c>
      <c r="G191" s="19">
        <f>IF(Solar!D191="","",Solar!D191)</f>
        <v>1360.8</v>
      </c>
      <c r="H191" s="20">
        <f t="shared" si="16"/>
        <v>0.23112515787904964</v>
      </c>
      <c r="I191" s="20">
        <f t="shared" si="17"/>
        <v>-0.85521353829510849</v>
      </c>
      <c r="J191" s="25">
        <f t="shared" si="18"/>
        <v>4.7191060695882048E-3</v>
      </c>
      <c r="K191" s="19">
        <f t="shared" si="19"/>
        <v>1360.9419356448755</v>
      </c>
      <c r="L191" s="20">
        <f t="shared" si="20"/>
        <v>-5.1287619095907691E-2</v>
      </c>
      <c r="M191" s="20">
        <f t="shared" si="21"/>
        <v>-1.8712380904092593E-2</v>
      </c>
      <c r="AB191" s="20">
        <f t="shared" si="22"/>
        <v>-3.2136764053528243E-2</v>
      </c>
    </row>
    <row r="192" spans="1:28">
      <c r="A192" s="18" t="str">
        <f>Analysis!A192</f>
        <v>1/1974</v>
      </c>
      <c r="B192" s="19">
        <f>Analysis!B192</f>
        <v>1974.0416666666667</v>
      </c>
      <c r="C192" s="19">
        <f>Analysis!E192</f>
        <v>-0.10000000000000142</v>
      </c>
      <c r="D192" s="20">
        <f>Analysis!F192</f>
        <v>0.23423852660157829</v>
      </c>
      <c r="E192" s="19">
        <f>IF(ENSO!F192="","",ENSO!F192)</f>
        <v>-1.87</v>
      </c>
      <c r="F192" s="25">
        <f>IF(Volcanic!G192="","",Volcanic!G192)</f>
        <v>4.6100000000000004E-3</v>
      </c>
      <c r="G192" s="19">
        <f>IF(Solar!D192="","",Solar!D192)</f>
        <v>1360.77</v>
      </c>
      <c r="H192" s="20">
        <f t="shared" si="16"/>
        <v>0.23423852660157829</v>
      </c>
      <c r="I192" s="20">
        <f t="shared" si="17"/>
        <v>-1.0110018055004004</v>
      </c>
      <c r="J192" s="25">
        <f t="shared" si="18"/>
        <v>4.7103824299267859E-3</v>
      </c>
      <c r="K192" s="19">
        <f t="shared" si="19"/>
        <v>1360.9281884297434</v>
      </c>
      <c r="L192" s="20">
        <f t="shared" si="20"/>
        <v>-6.4823926961736111E-2</v>
      </c>
      <c r="M192" s="20">
        <f t="shared" si="21"/>
        <v>-3.517607303826531E-2</v>
      </c>
      <c r="AB192" s="20">
        <f t="shared" si="22"/>
        <v>-4.4229362672837114E-2</v>
      </c>
    </row>
    <row r="193" spans="1:28">
      <c r="A193" s="18" t="str">
        <f>Analysis!A193</f>
        <v>2/1974</v>
      </c>
      <c r="B193" s="19">
        <f>Analysis!B193</f>
        <v>1974.125</v>
      </c>
      <c r="C193" s="19">
        <f>Analysis!E193</f>
        <v>-0.27000000000000135</v>
      </c>
      <c r="D193" s="20">
        <f>Analysis!F193</f>
        <v>0.24013984319182427</v>
      </c>
      <c r="E193" s="19">
        <f>IF(ENSO!F193="","",ENSO!F193)</f>
        <v>-1.59</v>
      </c>
      <c r="F193" s="25">
        <f>IF(Volcanic!G193="","",Volcanic!G193)</f>
        <v>4.4099999999999999E-3</v>
      </c>
      <c r="G193" s="19">
        <f>IF(Solar!D193="","",Solar!D193)</f>
        <v>1360.73</v>
      </c>
      <c r="H193" s="20">
        <f t="shared" si="16"/>
        <v>0.24013984319182427</v>
      </c>
      <c r="I193" s="20">
        <f t="shared" si="17"/>
        <v>-1.0998886096114275</v>
      </c>
      <c r="J193" s="25">
        <f t="shared" si="18"/>
        <v>4.6863651769069236E-3</v>
      </c>
      <c r="K193" s="19">
        <f t="shared" si="19"/>
        <v>1360.9123421578295</v>
      </c>
      <c r="L193" s="20">
        <f t="shared" si="20"/>
        <v>-6.1328057259307851E-2</v>
      </c>
      <c r="M193" s="20">
        <f t="shared" si="21"/>
        <v>-0.20867194274069351</v>
      </c>
      <c r="AB193" s="20">
        <f t="shared" si="22"/>
        <v>-3.9996237771182538E-2</v>
      </c>
    </row>
    <row r="194" spans="1:28">
      <c r="A194" s="18" t="str">
        <f>Analysis!A194</f>
        <v>3/1974</v>
      </c>
      <c r="B194" s="19">
        <f>Analysis!B194</f>
        <v>1974.2083333333333</v>
      </c>
      <c r="C194" s="19">
        <f>Analysis!E194</f>
        <v>-5.0000000000000711E-2</v>
      </c>
      <c r="D194" s="20">
        <f>Analysis!F194</f>
        <v>0.24353852229879974</v>
      </c>
      <c r="E194" s="19">
        <f>IF(ENSO!F194="","",ENSO!F194)</f>
        <v>-1.24</v>
      </c>
      <c r="F194" s="25">
        <f>IF(Volcanic!G194="","",Volcanic!G194)</f>
        <v>4.2900000000000004E-3</v>
      </c>
      <c r="G194" s="19">
        <f>IF(Solar!D194="","",Solar!D194)</f>
        <v>1360.85</v>
      </c>
      <c r="H194" s="20">
        <f t="shared" ref="H194:H257" si="23">IF(D194="","",IF(OR(ROW()=2,H193=""),D194,$Q$3*H193+(1-$Q$3)*D194))</f>
        <v>0.24353852229879974</v>
      </c>
      <c r="I194" s="20">
        <f t="shared" ref="I194:I257" si="24">IF(E194="","",IF(OR(ROW()=2,I193=""),E194,$Q$4*I193+(1-$Q$4)*E194))</f>
        <v>-1.1213982685870589</v>
      </c>
      <c r="J194" s="25">
        <f t="shared" ref="J194:J257" si="25">IF(F194="","",IF(OR(ROW()=2,J193=""),F194,$Q$5*J193+(1-$Q$5)*F194))</f>
        <v>4.6546735671667786E-3</v>
      </c>
      <c r="K194" s="19">
        <f t="shared" ref="K194:K257" si="26">IF(G194="","",IF(OR(ROW()=2,K193=""),G194,$Q$6*K193+(1-$Q$6)*G194))</f>
        <v>1360.907357554107</v>
      </c>
      <c r="L194" s="20">
        <f t="shared" ref="L194:L257" si="27">IF(OR(I194="",J194=""),"",$P$13+$P$14*H194+$P$15*I194+$P$16*J194)</f>
        <v>-5.5065391843764175E-2</v>
      </c>
      <c r="M194" s="20">
        <f t="shared" ref="M194:M257" si="28">IF(L194="","",C194-L194)</f>
        <v>5.0653918437634643E-3</v>
      </c>
      <c r="AB194" s="20">
        <f t="shared" ref="AB194:AB257" si="29">IF(OR(I194="",J194=""),"",$P$52+$P$53*H194+$P$54*I194+$P$55*J194)</f>
        <v>-3.3588526460520303E-2</v>
      </c>
    </row>
    <row r="195" spans="1:28">
      <c r="A195" s="18" t="str">
        <f>Analysis!A195</f>
        <v>4/1974</v>
      </c>
      <c r="B195" s="19">
        <f>Analysis!B195</f>
        <v>1974.2916666666667</v>
      </c>
      <c r="C195" s="19">
        <f>Analysis!E195</f>
        <v>-0.11999999999999744</v>
      </c>
      <c r="D195" s="20">
        <f>Analysis!F195</f>
        <v>0.24857820654980772</v>
      </c>
      <c r="E195" s="19">
        <f>IF(ENSO!F195="","",ENSO!F195)</f>
        <v>-0.99</v>
      </c>
      <c r="F195" s="25">
        <f>IF(Volcanic!G195="","",Volcanic!G195)</f>
        <v>4.2700000000000004E-3</v>
      </c>
      <c r="G195" s="19">
        <f>IF(Solar!D195="","",Solar!D195)</f>
        <v>1360.69</v>
      </c>
      <c r="H195" s="20">
        <f t="shared" si="23"/>
        <v>0.24857820654980772</v>
      </c>
      <c r="I195" s="20">
        <f t="shared" si="24"/>
        <v>-1.1012262330412139</v>
      </c>
      <c r="J195" s="25">
        <f t="shared" si="25"/>
        <v>4.623916766927332E-3</v>
      </c>
      <c r="K195" s="19">
        <f t="shared" si="26"/>
        <v>1360.8899786036336</v>
      </c>
      <c r="L195" s="20">
        <f t="shared" si="27"/>
        <v>-3.8486172835229898E-2</v>
      </c>
      <c r="M195" s="20">
        <f t="shared" si="28"/>
        <v>-8.1513827164767544E-2</v>
      </c>
      <c r="AB195" s="20">
        <f t="shared" si="29"/>
        <v>-1.7307137388483582E-2</v>
      </c>
    </row>
    <row r="196" spans="1:28">
      <c r="A196" s="18" t="str">
        <f>Analysis!A196</f>
        <v>5/1974</v>
      </c>
      <c r="B196" s="19">
        <f>Analysis!B196</f>
        <v>1974.375</v>
      </c>
      <c r="C196" s="19">
        <f>Analysis!E196</f>
        <v>-3.9999999999999147E-2</v>
      </c>
      <c r="D196" s="20">
        <f>Analysis!F196</f>
        <v>0.25091827471297862</v>
      </c>
      <c r="E196" s="19">
        <f>IF(ENSO!F196="","",ENSO!F196)</f>
        <v>-0.71</v>
      </c>
      <c r="F196" s="25">
        <f>IF(Volcanic!G196="","",Volcanic!G196)</f>
        <v>4.2700000000000004E-3</v>
      </c>
      <c r="G196" s="19">
        <f>IF(Solar!D196="","",Solar!D196)</f>
        <v>1360.9</v>
      </c>
      <c r="H196" s="20">
        <f t="shared" si="23"/>
        <v>0.25091827471297862</v>
      </c>
      <c r="I196" s="20">
        <f t="shared" si="24"/>
        <v>-1.0411658565671842</v>
      </c>
      <c r="J196" s="25">
        <f t="shared" si="25"/>
        <v>4.5956191446551598E-3</v>
      </c>
      <c r="K196" s="19">
        <f t="shared" si="26"/>
        <v>1360.8907798702462</v>
      </c>
      <c r="L196" s="20">
        <f t="shared" si="27"/>
        <v>-2.3586446206576364E-2</v>
      </c>
      <c r="M196" s="20">
        <f t="shared" si="28"/>
        <v>-1.6413553793422783E-2</v>
      </c>
      <c r="AB196" s="20">
        <f t="shared" si="29"/>
        <v>-3.0309588527378042E-3</v>
      </c>
    </row>
    <row r="197" spans="1:28">
      <c r="A197" s="18" t="str">
        <f>Analysis!A197</f>
        <v>6/1974</v>
      </c>
      <c r="B197" s="19">
        <f>Analysis!B197</f>
        <v>1974.4583333333333</v>
      </c>
      <c r="C197" s="19">
        <f>Analysis!E197</f>
        <v>-5.0000000000000711E-2</v>
      </c>
      <c r="D197" s="20">
        <f>Analysis!F197</f>
        <v>0.24662524613004733</v>
      </c>
      <c r="E197" s="19">
        <f>IF(ENSO!F197="","",ENSO!F197)</f>
        <v>-0.64</v>
      </c>
      <c r="F197" s="25">
        <f>IF(Volcanic!G197="","",Volcanic!G197)</f>
        <v>4.3E-3</v>
      </c>
      <c r="G197" s="19">
        <f>IF(Solar!D197="","",Solar!D197)</f>
        <v>1360.94</v>
      </c>
      <c r="H197" s="20">
        <f t="shared" si="23"/>
        <v>0.24662524613004733</v>
      </c>
      <c r="I197" s="20">
        <f t="shared" si="24"/>
        <v>-0.97957956623421072</v>
      </c>
      <c r="J197" s="25">
        <f t="shared" si="25"/>
        <v>4.5719827428974784E-3</v>
      </c>
      <c r="K197" s="19">
        <f t="shared" si="26"/>
        <v>1360.8947152945327</v>
      </c>
      <c r="L197" s="20">
        <f t="shared" si="27"/>
        <v>-2.6424241277539277E-2</v>
      </c>
      <c r="M197" s="20">
        <f t="shared" si="28"/>
        <v>-2.3575758722461433E-2</v>
      </c>
      <c r="AB197" s="20">
        <f t="shared" si="29"/>
        <v>-6.3557702835992345E-3</v>
      </c>
    </row>
    <row r="198" spans="1:28">
      <c r="A198" s="18" t="str">
        <f>Analysis!A198</f>
        <v>7/1974</v>
      </c>
      <c r="B198" s="19">
        <f>Analysis!B198</f>
        <v>1974.5416666666667</v>
      </c>
      <c r="C198" s="19">
        <f>Analysis!E198</f>
        <v>-2.9999999999999361E-2</v>
      </c>
      <c r="D198" s="20">
        <f>Analysis!F198</f>
        <v>0.24170945927557155</v>
      </c>
      <c r="E198" s="19">
        <f>IF(ENSO!F198="","",ENSO!F198)</f>
        <v>-0.46</v>
      </c>
      <c r="F198" s="25">
        <f>IF(Volcanic!G198="","",Volcanic!G198)</f>
        <v>4.3600000000000002E-3</v>
      </c>
      <c r="G198" s="19">
        <f>IF(Solar!D198="","",Solar!D198)</f>
        <v>1360.62</v>
      </c>
      <c r="H198" s="20">
        <f t="shared" si="23"/>
        <v>0.24170945927557155</v>
      </c>
      <c r="I198" s="20">
        <f t="shared" si="24"/>
        <v>-0.89981460744385178</v>
      </c>
      <c r="J198" s="25">
        <f t="shared" si="25"/>
        <v>4.5550335386006294E-3</v>
      </c>
      <c r="K198" s="19">
        <f t="shared" si="26"/>
        <v>1360.8727502723482</v>
      </c>
      <c r="L198" s="20">
        <f t="shared" si="27"/>
        <v>-2.8403377113925869E-2</v>
      </c>
      <c r="M198" s="20">
        <f t="shared" si="28"/>
        <v>-1.5966228860734913E-3</v>
      </c>
      <c r="AB198" s="20">
        <f t="shared" si="29"/>
        <v>-8.9870648151463041E-3</v>
      </c>
    </row>
    <row r="199" spans="1:28">
      <c r="A199" s="18" t="str">
        <f>Analysis!A199</f>
        <v>8/1974</v>
      </c>
      <c r="B199" s="19">
        <f>Analysis!B199</f>
        <v>1974.625</v>
      </c>
      <c r="C199" s="19">
        <f>Analysis!E199</f>
        <v>9.9999999999997868E-2</v>
      </c>
      <c r="D199" s="20">
        <f>Analysis!F199</f>
        <v>0.23331837058615809</v>
      </c>
      <c r="E199" s="19">
        <f>IF(ENSO!F199="","",ENSO!F199)</f>
        <v>-0.4</v>
      </c>
      <c r="F199" s="25">
        <f>IF(Volcanic!G199="","",Volcanic!G199)</f>
        <v>4.4400000000000004E-3</v>
      </c>
      <c r="G199" s="19">
        <f>IF(Solar!D199="","",Solar!D199)</f>
        <v>1360.8</v>
      </c>
      <c r="H199" s="20">
        <f t="shared" si="23"/>
        <v>0.23331837058615809</v>
      </c>
      <c r="I199" s="20">
        <f t="shared" si="24"/>
        <v>-0.82308393103459676</v>
      </c>
      <c r="J199" s="25">
        <f t="shared" si="25"/>
        <v>4.545835964684556E-3</v>
      </c>
      <c r="K199" s="19">
        <f t="shared" si="26"/>
        <v>1360.8669334817369</v>
      </c>
      <c r="L199" s="20">
        <f t="shared" si="27"/>
        <v>-4.0234831050696501E-2</v>
      </c>
      <c r="M199" s="20">
        <f t="shared" si="28"/>
        <v>0.14023483105069437</v>
      </c>
      <c r="AB199" s="20">
        <f t="shared" si="29"/>
        <v>-2.1364458240637853E-2</v>
      </c>
    </row>
    <row r="200" spans="1:28">
      <c r="A200" s="18" t="str">
        <f>Analysis!A200</f>
        <v>9/1974</v>
      </c>
      <c r="B200" s="19">
        <f>Analysis!B200</f>
        <v>1974.7083333333333</v>
      </c>
      <c r="C200" s="19">
        <f>Analysis!E200</f>
        <v>-8.0000000000001847E-2</v>
      </c>
      <c r="D200" s="20">
        <f>Analysis!F200</f>
        <v>0.22531900517823794</v>
      </c>
      <c r="E200" s="19">
        <f>IF(ENSO!F200="","",ENSO!F200)</f>
        <v>-0.47</v>
      </c>
      <c r="F200" s="25">
        <f>IF(Volcanic!G200="","",Volcanic!G200)</f>
        <v>4.4799999999999996E-3</v>
      </c>
      <c r="G200" s="19">
        <f>IF(Solar!D200="","",Solar!D200)</f>
        <v>1360.7</v>
      </c>
      <c r="H200" s="20">
        <f t="shared" si="23"/>
        <v>0.22531900517823794</v>
      </c>
      <c r="I200" s="20">
        <f t="shared" si="24"/>
        <v>-0.76887909497332407</v>
      </c>
      <c r="J200" s="25">
        <f t="shared" si="25"/>
        <v>4.5405720115897583E-3</v>
      </c>
      <c r="K200" s="19">
        <f t="shared" si="26"/>
        <v>1360.8535862174865</v>
      </c>
      <c r="L200" s="20">
        <f t="shared" si="27"/>
        <v>-5.4199210005803106E-2</v>
      </c>
      <c r="M200" s="20">
        <f t="shared" si="28"/>
        <v>-2.5800789994198742E-2</v>
      </c>
      <c r="AB200" s="20">
        <f t="shared" si="29"/>
        <v>-3.5667133926848262E-2</v>
      </c>
    </row>
    <row r="201" spans="1:28">
      <c r="A201" s="18" t="str">
        <f>Analysis!A201</f>
        <v>10/1974</v>
      </c>
      <c r="B201" s="19">
        <f>Analysis!B201</f>
        <v>1974.7916666666667</v>
      </c>
      <c r="C201" s="19">
        <f>Analysis!E201</f>
        <v>-6.0000000000000497E-2</v>
      </c>
      <c r="D201" s="20">
        <f>Analysis!F201</f>
        <v>0.22509861516835514</v>
      </c>
      <c r="E201" s="19">
        <f>IF(ENSO!F201="","",ENSO!F201)</f>
        <v>-0.69</v>
      </c>
      <c r="F201" s="25">
        <f>IF(Volcanic!G201="","",Volcanic!G201)</f>
        <v>4.6800000000000001E-3</v>
      </c>
      <c r="G201" s="19">
        <f>IF(Solar!D201="","",Solar!D201)</f>
        <v>1360.7</v>
      </c>
      <c r="H201" s="20">
        <f t="shared" si="23"/>
        <v>0.22509861516835514</v>
      </c>
      <c r="I201" s="20">
        <f t="shared" si="24"/>
        <v>-0.75676971237082991</v>
      </c>
      <c r="J201" s="25">
        <f t="shared" si="25"/>
        <v>4.5517200580201551E-3</v>
      </c>
      <c r="K201" s="19">
        <f t="shared" si="26"/>
        <v>1360.8413061415624</v>
      </c>
      <c r="L201" s="20">
        <f t="shared" si="27"/>
        <v>-5.3124113428694324E-2</v>
      </c>
      <c r="M201" s="20">
        <f t="shared" si="28"/>
        <v>-6.8758865713061737E-3</v>
      </c>
      <c r="AB201" s="20">
        <f t="shared" si="29"/>
        <v>-3.4709714553850628E-2</v>
      </c>
    </row>
    <row r="202" spans="1:28">
      <c r="A202" s="18" t="str">
        <f>Analysis!A202</f>
        <v>11/1974</v>
      </c>
      <c r="B202" s="19">
        <f>Analysis!B202</f>
        <v>1974.875</v>
      </c>
      <c r="C202" s="19">
        <f>Analysis!E202</f>
        <v>-8.0000000000001847E-2</v>
      </c>
      <c r="D202" s="20">
        <f>Analysis!F202</f>
        <v>0.22963186648323872</v>
      </c>
      <c r="E202" s="19">
        <f>IF(ENSO!F202="","",ENSO!F202)</f>
        <v>-0.88</v>
      </c>
      <c r="F202" s="25">
        <f>IF(Volcanic!G202="","",Volcanic!G202)</f>
        <v>5.1799999999999997E-3</v>
      </c>
      <c r="G202" s="19">
        <f>IF(Solar!D202="","",Solar!D202)</f>
        <v>1360.85</v>
      </c>
      <c r="H202" s="20">
        <f t="shared" si="23"/>
        <v>0.22963186648323872</v>
      </c>
      <c r="I202" s="20">
        <f t="shared" si="24"/>
        <v>-0.7756878135688936</v>
      </c>
      <c r="J202" s="25">
        <f t="shared" si="25"/>
        <v>4.6019545485578087E-3</v>
      </c>
      <c r="K202" s="19">
        <f t="shared" si="26"/>
        <v>1360.8420012641029</v>
      </c>
      <c r="L202" s="20">
        <f t="shared" si="27"/>
        <v>-4.3705568569823737E-2</v>
      </c>
      <c r="M202" s="20">
        <f t="shared" si="28"/>
        <v>-3.629443143017811E-2</v>
      </c>
      <c r="AB202" s="20">
        <f t="shared" si="29"/>
        <v>-2.5236327736919032E-2</v>
      </c>
    </row>
    <row r="203" spans="1:28">
      <c r="A203" s="18" t="str">
        <f>Analysis!A203</f>
        <v>12/1974</v>
      </c>
      <c r="B203" s="19">
        <f>Analysis!B203</f>
        <v>1974.9583333333333</v>
      </c>
      <c r="C203" s="19">
        <f>Analysis!E203</f>
        <v>-8.0000000000001847E-2</v>
      </c>
      <c r="D203" s="20">
        <f>Analysis!F203</f>
        <v>0.23520187051995831</v>
      </c>
      <c r="E203" s="19">
        <f>IF(ENSO!F203="","",ENSO!F203)</f>
        <v>-0.71</v>
      </c>
      <c r="F203" s="25">
        <f>IF(Volcanic!G203="","",Volcanic!G203)</f>
        <v>5.13E-3</v>
      </c>
      <c r="G203" s="19">
        <f>IF(Solar!D203="","",Solar!D203)</f>
        <v>1360.71</v>
      </c>
      <c r="H203" s="20">
        <f t="shared" si="23"/>
        <v>0.23520187051995831</v>
      </c>
      <c r="I203" s="20">
        <f t="shared" si="24"/>
        <v>-0.76560353373409018</v>
      </c>
      <c r="J203" s="25">
        <f t="shared" si="25"/>
        <v>4.644174731730193E-3</v>
      </c>
      <c r="K203" s="19">
        <f t="shared" si="26"/>
        <v>1360.8314470257619</v>
      </c>
      <c r="L203" s="20">
        <f t="shared" si="27"/>
        <v>-2.7363432095156244E-2</v>
      </c>
      <c r="M203" s="20">
        <f t="shared" si="28"/>
        <v>-5.2636567904845603E-2</v>
      </c>
      <c r="AB203" s="20">
        <f t="shared" si="29"/>
        <v>-9.1409699067927334E-3</v>
      </c>
    </row>
    <row r="204" spans="1:28">
      <c r="A204" s="18" t="str">
        <f>Analysis!A204</f>
        <v>1/1975</v>
      </c>
      <c r="B204" s="19">
        <f>Analysis!B204</f>
        <v>1975.0416666666667</v>
      </c>
      <c r="C204" s="19">
        <f>Analysis!E204</f>
        <v>9.9999999999997868E-2</v>
      </c>
      <c r="D204" s="20">
        <f>Analysis!F204</f>
        <v>0.24022708890066147</v>
      </c>
      <c r="E204" s="19">
        <f>IF(ENSO!F204="","",ENSO!F204)</f>
        <v>-0.56000000000000005</v>
      </c>
      <c r="F204" s="25">
        <f>IF(Volcanic!G204="","",Volcanic!G204)</f>
        <v>5.0000000000000001E-3</v>
      </c>
      <c r="G204" s="19">
        <f>IF(Solar!D204="","",Solar!D204)</f>
        <v>1360.66</v>
      </c>
      <c r="H204" s="20">
        <f t="shared" si="23"/>
        <v>0.24022708890066147</v>
      </c>
      <c r="I204" s="20">
        <f t="shared" si="24"/>
        <v>-0.73403963387883819</v>
      </c>
      <c r="J204" s="25">
        <f t="shared" si="25"/>
        <v>4.6726249493443837E-3</v>
      </c>
      <c r="K204" s="19">
        <f t="shared" si="26"/>
        <v>1360.817738878457</v>
      </c>
      <c r="L204" s="20">
        <f t="shared" si="27"/>
        <v>-9.4165529195302904E-3</v>
      </c>
      <c r="M204" s="20">
        <f t="shared" si="28"/>
        <v>0.10941655291952816</v>
      </c>
      <c r="AB204" s="20">
        <f t="shared" si="29"/>
        <v>8.3698404627180201E-3</v>
      </c>
    </row>
    <row r="205" spans="1:28">
      <c r="A205" s="18" t="str">
        <f>Analysis!A205</f>
        <v>2/1975</v>
      </c>
      <c r="B205" s="19">
        <f>Analysis!B205</f>
        <v>1975.125</v>
      </c>
      <c r="C205" s="19">
        <f>Analysis!E205</f>
        <v>8.0000000000000071E-2</v>
      </c>
      <c r="D205" s="20">
        <f>Analysis!F205</f>
        <v>0.24340795181458158</v>
      </c>
      <c r="E205" s="19">
        <f>IF(ENSO!F205="","",ENSO!F205)</f>
        <v>-0.55000000000000004</v>
      </c>
      <c r="F205" s="25">
        <f>IF(Volcanic!G205="","",Volcanic!G205)</f>
        <v>4.8300000000000001E-3</v>
      </c>
      <c r="G205" s="19">
        <f>IF(Solar!D205="","",Solar!D205)</f>
        <v>1360.64</v>
      </c>
      <c r="H205" s="20">
        <f t="shared" si="23"/>
        <v>0.24340795181458158</v>
      </c>
      <c r="I205" s="20">
        <f t="shared" si="24"/>
        <v>-0.70578618673399607</v>
      </c>
      <c r="J205" s="25">
        <f t="shared" si="25"/>
        <v>4.685207963642293E-3</v>
      </c>
      <c r="K205" s="19">
        <f t="shared" si="26"/>
        <v>1360.8035276623868</v>
      </c>
      <c r="L205" s="20">
        <f t="shared" si="27"/>
        <v>3.1295214617495723E-3</v>
      </c>
      <c r="M205" s="20">
        <f t="shared" si="28"/>
        <v>7.6870478538250492E-2</v>
      </c>
      <c r="AB205" s="20">
        <f t="shared" si="29"/>
        <v>2.056217537252375E-2</v>
      </c>
    </row>
    <row r="206" spans="1:28">
      <c r="A206" s="18" t="str">
        <f>Analysis!A206</f>
        <v>3/1975</v>
      </c>
      <c r="B206" s="19">
        <f>Analysis!B206</f>
        <v>1975.2083333333333</v>
      </c>
      <c r="C206" s="19">
        <f>Analysis!E206</f>
        <v>0.11999999999999744</v>
      </c>
      <c r="D206" s="20">
        <f>Analysis!F206</f>
        <v>0.24549566281992086</v>
      </c>
      <c r="E206" s="19">
        <f>IF(ENSO!F206="","",ENSO!F206)</f>
        <v>-0.61</v>
      </c>
      <c r="F206" s="25">
        <f>IF(Volcanic!G206="","",Volcanic!G206)</f>
        <v>4.7099999999999998E-3</v>
      </c>
      <c r="G206" s="19">
        <f>IF(Solar!D206="","",Solar!D206)</f>
        <v>1360.71</v>
      </c>
      <c r="H206" s="20">
        <f t="shared" si="23"/>
        <v>0.24549566281992086</v>
      </c>
      <c r="I206" s="20">
        <f t="shared" si="24"/>
        <v>-0.69108125656728747</v>
      </c>
      <c r="J206" s="25">
        <f t="shared" si="25"/>
        <v>4.6871902254218044E-3</v>
      </c>
      <c r="K206" s="19">
        <f t="shared" si="26"/>
        <v>1360.7960496033922</v>
      </c>
      <c r="L206" s="20">
        <f t="shared" si="27"/>
        <v>1.0843504731365378E-2</v>
      </c>
      <c r="M206" s="20">
        <f t="shared" si="28"/>
        <v>0.10915649526863207</v>
      </c>
      <c r="AB206" s="20">
        <f t="shared" si="29"/>
        <v>2.8084207775671291E-2</v>
      </c>
    </row>
    <row r="207" spans="1:28">
      <c r="A207" s="18" t="str">
        <f>Analysis!A207</f>
        <v>4/1975</v>
      </c>
      <c r="B207" s="19">
        <f>Analysis!B207</f>
        <v>1975.2916666666667</v>
      </c>
      <c r="C207" s="19">
        <f>Analysis!E207</f>
        <v>3.9999999999999147E-2</v>
      </c>
      <c r="D207" s="20">
        <f>Analysis!F207</f>
        <v>0.25057183736095789</v>
      </c>
      <c r="E207" s="19">
        <f>IF(ENSO!F207="","",ENSO!F207)</f>
        <v>-0.66</v>
      </c>
      <c r="F207" s="25">
        <f>IF(Volcanic!G207="","",Volcanic!G207)</f>
        <v>4.6800000000000001E-3</v>
      </c>
      <c r="G207" s="19">
        <f>IF(Solar!D207="","",Solar!D207)</f>
        <v>1360.8</v>
      </c>
      <c r="H207" s="20">
        <f t="shared" si="23"/>
        <v>0.25057183736095789</v>
      </c>
      <c r="I207" s="20">
        <f t="shared" si="24"/>
        <v>-0.6863097156708452</v>
      </c>
      <c r="J207" s="25">
        <f t="shared" si="25"/>
        <v>4.6866153267392571E-3</v>
      </c>
      <c r="K207" s="19">
        <f t="shared" si="26"/>
        <v>1360.7963654596656</v>
      </c>
      <c r="L207" s="20">
        <f t="shared" si="27"/>
        <v>2.5245678552348164E-2</v>
      </c>
      <c r="M207" s="20">
        <f t="shared" si="28"/>
        <v>1.4754321447650983E-2</v>
      </c>
      <c r="AB207" s="20">
        <f t="shared" si="29"/>
        <v>4.2322849477936922E-2</v>
      </c>
    </row>
    <row r="208" spans="1:28">
      <c r="A208" s="18" t="str">
        <f>Analysis!A208</f>
        <v>5/1975</v>
      </c>
      <c r="B208" s="19">
        <f>Analysis!B208</f>
        <v>1975.375</v>
      </c>
      <c r="C208" s="19">
        <f>Analysis!E208</f>
        <v>0.16000000000000014</v>
      </c>
      <c r="D208" s="20">
        <f>Analysis!F208</f>
        <v>0.25420528705036982</v>
      </c>
      <c r="E208" s="19">
        <f>IF(ENSO!F208="","",ENSO!F208)</f>
        <v>-0.8</v>
      </c>
      <c r="F208" s="25">
        <f>IF(Volcanic!G208="","",Volcanic!G208)</f>
        <v>4.6699999999999997E-3</v>
      </c>
      <c r="G208" s="19">
        <f>IF(Solar!D208="","",Solar!D208)</f>
        <v>1360.79</v>
      </c>
      <c r="H208" s="20">
        <f t="shared" si="23"/>
        <v>0.25420528705036982</v>
      </c>
      <c r="I208" s="20">
        <f t="shared" si="24"/>
        <v>-0.70376325201775281</v>
      </c>
      <c r="J208" s="25">
        <f t="shared" si="25"/>
        <v>4.6852868385636945E-3</v>
      </c>
      <c r="K208" s="19">
        <f t="shared" si="26"/>
        <v>1360.7958565056119</v>
      </c>
      <c r="L208" s="20">
        <f t="shared" si="27"/>
        <v>3.2612605247929069E-2</v>
      </c>
      <c r="M208" s="20">
        <f t="shared" si="28"/>
        <v>0.12738739475207106</v>
      </c>
      <c r="AB208" s="20">
        <f t="shared" si="29"/>
        <v>4.9775652389185056E-2</v>
      </c>
    </row>
    <row r="209" spans="1:28">
      <c r="A209" s="18" t="str">
        <f>Analysis!A209</f>
        <v>6/1975</v>
      </c>
      <c r="B209" s="19">
        <f>Analysis!B209</f>
        <v>1975.4583333333333</v>
      </c>
      <c r="C209" s="19">
        <f>Analysis!E209</f>
        <v>-9.9999999999980105E-3</v>
      </c>
      <c r="D209" s="20">
        <f>Analysis!F209</f>
        <v>0.25191381895195386</v>
      </c>
      <c r="E209" s="19">
        <f>IF(ENSO!F209="","",ENSO!F209)</f>
        <v>-0.92</v>
      </c>
      <c r="F209" s="25">
        <f>IF(Volcanic!G209="","",Volcanic!G209)</f>
        <v>4.6800000000000001E-3</v>
      </c>
      <c r="G209" s="19">
        <f>IF(Solar!D209="","",Solar!D209)</f>
        <v>1360.7</v>
      </c>
      <c r="H209" s="20">
        <f t="shared" si="23"/>
        <v>0.25191381895195386</v>
      </c>
      <c r="I209" s="20">
        <f t="shared" si="24"/>
        <v>-0.73695954458325041</v>
      </c>
      <c r="J209" s="25">
        <f t="shared" si="25"/>
        <v>4.6848641262915739E-3</v>
      </c>
      <c r="K209" s="19">
        <f t="shared" si="26"/>
        <v>1360.7881922425941</v>
      </c>
      <c r="L209" s="20">
        <f t="shared" si="27"/>
        <v>2.1732817650897015E-2</v>
      </c>
      <c r="M209" s="20">
        <f t="shared" si="28"/>
        <v>-3.1732817650895029E-2</v>
      </c>
      <c r="AB209" s="20">
        <f t="shared" si="29"/>
        <v>3.9271219557945006E-2</v>
      </c>
    </row>
    <row r="210" spans="1:28">
      <c r="A210" s="18" t="str">
        <f>Analysis!A210</f>
        <v>7/1975</v>
      </c>
      <c r="B210" s="19">
        <f>Analysis!B210</f>
        <v>1975.5416666666667</v>
      </c>
      <c r="C210" s="19">
        <f>Analysis!E210</f>
        <v>-9.9999999999980105E-3</v>
      </c>
      <c r="D210" s="20">
        <f>Analysis!F210</f>
        <v>0.24562604450194436</v>
      </c>
      <c r="E210" s="19">
        <f>IF(ENSO!F210="","",ENSO!F210)</f>
        <v>-1.08</v>
      </c>
      <c r="F210" s="25">
        <f>IF(Volcanic!G210="","",Volcanic!G210)</f>
        <v>5.0499999999999998E-3</v>
      </c>
      <c r="G210" s="19">
        <f>IF(Solar!D210="","",Solar!D210)</f>
        <v>1360.65</v>
      </c>
      <c r="H210" s="20">
        <f t="shared" si="23"/>
        <v>0.24562604450194436</v>
      </c>
      <c r="I210" s="20">
        <f t="shared" si="24"/>
        <v>-0.78962252359156804</v>
      </c>
      <c r="J210" s="25">
        <f t="shared" si="25"/>
        <v>4.7140587788137645E-3</v>
      </c>
      <c r="K210" s="19">
        <f t="shared" si="26"/>
        <v>1360.7771430009436</v>
      </c>
      <c r="L210" s="20">
        <f t="shared" si="27"/>
        <v>-2.8013086527101452E-3</v>
      </c>
      <c r="M210" s="20">
        <f t="shared" si="28"/>
        <v>-7.1986913472878652E-3</v>
      </c>
      <c r="AB210" s="20">
        <f t="shared" si="29"/>
        <v>1.5379820878595588E-2</v>
      </c>
    </row>
    <row r="211" spans="1:28">
      <c r="A211" s="18" t="str">
        <f>Analysis!A211</f>
        <v>8/1975</v>
      </c>
      <c r="B211" s="19">
        <f>Analysis!B211</f>
        <v>1975.625</v>
      </c>
      <c r="C211" s="19">
        <f>Analysis!E211</f>
        <v>-0.16999999999999638</v>
      </c>
      <c r="D211" s="20">
        <f>Analysis!F211</f>
        <v>0.23682059058160543</v>
      </c>
      <c r="E211" s="19">
        <f>IF(ENSO!F211="","",ENSO!F211)</f>
        <v>-1.1200000000000001</v>
      </c>
      <c r="F211" s="25">
        <f>IF(Volcanic!G211="","",Volcanic!G211)</f>
        <v>5.5100000000000001E-3</v>
      </c>
      <c r="G211" s="19">
        <f>IF(Solar!D211="","",Solar!D211)</f>
        <v>1360.51</v>
      </c>
      <c r="H211" s="20">
        <f t="shared" si="23"/>
        <v>0.23682059058160543</v>
      </c>
      <c r="I211" s="20">
        <f t="shared" si="24"/>
        <v>-0.84034150390478235</v>
      </c>
      <c r="J211" s="25">
        <f t="shared" si="25"/>
        <v>4.7776987250743612E-3</v>
      </c>
      <c r="K211" s="19">
        <f t="shared" si="26"/>
        <v>1360.7557834259255</v>
      </c>
      <c r="L211" s="20">
        <f t="shared" si="27"/>
        <v>-3.398619071467901E-2</v>
      </c>
      <c r="M211" s="20">
        <f t="shared" si="28"/>
        <v>-0.13601380928531737</v>
      </c>
      <c r="AB211" s="20">
        <f t="shared" si="29"/>
        <v>-1.5139227181900937E-2</v>
      </c>
    </row>
    <row r="212" spans="1:28">
      <c r="A212" s="18" t="str">
        <f>Analysis!A212</f>
        <v>9/1975</v>
      </c>
      <c r="B212" s="19">
        <f>Analysis!B212</f>
        <v>1975.7083333333333</v>
      </c>
      <c r="C212" s="19">
        <f>Analysis!E212</f>
        <v>-1.9999999999999574E-2</v>
      </c>
      <c r="D212" s="20">
        <f>Analysis!F212</f>
        <v>0.23042262505163516</v>
      </c>
      <c r="E212" s="19">
        <f>IF(ENSO!F212="","",ENSO!F212)</f>
        <v>-1.29</v>
      </c>
      <c r="F212" s="25">
        <f>IF(Volcanic!G212="","",Volcanic!G212)</f>
        <v>5.5500000000000002E-3</v>
      </c>
      <c r="G212" s="19">
        <f>IF(Solar!D212="","",Solar!D212)</f>
        <v>1360.84</v>
      </c>
      <c r="H212" s="20">
        <f t="shared" si="23"/>
        <v>0.23042262505163516</v>
      </c>
      <c r="I212" s="20">
        <f t="shared" si="24"/>
        <v>-0.90937230061360064</v>
      </c>
      <c r="J212" s="25">
        <f t="shared" si="25"/>
        <v>4.8394485255935605E-3</v>
      </c>
      <c r="K212" s="19">
        <f t="shared" si="26"/>
        <v>1360.7625170114036</v>
      </c>
      <c r="L212" s="20">
        <f t="shared" si="27"/>
        <v>-6.1238574671676066E-2</v>
      </c>
      <c r="M212" s="20">
        <f t="shared" si="28"/>
        <v>4.1238574671676492E-2</v>
      </c>
      <c r="AB212" s="20">
        <f t="shared" si="29"/>
        <v>-4.1602927908498379E-2</v>
      </c>
    </row>
    <row r="213" spans="1:28">
      <c r="A213" s="18" t="str">
        <f>Analysis!A213</f>
        <v>10/1975</v>
      </c>
      <c r="B213" s="19">
        <f>Analysis!B213</f>
        <v>1975.7916666666667</v>
      </c>
      <c r="C213" s="19">
        <f>Analysis!E213</f>
        <v>-0.10999999999999766</v>
      </c>
      <c r="D213" s="20">
        <f>Analysis!F213</f>
        <v>0.22985156512086161</v>
      </c>
      <c r="E213" s="19">
        <f>IF(ENSO!F213="","",ENSO!F213)</f>
        <v>-1.32</v>
      </c>
      <c r="F213" s="25">
        <f>IF(Volcanic!G213="","",Volcanic!G213)</f>
        <v>5.5300000000000002E-3</v>
      </c>
      <c r="G213" s="19">
        <f>IF(Solar!D213="","",Solar!D213)</f>
        <v>1360.77</v>
      </c>
      <c r="H213" s="20">
        <f t="shared" si="23"/>
        <v>0.22985156512086161</v>
      </c>
      <c r="I213" s="20">
        <f t="shared" si="24"/>
        <v>-0.97241115673553613</v>
      </c>
      <c r="J213" s="25">
        <f t="shared" si="25"/>
        <v>4.8946619729583109E-3</v>
      </c>
      <c r="K213" s="19">
        <f t="shared" si="26"/>
        <v>1360.7631153181371</v>
      </c>
      <c r="L213" s="20">
        <f t="shared" si="27"/>
        <v>-7.1866229918952529E-2</v>
      </c>
      <c r="M213" s="20">
        <f t="shared" si="28"/>
        <v>-3.8133770081045126E-2</v>
      </c>
      <c r="AB213" s="20">
        <f t="shared" si="29"/>
        <v>-5.1631829136795315E-2</v>
      </c>
    </row>
    <row r="214" spans="1:28">
      <c r="A214" s="18" t="str">
        <f>Analysis!A214</f>
        <v>11/1975</v>
      </c>
      <c r="B214" s="19">
        <f>Analysis!B214</f>
        <v>1975.875</v>
      </c>
      <c r="C214" s="19">
        <f>Analysis!E214</f>
        <v>-0.16999999999999638</v>
      </c>
      <c r="D214" s="20">
        <f>Analysis!F214</f>
        <v>0.2343261299073639</v>
      </c>
      <c r="E214" s="19">
        <f>IF(ENSO!F214="","",ENSO!F214)</f>
        <v>-1.47</v>
      </c>
      <c r="F214" s="25">
        <f>IF(Volcanic!G214="","",Volcanic!G214)</f>
        <v>5.3299999999999997E-3</v>
      </c>
      <c r="G214" s="19">
        <f>IF(Solar!D214="","",Solar!D214)</f>
        <v>1360.77</v>
      </c>
      <c r="H214" s="20">
        <f t="shared" si="23"/>
        <v>0.2343261299073639</v>
      </c>
      <c r="I214" s="20">
        <f t="shared" si="24"/>
        <v>-1.0488001376671712</v>
      </c>
      <c r="J214" s="25">
        <f t="shared" si="25"/>
        <v>4.9294696797445451E-3</v>
      </c>
      <c r="K214" s="19">
        <f t="shared" si="26"/>
        <v>1360.7636657869054</v>
      </c>
      <c r="L214" s="20">
        <f t="shared" si="27"/>
        <v>-7.0664396820680653E-2</v>
      </c>
      <c r="M214" s="20">
        <f t="shared" si="28"/>
        <v>-9.9335603179315723E-2</v>
      </c>
      <c r="AB214" s="20">
        <f t="shared" si="29"/>
        <v>-4.9808838074513494E-2</v>
      </c>
    </row>
    <row r="215" spans="1:28">
      <c r="A215" s="18" t="str">
        <f>Analysis!A215</f>
        <v>12/1975</v>
      </c>
      <c r="B215" s="19">
        <f>Analysis!B215</f>
        <v>1975.9583333333333</v>
      </c>
      <c r="C215" s="19">
        <f>Analysis!E215</f>
        <v>-0.16999999999999638</v>
      </c>
      <c r="D215" s="20">
        <f>Analysis!F215</f>
        <v>0.24040156449160882</v>
      </c>
      <c r="E215" s="19">
        <f>IF(ENSO!F215="","",ENSO!F215)</f>
        <v>-1.58</v>
      </c>
      <c r="F215" s="25">
        <f>IF(Volcanic!G215="","",Volcanic!G215)</f>
        <v>5.1000000000000004E-3</v>
      </c>
      <c r="G215" s="19">
        <f>IF(Solar!D215="","",Solar!D215)</f>
        <v>1360.74</v>
      </c>
      <c r="H215" s="20">
        <f t="shared" si="23"/>
        <v>0.24040156449160882</v>
      </c>
      <c r="I215" s="20">
        <f t="shared" si="24"/>
        <v>-1.1303490242708503</v>
      </c>
      <c r="J215" s="25">
        <f t="shared" si="25"/>
        <v>4.9431045313240189E-3</v>
      </c>
      <c r="K215" s="19">
        <f t="shared" si="26"/>
        <v>1360.7617735750603</v>
      </c>
      <c r="L215" s="20">
        <f t="shared" si="27"/>
        <v>-6.5789877880657849E-2</v>
      </c>
      <c r="M215" s="20">
        <f t="shared" si="28"/>
        <v>-0.10421012211933853</v>
      </c>
      <c r="AB215" s="20">
        <f t="shared" si="29"/>
        <v>-4.4290125095074587E-2</v>
      </c>
    </row>
    <row r="216" spans="1:28">
      <c r="A216" s="18" t="str">
        <f>Analysis!A216</f>
        <v>1/1976</v>
      </c>
      <c r="B216" s="19">
        <f>Analysis!B216</f>
        <v>1976.0416666666667</v>
      </c>
      <c r="C216" s="19">
        <f>Analysis!E216</f>
        <v>-2.9999999999999361E-2</v>
      </c>
      <c r="D216" s="20">
        <f>Analysis!F216</f>
        <v>0.2438431408139568</v>
      </c>
      <c r="E216" s="19">
        <f>IF(ENSO!F216="","",ENSO!F216)</f>
        <v>-1.49</v>
      </c>
      <c r="F216" s="25">
        <f>IF(Volcanic!G216="","",Volcanic!G216)</f>
        <v>4.8900000000000002E-3</v>
      </c>
      <c r="G216" s="19">
        <f>IF(Solar!D216="","",Solar!D216)</f>
        <v>1360.71</v>
      </c>
      <c r="H216" s="20">
        <f t="shared" si="23"/>
        <v>0.2438431408139568</v>
      </c>
      <c r="I216" s="20">
        <f t="shared" si="24"/>
        <v>-1.1855620217061968</v>
      </c>
      <c r="J216" s="25">
        <f t="shared" si="25"/>
        <v>4.938858527436172E-3</v>
      </c>
      <c r="K216" s="19">
        <f t="shared" si="26"/>
        <v>1360.7576339885595</v>
      </c>
      <c r="L216" s="20">
        <f t="shared" si="27"/>
        <v>-6.4260564852522892E-2</v>
      </c>
      <c r="M216" s="20">
        <f t="shared" si="28"/>
        <v>3.4260564852523531E-2</v>
      </c>
      <c r="AB216" s="20">
        <f t="shared" si="29"/>
        <v>-4.2302724453225624E-2</v>
      </c>
    </row>
    <row r="217" spans="1:28">
      <c r="A217" s="18" t="str">
        <f>Analysis!A217</f>
        <v>2/1976</v>
      </c>
      <c r="B217" s="19">
        <f>Analysis!B217</f>
        <v>1976.125</v>
      </c>
      <c r="C217" s="19">
        <f>Analysis!E217</f>
        <v>-6.0000000000000497E-2</v>
      </c>
      <c r="D217" s="20">
        <f>Analysis!F217</f>
        <v>0.24896848158992504</v>
      </c>
      <c r="E217" s="19">
        <f>IF(ENSO!F217="","",ENSO!F217)</f>
        <v>-1.1100000000000001</v>
      </c>
      <c r="F217" s="25">
        <f>IF(Volcanic!G217="","",Volcanic!G217)</f>
        <v>5.3499999999999997E-3</v>
      </c>
      <c r="G217" s="19">
        <f>IF(Solar!D217="","",Solar!D217)</f>
        <v>1360.71</v>
      </c>
      <c r="H217" s="20">
        <f t="shared" si="23"/>
        <v>0.24896848158992504</v>
      </c>
      <c r="I217" s="20">
        <f t="shared" si="24"/>
        <v>-1.1739618704700836</v>
      </c>
      <c r="J217" s="25">
        <f t="shared" si="25"/>
        <v>4.9717315845451754E-3</v>
      </c>
      <c r="K217" s="19">
        <f t="shared" si="26"/>
        <v>1360.7538253851205</v>
      </c>
      <c r="L217" s="20">
        <f t="shared" si="27"/>
        <v>-4.8875244948228536E-2</v>
      </c>
      <c r="M217" s="20">
        <f t="shared" si="28"/>
        <v>-1.1124755051771962E-2</v>
      </c>
      <c r="AB217" s="20">
        <f t="shared" si="29"/>
        <v>-2.7164172714475195E-2</v>
      </c>
    </row>
    <row r="218" spans="1:28">
      <c r="A218" s="18" t="str">
        <f>Analysis!A218</f>
        <v>3/1976</v>
      </c>
      <c r="B218" s="19">
        <f>Analysis!B218</f>
        <v>1976.2083333333333</v>
      </c>
      <c r="C218" s="19">
        <f>Analysis!E218</f>
        <v>-0.21999999999999886</v>
      </c>
      <c r="D218" s="20">
        <f>Analysis!F218</f>
        <v>0.25165417798285766</v>
      </c>
      <c r="E218" s="19">
        <f>IF(ENSO!F218="","",ENSO!F218)</f>
        <v>-0.65</v>
      </c>
      <c r="F218" s="25">
        <f>IF(Volcanic!G218="","",Volcanic!G218)</f>
        <v>5.3E-3</v>
      </c>
      <c r="G218" s="19">
        <f>IF(Solar!D218="","",Solar!D218)</f>
        <v>1360.57</v>
      </c>
      <c r="H218" s="20">
        <f t="shared" si="23"/>
        <v>0.25165417798285766</v>
      </c>
      <c r="I218" s="20">
        <f t="shared" si="24"/>
        <v>-1.0935241478924289</v>
      </c>
      <c r="J218" s="25">
        <f t="shared" si="25"/>
        <v>4.9979784778615699E-3</v>
      </c>
      <c r="K218" s="19">
        <f t="shared" si="26"/>
        <v>1360.7391275188472</v>
      </c>
      <c r="L218" s="20">
        <f t="shared" si="27"/>
        <v>-3.0350244124072241E-2</v>
      </c>
      <c r="M218" s="20">
        <f t="shared" si="28"/>
        <v>-0.18964975587592661</v>
      </c>
      <c r="AB218" s="20">
        <f t="shared" si="29"/>
        <v>-9.4942747267734093E-3</v>
      </c>
    </row>
    <row r="219" spans="1:28">
      <c r="A219" s="18" t="str">
        <f>Analysis!A219</f>
        <v>4/1976</v>
      </c>
      <c r="B219" s="19">
        <f>Analysis!B219</f>
        <v>1976.2916666666667</v>
      </c>
      <c r="C219" s="19">
        <f>Analysis!E219</f>
        <v>-7.0000000000000284E-2</v>
      </c>
      <c r="D219" s="20">
        <f>Analysis!F219</f>
        <v>0.25761413004954092</v>
      </c>
      <c r="E219" s="19">
        <f>IF(ENSO!F219="","",ENSO!F219)</f>
        <v>-0.45</v>
      </c>
      <c r="F219" s="25">
        <f>IF(Volcanic!G219="","",Volcanic!G219)</f>
        <v>5.2100000000000002E-3</v>
      </c>
      <c r="G219" s="19">
        <f>IF(Solar!D219="","",Solar!D219)</f>
        <v>1360.63</v>
      </c>
      <c r="H219" s="20">
        <f t="shared" si="23"/>
        <v>0.25761413004954092</v>
      </c>
      <c r="I219" s="20">
        <f t="shared" si="24"/>
        <v>-0.99473143071674586</v>
      </c>
      <c r="J219" s="25">
        <f t="shared" si="25"/>
        <v>5.0149307827753297E-3</v>
      </c>
      <c r="K219" s="19">
        <f t="shared" si="26"/>
        <v>1360.7304021641978</v>
      </c>
      <c r="L219" s="20">
        <f t="shared" si="27"/>
        <v>-3.4928082773489494E-4</v>
      </c>
      <c r="M219" s="20">
        <f t="shared" si="28"/>
        <v>-6.9650719172265396E-2</v>
      </c>
      <c r="AB219" s="20">
        <f t="shared" si="29"/>
        <v>1.9402090810331903E-2</v>
      </c>
    </row>
    <row r="220" spans="1:28">
      <c r="A220" s="18" t="str">
        <f>Analysis!A220</f>
        <v>5/1976</v>
      </c>
      <c r="B220" s="19">
        <f>Analysis!B220</f>
        <v>1976.375</v>
      </c>
      <c r="C220" s="19">
        <f>Analysis!E220</f>
        <v>-0.19999999999999751</v>
      </c>
      <c r="D220" s="20">
        <f>Analysis!F220</f>
        <v>0.25752792952725034</v>
      </c>
      <c r="E220" s="19">
        <f>IF(ENSO!F220="","",ENSO!F220)</f>
        <v>-0.23</v>
      </c>
      <c r="F220" s="25">
        <f>IF(Volcanic!G220="","",Volcanic!G220)</f>
        <v>5.11E-3</v>
      </c>
      <c r="G220" s="19">
        <f>IF(Solar!D220="","",Solar!D220)</f>
        <v>1360.76</v>
      </c>
      <c r="H220" s="20">
        <f t="shared" si="23"/>
        <v>0.25752792952725034</v>
      </c>
      <c r="I220" s="20">
        <f t="shared" si="24"/>
        <v>-0.8773311805511782</v>
      </c>
      <c r="J220" s="25">
        <f t="shared" si="25"/>
        <v>5.02253209768926E-3</v>
      </c>
      <c r="K220" s="19">
        <f t="shared" si="26"/>
        <v>1360.732768676485</v>
      </c>
      <c r="L220" s="20">
        <f t="shared" si="27"/>
        <v>1.5959469372554685E-2</v>
      </c>
      <c r="M220" s="20">
        <f t="shared" si="28"/>
        <v>-0.2159594693725522</v>
      </c>
      <c r="AB220" s="20">
        <f t="shared" si="29"/>
        <v>3.4570076626745064E-2</v>
      </c>
    </row>
    <row r="221" spans="1:28">
      <c r="A221" s="18" t="str">
        <f>Analysis!A221</f>
        <v>6/1976</v>
      </c>
      <c r="B221" s="19">
        <f>Analysis!B221</f>
        <v>1976.4583333333333</v>
      </c>
      <c r="C221" s="19">
        <f>Analysis!E221</f>
        <v>-0.11999999999999744</v>
      </c>
      <c r="D221" s="20">
        <f>Analysis!F221</f>
        <v>0.25429168632221816</v>
      </c>
      <c r="E221" s="19">
        <f>IF(ENSO!F221="","",ENSO!F221)</f>
        <v>0</v>
      </c>
      <c r="F221" s="25">
        <f>IF(Volcanic!G221="","",Volcanic!G221)</f>
        <v>5.0400000000000002E-3</v>
      </c>
      <c r="G221" s="19">
        <f>IF(Solar!D221="","",Solar!D221)</f>
        <v>1360.71</v>
      </c>
      <c r="H221" s="20">
        <f t="shared" si="23"/>
        <v>0.25429168632221816</v>
      </c>
      <c r="I221" s="20">
        <f t="shared" si="24"/>
        <v>-0.74264481101328017</v>
      </c>
      <c r="J221" s="25">
        <f t="shared" si="25"/>
        <v>5.0239287540437124E-3</v>
      </c>
      <c r="K221" s="19">
        <f t="shared" si="26"/>
        <v>1360.7309481936284</v>
      </c>
      <c r="L221" s="20">
        <f t="shared" si="27"/>
        <v>2.6210438757882433E-2</v>
      </c>
      <c r="M221" s="20">
        <f t="shared" si="28"/>
        <v>-0.14621043875787987</v>
      </c>
      <c r="AB221" s="20">
        <f t="shared" si="29"/>
        <v>4.3588406953435438E-2</v>
      </c>
    </row>
    <row r="222" spans="1:28">
      <c r="A222" s="18" t="str">
        <f>Analysis!A222</f>
        <v>7/1976</v>
      </c>
      <c r="B222" s="19">
        <f>Analysis!B222</f>
        <v>1976.5416666666667</v>
      </c>
      <c r="C222" s="19">
        <f>Analysis!E222</f>
        <v>-0.10000000000000142</v>
      </c>
      <c r="D222" s="20">
        <f>Analysis!F222</f>
        <v>0.2504419019033377</v>
      </c>
      <c r="E222" s="19">
        <f>IF(ENSO!F222="","",ENSO!F222)</f>
        <v>0.23</v>
      </c>
      <c r="F222" s="25">
        <f>IF(Volcanic!G222="","",Volcanic!G222)</f>
        <v>5.0099999999999997E-3</v>
      </c>
      <c r="G222" s="19">
        <f>IF(Solar!D222="","",Solar!D222)</f>
        <v>1360.68</v>
      </c>
      <c r="H222" s="20">
        <f t="shared" si="23"/>
        <v>0.2504419019033377</v>
      </c>
      <c r="I222" s="20">
        <f t="shared" si="24"/>
        <v>-0.59332605733242683</v>
      </c>
      <c r="J222" s="25">
        <f t="shared" si="25"/>
        <v>5.0228150723606634E-3</v>
      </c>
      <c r="K222" s="19">
        <f t="shared" si="26"/>
        <v>1360.7268746009834</v>
      </c>
      <c r="L222" s="20">
        <f t="shared" si="27"/>
        <v>3.6875738322139938E-2</v>
      </c>
      <c r="M222" s="20">
        <f t="shared" si="28"/>
        <v>-0.13687573832214137</v>
      </c>
      <c r="AB222" s="20">
        <f t="shared" si="29"/>
        <v>5.2894477396893139E-2</v>
      </c>
    </row>
    <row r="223" spans="1:28">
      <c r="A223" s="18" t="str">
        <f>Analysis!A223</f>
        <v>8/1976</v>
      </c>
      <c r="B223" s="19">
        <f>Analysis!B223</f>
        <v>1976.625</v>
      </c>
      <c r="C223" s="19">
        <f>Analysis!E223</f>
        <v>-0.11999999999999744</v>
      </c>
      <c r="D223" s="20">
        <f>Analysis!F223</f>
        <v>0.24000896473507025</v>
      </c>
      <c r="E223" s="19">
        <f>IF(ENSO!F223="","",ENSO!F223)</f>
        <v>0.4</v>
      </c>
      <c r="F223" s="25">
        <f>IF(Volcanic!G223="","",Volcanic!G223)</f>
        <v>5.0000000000000001E-3</v>
      </c>
      <c r="G223" s="19">
        <f>IF(Solar!D223="","",Solar!D223)</f>
        <v>1360.67</v>
      </c>
      <c r="H223" s="20">
        <f t="shared" si="23"/>
        <v>0.24000896473507025</v>
      </c>
      <c r="I223" s="20">
        <f t="shared" si="24"/>
        <v>-0.44083235438954571</v>
      </c>
      <c r="J223" s="25">
        <f t="shared" si="25"/>
        <v>5.0209908798947919E-3</v>
      </c>
      <c r="K223" s="19">
        <f t="shared" si="26"/>
        <v>1360.7223271589689</v>
      </c>
      <c r="L223" s="20">
        <f t="shared" si="27"/>
        <v>3.0189509874949571E-2</v>
      </c>
      <c r="M223" s="20">
        <f t="shared" si="28"/>
        <v>-0.150189509874947</v>
      </c>
      <c r="AB223" s="20">
        <f t="shared" si="29"/>
        <v>4.4970938135189507E-2</v>
      </c>
    </row>
    <row r="224" spans="1:28">
      <c r="A224" s="18" t="str">
        <f>Analysis!A224</f>
        <v>9/1976</v>
      </c>
      <c r="B224" s="19">
        <f>Analysis!B224</f>
        <v>1976.7083333333333</v>
      </c>
      <c r="C224" s="19">
        <f>Analysis!E224</f>
        <v>-6.0000000000000497E-2</v>
      </c>
      <c r="D224" s="20">
        <f>Analysis!F224</f>
        <v>0.23248534247418692</v>
      </c>
      <c r="E224" s="19">
        <f>IF(ENSO!F224="","",ENSO!F224)</f>
        <v>0.6</v>
      </c>
      <c r="F224" s="25">
        <f>IF(Volcanic!G224="","",Volcanic!G224)</f>
        <v>4.9699999999999996E-3</v>
      </c>
      <c r="G224" s="19">
        <f>IF(Solar!D224="","",Solar!D224)</f>
        <v>1360.72</v>
      </c>
      <c r="H224" s="20">
        <f t="shared" si="23"/>
        <v>0.23248534247418692</v>
      </c>
      <c r="I224" s="20">
        <f t="shared" si="24"/>
        <v>-0.28104556666562164</v>
      </c>
      <c r="J224" s="25">
        <f t="shared" si="25"/>
        <v>5.0169138742442373E-3</v>
      </c>
      <c r="K224" s="19">
        <f t="shared" si="26"/>
        <v>1360.7221410896113</v>
      </c>
      <c r="L224" s="20">
        <f t="shared" si="27"/>
        <v>3.2407424697887391E-2</v>
      </c>
      <c r="M224" s="20">
        <f t="shared" si="28"/>
        <v>-9.2407424697887888E-2</v>
      </c>
      <c r="AB224" s="20">
        <f t="shared" si="29"/>
        <v>4.581449667955137E-2</v>
      </c>
    </row>
    <row r="225" spans="1:28">
      <c r="A225" s="18" t="str">
        <f>Analysis!A225</f>
        <v>10/1976</v>
      </c>
      <c r="B225" s="19">
        <f>Analysis!B225</f>
        <v>1976.7916666666667</v>
      </c>
      <c r="C225" s="19">
        <f>Analysis!E225</f>
        <v>-0.24000000000000021</v>
      </c>
      <c r="D225" s="20">
        <f>Analysis!F225</f>
        <v>0.23143240844796537</v>
      </c>
      <c r="E225" s="19">
        <f>IF(ENSO!F225="","",ENSO!F225)</f>
        <v>0.79</v>
      </c>
      <c r="F225" s="25">
        <f>IF(Volcanic!G225="","",Volcanic!G225)</f>
        <v>4.9699999999999996E-3</v>
      </c>
      <c r="G225" s="19">
        <f>IF(Solar!D225="","",Solar!D225)</f>
        <v>1360.79</v>
      </c>
      <c r="H225" s="20">
        <f t="shared" si="23"/>
        <v>0.23143240844796537</v>
      </c>
      <c r="I225" s="20">
        <f t="shared" si="24"/>
        <v>-0.11662049870756065</v>
      </c>
      <c r="J225" s="25">
        <f t="shared" si="25"/>
        <v>5.0131628479670324E-3</v>
      </c>
      <c r="K225" s="19">
        <f t="shared" si="26"/>
        <v>1360.7275667885142</v>
      </c>
      <c r="L225" s="20">
        <f t="shared" si="27"/>
        <v>5.2776658971890461E-2</v>
      </c>
      <c r="M225" s="20">
        <f t="shared" si="28"/>
        <v>-0.29277665897189065</v>
      </c>
      <c r="AB225" s="20">
        <f t="shared" si="29"/>
        <v>6.4614428341787072E-2</v>
      </c>
    </row>
    <row r="226" spans="1:28">
      <c r="A226" s="18" t="str">
        <f>Analysis!A226</f>
        <v>11/1976</v>
      </c>
      <c r="B226" s="19">
        <f>Analysis!B226</f>
        <v>1976.875</v>
      </c>
      <c r="C226" s="19">
        <f>Analysis!E226</f>
        <v>-6.0000000000000497E-2</v>
      </c>
      <c r="D226" s="20">
        <f>Analysis!F226</f>
        <v>0.23773851628734363</v>
      </c>
      <c r="E226" s="19">
        <f>IF(ENSO!F226="","",ENSO!F226)</f>
        <v>0.81</v>
      </c>
      <c r="F226" s="25">
        <f>IF(Volcanic!G226="","",Volcanic!G226)</f>
        <v>4.8199999999999996E-3</v>
      </c>
      <c r="G226" s="19">
        <f>IF(Solar!D226="","",Solar!D226)</f>
        <v>1360.71</v>
      </c>
      <c r="H226" s="20">
        <f t="shared" si="23"/>
        <v>0.23773851628734363</v>
      </c>
      <c r="I226" s="20">
        <f t="shared" si="24"/>
        <v>2.563268193502298E-2</v>
      </c>
      <c r="J226" s="25">
        <f t="shared" si="25"/>
        <v>4.9977183993859609E-3</v>
      </c>
      <c r="K226" s="19">
        <f t="shared" si="26"/>
        <v>1360.7261622256553</v>
      </c>
      <c r="L226" s="20">
        <f t="shared" si="27"/>
        <v>8.9956772793165801E-2</v>
      </c>
      <c r="M226" s="20">
        <f t="shared" si="28"/>
        <v>-0.1499567727931663</v>
      </c>
      <c r="AB226" s="20">
        <f t="shared" si="29"/>
        <v>0.10027556571830444</v>
      </c>
    </row>
    <row r="227" spans="1:28">
      <c r="A227" s="18" t="str">
        <f>Analysis!A227</f>
        <v>12/1976</v>
      </c>
      <c r="B227" s="19">
        <f>Analysis!B227</f>
        <v>1976.9583333333333</v>
      </c>
      <c r="C227" s="19">
        <f>Analysis!E227</f>
        <v>0.10999999999999766</v>
      </c>
      <c r="D227" s="20">
        <f>Analysis!F227</f>
        <v>0.24410419121562613</v>
      </c>
      <c r="E227" s="19">
        <f>IF(ENSO!F227="","",ENSO!F227)</f>
        <v>0.84</v>
      </c>
      <c r="F227" s="25">
        <f>IF(Volcanic!G227="","",Volcanic!G227)</f>
        <v>4.64E-3</v>
      </c>
      <c r="G227" s="19">
        <f>IF(Solar!D227="","",Solar!D227)</f>
        <v>1360.67</v>
      </c>
      <c r="H227" s="20">
        <f t="shared" si="23"/>
        <v>0.24410419121562613</v>
      </c>
      <c r="I227" s="20">
        <f t="shared" si="24"/>
        <v>0.15065294790981487</v>
      </c>
      <c r="J227" s="25">
        <f t="shared" si="25"/>
        <v>4.9691168153651946E-3</v>
      </c>
      <c r="K227" s="19">
        <f t="shared" si="26"/>
        <v>1360.7216717420274</v>
      </c>
      <c r="L227" s="20">
        <f t="shared" si="27"/>
        <v>0.12491067462368151</v>
      </c>
      <c r="M227" s="20">
        <f t="shared" si="28"/>
        <v>-1.4910674623683853E-2</v>
      </c>
      <c r="AB227" s="20">
        <f t="shared" si="29"/>
        <v>0.13388255720075415</v>
      </c>
    </row>
    <row r="228" spans="1:28">
      <c r="A228" s="18" t="str">
        <f>Analysis!A228</f>
        <v>1/1977</v>
      </c>
      <c r="B228" s="19">
        <f>Analysis!B228</f>
        <v>1977.0416666666667</v>
      </c>
      <c r="C228" s="19">
        <f>Analysis!E228</f>
        <v>0.19000000000000128</v>
      </c>
      <c r="D228" s="20">
        <f>Analysis!F228</f>
        <v>0.248708309960915</v>
      </c>
      <c r="E228" s="19">
        <f>IF(ENSO!F228="","",ENSO!F228)</f>
        <v>0.71</v>
      </c>
      <c r="F228" s="25">
        <f>IF(Volcanic!G228="","",Volcanic!G228)</f>
        <v>4.4799999999999996E-3</v>
      </c>
      <c r="G228" s="19">
        <f>IF(Solar!D228="","",Solar!D228)</f>
        <v>1360.76</v>
      </c>
      <c r="H228" s="20">
        <f t="shared" si="23"/>
        <v>0.248708309960915</v>
      </c>
      <c r="I228" s="20">
        <f t="shared" si="24"/>
        <v>0.2365229425342199</v>
      </c>
      <c r="J228" s="25">
        <f t="shared" si="25"/>
        <v>4.9300091940780288E-3</v>
      </c>
      <c r="K228" s="19">
        <f t="shared" si="26"/>
        <v>1360.7247363003298</v>
      </c>
      <c r="L228" s="20">
        <f t="shared" si="27"/>
        <v>0.14961173801803723</v>
      </c>
      <c r="M228" s="20">
        <f t="shared" si="28"/>
        <v>4.0388261981964046E-2</v>
      </c>
      <c r="AB228" s="20">
        <f t="shared" si="29"/>
        <v>0.15766234589222849</v>
      </c>
    </row>
    <row r="229" spans="1:28">
      <c r="A229" s="18" t="str">
        <f>Analysis!A229</f>
        <v>2/1977</v>
      </c>
      <c r="B229" s="19">
        <f>Analysis!B229</f>
        <v>1977.125</v>
      </c>
      <c r="C229" s="19">
        <f>Analysis!E229</f>
        <v>0.2300000000000022</v>
      </c>
      <c r="D229" s="20">
        <f>Analysis!F229</f>
        <v>0.25083167317379135</v>
      </c>
      <c r="E229" s="19">
        <f>IF(ENSO!F229="","",ENSO!F229)</f>
        <v>0.66</v>
      </c>
      <c r="F229" s="25">
        <f>IF(Volcanic!G229="","",Volcanic!G229)</f>
        <v>4.3E-3</v>
      </c>
      <c r="G229" s="19">
        <f>IF(Solar!D229="","",Solar!D229)</f>
        <v>1360.86</v>
      </c>
      <c r="H229" s="20">
        <f t="shared" si="23"/>
        <v>0.25083167317379135</v>
      </c>
      <c r="I229" s="20">
        <f t="shared" si="24"/>
        <v>0.30153440994476477</v>
      </c>
      <c r="J229" s="25">
        <f t="shared" si="25"/>
        <v>4.8796364401766119E-3</v>
      </c>
      <c r="K229" s="19">
        <f t="shared" si="26"/>
        <v>1360.7355513886164</v>
      </c>
      <c r="L229" s="20">
        <f t="shared" si="27"/>
        <v>0.16469904675328198</v>
      </c>
      <c r="M229" s="20">
        <f t="shared" si="28"/>
        <v>6.5300953246720223E-2</v>
      </c>
      <c r="AB229" s="20">
        <f t="shared" si="29"/>
        <v>0.17209353448973352</v>
      </c>
    </row>
    <row r="230" spans="1:28">
      <c r="A230" s="18" t="str">
        <f>Analysis!A230</f>
        <v>3/1977</v>
      </c>
      <c r="B230" s="19">
        <f>Analysis!B230</f>
        <v>1977.2083333333333</v>
      </c>
      <c r="C230" s="19">
        <f>Analysis!E230</f>
        <v>0.24000000000000199</v>
      </c>
      <c r="D230" s="20">
        <f>Analysis!F230</f>
        <v>0.25856199602061081</v>
      </c>
      <c r="E230" s="19">
        <f>IF(ENSO!F230="","",ENSO!F230)</f>
        <v>0.33</v>
      </c>
      <c r="F230" s="25">
        <f>IF(Volcanic!G230="","",Volcanic!G230)</f>
        <v>4.1999999999999997E-3</v>
      </c>
      <c r="G230" s="19">
        <f>IF(Solar!D230="","",Solar!D230)</f>
        <v>1360.75</v>
      </c>
      <c r="H230" s="20">
        <f t="shared" si="23"/>
        <v>0.25856199602061081</v>
      </c>
      <c r="I230" s="20">
        <f t="shared" si="24"/>
        <v>0.30590439823001536</v>
      </c>
      <c r="J230" s="25">
        <f t="shared" si="25"/>
        <v>4.8252957107630477E-3</v>
      </c>
      <c r="K230" s="19">
        <f t="shared" si="26"/>
        <v>1360.7367066357974</v>
      </c>
      <c r="L230" s="20">
        <f t="shared" si="27"/>
        <v>0.18640422587778815</v>
      </c>
      <c r="M230" s="20">
        <f t="shared" si="28"/>
        <v>5.3595774122213835E-2</v>
      </c>
      <c r="AB230" s="20">
        <f t="shared" si="29"/>
        <v>0.19360309814538276</v>
      </c>
    </row>
    <row r="231" spans="1:28">
      <c r="A231" s="18" t="str">
        <f>Analysis!A231</f>
        <v>4/1977</v>
      </c>
      <c r="B231" s="19">
        <f>Analysis!B231</f>
        <v>1977.2916666666667</v>
      </c>
      <c r="C231" s="19">
        <f>Analysis!E231</f>
        <v>0.25999999999999979</v>
      </c>
      <c r="D231" s="20">
        <f>Analysis!F231</f>
        <v>0.26363540356832926</v>
      </c>
      <c r="E231" s="19">
        <f>IF(ENSO!F231="","",ENSO!F231)</f>
        <v>0.26</v>
      </c>
      <c r="F231" s="25">
        <f>IF(Volcanic!G231="","",Volcanic!G231)</f>
        <v>4.1900000000000001E-3</v>
      </c>
      <c r="G231" s="19">
        <f>IF(Solar!D231="","",Solar!D231)</f>
        <v>1360.82</v>
      </c>
      <c r="H231" s="20">
        <f t="shared" si="23"/>
        <v>0.26363540356832926</v>
      </c>
      <c r="I231" s="20">
        <f t="shared" si="24"/>
        <v>0.29885723419380905</v>
      </c>
      <c r="J231" s="25">
        <f t="shared" si="25"/>
        <v>4.7745002703255086E-3</v>
      </c>
      <c r="K231" s="19">
        <f t="shared" si="26"/>
        <v>1360.7433664054897</v>
      </c>
      <c r="L231" s="20">
        <f t="shared" si="27"/>
        <v>0.19930141717599931</v>
      </c>
      <c r="M231" s="20">
        <f t="shared" si="28"/>
        <v>6.069858282400048E-2</v>
      </c>
      <c r="AB231" s="20">
        <f t="shared" si="29"/>
        <v>0.20647528151845126</v>
      </c>
    </row>
    <row r="232" spans="1:28">
      <c r="A232" s="18" t="str">
        <f>Analysis!A232</f>
        <v>5/1977</v>
      </c>
      <c r="B232" s="19">
        <f>Analysis!B232</f>
        <v>1977.375</v>
      </c>
      <c r="C232" s="19">
        <f>Analysis!E232</f>
        <v>0.32999999999999652</v>
      </c>
      <c r="D232" s="20">
        <f>Analysis!F232</f>
        <v>0.26702206351656388</v>
      </c>
      <c r="E232" s="19">
        <f>IF(ENSO!F232="","",ENSO!F232)</f>
        <v>0.26</v>
      </c>
      <c r="F232" s="25">
        <f>IF(Volcanic!G232="","",Volcanic!G232)</f>
        <v>4.2100000000000002E-3</v>
      </c>
      <c r="G232" s="19">
        <f>IF(Solar!D232="","",Solar!D232)</f>
        <v>1360.91</v>
      </c>
      <c r="H232" s="20">
        <f t="shared" si="23"/>
        <v>0.26702206351656388</v>
      </c>
      <c r="I232" s="20">
        <f t="shared" si="24"/>
        <v>0.29289193862485402</v>
      </c>
      <c r="J232" s="25">
        <f t="shared" si="25"/>
        <v>4.7293653207697269E-3</v>
      </c>
      <c r="K232" s="19">
        <f t="shared" si="26"/>
        <v>1360.7566896920812</v>
      </c>
      <c r="L232" s="20">
        <f t="shared" si="27"/>
        <v>0.20777082133655406</v>
      </c>
      <c r="M232" s="20">
        <f t="shared" si="28"/>
        <v>0.12222917866344246</v>
      </c>
      <c r="AB232" s="20">
        <f t="shared" si="29"/>
        <v>0.21494554518117226</v>
      </c>
    </row>
    <row r="233" spans="1:28">
      <c r="A233" s="18" t="str">
        <f>Analysis!A233</f>
        <v>6/1977</v>
      </c>
      <c r="B233" s="19">
        <f>Analysis!B233</f>
        <v>1977.4583333333333</v>
      </c>
      <c r="C233" s="19">
        <f>Analysis!E233</f>
        <v>0.27000000000000135</v>
      </c>
      <c r="D233" s="20">
        <f>Analysis!F233</f>
        <v>0.26376415623080784</v>
      </c>
      <c r="E233" s="19">
        <f>IF(ENSO!F233="","",ENSO!F233)</f>
        <v>0.46</v>
      </c>
      <c r="F233" s="25">
        <f>IF(Volcanic!G233="","",Volcanic!G233)</f>
        <v>4.2599999999999999E-3</v>
      </c>
      <c r="G233" s="19">
        <f>IF(Solar!D233="","",Solar!D233)</f>
        <v>1360.71</v>
      </c>
      <c r="H233" s="20">
        <f t="shared" si="23"/>
        <v>0.26376415623080784</v>
      </c>
      <c r="I233" s="20">
        <f t="shared" si="24"/>
        <v>0.31854607996403983</v>
      </c>
      <c r="J233" s="25">
        <f t="shared" si="25"/>
        <v>4.6918369417948873E-3</v>
      </c>
      <c r="K233" s="19">
        <f t="shared" si="26"/>
        <v>1360.7529565904199</v>
      </c>
      <c r="L233" s="20">
        <f t="shared" si="27"/>
        <v>0.20270852121975502</v>
      </c>
      <c r="M233" s="20">
        <f t="shared" si="28"/>
        <v>6.7291478780246328E-2</v>
      </c>
      <c r="AB233" s="20">
        <f t="shared" si="29"/>
        <v>0.20972750307298241</v>
      </c>
    </row>
    <row r="234" spans="1:28">
      <c r="A234" s="18" t="str">
        <f>Analysis!A234</f>
        <v>7/1977</v>
      </c>
      <c r="B234" s="19">
        <f>Analysis!B234</f>
        <v>1977.5416666666667</v>
      </c>
      <c r="C234" s="19">
        <f>Analysis!E234</f>
        <v>0.20000000000000107</v>
      </c>
      <c r="D234" s="20">
        <f>Analysis!F234</f>
        <v>0.25826046984839379</v>
      </c>
      <c r="E234" s="19">
        <f>IF(ENSO!F234="","",ENSO!F234)</f>
        <v>0.39</v>
      </c>
      <c r="F234" s="25">
        <f>IF(Volcanic!G234="","",Volcanic!G234)</f>
        <v>4.3200000000000001E-3</v>
      </c>
      <c r="G234" s="19">
        <f>IF(Solar!D234="","",Solar!D234)</f>
        <v>1360.9</v>
      </c>
      <c r="H234" s="20">
        <f t="shared" si="23"/>
        <v>0.25826046984839379</v>
      </c>
      <c r="I234" s="20">
        <f t="shared" si="24"/>
        <v>0.32951556251776443</v>
      </c>
      <c r="J234" s="25">
        <f t="shared" si="25"/>
        <v>4.6621065014512348E-3</v>
      </c>
      <c r="K234" s="19">
        <f t="shared" si="26"/>
        <v>1360.7647135323077</v>
      </c>
      <c r="L234" s="20">
        <f t="shared" si="27"/>
        <v>0.18947447679089172</v>
      </c>
      <c r="M234" s="20">
        <f t="shared" si="28"/>
        <v>1.052552320910935E-2</v>
      </c>
      <c r="AB234" s="20">
        <f t="shared" si="29"/>
        <v>0.19652849867185768</v>
      </c>
    </row>
    <row r="235" spans="1:28">
      <c r="A235" s="18" t="str">
        <f>Analysis!A235</f>
        <v>8/1977</v>
      </c>
      <c r="B235" s="19">
        <f>Analysis!B235</f>
        <v>1977.625</v>
      </c>
      <c r="C235" s="19">
        <f>Analysis!E235</f>
        <v>0.17999999999999972</v>
      </c>
      <c r="D235" s="20">
        <f>Analysis!F235</f>
        <v>0.2481878259046813</v>
      </c>
      <c r="E235" s="19">
        <f>IF(ENSO!F235="","",ENSO!F235)</f>
        <v>0.35</v>
      </c>
      <c r="F235" s="25">
        <f>IF(Volcanic!G235="","",Volcanic!G235)</f>
        <v>4.4099999999999999E-3</v>
      </c>
      <c r="G235" s="19">
        <f>IF(Solar!D235="","",Solar!D235)</f>
        <v>1360.93</v>
      </c>
      <c r="H235" s="20">
        <f t="shared" si="23"/>
        <v>0.2481878259046813</v>
      </c>
      <c r="I235" s="20">
        <f t="shared" si="24"/>
        <v>0.33266029802662328</v>
      </c>
      <c r="J235" s="25">
        <f t="shared" si="25"/>
        <v>4.6419491785519478E-3</v>
      </c>
      <c r="K235" s="19">
        <f t="shared" si="26"/>
        <v>1360.7779291085858</v>
      </c>
      <c r="L235" s="20">
        <f t="shared" si="27"/>
        <v>0.16274846469463766</v>
      </c>
      <c r="M235" s="20">
        <f t="shared" si="28"/>
        <v>1.7251535305362053E-2</v>
      </c>
      <c r="AB235" s="20">
        <f t="shared" si="29"/>
        <v>0.17001468254035151</v>
      </c>
    </row>
    <row r="236" spans="1:28">
      <c r="A236" s="18" t="str">
        <f>Analysis!A236</f>
        <v>9/1977</v>
      </c>
      <c r="B236" s="19">
        <f>Analysis!B236</f>
        <v>1977.7083333333333</v>
      </c>
      <c r="C236" s="19">
        <f>Analysis!E236</f>
        <v>2.0000000000003126E-2</v>
      </c>
      <c r="D236" s="20">
        <f>Analysis!F236</f>
        <v>0.24266782910668239</v>
      </c>
      <c r="E236" s="19">
        <f>IF(ENSO!F236="","",ENSO!F236)</f>
        <v>0.45</v>
      </c>
      <c r="F236" s="25">
        <f>IF(Volcanic!G236="","",Volcanic!G236)</f>
        <v>4.47E-3</v>
      </c>
      <c r="G236" s="19">
        <f>IF(Solar!D236="","",Solar!D236)</f>
        <v>1360.66</v>
      </c>
      <c r="H236" s="20">
        <f t="shared" si="23"/>
        <v>0.24266782910668239</v>
      </c>
      <c r="I236" s="20">
        <f t="shared" si="24"/>
        <v>0.35067408667542549</v>
      </c>
      <c r="J236" s="25">
        <f t="shared" si="25"/>
        <v>4.6282008813268204E-3</v>
      </c>
      <c r="K236" s="19">
        <f t="shared" si="26"/>
        <v>1360.7685000176766</v>
      </c>
      <c r="L236" s="20">
        <f t="shared" si="27"/>
        <v>0.15041019593973098</v>
      </c>
      <c r="M236" s="20">
        <f t="shared" si="28"/>
        <v>-0.13041019593972786</v>
      </c>
      <c r="AB236" s="20">
        <f t="shared" si="29"/>
        <v>0.15763591098923663</v>
      </c>
    </row>
    <row r="237" spans="1:28">
      <c r="A237" s="18" t="str">
        <f>Analysis!A237</f>
        <v>10/1977</v>
      </c>
      <c r="B237" s="19">
        <f>Analysis!B237</f>
        <v>1977.7916666666667</v>
      </c>
      <c r="C237" s="19">
        <f>Analysis!E237</f>
        <v>2.9999999999997584E-2</v>
      </c>
      <c r="D237" s="20">
        <f>Analysis!F237</f>
        <v>0.24262428065018715</v>
      </c>
      <c r="E237" s="19">
        <f>IF(ENSO!F237="","",ENSO!F237)</f>
        <v>0.68</v>
      </c>
      <c r="F237" s="25">
        <f>IF(Volcanic!G237="","",Volcanic!G237)</f>
        <v>4.5300000000000002E-3</v>
      </c>
      <c r="G237" s="19">
        <f>IF(Solar!D237="","",Solar!D237)</f>
        <v>1360.9</v>
      </c>
      <c r="H237" s="20">
        <f t="shared" si="23"/>
        <v>0.24262428065018715</v>
      </c>
      <c r="I237" s="20">
        <f t="shared" si="24"/>
        <v>0.4012316328378373</v>
      </c>
      <c r="J237" s="25">
        <f t="shared" si="25"/>
        <v>4.6203491723764189E-3</v>
      </c>
      <c r="K237" s="19">
        <f t="shared" si="26"/>
        <v>1360.7790141757396</v>
      </c>
      <c r="L237" s="20">
        <f t="shared" si="27"/>
        <v>0.15745379959121619</v>
      </c>
      <c r="M237" s="20">
        <f t="shared" si="28"/>
        <v>-0.12745379959121861</v>
      </c>
      <c r="AB237" s="20">
        <f t="shared" si="29"/>
        <v>0.16419366973362506</v>
      </c>
    </row>
    <row r="238" spans="1:28">
      <c r="A238" s="18" t="str">
        <f>Analysis!A238</f>
        <v>11/1977</v>
      </c>
      <c r="B238" s="19">
        <f>Analysis!B238</f>
        <v>1977.875</v>
      </c>
      <c r="C238" s="19">
        <f>Analysis!E238</f>
        <v>0.16000000000000014</v>
      </c>
      <c r="D238" s="20">
        <f>Analysis!F238</f>
        <v>0.24775394570505929</v>
      </c>
      <c r="E238" s="19">
        <f>IF(ENSO!F238="","",ENSO!F238)</f>
        <v>0.84</v>
      </c>
      <c r="F238" s="25">
        <f>IF(Volcanic!G238="","",Volcanic!G238)</f>
        <v>4.4400000000000004E-3</v>
      </c>
      <c r="G238" s="19">
        <f>IF(Solar!D238="","",Solar!D238)</f>
        <v>1361.29</v>
      </c>
      <c r="H238" s="20">
        <f t="shared" si="23"/>
        <v>0.24775394570505929</v>
      </c>
      <c r="I238" s="20">
        <f t="shared" si="24"/>
        <v>0.46859059573713424</v>
      </c>
      <c r="J238" s="25">
        <f t="shared" si="25"/>
        <v>4.6059292487279453E-3</v>
      </c>
      <c r="K238" s="19">
        <f t="shared" si="26"/>
        <v>1360.8198703464343</v>
      </c>
      <c r="L238" s="20">
        <f t="shared" si="27"/>
        <v>0.18087998674361941</v>
      </c>
      <c r="M238" s="20">
        <f t="shared" si="28"/>
        <v>-2.0879986743619267E-2</v>
      </c>
      <c r="AB238" s="20">
        <f t="shared" si="29"/>
        <v>0.1868543430269814</v>
      </c>
    </row>
    <row r="239" spans="1:28">
      <c r="A239" s="18" t="str">
        <f>Analysis!A239</f>
        <v>12/1977</v>
      </c>
      <c r="B239" s="19">
        <f>Analysis!B239</f>
        <v>1977.9583333333333</v>
      </c>
      <c r="C239" s="19">
        <f>Analysis!E239</f>
        <v>2.9999999999997584E-2</v>
      </c>
      <c r="D239" s="20">
        <f>Analysis!F239</f>
        <v>0.25269246161233488</v>
      </c>
      <c r="E239" s="19">
        <f>IF(ENSO!F239="","",ENSO!F239)</f>
        <v>0.82</v>
      </c>
      <c r="F239" s="25">
        <f>IF(Volcanic!G239="","",Volcanic!G239)</f>
        <v>4.3200000000000001E-3</v>
      </c>
      <c r="G239" s="19">
        <f>IF(Solar!D239="","",Solar!D239)</f>
        <v>1361.18</v>
      </c>
      <c r="H239" s="20">
        <f t="shared" si="23"/>
        <v>0.25269246161233488</v>
      </c>
      <c r="I239" s="20">
        <f t="shared" si="24"/>
        <v>0.52253836133678622</v>
      </c>
      <c r="J239" s="25">
        <f t="shared" si="25"/>
        <v>4.5830676082713045E-3</v>
      </c>
      <c r="K239" s="19">
        <f t="shared" si="26"/>
        <v>1360.8486647236944</v>
      </c>
      <c r="L239" s="20">
        <f t="shared" si="27"/>
        <v>0.20192530958771299</v>
      </c>
      <c r="M239" s="20">
        <f t="shared" si="28"/>
        <v>-0.1719253095877154</v>
      </c>
      <c r="AB239" s="20">
        <f t="shared" si="29"/>
        <v>0.20727270594669733</v>
      </c>
    </row>
    <row r="240" spans="1:28">
      <c r="A240" s="18" t="str">
        <f>Analysis!A240</f>
        <v>1/1978</v>
      </c>
      <c r="B240" s="19">
        <f>Analysis!B240</f>
        <v>1978.0416666666667</v>
      </c>
      <c r="C240" s="19">
        <f>Analysis!E240</f>
        <v>5.9999999999998721E-2</v>
      </c>
      <c r="D240" s="20">
        <f>Analysis!F240</f>
        <v>0.25847585211606888</v>
      </c>
      <c r="E240" s="19">
        <f>IF(ENSO!F240="","",ENSO!F240)</f>
        <v>0.71</v>
      </c>
      <c r="F240" s="25">
        <f>IF(Volcanic!G240="","",Volcanic!G240)</f>
        <v>4.2100000000000002E-3</v>
      </c>
      <c r="G240" s="19">
        <f>IF(Solar!D240="","",Solar!D240)</f>
        <v>1361.27</v>
      </c>
      <c r="H240" s="20">
        <f t="shared" si="23"/>
        <v>0.25847585211606888</v>
      </c>
      <c r="I240" s="20">
        <f t="shared" si="24"/>
        <v>0.55131714875354176</v>
      </c>
      <c r="J240" s="25">
        <f t="shared" si="25"/>
        <v>4.5532387692691339E-3</v>
      </c>
      <c r="K240" s="19">
        <f t="shared" si="26"/>
        <v>1360.8823528323487</v>
      </c>
      <c r="L240" s="20">
        <f t="shared" si="27"/>
        <v>0.22172708491537321</v>
      </c>
      <c r="M240" s="20">
        <f t="shared" si="28"/>
        <v>-0.16172708491537449</v>
      </c>
      <c r="AB240" s="20">
        <f t="shared" si="29"/>
        <v>0.22667548315561337</v>
      </c>
    </row>
    <row r="241" spans="1:28">
      <c r="A241" s="18" t="str">
        <f>Analysis!A241</f>
        <v>2/1978</v>
      </c>
      <c r="B241" s="19">
        <f>Analysis!B241</f>
        <v>1978.125</v>
      </c>
      <c r="C241" s="19">
        <f>Analysis!E241</f>
        <v>9.9999999999997868E-2</v>
      </c>
      <c r="D241" s="20">
        <f>Analysis!F241</f>
        <v>0.25985353772683362</v>
      </c>
      <c r="E241" s="19">
        <f>IF(ENSO!F241="","",ENSO!F241)</f>
        <v>0.52</v>
      </c>
      <c r="F241" s="25">
        <f>IF(Volcanic!G241="","",Volcanic!G241)</f>
        <v>4.0699999999999998E-3</v>
      </c>
      <c r="G241" s="19">
        <f>IF(Solar!D241="","",Solar!D241)</f>
        <v>1360.8</v>
      </c>
      <c r="H241" s="20">
        <f t="shared" si="23"/>
        <v>0.25985353772683362</v>
      </c>
      <c r="I241" s="20">
        <f t="shared" si="24"/>
        <v>0.54650939409555399</v>
      </c>
      <c r="J241" s="25">
        <f t="shared" si="25"/>
        <v>4.5146011305984149E-3</v>
      </c>
      <c r="K241" s="19">
        <f t="shared" si="26"/>
        <v>1360.8757682634314</v>
      </c>
      <c r="L241" s="20">
        <f t="shared" si="27"/>
        <v>0.22490518494145156</v>
      </c>
      <c r="M241" s="20">
        <f t="shared" si="28"/>
        <v>-0.1249051849414537</v>
      </c>
      <c r="AB241" s="20">
        <f t="shared" si="29"/>
        <v>0.2298866386057844</v>
      </c>
    </row>
    <row r="242" spans="1:28">
      <c r="A242" s="18" t="str">
        <f>Analysis!A242</f>
        <v>3/1978</v>
      </c>
      <c r="B242" s="19">
        <f>Analysis!B242</f>
        <v>1978.2083333333333</v>
      </c>
      <c r="C242" s="19">
        <f>Analysis!E242</f>
        <v>0.19000000000000128</v>
      </c>
      <c r="D242" s="20">
        <f>Analysis!F242</f>
        <v>0.26586549147154565</v>
      </c>
      <c r="E242" s="19">
        <f>IF(ENSO!F242="","",ENSO!F242)</f>
        <v>0.17</v>
      </c>
      <c r="F242" s="25">
        <f>IF(Volcanic!G242="","",Volcanic!G242)</f>
        <v>4.0000000000000001E-3</v>
      </c>
      <c r="G242" s="19">
        <f>IF(Solar!D242="","",Solar!D242)</f>
        <v>1361.11</v>
      </c>
      <c r="H242" s="20">
        <f t="shared" si="23"/>
        <v>0.26586549147154565</v>
      </c>
      <c r="I242" s="20">
        <f t="shared" si="24"/>
        <v>0.48870832135152453</v>
      </c>
      <c r="J242" s="25">
        <f t="shared" si="25"/>
        <v>4.4734558959690068E-3</v>
      </c>
      <c r="K242" s="19">
        <f t="shared" si="26"/>
        <v>1360.8944963990409</v>
      </c>
      <c r="L242" s="20">
        <f t="shared" si="27"/>
        <v>0.23314519012050444</v>
      </c>
      <c r="M242" s="20">
        <f t="shared" si="28"/>
        <v>-4.3145190120503163E-2</v>
      </c>
      <c r="AB242" s="20">
        <f t="shared" si="29"/>
        <v>0.23856781676686001</v>
      </c>
    </row>
    <row r="243" spans="1:28">
      <c r="A243" s="18" t="str">
        <f>Analysis!A243</f>
        <v>4/1978</v>
      </c>
      <c r="B243" s="19">
        <f>Analysis!B243</f>
        <v>1978.2916666666667</v>
      </c>
      <c r="C243" s="19">
        <f>Analysis!E243</f>
        <v>0.16999999999999993</v>
      </c>
      <c r="D243" s="20">
        <f>Analysis!F243</f>
        <v>0.27027263033914217</v>
      </c>
      <c r="E243" s="19">
        <f>IF(ENSO!F243="","",ENSO!F243)</f>
        <v>-0.06</v>
      </c>
      <c r="F243" s="25">
        <f>IF(Volcanic!G243="","",Volcanic!G243)</f>
        <v>4.0299999999999997E-3</v>
      </c>
      <c r="G243" s="19">
        <f>IF(Solar!D243="","",Solar!D243)</f>
        <v>1361.07</v>
      </c>
      <c r="H243" s="20">
        <f t="shared" si="23"/>
        <v>0.27027263033914217</v>
      </c>
      <c r="I243" s="20">
        <f t="shared" si="24"/>
        <v>0.4044715663194719</v>
      </c>
      <c r="J243" s="25">
        <f t="shared" si="25"/>
        <v>4.4379991202207272E-3</v>
      </c>
      <c r="K243" s="19">
        <f t="shared" si="26"/>
        <v>1360.9085288921901</v>
      </c>
      <c r="L243" s="20">
        <f t="shared" si="27"/>
        <v>0.23329556998473691</v>
      </c>
      <c r="M243" s="20">
        <f t="shared" si="28"/>
        <v>-6.3295569984736982E-2</v>
      </c>
      <c r="AB243" s="20">
        <f t="shared" si="29"/>
        <v>0.23945033601985441</v>
      </c>
    </row>
    <row r="244" spans="1:28">
      <c r="A244" s="18" t="str">
        <f>Analysis!A244</f>
        <v>5/1978</v>
      </c>
      <c r="B244" s="19">
        <f>Analysis!B244</f>
        <v>1978.375</v>
      </c>
      <c r="C244" s="19">
        <f>Analysis!E244</f>
        <v>8.9999999999999858E-2</v>
      </c>
      <c r="D244" s="20">
        <f>Analysis!F244</f>
        <v>0.27168178338214594</v>
      </c>
      <c r="E244" s="19">
        <f>IF(ENSO!F244="","",ENSO!F244)</f>
        <v>-0.28000000000000003</v>
      </c>
      <c r="F244" s="25">
        <f>IF(Volcanic!G244="","",Volcanic!G244)</f>
        <v>4.0699999999999998E-3</v>
      </c>
      <c r="G244" s="19">
        <f>IF(Solar!D244="","",Solar!D244)</f>
        <v>1361.24</v>
      </c>
      <c r="H244" s="20">
        <f t="shared" si="23"/>
        <v>0.27168178338214594</v>
      </c>
      <c r="I244" s="20">
        <f t="shared" si="24"/>
        <v>0.29939267209668696</v>
      </c>
      <c r="J244" s="25">
        <f t="shared" si="25"/>
        <v>4.4085755351475847E-3</v>
      </c>
      <c r="K244" s="19">
        <f t="shared" si="26"/>
        <v>1360.9350318586485</v>
      </c>
      <c r="L244" s="20">
        <f t="shared" si="27"/>
        <v>0.22237714473234049</v>
      </c>
      <c r="M244" s="20">
        <f t="shared" si="28"/>
        <v>-0.13237714473234063</v>
      </c>
      <c r="AB244" s="20">
        <f t="shared" si="29"/>
        <v>0.22953282755034732</v>
      </c>
    </row>
    <row r="245" spans="1:28">
      <c r="A245" s="18" t="str">
        <f>Analysis!A245</f>
        <v>6/1978</v>
      </c>
      <c r="B245" s="19">
        <f>Analysis!B245</f>
        <v>1978.4583333333333</v>
      </c>
      <c r="C245" s="19">
        <f>Analysis!E245</f>
        <v>-9.9999999999980105E-3</v>
      </c>
      <c r="D245" s="20">
        <f>Analysis!F245</f>
        <v>0.27163910199105418</v>
      </c>
      <c r="E245" s="19">
        <f>IF(ENSO!F245="","",ENSO!F245)</f>
        <v>-0.24</v>
      </c>
      <c r="F245" s="25">
        <f>IF(Volcanic!G245="","",Volcanic!G245)</f>
        <v>4.1399999999999996E-3</v>
      </c>
      <c r="G245" s="19">
        <f>IF(Solar!D245="","",Solar!D245)</f>
        <v>1361.42</v>
      </c>
      <c r="H245" s="20">
        <f t="shared" si="23"/>
        <v>0.27163910199105418</v>
      </c>
      <c r="I245" s="20">
        <f t="shared" si="24"/>
        <v>0.21658603946976102</v>
      </c>
      <c r="J245" s="25">
        <f t="shared" si="25"/>
        <v>4.3871014210186176E-3</v>
      </c>
      <c r="K245" s="19">
        <f t="shared" si="26"/>
        <v>1360.9738077702764</v>
      </c>
      <c r="L245" s="20">
        <f t="shared" si="27"/>
        <v>0.21064882229228848</v>
      </c>
      <c r="M245" s="20">
        <f t="shared" si="28"/>
        <v>-0.2206488222922865</v>
      </c>
      <c r="AB245" s="20">
        <f t="shared" si="29"/>
        <v>0.21861915254956524</v>
      </c>
    </row>
    <row r="246" spans="1:28">
      <c r="A246" s="18" t="str">
        <f>Analysis!A246</f>
        <v>7/1978</v>
      </c>
      <c r="B246" s="19">
        <f>Analysis!B246</f>
        <v>1978.5416666666667</v>
      </c>
      <c r="C246" s="19">
        <f>Analysis!E246</f>
        <v>3.9999999999999147E-2</v>
      </c>
      <c r="D246" s="20">
        <f>Analysis!F246</f>
        <v>0.26517967766535055</v>
      </c>
      <c r="E246" s="19">
        <f>IF(ENSO!F246="","",ENSO!F246)</f>
        <v>-0.37</v>
      </c>
      <c r="F246" s="25">
        <f>IF(Volcanic!G246="","",Volcanic!G246)</f>
        <v>4.2199999999999998E-3</v>
      </c>
      <c r="G246" s="19">
        <f>IF(Solar!D246="","",Solar!D246)</f>
        <v>1361.45</v>
      </c>
      <c r="H246" s="20">
        <f t="shared" si="23"/>
        <v>0.26517967766535055</v>
      </c>
      <c r="I246" s="20">
        <f t="shared" si="24"/>
        <v>0.12653436248711716</v>
      </c>
      <c r="J246" s="25">
        <f t="shared" si="25"/>
        <v>4.3737407290848022E-3</v>
      </c>
      <c r="K246" s="19">
        <f t="shared" si="26"/>
        <v>1361.0118819987531</v>
      </c>
      <c r="L246" s="20">
        <f t="shared" si="27"/>
        <v>0.18051855913368436</v>
      </c>
      <c r="M246" s="20">
        <f t="shared" si="28"/>
        <v>-0.14051855913368522</v>
      </c>
      <c r="AB246" s="20">
        <f t="shared" si="29"/>
        <v>0.18951853215966336</v>
      </c>
    </row>
    <row r="247" spans="1:28">
      <c r="A247" s="18" t="str">
        <f>Analysis!A247</f>
        <v>8/1978</v>
      </c>
      <c r="B247" s="19">
        <f>Analysis!B247</f>
        <v>1978.625</v>
      </c>
      <c r="C247" s="19">
        <f>Analysis!E247</f>
        <v>-0.13999999999999879</v>
      </c>
      <c r="D247" s="20">
        <f>Analysis!F247</f>
        <v>0.25623430325691615</v>
      </c>
      <c r="E247" s="19">
        <f>IF(ENSO!F247="","",ENSO!F247)</f>
        <v>-0.37</v>
      </c>
      <c r="F247" s="25">
        <f>IF(Volcanic!G247="","",Volcanic!G247)</f>
        <v>4.3299999999999996E-3</v>
      </c>
      <c r="G247" s="19">
        <f>IF(Solar!D247="","",Solar!D247)</f>
        <v>1361.54</v>
      </c>
      <c r="H247" s="20">
        <f t="shared" si="23"/>
        <v>0.25623430325691615</v>
      </c>
      <c r="I247" s="20">
        <f t="shared" si="24"/>
        <v>5.0307263625556382E-2</v>
      </c>
      <c r="J247" s="25">
        <f t="shared" si="25"/>
        <v>4.3702434134862862E-3</v>
      </c>
      <c r="K247" s="19">
        <f t="shared" si="26"/>
        <v>1361.0541079826876</v>
      </c>
      <c r="L247" s="20">
        <f t="shared" si="27"/>
        <v>0.14558333214059646</v>
      </c>
      <c r="M247" s="20">
        <f t="shared" si="28"/>
        <v>-0.28558333214059528</v>
      </c>
      <c r="AB247" s="20">
        <f t="shared" si="29"/>
        <v>0.15553168010181928</v>
      </c>
    </row>
    <row r="248" spans="1:28">
      <c r="A248" s="18" t="str">
        <f>Analysis!A248</f>
        <v>9/1978</v>
      </c>
      <c r="B248" s="19">
        <f>Analysis!B248</f>
        <v>1978.7083333333333</v>
      </c>
      <c r="C248" s="19">
        <f>Analysis!E248</f>
        <v>5.9999999999998721E-2</v>
      </c>
      <c r="D248" s="20">
        <f>Analysis!F248</f>
        <v>0.24731993497981972</v>
      </c>
      <c r="E248" s="19">
        <f>IF(ENSO!F248="","",ENSO!F248)</f>
        <v>-0.44</v>
      </c>
      <c r="F248" s="25">
        <f>IF(Volcanic!G248="","",Volcanic!G248)</f>
        <v>4.4000000000000003E-3</v>
      </c>
      <c r="G248" s="19">
        <f>IF(Solar!D248="","",Solar!D248)</f>
        <v>1361.12</v>
      </c>
      <c r="H248" s="20">
        <f t="shared" si="23"/>
        <v>0.24731993497981972</v>
      </c>
      <c r="I248" s="20">
        <f t="shared" si="24"/>
        <v>-2.4963861759841964E-2</v>
      </c>
      <c r="J248" s="25">
        <f t="shared" si="25"/>
        <v>4.3726226187796235E-3</v>
      </c>
      <c r="K248" s="19">
        <f t="shared" si="26"/>
        <v>1361.059376417503</v>
      </c>
      <c r="L248" s="20">
        <f t="shared" si="27"/>
        <v>0.11084692364755504</v>
      </c>
      <c r="M248" s="20">
        <f t="shared" si="28"/>
        <v>-5.0846923647556316E-2</v>
      </c>
      <c r="AB248" s="20">
        <f t="shared" si="29"/>
        <v>0.12173087010655481</v>
      </c>
    </row>
    <row r="249" spans="1:28">
      <c r="A249" s="18" t="str">
        <f>Analysis!A249</f>
        <v>10/1978</v>
      </c>
      <c r="B249" s="19">
        <f>Analysis!B249</f>
        <v>1978.7916666666667</v>
      </c>
      <c r="C249" s="19">
        <f>Analysis!E249</f>
        <v>2.9999999999997584E-2</v>
      </c>
      <c r="D249" s="20">
        <f>Analysis!F249</f>
        <v>0.24771055050748395</v>
      </c>
      <c r="E249" s="19">
        <f>IF(ENSO!F249="","",ENSO!F249)</f>
        <v>-0.27</v>
      </c>
      <c r="F249" s="25">
        <f>IF(Volcanic!G249="","",Volcanic!G249)</f>
        <v>4.4799999999999996E-3</v>
      </c>
      <c r="G249" s="19">
        <f>IF(Solar!D249="","",Solar!D249)</f>
        <v>1361.54</v>
      </c>
      <c r="H249" s="20">
        <f t="shared" si="23"/>
        <v>0.24771055050748395</v>
      </c>
      <c r="I249" s="20">
        <f t="shared" si="24"/>
        <v>-6.2581387041936054E-2</v>
      </c>
      <c r="J249" s="25">
        <f t="shared" si="25"/>
        <v>4.3812080401506685E-3</v>
      </c>
      <c r="K249" s="19">
        <f t="shared" si="26"/>
        <v>1361.0978049573846</v>
      </c>
      <c r="L249" s="20">
        <f t="shared" si="27"/>
        <v>0.10656546908651246</v>
      </c>
      <c r="M249" s="20">
        <f t="shared" si="28"/>
        <v>-7.6565469086514876E-2</v>
      </c>
      <c r="AB249" s="20">
        <f t="shared" si="29"/>
        <v>0.11780131913301559</v>
      </c>
    </row>
    <row r="250" spans="1:28">
      <c r="A250" s="18" t="str">
        <f>Analysis!A250</f>
        <v>11/1978</v>
      </c>
      <c r="B250" s="19">
        <f>Analysis!B250</f>
        <v>1978.875</v>
      </c>
      <c r="C250" s="19">
        <f>Analysis!E250</f>
        <v>0.12999999999999901</v>
      </c>
      <c r="D250" s="20">
        <f>Analysis!F250</f>
        <v>0.25338423580007446</v>
      </c>
      <c r="E250" s="19">
        <f>IF(ENSO!F250="","",ENSO!F250)</f>
        <v>-7.0000000000000007E-2</v>
      </c>
      <c r="F250" s="25">
        <f>IF(Volcanic!G250="","",Volcanic!G250)</f>
        <v>4.3899999999999998E-3</v>
      </c>
      <c r="G250" s="19">
        <f>IF(Solar!D250="","",Solar!D250)</f>
        <v>1361.28</v>
      </c>
      <c r="H250" s="20">
        <f t="shared" si="23"/>
        <v>0.25338423580007446</v>
      </c>
      <c r="I250" s="20">
        <f t="shared" si="24"/>
        <v>-6.3720279706962174E-2</v>
      </c>
      <c r="J250" s="25">
        <f t="shared" si="25"/>
        <v>4.3819110064469771E-3</v>
      </c>
      <c r="K250" s="19">
        <f t="shared" si="26"/>
        <v>1361.1123724686684</v>
      </c>
      <c r="L250" s="20">
        <f t="shared" si="27"/>
        <v>0.12174499476813552</v>
      </c>
      <c r="M250" s="20">
        <f t="shared" si="28"/>
        <v>8.2550052318634826E-3</v>
      </c>
      <c r="AB250" s="20">
        <f t="shared" si="29"/>
        <v>0.13286022644361542</v>
      </c>
    </row>
    <row r="251" spans="1:28">
      <c r="A251" s="18" t="str">
        <f>Analysis!A251</f>
        <v>12/1978</v>
      </c>
      <c r="B251" s="19">
        <f>Analysis!B251</f>
        <v>1978.9583333333333</v>
      </c>
      <c r="C251" s="19">
        <f>Analysis!E251</f>
        <v>8.0000000000000071E-2</v>
      </c>
      <c r="D251" s="20">
        <f>Analysis!F251</f>
        <v>0.25834662661407437</v>
      </c>
      <c r="E251" s="19">
        <f>IF(ENSO!F251="","",ENSO!F251)</f>
        <v>0.11</v>
      </c>
      <c r="F251" s="25">
        <f>IF(Volcanic!G251="","",Volcanic!G251)</f>
        <v>4.28E-3</v>
      </c>
      <c r="G251" s="19">
        <f>IF(Solar!D251="","",Solar!D251)</f>
        <v>1360.72</v>
      </c>
      <c r="H251" s="20">
        <f t="shared" si="23"/>
        <v>0.25834662661407437</v>
      </c>
      <c r="I251" s="20">
        <f t="shared" si="24"/>
        <v>-3.705104201482929E-2</v>
      </c>
      <c r="J251" s="25">
        <f t="shared" si="25"/>
        <v>4.3737626522707945E-3</v>
      </c>
      <c r="K251" s="19">
        <f t="shared" si="26"/>
        <v>1361.0810000982526</v>
      </c>
      <c r="L251" s="20">
        <f t="shared" si="27"/>
        <v>0.13895539398014872</v>
      </c>
      <c r="M251" s="20">
        <f t="shared" si="28"/>
        <v>-5.8955393980148652E-2</v>
      </c>
      <c r="AB251" s="20">
        <f t="shared" si="29"/>
        <v>0.14970083550409521</v>
      </c>
    </row>
    <row r="252" spans="1:28">
      <c r="A252" s="18" t="str">
        <f>Analysis!A252</f>
        <v>1/1979</v>
      </c>
      <c r="B252" s="19">
        <f>Analysis!B252</f>
        <v>1979.0416666666667</v>
      </c>
      <c r="C252" s="19">
        <f>Analysis!E252</f>
        <v>8.9999999999999858E-2</v>
      </c>
      <c r="D252" s="20">
        <f>Analysis!F252</f>
        <v>0.26363540356832926</v>
      </c>
      <c r="E252" s="19">
        <f>IF(ENSO!F252="","",ENSO!F252)</f>
        <v>0.19</v>
      </c>
      <c r="F252" s="25">
        <f>IF(Volcanic!G252="","",Volcanic!G252)</f>
        <v>5.2700000000000004E-3</v>
      </c>
      <c r="G252" s="19">
        <f>IF(Solar!D252="","",Solar!D252)</f>
        <v>1361.31</v>
      </c>
      <c r="H252" s="20">
        <f t="shared" si="23"/>
        <v>0.26363540356832926</v>
      </c>
      <c r="I252" s="20">
        <f t="shared" si="24"/>
        <v>-2.1945576829239984E-3</v>
      </c>
      <c r="J252" s="25">
        <f t="shared" si="25"/>
        <v>4.4454218340395455E-3</v>
      </c>
      <c r="K252" s="19">
        <f t="shared" si="26"/>
        <v>1361.0993099194466</v>
      </c>
      <c r="L252" s="20">
        <f t="shared" si="27"/>
        <v>0.15793305296112223</v>
      </c>
      <c r="M252" s="20">
        <f t="shared" si="28"/>
        <v>-6.793305296112237E-2</v>
      </c>
      <c r="AB252" s="20">
        <f t="shared" si="29"/>
        <v>0.16818391556225881</v>
      </c>
    </row>
    <row r="253" spans="1:28">
      <c r="A253" s="18" t="str">
        <f>Analysis!A253</f>
        <v>2/1979</v>
      </c>
      <c r="B253" s="19">
        <f>Analysis!B253</f>
        <v>1979.125</v>
      </c>
      <c r="C253" s="19">
        <f>Analysis!E253</f>
        <v>-0.10000000000000142</v>
      </c>
      <c r="D253" s="20">
        <f>Analysis!F253</f>
        <v>0.2659940452734475</v>
      </c>
      <c r="E253" s="19">
        <f>IF(ENSO!F253="","",ENSO!F253)</f>
        <v>0.21</v>
      </c>
      <c r="F253" s="25">
        <f>IF(Volcanic!G253="","",Volcanic!G253)</f>
        <v>5.2500000000000003E-3</v>
      </c>
      <c r="G253" s="19">
        <f>IF(Solar!D253="","",Solar!D253)</f>
        <v>1361.73</v>
      </c>
      <c r="H253" s="20">
        <f t="shared" si="23"/>
        <v>0.2659940452734475</v>
      </c>
      <c r="I253" s="20">
        <f t="shared" si="24"/>
        <v>3.0381184800157578E-2</v>
      </c>
      <c r="J253" s="25">
        <f t="shared" si="25"/>
        <v>4.5097523522753787E-3</v>
      </c>
      <c r="K253" s="19">
        <f t="shared" si="26"/>
        <v>1361.1497371140247</v>
      </c>
      <c r="L253" s="20">
        <f t="shared" si="27"/>
        <v>0.16869011757137839</v>
      </c>
      <c r="M253" s="20">
        <f t="shared" si="28"/>
        <v>-0.26869011757137984</v>
      </c>
      <c r="AB253" s="20">
        <f t="shared" si="29"/>
        <v>0.17853982987134459</v>
      </c>
    </row>
    <row r="254" spans="1:28">
      <c r="A254" s="18" t="str">
        <f>Analysis!A254</f>
        <v>3/1979</v>
      </c>
      <c r="B254" s="19">
        <f>Analysis!B254</f>
        <v>1979.2083333333333</v>
      </c>
      <c r="C254" s="19">
        <f>Analysis!E254</f>
        <v>0.19000000000000128</v>
      </c>
      <c r="D254" s="20">
        <f>Analysis!F254</f>
        <v>0.27274840798594358</v>
      </c>
      <c r="E254" s="19">
        <f>IF(ENSO!F254="","",ENSO!F254)</f>
        <v>0.28999999999999998</v>
      </c>
      <c r="F254" s="25">
        <f>IF(Volcanic!G254="","",Volcanic!G254)</f>
        <v>5.2300000000000003E-3</v>
      </c>
      <c r="G254" s="19">
        <f>IF(Solar!D254="","",Solar!D254)</f>
        <v>1362.18</v>
      </c>
      <c r="H254" s="20">
        <f t="shared" si="23"/>
        <v>0.27274840798594358</v>
      </c>
      <c r="I254" s="20">
        <f t="shared" si="24"/>
        <v>7.0237417495579796E-2</v>
      </c>
      <c r="J254" s="25">
        <f t="shared" si="25"/>
        <v>4.5673401745610536E-3</v>
      </c>
      <c r="K254" s="19">
        <f t="shared" si="26"/>
        <v>1361.2321123861586</v>
      </c>
      <c r="L254" s="20">
        <f t="shared" si="27"/>
        <v>0.19238428015319997</v>
      </c>
      <c r="M254" s="20">
        <f t="shared" si="28"/>
        <v>-2.3842801531986924E-3</v>
      </c>
      <c r="AB254" s="20">
        <f t="shared" si="29"/>
        <v>0.20166363712402158</v>
      </c>
    </row>
    <row r="255" spans="1:28">
      <c r="A255" s="18" t="str">
        <f>Analysis!A255</f>
        <v>4/1979</v>
      </c>
      <c r="B255" s="19">
        <f>Analysis!B255</f>
        <v>1979.2916666666667</v>
      </c>
      <c r="C255" s="19">
        <f>Analysis!E255</f>
        <v>0.14999999999999858</v>
      </c>
      <c r="D255" s="20">
        <f>Analysis!F255</f>
        <v>0.27509220998275441</v>
      </c>
      <c r="E255" s="19">
        <f>IF(ENSO!F255="","",ENSO!F255)</f>
        <v>0.32</v>
      </c>
      <c r="F255" s="25">
        <f>IF(Volcanic!G255="","",Volcanic!G255)</f>
        <v>5.1700000000000001E-3</v>
      </c>
      <c r="G255" s="19">
        <f>IF(Solar!D255="","",Solar!D255)</f>
        <v>1361.65</v>
      </c>
      <c r="H255" s="20">
        <f t="shared" si="23"/>
        <v>0.27509220998275441</v>
      </c>
      <c r="I255" s="20">
        <f t="shared" si="24"/>
        <v>0.10858053834852406</v>
      </c>
      <c r="J255" s="25">
        <f t="shared" si="25"/>
        <v>4.6155261936834148E-3</v>
      </c>
      <c r="K255" s="19">
        <f t="shared" si="26"/>
        <v>1361.2655248349424</v>
      </c>
      <c r="L255" s="20">
        <f t="shared" si="27"/>
        <v>0.2039698819309326</v>
      </c>
      <c r="M255" s="20">
        <f t="shared" si="28"/>
        <v>-5.3969881930934022E-2</v>
      </c>
      <c r="AB255" s="20">
        <f t="shared" si="29"/>
        <v>0.21280011479377425</v>
      </c>
    </row>
    <row r="256" spans="1:28">
      <c r="A256" s="18" t="str">
        <f>Analysis!A256</f>
        <v>5/1979</v>
      </c>
      <c r="B256" s="19">
        <f>Analysis!B256</f>
        <v>1979.375</v>
      </c>
      <c r="C256" s="19">
        <f>Analysis!E256</f>
        <v>2.9999999999997584E-2</v>
      </c>
      <c r="D256" s="20">
        <f>Analysis!F256</f>
        <v>0.27687946183264034</v>
      </c>
      <c r="E256" s="19">
        <f>IF(ENSO!F256="","",ENSO!F256)</f>
        <v>0.28999999999999998</v>
      </c>
      <c r="F256" s="25">
        <f>IF(Volcanic!G256="","",Volcanic!G256)</f>
        <v>5.0899999999999999E-3</v>
      </c>
      <c r="G256" s="19">
        <f>IF(Solar!D256="","",Solar!D256)</f>
        <v>1361.77</v>
      </c>
      <c r="H256" s="20">
        <f t="shared" si="23"/>
        <v>0.27687946183264034</v>
      </c>
      <c r="I256" s="20">
        <f t="shared" si="24"/>
        <v>0.13643174117253201</v>
      </c>
      <c r="J256" s="25">
        <f t="shared" si="25"/>
        <v>4.6534630246105099E-3</v>
      </c>
      <c r="K256" s="19">
        <f t="shared" si="26"/>
        <v>1361.3058604420696</v>
      </c>
      <c r="L256" s="20">
        <f t="shared" si="27"/>
        <v>0.21260461469974756</v>
      </c>
      <c r="M256" s="20">
        <f t="shared" si="28"/>
        <v>-0.18260461469974998</v>
      </c>
      <c r="AB256" s="20">
        <f t="shared" si="29"/>
        <v>0.22110526529264299</v>
      </c>
    </row>
    <row r="257" spans="1:28">
      <c r="A257" s="18" t="str">
        <f>Analysis!A257</f>
        <v>6/1979</v>
      </c>
      <c r="B257" s="19">
        <f>Analysis!B257</f>
        <v>1979.4583333333333</v>
      </c>
      <c r="C257" s="19">
        <f>Analysis!E257</f>
        <v>0.13999999999999879</v>
      </c>
      <c r="D257" s="20">
        <f>Analysis!F257</f>
        <v>0.27696451386160453</v>
      </c>
      <c r="E257" s="19">
        <f>IF(ENSO!F257="","",ENSO!F257)</f>
        <v>0.14000000000000001</v>
      </c>
      <c r="F257" s="25">
        <f>IF(Volcanic!G257="","",Volcanic!G257)</f>
        <v>5.1200000000000004E-3</v>
      </c>
      <c r="G257" s="19">
        <f>IF(Solar!D257="","",Solar!D257)</f>
        <v>1361.03</v>
      </c>
      <c r="H257" s="20">
        <f t="shared" si="23"/>
        <v>0.27696451386160453</v>
      </c>
      <c r="I257" s="20">
        <f t="shared" si="24"/>
        <v>0.13697953411286873</v>
      </c>
      <c r="J257" s="25">
        <f t="shared" si="25"/>
        <v>4.690765261574842E-3</v>
      </c>
      <c r="K257" s="19">
        <f t="shared" si="26"/>
        <v>1361.2838038589434</v>
      </c>
      <c r="L257" s="20">
        <f t="shared" si="27"/>
        <v>0.21278537194744168</v>
      </c>
      <c r="M257" s="20">
        <f t="shared" si="28"/>
        <v>-7.278537194744289E-2</v>
      </c>
      <c r="AB257" s="20">
        <f t="shared" si="29"/>
        <v>0.22126107484893026</v>
      </c>
    </row>
    <row r="258" spans="1:28">
      <c r="A258" s="18" t="str">
        <f>Analysis!A258</f>
        <v>7/1979</v>
      </c>
      <c r="B258" s="19">
        <f>Analysis!B258</f>
        <v>1979.5416666666667</v>
      </c>
      <c r="C258" s="19">
        <f>Analysis!E258</f>
        <v>3.9999999999999147E-2</v>
      </c>
      <c r="D258" s="20">
        <f>Analysis!F258</f>
        <v>0.26963165094043912</v>
      </c>
      <c r="E258" s="19">
        <f>IF(ENSO!F258="","",ENSO!F258)</f>
        <v>0.09</v>
      </c>
      <c r="F258" s="25">
        <f>IF(Volcanic!G258="","",Volcanic!G258)</f>
        <v>5.1500000000000001E-3</v>
      </c>
      <c r="G258" s="19">
        <f>IF(Solar!D258="","",Solar!D258)</f>
        <v>1361.55</v>
      </c>
      <c r="H258" s="20">
        <f t="shared" ref="H258:H321" si="30">IF(D258="","",IF(OR(ROW()=2,H257=""),D258,$Q$3*H257+(1-$Q$3)*D258))</f>
        <v>0.26963165094043912</v>
      </c>
      <c r="I258" s="20">
        <f t="shared" ref="I258:I321" si="31">IF(E258="","",IF(OR(ROW()=2,I257=""),E258,$Q$4*I257+(1-$Q$4)*E258))</f>
        <v>0.12976731707041855</v>
      </c>
      <c r="J258" s="25">
        <f t="shared" ref="J258:J321" si="32">IF(F258="","",IF(OR(ROW()=2,J257=""),F258,$Q$5*J257+(1-$Q$5)*F258))</f>
        <v>4.7274836439081752E-3</v>
      </c>
      <c r="K258" s="19">
        <f t="shared" ref="K258:K321" si="33">IF(G258="","",IF(OR(ROW()=2,K257=""),G258,$Q$6*K257+(1-$Q$6)*G258))</f>
        <v>1361.3050877272251</v>
      </c>
      <c r="L258" s="20">
        <f t="shared" ref="L258:L321" si="34">IF(OR(I258="",J258=""),"",$P$13+$P$14*H258+$P$15*I258+$P$16*J258)</f>
        <v>0.19181367718100287</v>
      </c>
      <c r="M258" s="20">
        <f t="shared" ref="M258:M321" si="35">IF(L258="","",C258-L258)</f>
        <v>-0.15181367718100372</v>
      </c>
      <c r="AB258" s="20">
        <f t="shared" ref="AB258:AB321" si="36">IF(OR(I258="",J258=""),"",$P$52+$P$53*H258+$P$54*I258+$P$55*J258)</f>
        <v>0.20051171839370874</v>
      </c>
    </row>
    <row r="259" spans="1:28">
      <c r="A259" s="18" t="str">
        <f>Analysis!A259</f>
        <v>8/1979</v>
      </c>
      <c r="B259" s="19">
        <f>Analysis!B259</f>
        <v>1979.625</v>
      </c>
      <c r="C259" s="19">
        <f>Analysis!E259</f>
        <v>0.16999999999999993</v>
      </c>
      <c r="D259" s="20">
        <f>Analysis!F259</f>
        <v>0.26183165875213665</v>
      </c>
      <c r="E259" s="19">
        <f>IF(ENSO!F259="","",ENSO!F259)</f>
        <v>0.22</v>
      </c>
      <c r="F259" s="25">
        <f>IF(Volcanic!G259="","",Volcanic!G259)</f>
        <v>5.3200000000000001E-3</v>
      </c>
      <c r="G259" s="19">
        <f>IF(Solar!D259="","",Solar!D259)</f>
        <v>1361.52</v>
      </c>
      <c r="H259" s="20">
        <f t="shared" si="30"/>
        <v>0.26183165875213665</v>
      </c>
      <c r="I259" s="20">
        <f t="shared" si="31"/>
        <v>0.14361968291226002</v>
      </c>
      <c r="J259" s="25">
        <f t="shared" si="32"/>
        <v>4.7748586360011969E-3</v>
      </c>
      <c r="K259" s="19">
        <f t="shared" si="33"/>
        <v>1361.3222711637982</v>
      </c>
      <c r="L259" s="20">
        <f t="shared" si="34"/>
        <v>0.17251528686390696</v>
      </c>
      <c r="M259" s="20">
        <f t="shared" si="35"/>
        <v>-2.5152868639070347E-3</v>
      </c>
      <c r="AB259" s="20">
        <f t="shared" si="36"/>
        <v>0.18123703922415804</v>
      </c>
    </row>
    <row r="260" spans="1:28">
      <c r="A260" s="18" t="str">
        <f>Analysis!A260</f>
        <v>9/1979</v>
      </c>
      <c r="B260" s="19">
        <f>Analysis!B260</f>
        <v>1979.7083333333333</v>
      </c>
      <c r="C260" s="19">
        <f>Analysis!E260</f>
        <v>0.25000000000000355</v>
      </c>
      <c r="D260" s="20">
        <f>Analysis!F260</f>
        <v>0.25429168632221816</v>
      </c>
      <c r="E260" s="19">
        <f>IF(ENSO!F260="","",ENSO!F260)</f>
        <v>0.34</v>
      </c>
      <c r="F260" s="25">
        <f>IF(Volcanic!G260="","",Volcanic!G260)</f>
        <v>5.5700000000000003E-3</v>
      </c>
      <c r="G260" s="19">
        <f>IF(Solar!D260="","",Solar!D260)</f>
        <v>1361.51</v>
      </c>
      <c r="H260" s="20">
        <f t="shared" si="30"/>
        <v>0.25429168632221816</v>
      </c>
      <c r="I260" s="20">
        <f t="shared" si="31"/>
        <v>0.1737676504570041</v>
      </c>
      <c r="J260" s="25">
        <f t="shared" si="32"/>
        <v>4.8384346292121598E-3</v>
      </c>
      <c r="K260" s="19">
        <f t="shared" si="33"/>
        <v>1361.3372811327877</v>
      </c>
      <c r="L260" s="20">
        <f t="shared" si="34"/>
        <v>0.1561647265039913</v>
      </c>
      <c r="M260" s="20">
        <f t="shared" si="35"/>
        <v>9.3835273496012256E-2</v>
      </c>
      <c r="AB260" s="20">
        <f t="shared" si="36"/>
        <v>0.16473837961682242</v>
      </c>
    </row>
    <row r="261" spans="1:28">
      <c r="A261" s="18" t="str">
        <f>Analysis!A261</f>
        <v>10/1979</v>
      </c>
      <c r="B261" s="19">
        <f>Analysis!B261</f>
        <v>1979.7916666666667</v>
      </c>
      <c r="C261" s="19">
        <f>Analysis!E261</f>
        <v>0.25999999999999979</v>
      </c>
      <c r="D261" s="20">
        <f>Analysis!F261</f>
        <v>0.25545757034741712</v>
      </c>
      <c r="E261" s="19">
        <f>IF(ENSO!F261="","",ENSO!F261)</f>
        <v>0.47</v>
      </c>
      <c r="F261" s="25">
        <f>IF(Volcanic!G261="","",Volcanic!G261)</f>
        <v>5.9100000000000003E-3</v>
      </c>
      <c r="G261" s="19">
        <f>IF(Solar!D261="","",Solar!D261)</f>
        <v>1361.54</v>
      </c>
      <c r="H261" s="20">
        <f t="shared" si="30"/>
        <v>0.25545757034741712</v>
      </c>
      <c r="I261" s="20">
        <f t="shared" si="31"/>
        <v>0.21924472979044549</v>
      </c>
      <c r="J261" s="25">
        <f t="shared" si="32"/>
        <v>4.9241122656964471E-3</v>
      </c>
      <c r="K261" s="19">
        <f t="shared" si="33"/>
        <v>1361.3534896384813</v>
      </c>
      <c r="L261" s="20">
        <f t="shared" si="34"/>
        <v>0.16544459859764754</v>
      </c>
      <c r="M261" s="20">
        <f t="shared" si="35"/>
        <v>9.4555401402352246E-2</v>
      </c>
      <c r="AB261" s="20">
        <f t="shared" si="36"/>
        <v>0.17350941889147642</v>
      </c>
    </row>
    <row r="262" spans="1:28">
      <c r="A262" s="18" t="str">
        <f>Analysis!A262</f>
        <v>11/1979</v>
      </c>
      <c r="B262" s="19">
        <f>Analysis!B262</f>
        <v>1979.875</v>
      </c>
      <c r="C262" s="19">
        <f>Analysis!E262</f>
        <v>0.28000000000000114</v>
      </c>
      <c r="D262" s="20">
        <f>Analysis!F262</f>
        <v>0.26011170737902828</v>
      </c>
      <c r="E262" s="19">
        <f>IF(ENSO!F262="","",ENSO!F262)</f>
        <v>0.5</v>
      </c>
      <c r="F262" s="25">
        <f>IF(Volcanic!G262="","",Volcanic!G262)</f>
        <v>6.0800000000000003E-3</v>
      </c>
      <c r="G262" s="19">
        <f>IF(Solar!D262="","",Solar!D262)</f>
        <v>1361.46</v>
      </c>
      <c r="H262" s="20">
        <f t="shared" si="30"/>
        <v>0.26011170737902828</v>
      </c>
      <c r="I262" s="20">
        <f t="shared" si="31"/>
        <v>0.26234579460088581</v>
      </c>
      <c r="J262" s="25">
        <f t="shared" si="32"/>
        <v>5.0165319461154727E-3</v>
      </c>
      <c r="K262" s="19">
        <f t="shared" si="33"/>
        <v>1361.3620057367846</v>
      </c>
      <c r="L262" s="20">
        <f t="shared" si="34"/>
        <v>0.1837991365998897</v>
      </c>
      <c r="M262" s="20">
        <f t="shared" si="35"/>
        <v>9.6200863400111442E-2</v>
      </c>
      <c r="AB262" s="20">
        <f t="shared" si="36"/>
        <v>0.19129423925778136</v>
      </c>
    </row>
    <row r="263" spans="1:28">
      <c r="A263" s="18" t="str">
        <f>Analysis!A263</f>
        <v>12/1979</v>
      </c>
      <c r="B263" s="19">
        <f>Analysis!B263</f>
        <v>1979.9583333333333</v>
      </c>
      <c r="C263" s="19">
        <f>Analysis!E263</f>
        <v>0.47000000000000242</v>
      </c>
      <c r="D263" s="20">
        <f>Analysis!F263</f>
        <v>0.26650814596160988</v>
      </c>
      <c r="E263" s="19">
        <f>IF(ENSO!F263="","",ENSO!F263)</f>
        <v>0.64</v>
      </c>
      <c r="F263" s="25">
        <f>IF(Volcanic!G263="","",Volcanic!G263)</f>
        <v>6.1900000000000002E-3</v>
      </c>
      <c r="G263" s="19">
        <f>IF(Solar!D263="","",Solar!D263)</f>
        <v>1361.95</v>
      </c>
      <c r="H263" s="20">
        <f t="shared" si="30"/>
        <v>0.26650814596160988</v>
      </c>
      <c r="I263" s="20">
        <f t="shared" si="31"/>
        <v>0.32032261680156354</v>
      </c>
      <c r="J263" s="25">
        <f t="shared" si="32"/>
        <v>5.1103572712775987E-3</v>
      </c>
      <c r="K263" s="19">
        <f t="shared" si="33"/>
        <v>1361.4090191622945</v>
      </c>
      <c r="L263" s="20">
        <f t="shared" si="34"/>
        <v>0.20895967402581839</v>
      </c>
      <c r="M263" s="20">
        <f t="shared" si="35"/>
        <v>0.26104032597418403</v>
      </c>
      <c r="AB263" s="20">
        <f t="shared" si="36"/>
        <v>0.21569971930679302</v>
      </c>
    </row>
    <row r="264" spans="1:28">
      <c r="A264" s="18" t="str">
        <f>Analysis!A264</f>
        <v>1/1980</v>
      </c>
      <c r="B264" s="19">
        <f>Analysis!B264</f>
        <v>1980.0416666666667</v>
      </c>
      <c r="C264" s="19">
        <f>Analysis!E264</f>
        <v>0.30000000000000249</v>
      </c>
      <c r="D264" s="20">
        <f>Analysis!F264</f>
        <v>0.2711695233314726</v>
      </c>
      <c r="E264" s="19">
        <f>IF(ENSO!F264="","",ENSO!F264)</f>
        <v>0.62</v>
      </c>
      <c r="F264" s="25">
        <f>IF(Volcanic!G264="","",Volcanic!G264)</f>
        <v>6.7200000000000003E-3</v>
      </c>
      <c r="G264" s="19">
        <f>IF(Solar!D264="","",Solar!D264)</f>
        <v>1361.91</v>
      </c>
      <c r="H264" s="20">
        <f t="shared" si="30"/>
        <v>0.2711695233314726</v>
      </c>
      <c r="I264" s="20">
        <f t="shared" si="31"/>
        <v>0.36632857175948197</v>
      </c>
      <c r="J264" s="25">
        <f t="shared" si="32"/>
        <v>5.239057197890252E-3</v>
      </c>
      <c r="K264" s="19">
        <f t="shared" si="33"/>
        <v>1361.4490753784328</v>
      </c>
      <c r="L264" s="20">
        <f t="shared" si="34"/>
        <v>0.22762065576674873</v>
      </c>
      <c r="M264" s="20">
        <f t="shared" si="35"/>
        <v>7.2379344233253762E-2</v>
      </c>
      <c r="AB264" s="20">
        <f t="shared" si="36"/>
        <v>0.23374544943875841</v>
      </c>
    </row>
    <row r="265" spans="1:28">
      <c r="A265" s="18" t="str">
        <f>Analysis!A265</f>
        <v>2/1980</v>
      </c>
      <c r="B265" s="19">
        <f>Analysis!B265</f>
        <v>1980.125</v>
      </c>
      <c r="C265" s="19">
        <f>Analysis!E265</f>
        <v>0.38999999999999879</v>
      </c>
      <c r="D265" s="20">
        <f>Analysis!F265</f>
        <v>0.27304692161483607</v>
      </c>
      <c r="E265" s="19">
        <f>IF(ENSO!F265="","",ENSO!F265)</f>
        <v>0.47</v>
      </c>
      <c r="F265" s="25">
        <f>IF(Volcanic!G265="","",Volcanic!G265)</f>
        <v>6.6499999999999997E-3</v>
      </c>
      <c r="G265" s="19">
        <f>IF(Solar!D265="","",Solar!D265)</f>
        <v>1361.63</v>
      </c>
      <c r="H265" s="20">
        <f t="shared" si="30"/>
        <v>0.27304692161483607</v>
      </c>
      <c r="I265" s="20">
        <f t="shared" si="31"/>
        <v>0.38224403060109274</v>
      </c>
      <c r="J265" s="25">
        <f t="shared" si="32"/>
        <v>5.3518699555574799E-3</v>
      </c>
      <c r="K265" s="19">
        <f t="shared" si="33"/>
        <v>1361.4635413124581</v>
      </c>
      <c r="L265" s="20">
        <f t="shared" si="34"/>
        <v>0.23456076883835403</v>
      </c>
      <c r="M265" s="20">
        <f t="shared" si="35"/>
        <v>0.15543923116164476</v>
      </c>
      <c r="AB265" s="20">
        <f t="shared" si="36"/>
        <v>0.24043425305630484</v>
      </c>
    </row>
    <row r="266" spans="1:28">
      <c r="A266" s="18" t="str">
        <f>Analysis!A266</f>
        <v>3/1980</v>
      </c>
      <c r="B266" s="19">
        <f>Analysis!B266</f>
        <v>1980.2083333333333</v>
      </c>
      <c r="C266" s="19">
        <f>Analysis!E266</f>
        <v>0.28999999999999559</v>
      </c>
      <c r="D266" s="20">
        <f>Analysis!F266</f>
        <v>0.28040491407037693</v>
      </c>
      <c r="E266" s="19">
        <f>IF(ENSO!F266="","",ENSO!F266)</f>
        <v>0.35</v>
      </c>
      <c r="F266" s="25">
        <f>IF(Volcanic!G266="","",Volcanic!G266)</f>
        <v>6.5399999999999998E-3</v>
      </c>
      <c r="G266" s="19">
        <f>IF(Solar!D266="","",Solar!D266)</f>
        <v>1362.07</v>
      </c>
      <c r="H266" s="20">
        <f t="shared" si="30"/>
        <v>0.28040491407037693</v>
      </c>
      <c r="I266" s="20">
        <f t="shared" si="31"/>
        <v>0.37729398264063874</v>
      </c>
      <c r="J266" s="25">
        <f t="shared" si="32"/>
        <v>5.4468675887573694E-3</v>
      </c>
      <c r="K266" s="19">
        <f t="shared" si="33"/>
        <v>1361.5120310718237</v>
      </c>
      <c r="L266" s="20">
        <f t="shared" si="34"/>
        <v>0.25343723693485243</v>
      </c>
      <c r="M266" s="20">
        <f t="shared" si="35"/>
        <v>3.6562763065143167E-2</v>
      </c>
      <c r="AB266" s="20">
        <f t="shared" si="36"/>
        <v>0.25914344350028079</v>
      </c>
    </row>
    <row r="267" spans="1:28">
      <c r="A267" s="18" t="str">
        <f>Analysis!A267</f>
        <v>4/1980</v>
      </c>
      <c r="B267" s="19">
        <f>Analysis!B267</f>
        <v>1980.2916666666667</v>
      </c>
      <c r="C267" s="19">
        <f>Analysis!E267</f>
        <v>0.30000000000000249</v>
      </c>
      <c r="D267" s="20">
        <f>Analysis!F267</f>
        <v>0.28404872727074498</v>
      </c>
      <c r="E267" s="19">
        <f>IF(ENSO!F267="","",ENSO!F267)</f>
        <v>0.34</v>
      </c>
      <c r="F267" s="25">
        <f>IF(Volcanic!G267="","",Volcanic!G267)</f>
        <v>6.45E-3</v>
      </c>
      <c r="G267" s="19">
        <f>IF(Solar!D267="","",Solar!D267)</f>
        <v>1361.27</v>
      </c>
      <c r="H267" s="20">
        <f t="shared" si="30"/>
        <v>0.28404872727074498</v>
      </c>
      <c r="I267" s="20">
        <f t="shared" si="31"/>
        <v>0.37156867475368849</v>
      </c>
      <c r="J267" s="25">
        <f t="shared" si="32"/>
        <v>5.5270736279025724E-3</v>
      </c>
      <c r="K267" s="19">
        <f t="shared" si="33"/>
        <v>1361.4926793357981</v>
      </c>
      <c r="L267" s="20">
        <f t="shared" si="34"/>
        <v>0.26221069143660036</v>
      </c>
      <c r="M267" s="20">
        <f t="shared" si="35"/>
        <v>3.7789308563402124E-2</v>
      </c>
      <c r="AB267" s="20">
        <f t="shared" si="36"/>
        <v>0.26785012415138459</v>
      </c>
    </row>
    <row r="268" spans="1:28">
      <c r="A268" s="18" t="str">
        <f>Analysis!A268</f>
        <v>5/1980</v>
      </c>
      <c r="B268" s="19">
        <f>Analysis!B268</f>
        <v>1980.375</v>
      </c>
      <c r="C268" s="19">
        <f>Analysis!E268</f>
        <v>0.34999999999999787</v>
      </c>
      <c r="D268" s="20">
        <f>Analysis!F268</f>
        <v>0.28624750673812982</v>
      </c>
      <c r="E268" s="19">
        <f>IF(ENSO!F268="","",ENSO!F268)</f>
        <v>0.45</v>
      </c>
      <c r="F268" s="25">
        <f>IF(Volcanic!G268="","",Volcanic!G268)</f>
        <v>6.3400000000000001E-3</v>
      </c>
      <c r="G268" s="19">
        <f>IF(Solar!D268="","",Solar!D268)</f>
        <v>1361.42</v>
      </c>
      <c r="H268" s="20">
        <f t="shared" si="30"/>
        <v>0.28624750673812982</v>
      </c>
      <c r="I268" s="20">
        <f t="shared" si="31"/>
        <v>0.38360931652004548</v>
      </c>
      <c r="J268" s="25">
        <f t="shared" si="32"/>
        <v>5.5920716318468835E-3</v>
      </c>
      <c r="K268" s="19">
        <f t="shared" si="33"/>
        <v>1361.4868682169599</v>
      </c>
      <c r="L268" s="20">
        <f t="shared" si="34"/>
        <v>0.26963526291541362</v>
      </c>
      <c r="M268" s="20">
        <f t="shared" si="35"/>
        <v>8.0364737084584248E-2</v>
      </c>
      <c r="AB268" s="20">
        <f t="shared" si="36"/>
        <v>0.27507618639026338</v>
      </c>
    </row>
    <row r="269" spans="1:28">
      <c r="A269" s="18" t="str">
        <f>Analysis!A269</f>
        <v>6/1980</v>
      </c>
      <c r="B269" s="19">
        <f>Analysis!B269</f>
        <v>1980.4583333333333</v>
      </c>
      <c r="C269" s="19">
        <f>Analysis!E269</f>
        <v>0.20000000000000107</v>
      </c>
      <c r="D269" s="20">
        <f>Analysis!F269</f>
        <v>0.28586718848142018</v>
      </c>
      <c r="E269" s="19">
        <f>IF(ENSO!F269="","",ENSO!F269)</f>
        <v>0.4</v>
      </c>
      <c r="F269" s="25">
        <f>IF(Volcanic!G269="","",Volcanic!G269)</f>
        <v>7.1399999999999996E-3</v>
      </c>
      <c r="G269" s="19">
        <f>IF(Solar!D269="","",Solar!D269)</f>
        <v>1361.8</v>
      </c>
      <c r="H269" s="20">
        <f t="shared" si="30"/>
        <v>0.28586718848142018</v>
      </c>
      <c r="I269" s="20">
        <f t="shared" si="31"/>
        <v>0.38612558597575197</v>
      </c>
      <c r="J269" s="25">
        <f t="shared" si="32"/>
        <v>5.7158371506344421E-3</v>
      </c>
      <c r="K269" s="19">
        <f t="shared" si="33"/>
        <v>1361.5119048519709</v>
      </c>
      <c r="L269" s="20">
        <f t="shared" si="34"/>
        <v>0.26854205509599349</v>
      </c>
      <c r="M269" s="20">
        <f t="shared" si="35"/>
        <v>-6.8542055095992427E-2</v>
      </c>
      <c r="AB269" s="20">
        <f t="shared" si="36"/>
        <v>0.27390876039076639</v>
      </c>
    </row>
    <row r="270" spans="1:28">
      <c r="A270" s="18" t="str">
        <f>Analysis!A270</f>
        <v>7/1980</v>
      </c>
      <c r="B270" s="19">
        <f>Analysis!B270</f>
        <v>1980.5416666666667</v>
      </c>
      <c r="C270" s="19">
        <f>Analysis!E270</f>
        <v>0.22000000000000242</v>
      </c>
      <c r="D270" s="20">
        <f>Analysis!F270</f>
        <v>0.27777225815571982</v>
      </c>
      <c r="E270" s="19">
        <f>IF(ENSO!F270="","",ENSO!F270)</f>
        <v>0.18</v>
      </c>
      <c r="F270" s="25">
        <f>IF(Volcanic!G270="","",Volcanic!G270)</f>
        <v>8.0099999999999998E-3</v>
      </c>
      <c r="G270" s="19">
        <f>IF(Solar!D270="","",Solar!D270)</f>
        <v>1361.71</v>
      </c>
      <c r="H270" s="20">
        <f t="shared" si="30"/>
        <v>0.27777225815571982</v>
      </c>
      <c r="I270" s="20">
        <f t="shared" si="31"/>
        <v>0.35448154156084311</v>
      </c>
      <c r="J270" s="25">
        <f t="shared" si="32"/>
        <v>5.8992682841911247E-3</v>
      </c>
      <c r="K270" s="19">
        <f t="shared" si="33"/>
        <v>1361.5277436654908</v>
      </c>
      <c r="L270" s="20">
        <f t="shared" si="34"/>
        <v>0.24156404896420411</v>
      </c>
      <c r="M270" s="20">
        <f t="shared" si="35"/>
        <v>-2.1564048964201693E-2</v>
      </c>
      <c r="AB270" s="20">
        <f t="shared" si="36"/>
        <v>0.24733832846814841</v>
      </c>
    </row>
    <row r="271" spans="1:28">
      <c r="A271" s="18" t="str">
        <f>Analysis!A271</f>
        <v>8/1980</v>
      </c>
      <c r="B271" s="19">
        <f>Analysis!B271</f>
        <v>1980.625</v>
      </c>
      <c r="C271" s="19">
        <f>Analysis!E271</f>
        <v>0.17999999999999972</v>
      </c>
      <c r="D271" s="20">
        <f>Analysis!F271</f>
        <v>0.2701871828716399</v>
      </c>
      <c r="E271" s="19">
        <f>IF(ENSO!F271="","",ENSO!F271)</f>
        <v>-0.06</v>
      </c>
      <c r="F271" s="25">
        <f>IF(Volcanic!G271="","",Volcanic!G271)</f>
        <v>8.5900000000000004E-3</v>
      </c>
      <c r="G271" s="19">
        <f>IF(Solar!D271="","",Solar!D271)</f>
        <v>1361.71</v>
      </c>
      <c r="H271" s="20">
        <f t="shared" si="30"/>
        <v>0.2701871828716399</v>
      </c>
      <c r="I271" s="20">
        <f t="shared" si="31"/>
        <v>0.29085105023574326</v>
      </c>
      <c r="J271" s="25">
        <f t="shared" si="32"/>
        <v>6.1144073136040686E-3</v>
      </c>
      <c r="K271" s="19">
        <f t="shared" si="33"/>
        <v>1361.5423160774039</v>
      </c>
      <c r="L271" s="20">
        <f t="shared" si="34"/>
        <v>0.21134325575230817</v>
      </c>
      <c r="M271" s="20">
        <f t="shared" si="35"/>
        <v>-3.1343255752308452E-2</v>
      </c>
      <c r="AB271" s="20">
        <f t="shared" si="36"/>
        <v>0.21780866420922718</v>
      </c>
    </row>
    <row r="272" spans="1:28">
      <c r="A272" s="18" t="str">
        <f>Analysis!A272</f>
        <v>9/1980</v>
      </c>
      <c r="B272" s="19">
        <f>Analysis!B272</f>
        <v>1980.7083333333333</v>
      </c>
      <c r="C272" s="19">
        <f>Analysis!E272</f>
        <v>0.20000000000000107</v>
      </c>
      <c r="D272" s="20">
        <f>Analysis!F272</f>
        <v>0.26410744049902013</v>
      </c>
      <c r="E272" s="19">
        <f>IF(ENSO!F272="","",ENSO!F272)</f>
        <v>-0.17</v>
      </c>
      <c r="F272" s="25">
        <f>IF(Volcanic!G272="","",Volcanic!G272)</f>
        <v>8.7600000000000004E-3</v>
      </c>
      <c r="G272" s="19">
        <f>IF(Solar!D272="","",Solar!D272)</f>
        <v>1361.59</v>
      </c>
      <c r="H272" s="20">
        <f t="shared" si="30"/>
        <v>0.26410744049902013</v>
      </c>
      <c r="I272" s="20">
        <f t="shared" si="31"/>
        <v>0.220101991921203</v>
      </c>
      <c r="J272" s="25">
        <f t="shared" si="32"/>
        <v>6.3259372254972357E-3</v>
      </c>
      <c r="K272" s="19">
        <f t="shared" si="33"/>
        <v>1361.5461286733478</v>
      </c>
      <c r="L272" s="20">
        <f t="shared" si="34"/>
        <v>0.18420080897642069</v>
      </c>
      <c r="M272" s="20">
        <f t="shared" si="35"/>
        <v>1.5799191023580378E-2</v>
      </c>
      <c r="AB272" s="20">
        <f t="shared" si="36"/>
        <v>0.19139328244294779</v>
      </c>
    </row>
    <row r="273" spans="1:28">
      <c r="A273" s="18" t="str">
        <f>Analysis!A273</f>
        <v>10/1980</v>
      </c>
      <c r="B273" s="19">
        <f>Analysis!B273</f>
        <v>1980.7916666666667</v>
      </c>
      <c r="C273" s="19">
        <f>Analysis!E273</f>
        <v>0.12999999999999901</v>
      </c>
      <c r="D273" s="20">
        <f>Analysis!F273</f>
        <v>0.26363540356832926</v>
      </c>
      <c r="E273" s="19">
        <f>IF(ENSO!F273="","",ENSO!F273)</f>
        <v>-7.0000000000000007E-2</v>
      </c>
      <c r="F273" s="25">
        <f>IF(Volcanic!G273="","",Volcanic!G273)</f>
        <v>8.9499999999999996E-3</v>
      </c>
      <c r="G273" s="19">
        <f>IF(Solar!D273="","",Solar!D273)</f>
        <v>1361.54</v>
      </c>
      <c r="H273" s="20">
        <f t="shared" si="30"/>
        <v>0.26363540356832926</v>
      </c>
      <c r="I273" s="20">
        <f t="shared" si="31"/>
        <v>0.17556603451566294</v>
      </c>
      <c r="J273" s="25">
        <f t="shared" si="32"/>
        <v>6.5357457006820063E-3</v>
      </c>
      <c r="K273" s="19">
        <f t="shared" si="33"/>
        <v>1361.5456386516828</v>
      </c>
      <c r="L273" s="20">
        <f t="shared" si="34"/>
        <v>0.17592763142333412</v>
      </c>
      <c r="M273" s="20">
        <f t="shared" si="35"/>
        <v>-4.5927631423335114E-2</v>
      </c>
      <c r="AB273" s="20">
        <f t="shared" si="36"/>
        <v>0.18346382447473475</v>
      </c>
    </row>
    <row r="274" spans="1:28">
      <c r="A274" s="18" t="str">
        <f>Analysis!A274</f>
        <v>11/1980</v>
      </c>
      <c r="B274" s="19">
        <f>Analysis!B274</f>
        <v>1980.875</v>
      </c>
      <c r="C274" s="19">
        <f>Analysis!E274</f>
        <v>0.30000000000000249</v>
      </c>
      <c r="D274" s="20">
        <f>Analysis!F274</f>
        <v>0.26860549118579774</v>
      </c>
      <c r="E274" s="19">
        <f>IF(ENSO!F274="","",ENSO!F274)</f>
        <v>0.08</v>
      </c>
      <c r="F274" s="25">
        <f>IF(Volcanic!G274="","",Volcanic!G274)</f>
        <v>8.8000000000000005E-3</v>
      </c>
      <c r="G274" s="19">
        <f>IF(Solar!D274="","",Solar!D274)</f>
        <v>1361</v>
      </c>
      <c r="H274" s="20">
        <f t="shared" si="30"/>
        <v>0.26860549118579774</v>
      </c>
      <c r="I274" s="20">
        <f t="shared" si="31"/>
        <v>0.16089490173777435</v>
      </c>
      <c r="J274" s="25">
        <f t="shared" si="32"/>
        <v>6.7167854786120479E-3</v>
      </c>
      <c r="K274" s="19">
        <f t="shared" si="33"/>
        <v>1361.5020117938866</v>
      </c>
      <c r="L274" s="20">
        <f t="shared" si="34"/>
        <v>0.18668305291524775</v>
      </c>
      <c r="M274" s="20">
        <f t="shared" si="35"/>
        <v>0.11331694708475473</v>
      </c>
      <c r="AB274" s="20">
        <f t="shared" si="36"/>
        <v>0.19416082711453833</v>
      </c>
    </row>
    <row r="275" spans="1:28">
      <c r="A275" s="18" t="str">
        <f>Analysis!A275</f>
        <v>12/1980</v>
      </c>
      <c r="B275" s="19">
        <f>Analysis!B275</f>
        <v>1980.9583333333333</v>
      </c>
      <c r="C275" s="19">
        <f>Analysis!E275</f>
        <v>0.21000000000000085</v>
      </c>
      <c r="D275" s="20">
        <f>Analysis!F275</f>
        <v>0.27283370389710077</v>
      </c>
      <c r="E275" s="19">
        <f>IF(ENSO!F275="","",ENSO!F275)</f>
        <v>-0.05</v>
      </c>
      <c r="F275" s="25">
        <f>IF(Volcanic!G275="","",Volcanic!G275)</f>
        <v>8.8699999999999994E-3</v>
      </c>
      <c r="G275" s="19">
        <f>IF(Solar!D275="","",Solar!D275)</f>
        <v>1362</v>
      </c>
      <c r="H275" s="20">
        <f t="shared" si="30"/>
        <v>0.27283370389710077</v>
      </c>
      <c r="I275" s="20">
        <f t="shared" si="31"/>
        <v>0.1285186801936278</v>
      </c>
      <c r="J275" s="25">
        <f t="shared" si="32"/>
        <v>6.8889470060982637E-3</v>
      </c>
      <c r="K275" s="19">
        <f t="shared" si="33"/>
        <v>1361.5418287324142</v>
      </c>
      <c r="L275" s="20">
        <f t="shared" si="34"/>
        <v>0.19296387457115458</v>
      </c>
      <c r="M275" s="20">
        <f t="shared" si="35"/>
        <v>1.7036125428846277E-2</v>
      </c>
      <c r="AB275" s="20">
        <f t="shared" si="36"/>
        <v>0.20057640352282899</v>
      </c>
    </row>
    <row r="276" spans="1:28">
      <c r="A276" s="18" t="str">
        <f>Analysis!A276</f>
        <v>1/1981</v>
      </c>
      <c r="B276" s="19">
        <f>Analysis!B276</f>
        <v>1981.0416666666667</v>
      </c>
      <c r="C276" s="19">
        <f>Analysis!E276</f>
        <v>0.52999999999999758</v>
      </c>
      <c r="D276" s="20">
        <f>Analysis!F276</f>
        <v>0.27709208250431316</v>
      </c>
      <c r="E276" s="19">
        <f>IF(ENSO!F276="","",ENSO!F276)</f>
        <v>-0.27</v>
      </c>
      <c r="F276" s="25">
        <f>IF(Volcanic!G276="","",Volcanic!G276)</f>
        <v>9.2899999999999996E-3</v>
      </c>
      <c r="G276" s="19">
        <f>IF(Solar!D276="","",Solar!D276)</f>
        <v>1362.1</v>
      </c>
      <c r="H276" s="20">
        <f t="shared" si="30"/>
        <v>0.27709208250431316</v>
      </c>
      <c r="I276" s="20">
        <f t="shared" si="31"/>
        <v>6.7338779811433075E-2</v>
      </c>
      <c r="J276" s="25">
        <f t="shared" si="32"/>
        <v>7.0809246037316928E-3</v>
      </c>
      <c r="K276" s="19">
        <f t="shared" si="33"/>
        <v>1361.586457642851</v>
      </c>
      <c r="L276" s="20">
        <f t="shared" si="34"/>
        <v>0.1951942431608546</v>
      </c>
      <c r="M276" s="20">
        <f t="shared" si="35"/>
        <v>0.33480575683914299</v>
      </c>
      <c r="AB276" s="20">
        <f t="shared" si="36"/>
        <v>0.2032109335926128</v>
      </c>
    </row>
    <row r="277" spans="1:28">
      <c r="A277" s="18" t="str">
        <f>Analysis!A277</f>
        <v>2/1981</v>
      </c>
      <c r="B277" s="19">
        <f>Analysis!B277</f>
        <v>1981.125</v>
      </c>
      <c r="C277" s="19">
        <f>Analysis!E277</f>
        <v>0.42000000000000348</v>
      </c>
      <c r="D277" s="20">
        <f>Analysis!F277</f>
        <v>0.28243980500638693</v>
      </c>
      <c r="E277" s="19">
        <f>IF(ENSO!F277="","",ENSO!F277)</f>
        <v>-0.42</v>
      </c>
      <c r="F277" s="25">
        <f>IF(Volcanic!G277="","",Volcanic!G277)</f>
        <v>9.3500000000000007E-3</v>
      </c>
      <c r="G277" s="19">
        <f>IF(Solar!D277="","",Solar!D277)</f>
        <v>1361.57</v>
      </c>
      <c r="H277" s="20">
        <f t="shared" si="30"/>
        <v>0.28243980500638693</v>
      </c>
      <c r="I277" s="20">
        <f t="shared" si="31"/>
        <v>-7.4766290591309348E-3</v>
      </c>
      <c r="J277" s="25">
        <f t="shared" si="32"/>
        <v>7.2623498552905254E-3</v>
      </c>
      <c r="K277" s="19">
        <f t="shared" si="33"/>
        <v>1361.5851417623828</v>
      </c>
      <c r="L277" s="20">
        <f t="shared" si="34"/>
        <v>0.19848192842966728</v>
      </c>
      <c r="M277" s="20">
        <f t="shared" si="35"/>
        <v>0.22151807157033621</v>
      </c>
      <c r="AB277" s="20">
        <f t="shared" si="36"/>
        <v>0.20701486895676383</v>
      </c>
    </row>
    <row r="278" spans="1:28">
      <c r="A278" s="18" t="str">
        <f>Analysis!A278</f>
        <v>3/1981</v>
      </c>
      <c r="B278" s="19">
        <f>Analysis!B278</f>
        <v>1981.2083333333333</v>
      </c>
      <c r="C278" s="19">
        <f>Analysis!E278</f>
        <v>0.47999999999999865</v>
      </c>
      <c r="D278" s="20">
        <f>Analysis!F278</f>
        <v>0.28700784260909884</v>
      </c>
      <c r="E278" s="19">
        <f>IF(ENSO!F278="","",ENSO!F278)</f>
        <v>-0.41</v>
      </c>
      <c r="F278" s="25">
        <f>IF(Volcanic!G278="","",Volcanic!G278)</f>
        <v>9.2200000000000008E-3</v>
      </c>
      <c r="G278" s="19">
        <f>IF(Solar!D278="","",Solar!D278)</f>
        <v>1361.77</v>
      </c>
      <c r="H278" s="20">
        <f t="shared" si="30"/>
        <v>0.28700784260909884</v>
      </c>
      <c r="I278" s="20">
        <f t="shared" si="31"/>
        <v>-6.9271322657188647E-2</v>
      </c>
      <c r="J278" s="25">
        <f t="shared" si="32"/>
        <v>7.4188749185617612E-3</v>
      </c>
      <c r="K278" s="19">
        <f t="shared" si="33"/>
        <v>1361.5999222109822</v>
      </c>
      <c r="L278" s="20">
        <f t="shared" si="34"/>
        <v>0.20158317701198855</v>
      </c>
      <c r="M278" s="20">
        <f t="shared" si="35"/>
        <v>0.27841682298801007</v>
      </c>
      <c r="AB278" s="20">
        <f t="shared" si="36"/>
        <v>0.21053586404249627</v>
      </c>
    </row>
    <row r="279" spans="1:28">
      <c r="A279" s="18" t="str">
        <f>Analysis!A279</f>
        <v>4/1981</v>
      </c>
      <c r="B279" s="19">
        <f>Analysis!B279</f>
        <v>1981.2916666666667</v>
      </c>
      <c r="C279" s="19">
        <f>Analysis!E279</f>
        <v>0.32000000000000028</v>
      </c>
      <c r="D279" s="20">
        <f>Analysis!F279</f>
        <v>0.29109832425167037</v>
      </c>
      <c r="E279" s="19">
        <f>IF(ENSO!F279="","",ENSO!F279)</f>
        <v>-0.27</v>
      </c>
      <c r="F279" s="25">
        <f>IF(Volcanic!G279="","",Volcanic!G279)</f>
        <v>9.0200000000000002E-3</v>
      </c>
      <c r="G279" s="19">
        <f>IF(Solar!D279="","",Solar!D279)</f>
        <v>1362.12</v>
      </c>
      <c r="H279" s="20">
        <f t="shared" si="30"/>
        <v>0.29109832425167037</v>
      </c>
      <c r="I279" s="20">
        <f t="shared" si="31"/>
        <v>-0.10008684296784551</v>
      </c>
      <c r="J279" s="25">
        <f t="shared" si="32"/>
        <v>7.5468938116998278E-3</v>
      </c>
      <c r="K279" s="19">
        <f t="shared" si="33"/>
        <v>1361.6415053350413</v>
      </c>
      <c r="L279" s="20">
        <f t="shared" si="34"/>
        <v>0.20786154610664984</v>
      </c>
      <c r="M279" s="20">
        <f t="shared" si="35"/>
        <v>0.11213845389335045</v>
      </c>
      <c r="AB279" s="20">
        <f t="shared" si="36"/>
        <v>0.21695793492781887</v>
      </c>
    </row>
    <row r="280" spans="1:28">
      <c r="A280" s="18" t="str">
        <f>Analysis!A280</f>
        <v>5/1981</v>
      </c>
      <c r="B280" s="19">
        <f>Analysis!B280</f>
        <v>1981.375</v>
      </c>
      <c r="C280" s="19">
        <f>Analysis!E280</f>
        <v>0.25000000000000355</v>
      </c>
      <c r="D280" s="20">
        <f>Analysis!F280</f>
        <v>0.29294998373808151</v>
      </c>
      <c r="E280" s="19">
        <f>IF(ENSO!F280="","",ENSO!F280)</f>
        <v>-0.28000000000000003</v>
      </c>
      <c r="F280" s="25">
        <f>IF(Volcanic!G280="","",Volcanic!G280)</f>
        <v>8.8999999999999999E-3</v>
      </c>
      <c r="G280" s="19">
        <f>IF(Solar!D280="","",Solar!D280)</f>
        <v>1361.72</v>
      </c>
      <c r="H280" s="20">
        <f t="shared" si="30"/>
        <v>0.29294998373808151</v>
      </c>
      <c r="I280" s="20">
        <f t="shared" si="31"/>
        <v>-0.12770680050490596</v>
      </c>
      <c r="J280" s="25">
        <f t="shared" si="32"/>
        <v>7.6550822090540533E-3</v>
      </c>
      <c r="K280" s="19">
        <f t="shared" si="33"/>
        <v>1361.6477814219265</v>
      </c>
      <c r="L280" s="20">
        <f t="shared" si="34"/>
        <v>0.20860398410220438</v>
      </c>
      <c r="M280" s="20">
        <f t="shared" si="35"/>
        <v>4.1396015897799177E-2</v>
      </c>
      <c r="AB280" s="20">
        <f t="shared" si="36"/>
        <v>0.21787428272064482</v>
      </c>
    </row>
    <row r="281" spans="1:28">
      <c r="A281" s="18" t="str">
        <f>Analysis!A281</f>
        <v>6/1981</v>
      </c>
      <c r="B281" s="19">
        <f>Analysis!B281</f>
        <v>1981.4583333333333</v>
      </c>
      <c r="C281" s="19">
        <f>Analysis!E281</f>
        <v>0.28999999999999559</v>
      </c>
      <c r="D281" s="20">
        <f>Analysis!F281</f>
        <v>0.29084564099664334</v>
      </c>
      <c r="E281" s="19">
        <f>IF(ENSO!F281="","",ENSO!F281)</f>
        <v>-0.27</v>
      </c>
      <c r="F281" s="25">
        <f>IF(Volcanic!G281="","",Volcanic!G281)</f>
        <v>9.2499999999999995E-3</v>
      </c>
      <c r="G281" s="19">
        <f>IF(Solar!D281="","",Solar!D281)</f>
        <v>1361.58</v>
      </c>
      <c r="H281" s="20">
        <f t="shared" si="30"/>
        <v>0.29084564099664334</v>
      </c>
      <c r="I281" s="20">
        <f t="shared" si="31"/>
        <v>-0.14955140705118852</v>
      </c>
      <c r="J281" s="25">
        <f t="shared" si="32"/>
        <v>7.7826047946472424E-3</v>
      </c>
      <c r="K281" s="19">
        <f t="shared" si="33"/>
        <v>1361.6423619186592</v>
      </c>
      <c r="L281" s="20">
        <f t="shared" si="34"/>
        <v>0.19939813815291874</v>
      </c>
      <c r="M281" s="20">
        <f t="shared" si="35"/>
        <v>9.0601861847076859E-2</v>
      </c>
      <c r="AB281" s="20">
        <f t="shared" si="36"/>
        <v>0.20886872676416743</v>
      </c>
    </row>
    <row r="282" spans="1:28">
      <c r="A282" s="18" t="str">
        <f>Analysis!A282</f>
        <v>7/1981</v>
      </c>
      <c r="B282" s="19">
        <f>Analysis!B282</f>
        <v>1981.5416666666667</v>
      </c>
      <c r="C282" s="19">
        <f>Analysis!E282</f>
        <v>0.32999999999999652</v>
      </c>
      <c r="D282" s="20">
        <f>Analysis!F282</f>
        <v>0.28358317111122905</v>
      </c>
      <c r="E282" s="19">
        <f>IF(ENSO!F282="","",ENSO!F282)</f>
        <v>-0.28000000000000003</v>
      </c>
      <c r="F282" s="25">
        <f>IF(Volcanic!G282="","",Volcanic!G282)</f>
        <v>9.6600000000000002E-3</v>
      </c>
      <c r="G282" s="19">
        <f>IF(Solar!D282="","",Solar!D282)</f>
        <v>1360.72</v>
      </c>
      <c r="H282" s="20">
        <f t="shared" si="30"/>
        <v>0.28358317111122905</v>
      </c>
      <c r="I282" s="20">
        <f t="shared" si="31"/>
        <v>-0.16957765003113645</v>
      </c>
      <c r="J282" s="25">
        <f t="shared" si="32"/>
        <v>7.9327130272633245E-3</v>
      </c>
      <c r="K282" s="19">
        <f t="shared" si="33"/>
        <v>1361.5686139315292</v>
      </c>
      <c r="L282" s="20">
        <f t="shared" si="34"/>
        <v>0.17642380924929538</v>
      </c>
      <c r="M282" s="20">
        <f t="shared" si="35"/>
        <v>0.15357619075070114</v>
      </c>
      <c r="AB282" s="20">
        <f t="shared" si="36"/>
        <v>0.18618575112261487</v>
      </c>
    </row>
    <row r="283" spans="1:28">
      <c r="A283" s="18" t="str">
        <f>Analysis!A283</f>
        <v>8/1981</v>
      </c>
      <c r="B283" s="19">
        <f>Analysis!B283</f>
        <v>1981.625</v>
      </c>
      <c r="C283" s="19">
        <f>Analysis!E283</f>
        <v>0.34999999999999787</v>
      </c>
      <c r="D283" s="20">
        <f>Analysis!F283</f>
        <v>0.27364376363665927</v>
      </c>
      <c r="E283" s="19">
        <f>IF(ENSO!F283="","",ENSO!F283)</f>
        <v>-0.23</v>
      </c>
      <c r="F283" s="25">
        <f>IF(Volcanic!G283="","",Volcanic!G283)</f>
        <v>9.9600000000000001E-3</v>
      </c>
      <c r="G283" s="19">
        <f>IF(Solar!D283="","",Solar!D283)</f>
        <v>1362.15</v>
      </c>
      <c r="H283" s="20">
        <f t="shared" si="30"/>
        <v>0.27364376363665927</v>
      </c>
      <c r="I283" s="20">
        <f t="shared" si="31"/>
        <v>-0.17885358497641202</v>
      </c>
      <c r="J283" s="25">
        <f t="shared" si="32"/>
        <v>8.0948059438828331E-3</v>
      </c>
      <c r="K283" s="19">
        <f t="shared" si="33"/>
        <v>1361.6150989949601</v>
      </c>
      <c r="L283" s="20">
        <f t="shared" si="34"/>
        <v>0.14768701279331403</v>
      </c>
      <c r="M283" s="20">
        <f t="shared" si="35"/>
        <v>0.20231298720668384</v>
      </c>
      <c r="AB283" s="20">
        <f t="shared" si="36"/>
        <v>0.15769228696567802</v>
      </c>
    </row>
    <row r="284" spans="1:28">
      <c r="A284" s="18" t="str">
        <f>Analysis!A284</f>
        <v>9/1981</v>
      </c>
      <c r="B284" s="19">
        <f>Analysis!B284</f>
        <v>1981.7083333333333</v>
      </c>
      <c r="C284" s="19">
        <f>Analysis!E284</f>
        <v>0.14999999999999858</v>
      </c>
      <c r="D284" s="20">
        <f>Analysis!F284</f>
        <v>0.26710769864693196</v>
      </c>
      <c r="E284" s="19">
        <f>IF(ENSO!F284="","",ENSO!F284)</f>
        <v>-0.08</v>
      </c>
      <c r="F284" s="25">
        <f>IF(Volcanic!G284="","",Volcanic!G284)</f>
        <v>9.6900000000000007E-3</v>
      </c>
      <c r="G284" s="19">
        <f>IF(Solar!D284="","",Solar!D284)</f>
        <v>1361.73</v>
      </c>
      <c r="H284" s="20">
        <f t="shared" si="30"/>
        <v>0.26710769864693196</v>
      </c>
      <c r="I284" s="20">
        <f t="shared" si="31"/>
        <v>-0.16367775312245417</v>
      </c>
      <c r="J284" s="25">
        <f t="shared" si="32"/>
        <v>8.2223506184195046E-3</v>
      </c>
      <c r="K284" s="19">
        <f t="shared" si="33"/>
        <v>1361.6242859720778</v>
      </c>
      <c r="L284" s="20">
        <f t="shared" si="34"/>
        <v>0.13172130440353941</v>
      </c>
      <c r="M284" s="20">
        <f t="shared" si="35"/>
        <v>1.8278695596459171E-2</v>
      </c>
      <c r="AB284" s="20">
        <f t="shared" si="36"/>
        <v>0.14167022771180271</v>
      </c>
    </row>
    <row r="285" spans="1:28">
      <c r="A285" s="18" t="str">
        <f>Analysis!A285</f>
        <v>10/1981</v>
      </c>
      <c r="B285" s="19">
        <f>Analysis!B285</f>
        <v>1981.7916666666667</v>
      </c>
      <c r="C285" s="19">
        <f>Analysis!E285</f>
        <v>0.11999999999999744</v>
      </c>
      <c r="D285" s="20">
        <f>Analysis!F285</f>
        <v>0.26753579806873473</v>
      </c>
      <c r="E285" s="19">
        <f>IF(ENSO!F285="","",ENSO!F285)</f>
        <v>-0.16</v>
      </c>
      <c r="F285" s="25">
        <f>IF(Volcanic!G285="","",Volcanic!G285)</f>
        <v>9.4999999999999998E-3</v>
      </c>
      <c r="G285" s="19">
        <f>IF(Solar!D285="","",Solar!D285)</f>
        <v>1361.42</v>
      </c>
      <c r="H285" s="20">
        <f t="shared" si="30"/>
        <v>0.26753579806873473</v>
      </c>
      <c r="I285" s="20">
        <f t="shared" si="31"/>
        <v>-0.16311315080681685</v>
      </c>
      <c r="J285" s="25">
        <f t="shared" si="32"/>
        <v>8.3245058226222562E-3</v>
      </c>
      <c r="K285" s="19">
        <f t="shared" si="33"/>
        <v>1361.6079521675972</v>
      </c>
      <c r="L285" s="20">
        <f t="shared" si="34"/>
        <v>0.13261208781879141</v>
      </c>
      <c r="M285" s="20">
        <f t="shared" si="35"/>
        <v>-1.2612087818793971E-2</v>
      </c>
      <c r="AB285" s="20">
        <f t="shared" si="36"/>
        <v>0.14249724988308463</v>
      </c>
    </row>
    <row r="286" spans="1:28">
      <c r="A286" s="18" t="str">
        <f>Analysis!A286</f>
        <v>11/1981</v>
      </c>
      <c r="B286" s="19">
        <f>Analysis!B286</f>
        <v>1981.875</v>
      </c>
      <c r="C286" s="19">
        <f>Analysis!E286</f>
        <v>0.2300000000000022</v>
      </c>
      <c r="D286" s="20">
        <f>Analysis!F286</f>
        <v>0.27406992824581616</v>
      </c>
      <c r="E286" s="19">
        <f>IF(ENSO!F286="","",ENSO!F286)</f>
        <v>-0.19</v>
      </c>
      <c r="F286" s="25">
        <f>IF(Volcanic!G286="","",Volcanic!G286)</f>
        <v>9.3299999999999998E-3</v>
      </c>
      <c r="G286" s="19">
        <f>IF(Solar!D286="","",Solar!D286)</f>
        <v>1361.75</v>
      </c>
      <c r="H286" s="20">
        <f t="shared" si="30"/>
        <v>0.27406992824581616</v>
      </c>
      <c r="I286" s="20">
        <f t="shared" si="31"/>
        <v>-0.1672407735180805</v>
      </c>
      <c r="J286" s="25">
        <f t="shared" si="32"/>
        <v>8.4049006981613012E-3</v>
      </c>
      <c r="K286" s="19">
        <f t="shared" si="33"/>
        <v>1361.6193096851875</v>
      </c>
      <c r="L286" s="20">
        <f t="shared" si="34"/>
        <v>0.14942628852750364</v>
      </c>
      <c r="M286" s="20">
        <f t="shared" si="35"/>
        <v>8.057371147249856E-2</v>
      </c>
      <c r="AB286" s="20">
        <f t="shared" si="36"/>
        <v>0.15916217857831264</v>
      </c>
    </row>
    <row r="287" spans="1:28">
      <c r="A287" s="18" t="str">
        <f>Analysis!A287</f>
        <v>12/1981</v>
      </c>
      <c r="B287" s="19">
        <f>Analysis!B287</f>
        <v>1981.9583333333333</v>
      </c>
      <c r="C287" s="19">
        <f>Analysis!E287</f>
        <v>0.41000000000000014</v>
      </c>
      <c r="D287" s="20">
        <f>Analysis!F287</f>
        <v>0.27972597877580269</v>
      </c>
      <c r="E287" s="19">
        <f>IF(ENSO!F287="","",ENSO!F287)</f>
        <v>-0.14000000000000001</v>
      </c>
      <c r="F287" s="25">
        <f>IF(Volcanic!G287="","",Volcanic!G287)</f>
        <v>8.3300000000000006E-3</v>
      </c>
      <c r="G287" s="19">
        <f>IF(Solar!D287="","",Solar!D287)</f>
        <v>1361.59</v>
      </c>
      <c r="H287" s="20">
        <f t="shared" si="30"/>
        <v>0.27972597877580269</v>
      </c>
      <c r="I287" s="20">
        <f t="shared" si="31"/>
        <v>-0.16305881695493935</v>
      </c>
      <c r="J287" s="25">
        <f t="shared" si="32"/>
        <v>8.3989119689951413E-3</v>
      </c>
      <c r="K287" s="19">
        <f t="shared" si="33"/>
        <v>1361.6169662121513</v>
      </c>
      <c r="L287" s="20">
        <f t="shared" si="34"/>
        <v>0.16533171094647109</v>
      </c>
      <c r="M287" s="20">
        <f t="shared" si="35"/>
        <v>0.24466828905352905</v>
      </c>
      <c r="AB287" s="20">
        <f t="shared" si="36"/>
        <v>0.17489893015651053</v>
      </c>
    </row>
    <row r="288" spans="1:28">
      <c r="A288" s="18" t="str">
        <f>Analysis!A288</f>
        <v>1/1982</v>
      </c>
      <c r="B288" s="19">
        <f>Analysis!B288</f>
        <v>1982.0416666666667</v>
      </c>
      <c r="C288" s="19">
        <f>Analysis!E288</f>
        <v>5.0000000000004263E-2</v>
      </c>
      <c r="D288" s="20">
        <f>Analysis!F288</f>
        <v>0.28404872727074498</v>
      </c>
      <c r="E288" s="19">
        <f>IF(ENSO!F288="","",ENSO!F288)</f>
        <v>-0.05</v>
      </c>
      <c r="F288" s="25">
        <f>IF(Volcanic!G288="","",Volcanic!G288)</f>
        <v>7.4599999999999996E-3</v>
      </c>
      <c r="G288" s="19">
        <f>IF(Solar!D288="","",Solar!D288)</f>
        <v>1361.88</v>
      </c>
      <c r="H288" s="20">
        <f t="shared" si="30"/>
        <v>0.28404872727074498</v>
      </c>
      <c r="I288" s="20">
        <f t="shared" si="31"/>
        <v>-0.14570222239010927</v>
      </c>
      <c r="J288" s="25">
        <f t="shared" si="32"/>
        <v>8.3238407129026006E-3</v>
      </c>
      <c r="K288" s="19">
        <f t="shared" si="33"/>
        <v>1361.6379972326311</v>
      </c>
      <c r="L288" s="20">
        <f t="shared" si="34"/>
        <v>0.17972522457871973</v>
      </c>
      <c r="M288" s="20">
        <f t="shared" si="35"/>
        <v>-0.12972522457871546</v>
      </c>
      <c r="AB288" s="20">
        <f t="shared" si="36"/>
        <v>0.18905951254980122</v>
      </c>
    </row>
    <row r="289" spans="1:28">
      <c r="A289" s="18" t="str">
        <f>Analysis!A289</f>
        <v>2/1982</v>
      </c>
      <c r="B289" s="19">
        <f>Analysis!B289</f>
        <v>1982.125</v>
      </c>
      <c r="C289" s="19">
        <f>Analysis!E289</f>
        <v>0.14999999999999858</v>
      </c>
      <c r="D289" s="20">
        <f>Analysis!F289</f>
        <v>0.28755672496786289</v>
      </c>
      <c r="E289" s="19">
        <f>IF(ENSO!F289="","",ENSO!F289)</f>
        <v>0.02</v>
      </c>
      <c r="F289" s="25">
        <f>IF(Volcanic!G289="","",Volcanic!G289)</f>
        <v>7.3299999999999997E-3</v>
      </c>
      <c r="G289" s="19">
        <f>IF(Solar!D289="","",Solar!D289)</f>
        <v>1360.75</v>
      </c>
      <c r="H289" s="20">
        <f t="shared" si="30"/>
        <v>0.28755672496786289</v>
      </c>
      <c r="I289" s="20">
        <f t="shared" si="31"/>
        <v>-0.12026390302698783</v>
      </c>
      <c r="J289" s="25">
        <f t="shared" si="32"/>
        <v>8.2443775969372624E-3</v>
      </c>
      <c r="K289" s="19">
        <f t="shared" si="33"/>
        <v>1361.5669968940886</v>
      </c>
      <c r="L289" s="20">
        <f t="shared" si="34"/>
        <v>0.19307091006221092</v>
      </c>
      <c r="M289" s="20">
        <f t="shared" si="35"/>
        <v>-4.3070910062212336E-2</v>
      </c>
      <c r="AB289" s="20">
        <f t="shared" si="36"/>
        <v>0.2021147878319573</v>
      </c>
    </row>
    <row r="290" spans="1:28">
      <c r="A290" s="18" t="str">
        <f>Analysis!A290</f>
        <v>3/1982</v>
      </c>
      <c r="B290" s="19">
        <f>Analysis!B290</f>
        <v>1982.2083333333333</v>
      </c>
      <c r="C290" s="19">
        <f>Analysis!E290</f>
        <v>2.9999999999997584E-2</v>
      </c>
      <c r="D290" s="20">
        <f>Analysis!F290</f>
        <v>0.29185610858541344</v>
      </c>
      <c r="E290" s="19">
        <f>IF(ENSO!F290="","",ENSO!F290)</f>
        <v>7.0000000000000007E-2</v>
      </c>
      <c r="F290" s="25">
        <f>IF(Volcanic!G290="","",Volcanic!G290)</f>
        <v>7.6699999999999997E-3</v>
      </c>
      <c r="G290" s="19">
        <f>IF(Solar!D290="","",Solar!D290)</f>
        <v>1360.76</v>
      </c>
      <c r="H290" s="20">
        <f t="shared" si="30"/>
        <v>0.29185610858541344</v>
      </c>
      <c r="I290" s="20">
        <f t="shared" si="31"/>
        <v>-9.10549168187052E-2</v>
      </c>
      <c r="J290" s="25">
        <f t="shared" si="32"/>
        <v>8.1984528999503418E-3</v>
      </c>
      <c r="K290" s="19">
        <f t="shared" si="33"/>
        <v>1361.5024729850293</v>
      </c>
      <c r="L290" s="20">
        <f t="shared" si="34"/>
        <v>0.20897498592149466</v>
      </c>
      <c r="M290" s="20">
        <f t="shared" si="35"/>
        <v>-0.17897498592149708</v>
      </c>
      <c r="AB290" s="20">
        <f t="shared" si="36"/>
        <v>0.21765766534556871</v>
      </c>
    </row>
    <row r="291" spans="1:28">
      <c r="A291" s="18" t="str">
        <f>Analysis!A291</f>
        <v>4/1982</v>
      </c>
      <c r="B291" s="19">
        <f>Analysis!B291</f>
        <v>1982.2916666666667</v>
      </c>
      <c r="C291" s="19">
        <f>Analysis!E291</f>
        <v>0.14999999999999858</v>
      </c>
      <c r="D291" s="20">
        <f>Analysis!F291</f>
        <v>0.2968139727658512</v>
      </c>
      <c r="E291" s="19">
        <f>IF(ENSO!F291="","",ENSO!F291)</f>
        <v>0.34</v>
      </c>
      <c r="F291" s="25">
        <f>IF(Volcanic!G291="","",Volcanic!G291)</f>
        <v>2.0670000000000001E-2</v>
      </c>
      <c r="G291" s="19">
        <f>IF(Solar!D291="","",Solar!D291)</f>
        <v>1361.42</v>
      </c>
      <c r="H291" s="20">
        <f t="shared" si="30"/>
        <v>0.2968139727658512</v>
      </c>
      <c r="I291" s="20">
        <f t="shared" si="31"/>
        <v>-2.4880109511277768E-2</v>
      </c>
      <c r="J291" s="25">
        <f t="shared" si="32"/>
        <v>9.1956227488127779E-3</v>
      </c>
      <c r="K291" s="19">
        <f t="shared" si="33"/>
        <v>1361.495878809234</v>
      </c>
      <c r="L291" s="20">
        <f t="shared" si="34"/>
        <v>0.22833778896033441</v>
      </c>
      <c r="M291" s="20">
        <f t="shared" si="35"/>
        <v>-7.833778896033583E-2</v>
      </c>
      <c r="AB291" s="20">
        <f t="shared" si="36"/>
        <v>0.2357914090235726</v>
      </c>
    </row>
    <row r="292" spans="1:28">
      <c r="A292" s="18" t="str">
        <f>Analysis!A292</f>
        <v>5/1982</v>
      </c>
      <c r="B292" s="19">
        <f>Analysis!B292</f>
        <v>1982.375</v>
      </c>
      <c r="C292" s="19">
        <f>Analysis!E292</f>
        <v>0.17999999999999972</v>
      </c>
      <c r="D292" s="20">
        <f>Analysis!F292</f>
        <v>0.30020741728518119</v>
      </c>
      <c r="E292" s="19">
        <f>IF(ENSO!F292="","",ENSO!F292)</f>
        <v>0.65</v>
      </c>
      <c r="F292" s="25">
        <f>IF(Volcanic!G292="","",Volcanic!G292)</f>
        <v>2.3220000000000001E-2</v>
      </c>
      <c r="G292" s="19">
        <f>IF(Solar!D292="","",Solar!D292)</f>
        <v>1361.37</v>
      </c>
      <c r="H292" s="20">
        <f t="shared" si="30"/>
        <v>0.30020741728518119</v>
      </c>
      <c r="I292" s="20">
        <f t="shared" si="31"/>
        <v>7.8726320806527042E-2</v>
      </c>
      <c r="J292" s="25">
        <f t="shared" si="32"/>
        <v>1.0316950041390655E-2</v>
      </c>
      <c r="K292" s="19">
        <f t="shared" si="33"/>
        <v>1361.4858140953559</v>
      </c>
      <c r="L292" s="20">
        <f t="shared" si="34"/>
        <v>0.24833132722114765</v>
      </c>
      <c r="M292" s="20">
        <f t="shared" si="35"/>
        <v>-6.8331327221147931E-2</v>
      </c>
      <c r="AB292" s="20">
        <f t="shared" si="36"/>
        <v>0.25417010281237407</v>
      </c>
    </row>
    <row r="293" spans="1:28">
      <c r="A293" s="18" t="str">
        <f>Analysis!A293</f>
        <v>6/1982</v>
      </c>
      <c r="B293" s="19">
        <f>Analysis!B293</f>
        <v>1982.4583333333333</v>
      </c>
      <c r="C293" s="19">
        <f>Analysis!E293</f>
        <v>5.9999999999998721E-2</v>
      </c>
      <c r="D293" s="20">
        <f>Analysis!F293</f>
        <v>0.29647838424587125</v>
      </c>
      <c r="E293" s="19">
        <f>IF(ENSO!F293="","",ENSO!F293)</f>
        <v>0.73</v>
      </c>
      <c r="F293" s="25">
        <f>IF(Volcanic!G293="","",Volcanic!G293)</f>
        <v>2.6190000000000001E-2</v>
      </c>
      <c r="G293" s="19">
        <f>IF(Solar!D293="","",Solar!D293)</f>
        <v>1360.46</v>
      </c>
      <c r="H293" s="20">
        <f t="shared" si="30"/>
        <v>0.29647838424587125</v>
      </c>
      <c r="I293" s="20">
        <f t="shared" si="31"/>
        <v>0.17870873266045256</v>
      </c>
      <c r="J293" s="25">
        <f t="shared" si="32"/>
        <v>1.158608904244926E-2</v>
      </c>
      <c r="K293" s="19">
        <f t="shared" si="33"/>
        <v>1361.4037945288803</v>
      </c>
      <c r="L293" s="20">
        <f t="shared" si="34"/>
        <v>0.24805158880368336</v>
      </c>
      <c r="M293" s="20">
        <f t="shared" si="35"/>
        <v>-0.18805158880368464</v>
      </c>
      <c r="AB293" s="20">
        <f t="shared" si="36"/>
        <v>0.25240556567303496</v>
      </c>
    </row>
    <row r="294" spans="1:28">
      <c r="A294" s="18" t="str">
        <f>Analysis!A294</f>
        <v>7/1982</v>
      </c>
      <c r="B294" s="19">
        <f>Analysis!B294</f>
        <v>1982.5416666666667</v>
      </c>
      <c r="C294" s="19">
        <f>Analysis!E294</f>
        <v>0.13999999999999879</v>
      </c>
      <c r="D294" s="20">
        <f>Analysis!F294</f>
        <v>0.29034014167791555</v>
      </c>
      <c r="E294" s="19">
        <f>IF(ENSO!F294="","",ENSO!F294)</f>
        <v>0.78</v>
      </c>
      <c r="F294" s="25">
        <f>IF(Volcanic!G294="","",Volcanic!G294)</f>
        <v>2.7179999999999999E-2</v>
      </c>
      <c r="G294" s="19">
        <f>IF(Solar!D294="","",Solar!D294)</f>
        <v>1361.11</v>
      </c>
      <c r="H294" s="20">
        <f t="shared" si="30"/>
        <v>0.29034014167791555</v>
      </c>
      <c r="I294" s="20">
        <f t="shared" si="31"/>
        <v>0.27101793086075648</v>
      </c>
      <c r="J294" s="25">
        <f t="shared" si="32"/>
        <v>1.2832909321278438E-2</v>
      </c>
      <c r="K294" s="19">
        <f t="shared" si="33"/>
        <v>1361.380304015345</v>
      </c>
      <c r="L294" s="20">
        <f t="shared" si="34"/>
        <v>0.24024979085361606</v>
      </c>
      <c r="M294" s="20">
        <f t="shared" si="35"/>
        <v>-0.10024979085361727</v>
      </c>
      <c r="AB294" s="20">
        <f t="shared" si="36"/>
        <v>0.24325976155085666</v>
      </c>
    </row>
    <row r="295" spans="1:28">
      <c r="A295" s="18" t="str">
        <f>Analysis!A295</f>
        <v>8/1982</v>
      </c>
      <c r="B295" s="19">
        <f>Analysis!B295</f>
        <v>1982.625</v>
      </c>
      <c r="C295" s="19">
        <f>Analysis!E295</f>
        <v>2.9999999999997584E-2</v>
      </c>
      <c r="D295" s="20">
        <f>Analysis!F295</f>
        <v>0.28112593290607241</v>
      </c>
      <c r="E295" s="19">
        <f>IF(ENSO!F295="","",ENSO!F295)</f>
        <v>0.99</v>
      </c>
      <c r="F295" s="25">
        <f>IF(Volcanic!G295="","",Volcanic!G295)</f>
        <v>2.86E-2</v>
      </c>
      <c r="G295" s="19">
        <f>IF(Solar!D295="","",Solar!D295)</f>
        <v>1361.19</v>
      </c>
      <c r="H295" s="20">
        <f t="shared" si="30"/>
        <v>0.28112593290607241</v>
      </c>
      <c r="I295" s="20">
        <f t="shared" si="31"/>
        <v>0.3813948179495904</v>
      </c>
      <c r="J295" s="25">
        <f t="shared" si="32"/>
        <v>1.4093576286088162E-2</v>
      </c>
      <c r="K295" s="19">
        <f t="shared" si="33"/>
        <v>1361.3650881463998</v>
      </c>
      <c r="L295" s="20">
        <f t="shared" si="34"/>
        <v>0.22663280187590643</v>
      </c>
      <c r="M295" s="20">
        <f t="shared" si="35"/>
        <v>-0.19663280187590884</v>
      </c>
      <c r="AB295" s="20">
        <f t="shared" si="36"/>
        <v>0.22818809843530638</v>
      </c>
    </row>
    <row r="296" spans="1:28">
      <c r="A296" s="18" t="str">
        <f>Analysis!A296</f>
        <v>9/1982</v>
      </c>
      <c r="B296" s="19">
        <f>Analysis!B296</f>
        <v>1982.7083333333333</v>
      </c>
      <c r="C296" s="19">
        <f>Analysis!E296</f>
        <v>0.13999999999999879</v>
      </c>
      <c r="D296" s="20">
        <f>Analysis!F296</f>
        <v>0.2731748371214936</v>
      </c>
      <c r="E296" s="19">
        <f>IF(ENSO!F296="","",ENSO!F296)</f>
        <v>1.45</v>
      </c>
      <c r="F296" s="25">
        <f>IF(Volcanic!G296="","",Volcanic!G296)</f>
        <v>2.9919999999999999E-2</v>
      </c>
      <c r="G296" s="19">
        <f>IF(Solar!D296="","",Solar!D296)</f>
        <v>1361.48</v>
      </c>
      <c r="H296" s="20">
        <f t="shared" si="30"/>
        <v>0.2731748371214936</v>
      </c>
      <c r="I296" s="20">
        <f t="shared" si="31"/>
        <v>0.54544524227092051</v>
      </c>
      <c r="J296" s="25">
        <f t="shared" si="32"/>
        <v>1.5358987258458343E-2</v>
      </c>
      <c r="K296" s="19">
        <f t="shared" si="33"/>
        <v>1361.3742759909205</v>
      </c>
      <c r="L296" s="20">
        <f t="shared" si="34"/>
        <v>0.22398985867093368</v>
      </c>
      <c r="M296" s="20">
        <f t="shared" si="35"/>
        <v>-8.3989858670934892E-2</v>
      </c>
      <c r="AB296" s="20">
        <f t="shared" si="36"/>
        <v>0.22353818961056204</v>
      </c>
    </row>
    <row r="297" spans="1:28">
      <c r="A297" s="18" t="str">
        <f>Analysis!A297</f>
        <v>10/1982</v>
      </c>
      <c r="B297" s="19">
        <f>Analysis!B297</f>
        <v>1982.7916666666667</v>
      </c>
      <c r="C297" s="19">
        <f>Analysis!E297</f>
        <v>0.12999999999999901</v>
      </c>
      <c r="D297" s="20">
        <f>Analysis!F297</f>
        <v>0.27334537348989335</v>
      </c>
      <c r="E297" s="19">
        <f>IF(ENSO!F297="","",ENSO!F297)</f>
        <v>1.82</v>
      </c>
      <c r="F297" s="25">
        <f>IF(Volcanic!G297="","",Volcanic!G297)</f>
        <v>3.2079999999999997E-2</v>
      </c>
      <c r="G297" s="19">
        <f>IF(Solar!D297="","",Solar!D297)</f>
        <v>1361.64</v>
      </c>
      <c r="H297" s="20">
        <f t="shared" si="30"/>
        <v>0.27334537348989335</v>
      </c>
      <c r="I297" s="20">
        <f t="shared" si="31"/>
        <v>0.74111269020994996</v>
      </c>
      <c r="J297" s="25">
        <f t="shared" si="32"/>
        <v>1.6695925620198847E-2</v>
      </c>
      <c r="K297" s="19">
        <f t="shared" si="33"/>
        <v>1361.3955221096135</v>
      </c>
      <c r="L297" s="20">
        <f t="shared" si="34"/>
        <v>0.24752839895259504</v>
      </c>
      <c r="M297" s="20">
        <f t="shared" si="35"/>
        <v>-0.11752839895259604</v>
      </c>
      <c r="AB297" s="20">
        <f t="shared" si="36"/>
        <v>0.24454110504485801</v>
      </c>
    </row>
    <row r="298" spans="1:28">
      <c r="A298" s="18" t="str">
        <f>Analysis!A298</f>
        <v>11/1982</v>
      </c>
      <c r="B298" s="19">
        <f>Analysis!B298</f>
        <v>1982.875</v>
      </c>
      <c r="C298" s="19">
        <f>Analysis!E298</f>
        <v>0.17999999999999972</v>
      </c>
      <c r="D298" s="20">
        <f>Analysis!F298</f>
        <v>0.27772975657104493</v>
      </c>
      <c r="E298" s="19">
        <f>IF(ENSO!F298="","",ENSO!F298)</f>
        <v>2.0299999999999998</v>
      </c>
      <c r="F298" s="25">
        <f>IF(Volcanic!G298="","",Volcanic!G298)</f>
        <v>3.771E-2</v>
      </c>
      <c r="G298" s="19">
        <f>IF(Solar!D298="","",Solar!D298)</f>
        <v>1361.41</v>
      </c>
      <c r="H298" s="20">
        <f t="shared" si="30"/>
        <v>0.27772975657104493</v>
      </c>
      <c r="I298" s="20">
        <f t="shared" si="31"/>
        <v>0.93898044681929504</v>
      </c>
      <c r="J298" s="25">
        <f t="shared" si="32"/>
        <v>1.8376118238258788E-2</v>
      </c>
      <c r="K298" s="19">
        <f t="shared" si="33"/>
        <v>1361.3966796978143</v>
      </c>
      <c r="L298" s="20">
        <f t="shared" si="34"/>
        <v>0.28160797513203084</v>
      </c>
      <c r="M298" s="20">
        <f t="shared" si="35"/>
        <v>-0.10160797513203113</v>
      </c>
      <c r="AB298" s="20">
        <f t="shared" si="36"/>
        <v>0.27580362342588632</v>
      </c>
    </row>
    <row r="299" spans="1:28">
      <c r="A299" s="18" t="str">
        <f>Analysis!A299</f>
        <v>12/1982</v>
      </c>
      <c r="B299" s="19">
        <f>Analysis!B299</f>
        <v>1982.9583333333333</v>
      </c>
      <c r="C299" s="19">
        <f>Analysis!E299</f>
        <v>0.42999999999999972</v>
      </c>
      <c r="D299" s="20">
        <f>Analysis!F299</f>
        <v>0.28341384070717457</v>
      </c>
      <c r="E299" s="19">
        <f>IF(ENSO!F299="","",ENSO!F299)</f>
        <v>2.12</v>
      </c>
      <c r="F299" s="25">
        <f>IF(Volcanic!G299="","",Volcanic!G299)</f>
        <v>5.3809999999999997E-2</v>
      </c>
      <c r="G299" s="19">
        <f>IF(Solar!D299="","",Solar!D299)</f>
        <v>1361.24</v>
      </c>
      <c r="H299" s="20">
        <f t="shared" si="30"/>
        <v>0.28341384070717457</v>
      </c>
      <c r="I299" s="20">
        <f t="shared" si="31"/>
        <v>1.1202885314940545</v>
      </c>
      <c r="J299" s="25">
        <f t="shared" si="32"/>
        <v>2.120925499647415E-2</v>
      </c>
      <c r="K299" s="19">
        <f t="shared" si="33"/>
        <v>1361.3841522808598</v>
      </c>
      <c r="L299" s="20">
        <f t="shared" si="34"/>
        <v>0.3129540289964447</v>
      </c>
      <c r="M299" s="20">
        <f t="shared" si="35"/>
        <v>0.11704597100355502</v>
      </c>
      <c r="AB299" s="20">
        <f t="shared" si="36"/>
        <v>0.30391726840830474</v>
      </c>
    </row>
    <row r="300" spans="1:28">
      <c r="A300" s="18" t="str">
        <f>Analysis!A300</f>
        <v>1/1983</v>
      </c>
      <c r="B300" s="19">
        <f>Analysis!B300</f>
        <v>1983.0416666666667</v>
      </c>
      <c r="C300" s="19">
        <f>Analysis!E300</f>
        <v>0.52999999999999758</v>
      </c>
      <c r="D300" s="20">
        <f>Analysis!F300</f>
        <v>0.28675444184014132</v>
      </c>
      <c r="E300" s="19">
        <f>IF(ENSO!F300="","",ENSO!F300)</f>
        <v>2.14</v>
      </c>
      <c r="F300" s="25">
        <f>IF(Volcanic!G300="","",Volcanic!G300)</f>
        <v>5.7509999999999999E-2</v>
      </c>
      <c r="G300" s="19">
        <f>IF(Solar!D300="","",Solar!D300)</f>
        <v>1361.42</v>
      </c>
      <c r="H300" s="20">
        <f t="shared" si="30"/>
        <v>0.28675444184014132</v>
      </c>
      <c r="I300" s="20">
        <f t="shared" si="31"/>
        <v>1.2768328772483462</v>
      </c>
      <c r="J300" s="25">
        <f t="shared" si="32"/>
        <v>2.4111702312622729E-2</v>
      </c>
      <c r="K300" s="19">
        <f t="shared" si="33"/>
        <v>1361.3870185062278</v>
      </c>
      <c r="L300" s="20">
        <f t="shared" si="34"/>
        <v>0.33423308646587652</v>
      </c>
      <c r="M300" s="20">
        <f t="shared" si="35"/>
        <v>0.19576691353412107</v>
      </c>
      <c r="AB300" s="20">
        <f t="shared" si="36"/>
        <v>0.32222563249205016</v>
      </c>
    </row>
    <row r="301" spans="1:28">
      <c r="A301" s="18" t="str">
        <f>Analysis!A301</f>
        <v>2/1983</v>
      </c>
      <c r="B301" s="19">
        <f>Analysis!B301</f>
        <v>1983.125</v>
      </c>
      <c r="C301" s="19">
        <f>Analysis!E301</f>
        <v>0.42999999999999972</v>
      </c>
      <c r="D301" s="20">
        <f>Analysis!F301</f>
        <v>0.29185610858541344</v>
      </c>
      <c r="E301" s="19">
        <f>IF(ENSO!F301="","",ENSO!F301)</f>
        <v>1.91</v>
      </c>
      <c r="F301" s="25">
        <f>IF(Volcanic!G301="","",Volcanic!G301)</f>
        <v>5.6910000000000002E-2</v>
      </c>
      <c r="G301" s="19">
        <f>IF(Solar!D301="","",Solar!D301)</f>
        <v>1361.25</v>
      </c>
      <c r="H301" s="20">
        <f t="shared" si="30"/>
        <v>0.29185610858541344</v>
      </c>
      <c r="I301" s="20">
        <f t="shared" si="31"/>
        <v>1.3740356017891528</v>
      </c>
      <c r="J301" s="25">
        <f t="shared" si="32"/>
        <v>2.6734109403378691E-2</v>
      </c>
      <c r="K301" s="19">
        <f t="shared" si="33"/>
        <v>1361.3760631113557</v>
      </c>
      <c r="L301" s="20">
        <f t="shared" si="34"/>
        <v>0.35285002664143716</v>
      </c>
      <c r="M301" s="20">
        <f t="shared" si="35"/>
        <v>7.7149973358562551E-2</v>
      </c>
      <c r="AB301" s="20">
        <f t="shared" si="36"/>
        <v>0.33853952419683703</v>
      </c>
    </row>
    <row r="302" spans="1:28">
      <c r="A302" s="18" t="str">
        <f>Analysis!A302</f>
        <v>3/1983</v>
      </c>
      <c r="B302" s="19">
        <f>Analysis!B302</f>
        <v>1983.2083333333333</v>
      </c>
      <c r="C302" s="19">
        <f>Analysis!E302</f>
        <v>0.42000000000000348</v>
      </c>
      <c r="D302" s="20">
        <f>Analysis!F302</f>
        <v>0.29433717040544699</v>
      </c>
      <c r="E302" s="19">
        <f>IF(ENSO!F302="","",ENSO!F302)</f>
        <v>1.52</v>
      </c>
      <c r="F302" s="25">
        <f>IF(Volcanic!G302="","",Volcanic!G302)</f>
        <v>5.6890000000000003E-2</v>
      </c>
      <c r="G302" s="19">
        <f>IF(Solar!D302="","",Solar!D302)</f>
        <v>1361.23</v>
      </c>
      <c r="H302" s="20">
        <f t="shared" si="30"/>
        <v>0.29433717040544699</v>
      </c>
      <c r="I302" s="20">
        <f t="shared" si="31"/>
        <v>1.3964438044298617</v>
      </c>
      <c r="J302" s="25">
        <f t="shared" si="32"/>
        <v>2.9145241288405632E-2</v>
      </c>
      <c r="K302" s="19">
        <f t="shared" si="33"/>
        <v>1361.3643845497861</v>
      </c>
      <c r="L302" s="20">
        <f t="shared" si="34"/>
        <v>0.35454204471771372</v>
      </c>
      <c r="M302" s="20">
        <f t="shared" si="35"/>
        <v>6.5457955282289759E-2</v>
      </c>
      <c r="AB302" s="20">
        <f t="shared" si="36"/>
        <v>0.33881494810215512</v>
      </c>
    </row>
    <row r="303" spans="1:28">
      <c r="A303" s="18" t="str">
        <f>Analysis!A303</f>
        <v>4/1983</v>
      </c>
      <c r="B303" s="19">
        <f>Analysis!B303</f>
        <v>1983.2916666666667</v>
      </c>
      <c r="C303" s="19">
        <f>Analysis!E303</f>
        <v>0.28000000000000114</v>
      </c>
      <c r="D303" s="20">
        <f>Analysis!F303</f>
        <v>0.30284125569659542</v>
      </c>
      <c r="E303" s="19">
        <f>IF(ENSO!F303="","",ENSO!F303)</f>
        <v>1.23</v>
      </c>
      <c r="F303" s="25">
        <f>IF(Volcanic!G303="","",Volcanic!G303)</f>
        <v>5.74E-2</v>
      </c>
      <c r="G303" s="19">
        <f>IF(Solar!D303="","",Solar!D303)</f>
        <v>1361.2</v>
      </c>
      <c r="H303" s="20">
        <f t="shared" si="30"/>
        <v>0.30284125569659542</v>
      </c>
      <c r="I303" s="20">
        <f t="shared" si="31"/>
        <v>1.3708916386711452</v>
      </c>
      <c r="J303" s="25">
        <f t="shared" si="32"/>
        <v>3.1404367060698386E-2</v>
      </c>
      <c r="K303" s="19">
        <f t="shared" si="33"/>
        <v>1361.3512410868821</v>
      </c>
      <c r="L303" s="20">
        <f t="shared" si="34"/>
        <v>0.36626881431306646</v>
      </c>
      <c r="M303" s="20">
        <f t="shared" si="35"/>
        <v>-8.6268814313065323E-2</v>
      </c>
      <c r="AB303" s="20">
        <f t="shared" si="36"/>
        <v>0.3495230490908387</v>
      </c>
    </row>
    <row r="304" spans="1:28">
      <c r="A304" s="18" t="str">
        <f>Analysis!A304</f>
        <v>5/1983</v>
      </c>
      <c r="B304" s="19">
        <f>Analysis!B304</f>
        <v>1983.375</v>
      </c>
      <c r="C304" s="19">
        <f>Analysis!E304</f>
        <v>0.33999999999999986</v>
      </c>
      <c r="D304" s="20">
        <f>Analysis!F304</f>
        <v>0.30592884206251841</v>
      </c>
      <c r="E304" s="19">
        <f>IF(ENSO!F304="","",ENSO!F304)</f>
        <v>0.95</v>
      </c>
      <c r="F304" s="25">
        <f>IF(Volcanic!G304="","",Volcanic!G304)</f>
        <v>5.4690000000000003E-2</v>
      </c>
      <c r="G304" s="19">
        <f>IF(Solar!D304="","",Solar!D304)</f>
        <v>1361.09</v>
      </c>
      <c r="H304" s="20">
        <f t="shared" si="30"/>
        <v>0.30592884206251841</v>
      </c>
      <c r="I304" s="20">
        <f t="shared" si="31"/>
        <v>1.3062770802943882</v>
      </c>
      <c r="J304" s="25">
        <f t="shared" si="32"/>
        <v>3.3266183473086956E-2</v>
      </c>
      <c r="K304" s="19">
        <f t="shared" si="33"/>
        <v>1361.3303534028576</v>
      </c>
      <c r="L304" s="20">
        <f t="shared" si="34"/>
        <v>0.3591837293006952</v>
      </c>
      <c r="M304" s="20">
        <f t="shared" si="35"/>
        <v>-1.918372930069534E-2</v>
      </c>
      <c r="AB304" s="20">
        <f t="shared" si="36"/>
        <v>0.34211184513123283</v>
      </c>
    </row>
    <row r="305" spans="1:28">
      <c r="A305" s="18" t="str">
        <f>Analysis!A305</f>
        <v>6/1983</v>
      </c>
      <c r="B305" s="19">
        <f>Analysis!B305</f>
        <v>1983.4583333333333</v>
      </c>
      <c r="C305" s="19">
        <f>Analysis!E305</f>
        <v>0.2300000000000022</v>
      </c>
      <c r="D305" s="20">
        <f>Analysis!F305</f>
        <v>0.30434415013981614</v>
      </c>
      <c r="E305" s="19">
        <f>IF(ENSO!F305="","",ENSO!F305)</f>
        <v>0.62</v>
      </c>
      <c r="F305" s="25">
        <f>IF(Volcanic!G305="","",Volcanic!G305)</f>
        <v>5.2319999999999998E-2</v>
      </c>
      <c r="G305" s="19">
        <f>IF(Solar!D305="","",Solar!D305)</f>
        <v>1361.08</v>
      </c>
      <c r="H305" s="20">
        <f t="shared" si="30"/>
        <v>0.30434415013981614</v>
      </c>
      <c r="I305" s="20">
        <f t="shared" si="31"/>
        <v>1.2009210066804883</v>
      </c>
      <c r="J305" s="25">
        <f t="shared" si="32"/>
        <v>3.478964252704176E-2</v>
      </c>
      <c r="K305" s="19">
        <f t="shared" si="33"/>
        <v>1361.3103362499826</v>
      </c>
      <c r="L305" s="20">
        <f t="shared" si="34"/>
        <v>0.33486234482011412</v>
      </c>
      <c r="M305" s="20">
        <f t="shared" si="35"/>
        <v>-0.10486234482011192</v>
      </c>
      <c r="AB305" s="20">
        <f t="shared" si="36"/>
        <v>0.31812804156551022</v>
      </c>
    </row>
    <row r="306" spans="1:28">
      <c r="A306" s="18" t="str">
        <f>Analysis!A306</f>
        <v>7/1983</v>
      </c>
      <c r="B306" s="19">
        <f>Analysis!B306</f>
        <v>1983.5416666666667</v>
      </c>
      <c r="C306" s="19">
        <f>Analysis!E306</f>
        <v>0.17999999999999972</v>
      </c>
      <c r="D306" s="20">
        <f>Analysis!F306</f>
        <v>0.29832315583693308</v>
      </c>
      <c r="E306" s="19">
        <f>IF(ENSO!F306="","",ENSO!F306)</f>
        <v>0.25</v>
      </c>
      <c r="F306" s="25">
        <f>IF(Volcanic!G306="","",Volcanic!G306)</f>
        <v>4.7759999999999997E-2</v>
      </c>
      <c r="G306" s="19">
        <f>IF(Solar!D306="","",Solar!D306)</f>
        <v>1361.29</v>
      </c>
      <c r="H306" s="20">
        <f t="shared" si="30"/>
        <v>0.29832315583693308</v>
      </c>
      <c r="I306" s="20">
        <f t="shared" si="31"/>
        <v>1.0549372539696189</v>
      </c>
      <c r="J306" s="25">
        <f t="shared" si="32"/>
        <v>3.5826695051259065E-2</v>
      </c>
      <c r="K306" s="19">
        <f t="shared" si="33"/>
        <v>1361.3087102532108</v>
      </c>
      <c r="L306" s="20">
        <f t="shared" si="34"/>
        <v>0.2944610842829799</v>
      </c>
      <c r="M306" s="20">
        <f t="shared" si="35"/>
        <v>-0.11446108428298019</v>
      </c>
      <c r="AB306" s="20">
        <f t="shared" si="36"/>
        <v>0.27879159968459588</v>
      </c>
    </row>
    <row r="307" spans="1:28">
      <c r="A307" s="18" t="str">
        <f>Analysis!A307</f>
        <v>8/1983</v>
      </c>
      <c r="B307" s="19">
        <f>Analysis!B307</f>
        <v>1983.625</v>
      </c>
      <c r="C307" s="19">
        <f>Analysis!E307</f>
        <v>0.36000000000000121</v>
      </c>
      <c r="D307" s="20">
        <f>Analysis!F307</f>
        <v>0.29071928277095344</v>
      </c>
      <c r="E307" s="19">
        <f>IF(ENSO!F307="","",ENSO!F307)</f>
        <v>-0.06</v>
      </c>
      <c r="F307" s="25">
        <f>IF(Volcanic!G307="","",Volcanic!G307)</f>
        <v>4.1610000000000001E-2</v>
      </c>
      <c r="G307" s="19">
        <f>IF(Solar!D307="","",Solar!D307)</f>
        <v>1361.46</v>
      </c>
      <c r="H307" s="20">
        <f t="shared" si="30"/>
        <v>0.29071928277095344</v>
      </c>
      <c r="I307" s="20">
        <f t="shared" si="31"/>
        <v>0.88377400988500776</v>
      </c>
      <c r="J307" s="25">
        <f t="shared" si="32"/>
        <v>3.6289102583812773E-2</v>
      </c>
      <c r="K307" s="19">
        <f t="shared" si="33"/>
        <v>1361.3208067134758</v>
      </c>
      <c r="L307" s="20">
        <f t="shared" si="34"/>
        <v>0.24817550315040299</v>
      </c>
      <c r="M307" s="20">
        <f t="shared" si="35"/>
        <v>0.11182449684959822</v>
      </c>
      <c r="AB307" s="20">
        <f t="shared" si="36"/>
        <v>0.23412390883435094</v>
      </c>
    </row>
    <row r="308" spans="1:28">
      <c r="A308" s="18" t="str">
        <f>Analysis!A308</f>
        <v>9/1983</v>
      </c>
      <c r="B308" s="19">
        <f>Analysis!B308</f>
        <v>1983.7083333333333</v>
      </c>
      <c r="C308" s="19">
        <f>Analysis!E308</f>
        <v>0.36999999999999744</v>
      </c>
      <c r="D308" s="20">
        <f>Analysis!F308</f>
        <v>0.28205848151793295</v>
      </c>
      <c r="E308" s="19">
        <f>IF(ENSO!F308="","",ENSO!F308)</f>
        <v>-0.43</v>
      </c>
      <c r="F308" s="25">
        <f>IF(Volcanic!G308="","",Volcanic!G308)</f>
        <v>3.857E-2</v>
      </c>
      <c r="G308" s="19">
        <f>IF(Solar!D308="","",Solar!D308)</f>
        <v>1361.27</v>
      </c>
      <c r="H308" s="20">
        <f t="shared" si="30"/>
        <v>0.28205848151793295</v>
      </c>
      <c r="I308" s="20">
        <f t="shared" si="31"/>
        <v>0.68208569000392005</v>
      </c>
      <c r="J308" s="25">
        <f t="shared" si="32"/>
        <v>3.6471473071894481E-2</v>
      </c>
      <c r="K308" s="19">
        <f t="shared" si="33"/>
        <v>1361.3167444329592</v>
      </c>
      <c r="L308" s="20">
        <f t="shared" si="34"/>
        <v>0.19567406749602267</v>
      </c>
      <c r="M308" s="20">
        <f t="shared" si="35"/>
        <v>0.17432593250397477</v>
      </c>
      <c r="AB308" s="20">
        <f t="shared" si="36"/>
        <v>0.1836936255036698</v>
      </c>
    </row>
    <row r="309" spans="1:28">
      <c r="A309" s="18" t="str">
        <f>Analysis!A309</f>
        <v>10/1983</v>
      </c>
      <c r="B309" s="19">
        <f>Analysis!B309</f>
        <v>1983.7916666666667</v>
      </c>
      <c r="C309" s="19">
        <f>Analysis!E309</f>
        <v>0.16999999999999993</v>
      </c>
      <c r="D309" s="20">
        <f>Analysis!F309</f>
        <v>0.28235507516311997</v>
      </c>
      <c r="E309" s="19">
        <f>IF(ENSO!F309="","",ENSO!F309)</f>
        <v>-0.76</v>
      </c>
      <c r="F309" s="25">
        <f>IF(Volcanic!G309="","",Volcanic!G309)</f>
        <v>3.4639999999999997E-2</v>
      </c>
      <c r="G309" s="19">
        <f>IF(Solar!D309="","",Solar!D309)</f>
        <v>1361.05</v>
      </c>
      <c r="H309" s="20">
        <f t="shared" si="30"/>
        <v>0.28235507516311997</v>
      </c>
      <c r="I309" s="20">
        <f t="shared" si="31"/>
        <v>0.46069918231458973</v>
      </c>
      <c r="J309" s="25">
        <f t="shared" si="32"/>
        <v>3.6325036570340523E-2</v>
      </c>
      <c r="K309" s="19">
        <f t="shared" si="33"/>
        <v>1361.2954167256776</v>
      </c>
      <c r="L309" s="20">
        <f t="shared" si="34"/>
        <v>0.16573059620762554</v>
      </c>
      <c r="M309" s="20">
        <f t="shared" si="35"/>
        <v>4.2694037923743933E-3</v>
      </c>
      <c r="AB309" s="20">
        <f t="shared" si="36"/>
        <v>0.15596079166933641</v>
      </c>
    </row>
    <row r="310" spans="1:28">
      <c r="A310" s="18" t="str">
        <f>Analysis!A310</f>
        <v>11/1983</v>
      </c>
      <c r="B310" s="19">
        <f>Analysis!B310</f>
        <v>1983.875</v>
      </c>
      <c r="C310" s="19">
        <f>Analysis!E310</f>
        <v>0.30000000000000249</v>
      </c>
      <c r="D310" s="20">
        <f>Analysis!F310</f>
        <v>0.28768336047734855</v>
      </c>
      <c r="E310" s="19">
        <f>IF(ENSO!F310="","",ENSO!F310)</f>
        <v>-0.96</v>
      </c>
      <c r="F310" s="25">
        <f>IF(Volcanic!G310="","",Volcanic!G310)</f>
        <v>3.4439999999999998E-2</v>
      </c>
      <c r="G310" s="19">
        <f>IF(Solar!D310="","",Solar!D310)</f>
        <v>1361.15</v>
      </c>
      <c r="H310" s="20">
        <f t="shared" si="30"/>
        <v>0.28768336047734855</v>
      </c>
      <c r="I310" s="20">
        <f t="shared" si="31"/>
        <v>0.24259589439633897</v>
      </c>
      <c r="J310" s="25">
        <f t="shared" si="32"/>
        <v>3.6174317367913815E-2</v>
      </c>
      <c r="K310" s="19">
        <f t="shared" si="33"/>
        <v>1361.2837898462535</v>
      </c>
      <c r="L310" s="20">
        <f t="shared" si="34"/>
        <v>0.14987155425399146</v>
      </c>
      <c r="M310" s="20">
        <f t="shared" si="35"/>
        <v>0.15012844574601103</v>
      </c>
      <c r="AB310" s="20">
        <f t="shared" si="36"/>
        <v>0.14216608199733516</v>
      </c>
    </row>
    <row r="311" spans="1:28">
      <c r="A311" s="18" t="str">
        <f>Analysis!A311</f>
        <v>12/1983</v>
      </c>
      <c r="B311" s="19">
        <f>Analysis!B311</f>
        <v>1983.9583333333333</v>
      </c>
      <c r="C311" s="19">
        <f>Analysis!E311</f>
        <v>0.16999999999999993</v>
      </c>
      <c r="D311" s="20">
        <f>Analysis!F311</f>
        <v>0.29362272566721687</v>
      </c>
      <c r="E311" s="19">
        <f>IF(ENSO!F311="","",ENSO!F311)</f>
        <v>-0.89</v>
      </c>
      <c r="F311" s="25">
        <f>IF(Volcanic!G311="","",Volcanic!G311)</f>
        <v>3.7019999999999997E-2</v>
      </c>
      <c r="G311" s="19">
        <f>IF(Solar!D311="","",Solar!D311)</f>
        <v>1361.08</v>
      </c>
      <c r="H311" s="20">
        <f t="shared" si="30"/>
        <v>0.29362272566721687</v>
      </c>
      <c r="I311" s="20">
        <f t="shared" si="31"/>
        <v>6.8721726292640839E-2</v>
      </c>
      <c r="J311" s="25">
        <f t="shared" si="32"/>
        <v>3.6241934417800076E-2</v>
      </c>
      <c r="K311" s="19">
        <f t="shared" si="33"/>
        <v>1361.2674957098038</v>
      </c>
      <c r="L311" s="20">
        <f t="shared" si="34"/>
        <v>0.14116595594531162</v>
      </c>
      <c r="M311" s="20">
        <f t="shared" si="35"/>
        <v>2.8834044054688313E-2</v>
      </c>
      <c r="AB311" s="20">
        <f t="shared" si="36"/>
        <v>0.13497811807090901</v>
      </c>
    </row>
    <row r="312" spans="1:28">
      <c r="A312" s="18" t="str">
        <f>Analysis!A312</f>
        <v>1/1984</v>
      </c>
      <c r="B312" s="19">
        <f>Analysis!B312</f>
        <v>1984.0416666666667</v>
      </c>
      <c r="C312" s="19">
        <f>Analysis!E312</f>
        <v>0.31000000000000227</v>
      </c>
      <c r="D312" s="20">
        <f>Analysis!F312</f>
        <v>0.29786218403948628</v>
      </c>
      <c r="E312" s="19">
        <f>IF(ENSO!F312="","",ENSO!F312)</f>
        <v>-0.63</v>
      </c>
      <c r="F312" s="25">
        <f>IF(Volcanic!G312="","",Volcanic!G312)</f>
        <v>3.5860000000000003E-2</v>
      </c>
      <c r="G312" s="19">
        <f>IF(Solar!D312="","",Solar!D312)</f>
        <v>1360.3</v>
      </c>
      <c r="H312" s="20">
        <f t="shared" si="30"/>
        <v>0.29786218403948628</v>
      </c>
      <c r="I312" s="20">
        <f t="shared" si="31"/>
        <v>-3.8544827909257805E-2</v>
      </c>
      <c r="J312" s="25">
        <f t="shared" si="32"/>
        <v>3.6211396627851666E-2</v>
      </c>
      <c r="K312" s="19">
        <f t="shared" si="33"/>
        <v>1361.1901390239827</v>
      </c>
      <c r="L312" s="20">
        <f t="shared" si="34"/>
        <v>0.13759622376984237</v>
      </c>
      <c r="M312" s="20">
        <f t="shared" si="35"/>
        <v>0.1724037762301599</v>
      </c>
      <c r="AB312" s="20">
        <f t="shared" si="36"/>
        <v>0.1323655407419638</v>
      </c>
    </row>
    <row r="313" spans="1:28">
      <c r="A313" s="18" t="str">
        <f>Analysis!A313</f>
        <v>2/1984</v>
      </c>
      <c r="B313" s="19">
        <f>Analysis!B313</f>
        <v>1984.125</v>
      </c>
      <c r="C313" s="19">
        <f>Analysis!E313</f>
        <v>0.13999999999999879</v>
      </c>
      <c r="D313" s="20">
        <f>Analysis!F313</f>
        <v>0.30083495794705978</v>
      </c>
      <c r="E313" s="19">
        <f>IF(ENSO!F313="","",ENSO!F313)</f>
        <v>-0.51</v>
      </c>
      <c r="F313" s="25">
        <f>IF(Volcanic!G313="","",Volcanic!G313)</f>
        <v>3.3930000000000002E-2</v>
      </c>
      <c r="G313" s="19">
        <f>IF(Solar!D313="","",Solar!D313)</f>
        <v>1360.56</v>
      </c>
      <c r="H313" s="20">
        <f t="shared" si="30"/>
        <v>0.30083495794705978</v>
      </c>
      <c r="I313" s="20">
        <f t="shared" si="31"/>
        <v>-0.11092181272002723</v>
      </c>
      <c r="J313" s="25">
        <f t="shared" si="32"/>
        <v>3.6028986225009101E-2</v>
      </c>
      <c r="K313" s="19">
        <f t="shared" si="33"/>
        <v>1361.1397558894553</v>
      </c>
      <c r="L313" s="20">
        <f t="shared" si="34"/>
        <v>0.13604001594324788</v>
      </c>
      <c r="M313" s="20">
        <f t="shared" si="35"/>
        <v>3.9599840567509093E-3</v>
      </c>
      <c r="AB313" s="20">
        <f t="shared" si="36"/>
        <v>0.13152918366867344</v>
      </c>
    </row>
    <row r="314" spans="1:28">
      <c r="A314" s="18" t="str">
        <f>Analysis!A314</f>
        <v>3/1984</v>
      </c>
      <c r="B314" s="19">
        <f>Analysis!B314</f>
        <v>1984.2083333333333</v>
      </c>
      <c r="C314" s="19">
        <f>Analysis!E314</f>
        <v>0.25999999999999979</v>
      </c>
      <c r="D314" s="20">
        <f>Analysis!F314</f>
        <v>0.30401030887004266</v>
      </c>
      <c r="E314" s="19">
        <f>IF(ENSO!F314="","",ENSO!F314)</f>
        <v>-0.38</v>
      </c>
      <c r="F314" s="25">
        <f>IF(Volcanic!G314="","",Volcanic!G314)</f>
        <v>3.1789999999999999E-2</v>
      </c>
      <c r="G314" s="19">
        <f>IF(Solar!D314="","",Solar!D314)</f>
        <v>1361.18</v>
      </c>
      <c r="H314" s="20">
        <f t="shared" si="30"/>
        <v>0.30401030887004266</v>
      </c>
      <c r="I314" s="20">
        <f t="shared" si="31"/>
        <v>-0.15223023190080895</v>
      </c>
      <c r="J314" s="25">
        <f t="shared" si="32"/>
        <v>3.5690055600010262E-2</v>
      </c>
      <c r="K314" s="19">
        <f t="shared" si="33"/>
        <v>1361.1429736308717</v>
      </c>
      <c r="L314" s="20">
        <f t="shared" si="34"/>
        <v>0.13994701377600888</v>
      </c>
      <c r="M314" s="20">
        <f t="shared" si="35"/>
        <v>0.12005298622399091</v>
      </c>
      <c r="AB314" s="20">
        <f t="shared" si="36"/>
        <v>0.13592399398416369</v>
      </c>
    </row>
    <row r="315" spans="1:28">
      <c r="A315" s="18" t="str">
        <f>Analysis!A315</f>
        <v>4/1984</v>
      </c>
      <c r="B315" s="19">
        <f>Analysis!B315</f>
        <v>1984.2916666666667</v>
      </c>
      <c r="C315" s="19">
        <f>Analysis!E315</f>
        <v>5.9999999999998721E-2</v>
      </c>
      <c r="D315" s="20">
        <f>Analysis!F315</f>
        <v>0.31104633643445362</v>
      </c>
      <c r="E315" s="19">
        <f>IF(ENSO!F315="","",ENSO!F315)</f>
        <v>-0.47</v>
      </c>
      <c r="F315" s="25">
        <f>IF(Volcanic!G315="","",Volcanic!G315)</f>
        <v>3.0419999999999999E-2</v>
      </c>
      <c r="G315" s="19">
        <f>IF(Solar!D315="","",Solar!D315)</f>
        <v>1360.44</v>
      </c>
      <c r="H315" s="20">
        <f t="shared" si="30"/>
        <v>0.31104633643445362</v>
      </c>
      <c r="I315" s="20">
        <f t="shared" si="31"/>
        <v>-0.2010136985813063</v>
      </c>
      <c r="J315" s="25">
        <f t="shared" si="32"/>
        <v>3.5268685219575428E-2</v>
      </c>
      <c r="K315" s="19">
        <f t="shared" si="33"/>
        <v>1361.0867669627153</v>
      </c>
      <c r="L315" s="20">
        <f t="shared" si="34"/>
        <v>0.15351873372743818</v>
      </c>
      <c r="M315" s="20">
        <f t="shared" si="35"/>
        <v>-9.3518733727439463E-2</v>
      </c>
      <c r="AB315" s="20">
        <f t="shared" si="36"/>
        <v>0.15000572741173337</v>
      </c>
    </row>
    <row r="316" spans="1:28">
      <c r="A316" s="18" t="str">
        <f>Analysis!A316</f>
        <v>5/1984</v>
      </c>
      <c r="B316" s="19">
        <f>Analysis!B316</f>
        <v>1984.375</v>
      </c>
      <c r="C316" s="19">
        <f>Analysis!E316</f>
        <v>0.32999999999999652</v>
      </c>
      <c r="D316" s="20">
        <f>Analysis!F316</f>
        <v>0.31270665832658501</v>
      </c>
      <c r="E316" s="19">
        <f>IF(ENSO!F316="","",ENSO!F316)</f>
        <v>-0.55000000000000004</v>
      </c>
      <c r="F316" s="25">
        <f>IF(Volcanic!G316="","",Volcanic!G316)</f>
        <v>2.904E-2</v>
      </c>
      <c r="G316" s="19">
        <f>IF(Solar!D316="","",Solar!D316)</f>
        <v>1360.71</v>
      </c>
      <c r="H316" s="20">
        <f t="shared" si="30"/>
        <v>0.31270665832658501</v>
      </c>
      <c r="I316" s="20">
        <f t="shared" si="31"/>
        <v>-0.25458947361190842</v>
      </c>
      <c r="J316" s="25">
        <f t="shared" si="32"/>
        <v>3.4770667046754591E-2</v>
      </c>
      <c r="K316" s="19">
        <f t="shared" si="33"/>
        <v>1361.0566423396631</v>
      </c>
      <c r="L316" s="20">
        <f t="shared" si="34"/>
        <v>0.1521373334501771</v>
      </c>
      <c r="M316" s="20">
        <f t="shared" si="35"/>
        <v>0.17786266654981941</v>
      </c>
      <c r="AB316" s="20">
        <f t="shared" si="36"/>
        <v>0.14934157472570281</v>
      </c>
    </row>
    <row r="317" spans="1:28">
      <c r="A317" s="18" t="str">
        <f>Analysis!A317</f>
        <v>6/1984</v>
      </c>
      <c r="B317" s="19">
        <f>Analysis!B317</f>
        <v>1984.4583333333333</v>
      </c>
      <c r="C317" s="19">
        <f>Analysis!E317</f>
        <v>2.0000000000003126E-2</v>
      </c>
      <c r="D317" s="20">
        <f>Analysis!F317</f>
        <v>0.31017390193106481</v>
      </c>
      <c r="E317" s="19">
        <f>IF(ENSO!F317="","",ENSO!F317)</f>
        <v>-0.52</v>
      </c>
      <c r="F317" s="25">
        <f>IF(Volcanic!G317="","",Volcanic!G317)</f>
        <v>2.8459999999999999E-2</v>
      </c>
      <c r="G317" s="19">
        <f>IF(Solar!D317="","",Solar!D317)</f>
        <v>1361.11</v>
      </c>
      <c r="H317" s="20">
        <f t="shared" si="30"/>
        <v>0.31017390193106481</v>
      </c>
      <c r="I317" s="20">
        <f t="shared" si="31"/>
        <v>-0.29533483981888237</v>
      </c>
      <c r="J317" s="25">
        <f t="shared" si="32"/>
        <v>3.4266093968951888E-2</v>
      </c>
      <c r="K317" s="19">
        <f t="shared" si="33"/>
        <v>1361.0609085826293</v>
      </c>
      <c r="L317" s="20">
        <f t="shared" si="34"/>
        <v>0.14124999657523746</v>
      </c>
      <c r="M317" s="20">
        <f t="shared" si="35"/>
        <v>-0.12124999657523433</v>
      </c>
      <c r="AB317" s="20">
        <f t="shared" si="36"/>
        <v>0.13914715590216065</v>
      </c>
    </row>
    <row r="318" spans="1:28">
      <c r="A318" s="18" t="str">
        <f>Analysis!A318</f>
        <v>7/1984</v>
      </c>
      <c r="B318" s="19">
        <f>Analysis!B318</f>
        <v>1984.5416666666667</v>
      </c>
      <c r="C318" s="19">
        <f>Analysis!E318</f>
        <v>0.19000000000000128</v>
      </c>
      <c r="D318" s="20">
        <f>Analysis!F318</f>
        <v>0.30446932070233174</v>
      </c>
      <c r="E318" s="19">
        <f>IF(ENSO!F318="","",ENSO!F318)</f>
        <v>-0.39</v>
      </c>
      <c r="F318" s="25">
        <f>IF(Volcanic!G318="","",Volcanic!G318)</f>
        <v>2.6579999999999999E-2</v>
      </c>
      <c r="G318" s="19">
        <f>IF(Solar!D318="","",Solar!D318)</f>
        <v>1361.15</v>
      </c>
      <c r="H318" s="20">
        <f t="shared" si="30"/>
        <v>0.30446932070233174</v>
      </c>
      <c r="I318" s="20">
        <f t="shared" si="31"/>
        <v>-0.30986767192284126</v>
      </c>
      <c r="J318" s="25">
        <f t="shared" si="32"/>
        <v>3.3651547826450315E-2</v>
      </c>
      <c r="K318" s="19">
        <f t="shared" si="33"/>
        <v>1361.0680319390567</v>
      </c>
      <c r="L318" s="20">
        <f t="shared" si="34"/>
        <v>0.12585770224215856</v>
      </c>
      <c r="M318" s="20">
        <f t="shared" si="35"/>
        <v>6.414229775784272E-2</v>
      </c>
      <c r="AB318" s="20">
        <f t="shared" si="36"/>
        <v>0.1243189310880462</v>
      </c>
    </row>
    <row r="319" spans="1:28">
      <c r="A319" s="18" t="str">
        <f>Analysis!A319</f>
        <v>8/1984</v>
      </c>
      <c r="B319" s="19">
        <f>Analysis!B319</f>
        <v>1984.625</v>
      </c>
      <c r="C319" s="19">
        <f>Analysis!E319</f>
        <v>0.19000000000000128</v>
      </c>
      <c r="D319" s="20">
        <f>Analysis!F319</f>
        <v>0.29589091643366305</v>
      </c>
      <c r="E319" s="19">
        <f>IF(ENSO!F319="","",ENSO!F319)</f>
        <v>-0.22</v>
      </c>
      <c r="F319" s="25">
        <f>IF(Volcanic!G319="","",Volcanic!G319)</f>
        <v>2.4930000000000001E-2</v>
      </c>
      <c r="G319" s="19">
        <f>IF(Solar!D319="","",Solar!D319)</f>
        <v>1361.01</v>
      </c>
      <c r="H319" s="20">
        <f t="shared" si="30"/>
        <v>0.29589091643366305</v>
      </c>
      <c r="I319" s="20">
        <f t="shared" si="31"/>
        <v>-0.29607134194115048</v>
      </c>
      <c r="J319" s="25">
        <f t="shared" si="32"/>
        <v>3.2954211364648128E-2</v>
      </c>
      <c r="K319" s="19">
        <f t="shared" si="33"/>
        <v>1361.0633919613992</v>
      </c>
      <c r="L319" s="20">
        <f t="shared" si="34"/>
        <v>0.1069727855866759</v>
      </c>
      <c r="M319" s="20">
        <f t="shared" si="35"/>
        <v>8.3027214413325376E-2</v>
      </c>
      <c r="AB319" s="20">
        <f t="shared" si="36"/>
        <v>0.10582892736966051</v>
      </c>
    </row>
    <row r="320" spans="1:28">
      <c r="A320" s="18" t="str">
        <f>Analysis!A320</f>
        <v>9/1984</v>
      </c>
      <c r="B320" s="19">
        <f>Analysis!B320</f>
        <v>1984.7083333333333</v>
      </c>
      <c r="C320" s="19">
        <f>Analysis!E320</f>
        <v>0.21000000000000085</v>
      </c>
      <c r="D320" s="20">
        <f>Analysis!F320</f>
        <v>0.28683891370859382</v>
      </c>
      <c r="E320" s="19">
        <f>IF(ENSO!F320="","",ENSO!F320)</f>
        <v>-0.32</v>
      </c>
      <c r="F320" s="25">
        <f>IF(Volcanic!G320="","",Volcanic!G320)</f>
        <v>2.4070000000000001E-2</v>
      </c>
      <c r="G320" s="19">
        <f>IF(Solar!D320="","",Solar!D320)</f>
        <v>1360.9</v>
      </c>
      <c r="H320" s="20">
        <f t="shared" si="30"/>
        <v>0.28683891370859382</v>
      </c>
      <c r="I320" s="20">
        <f t="shared" si="31"/>
        <v>-0.29974482825202736</v>
      </c>
      <c r="J320" s="25">
        <f t="shared" si="32"/>
        <v>3.224386904443087E-2</v>
      </c>
      <c r="K320" s="19">
        <f t="shared" si="33"/>
        <v>1361.0503278614808</v>
      </c>
      <c r="L320" s="20">
        <f t="shared" si="34"/>
        <v>8.4385939576163568E-2</v>
      </c>
      <c r="M320" s="20">
        <f t="shared" si="35"/>
        <v>0.12561406042383727</v>
      </c>
      <c r="AB320" s="20">
        <f t="shared" si="36"/>
        <v>8.3823629367966057E-2</v>
      </c>
    </row>
    <row r="321" spans="1:28">
      <c r="A321" s="18" t="str">
        <f>Analysis!A321</f>
        <v>10/1984</v>
      </c>
      <c r="B321" s="19">
        <f>Analysis!B321</f>
        <v>1984.7916666666667</v>
      </c>
      <c r="C321" s="19">
        <f>Analysis!E321</f>
        <v>0.12999999999999901</v>
      </c>
      <c r="D321" s="20">
        <f>Analysis!F321</f>
        <v>0.28797880011229388</v>
      </c>
      <c r="E321" s="19">
        <f>IF(ENSO!F321="","",ENSO!F321)</f>
        <v>-0.62</v>
      </c>
      <c r="F321" s="25">
        <f>IF(Volcanic!G321="","",Volcanic!G321)</f>
        <v>2.2290000000000001E-2</v>
      </c>
      <c r="G321" s="19">
        <f>IF(Solar!D321="","",Solar!D321)</f>
        <v>1360.76</v>
      </c>
      <c r="H321" s="20">
        <f t="shared" si="30"/>
        <v>0.28797880011229388</v>
      </c>
      <c r="I321" s="20">
        <f t="shared" si="31"/>
        <v>-0.34890984981363626</v>
      </c>
      <c r="J321" s="25">
        <f t="shared" si="32"/>
        <v>3.144800161828034E-2</v>
      </c>
      <c r="K321" s="19">
        <f t="shared" si="33"/>
        <v>1361.0271145273666</v>
      </c>
      <c r="L321" s="20">
        <f t="shared" si="34"/>
        <v>8.3230058462054612E-2</v>
      </c>
      <c r="M321" s="20">
        <f t="shared" si="35"/>
        <v>4.6769941537944393E-2</v>
      </c>
      <c r="AB321" s="20">
        <f t="shared" si="36"/>
        <v>8.3495283472274209E-2</v>
      </c>
    </row>
    <row r="322" spans="1:28">
      <c r="A322" s="18" t="str">
        <f>Analysis!A322</f>
        <v>11/1984</v>
      </c>
      <c r="B322" s="19">
        <f>Analysis!B322</f>
        <v>1984.875</v>
      </c>
      <c r="C322" s="19">
        <f>Analysis!E322</f>
        <v>5.9999999999998721E-2</v>
      </c>
      <c r="D322" s="20">
        <f>Analysis!F322</f>
        <v>0.29408505383681638</v>
      </c>
      <c r="E322" s="19">
        <f>IF(ENSO!F322="","",ENSO!F322)</f>
        <v>-0.95</v>
      </c>
      <c r="F322" s="25">
        <f>IF(Volcanic!G322="","",Volcanic!G322)</f>
        <v>2.12E-2</v>
      </c>
      <c r="G322" s="19">
        <f>IF(Solar!D322="","",Solar!D322)</f>
        <v>1360.62</v>
      </c>
      <c r="H322" s="20">
        <f t="shared" ref="H322:H385" si="37">IF(D322="","",IF(OR(ROW()=2,H321=""),D322,$Q$3*H321+(1-$Q$3)*D322))</f>
        <v>0.29408505383681638</v>
      </c>
      <c r="I322" s="20">
        <f t="shared" ref="I322:I385" si="38">IF(E322="","",IF(OR(ROW()=2,I321=""),E322,$Q$4*I321+(1-$Q$4)*E322))</f>
        <v>-0.4411881728554885</v>
      </c>
      <c r="J322" s="25">
        <f t="shared" ref="J322:J385" si="39">IF(F322="","",IF(OR(ROW()=2,J321=""),F322,$Q$5*J321+(1-$Q$5)*F322))</f>
        <v>3.0628616650011091E-2</v>
      </c>
      <c r="K322" s="19">
        <f t="shared" ref="K322:K385" si="40">IF(G322="","",IF(OR(ROW()=2,K321=""),G322,$Q$6*K321+(1-$Q$6)*G322))</f>
        <v>1360.9945634470182</v>
      </c>
      <c r="L322" s="20">
        <f t="shared" ref="L322:L385" si="41">IF(OR(I322="",J322=""),"",$P$13+$P$14*H322+$P$15*I322+$P$16*J322)</f>
        <v>8.9499687758440694E-2</v>
      </c>
      <c r="M322" s="20">
        <f t="shared" ref="M322:M385" si="42">IF(L322="","",C322-L322)</f>
        <v>-2.9499687758441973E-2</v>
      </c>
      <c r="AB322" s="20">
        <f t="shared" ref="AB322:AB385" si="43">IF(OR(I322="",J322=""),"",$P$52+$P$53*H322+$P$54*I322+$P$55*J322)</f>
        <v>9.0906958754529518E-2</v>
      </c>
    </row>
    <row r="323" spans="1:28">
      <c r="A323" s="18" t="str">
        <f>Analysis!A323</f>
        <v>12/1984</v>
      </c>
      <c r="B323" s="19">
        <f>Analysis!B323</f>
        <v>1984.9583333333333</v>
      </c>
      <c r="C323" s="19">
        <f>Analysis!E323</f>
        <v>-3.9999999999999147E-2</v>
      </c>
      <c r="D323" s="20">
        <f>Analysis!F323</f>
        <v>0.30116953472056501</v>
      </c>
      <c r="E323" s="19">
        <f>IF(ENSO!F323="","",ENSO!F323)</f>
        <v>-1.06</v>
      </c>
      <c r="F323" s="25">
        <f>IF(Volcanic!G323="","",Volcanic!G323)</f>
        <v>1.9550000000000001E-2</v>
      </c>
      <c r="G323" s="19">
        <f>IF(Solar!D323="","",Solar!D323)</f>
        <v>1360.73</v>
      </c>
      <c r="H323" s="20">
        <f t="shared" si="37"/>
        <v>0.30116953472056501</v>
      </c>
      <c r="I323" s="20">
        <f t="shared" si="38"/>
        <v>-0.53618709717600144</v>
      </c>
      <c r="J323" s="25">
        <f t="shared" si="39"/>
        <v>2.974281937066213E-2</v>
      </c>
      <c r="K323" s="19">
        <f t="shared" si="40"/>
        <v>1360.9734101217441</v>
      </c>
      <c r="L323" s="20">
        <f t="shared" si="41"/>
        <v>9.8255975262668882E-2</v>
      </c>
      <c r="M323" s="20">
        <f t="shared" si="42"/>
        <v>-0.13825597526266803</v>
      </c>
      <c r="AB323" s="20">
        <f t="shared" si="43"/>
        <v>0.10084049435132507</v>
      </c>
    </row>
    <row r="324" spans="1:28">
      <c r="A324" s="18" t="str">
        <f>Analysis!A324</f>
        <v>1/1985</v>
      </c>
      <c r="B324" s="19">
        <f>Analysis!B324</f>
        <v>1985.0416666666667</v>
      </c>
      <c r="C324" s="19">
        <f>Analysis!E324</f>
        <v>0.22000000000000242</v>
      </c>
      <c r="D324" s="20">
        <f>Analysis!F324</f>
        <v>0.30317536756489971</v>
      </c>
      <c r="E324" s="19">
        <f>IF(ENSO!F324="","",ENSO!F324)</f>
        <v>-1.01</v>
      </c>
      <c r="F324" s="25">
        <f>IF(Volcanic!G324="","",Volcanic!G324)</f>
        <v>1.8599999999999998E-2</v>
      </c>
      <c r="G324" s="19">
        <f>IF(Solar!D324="","",Solar!D324)</f>
        <v>1360.62</v>
      </c>
      <c r="H324" s="20">
        <f t="shared" si="37"/>
        <v>0.30317536756489971</v>
      </c>
      <c r="I324" s="20">
        <f t="shared" si="38"/>
        <v>-0.60892603674211276</v>
      </c>
      <c r="J324" s="25">
        <f t="shared" si="39"/>
        <v>2.8851888725201124E-2</v>
      </c>
      <c r="K324" s="19">
        <f t="shared" si="40"/>
        <v>1360.9451530085842</v>
      </c>
      <c r="L324" s="20">
        <f t="shared" si="41"/>
        <v>9.6437480067669126E-2</v>
      </c>
      <c r="M324" s="20">
        <f t="shared" si="42"/>
        <v>0.12356251993233329</v>
      </c>
      <c r="AB324" s="20">
        <f t="shared" si="43"/>
        <v>0.10010324680646007</v>
      </c>
    </row>
    <row r="325" spans="1:28">
      <c r="A325" s="18" t="str">
        <f>Analysis!A325</f>
        <v>2/1985</v>
      </c>
      <c r="B325" s="19">
        <f>Analysis!B325</f>
        <v>1985.125</v>
      </c>
      <c r="C325" s="19">
        <f>Analysis!E325</f>
        <v>-3.9999999999999147E-2</v>
      </c>
      <c r="D325" s="20">
        <f>Analysis!F325</f>
        <v>0.30705375053345996</v>
      </c>
      <c r="E325" s="19">
        <f>IF(ENSO!F325="","",ENSO!F325)</f>
        <v>-0.86</v>
      </c>
      <c r="F325" s="25">
        <f>IF(Volcanic!G325="","",Volcanic!G325)</f>
        <v>1.737E-2</v>
      </c>
      <c r="G325" s="19">
        <f>IF(Solar!D325="","",Solar!D325)</f>
        <v>1360.68</v>
      </c>
      <c r="H325" s="20">
        <f t="shared" si="37"/>
        <v>0.30705375053345996</v>
      </c>
      <c r="I325" s="20">
        <f t="shared" si="38"/>
        <v>-0.64747047850634087</v>
      </c>
      <c r="J325" s="25">
        <f t="shared" si="39"/>
        <v>2.7933847591016695E-2</v>
      </c>
      <c r="K325" s="19">
        <f t="shared" si="40"/>
        <v>1360.9239525445701</v>
      </c>
      <c r="L325" s="20">
        <f t="shared" si="41"/>
        <v>0.10460021612918347</v>
      </c>
      <c r="M325" s="20">
        <f t="shared" si="42"/>
        <v>-0.14460021612918261</v>
      </c>
      <c r="AB325" s="20">
        <f t="shared" si="43"/>
        <v>0.10898492485068849</v>
      </c>
    </row>
    <row r="326" spans="1:28">
      <c r="A326" s="18" t="str">
        <f>Analysis!A326</f>
        <v>3/1985</v>
      </c>
      <c r="B326" s="19">
        <f>Analysis!B326</f>
        <v>1985.2083333333333</v>
      </c>
      <c r="C326" s="19">
        <f>Analysis!E326</f>
        <v>0.16999999999999993</v>
      </c>
      <c r="D326" s="20">
        <f>Analysis!F326</f>
        <v>0.31328731986192054</v>
      </c>
      <c r="E326" s="19">
        <f>IF(ENSO!F326="","",ENSO!F326)</f>
        <v>-0.85</v>
      </c>
      <c r="F326" s="25">
        <f>IF(Volcanic!G326="","",Volcanic!G326)</f>
        <v>1.609E-2</v>
      </c>
      <c r="G326" s="19">
        <f>IF(Solar!D326="","",Solar!D326)</f>
        <v>1360.64</v>
      </c>
      <c r="H326" s="20">
        <f t="shared" si="37"/>
        <v>0.31328731986192054</v>
      </c>
      <c r="I326" s="20">
        <f t="shared" si="38"/>
        <v>-0.67856246130477671</v>
      </c>
      <c r="J326" s="25">
        <f t="shared" si="39"/>
        <v>2.6986865823835877E-2</v>
      </c>
      <c r="K326" s="19">
        <f t="shared" si="40"/>
        <v>1360.9012489526513</v>
      </c>
      <c r="L326" s="20">
        <f t="shared" si="41"/>
        <v>0.12028166169805035</v>
      </c>
      <c r="M326" s="20">
        <f t="shared" si="42"/>
        <v>4.9718338301949577E-2</v>
      </c>
      <c r="AB326" s="20">
        <f t="shared" si="43"/>
        <v>0.12527218499054291</v>
      </c>
    </row>
    <row r="327" spans="1:28">
      <c r="A327" s="18" t="str">
        <f>Analysis!A327</f>
        <v>4/1985</v>
      </c>
      <c r="B327" s="19">
        <f>Analysis!B327</f>
        <v>1985.2916666666667</v>
      </c>
      <c r="C327" s="19">
        <f>Analysis!E327</f>
        <v>0.11999999999999744</v>
      </c>
      <c r="D327" s="20">
        <f>Analysis!F327</f>
        <v>0.31639403332587512</v>
      </c>
      <c r="E327" s="19">
        <f>IF(ENSO!F327="","",ENSO!F327)</f>
        <v>-0.8</v>
      </c>
      <c r="F327" s="25">
        <f>IF(Volcanic!G327="","",Volcanic!G327)</f>
        <v>1.4970000000000001E-2</v>
      </c>
      <c r="G327" s="19">
        <f>IF(Solar!D327="","",Solar!D327)</f>
        <v>1360.51</v>
      </c>
      <c r="H327" s="20">
        <f t="shared" si="37"/>
        <v>0.31639403332587512</v>
      </c>
      <c r="I327" s="20">
        <f t="shared" si="38"/>
        <v>-0.69720534277879675</v>
      </c>
      <c r="J327" s="25">
        <f t="shared" si="39"/>
        <v>2.6026050282570198E-2</v>
      </c>
      <c r="K327" s="19">
        <f t="shared" si="40"/>
        <v>1360.8699664136163</v>
      </c>
      <c r="L327" s="20">
        <f t="shared" si="41"/>
        <v>0.12931130377986166</v>
      </c>
      <c r="M327" s="20">
        <f t="shared" si="42"/>
        <v>-9.3113037798642218E-3</v>
      </c>
      <c r="AB327" s="20">
        <f t="shared" si="43"/>
        <v>0.13486577745206718</v>
      </c>
    </row>
    <row r="328" spans="1:28">
      <c r="A328" s="18" t="str">
        <f>Analysis!A328</f>
        <v>5/1985</v>
      </c>
      <c r="B328" s="19">
        <f>Analysis!B328</f>
        <v>1985.375</v>
      </c>
      <c r="C328" s="19">
        <f>Analysis!E328</f>
        <v>0.14999999999999858</v>
      </c>
      <c r="D328" s="20">
        <f>Analysis!F328</f>
        <v>0.3189572082710998</v>
      </c>
      <c r="E328" s="19">
        <f>IF(ENSO!F328="","",ENSO!F328)</f>
        <v>-0.79</v>
      </c>
      <c r="F328" s="25">
        <f>IF(Volcanic!G328="","",Volcanic!G328)</f>
        <v>1.376E-2</v>
      </c>
      <c r="G328" s="19">
        <f>IF(Solar!D328="","",Solar!D328)</f>
        <v>1360.61</v>
      </c>
      <c r="H328" s="20">
        <f t="shared" si="37"/>
        <v>0.3189572082710998</v>
      </c>
      <c r="I328" s="20">
        <f t="shared" si="38"/>
        <v>-0.71145101849476267</v>
      </c>
      <c r="J328" s="25">
        <f t="shared" si="39"/>
        <v>2.5045311052041143E-2</v>
      </c>
      <c r="K328" s="19">
        <f t="shared" si="40"/>
        <v>1360.8491806468389</v>
      </c>
      <c r="L328" s="20">
        <f t="shared" si="41"/>
        <v>0.13755924981733447</v>
      </c>
      <c r="M328" s="20">
        <f t="shared" si="42"/>
        <v>1.2440750182664106E-2</v>
      </c>
      <c r="AB328" s="20">
        <f t="shared" si="43"/>
        <v>0.14365702318933549</v>
      </c>
    </row>
    <row r="329" spans="1:28">
      <c r="A329" s="18" t="str">
        <f>Analysis!A329</f>
        <v>6/1985</v>
      </c>
      <c r="B329" s="19">
        <f>Analysis!B329</f>
        <v>1985.4583333333333</v>
      </c>
      <c r="C329" s="19">
        <f>Analysis!E329</f>
        <v>0.14999999999999858</v>
      </c>
      <c r="D329" s="20">
        <f>Analysis!F329</f>
        <v>0.31635265445446925</v>
      </c>
      <c r="E329" s="19">
        <f>IF(ENSO!F329="","",ENSO!F329)</f>
        <v>-0.6</v>
      </c>
      <c r="F329" s="25">
        <f>IF(Volcanic!G329="","",Volcanic!G329)</f>
        <v>1.3259999999999999E-2</v>
      </c>
      <c r="G329" s="19">
        <f>IF(Solar!D329="","",Solar!D329)</f>
        <v>1360.68</v>
      </c>
      <c r="H329" s="20">
        <f t="shared" si="37"/>
        <v>0.31635265445446925</v>
      </c>
      <c r="I329" s="20">
        <f t="shared" si="38"/>
        <v>-0.69434125037626249</v>
      </c>
      <c r="J329" s="25">
        <f t="shared" si="39"/>
        <v>2.4103009608099687E-2</v>
      </c>
      <c r="K329" s="19">
        <f t="shared" si="40"/>
        <v>1360.8356537091877</v>
      </c>
      <c r="L329" s="20">
        <f t="shared" si="41"/>
        <v>0.13612727360758628</v>
      </c>
      <c r="M329" s="20">
        <f t="shared" si="42"/>
        <v>1.3872726392412299E-2</v>
      </c>
      <c r="AB329" s="20">
        <f t="shared" si="43"/>
        <v>0.14256552106628151</v>
      </c>
    </row>
    <row r="330" spans="1:28">
      <c r="A330" s="18" t="str">
        <f>Analysis!A330</f>
        <v>7/1985</v>
      </c>
      <c r="B330" s="19">
        <f>Analysis!B330</f>
        <v>1985.5416666666667</v>
      </c>
      <c r="C330" s="19">
        <f>Analysis!E330</f>
        <v>3.9999999999999147E-2</v>
      </c>
      <c r="D330" s="20">
        <f>Analysis!F330</f>
        <v>0.30909301345405343</v>
      </c>
      <c r="E330" s="19">
        <f>IF(ENSO!F330="","",ENSO!F330)</f>
        <v>-0.44</v>
      </c>
      <c r="F330" s="25">
        <f>IF(Volcanic!G330="","",Volcanic!G330)</f>
        <v>1.264E-2</v>
      </c>
      <c r="G330" s="19">
        <f>IF(Solar!D330="","",Solar!D330)</f>
        <v>1360.63</v>
      </c>
      <c r="H330" s="20">
        <f t="shared" si="37"/>
        <v>0.30909301345405343</v>
      </c>
      <c r="I330" s="20">
        <f t="shared" si="38"/>
        <v>-0.65529522032933429</v>
      </c>
      <c r="J330" s="25">
        <f t="shared" si="39"/>
        <v>2.3186477964774382E-2</v>
      </c>
      <c r="K330" s="19">
        <f t="shared" si="40"/>
        <v>1360.8192105464859</v>
      </c>
      <c r="L330" s="20">
        <f t="shared" si="41"/>
        <v>0.12511537761509409</v>
      </c>
      <c r="M330" s="20">
        <f t="shared" si="42"/>
        <v>-8.5115377615094939E-2</v>
      </c>
      <c r="AB330" s="20">
        <f t="shared" si="43"/>
        <v>0.13177680173261019</v>
      </c>
    </row>
    <row r="331" spans="1:28">
      <c r="A331" s="18" t="str">
        <f>Analysis!A331</f>
        <v>8/1985</v>
      </c>
      <c r="B331" s="19">
        <f>Analysis!B331</f>
        <v>1985.625</v>
      </c>
      <c r="C331" s="19">
        <f>Analysis!E331</f>
        <v>0.16999999999999993</v>
      </c>
      <c r="D331" s="20">
        <f>Analysis!F331</f>
        <v>0.30225637367507746</v>
      </c>
      <c r="E331" s="19">
        <f>IF(ENSO!F331="","",ENSO!F331)</f>
        <v>-0.33</v>
      </c>
      <c r="F331" s="25">
        <f>IF(Volcanic!G331="","",Volcanic!G331)</f>
        <v>1.2370000000000001E-2</v>
      </c>
      <c r="G331" s="19">
        <f>IF(Solar!D331="","",Solar!D331)</f>
        <v>1360.77</v>
      </c>
      <c r="H331" s="20">
        <f t="shared" si="37"/>
        <v>0.30225637367507746</v>
      </c>
      <c r="I331" s="20">
        <f t="shared" si="38"/>
        <v>-0.60535645920304726</v>
      </c>
      <c r="J331" s="25">
        <f t="shared" si="39"/>
        <v>2.2321640137451821E-2</v>
      </c>
      <c r="K331" s="19">
        <f t="shared" si="40"/>
        <v>1360.8152758884353</v>
      </c>
      <c r="L331" s="20">
        <f t="shared" si="41"/>
        <v>0.11660917836591626</v>
      </c>
      <c r="M331" s="20">
        <f t="shared" si="42"/>
        <v>5.3390821634083666E-2</v>
      </c>
      <c r="AB331" s="20">
        <f t="shared" si="43"/>
        <v>0.1233538145177267</v>
      </c>
    </row>
    <row r="332" spans="1:28">
      <c r="A332" s="18" t="str">
        <f>Analysis!A332</f>
        <v>9/1985</v>
      </c>
      <c r="B332" s="19">
        <f>Analysis!B332</f>
        <v>1985.7083333333333</v>
      </c>
      <c r="C332" s="19">
        <f>Analysis!E332</f>
        <v>0.12999999999999901</v>
      </c>
      <c r="D332" s="20">
        <f>Analysis!F332</f>
        <v>0.29475726680375902</v>
      </c>
      <c r="E332" s="19">
        <f>IF(ENSO!F332="","",ENSO!F332)</f>
        <v>-0.31</v>
      </c>
      <c r="F332" s="25">
        <f>IF(Volcanic!G332="","",Volcanic!G332)</f>
        <v>1.179E-2</v>
      </c>
      <c r="G332" s="19">
        <f>IF(Solar!D332="","",Solar!D332)</f>
        <v>1360.65</v>
      </c>
      <c r="H332" s="20">
        <f t="shared" si="37"/>
        <v>0.29475726680375902</v>
      </c>
      <c r="I332" s="20">
        <f t="shared" si="38"/>
        <v>-0.56001384504377982</v>
      </c>
      <c r="J332" s="25">
        <f t="shared" si="39"/>
        <v>2.1479576685348546E-2</v>
      </c>
      <c r="K332" s="19">
        <f t="shared" si="40"/>
        <v>1360.8020611580278</v>
      </c>
      <c r="L332" s="20">
        <f t="shared" si="41"/>
        <v>0.10558568080220593</v>
      </c>
      <c r="M332" s="20">
        <f t="shared" si="42"/>
        <v>2.4414319197793077E-2</v>
      </c>
      <c r="AB332" s="20">
        <f t="shared" si="43"/>
        <v>0.11246267720275689</v>
      </c>
    </row>
    <row r="333" spans="1:28">
      <c r="A333" s="18" t="str">
        <f>Analysis!A333</f>
        <v>10/1985</v>
      </c>
      <c r="B333" s="19">
        <f>Analysis!B333</f>
        <v>1985.7916666666667</v>
      </c>
      <c r="C333" s="19">
        <f>Analysis!E333</f>
        <v>0.11999999999999744</v>
      </c>
      <c r="D333" s="20">
        <f>Analysis!F333</f>
        <v>0.29425313644451412</v>
      </c>
      <c r="E333" s="19">
        <f>IF(ENSO!F333="","",ENSO!F333)</f>
        <v>-0.3</v>
      </c>
      <c r="F333" s="25">
        <f>IF(Volcanic!G333="","",Volcanic!G333)</f>
        <v>1.15E-2</v>
      </c>
      <c r="G333" s="19">
        <f>IF(Solar!D333="","",Solar!D333)</f>
        <v>1360.54</v>
      </c>
      <c r="H333" s="20">
        <f t="shared" si="37"/>
        <v>0.29425313644451412</v>
      </c>
      <c r="I333" s="20">
        <f t="shared" si="38"/>
        <v>-0.52009696804809957</v>
      </c>
      <c r="J333" s="25">
        <f t="shared" si="39"/>
        <v>2.0681653789719943E-2</v>
      </c>
      <c r="K333" s="19">
        <f t="shared" si="40"/>
        <v>1360.7811079047347</v>
      </c>
      <c r="L333" s="20">
        <f t="shared" si="41"/>
        <v>0.11256238980422104</v>
      </c>
      <c r="M333" s="20">
        <f t="shared" si="42"/>
        <v>7.4376101957764063E-3</v>
      </c>
      <c r="AB333" s="20">
        <f t="shared" si="43"/>
        <v>0.1194415698071698</v>
      </c>
    </row>
    <row r="334" spans="1:28">
      <c r="A334" s="18" t="str">
        <f>Analysis!A334</f>
        <v>11/1985</v>
      </c>
      <c r="B334" s="19">
        <f>Analysis!B334</f>
        <v>1985.875</v>
      </c>
      <c r="C334" s="19">
        <f>Analysis!E334</f>
        <v>5.0000000000004263E-2</v>
      </c>
      <c r="D334" s="20">
        <f>Analysis!F334</f>
        <v>0.30004002699743576</v>
      </c>
      <c r="E334" s="19">
        <f>IF(ENSO!F334="","",ENSO!F334)</f>
        <v>-0.28000000000000003</v>
      </c>
      <c r="F334" s="25">
        <f>IF(Volcanic!G334="","",Volcanic!G334)</f>
        <v>1.103E-2</v>
      </c>
      <c r="G334" s="19">
        <f>IF(Solar!D334="","",Solar!D334)</f>
        <v>1360.61</v>
      </c>
      <c r="H334" s="20">
        <f t="shared" si="37"/>
        <v>0.30004002699743576</v>
      </c>
      <c r="I334" s="20">
        <f t="shared" si="38"/>
        <v>-0.48323769565436203</v>
      </c>
      <c r="J334" s="25">
        <f t="shared" si="39"/>
        <v>1.9909950161167776E-2</v>
      </c>
      <c r="K334" s="19">
        <f t="shared" si="40"/>
        <v>1360.76742687205</v>
      </c>
      <c r="L334" s="20">
        <f t="shared" si="41"/>
        <v>0.13603067594385482</v>
      </c>
      <c r="M334" s="20">
        <f t="shared" si="42"/>
        <v>-8.6030675943850554E-2</v>
      </c>
      <c r="AB334" s="20">
        <f t="shared" si="43"/>
        <v>0.14278366596973216</v>
      </c>
    </row>
    <row r="335" spans="1:28">
      <c r="A335" s="18" t="str">
        <f>Analysis!A335</f>
        <v>12/1985</v>
      </c>
      <c r="B335" s="19">
        <f>Analysis!B335</f>
        <v>1985.9583333333333</v>
      </c>
      <c r="C335" s="19">
        <f>Analysis!E335</f>
        <v>0.13999999999999879</v>
      </c>
      <c r="D335" s="20">
        <f>Analysis!F335</f>
        <v>0.30584548060634364</v>
      </c>
      <c r="E335" s="19">
        <f>IF(ENSO!F335="","",ENSO!F335)</f>
        <v>-0.36</v>
      </c>
      <c r="F335" s="25">
        <f>IF(Volcanic!G335="","",Volcanic!G335)</f>
        <v>1.2829999999999999E-2</v>
      </c>
      <c r="G335" s="19">
        <f>IF(Solar!D335="","",Solar!D335)</f>
        <v>1360.65</v>
      </c>
      <c r="H335" s="20">
        <f t="shared" si="37"/>
        <v>0.30584548060634364</v>
      </c>
      <c r="I335" s="20">
        <f t="shared" si="38"/>
        <v>-0.46431845718904891</v>
      </c>
      <c r="J335" s="25">
        <f t="shared" si="39"/>
        <v>1.934386860163639E-2</v>
      </c>
      <c r="K335" s="19">
        <f t="shared" si="40"/>
        <v>1360.7580379377569</v>
      </c>
      <c r="L335" s="20">
        <f t="shared" si="41"/>
        <v>0.1563198968085901</v>
      </c>
      <c r="M335" s="20">
        <f t="shared" si="42"/>
        <v>-1.6319896808591305E-2</v>
      </c>
      <c r="AB335" s="20">
        <f t="shared" si="43"/>
        <v>0.16302297615207323</v>
      </c>
    </row>
    <row r="336" spans="1:28">
      <c r="A336" s="18" t="str">
        <f>Analysis!A336</f>
        <v>1/1986</v>
      </c>
      <c r="B336" s="19">
        <f>Analysis!B336</f>
        <v>1986.0416666666667</v>
      </c>
      <c r="C336" s="19">
        <f>Analysis!E336</f>
        <v>0.25999999999999979</v>
      </c>
      <c r="D336" s="20">
        <f>Analysis!F336</f>
        <v>0.30859386858427595</v>
      </c>
      <c r="E336" s="19">
        <f>IF(ENSO!F336="","",ENSO!F336)</f>
        <v>-0.4</v>
      </c>
      <c r="F336" s="25">
        <f>IF(Volcanic!G336="","",Volcanic!G336)</f>
        <v>1.519E-2</v>
      </c>
      <c r="G336" s="19">
        <f>IF(Solar!D336="","",Solar!D336)</f>
        <v>1360.67</v>
      </c>
      <c r="H336" s="20">
        <f t="shared" si="37"/>
        <v>0.30859386858427595</v>
      </c>
      <c r="I336" s="20">
        <f t="shared" si="38"/>
        <v>-0.45444439858368924</v>
      </c>
      <c r="J336" s="25">
        <f t="shared" si="39"/>
        <v>1.9011743606039681E-2</v>
      </c>
      <c r="K336" s="19">
        <f t="shared" si="40"/>
        <v>1360.7509988129086</v>
      </c>
      <c r="L336" s="20">
        <f t="shared" si="41"/>
        <v>0.16627214653547889</v>
      </c>
      <c r="M336" s="20">
        <f t="shared" si="42"/>
        <v>9.3727853464520894E-2</v>
      </c>
      <c r="AB336" s="20">
        <f t="shared" si="43"/>
        <v>0.17297306440821431</v>
      </c>
    </row>
    <row r="337" spans="1:28">
      <c r="A337" s="18" t="str">
        <f>Analysis!A337</f>
        <v>2/1986</v>
      </c>
      <c r="B337" s="19">
        <f>Analysis!B337</f>
        <v>1986.125</v>
      </c>
      <c r="C337" s="19">
        <f>Analysis!E337</f>
        <v>0.36999999999999744</v>
      </c>
      <c r="D337" s="20">
        <f>Analysis!F337</f>
        <v>0.31150311546826975</v>
      </c>
      <c r="E337" s="19">
        <f>IF(ENSO!F337="","",ENSO!F337)</f>
        <v>-0.38</v>
      </c>
      <c r="F337" s="25">
        <f>IF(Volcanic!G337="","",Volcanic!G337)</f>
        <v>1.5959999999999998E-2</v>
      </c>
      <c r="G337" s="19">
        <f>IF(Solar!D337="","",Solar!D337)</f>
        <v>1360.54</v>
      </c>
      <c r="H337" s="20">
        <f t="shared" si="37"/>
        <v>0.31150311546826975</v>
      </c>
      <c r="I337" s="20">
        <f t="shared" si="38"/>
        <v>-0.44301582292156566</v>
      </c>
      <c r="J337" s="25">
        <f t="shared" si="39"/>
        <v>1.8767739659617557E-2</v>
      </c>
      <c r="K337" s="19">
        <f t="shared" si="40"/>
        <v>1360.73412827931</v>
      </c>
      <c r="L337" s="20">
        <f t="shared" si="41"/>
        <v>0.17657982173426051</v>
      </c>
      <c r="M337" s="20">
        <f t="shared" si="42"/>
        <v>0.19342017826573693</v>
      </c>
      <c r="AB337" s="20">
        <f t="shared" si="43"/>
        <v>0.18321804322417617</v>
      </c>
    </row>
    <row r="338" spans="1:28">
      <c r="A338" s="18" t="str">
        <f>Analysis!A338</f>
        <v>3/1986</v>
      </c>
      <c r="B338" s="19">
        <f>Analysis!B338</f>
        <v>1986.2083333333333</v>
      </c>
      <c r="C338" s="19">
        <f>Analysis!E338</f>
        <v>0.30000000000000249</v>
      </c>
      <c r="D338" s="20">
        <f>Analysis!F338</f>
        <v>0.31469652565628642</v>
      </c>
      <c r="E338" s="19">
        <f>IF(ENSO!F338="","",ENSO!F338)</f>
        <v>-0.25</v>
      </c>
      <c r="F338" s="25">
        <f>IF(Volcanic!G338="","",Volcanic!G338)</f>
        <v>1.5440000000000001E-2</v>
      </c>
      <c r="G338" s="19">
        <f>IF(Solar!D338="","",Solar!D338)</f>
        <v>1360.69</v>
      </c>
      <c r="H338" s="20">
        <f t="shared" si="37"/>
        <v>0.31469652565628642</v>
      </c>
      <c r="I338" s="20">
        <f t="shared" si="38"/>
        <v>-0.41338436671782819</v>
      </c>
      <c r="J338" s="25">
        <f t="shared" si="39"/>
        <v>1.8501668287171619E-2</v>
      </c>
      <c r="K338" s="19">
        <f t="shared" si="40"/>
        <v>1360.7305999769064</v>
      </c>
      <c r="L338" s="20">
        <f t="shared" si="41"/>
        <v>0.1902995932822</v>
      </c>
      <c r="M338" s="20">
        <f t="shared" si="42"/>
        <v>0.10970040671780248</v>
      </c>
      <c r="AB338" s="20">
        <f t="shared" si="43"/>
        <v>0.19670236340371616</v>
      </c>
    </row>
    <row r="339" spans="1:28">
      <c r="A339" s="18" t="str">
        <f>Analysis!A339</f>
        <v>4/1986</v>
      </c>
      <c r="B339" s="19">
        <f>Analysis!B339</f>
        <v>1986.2916666666667</v>
      </c>
      <c r="C339" s="19">
        <f>Analysis!E339</f>
        <v>0.22000000000000242</v>
      </c>
      <c r="D339" s="20">
        <f>Analysis!F339</f>
        <v>0.32135090142461681</v>
      </c>
      <c r="E339" s="19">
        <f>IF(ENSO!F339="","",ENSO!F339)</f>
        <v>-0.17</v>
      </c>
      <c r="F339" s="25">
        <f>IF(Volcanic!G339="","",Volcanic!G339)</f>
        <v>1.507E-2</v>
      </c>
      <c r="G339" s="19">
        <f>IF(Solar!D339="","",Solar!D339)</f>
        <v>1360.65</v>
      </c>
      <c r="H339" s="20">
        <f t="shared" si="37"/>
        <v>0.32135090142461681</v>
      </c>
      <c r="I339" s="20">
        <f t="shared" si="38"/>
        <v>-0.37602041855071699</v>
      </c>
      <c r="J339" s="25">
        <f t="shared" si="39"/>
        <v>1.8227287240472824E-2</v>
      </c>
      <c r="K339" s="19">
        <f t="shared" si="40"/>
        <v>1360.724155558572</v>
      </c>
      <c r="L339" s="20">
        <f t="shared" si="41"/>
        <v>0.21449782422420069</v>
      </c>
      <c r="M339" s="20">
        <f t="shared" si="42"/>
        <v>5.5021757758017265E-3</v>
      </c>
      <c r="AB339" s="20">
        <f t="shared" si="43"/>
        <v>0.22051393212093784</v>
      </c>
    </row>
    <row r="340" spans="1:28">
      <c r="A340" s="18" t="str">
        <f>Analysis!A340</f>
        <v>5/1986</v>
      </c>
      <c r="B340" s="19">
        <f>Analysis!B340</f>
        <v>1986.375</v>
      </c>
      <c r="C340" s="19">
        <f>Analysis!E340</f>
        <v>0.21000000000000085</v>
      </c>
      <c r="D340" s="20">
        <f>Analysis!F340</f>
        <v>0.32406993683064367</v>
      </c>
      <c r="E340" s="19">
        <f>IF(ENSO!F340="","",ENSO!F340)</f>
        <v>-0.09</v>
      </c>
      <c r="F340" s="25">
        <f>IF(Volcanic!G340="","",Volcanic!G340)</f>
        <v>1.4999999999999999E-2</v>
      </c>
      <c r="G340" s="19">
        <f>IF(Solar!D340="","",Solar!D340)</f>
        <v>1360.73</v>
      </c>
      <c r="H340" s="20">
        <f t="shared" si="37"/>
        <v>0.32406993683064367</v>
      </c>
      <c r="I340" s="20">
        <f t="shared" si="38"/>
        <v>-0.33211105724874634</v>
      </c>
      <c r="J340" s="25">
        <f t="shared" si="39"/>
        <v>1.7969247600001504E-2</v>
      </c>
      <c r="K340" s="19">
        <f t="shared" si="40"/>
        <v>1360.7246228543074</v>
      </c>
      <c r="L340" s="20">
        <f t="shared" si="41"/>
        <v>0.228922469071557</v>
      </c>
      <c r="M340" s="20">
        <f t="shared" si="42"/>
        <v>-1.8922469071556147E-2</v>
      </c>
      <c r="AB340" s="20">
        <f t="shared" si="43"/>
        <v>0.23457176172476235</v>
      </c>
    </row>
    <row r="341" spans="1:28">
      <c r="A341" s="18" t="str">
        <f>Analysis!A341</f>
        <v>6/1986</v>
      </c>
      <c r="B341" s="19">
        <f>Analysis!B341</f>
        <v>1986.4583333333333</v>
      </c>
      <c r="C341" s="19">
        <f>Analysis!E341</f>
        <v>0.11999999999999744</v>
      </c>
      <c r="D341" s="20">
        <f>Analysis!F341</f>
        <v>0.32184565281522998</v>
      </c>
      <c r="E341" s="19">
        <f>IF(ENSO!F341="","",ENSO!F341)</f>
        <v>0.02</v>
      </c>
      <c r="F341" s="25">
        <f>IF(Volcanic!G341="","",Volcanic!G341)</f>
        <v>1.4019999999999999E-2</v>
      </c>
      <c r="G341" s="19">
        <f>IF(Solar!D341="","",Solar!D341)</f>
        <v>1360.65</v>
      </c>
      <c r="H341" s="20">
        <f t="shared" si="37"/>
        <v>0.32184565281522998</v>
      </c>
      <c r="I341" s="20">
        <f t="shared" si="38"/>
        <v>-0.27805557509297663</v>
      </c>
      <c r="J341" s="25">
        <f t="shared" si="39"/>
        <v>1.7653483196369644E-2</v>
      </c>
      <c r="K341" s="19">
        <f t="shared" si="40"/>
        <v>1360.7186563403093</v>
      </c>
      <c r="L341" s="20">
        <f t="shared" si="41"/>
        <v>0.23160717297057679</v>
      </c>
      <c r="M341" s="20">
        <f t="shared" si="42"/>
        <v>-0.11160717297057934</v>
      </c>
      <c r="AB341" s="20">
        <f t="shared" si="43"/>
        <v>0.23693296409677622</v>
      </c>
    </row>
    <row r="342" spans="1:28">
      <c r="A342" s="18" t="str">
        <f>Analysis!A342</f>
        <v>7/1986</v>
      </c>
      <c r="B342" s="19">
        <f>Analysis!B342</f>
        <v>1986.5416666666667</v>
      </c>
      <c r="C342" s="19">
        <f>Analysis!E342</f>
        <v>0.10999999999999766</v>
      </c>
      <c r="D342" s="20">
        <f>Analysis!F342</f>
        <v>0.31469652565628642</v>
      </c>
      <c r="E342" s="19">
        <f>IF(ENSO!F342="","",ENSO!F342)</f>
        <v>0.24</v>
      </c>
      <c r="F342" s="25">
        <f>IF(Volcanic!G342="","",Volcanic!G342)</f>
        <v>1.3820000000000001E-2</v>
      </c>
      <c r="G342" s="19">
        <f>IF(Solar!D342="","",Solar!D342)</f>
        <v>1360.63</v>
      </c>
      <c r="H342" s="20">
        <f t="shared" si="37"/>
        <v>0.31469652565628642</v>
      </c>
      <c r="I342" s="20">
        <f t="shared" si="38"/>
        <v>-0.19852457679390192</v>
      </c>
      <c r="J342" s="25">
        <f t="shared" si="39"/>
        <v>1.7346974803395258E-2</v>
      </c>
      <c r="K342" s="19">
        <f t="shared" si="40"/>
        <v>1360.7115677707231</v>
      </c>
      <c r="L342" s="20">
        <f t="shared" si="41"/>
        <v>0.22453797408171433</v>
      </c>
      <c r="M342" s="20">
        <f t="shared" si="42"/>
        <v>-0.11453797408171668</v>
      </c>
      <c r="AB342" s="20">
        <f t="shared" si="43"/>
        <v>0.22940268818114651</v>
      </c>
    </row>
    <row r="343" spans="1:28">
      <c r="A343" s="18" t="str">
        <f>Analysis!A343</f>
        <v>8/1986</v>
      </c>
      <c r="B343" s="19">
        <f>Analysis!B343</f>
        <v>1986.625</v>
      </c>
      <c r="C343" s="19">
        <f>Analysis!E343</f>
        <v>0.16000000000000014</v>
      </c>
      <c r="D343" s="20">
        <f>Analysis!F343</f>
        <v>0.30605387521602989</v>
      </c>
      <c r="E343" s="19">
        <f>IF(ENSO!F343="","",ENSO!F343)</f>
        <v>0.46</v>
      </c>
      <c r="F343" s="25">
        <f>IF(Volcanic!G343="","",Volcanic!G343)</f>
        <v>1.3639999999999999E-2</v>
      </c>
      <c r="G343" s="19">
        <f>IF(Solar!D343="","",Solar!D343)</f>
        <v>1360.58</v>
      </c>
      <c r="H343" s="20">
        <f t="shared" si="37"/>
        <v>0.30605387521602989</v>
      </c>
      <c r="I343" s="20">
        <f t="shared" si="38"/>
        <v>-9.7429019647363779E-2</v>
      </c>
      <c r="J343" s="25">
        <f t="shared" si="39"/>
        <v>1.7050581463035442E-2</v>
      </c>
      <c r="K343" s="19">
        <f t="shared" si="40"/>
        <v>1360.701048192599</v>
      </c>
      <c r="L343" s="20">
        <f t="shared" si="41"/>
        <v>0.21643892593412503</v>
      </c>
      <c r="M343" s="20">
        <f t="shared" si="42"/>
        <v>-5.6438925934124889E-2</v>
      </c>
      <c r="AB343" s="20">
        <f t="shared" si="43"/>
        <v>0.22066310023001198</v>
      </c>
    </row>
    <row r="344" spans="1:28">
      <c r="A344" s="18" t="str">
        <f>Analysis!A344</f>
        <v>9/1986</v>
      </c>
      <c r="B344" s="19">
        <f>Analysis!B344</f>
        <v>1986.7083333333333</v>
      </c>
      <c r="C344" s="19">
        <f>Analysis!E344</f>
        <v>2.9999999999997584E-2</v>
      </c>
      <c r="D344" s="20">
        <f>Analysis!F344</f>
        <v>0.30317536756489971</v>
      </c>
      <c r="E344" s="19">
        <f>IF(ENSO!F344="","",ENSO!F344)</f>
        <v>0.64</v>
      </c>
      <c r="F344" s="25">
        <f>IF(Volcanic!G344="","",Volcanic!G344)</f>
        <v>1.3050000000000001E-2</v>
      </c>
      <c r="G344" s="19">
        <f>IF(Solar!D344="","",Solar!D344)</f>
        <v>1360.58</v>
      </c>
      <c r="H344" s="20">
        <f t="shared" si="37"/>
        <v>0.30317536756489971</v>
      </c>
      <c r="I344" s="20">
        <f t="shared" si="38"/>
        <v>1.5779811464504939E-2</v>
      </c>
      <c r="J344" s="25">
        <f t="shared" si="39"/>
        <v>1.6730712630335366E-2</v>
      </c>
      <c r="K344" s="19">
        <f t="shared" si="40"/>
        <v>1360.6913697135019</v>
      </c>
      <c r="L344" s="20">
        <f t="shared" si="41"/>
        <v>0.22571619745602547</v>
      </c>
      <c r="M344" s="20">
        <f t="shared" si="42"/>
        <v>-0.19571619745602789</v>
      </c>
      <c r="AB344" s="20">
        <f t="shared" si="43"/>
        <v>0.22905998004908945</v>
      </c>
    </row>
    <row r="345" spans="1:28">
      <c r="A345" s="18" t="str">
        <f>Analysis!A345</f>
        <v>10/1986</v>
      </c>
      <c r="B345" s="19">
        <f>Analysis!B345</f>
        <v>1986.7916666666667</v>
      </c>
      <c r="C345" s="19">
        <f>Analysis!E345</f>
        <v>0.14999999999999858</v>
      </c>
      <c r="D345" s="20">
        <f>Analysis!F345</f>
        <v>0.30041662783687401</v>
      </c>
      <c r="E345" s="19">
        <f>IF(ENSO!F345="","",ENSO!F345)</f>
        <v>0.86</v>
      </c>
      <c r="F345" s="25">
        <f>IF(Volcanic!G345="","",Volcanic!G345)</f>
        <v>1.2919999999999999E-2</v>
      </c>
      <c r="G345" s="19">
        <f>IF(Solar!D345="","",Solar!D345)</f>
        <v>1360.61</v>
      </c>
      <c r="H345" s="20">
        <f t="shared" si="37"/>
        <v>0.30041662783687401</v>
      </c>
      <c r="I345" s="20">
        <f t="shared" si="38"/>
        <v>0.14538303862099466</v>
      </c>
      <c r="J345" s="25">
        <f t="shared" si="39"/>
        <v>1.6426024871297469E-2</v>
      </c>
      <c r="K345" s="19">
        <f t="shared" si="40"/>
        <v>1360.6848637504274</v>
      </c>
      <c r="L345" s="20">
        <f t="shared" si="41"/>
        <v>0.23757943550760791</v>
      </c>
      <c r="M345" s="20">
        <f t="shared" si="42"/>
        <v>-8.7579435507609327E-2</v>
      </c>
      <c r="AB345" s="20">
        <f t="shared" si="43"/>
        <v>0.23987378693821537</v>
      </c>
    </row>
    <row r="346" spans="1:28">
      <c r="A346" s="18" t="str">
        <f>Analysis!A346</f>
        <v>11/1986</v>
      </c>
      <c r="B346" s="19">
        <f>Analysis!B346</f>
        <v>1986.875</v>
      </c>
      <c r="C346" s="19">
        <f>Analysis!E346</f>
        <v>9.9999999999997868E-2</v>
      </c>
      <c r="D346" s="20">
        <f>Analysis!F346</f>
        <v>0.30626223972785099</v>
      </c>
      <c r="E346" s="19">
        <f>IF(ENSO!F346="","",ENSO!F346)</f>
        <v>1.06</v>
      </c>
      <c r="F346" s="25">
        <f>IF(Volcanic!G346="","",Volcanic!G346)</f>
        <v>1.264E-2</v>
      </c>
      <c r="G346" s="19">
        <f>IF(Solar!D346="","",Solar!D346)</f>
        <v>1360.71</v>
      </c>
      <c r="H346" s="20">
        <f t="shared" si="37"/>
        <v>0.30626223972785099</v>
      </c>
      <c r="I346" s="20">
        <f t="shared" si="38"/>
        <v>0.28579345691768737</v>
      </c>
      <c r="J346" s="25">
        <f t="shared" si="39"/>
        <v>1.6123311036484938E-2</v>
      </c>
      <c r="K346" s="19">
        <f t="shared" si="40"/>
        <v>1360.686873533976</v>
      </c>
      <c r="L346" s="20">
        <f t="shared" si="41"/>
        <v>0.27422876226278464</v>
      </c>
      <c r="M346" s="20">
        <f t="shared" si="42"/>
        <v>-0.17422876226278677</v>
      </c>
      <c r="AB346" s="20">
        <f t="shared" si="43"/>
        <v>0.27516870678393629</v>
      </c>
    </row>
    <row r="347" spans="1:28">
      <c r="A347" s="18" t="str">
        <f>Analysis!A347</f>
        <v>12/1986</v>
      </c>
      <c r="B347" s="19">
        <f>Analysis!B347</f>
        <v>1986.9583333333333</v>
      </c>
      <c r="C347" s="19">
        <f>Analysis!E347</f>
        <v>0.12999999999999901</v>
      </c>
      <c r="D347" s="20">
        <f>Analysis!F347</f>
        <v>0.31150311546826975</v>
      </c>
      <c r="E347" s="19">
        <f>IF(ENSO!F347="","",ENSO!F347)</f>
        <v>1.21</v>
      </c>
      <c r="F347" s="25">
        <f>IF(Volcanic!G347="","",Volcanic!G347)</f>
        <v>1.243E-2</v>
      </c>
      <c r="G347" s="19">
        <f>IF(Solar!D347="","",Solar!D347)</f>
        <v>1360.66</v>
      </c>
      <c r="H347" s="20">
        <f t="shared" si="37"/>
        <v>0.31150311546826975</v>
      </c>
      <c r="I347" s="20">
        <f t="shared" si="38"/>
        <v>0.42767605125649233</v>
      </c>
      <c r="J347" s="25">
        <f t="shared" si="39"/>
        <v>1.5828010190606805E-2</v>
      </c>
      <c r="K347" s="19">
        <f t="shared" si="40"/>
        <v>1360.684724844836</v>
      </c>
      <c r="L347" s="20">
        <f t="shared" si="41"/>
        <v>0.3094253845197048</v>
      </c>
      <c r="M347" s="20">
        <f t="shared" si="42"/>
        <v>-0.1794253845197058</v>
      </c>
      <c r="AB347" s="20">
        <f t="shared" si="43"/>
        <v>0.30900712569365596</v>
      </c>
    </row>
    <row r="348" spans="1:28">
      <c r="A348" s="18" t="str">
        <f>Analysis!A348</f>
        <v>1/1987</v>
      </c>
      <c r="B348" s="19">
        <f>Analysis!B348</f>
        <v>1987.0416666666667</v>
      </c>
      <c r="C348" s="19">
        <f>Analysis!E348</f>
        <v>0.32000000000000028</v>
      </c>
      <c r="D348" s="20">
        <f>Analysis!F348</f>
        <v>0.31668365219967981</v>
      </c>
      <c r="E348" s="19">
        <f>IF(ENSO!F348="","",ENSO!F348)</f>
        <v>1.18</v>
      </c>
      <c r="F348" s="25">
        <f>IF(Volcanic!G348="","",Volcanic!G348)</f>
        <v>1.2070000000000001E-2</v>
      </c>
      <c r="G348" s="19">
        <f>IF(Solar!D348="","",Solar!D348)</f>
        <v>1360.65</v>
      </c>
      <c r="H348" s="20">
        <f t="shared" si="37"/>
        <v>0.31668365219967981</v>
      </c>
      <c r="I348" s="20">
        <f t="shared" si="38"/>
        <v>0.54317152619107767</v>
      </c>
      <c r="J348" s="25">
        <f t="shared" si="39"/>
        <v>1.552753628598787E-2</v>
      </c>
      <c r="K348" s="19">
        <f t="shared" si="40"/>
        <v>1360.68194839954</v>
      </c>
      <c r="L348" s="20">
        <f t="shared" si="41"/>
        <v>0.34075261251530958</v>
      </c>
      <c r="M348" s="20">
        <f t="shared" si="42"/>
        <v>-2.0752612515309299E-2</v>
      </c>
      <c r="AB348" s="20">
        <f t="shared" si="43"/>
        <v>0.33923603666682084</v>
      </c>
    </row>
    <row r="349" spans="1:28">
      <c r="A349" s="18" t="str">
        <f>Analysis!A349</f>
        <v>2/1987</v>
      </c>
      <c r="B349" s="19">
        <f>Analysis!B349</f>
        <v>1987.125</v>
      </c>
      <c r="C349" s="19">
        <f>Analysis!E349</f>
        <v>0.42999999999999972</v>
      </c>
      <c r="D349" s="20">
        <f>Analysis!F349</f>
        <v>0.31746946762158468</v>
      </c>
      <c r="E349" s="19">
        <f>IF(ENSO!F349="","",ENSO!F349)</f>
        <v>1.1299999999999999</v>
      </c>
      <c r="F349" s="25">
        <f>IF(Volcanic!G349="","",Volcanic!G349)</f>
        <v>1.136E-2</v>
      </c>
      <c r="G349" s="19">
        <f>IF(Solar!D349="","",Solar!D349)</f>
        <v>1360.64</v>
      </c>
      <c r="H349" s="20">
        <f t="shared" si="37"/>
        <v>0.31746946762158468</v>
      </c>
      <c r="I349" s="20">
        <f t="shared" si="38"/>
        <v>0.6332604212752968</v>
      </c>
      <c r="J349" s="25">
        <f t="shared" si="39"/>
        <v>1.5194318482688174E-2</v>
      </c>
      <c r="K349" s="19">
        <f t="shared" si="40"/>
        <v>1360.6785943906993</v>
      </c>
      <c r="L349" s="20">
        <f t="shared" si="41"/>
        <v>0.35672142790374245</v>
      </c>
      <c r="M349" s="20">
        <f t="shared" si="42"/>
        <v>7.3278572096257266E-2</v>
      </c>
      <c r="AB349" s="20">
        <f t="shared" si="43"/>
        <v>0.35447029621195575</v>
      </c>
    </row>
    <row r="350" spans="1:28">
      <c r="A350" s="18" t="str">
        <f>Analysis!A350</f>
        <v>3/1987</v>
      </c>
      <c r="B350" s="19">
        <f>Analysis!B350</f>
        <v>1987.2083333333333</v>
      </c>
      <c r="C350" s="19">
        <f>Analysis!E350</f>
        <v>0.17999999999999972</v>
      </c>
      <c r="D350" s="20">
        <f>Analysis!F350</f>
        <v>0.32114470492578934</v>
      </c>
      <c r="E350" s="19">
        <f>IF(ENSO!F350="","",ENSO!F350)</f>
        <v>1.02</v>
      </c>
      <c r="F350" s="25">
        <f>IF(Volcanic!G350="","",Volcanic!G350)</f>
        <v>1.09E-2</v>
      </c>
      <c r="G350" s="19">
        <f>IF(Solar!D350="","",Solar!D350)</f>
        <v>1360.65</v>
      </c>
      <c r="H350" s="20">
        <f t="shared" si="37"/>
        <v>0.32114470492578934</v>
      </c>
      <c r="I350" s="20">
        <f t="shared" si="38"/>
        <v>0.69263201431764387</v>
      </c>
      <c r="J350" s="25">
        <f t="shared" si="39"/>
        <v>1.4850963734636725E-2</v>
      </c>
      <c r="K350" s="19">
        <f t="shared" si="40"/>
        <v>1360.6763081094525</v>
      </c>
      <c r="L350" s="20">
        <f t="shared" si="41"/>
        <v>0.37620327541467102</v>
      </c>
      <c r="M350" s="20">
        <f t="shared" si="42"/>
        <v>-0.19620327541467131</v>
      </c>
      <c r="AB350" s="20">
        <f t="shared" si="43"/>
        <v>0.37345355935494329</v>
      </c>
    </row>
    <row r="351" spans="1:28">
      <c r="A351" s="18" t="str">
        <f>Analysis!A351</f>
        <v>4/1987</v>
      </c>
      <c r="B351" s="19">
        <f>Analysis!B351</f>
        <v>1987.2916666666667</v>
      </c>
      <c r="C351" s="19">
        <f>Analysis!E351</f>
        <v>0.24000000000000199</v>
      </c>
      <c r="D351" s="20">
        <f>Analysis!F351</f>
        <v>0.32768736417604716</v>
      </c>
      <c r="E351" s="19">
        <f>IF(ENSO!F351="","",ENSO!F351)</f>
        <v>0.94</v>
      </c>
      <c r="F351" s="25">
        <f>IF(Volcanic!G351="","",Volcanic!G351)</f>
        <v>1.0619999999999999E-2</v>
      </c>
      <c r="G351" s="19">
        <f>IF(Solar!D351="","",Solar!D351)</f>
        <v>1360.58</v>
      </c>
      <c r="H351" s="20">
        <f t="shared" si="37"/>
        <v>0.32768736417604716</v>
      </c>
      <c r="I351" s="20">
        <f t="shared" si="38"/>
        <v>0.7306075207968824</v>
      </c>
      <c r="J351" s="25">
        <f t="shared" si="39"/>
        <v>1.451267455255174E-2</v>
      </c>
      <c r="K351" s="19">
        <f t="shared" si="40"/>
        <v>1360.6686077381851</v>
      </c>
      <c r="L351" s="20">
        <f t="shared" si="41"/>
        <v>0.40040250975231184</v>
      </c>
      <c r="M351" s="20">
        <f t="shared" si="42"/>
        <v>-0.16040250975230985</v>
      </c>
      <c r="AB351" s="20">
        <f t="shared" si="43"/>
        <v>0.39729304550297195</v>
      </c>
    </row>
    <row r="352" spans="1:28">
      <c r="A352" s="18" t="str">
        <f>Analysis!A352</f>
        <v>5/1987</v>
      </c>
      <c r="B352" s="19">
        <f>Analysis!B352</f>
        <v>1987.375</v>
      </c>
      <c r="C352" s="19">
        <f>Analysis!E352</f>
        <v>0.25999999999999979</v>
      </c>
      <c r="D352" s="20">
        <f>Analysis!F352</f>
        <v>0.33076325555700942</v>
      </c>
      <c r="E352" s="19">
        <f>IF(ENSO!F352="","",ENSO!F352)</f>
        <v>0.95</v>
      </c>
      <c r="F352" s="25">
        <f>IF(Volcanic!G352="","",Volcanic!G352)</f>
        <v>1.072E-2</v>
      </c>
      <c r="G352" s="19">
        <f>IF(Solar!D352="","",Solar!D352)</f>
        <v>1360.72</v>
      </c>
      <c r="H352" s="20">
        <f t="shared" si="37"/>
        <v>0.33076325555700942</v>
      </c>
      <c r="I352" s="20">
        <f t="shared" si="38"/>
        <v>0.7642882757761168</v>
      </c>
      <c r="J352" s="25">
        <f t="shared" si="39"/>
        <v>1.4209429038581996E-2</v>
      </c>
      <c r="K352" s="19">
        <f t="shared" si="40"/>
        <v>1360.6727168365619</v>
      </c>
      <c r="L352" s="20">
        <f t="shared" si="41"/>
        <v>0.41450203976034705</v>
      </c>
      <c r="M352" s="20">
        <f t="shared" si="42"/>
        <v>-0.15450203976034727</v>
      </c>
      <c r="AB352" s="20">
        <f t="shared" si="43"/>
        <v>0.41113815614075416</v>
      </c>
    </row>
    <row r="353" spans="1:28">
      <c r="A353" s="18" t="str">
        <f>Analysis!A353</f>
        <v>6/1987</v>
      </c>
      <c r="B353" s="19">
        <f>Analysis!B353</f>
        <v>1987.4583333333333</v>
      </c>
      <c r="C353" s="19">
        <f>Analysis!E353</f>
        <v>0.34999999999999787</v>
      </c>
      <c r="D353" s="20">
        <f>Analysis!F353</f>
        <v>0.32842617641262656</v>
      </c>
      <c r="E353" s="19">
        <f>IF(ENSO!F353="","",ENSO!F353)</f>
        <v>1.1100000000000001</v>
      </c>
      <c r="F353" s="25">
        <f>IF(Volcanic!G353="","",Volcanic!G353)</f>
        <v>1.061E-2</v>
      </c>
      <c r="G353" s="19">
        <f>IF(Solar!D353="","",Solar!D353)</f>
        <v>1360.86</v>
      </c>
      <c r="H353" s="20">
        <f t="shared" si="37"/>
        <v>0.32842617641262656</v>
      </c>
      <c r="I353" s="20">
        <f t="shared" si="38"/>
        <v>0.81736134336405908</v>
      </c>
      <c r="J353" s="25">
        <f t="shared" si="39"/>
        <v>1.392163458280196E-2</v>
      </c>
      <c r="K353" s="19">
        <f t="shared" si="40"/>
        <v>1360.6876911715246</v>
      </c>
      <c r="L353" s="20">
        <f t="shared" si="41"/>
        <v>0.41664820205330227</v>
      </c>
      <c r="M353" s="20">
        <f t="shared" si="42"/>
        <v>-6.6648202053304406E-2</v>
      </c>
      <c r="AB353" s="20">
        <f t="shared" si="43"/>
        <v>0.41295971605603299</v>
      </c>
    </row>
    <row r="354" spans="1:28">
      <c r="A354" s="18" t="str">
        <f>Analysis!A354</f>
        <v>7/1987</v>
      </c>
      <c r="B354" s="19">
        <f>Analysis!B354</f>
        <v>1987.5416666666667</v>
      </c>
      <c r="C354" s="19">
        <f>Analysis!E354</f>
        <v>0.40000000000000213</v>
      </c>
      <c r="D354" s="20">
        <f>Analysis!F354</f>
        <v>0.32279345233061574</v>
      </c>
      <c r="E354" s="19">
        <f>IF(ENSO!F354="","",ENSO!F354)</f>
        <v>1.3</v>
      </c>
      <c r="F354" s="25">
        <f>IF(Volcanic!G354="","",Volcanic!G354)</f>
        <v>1.0160000000000001E-2</v>
      </c>
      <c r="G354" s="19">
        <f>IF(Solar!D354="","",Solar!D354)</f>
        <v>1360.86</v>
      </c>
      <c r="H354" s="20">
        <f t="shared" si="37"/>
        <v>0.32279345233061574</v>
      </c>
      <c r="I354" s="20">
        <f t="shared" si="38"/>
        <v>0.89145519743191992</v>
      </c>
      <c r="J354" s="25">
        <f t="shared" si="39"/>
        <v>1.3620870887783449E-2</v>
      </c>
      <c r="K354" s="19">
        <f t="shared" si="40"/>
        <v>1360.70146822477</v>
      </c>
      <c r="L354" s="20">
        <f t="shared" si="41"/>
        <v>0.41289283759209228</v>
      </c>
      <c r="M354" s="20">
        <f t="shared" si="42"/>
        <v>-1.2892837592090145E-2</v>
      </c>
      <c r="AB354" s="20">
        <f t="shared" si="43"/>
        <v>0.40875820989421741</v>
      </c>
    </row>
    <row r="355" spans="1:28">
      <c r="A355" s="18" t="str">
        <f>Analysis!A355</f>
        <v>8/1987</v>
      </c>
      <c r="B355" s="19">
        <f>Analysis!B355</f>
        <v>1987.625</v>
      </c>
      <c r="C355" s="19">
        <f>Analysis!E355</f>
        <v>0.25000000000000355</v>
      </c>
      <c r="D355" s="20">
        <f>Analysis!F355</f>
        <v>0.31448937581877229</v>
      </c>
      <c r="E355" s="19">
        <f>IF(ENSO!F355="","",ENSO!F355)</f>
        <v>1.46</v>
      </c>
      <c r="F355" s="25">
        <f>IF(Volcanic!G355="","",Volcanic!G355)</f>
        <v>9.9299999999999996E-3</v>
      </c>
      <c r="G355" s="19">
        <f>IF(Solar!D355="","",Solar!D355)</f>
        <v>1360.76</v>
      </c>
      <c r="H355" s="20">
        <f t="shared" si="37"/>
        <v>0.31448937581877229</v>
      </c>
      <c r="I355" s="20">
        <f t="shared" si="38"/>
        <v>0.97873721484457787</v>
      </c>
      <c r="J355" s="25">
        <f t="shared" si="39"/>
        <v>1.3325765145423133E-2</v>
      </c>
      <c r="K355" s="19">
        <f t="shared" si="40"/>
        <v>1360.7061481671212</v>
      </c>
      <c r="L355" s="20">
        <f t="shared" si="41"/>
        <v>0.40375560401076799</v>
      </c>
      <c r="M355" s="20">
        <f t="shared" si="42"/>
        <v>-0.15375560401076444</v>
      </c>
      <c r="AB355" s="20">
        <f t="shared" si="43"/>
        <v>0.39910602517956423</v>
      </c>
    </row>
    <row r="356" spans="1:28">
      <c r="A356" s="18" t="str">
        <f>Analysis!A356</f>
        <v>9/1987</v>
      </c>
      <c r="B356" s="19">
        <f>Analysis!B356</f>
        <v>1987.7083333333333</v>
      </c>
      <c r="C356" s="19">
        <f>Analysis!E356</f>
        <v>0.34999999999999787</v>
      </c>
      <c r="D356" s="20">
        <f>Analysis!F356</f>
        <v>0.30809455096015637</v>
      </c>
      <c r="E356" s="19">
        <f>IF(ENSO!F356="","",ENSO!F356)</f>
        <v>1.49</v>
      </c>
      <c r="F356" s="25">
        <f>IF(Volcanic!G356="","",Volcanic!G356)</f>
        <v>9.6500000000000006E-3</v>
      </c>
      <c r="G356" s="19">
        <f>IF(Solar!D356="","",Solar!D356)</f>
        <v>1360.85</v>
      </c>
      <c r="H356" s="20">
        <f t="shared" si="37"/>
        <v>0.30809455096015637</v>
      </c>
      <c r="I356" s="20">
        <f t="shared" si="38"/>
        <v>1.0572253957492588</v>
      </c>
      <c r="J356" s="25">
        <f t="shared" si="39"/>
        <v>1.3031867191535696E-2</v>
      </c>
      <c r="K356" s="19">
        <f t="shared" si="40"/>
        <v>1360.7176499246257</v>
      </c>
      <c r="L356" s="20">
        <f t="shared" si="41"/>
        <v>0.39853622697190627</v>
      </c>
      <c r="M356" s="20">
        <f t="shared" si="42"/>
        <v>-4.8536226971908403E-2</v>
      </c>
      <c r="AB356" s="20">
        <f t="shared" si="43"/>
        <v>0.39341225759822107</v>
      </c>
    </row>
    <row r="357" spans="1:28">
      <c r="A357" s="18" t="str">
        <f>Analysis!A357</f>
        <v>10/1987</v>
      </c>
      <c r="B357" s="19">
        <f>Analysis!B357</f>
        <v>1987.7916666666667</v>
      </c>
      <c r="C357" s="19">
        <f>Analysis!E357</f>
        <v>0.32999999999999652</v>
      </c>
      <c r="D357" s="20">
        <f>Analysis!F357</f>
        <v>0.30834423137398254</v>
      </c>
      <c r="E357" s="19">
        <f>IF(ENSO!F357="","",ENSO!F357)</f>
        <v>1.41</v>
      </c>
      <c r="F357" s="25">
        <f>IF(Volcanic!G357="","",Volcanic!G357)</f>
        <v>9.5499999999999995E-3</v>
      </c>
      <c r="G357" s="19">
        <f>IF(Solar!D357="","",Solar!D357)</f>
        <v>1360.82</v>
      </c>
      <c r="H357" s="20">
        <f t="shared" si="37"/>
        <v>0.30834423137398254</v>
      </c>
      <c r="I357" s="20">
        <f t="shared" si="38"/>
        <v>1.1113827444962288</v>
      </c>
      <c r="J357" s="25">
        <f t="shared" si="39"/>
        <v>1.2753472462053507E-2</v>
      </c>
      <c r="K357" s="19">
        <f t="shared" si="40"/>
        <v>1360.7258333848149</v>
      </c>
      <c r="L357" s="20">
        <f t="shared" si="41"/>
        <v>0.40779856450207064</v>
      </c>
      <c r="M357" s="20">
        <f t="shared" si="42"/>
        <v>-7.7798564502074119E-2</v>
      </c>
      <c r="AB357" s="20">
        <f t="shared" si="43"/>
        <v>0.40227514152956256</v>
      </c>
    </row>
    <row r="358" spans="1:28">
      <c r="A358" s="18" t="str">
        <f>Analysis!A358</f>
        <v>11/1987</v>
      </c>
      <c r="B358" s="19">
        <f>Analysis!B358</f>
        <v>1987.875</v>
      </c>
      <c r="C358" s="19">
        <f>Analysis!E358</f>
        <v>0.28999999999999559</v>
      </c>
      <c r="D358" s="20">
        <f>Analysis!F358</f>
        <v>0.31399209482083829</v>
      </c>
      <c r="E358" s="19">
        <f>IF(ENSO!F358="","",ENSO!F358)</f>
        <v>1.2</v>
      </c>
      <c r="F358" s="25">
        <f>IF(Volcanic!G358="","",Volcanic!G358)</f>
        <v>9.2300000000000004E-3</v>
      </c>
      <c r="G358" s="19">
        <f>IF(Solar!D358="","",Solar!D358)</f>
        <v>1360.99</v>
      </c>
      <c r="H358" s="20">
        <f t="shared" si="37"/>
        <v>0.31399209482083829</v>
      </c>
      <c r="I358" s="20">
        <f t="shared" si="38"/>
        <v>1.1249871127060955</v>
      </c>
      <c r="J358" s="25">
        <f t="shared" si="39"/>
        <v>1.247175115881256E-2</v>
      </c>
      <c r="K358" s="19">
        <f t="shared" si="40"/>
        <v>1360.7469549811674</v>
      </c>
      <c r="L358" s="20">
        <f t="shared" si="41"/>
        <v>0.42594693683267082</v>
      </c>
      <c r="M358" s="20">
        <f t="shared" si="42"/>
        <v>-0.13594693683267522</v>
      </c>
      <c r="AB358" s="20">
        <f t="shared" si="43"/>
        <v>0.42029417093613625</v>
      </c>
    </row>
    <row r="359" spans="1:28">
      <c r="A359" s="18" t="str">
        <f>Analysis!A359</f>
        <v>12/1987</v>
      </c>
      <c r="B359" s="19">
        <f>Analysis!B359</f>
        <v>1987.9583333333333</v>
      </c>
      <c r="C359" s="19">
        <f>Analysis!E359</f>
        <v>0.46000000000000441</v>
      </c>
      <c r="D359" s="20">
        <f>Analysis!F359</f>
        <v>0.3189572082710998</v>
      </c>
      <c r="E359" s="19">
        <f>IF(ENSO!F359="","",ENSO!F359)</f>
        <v>1</v>
      </c>
      <c r="F359" s="25">
        <f>IF(Volcanic!G359="","",Volcanic!G359)</f>
        <v>8.9499999999999996E-3</v>
      </c>
      <c r="G359" s="19">
        <f>IF(Solar!D359="","",Solar!D359)</f>
        <v>1361.01</v>
      </c>
      <c r="H359" s="20">
        <f t="shared" si="37"/>
        <v>0.3189572082710998</v>
      </c>
      <c r="I359" s="20">
        <f t="shared" si="38"/>
        <v>1.1057993067525533</v>
      </c>
      <c r="J359" s="25">
        <f t="shared" si="39"/>
        <v>1.2190167483379843E-2</v>
      </c>
      <c r="K359" s="19">
        <f t="shared" si="40"/>
        <v>1360.767986899627</v>
      </c>
      <c r="L359" s="20">
        <f t="shared" si="41"/>
        <v>0.43762090387223596</v>
      </c>
      <c r="M359" s="20">
        <f t="shared" si="42"/>
        <v>2.237909612776845E-2</v>
      </c>
      <c r="AB359" s="20">
        <f t="shared" si="43"/>
        <v>0.43217272407160706</v>
      </c>
    </row>
    <row r="360" spans="1:28">
      <c r="A360" s="18" t="str">
        <f>Analysis!A360</f>
        <v>1/1988</v>
      </c>
      <c r="B360" s="19">
        <f>Analysis!B360</f>
        <v>1988.0416666666667</v>
      </c>
      <c r="C360" s="19">
        <f>Analysis!E360</f>
        <v>0.57000000000000028</v>
      </c>
      <c r="D360" s="20">
        <f>Analysis!F360</f>
        <v>0.32402877753529308</v>
      </c>
      <c r="E360" s="19">
        <f>IF(ENSO!F360="","",ENSO!F360)</f>
        <v>0.63</v>
      </c>
      <c r="F360" s="25">
        <f>IF(Volcanic!G360="","",Volcanic!G360)</f>
        <v>8.6199999999999992E-3</v>
      </c>
      <c r="G360" s="19">
        <f>IF(Solar!D360="","",Solar!D360)</f>
        <v>1361.07</v>
      </c>
      <c r="H360" s="20">
        <f t="shared" si="37"/>
        <v>0.32402877753529308</v>
      </c>
      <c r="I360" s="20">
        <f t="shared" si="38"/>
        <v>1.0327554178816598</v>
      </c>
      <c r="J360" s="25">
        <f t="shared" si="39"/>
        <v>1.1904712652374853E-2</v>
      </c>
      <c r="K360" s="19">
        <f t="shared" si="40"/>
        <v>1360.7921345338568</v>
      </c>
      <c r="L360" s="20">
        <f t="shared" si="41"/>
        <v>0.44199565536500046</v>
      </c>
      <c r="M360" s="20">
        <f t="shared" si="42"/>
        <v>0.12800434463499982</v>
      </c>
      <c r="AB360" s="20">
        <f t="shared" si="43"/>
        <v>0.43727400785512183</v>
      </c>
    </row>
    <row r="361" spans="1:28">
      <c r="A361" s="18" t="str">
        <f>Analysis!A361</f>
        <v>2/1988</v>
      </c>
      <c r="B361" s="19">
        <f>Analysis!B361</f>
        <v>1988.125</v>
      </c>
      <c r="C361" s="19">
        <f>Analysis!E361</f>
        <v>0.44000000000000483</v>
      </c>
      <c r="D361" s="20">
        <f>Analysis!F361</f>
        <v>0.32891850779297804</v>
      </c>
      <c r="E361" s="19">
        <f>IF(ENSO!F361="","",ENSO!F361)</f>
        <v>0.37</v>
      </c>
      <c r="F361" s="25">
        <f>IF(Volcanic!G361="","",Volcanic!G361)</f>
        <v>8.4200000000000004E-3</v>
      </c>
      <c r="G361" s="19">
        <f>IF(Solar!D361="","",Solar!D361)</f>
        <v>1361.14</v>
      </c>
      <c r="H361" s="20">
        <f t="shared" si="37"/>
        <v>0.32891850779297804</v>
      </c>
      <c r="I361" s="20">
        <f t="shared" si="38"/>
        <v>0.93101034930906723</v>
      </c>
      <c r="J361" s="25">
        <f t="shared" si="39"/>
        <v>1.1626090412405619E-2</v>
      </c>
      <c r="K361" s="19">
        <f t="shared" si="40"/>
        <v>1360.8199483208325</v>
      </c>
      <c r="L361" s="20">
        <f t="shared" si="41"/>
        <v>0.44180516530850972</v>
      </c>
      <c r="M361" s="20">
        <f t="shared" si="42"/>
        <v>-1.8051653085048858E-3</v>
      </c>
      <c r="AB361" s="20">
        <f t="shared" si="43"/>
        <v>0.43808951780340361</v>
      </c>
    </row>
    <row r="362" spans="1:28">
      <c r="A362" s="18" t="str">
        <f>Analysis!A362</f>
        <v>3/1988</v>
      </c>
      <c r="B362" s="19">
        <f>Analysis!B362</f>
        <v>1988.2083333333333</v>
      </c>
      <c r="C362" s="19">
        <f>Analysis!E362</f>
        <v>0.5199999999999978</v>
      </c>
      <c r="D362" s="20">
        <f>Analysis!F362</f>
        <v>0.3321964303411894</v>
      </c>
      <c r="E362" s="19">
        <f>IF(ENSO!F362="","",ENSO!F362)</f>
        <v>-0.03</v>
      </c>
      <c r="F362" s="25">
        <f>IF(Volcanic!G362="","",Volcanic!G362)</f>
        <v>8.0599999999999995E-3</v>
      </c>
      <c r="G362" s="19">
        <f>IF(Solar!D362="","",Solar!D362)</f>
        <v>1360.92</v>
      </c>
      <c r="H362" s="20">
        <f t="shared" si="37"/>
        <v>0.3321964303411894</v>
      </c>
      <c r="I362" s="20">
        <f t="shared" si="38"/>
        <v>0.78347769812087087</v>
      </c>
      <c r="J362" s="25">
        <f t="shared" si="39"/>
        <v>1.134096156599697E-2</v>
      </c>
      <c r="K362" s="19">
        <f t="shared" si="40"/>
        <v>1360.8279480114077</v>
      </c>
      <c r="L362" s="20">
        <f t="shared" si="41"/>
        <v>0.43081655130865726</v>
      </c>
      <c r="M362" s="20">
        <f t="shared" si="42"/>
        <v>8.9183448691340539E-2</v>
      </c>
      <c r="AB362" s="20">
        <f t="shared" si="43"/>
        <v>0.42859158248258866</v>
      </c>
    </row>
    <row r="363" spans="1:28">
      <c r="A363" s="18" t="str">
        <f>Analysis!A363</f>
        <v>4/1988</v>
      </c>
      <c r="B363" s="19">
        <f>Analysis!B363</f>
        <v>1988.2916666666667</v>
      </c>
      <c r="C363" s="19">
        <f>Analysis!E363</f>
        <v>0.42999999999999972</v>
      </c>
      <c r="D363" s="20">
        <f>Analysis!F363</f>
        <v>0.33697702068730562</v>
      </c>
      <c r="E363" s="19">
        <f>IF(ENSO!F363="","",ENSO!F363)</f>
        <v>-0.45</v>
      </c>
      <c r="F363" s="25">
        <f>IF(Volcanic!G363="","",Volcanic!G363)</f>
        <v>7.8200000000000006E-3</v>
      </c>
      <c r="G363" s="19">
        <f>IF(Solar!D363="","",Solar!D363)</f>
        <v>1361.04</v>
      </c>
      <c r="H363" s="20">
        <f t="shared" si="37"/>
        <v>0.33697702068730562</v>
      </c>
      <c r="I363" s="20">
        <f t="shared" si="38"/>
        <v>0.59411632951945903</v>
      </c>
      <c r="J363" s="25">
        <f t="shared" si="39"/>
        <v>1.1059441022920028E-2</v>
      </c>
      <c r="K363" s="19">
        <f t="shared" si="40"/>
        <v>1360.8449027522847</v>
      </c>
      <c r="L363" s="20">
        <f t="shared" si="41"/>
        <v>0.41797626226754875</v>
      </c>
      <c r="M363" s="20">
        <f t="shared" si="42"/>
        <v>1.2023737732450968E-2</v>
      </c>
      <c r="AB363" s="20">
        <f t="shared" si="43"/>
        <v>0.41761135244649411</v>
      </c>
    </row>
    <row r="364" spans="1:28">
      <c r="A364" s="18" t="str">
        <f>Analysis!A364</f>
        <v>5/1988</v>
      </c>
      <c r="B364" s="19">
        <f>Analysis!B364</f>
        <v>1988.375</v>
      </c>
      <c r="C364" s="19">
        <f>Analysis!E364</f>
        <v>0.44000000000000483</v>
      </c>
      <c r="D364" s="20">
        <f>Analysis!F364</f>
        <v>0.33974822186649467</v>
      </c>
      <c r="E364" s="19">
        <f>IF(ENSO!F364="","",ENSO!F364)</f>
        <v>-0.99</v>
      </c>
      <c r="F364" s="25">
        <f>IF(Volcanic!G364="","",Volcanic!G364)</f>
        <v>7.4900000000000001E-3</v>
      </c>
      <c r="G364" s="19">
        <f>IF(Solar!D364="","",Solar!D364)</f>
        <v>1361.36</v>
      </c>
      <c r="H364" s="20">
        <f t="shared" si="37"/>
        <v>0.33974822186649467</v>
      </c>
      <c r="I364" s="20">
        <f t="shared" si="38"/>
        <v>0.35092552303902014</v>
      </c>
      <c r="J364" s="25">
        <f t="shared" si="39"/>
        <v>1.0774044276486349E-2</v>
      </c>
      <c r="K364" s="19">
        <f t="shared" si="40"/>
        <v>1360.8860876542485</v>
      </c>
      <c r="L364" s="20">
        <f t="shared" si="41"/>
        <v>0.39211892206601345</v>
      </c>
      <c r="M364" s="20">
        <f t="shared" si="42"/>
        <v>4.7881077933991378E-2</v>
      </c>
      <c r="AB364" s="20">
        <f t="shared" si="43"/>
        <v>0.39418473960199768</v>
      </c>
    </row>
    <row r="365" spans="1:28">
      <c r="A365" s="18" t="str">
        <f>Analysis!A365</f>
        <v>6/1988</v>
      </c>
      <c r="B365" s="19">
        <f>Analysis!B365</f>
        <v>1988.4583333333333</v>
      </c>
      <c r="C365" s="19">
        <f>Analysis!E365</f>
        <v>0.40000000000000213</v>
      </c>
      <c r="D365" s="20">
        <f>Analysis!F365</f>
        <v>0.33783340106320175</v>
      </c>
      <c r="E365" s="19">
        <f>IF(ENSO!F365="","",ENSO!F365)</f>
        <v>-1.3</v>
      </c>
      <c r="F365" s="25">
        <f>IF(Volcanic!G365="","",Volcanic!G365)</f>
        <v>7.4200000000000004E-3</v>
      </c>
      <c r="G365" s="19">
        <f>IF(Solar!D365="","",Solar!D365)</f>
        <v>1360.97</v>
      </c>
      <c r="H365" s="20">
        <f t="shared" si="37"/>
        <v>0.33783340106320175</v>
      </c>
      <c r="I365" s="20">
        <f t="shared" si="38"/>
        <v>9.7478284408009097E-2</v>
      </c>
      <c r="J365" s="25">
        <f t="shared" si="39"/>
        <v>1.0505869703000714E-2</v>
      </c>
      <c r="K365" s="19">
        <f t="shared" si="40"/>
        <v>1360.8927969149729</v>
      </c>
      <c r="L365" s="20">
        <f t="shared" si="41"/>
        <v>0.35208394136840254</v>
      </c>
      <c r="M365" s="20">
        <f t="shared" si="42"/>
        <v>4.791605863159959E-2</v>
      </c>
      <c r="AB365" s="20">
        <f t="shared" si="43"/>
        <v>0.35678032520482905</v>
      </c>
    </row>
    <row r="366" spans="1:28">
      <c r="A366" s="18" t="str">
        <f>Analysis!A366</f>
        <v>7/1988</v>
      </c>
      <c r="B366" s="19">
        <f>Analysis!B366</f>
        <v>1988.5416666666667</v>
      </c>
      <c r="C366" s="19">
        <f>Analysis!E366</f>
        <v>0.32999999999999652</v>
      </c>
      <c r="D366" s="20">
        <f>Analysis!F366</f>
        <v>0.3334237337251918</v>
      </c>
      <c r="E366" s="19">
        <f>IF(ENSO!F366="","",ENSO!F366)</f>
        <v>-1.3</v>
      </c>
      <c r="F366" s="25">
        <f>IF(Volcanic!G366="","",Volcanic!G366)</f>
        <v>7.3800000000000003E-3</v>
      </c>
      <c r="G366" s="19">
        <f>IF(Solar!D366="","",Solar!D366)</f>
        <v>1360.73</v>
      </c>
      <c r="H366" s="20">
        <f t="shared" si="37"/>
        <v>0.3334237337251918</v>
      </c>
      <c r="I366" s="20">
        <f t="shared" si="38"/>
        <v>-0.11706017131713224</v>
      </c>
      <c r="J366" s="25">
        <f t="shared" si="39"/>
        <v>1.0255938961104829E-2</v>
      </c>
      <c r="K366" s="19">
        <f t="shared" si="40"/>
        <v>1360.8797803923396</v>
      </c>
      <c r="L366" s="20">
        <f t="shared" si="41"/>
        <v>0.3107314170799243</v>
      </c>
      <c r="M366" s="20">
        <f t="shared" si="42"/>
        <v>1.9268582920072219E-2</v>
      </c>
      <c r="AB366" s="20">
        <f t="shared" si="43"/>
        <v>0.31772993943041566</v>
      </c>
    </row>
    <row r="367" spans="1:28">
      <c r="A367" s="18" t="str">
        <f>Analysis!A367</f>
        <v>8/1988</v>
      </c>
      <c r="B367" s="19">
        <f>Analysis!B367</f>
        <v>1988.625</v>
      </c>
      <c r="C367" s="19">
        <f>Analysis!E367</f>
        <v>0.38999999999999879</v>
      </c>
      <c r="D367" s="20">
        <f>Analysis!F367</f>
        <v>0.32394645542166806</v>
      </c>
      <c r="E367" s="19">
        <f>IF(ENSO!F367="","",ENSO!F367)</f>
        <v>-1.1399999999999999</v>
      </c>
      <c r="F367" s="25">
        <f>IF(Volcanic!G367="","",Volcanic!G367)</f>
        <v>7.62E-3</v>
      </c>
      <c r="G367" s="19">
        <f>IF(Solar!D367="","",Solar!D367)</f>
        <v>1361.11</v>
      </c>
      <c r="H367" s="20">
        <f t="shared" si="37"/>
        <v>0.32394645542166806</v>
      </c>
      <c r="I367" s="20">
        <f t="shared" si="38"/>
        <v>-0.27410012935721678</v>
      </c>
      <c r="J367" s="25">
        <f t="shared" si="39"/>
        <v>1.004518091846832E-2</v>
      </c>
      <c r="K367" s="19">
        <f t="shared" si="40"/>
        <v>1360.8981877358337</v>
      </c>
      <c r="L367" s="20">
        <f t="shared" si="41"/>
        <v>0.26365654666897331</v>
      </c>
      <c r="M367" s="20">
        <f t="shared" si="42"/>
        <v>0.12634345333102548</v>
      </c>
      <c r="AB367" s="20">
        <f t="shared" si="43"/>
        <v>0.27249804457501292</v>
      </c>
    </row>
    <row r="368" spans="1:28">
      <c r="A368" s="18" t="str">
        <f>Analysis!A368</f>
        <v>9/1988</v>
      </c>
      <c r="B368" s="19">
        <f>Analysis!B368</f>
        <v>1988.7083333333333</v>
      </c>
      <c r="C368" s="19">
        <f>Analysis!E368</f>
        <v>0.36999999999999744</v>
      </c>
      <c r="D368" s="20">
        <f>Analysis!F368</f>
        <v>0.31767619003390707</v>
      </c>
      <c r="E368" s="19">
        <f>IF(ENSO!F368="","",ENSO!F368)</f>
        <v>-1.27</v>
      </c>
      <c r="F368" s="25">
        <f>IF(Volcanic!G368="","",Volcanic!G368)</f>
        <v>7.7200000000000003E-3</v>
      </c>
      <c r="G368" s="19">
        <f>IF(Solar!D368="","",Solar!D368)</f>
        <v>1361.5</v>
      </c>
      <c r="H368" s="20">
        <f t="shared" si="37"/>
        <v>0.31767619003390707</v>
      </c>
      <c r="I368" s="20">
        <f t="shared" si="38"/>
        <v>-0.42698895967995742</v>
      </c>
      <c r="J368" s="25">
        <f t="shared" si="39"/>
        <v>9.8592697170394577E-3</v>
      </c>
      <c r="K368" s="19">
        <f t="shared" si="40"/>
        <v>1360.9463059876985</v>
      </c>
      <c r="L368" s="20">
        <f t="shared" si="41"/>
        <v>0.22575551839600275</v>
      </c>
      <c r="M368" s="20">
        <f t="shared" si="42"/>
        <v>0.1442444816039947</v>
      </c>
      <c r="AB368" s="20">
        <f t="shared" si="43"/>
        <v>0.23631370992580844</v>
      </c>
    </row>
    <row r="369" spans="1:28">
      <c r="A369" s="18" t="str">
        <f>Analysis!A369</f>
        <v>10/1988</v>
      </c>
      <c r="B369" s="19">
        <f>Analysis!B369</f>
        <v>1988.7916666666667</v>
      </c>
      <c r="C369" s="19">
        <f>Analysis!E369</f>
        <v>0.38000000000000256</v>
      </c>
      <c r="D369" s="20">
        <f>Analysis!F369</f>
        <v>0.3193289038394051</v>
      </c>
      <c r="E369" s="19">
        <f>IF(ENSO!F369="","",ENSO!F369)</f>
        <v>-1.54</v>
      </c>
      <c r="F369" s="25">
        <f>IF(Volcanic!G369="","",Volcanic!G369)</f>
        <v>7.4200000000000004E-3</v>
      </c>
      <c r="G369" s="19">
        <f>IF(Solar!D369="","",Solar!D369)</f>
        <v>1361.18</v>
      </c>
      <c r="H369" s="20">
        <f t="shared" si="37"/>
        <v>0.3193289038394051</v>
      </c>
      <c r="I369" s="20">
        <f t="shared" si="38"/>
        <v>-0.5978564947675935</v>
      </c>
      <c r="J369" s="25">
        <f t="shared" si="39"/>
        <v>9.6642364789366018E-3</v>
      </c>
      <c r="K369" s="19">
        <f t="shared" si="40"/>
        <v>1360.9649911292497</v>
      </c>
      <c r="L369" s="20">
        <f t="shared" si="41"/>
        <v>0.20677337721243969</v>
      </c>
      <c r="M369" s="20">
        <f t="shared" si="42"/>
        <v>0.17322662278756287</v>
      </c>
      <c r="AB369" s="20">
        <f t="shared" si="43"/>
        <v>0.21904362933323829</v>
      </c>
    </row>
    <row r="370" spans="1:28">
      <c r="A370" s="18" t="str">
        <f>Analysis!A370</f>
        <v>11/1988</v>
      </c>
      <c r="B370" s="19">
        <f>Analysis!B370</f>
        <v>1988.875</v>
      </c>
      <c r="C370" s="19">
        <f>Analysis!E370</f>
        <v>0.11999999999999744</v>
      </c>
      <c r="D370" s="20">
        <f>Analysis!F370</f>
        <v>0.32365829102624488</v>
      </c>
      <c r="E370" s="19">
        <f>IF(ENSO!F370="","",ENSO!F370)</f>
        <v>-1.81</v>
      </c>
      <c r="F370" s="25">
        <f>IF(Volcanic!G370="","",Volcanic!G370)</f>
        <v>7.1900000000000002E-3</v>
      </c>
      <c r="G370" s="19">
        <f>IF(Solar!D370="","",Solar!D370)</f>
        <v>1361.27</v>
      </c>
      <c r="H370" s="20">
        <f t="shared" si="37"/>
        <v>0.32365829102624488</v>
      </c>
      <c r="I370" s="20">
        <f t="shared" si="38"/>
        <v>-0.78394267487591751</v>
      </c>
      <c r="J370" s="25">
        <f t="shared" si="39"/>
        <v>9.4664074529177446E-3</v>
      </c>
      <c r="K370" s="19">
        <f t="shared" si="40"/>
        <v>1360.989378292054</v>
      </c>
      <c r="L370" s="20">
        <f t="shared" si="41"/>
        <v>0.19289124082429526</v>
      </c>
      <c r="M370" s="20">
        <f t="shared" si="42"/>
        <v>-7.289124082429782E-2</v>
      </c>
      <c r="AB370" s="20">
        <f t="shared" si="43"/>
        <v>0.20696058670150341</v>
      </c>
    </row>
    <row r="371" spans="1:28">
      <c r="A371" s="18" t="str">
        <f>Analysis!A371</f>
        <v>12/1988</v>
      </c>
      <c r="B371" s="19">
        <f>Analysis!B371</f>
        <v>1988.9583333333333</v>
      </c>
      <c r="C371" s="19">
        <f>Analysis!E371</f>
        <v>0.28999999999999559</v>
      </c>
      <c r="D371" s="20">
        <f>Analysis!F371</f>
        <v>0.32859030554145996</v>
      </c>
      <c r="E371" s="19">
        <f>IF(ENSO!F371="","",ENSO!F371)</f>
        <v>-1.85</v>
      </c>
      <c r="F371" s="25">
        <f>IF(Volcanic!G371="","",Volcanic!G371)</f>
        <v>6.8199999999999997E-3</v>
      </c>
      <c r="G371" s="19">
        <f>IF(Solar!D371="","",Solar!D371)</f>
        <v>1361.18</v>
      </c>
      <c r="H371" s="20">
        <f t="shared" si="37"/>
        <v>0.32859030554145996</v>
      </c>
      <c r="I371" s="20">
        <f t="shared" si="38"/>
        <v>-0.94760195659669244</v>
      </c>
      <c r="J371" s="25">
        <f t="shared" si="39"/>
        <v>9.2548123958903841E-3</v>
      </c>
      <c r="K371" s="19">
        <f t="shared" si="40"/>
        <v>1361.0046195622972</v>
      </c>
      <c r="L371" s="20">
        <f t="shared" si="41"/>
        <v>0.18385031895744494</v>
      </c>
      <c r="M371" s="20">
        <f t="shared" si="42"/>
        <v>0.10614968104255065</v>
      </c>
      <c r="AB371" s="20">
        <f t="shared" si="43"/>
        <v>0.19949371420501902</v>
      </c>
    </row>
    <row r="372" spans="1:28">
      <c r="A372" s="18" t="str">
        <f>Analysis!A372</f>
        <v>1/1989</v>
      </c>
      <c r="B372" s="19">
        <f>Analysis!B372</f>
        <v>1989.0416666666667</v>
      </c>
      <c r="C372" s="19">
        <f>Analysis!E372</f>
        <v>0.11999999999999744</v>
      </c>
      <c r="D372" s="20">
        <f>Analysis!F372</f>
        <v>0.33452741479971682</v>
      </c>
      <c r="E372" s="19">
        <f>IF(ENSO!F372="","",ENSO!F372)</f>
        <v>-1.64</v>
      </c>
      <c r="F372" s="25">
        <f>IF(Volcanic!G372="","",Volcanic!G372)</f>
        <v>6.5199999999999998E-3</v>
      </c>
      <c r="G372" s="19">
        <f>IF(Solar!D372="","",Solar!D372)</f>
        <v>1361.42</v>
      </c>
      <c r="H372" s="20">
        <f t="shared" si="37"/>
        <v>0.33452741479971682</v>
      </c>
      <c r="I372" s="20">
        <f t="shared" si="38"/>
        <v>-1.0538977099090818</v>
      </c>
      <c r="J372" s="25">
        <f t="shared" si="39"/>
        <v>9.036148869897986E-3</v>
      </c>
      <c r="K372" s="19">
        <f t="shared" si="40"/>
        <v>1361.0378315483451</v>
      </c>
      <c r="L372" s="20">
        <f t="shared" si="41"/>
        <v>0.18564652419509986</v>
      </c>
      <c r="M372" s="20">
        <f t="shared" si="42"/>
        <v>-6.5646524195102418E-2</v>
      </c>
      <c r="AB372" s="20">
        <f t="shared" si="43"/>
        <v>0.20228743872970517</v>
      </c>
    </row>
    <row r="373" spans="1:28">
      <c r="A373" s="18" t="str">
        <f>Analysis!A373</f>
        <v>2/1989</v>
      </c>
      <c r="B373" s="19">
        <f>Analysis!B373</f>
        <v>1989.125</v>
      </c>
      <c r="C373" s="19">
        <f>Analysis!E373</f>
        <v>0.30000000000000249</v>
      </c>
      <c r="D373" s="20">
        <f>Analysis!F373</f>
        <v>0.33599767738901826</v>
      </c>
      <c r="E373" s="19">
        <f>IF(ENSO!F373="","",ENSO!F373)</f>
        <v>-1.38</v>
      </c>
      <c r="F373" s="25">
        <f>IF(Volcanic!G373="","",Volcanic!G373)</f>
        <v>6.3600000000000002E-3</v>
      </c>
      <c r="G373" s="19">
        <f>IF(Solar!D373="","",Solar!D373)</f>
        <v>1361.62</v>
      </c>
      <c r="H373" s="20">
        <f t="shared" si="37"/>
        <v>0.33599767738901826</v>
      </c>
      <c r="I373" s="20">
        <f t="shared" si="38"/>
        <v>-1.1039603709930601</v>
      </c>
      <c r="J373" s="25">
        <f t="shared" si="39"/>
        <v>8.8221758204662173E-3</v>
      </c>
      <c r="K373" s="19">
        <f t="shared" si="40"/>
        <v>1361.0843791676816</v>
      </c>
      <c r="L373" s="20">
        <f t="shared" si="41"/>
        <v>0.18328335597988599</v>
      </c>
      <c r="M373" s="20">
        <f t="shared" si="42"/>
        <v>0.1167166440201165</v>
      </c>
      <c r="AB373" s="20">
        <f t="shared" si="43"/>
        <v>0.20047732682731897</v>
      </c>
    </row>
    <row r="374" spans="1:28">
      <c r="A374" s="18" t="str">
        <f>Analysis!A374</f>
        <v>3/1989</v>
      </c>
      <c r="B374" s="19">
        <f>Analysis!B374</f>
        <v>1989.2083333333333</v>
      </c>
      <c r="C374" s="19">
        <f>Analysis!E374</f>
        <v>0.36000000000000121</v>
      </c>
      <c r="D374" s="20">
        <f>Analysis!F374</f>
        <v>0.33864852908132032</v>
      </c>
      <c r="E374" s="19">
        <f>IF(ENSO!F374="","",ENSO!F374)</f>
        <v>-1.0900000000000001</v>
      </c>
      <c r="F374" s="25">
        <f>IF(Volcanic!G374="","",Volcanic!G374)</f>
        <v>5.9699999999999996E-3</v>
      </c>
      <c r="G374" s="19">
        <f>IF(Solar!D374="","",Solar!D374)</f>
        <v>1361.37</v>
      </c>
      <c r="H374" s="20">
        <f t="shared" si="37"/>
        <v>0.33864852908132032</v>
      </c>
      <c r="I374" s="20">
        <f t="shared" si="38"/>
        <v>-1.1018171989183183</v>
      </c>
      <c r="J374" s="25">
        <f t="shared" si="39"/>
        <v>8.5941284331607498E-3</v>
      </c>
      <c r="K374" s="19">
        <f t="shared" si="40"/>
        <v>1361.1072161485238</v>
      </c>
      <c r="L374" s="20">
        <f t="shared" si="41"/>
        <v>0.19152778971777695</v>
      </c>
      <c r="M374" s="20">
        <f t="shared" si="42"/>
        <v>0.16847221028222426</v>
      </c>
      <c r="AB374" s="20">
        <f t="shared" si="43"/>
        <v>0.20874758808934915</v>
      </c>
    </row>
    <row r="375" spans="1:28">
      <c r="A375" s="18" t="str">
        <f>Analysis!A375</f>
        <v>4/1989</v>
      </c>
      <c r="B375" s="19">
        <f>Analysis!B375</f>
        <v>1989.2916666666667</v>
      </c>
      <c r="C375" s="19">
        <f>Analysis!E375</f>
        <v>0.28999999999999559</v>
      </c>
      <c r="D375" s="20">
        <f>Analysis!F375</f>
        <v>0.3453152635906736</v>
      </c>
      <c r="E375" s="19">
        <f>IF(ENSO!F375="","",ENSO!F375)</f>
        <v>-0.85</v>
      </c>
      <c r="F375" s="25">
        <f>IF(Volcanic!G375="","",Volcanic!G375)</f>
        <v>5.8799999999999998E-3</v>
      </c>
      <c r="G375" s="19">
        <f>IF(Solar!D375="","",Solar!D375)</f>
        <v>1361.61</v>
      </c>
      <c r="H375" s="20">
        <f t="shared" si="37"/>
        <v>0.3453152635906736</v>
      </c>
      <c r="I375" s="20">
        <f t="shared" si="38"/>
        <v>-1.0631586568975009</v>
      </c>
      <c r="J375" s="25">
        <f t="shared" si="39"/>
        <v>8.377118705516183E-3</v>
      </c>
      <c r="K375" s="19">
        <f t="shared" si="40"/>
        <v>1361.1474165256836</v>
      </c>
      <c r="L375" s="20">
        <f t="shared" si="41"/>
        <v>0.21574750996089009</v>
      </c>
      <c r="M375" s="20">
        <f t="shared" si="42"/>
        <v>7.4252490039105501E-2</v>
      </c>
      <c r="AB375" s="20">
        <f t="shared" si="43"/>
        <v>0.23254063157071889</v>
      </c>
    </row>
    <row r="376" spans="1:28">
      <c r="A376" s="18" t="str">
        <f>Analysis!A376</f>
        <v>5/1989</v>
      </c>
      <c r="B376" s="19">
        <f>Analysis!B376</f>
        <v>1989.375</v>
      </c>
      <c r="C376" s="19">
        <f>Analysis!E376</f>
        <v>0.17999999999999972</v>
      </c>
      <c r="D376" s="20">
        <f>Analysis!F376</f>
        <v>0.34624777408277535</v>
      </c>
      <c r="E376" s="19">
        <f>IF(ENSO!F376="","",ENSO!F376)</f>
        <v>-0.61</v>
      </c>
      <c r="F376" s="25">
        <f>IF(Volcanic!G376="","",Volcanic!G376)</f>
        <v>5.7999999999999996E-3</v>
      </c>
      <c r="G376" s="19">
        <f>IF(Solar!D376="","",Solar!D376)</f>
        <v>1361.83</v>
      </c>
      <c r="H376" s="20">
        <f t="shared" si="37"/>
        <v>0.34624777408277535</v>
      </c>
      <c r="I376" s="20">
        <f t="shared" si="38"/>
        <v>-0.99359052153971061</v>
      </c>
      <c r="J376" s="25">
        <f t="shared" si="39"/>
        <v>8.1710636708469155E-3</v>
      </c>
      <c r="K376" s="19">
        <f t="shared" si="40"/>
        <v>1361.201992886937</v>
      </c>
      <c r="L376" s="20">
        <f t="shared" si="41"/>
        <v>0.22878572043606737</v>
      </c>
      <c r="M376" s="20">
        <f t="shared" si="42"/>
        <v>-4.8785720436067659E-2</v>
      </c>
      <c r="AB376" s="20">
        <f t="shared" si="43"/>
        <v>0.24497979320165275</v>
      </c>
    </row>
    <row r="377" spans="1:28">
      <c r="A377" s="18" t="str">
        <f>Analysis!A377</f>
        <v>6/1989</v>
      </c>
      <c r="B377" s="19">
        <f>Analysis!B377</f>
        <v>1989.4583333333333</v>
      </c>
      <c r="C377" s="19">
        <f>Analysis!E377</f>
        <v>0.14999999999999858</v>
      </c>
      <c r="D377" s="20">
        <f>Analysis!F377</f>
        <v>0.3441792192903127</v>
      </c>
      <c r="E377" s="19">
        <f>IF(ENSO!F377="","",ENSO!F377)</f>
        <v>-0.4</v>
      </c>
      <c r="F377" s="25">
        <f>IF(Volcanic!G377="","",Volcanic!G377)</f>
        <v>5.7400000000000003E-3</v>
      </c>
      <c r="G377" s="19">
        <f>IF(Solar!D377="","",Solar!D377)</f>
        <v>1361.23</v>
      </c>
      <c r="H377" s="20">
        <f t="shared" si="37"/>
        <v>0.3441792192903127</v>
      </c>
      <c r="I377" s="20">
        <f t="shared" si="38"/>
        <v>-0.90246352855165346</v>
      </c>
      <c r="J377" s="25">
        <f t="shared" si="39"/>
        <v>7.9766865519709639E-3</v>
      </c>
      <c r="K377" s="19">
        <f t="shared" si="40"/>
        <v>1361.2042322120565</v>
      </c>
      <c r="L377" s="20">
        <f t="shared" si="41"/>
        <v>0.23671131943111715</v>
      </c>
      <c r="M377" s="20">
        <f t="shared" si="42"/>
        <v>-8.6711319431118566E-2</v>
      </c>
      <c r="AB377" s="20">
        <f t="shared" si="43"/>
        <v>0.25216109294424666</v>
      </c>
    </row>
    <row r="378" spans="1:28">
      <c r="A378" s="18" t="str">
        <f>Analysis!A378</f>
        <v>7/1989</v>
      </c>
      <c r="B378" s="19">
        <f>Analysis!B378</f>
        <v>1989.5416666666667</v>
      </c>
      <c r="C378" s="19">
        <f>Analysis!E378</f>
        <v>0.34999999999999787</v>
      </c>
      <c r="D378" s="20">
        <f>Analysis!F378</f>
        <v>0.33852628923481626</v>
      </c>
      <c r="E378" s="19">
        <f>IF(ENSO!F378="","",ENSO!F378)</f>
        <v>-0.37</v>
      </c>
      <c r="F378" s="25">
        <f>IF(Volcanic!G378="","",Volcanic!G378)</f>
        <v>5.64E-3</v>
      </c>
      <c r="G378" s="19">
        <f>IF(Solar!D378="","",Solar!D378)</f>
        <v>1362.18</v>
      </c>
      <c r="H378" s="20">
        <f t="shared" si="37"/>
        <v>0.33852628923481626</v>
      </c>
      <c r="I378" s="20">
        <f t="shared" si="38"/>
        <v>-0.82072064608974638</v>
      </c>
      <c r="J378" s="25">
        <f t="shared" si="39"/>
        <v>7.7898554108803367E-3</v>
      </c>
      <c r="K378" s="19">
        <f t="shared" si="40"/>
        <v>1361.2822502967274</v>
      </c>
      <c r="L378" s="20">
        <f t="shared" si="41"/>
        <v>0.23359425050417701</v>
      </c>
      <c r="M378" s="20">
        <f t="shared" si="42"/>
        <v>0.11640574949582086</v>
      </c>
      <c r="AB378" s="20">
        <f t="shared" si="43"/>
        <v>0.24847017999725401</v>
      </c>
    </row>
    <row r="379" spans="1:28">
      <c r="A379" s="18" t="str">
        <f>Analysis!A379</f>
        <v>8/1989</v>
      </c>
      <c r="B379" s="19">
        <f>Analysis!B379</f>
        <v>1989.625</v>
      </c>
      <c r="C379" s="19">
        <f>Analysis!E379</f>
        <v>0.32999999999999652</v>
      </c>
      <c r="D379" s="20">
        <f>Analysis!F379</f>
        <v>0.32949268213527677</v>
      </c>
      <c r="E379" s="19">
        <f>IF(ENSO!F379="","",ENSO!F379)</f>
        <v>-0.36</v>
      </c>
      <c r="F379" s="25">
        <f>IF(Volcanic!G379="","",Volcanic!G379)</f>
        <v>5.7000000000000002E-3</v>
      </c>
      <c r="G379" s="19">
        <f>IF(Solar!D379="","",Solar!D379)</f>
        <v>1361.48</v>
      </c>
      <c r="H379" s="20">
        <f t="shared" si="37"/>
        <v>0.32949268213527677</v>
      </c>
      <c r="I379" s="20">
        <f t="shared" si="38"/>
        <v>-0.74999160719476665</v>
      </c>
      <c r="J379" s="25">
        <f t="shared" si="39"/>
        <v>7.6227597981633234E-3</v>
      </c>
      <c r="K379" s="19">
        <f t="shared" si="40"/>
        <v>1361.2980614900093</v>
      </c>
      <c r="L379" s="20">
        <f t="shared" si="41"/>
        <v>0.21971400798738816</v>
      </c>
      <c r="M379" s="20">
        <f t="shared" si="42"/>
        <v>0.11028599201260836</v>
      </c>
      <c r="AB379" s="20">
        <f t="shared" si="43"/>
        <v>0.23419187502257927</v>
      </c>
    </row>
    <row r="380" spans="1:28">
      <c r="A380" s="18" t="str">
        <f>Analysis!A380</f>
        <v>9/1989</v>
      </c>
      <c r="B380" s="19">
        <f>Analysis!B380</f>
        <v>1989.7083333333333</v>
      </c>
      <c r="C380" s="19">
        <f>Analysis!E380</f>
        <v>0.34999999999999787</v>
      </c>
      <c r="D380" s="20">
        <f>Analysis!F380</f>
        <v>0.32229902592307286</v>
      </c>
      <c r="E380" s="19">
        <f>IF(ENSO!F380="","",ENSO!F380)</f>
        <v>-0.33</v>
      </c>
      <c r="F380" s="25">
        <f>IF(Volcanic!G380="","",Volcanic!G380)</f>
        <v>5.79E-3</v>
      </c>
      <c r="G380" s="19">
        <f>IF(Solar!D380="","",Solar!D380)</f>
        <v>1361.19</v>
      </c>
      <c r="H380" s="20">
        <f t="shared" si="37"/>
        <v>0.32229902592307286</v>
      </c>
      <c r="I380" s="20">
        <f t="shared" si="38"/>
        <v>-0.6855152200978073</v>
      </c>
      <c r="J380" s="25">
        <f t="shared" si="39"/>
        <v>7.4762204156573319E-3</v>
      </c>
      <c r="K380" s="19">
        <f t="shared" si="40"/>
        <v>1361.2894213703196</v>
      </c>
      <c r="L380" s="20">
        <f t="shared" si="41"/>
        <v>0.20985719791478416</v>
      </c>
      <c r="M380" s="20">
        <f t="shared" si="42"/>
        <v>0.14014280208521371</v>
      </c>
      <c r="AB380" s="20">
        <f t="shared" si="43"/>
        <v>0.22394534764745502</v>
      </c>
    </row>
    <row r="381" spans="1:28">
      <c r="A381" s="18" t="str">
        <f>Analysis!A381</f>
        <v>10/1989</v>
      </c>
      <c r="B381" s="19">
        <f>Analysis!B381</f>
        <v>1989.7916666666667</v>
      </c>
      <c r="C381" s="19">
        <f>Analysis!E381</f>
        <v>0.28999999999999559</v>
      </c>
      <c r="D381" s="20">
        <f>Analysis!F381</f>
        <v>0.32328770935119977</v>
      </c>
      <c r="E381" s="19">
        <f>IF(ENSO!F381="","",ENSO!F381)</f>
        <v>-0.25</v>
      </c>
      <c r="F381" s="25">
        <f>IF(Volcanic!G381="","",Volcanic!G381)</f>
        <v>5.6899999999999997E-3</v>
      </c>
      <c r="G381" s="19">
        <f>IF(Solar!D381="","",Solar!D381)</f>
        <v>1362.03</v>
      </c>
      <c r="H381" s="20">
        <f t="shared" si="37"/>
        <v>0.32328770935119977</v>
      </c>
      <c r="I381" s="20">
        <f t="shared" si="38"/>
        <v>-0.61865567472450744</v>
      </c>
      <c r="J381" s="25">
        <f t="shared" si="39"/>
        <v>7.3334021167223958E-3</v>
      </c>
      <c r="K381" s="19">
        <f t="shared" si="40"/>
        <v>1361.3486347681687</v>
      </c>
      <c r="L381" s="20">
        <f t="shared" si="41"/>
        <v>0.22245054797022884</v>
      </c>
      <c r="M381" s="20">
        <f t="shared" si="42"/>
        <v>6.7549452029766754E-2</v>
      </c>
      <c r="AB381" s="20">
        <f t="shared" si="43"/>
        <v>0.23593468644788501</v>
      </c>
    </row>
    <row r="382" spans="1:28">
      <c r="A382" s="18" t="str">
        <f>Analysis!A382</f>
        <v>11/1989</v>
      </c>
      <c r="B382" s="19">
        <f>Analysis!B382</f>
        <v>1989.875</v>
      </c>
      <c r="C382" s="19">
        <f>Analysis!E382</f>
        <v>0.20000000000000107</v>
      </c>
      <c r="D382" s="20">
        <f>Analysis!F382</f>
        <v>0.32830306731117204</v>
      </c>
      <c r="E382" s="19">
        <f>IF(ENSO!F382="","",ENSO!F382)</f>
        <v>-0.12</v>
      </c>
      <c r="F382" s="25">
        <f>IF(Volcanic!G382="","",Volcanic!G382)</f>
        <v>5.4999999999999997E-3</v>
      </c>
      <c r="G382" s="19">
        <f>IF(Solar!D382="","",Solar!D382)</f>
        <v>1361.84</v>
      </c>
      <c r="H382" s="20">
        <f t="shared" si="37"/>
        <v>0.32830306731117204</v>
      </c>
      <c r="I382" s="20">
        <f t="shared" si="38"/>
        <v>-0.54210291566729407</v>
      </c>
      <c r="J382" s="25">
        <f t="shared" si="39"/>
        <v>7.1868113772600188E-3</v>
      </c>
      <c r="K382" s="19">
        <f t="shared" si="40"/>
        <v>1361.3879221629106</v>
      </c>
      <c r="L382" s="20">
        <f t="shared" si="41"/>
        <v>0.2473134397877027</v>
      </c>
      <c r="M382" s="20">
        <f t="shared" si="42"/>
        <v>-4.7313439787701639E-2</v>
      </c>
      <c r="AB382" s="20">
        <f t="shared" si="43"/>
        <v>0.26000808712384593</v>
      </c>
    </row>
    <row r="383" spans="1:28">
      <c r="A383" s="18" t="str">
        <f>Analysis!A383</f>
        <v>12/1989</v>
      </c>
      <c r="B383" s="19">
        <f>Analysis!B383</f>
        <v>1989.9583333333333</v>
      </c>
      <c r="C383" s="19">
        <f>Analysis!E383</f>
        <v>0.36999999999999744</v>
      </c>
      <c r="D383" s="20">
        <f>Analysis!F383</f>
        <v>0.33387348349714652</v>
      </c>
      <c r="E383" s="19">
        <f>IF(ENSO!F383="","",ENSO!F383)</f>
        <v>-0.04</v>
      </c>
      <c r="F383" s="25">
        <f>IF(Volcanic!G383="","",Volcanic!G383)</f>
        <v>5.3899999999999998E-3</v>
      </c>
      <c r="G383" s="19">
        <f>IF(Solar!D383="","",Solar!D383)</f>
        <v>1361.88</v>
      </c>
      <c r="H383" s="20">
        <f t="shared" si="37"/>
        <v>0.33387348349714652</v>
      </c>
      <c r="I383" s="20">
        <f t="shared" si="38"/>
        <v>-0.46502094212665768</v>
      </c>
      <c r="J383" s="25">
        <f t="shared" si="39"/>
        <v>7.0431462717905026E-3</v>
      </c>
      <c r="K383" s="19">
        <f t="shared" si="40"/>
        <v>1361.4272665344231</v>
      </c>
      <c r="L383" s="20">
        <f t="shared" si="41"/>
        <v>0.27374206401567031</v>
      </c>
      <c r="M383" s="20">
        <f t="shared" si="42"/>
        <v>9.6257935984327136E-2</v>
      </c>
      <c r="AB383" s="20">
        <f t="shared" si="43"/>
        <v>0.28562785108745664</v>
      </c>
    </row>
    <row r="384" spans="1:28">
      <c r="A384" s="18" t="str">
        <f>Analysis!A384</f>
        <v>1/1990</v>
      </c>
      <c r="B384" s="19">
        <f>Analysis!B384</f>
        <v>1990.0416666666667</v>
      </c>
      <c r="C384" s="19">
        <f>Analysis!E384</f>
        <v>0.42000000000000348</v>
      </c>
      <c r="D384" s="20">
        <f>Analysis!F384</f>
        <v>0.33775186292539572</v>
      </c>
      <c r="E384" s="19">
        <f>IF(ENSO!F384="","",ENSO!F384)</f>
        <v>0.18</v>
      </c>
      <c r="F384" s="25">
        <f>IF(Volcanic!G384="","",Volcanic!G384)</f>
        <v>5.2399999999999999E-3</v>
      </c>
      <c r="G384" s="19">
        <f>IF(Solar!D384="","",Solar!D384)</f>
        <v>1361.9</v>
      </c>
      <c r="H384" s="20">
        <f t="shared" si="37"/>
        <v>0.33775186292539572</v>
      </c>
      <c r="I384" s="20">
        <f t="shared" si="38"/>
        <v>-0.36599843968194218</v>
      </c>
      <c r="J384" s="25">
        <f t="shared" si="39"/>
        <v>6.8989746561205403E-3</v>
      </c>
      <c r="K384" s="19">
        <f t="shared" si="40"/>
        <v>1361.4650642153877</v>
      </c>
      <c r="L384" s="20">
        <f t="shared" si="41"/>
        <v>0.29869311363390105</v>
      </c>
      <c r="M384" s="20">
        <f t="shared" si="42"/>
        <v>0.12130688636610243</v>
      </c>
      <c r="AB384" s="20">
        <f t="shared" si="43"/>
        <v>0.30959655437317157</v>
      </c>
    </row>
    <row r="385" spans="1:28">
      <c r="A385" s="18" t="str">
        <f>Analysis!A385</f>
        <v>2/1990</v>
      </c>
      <c r="B385" s="19">
        <f>Analysis!B385</f>
        <v>1990.125</v>
      </c>
      <c r="C385" s="19">
        <f>Analysis!E385</f>
        <v>0.44000000000000483</v>
      </c>
      <c r="D385" s="20">
        <f>Analysis!F385</f>
        <v>0.34279853318864284</v>
      </c>
      <c r="E385" s="19">
        <f>IF(ENSO!F385="","",ENSO!F385)</f>
        <v>0.19</v>
      </c>
      <c r="F385" s="25">
        <f>IF(Volcanic!G385="","",Volcanic!G385)</f>
        <v>5.2900000000000004E-3</v>
      </c>
      <c r="G385" s="19">
        <f>IF(Solar!D385="","",Solar!D385)</f>
        <v>1361.67</v>
      </c>
      <c r="H385" s="20">
        <f t="shared" si="37"/>
        <v>0.34279853318864284</v>
      </c>
      <c r="I385" s="20">
        <f t="shared" si="38"/>
        <v>-0.28064251825846048</v>
      </c>
      <c r="J385" s="25">
        <f t="shared" si="39"/>
        <v>6.7703281456438398E-3</v>
      </c>
      <c r="K385" s="19">
        <f t="shared" si="40"/>
        <v>1361.4814499760098</v>
      </c>
      <c r="L385" s="20">
        <f t="shared" si="41"/>
        <v>0.32482211661830401</v>
      </c>
      <c r="M385" s="20">
        <f t="shared" si="42"/>
        <v>0.11517788338170082</v>
      </c>
      <c r="AB385" s="20">
        <f t="shared" si="43"/>
        <v>0.33484142534114691</v>
      </c>
    </row>
    <row r="386" spans="1:28">
      <c r="A386" s="18" t="str">
        <f>Analysis!A386</f>
        <v>3/1990</v>
      </c>
      <c r="B386" s="19">
        <f>Analysis!B386</f>
        <v>1990.2083333333333</v>
      </c>
      <c r="C386" s="19">
        <f>Analysis!E386</f>
        <v>0.79999999999999893</v>
      </c>
      <c r="D386" s="20">
        <f>Analysis!F386</f>
        <v>0.34543692958151601</v>
      </c>
      <c r="E386" s="19">
        <f>IF(ENSO!F386="","",ENSO!F386)</f>
        <v>0.3</v>
      </c>
      <c r="F386" s="25">
        <f>IF(Volcanic!G386="","",Volcanic!G386)</f>
        <v>5.7999999999999996E-3</v>
      </c>
      <c r="G386" s="19">
        <f>IF(Solar!D386="","",Solar!D386)</f>
        <v>1361.67</v>
      </c>
      <c r="H386" s="20">
        <f t="shared" ref="H386:H449" si="44">IF(D386="","",IF(OR(ROW()=2,H385=""),D386,$Q$3*H385+(1-$Q$3)*D386))</f>
        <v>0.34543692958151601</v>
      </c>
      <c r="I386" s="20">
        <f t="shared" ref="I386:I449" si="45">IF(E386="","",IF(OR(ROW()=2,I385=""),E386,$Q$4*I385+(1-$Q$4)*E386))</f>
        <v>-0.19150328040025155</v>
      </c>
      <c r="J386" s="25">
        <f t="shared" ref="J386:J449" si="46">IF(F386="","",IF(OR(ROW()=2,J385=""),F386,$Q$5*J385+(1-$Q$5)*F386))</f>
        <v>6.6927449907572432E-3</v>
      </c>
      <c r="K386" s="19">
        <f t="shared" ref="K386:K449" si="47">IF(G386="","",IF(OR(ROW()=2,K385=""),G386,$Q$6*K385+(1-$Q$6)*G386))</f>
        <v>1361.4965256035496</v>
      </c>
      <c r="L386" s="20">
        <f t="shared" ref="L386:L449" si="48">IF(OR(I386="",J386=""),"",$P$13+$P$14*H386+$P$15*I386+$P$16*J386)</f>
        <v>0.34479940717797702</v>
      </c>
      <c r="M386" s="20">
        <f t="shared" ref="M386:M449" si="49">IF(L386="","",C386-L386)</f>
        <v>0.45520059282202191</v>
      </c>
      <c r="AB386" s="20">
        <f t="shared" ref="AB386:AB449" si="50">IF(OR(I386="",J386=""),"",$P$52+$P$53*H386+$P$54*I386+$P$55*J386)</f>
        <v>0.3539294413403935</v>
      </c>
    </row>
    <row r="387" spans="1:28">
      <c r="A387" s="18" t="str">
        <f>Analysis!A387</f>
        <v>4/1990</v>
      </c>
      <c r="B387" s="19">
        <f>Analysis!B387</f>
        <v>1990.2916666666667</v>
      </c>
      <c r="C387" s="19">
        <f>Analysis!E387</f>
        <v>0.55999999999999872</v>
      </c>
      <c r="D387" s="20">
        <f>Analysis!F387</f>
        <v>0.34798954810025179</v>
      </c>
      <c r="E387" s="19">
        <f>IF(ENSO!F387="","",ENSO!F387)</f>
        <v>0.27</v>
      </c>
      <c r="F387" s="25">
        <f>IF(Volcanic!G387="","",Volcanic!G387)</f>
        <v>5.9899999999999997E-3</v>
      </c>
      <c r="G387" s="19">
        <f>IF(Solar!D387="","",Solar!D387)</f>
        <v>1361.95</v>
      </c>
      <c r="H387" s="20">
        <f t="shared" si="44"/>
        <v>0.34798954810025179</v>
      </c>
      <c r="I387" s="20">
        <f t="shared" si="45"/>
        <v>-0.12065409283588169</v>
      </c>
      <c r="J387" s="25">
        <f t="shared" si="46"/>
        <v>6.6365566036549369E-3</v>
      </c>
      <c r="K387" s="19">
        <f t="shared" si="47"/>
        <v>1361.5327834143684</v>
      </c>
      <c r="L387" s="20">
        <f t="shared" si="48"/>
        <v>0.36189105053388754</v>
      </c>
      <c r="M387" s="20">
        <f t="shared" si="49"/>
        <v>0.19810894946611118</v>
      </c>
      <c r="AB387" s="20">
        <f t="shared" si="50"/>
        <v>0.3703011371744554</v>
      </c>
    </row>
    <row r="388" spans="1:28">
      <c r="A388" s="18" t="str">
        <f>Analysis!A388</f>
        <v>5/1990</v>
      </c>
      <c r="B388" s="19">
        <f>Analysis!B388</f>
        <v>1990.375</v>
      </c>
      <c r="C388" s="19">
        <f>Analysis!E388</f>
        <v>0.46000000000000441</v>
      </c>
      <c r="D388" s="20">
        <f>Analysis!F388</f>
        <v>0.35203207215550791</v>
      </c>
      <c r="E388" s="19">
        <f>IF(ENSO!F388="","",ENSO!F388)</f>
        <v>0.25</v>
      </c>
      <c r="F388" s="25">
        <f>IF(Volcanic!G388="","",Volcanic!G388)</f>
        <v>6.1999999999999998E-3</v>
      </c>
      <c r="G388" s="19">
        <f>IF(Solar!D388="","",Solar!D388)</f>
        <v>1361.55</v>
      </c>
      <c r="H388" s="20">
        <f t="shared" si="44"/>
        <v>0.35203207215550791</v>
      </c>
      <c r="I388" s="20">
        <f t="shared" si="45"/>
        <v>-6.3751915841482959E-2</v>
      </c>
      <c r="J388" s="25">
        <f t="shared" si="46"/>
        <v>6.601651464862272E-3</v>
      </c>
      <c r="K388" s="19">
        <f t="shared" si="47"/>
        <v>1361.5341599765507</v>
      </c>
      <c r="L388" s="20">
        <f t="shared" si="48"/>
        <v>0.3809712410655387</v>
      </c>
      <c r="M388" s="20">
        <f t="shared" si="49"/>
        <v>7.9028758934465704E-2</v>
      </c>
      <c r="AB388" s="20">
        <f t="shared" si="50"/>
        <v>0.38875214409992032</v>
      </c>
    </row>
    <row r="389" spans="1:28">
      <c r="A389" s="18" t="str">
        <f>Analysis!A389</f>
        <v>6/1990</v>
      </c>
      <c r="B389" s="19">
        <f>Analysis!B389</f>
        <v>1990.4583333333333</v>
      </c>
      <c r="C389" s="19">
        <f>Analysis!E389</f>
        <v>0.36999999999999744</v>
      </c>
      <c r="D389" s="20">
        <f>Analysis!F389</f>
        <v>0.34803002946285083</v>
      </c>
      <c r="E389" s="19">
        <f>IF(ENSO!F389="","",ENSO!F389)</f>
        <v>0.25</v>
      </c>
      <c r="F389" s="25">
        <f>IF(Volcanic!G389="","",Volcanic!G389)</f>
        <v>6.2599999999999999E-3</v>
      </c>
      <c r="G389" s="19">
        <f>IF(Solar!D389="","",Solar!D389)</f>
        <v>1361.85</v>
      </c>
      <c r="H389" s="20">
        <f t="shared" si="44"/>
        <v>0.34803002946285083</v>
      </c>
      <c r="I389" s="20">
        <f t="shared" si="45"/>
        <v>-1.5585262909233295E-2</v>
      </c>
      <c r="J389" s="25">
        <f t="shared" si="46"/>
        <v>6.5743345219964602E-3</v>
      </c>
      <c r="K389" s="19">
        <f t="shared" si="47"/>
        <v>1361.559413150509</v>
      </c>
      <c r="L389" s="20">
        <f t="shared" si="48"/>
        <v>0.3770390159176138</v>
      </c>
      <c r="M389" s="20">
        <f t="shared" si="49"/>
        <v>-7.0390159176163536E-3</v>
      </c>
      <c r="AB389" s="20">
        <f t="shared" si="50"/>
        <v>0.38445812326143963</v>
      </c>
    </row>
    <row r="390" spans="1:28">
      <c r="A390" s="18" t="str">
        <f>Analysis!A390</f>
        <v>7/1990</v>
      </c>
      <c r="B390" s="19">
        <f>Analysis!B390</f>
        <v>1990.5416666666667</v>
      </c>
      <c r="C390" s="19">
        <f>Analysis!E390</f>
        <v>0.46000000000000441</v>
      </c>
      <c r="D390" s="20">
        <f>Analysis!F390</f>
        <v>0.34194509590805666</v>
      </c>
      <c r="E390" s="19">
        <f>IF(ENSO!F390="","",ENSO!F390)</f>
        <v>0.26</v>
      </c>
      <c r="F390" s="25">
        <f>IF(Volcanic!G390="","",Volcanic!G390)</f>
        <v>6.3E-3</v>
      </c>
      <c r="G390" s="19">
        <f>IF(Solar!D390="","",Solar!D390)</f>
        <v>1361.44</v>
      </c>
      <c r="H390" s="20">
        <f t="shared" si="44"/>
        <v>0.34194509590805666</v>
      </c>
      <c r="I390" s="20">
        <f t="shared" si="45"/>
        <v>2.6722111298158813E-2</v>
      </c>
      <c r="J390" s="25">
        <f t="shared" si="46"/>
        <v>6.5523999447028485E-3</v>
      </c>
      <c r="K390" s="19">
        <f t="shared" si="47"/>
        <v>1361.5498654021592</v>
      </c>
      <c r="L390" s="20">
        <f t="shared" si="48"/>
        <v>0.36662916537117862</v>
      </c>
      <c r="M390" s="20">
        <f t="shared" si="49"/>
        <v>9.3370834628825783E-2</v>
      </c>
      <c r="AB390" s="20">
        <f t="shared" si="50"/>
        <v>0.37378899768529156</v>
      </c>
    </row>
    <row r="391" spans="1:28">
      <c r="A391" s="18" t="str">
        <f>Analysis!A391</f>
        <v>8/1990</v>
      </c>
      <c r="B391" s="19">
        <f>Analysis!B391</f>
        <v>1990.625</v>
      </c>
      <c r="C391" s="19">
        <f>Analysis!E391</f>
        <v>0.33999999999999986</v>
      </c>
      <c r="D391" s="20">
        <f>Analysis!F391</f>
        <v>0.3344865527759821</v>
      </c>
      <c r="E391" s="19">
        <f>IF(ENSO!F391="","",ENSO!F391)</f>
        <v>0.32</v>
      </c>
      <c r="F391" s="25">
        <f>IF(Volcanic!G391="","",Volcanic!G391)</f>
        <v>6.5799999999999999E-3</v>
      </c>
      <c r="G391" s="19">
        <f>IF(Solar!D391="","",Solar!D391)</f>
        <v>1361.04</v>
      </c>
      <c r="H391" s="20">
        <f t="shared" si="44"/>
        <v>0.3344865527759821</v>
      </c>
      <c r="I391" s="20">
        <f t="shared" si="45"/>
        <v>7.1745626899387918E-2</v>
      </c>
      <c r="J391" s="25">
        <f t="shared" si="46"/>
        <v>6.5546067232803949E-3</v>
      </c>
      <c r="K391" s="19">
        <f t="shared" si="47"/>
        <v>1361.5090988154693</v>
      </c>
      <c r="L391" s="20">
        <f t="shared" si="48"/>
        <v>0.35280624347511697</v>
      </c>
      <c r="M391" s="20">
        <f t="shared" si="49"/>
        <v>-1.2806243475117107E-2</v>
      </c>
      <c r="AB391" s="20">
        <f t="shared" si="50"/>
        <v>0.35970081070910215</v>
      </c>
    </row>
    <row r="392" spans="1:28">
      <c r="A392" s="18" t="str">
        <f>Analysis!A392</f>
        <v>9/1990</v>
      </c>
      <c r="B392" s="19">
        <f>Analysis!B392</f>
        <v>1990.7083333333333</v>
      </c>
      <c r="C392" s="19">
        <f>Analysis!E392</f>
        <v>0.2300000000000022</v>
      </c>
      <c r="D392" s="20">
        <f>Analysis!F392</f>
        <v>0.32760525056773293</v>
      </c>
      <c r="E392" s="19">
        <f>IF(ENSO!F392="","",ENSO!F392)</f>
        <v>0.31</v>
      </c>
      <c r="F392" s="25">
        <f>IF(Volcanic!G392="","",Volcanic!G392)</f>
        <v>6.6E-3</v>
      </c>
      <c r="G392" s="19">
        <f>IF(Solar!D392="","",Solar!D392)</f>
        <v>1361.86</v>
      </c>
      <c r="H392" s="20">
        <f t="shared" si="44"/>
        <v>0.32760525056773293</v>
      </c>
      <c r="I392" s="20">
        <f t="shared" si="45"/>
        <v>0.10832202729506195</v>
      </c>
      <c r="J392" s="25">
        <f t="shared" si="46"/>
        <v>6.5582361692924042E-3</v>
      </c>
      <c r="K392" s="19">
        <f t="shared" si="47"/>
        <v>1361.5371553250857</v>
      </c>
      <c r="L392" s="20">
        <f t="shared" si="48"/>
        <v>0.33934739008381098</v>
      </c>
      <c r="M392" s="20">
        <f t="shared" si="49"/>
        <v>-0.10934739008380878</v>
      </c>
      <c r="AB392" s="20">
        <f t="shared" si="50"/>
        <v>0.34604462060913477</v>
      </c>
    </row>
    <row r="393" spans="1:28">
      <c r="A393" s="18" t="str">
        <f>Analysis!A393</f>
        <v>10/1990</v>
      </c>
      <c r="B393" s="19">
        <f>Analysis!B393</f>
        <v>1990.7916666666667</v>
      </c>
      <c r="C393" s="19">
        <f>Analysis!E393</f>
        <v>0.44999999999999751</v>
      </c>
      <c r="D393" s="20">
        <f>Analysis!F393</f>
        <v>0.32887748659446853</v>
      </c>
      <c r="E393" s="19">
        <f>IF(ENSO!F393="","",ENSO!F393)</f>
        <v>0.27</v>
      </c>
      <c r="F393" s="25">
        <f>IF(Volcanic!G393="","",Volcanic!G393)</f>
        <v>6.2500000000000003E-3</v>
      </c>
      <c r="G393" s="19">
        <f>IF(Solar!D393="","",Solar!D393)</f>
        <v>1361.63</v>
      </c>
      <c r="H393" s="20">
        <f t="shared" si="44"/>
        <v>0.32887748659446853</v>
      </c>
      <c r="I393" s="20">
        <f t="shared" si="45"/>
        <v>0.13314255078790641</v>
      </c>
      <c r="J393" s="25">
        <f t="shared" si="46"/>
        <v>6.5335909659442149E-3</v>
      </c>
      <c r="K393" s="19">
        <f t="shared" si="47"/>
        <v>1361.544578775417</v>
      </c>
      <c r="L393" s="20">
        <f t="shared" si="48"/>
        <v>0.346374039997419</v>
      </c>
      <c r="M393" s="20">
        <f t="shared" si="49"/>
        <v>0.10362596000257851</v>
      </c>
      <c r="AB393" s="20">
        <f t="shared" si="50"/>
        <v>0.35281265148870194</v>
      </c>
    </row>
    <row r="394" spans="1:28">
      <c r="A394" s="18" t="str">
        <f>Analysis!A394</f>
        <v>11/1990</v>
      </c>
      <c r="B394" s="19">
        <f>Analysis!B394</f>
        <v>1990.875</v>
      </c>
      <c r="C394" s="19">
        <f>Analysis!E394</f>
        <v>0.46000000000000441</v>
      </c>
      <c r="D394" s="20">
        <f>Analysis!F394</f>
        <v>0.33481341656461083</v>
      </c>
      <c r="E394" s="19">
        <f>IF(ENSO!F394="","",ENSO!F394)</f>
        <v>0.31</v>
      </c>
      <c r="F394" s="25">
        <f>IF(Volcanic!G394="","",Volcanic!G394)</f>
        <v>6.1599999999999997E-3</v>
      </c>
      <c r="G394" s="19">
        <f>IF(Solar!D394="","",Solar!D394)</f>
        <v>1360.75</v>
      </c>
      <c r="H394" s="20">
        <f t="shared" si="44"/>
        <v>0.33481341656461083</v>
      </c>
      <c r="I394" s="20">
        <f t="shared" si="45"/>
        <v>0.16029340133119283</v>
      </c>
      <c r="J394" s="25">
        <f t="shared" si="46"/>
        <v>6.5037202815729491E-3</v>
      </c>
      <c r="K394" s="19">
        <f t="shared" si="47"/>
        <v>1361.4810477643055</v>
      </c>
      <c r="L394" s="20">
        <f t="shared" si="48"/>
        <v>0.36635871449283991</v>
      </c>
      <c r="M394" s="20">
        <f t="shared" si="49"/>
        <v>9.3641285507164496E-2</v>
      </c>
      <c r="AB394" s="20">
        <f t="shared" si="50"/>
        <v>0.37241061287249944</v>
      </c>
    </row>
    <row r="395" spans="1:28">
      <c r="A395" s="18" t="str">
        <f>Analysis!A395</f>
        <v>12/1990</v>
      </c>
      <c r="B395" s="19">
        <f>Analysis!B395</f>
        <v>1990.9583333333333</v>
      </c>
      <c r="C395" s="19">
        <f>Analysis!E395</f>
        <v>0.40000000000000213</v>
      </c>
      <c r="D395" s="20">
        <f>Analysis!F395</f>
        <v>0.33999248424772416</v>
      </c>
      <c r="E395" s="19">
        <f>IF(ENSO!F395="","",ENSO!F395)</f>
        <v>0.34</v>
      </c>
      <c r="F395" s="25">
        <f>IF(Volcanic!G395="","",Volcanic!G395)</f>
        <v>5.8900000000000003E-3</v>
      </c>
      <c r="G395" s="19">
        <f>IF(Solar!D395="","",Solar!D395)</f>
        <v>1361.33</v>
      </c>
      <c r="H395" s="20">
        <f t="shared" si="44"/>
        <v>0.33999248424772416</v>
      </c>
      <c r="I395" s="20">
        <f t="shared" si="45"/>
        <v>0.18788164838460278</v>
      </c>
      <c r="J395" s="25">
        <f t="shared" si="46"/>
        <v>6.4546499172059273E-3</v>
      </c>
      <c r="K395" s="19">
        <f t="shared" si="47"/>
        <v>1361.4689706518916</v>
      </c>
      <c r="L395" s="20">
        <f t="shared" si="48"/>
        <v>0.38442356010214834</v>
      </c>
      <c r="M395" s="20">
        <f t="shared" si="49"/>
        <v>1.5576439897853789E-2</v>
      </c>
      <c r="AB395" s="20">
        <f t="shared" si="50"/>
        <v>0.39011111284389732</v>
      </c>
    </row>
    <row r="396" spans="1:28">
      <c r="A396" s="18" t="str">
        <f>Analysis!A396</f>
        <v>1/1991</v>
      </c>
      <c r="B396" s="19">
        <f>Analysis!B396</f>
        <v>1991.0416666666667</v>
      </c>
      <c r="C396" s="19">
        <f>Analysis!E396</f>
        <v>0.42999999999999972</v>
      </c>
      <c r="D396" s="20">
        <f>Analysis!F396</f>
        <v>0.3421076943180667</v>
      </c>
      <c r="E396" s="19">
        <f>IF(ENSO!F396="","",ENSO!F396)</f>
        <v>0.35</v>
      </c>
      <c r="F396" s="25">
        <f>IF(Volcanic!G396="","",Volcanic!G396)</f>
        <v>5.7800000000000004E-3</v>
      </c>
      <c r="G396" s="19">
        <f>IF(Solar!D396="","",Solar!D396)</f>
        <v>1360.94</v>
      </c>
      <c r="H396" s="20">
        <f t="shared" si="44"/>
        <v>0.3421076943180667</v>
      </c>
      <c r="I396" s="20">
        <f t="shared" si="45"/>
        <v>0.21276977808817549</v>
      </c>
      <c r="J396" s="25">
        <f t="shared" si="46"/>
        <v>6.4007078881554488E-3</v>
      </c>
      <c r="K396" s="19">
        <f t="shared" si="47"/>
        <v>1361.4266764937756</v>
      </c>
      <c r="L396" s="20">
        <f t="shared" si="48"/>
        <v>0.39383868505596892</v>
      </c>
      <c r="M396" s="20">
        <f t="shared" si="49"/>
        <v>3.6161314944030798E-2</v>
      </c>
      <c r="AB396" s="20">
        <f t="shared" si="50"/>
        <v>0.39926132207619236</v>
      </c>
    </row>
    <row r="397" spans="1:28">
      <c r="A397" s="18" t="str">
        <f>Analysis!A397</f>
        <v>2/1991</v>
      </c>
      <c r="B397" s="19">
        <f>Analysis!B397</f>
        <v>1991.125</v>
      </c>
      <c r="C397" s="19">
        <f>Analysis!E397</f>
        <v>0.5</v>
      </c>
      <c r="D397" s="20">
        <f>Analysis!F397</f>
        <v>0.34572077699832093</v>
      </c>
      <c r="E397" s="19">
        <f>IF(ENSO!F397="","",ENSO!F397)</f>
        <v>0.26</v>
      </c>
      <c r="F397" s="25">
        <f>IF(Volcanic!G397="","",Volcanic!G397)</f>
        <v>5.7499999999999999E-3</v>
      </c>
      <c r="G397" s="19">
        <f>IF(Solar!D397="","",Solar!D397)</f>
        <v>1361.29</v>
      </c>
      <c r="H397" s="20">
        <f t="shared" si="44"/>
        <v>0.34572077699832093</v>
      </c>
      <c r="I397" s="20">
        <f t="shared" si="45"/>
        <v>0.22002048028911231</v>
      </c>
      <c r="J397" s="25">
        <f t="shared" si="46"/>
        <v>6.3486801580526627E-3</v>
      </c>
      <c r="K397" s="19">
        <f t="shared" si="47"/>
        <v>1361.4157484447094</v>
      </c>
      <c r="L397" s="20">
        <f t="shared" si="48"/>
        <v>0.404808813105478</v>
      </c>
      <c r="M397" s="20">
        <f t="shared" si="49"/>
        <v>9.5191186894521995E-2</v>
      </c>
      <c r="AB397" s="20">
        <f t="shared" si="50"/>
        <v>0.41010209449195234</v>
      </c>
    </row>
    <row r="398" spans="1:28">
      <c r="A398" s="18" t="str">
        <f>Analysis!A398</f>
        <v>3/1991</v>
      </c>
      <c r="B398" s="19">
        <f>Analysis!B398</f>
        <v>1991.2083333333333</v>
      </c>
      <c r="C398" s="19">
        <f>Analysis!E398</f>
        <v>0.36000000000000121</v>
      </c>
      <c r="D398" s="20">
        <f>Analysis!F398</f>
        <v>0.35183021475275128</v>
      </c>
      <c r="E398" s="19">
        <f>IF(ENSO!F398="","",ENSO!F398)</f>
        <v>0.23</v>
      </c>
      <c r="F398" s="25">
        <f>IF(Volcanic!G398="","",Volcanic!G398)</f>
        <v>5.6299999999999996E-3</v>
      </c>
      <c r="G398" s="19">
        <f>IF(Solar!D398="","",Solar!D398)</f>
        <v>1362.25</v>
      </c>
      <c r="H398" s="20">
        <f t="shared" si="44"/>
        <v>0.35183021475275128</v>
      </c>
      <c r="I398" s="20">
        <f t="shared" si="45"/>
        <v>0.22155251894154793</v>
      </c>
      <c r="J398" s="25">
        <f t="shared" si="46"/>
        <v>6.2912176653212712E-3</v>
      </c>
      <c r="K398" s="19">
        <f t="shared" si="47"/>
        <v>1361.482451516159</v>
      </c>
      <c r="L398" s="20">
        <f t="shared" si="48"/>
        <v>0.42174093294221782</v>
      </c>
      <c r="M398" s="20">
        <f t="shared" si="49"/>
        <v>-6.1740932942216609E-2</v>
      </c>
      <c r="AB398" s="20">
        <f t="shared" si="50"/>
        <v>0.42690513514621564</v>
      </c>
    </row>
    <row r="399" spans="1:28">
      <c r="A399" s="18" t="str">
        <f>Analysis!A399</f>
        <v>4/1991</v>
      </c>
      <c r="B399" s="19">
        <f>Analysis!B399</f>
        <v>1991.2916666666667</v>
      </c>
      <c r="C399" s="19">
        <f>Analysis!E399</f>
        <v>0.50999999999999801</v>
      </c>
      <c r="D399" s="20">
        <f>Analysis!F399</f>
        <v>0.35763243136807038</v>
      </c>
      <c r="E399" s="19">
        <f>IF(ENSO!F399="","",ENSO!F399)</f>
        <v>0.28999999999999998</v>
      </c>
      <c r="F399" s="25">
        <f>IF(Volcanic!G399="","",Volcanic!G399)</f>
        <v>5.5700000000000003E-3</v>
      </c>
      <c r="G399" s="19">
        <f>IF(Solar!D399="","",Solar!D399)</f>
        <v>1362.18</v>
      </c>
      <c r="H399" s="20">
        <f t="shared" si="44"/>
        <v>0.35763243136807038</v>
      </c>
      <c r="I399" s="20">
        <f t="shared" si="45"/>
        <v>0.23206045816922385</v>
      </c>
      <c r="J399" s="25">
        <f t="shared" si="46"/>
        <v>6.2335522847108363E-3</v>
      </c>
      <c r="K399" s="19">
        <f t="shared" si="47"/>
        <v>1361.5382244135089</v>
      </c>
      <c r="L399" s="20">
        <f t="shared" si="48"/>
        <v>0.43910964949979975</v>
      </c>
      <c r="M399" s="20">
        <f t="shared" si="49"/>
        <v>7.0890350500198263E-2</v>
      </c>
      <c r="AB399" s="20">
        <f t="shared" si="50"/>
        <v>0.44406488512282177</v>
      </c>
    </row>
    <row r="400" spans="1:28">
      <c r="A400" s="18" t="str">
        <f>Analysis!A400</f>
        <v>5/1991</v>
      </c>
      <c r="B400" s="19">
        <f>Analysis!B400</f>
        <v>1991.375</v>
      </c>
      <c r="C400" s="19">
        <f>Analysis!E400</f>
        <v>0.33999999999999986</v>
      </c>
      <c r="D400" s="20">
        <f>Analysis!F400</f>
        <v>0.3594810102249153</v>
      </c>
      <c r="E400" s="19">
        <f>IF(ENSO!F400="","",ENSO!F400)</f>
        <v>0.49</v>
      </c>
      <c r="F400" s="25">
        <f>IF(Volcanic!G400="","",Volcanic!G400)</f>
        <v>5.5500000000000002E-3</v>
      </c>
      <c r="G400" s="19">
        <f>IF(Solar!D400="","",Solar!D400)</f>
        <v>1361.41</v>
      </c>
      <c r="H400" s="20">
        <f t="shared" si="44"/>
        <v>0.3594810102249153</v>
      </c>
      <c r="I400" s="20">
        <f t="shared" si="45"/>
        <v>0.27165889171358987</v>
      </c>
      <c r="J400" s="25">
        <f t="shared" si="46"/>
        <v>6.1788984616553176E-3</v>
      </c>
      <c r="K400" s="19">
        <f t="shared" si="47"/>
        <v>1361.527972155468</v>
      </c>
      <c r="L400" s="20">
        <f t="shared" si="48"/>
        <v>0.44988210438534637</v>
      </c>
      <c r="M400" s="20">
        <f t="shared" si="49"/>
        <v>-0.10988210438534651</v>
      </c>
      <c r="AB400" s="20">
        <f t="shared" si="50"/>
        <v>0.45443619610574965</v>
      </c>
    </row>
    <row r="401" spans="1:28">
      <c r="A401" s="18" t="str">
        <f>Analysis!A401</f>
        <v>6/1991</v>
      </c>
      <c r="B401" s="19">
        <f>Analysis!B401</f>
        <v>1991.4583333333333</v>
      </c>
      <c r="C401" s="19">
        <f>Analysis!E401</f>
        <v>0.52999999999999758</v>
      </c>
      <c r="D401" s="20">
        <f>Analysis!F401</f>
        <v>0.35545933382447809</v>
      </c>
      <c r="E401" s="19">
        <f>IF(ENSO!F401="","",ENSO!F401)</f>
        <v>0.63</v>
      </c>
      <c r="F401" s="25">
        <f>IF(Volcanic!G401="","",Volcanic!G401)</f>
        <v>6.0099999999999997E-3</v>
      </c>
      <c r="G401" s="19">
        <f>IF(Solar!D401="","",Solar!D401)</f>
        <v>1361.4</v>
      </c>
      <c r="H401" s="20">
        <f t="shared" si="44"/>
        <v>0.35545933382447809</v>
      </c>
      <c r="I401" s="20">
        <f t="shared" si="45"/>
        <v>0.32667080055850517</v>
      </c>
      <c r="J401" s="25">
        <f t="shared" si="46"/>
        <v>6.1653940862854599E-3</v>
      </c>
      <c r="K401" s="19">
        <f t="shared" si="47"/>
        <v>1361.5177400668663</v>
      </c>
      <c r="L401" s="20">
        <f t="shared" si="48"/>
        <v>0.44681593801688108</v>
      </c>
      <c r="M401" s="20">
        <f t="shared" si="49"/>
        <v>8.3184061983116508E-2</v>
      </c>
      <c r="AB401" s="20">
        <f t="shared" si="50"/>
        <v>0.45093572692625583</v>
      </c>
    </row>
    <row r="402" spans="1:28">
      <c r="A402" s="18" t="str">
        <f>Analysis!A402</f>
        <v>7/1991</v>
      </c>
      <c r="B402" s="19">
        <f>Analysis!B402</f>
        <v>1991.5416666666667</v>
      </c>
      <c r="C402" s="19">
        <f>Analysis!E402</f>
        <v>0.47999999999999865</v>
      </c>
      <c r="D402" s="20">
        <f>Analysis!F402</f>
        <v>0.34766565630097057</v>
      </c>
      <c r="E402" s="19">
        <f>IF(ENSO!F402="","",ENSO!F402)</f>
        <v>0.77</v>
      </c>
      <c r="F402" s="25">
        <f>IF(Volcanic!G402="","",Volcanic!G402)</f>
        <v>2.5409999999999999E-2</v>
      </c>
      <c r="G402" s="19">
        <f>IF(Solar!D402="","",Solar!D402)</f>
        <v>1361.66</v>
      </c>
      <c r="H402" s="20">
        <f t="shared" si="44"/>
        <v>0.34766565630097057</v>
      </c>
      <c r="I402" s="20">
        <f t="shared" si="45"/>
        <v>0.39472993456238836</v>
      </c>
      <c r="J402" s="25">
        <f t="shared" si="46"/>
        <v>7.7041078173444924E-3</v>
      </c>
      <c r="K402" s="19">
        <f t="shared" si="47"/>
        <v>1361.5291145430947</v>
      </c>
      <c r="L402" s="20">
        <f t="shared" si="48"/>
        <v>0.430125150126413</v>
      </c>
      <c r="M402" s="20">
        <f t="shared" si="49"/>
        <v>4.9874849873585647E-2</v>
      </c>
      <c r="AB402" s="20">
        <f t="shared" si="50"/>
        <v>0.43303633843683936</v>
      </c>
    </row>
    <row r="403" spans="1:28">
      <c r="A403" s="18" t="str">
        <f>Analysis!A403</f>
        <v>8/1991</v>
      </c>
      <c r="B403" s="19">
        <f>Analysis!B403</f>
        <v>1991.625</v>
      </c>
      <c r="C403" s="19">
        <f>Analysis!E403</f>
        <v>0.38999999999999879</v>
      </c>
      <c r="D403" s="20">
        <f>Analysis!F403</f>
        <v>0.33820026566553218</v>
      </c>
      <c r="E403" s="19">
        <f>IF(ENSO!F403="","",ENSO!F403)</f>
        <v>0.67</v>
      </c>
      <c r="F403" s="25">
        <f>IF(Volcanic!G403="","",Volcanic!G403)</f>
        <v>4.9849999999999998E-2</v>
      </c>
      <c r="G403" s="19">
        <f>IF(Solar!D403="","",Solar!D403)</f>
        <v>1361.59</v>
      </c>
      <c r="H403" s="20">
        <f t="shared" si="44"/>
        <v>0.33820026566553218</v>
      </c>
      <c r="I403" s="20">
        <f t="shared" si="45"/>
        <v>0.43698892019761826</v>
      </c>
      <c r="J403" s="25">
        <f t="shared" si="46"/>
        <v>1.107390729777814E-2</v>
      </c>
      <c r="K403" s="19">
        <f t="shared" si="47"/>
        <v>1361.5339826754421</v>
      </c>
      <c r="L403" s="20">
        <f t="shared" si="48"/>
        <v>0.39906108096925258</v>
      </c>
      <c r="M403" s="20">
        <f t="shared" si="49"/>
        <v>-9.0610809692537875E-3</v>
      </c>
      <c r="AB403" s="20">
        <f t="shared" si="50"/>
        <v>0.40018564662848705</v>
      </c>
    </row>
    <row r="404" spans="1:28">
      <c r="A404" s="18" t="str">
        <f>Analysis!A404</f>
        <v>9/1991</v>
      </c>
      <c r="B404" s="19">
        <f>Analysis!B404</f>
        <v>1991.7083333333333</v>
      </c>
      <c r="C404" s="19">
        <f>Analysis!E404</f>
        <v>0.44000000000000483</v>
      </c>
      <c r="D404" s="20">
        <f>Analysis!F404</f>
        <v>0.33154144137771635</v>
      </c>
      <c r="E404" s="19">
        <f>IF(ENSO!F404="","",ENSO!F404)</f>
        <v>0.72</v>
      </c>
      <c r="F404" s="25">
        <f>IF(Volcanic!G404="","",Volcanic!G404)</f>
        <v>7.442E-2</v>
      </c>
      <c r="G404" s="19">
        <f>IF(Solar!D404="","",Solar!D404)</f>
        <v>1361.97</v>
      </c>
      <c r="H404" s="20">
        <f t="shared" si="44"/>
        <v>0.33154144137771635</v>
      </c>
      <c r="I404" s="20">
        <f t="shared" si="45"/>
        <v>0.48043629300572466</v>
      </c>
      <c r="J404" s="25">
        <f t="shared" si="46"/>
        <v>1.613878122072944E-2</v>
      </c>
      <c r="K404" s="19">
        <f t="shared" si="47"/>
        <v>1361.5688446958591</v>
      </c>
      <c r="L404" s="20">
        <f t="shared" si="48"/>
        <v>0.37000382760168049</v>
      </c>
      <c r="M404" s="20">
        <f t="shared" si="49"/>
        <v>6.9996172398324341E-2</v>
      </c>
      <c r="AB404" s="20">
        <f t="shared" si="50"/>
        <v>0.36846261280474257</v>
      </c>
    </row>
    <row r="405" spans="1:28">
      <c r="A405" s="18" t="str">
        <f>Analysis!A405</f>
        <v>10/1991</v>
      </c>
      <c r="B405" s="19">
        <f>Analysis!B405</f>
        <v>1991.7916666666667</v>
      </c>
      <c r="C405" s="19">
        <f>Analysis!E405</f>
        <v>0.28999999999999559</v>
      </c>
      <c r="D405" s="20">
        <f>Analysis!F405</f>
        <v>0.3319099092591129</v>
      </c>
      <c r="E405" s="19">
        <f>IF(ENSO!F405="","",ENSO!F405)</f>
        <v>0.83</v>
      </c>
      <c r="F405" s="25">
        <f>IF(Volcanic!G405="","",Volcanic!G405)</f>
        <v>9.9510000000000001E-2</v>
      </c>
      <c r="G405" s="19">
        <f>IF(Solar!D405="","",Solar!D405)</f>
        <v>1361.06</v>
      </c>
      <c r="H405" s="20">
        <f t="shared" si="44"/>
        <v>0.3319099092591129</v>
      </c>
      <c r="I405" s="20">
        <f t="shared" si="45"/>
        <v>0.5341007103443286</v>
      </c>
      <c r="J405" s="25">
        <f t="shared" si="46"/>
        <v>2.2804775821292773E-2</v>
      </c>
      <c r="K405" s="19">
        <f t="shared" si="47"/>
        <v>1361.5281597203389</v>
      </c>
      <c r="L405" s="20">
        <f t="shared" si="48"/>
        <v>0.35595982658608061</v>
      </c>
      <c r="M405" s="20">
        <f t="shared" si="49"/>
        <v>-6.5959826586085013E-2</v>
      </c>
      <c r="AB405" s="20">
        <f t="shared" si="50"/>
        <v>0.35073285307652224</v>
      </c>
    </row>
    <row r="406" spans="1:28">
      <c r="A406" s="18" t="str">
        <f>Analysis!A406</f>
        <v>11/1991</v>
      </c>
      <c r="B406" s="19">
        <f>Analysis!B406</f>
        <v>1991.875</v>
      </c>
      <c r="C406" s="19">
        <f>Analysis!E406</f>
        <v>0.30000000000000249</v>
      </c>
      <c r="D406" s="20">
        <f>Analysis!F406</f>
        <v>0.3378741684040325</v>
      </c>
      <c r="E406" s="19">
        <f>IF(ENSO!F406="","",ENSO!F406)</f>
        <v>1.18</v>
      </c>
      <c r="F406" s="25">
        <f>IF(Volcanic!G406="","",Volcanic!G406)</f>
        <v>0.10833</v>
      </c>
      <c r="G406" s="19">
        <f>IF(Solar!D406="","",Solar!D406)</f>
        <v>1361.67</v>
      </c>
      <c r="H406" s="20">
        <f t="shared" si="44"/>
        <v>0.3378741684040325</v>
      </c>
      <c r="I406" s="20">
        <f t="shared" si="45"/>
        <v>0.6332580551866448</v>
      </c>
      <c r="J406" s="25">
        <f t="shared" si="46"/>
        <v>2.9642995184459661E-2</v>
      </c>
      <c r="K406" s="19">
        <f t="shared" si="47"/>
        <v>1361.5395006429283</v>
      </c>
      <c r="L406" s="20">
        <f t="shared" si="48"/>
        <v>0.36288357337898913</v>
      </c>
      <c r="M406" s="20">
        <f t="shared" si="49"/>
        <v>-6.2883573378986646E-2</v>
      </c>
      <c r="AB406" s="20">
        <f t="shared" si="50"/>
        <v>0.35331832735488561</v>
      </c>
    </row>
    <row r="407" spans="1:28">
      <c r="A407" s="18" t="str">
        <f>Analysis!A407</f>
        <v>12/1991</v>
      </c>
      <c r="B407" s="19">
        <f>Analysis!B407</f>
        <v>1991.9583333333333</v>
      </c>
      <c r="C407" s="19">
        <f>Analysis!E407</f>
        <v>0.32000000000000028</v>
      </c>
      <c r="D407" s="20">
        <f>Analysis!F407</f>
        <v>0.34324537036048725</v>
      </c>
      <c r="E407" s="19">
        <f>IF(ENSO!F407="","",ENSO!F407)</f>
        <v>1.43</v>
      </c>
      <c r="F407" s="25">
        <f>IF(Volcanic!G407="","",Volcanic!G407)</f>
        <v>0.10814</v>
      </c>
      <c r="G407" s="19">
        <f>IF(Solar!D407="","",Solar!D407)</f>
        <v>1360.83</v>
      </c>
      <c r="H407" s="20">
        <f t="shared" si="44"/>
        <v>0.34324537036048725</v>
      </c>
      <c r="I407" s="20">
        <f t="shared" si="45"/>
        <v>0.75557250426168854</v>
      </c>
      <c r="J407" s="25">
        <f t="shared" si="46"/>
        <v>3.5919269154331017E-2</v>
      </c>
      <c r="K407" s="19">
        <f t="shared" si="47"/>
        <v>1361.482772103702</v>
      </c>
      <c r="L407" s="20">
        <f t="shared" si="48"/>
        <v>0.37337787503661635</v>
      </c>
      <c r="M407" s="20">
        <f t="shared" si="49"/>
        <v>-5.3377875036616063E-2</v>
      </c>
      <c r="AB407" s="20">
        <f t="shared" si="50"/>
        <v>0.35952948123403861</v>
      </c>
    </row>
    <row r="408" spans="1:28">
      <c r="A408" s="18" t="str">
        <f>Analysis!A408</f>
        <v>1/1992</v>
      </c>
      <c r="B408" s="19">
        <f>Analysis!B408</f>
        <v>1992.0416666666667</v>
      </c>
      <c r="C408" s="19">
        <f>Analysis!E408</f>
        <v>0.47999999999999865</v>
      </c>
      <c r="D408" s="20">
        <f>Analysis!F408</f>
        <v>0.34782761129001444</v>
      </c>
      <c r="E408" s="19">
        <f>IF(ENSO!F408="","",ENSO!F408)</f>
        <v>1.54</v>
      </c>
      <c r="F408" s="25">
        <f>IF(Volcanic!G408="","",Volcanic!G408)</f>
        <v>0.10936</v>
      </c>
      <c r="G408" s="19">
        <f>IF(Solar!D408="","",Solar!D408)</f>
        <v>1361.54</v>
      </c>
      <c r="H408" s="20">
        <f t="shared" si="44"/>
        <v>0.34782761129001444</v>
      </c>
      <c r="I408" s="20">
        <f t="shared" si="45"/>
        <v>0.87599646035580925</v>
      </c>
      <c r="J408" s="25">
        <f t="shared" si="46"/>
        <v>4.179126577914679E-2</v>
      </c>
      <c r="K408" s="19">
        <f t="shared" si="47"/>
        <v>1361.4873477936501</v>
      </c>
      <c r="L408" s="20">
        <f t="shared" si="48"/>
        <v>0.38284336241282912</v>
      </c>
      <c r="M408" s="20">
        <f t="shared" si="49"/>
        <v>9.7156637587169525E-2</v>
      </c>
      <c r="AB408" s="20">
        <f t="shared" si="50"/>
        <v>0.36493986306465231</v>
      </c>
    </row>
    <row r="409" spans="1:28">
      <c r="A409" s="18" t="str">
        <f>Analysis!A409</f>
        <v>2/1992</v>
      </c>
      <c r="B409" s="19">
        <f>Analysis!B409</f>
        <v>1992.125</v>
      </c>
      <c r="C409" s="19">
        <f>Analysis!E409</f>
        <v>0.40000000000000213</v>
      </c>
      <c r="D409" s="20">
        <f>Analysis!F409</f>
        <v>0.35134564172245408</v>
      </c>
      <c r="E409" s="19">
        <f>IF(ENSO!F409="","",ENSO!F409)</f>
        <v>1.5</v>
      </c>
      <c r="F409" s="25">
        <f>IF(Volcanic!G409="","",Volcanic!G409)</f>
        <v>0.11007</v>
      </c>
      <c r="G409" s="19">
        <f>IF(Solar!D409="","",Solar!D409)</f>
        <v>1361.48</v>
      </c>
      <c r="H409" s="20">
        <f t="shared" si="44"/>
        <v>0.35134564172245408</v>
      </c>
      <c r="I409" s="20">
        <f t="shared" si="45"/>
        <v>0.97179240742413664</v>
      </c>
      <c r="J409" s="25">
        <f t="shared" si="46"/>
        <v>4.7250531942143958E-2</v>
      </c>
      <c r="K409" s="19">
        <f t="shared" si="47"/>
        <v>1361.4867602965076</v>
      </c>
      <c r="L409" s="20">
        <f t="shared" si="48"/>
        <v>0.3873556487609453</v>
      </c>
      <c r="M409" s="20">
        <f t="shared" si="49"/>
        <v>1.2644351239056828E-2</v>
      </c>
      <c r="AB409" s="20">
        <f t="shared" si="50"/>
        <v>0.36585608753230481</v>
      </c>
    </row>
    <row r="410" spans="1:28">
      <c r="A410" s="18" t="str">
        <f>Analysis!A410</f>
        <v>3/1992</v>
      </c>
      <c r="B410" s="19">
        <f>Analysis!B410</f>
        <v>1992.2083333333333</v>
      </c>
      <c r="C410" s="19">
        <f>Analysis!E410</f>
        <v>0.47999999999999865</v>
      </c>
      <c r="D410" s="20">
        <f>Analysis!F410</f>
        <v>0.35441185902104577</v>
      </c>
      <c r="E410" s="19">
        <f>IF(ENSO!F410="","",ENSO!F410)</f>
        <v>1.4</v>
      </c>
      <c r="F410" s="25">
        <f>IF(Volcanic!G410="","",Volcanic!G410)</f>
        <v>0.10983</v>
      </c>
      <c r="G410" s="19">
        <f>IF(Solar!D410="","",Solar!D410)</f>
        <v>1361.9</v>
      </c>
      <c r="H410" s="20">
        <f t="shared" si="44"/>
        <v>0.35441185902104577</v>
      </c>
      <c r="I410" s="20">
        <f t="shared" si="45"/>
        <v>1.0375300984251257</v>
      </c>
      <c r="J410" s="25">
        <f t="shared" si="46"/>
        <v>5.2254109942895401E-2</v>
      </c>
      <c r="K410" s="19">
        <f t="shared" si="47"/>
        <v>1361.5198011188988</v>
      </c>
      <c r="L410" s="20">
        <f t="shared" si="48"/>
        <v>0.38795017010417454</v>
      </c>
      <c r="M410" s="20">
        <f t="shared" si="49"/>
        <v>9.2049829895824109E-2</v>
      </c>
      <c r="AB410" s="20">
        <f t="shared" si="50"/>
        <v>0.36337244707582417</v>
      </c>
    </row>
    <row r="411" spans="1:28">
      <c r="A411" s="18" t="str">
        <f>Analysis!A411</f>
        <v>4/1992</v>
      </c>
      <c r="B411" s="19">
        <f>Analysis!B411</f>
        <v>1992.2916666666667</v>
      </c>
      <c r="C411" s="19">
        <f>Analysis!E411</f>
        <v>0.28000000000000114</v>
      </c>
      <c r="D411" s="20">
        <f>Analysis!F411</f>
        <v>0.35944084890426714</v>
      </c>
      <c r="E411" s="19">
        <f>IF(ENSO!F411="","",ENSO!F411)</f>
        <v>1.3</v>
      </c>
      <c r="F411" s="25">
        <f>IF(Volcanic!G411="","",Volcanic!G411)</f>
        <v>0.10781</v>
      </c>
      <c r="G411" s="19">
        <f>IF(Solar!D411="","",Solar!D411)</f>
        <v>1361.66</v>
      </c>
      <c r="H411" s="20">
        <f t="shared" si="44"/>
        <v>0.35944084890426714</v>
      </c>
      <c r="I411" s="20">
        <f t="shared" si="45"/>
        <v>1.0778240249830306</v>
      </c>
      <c r="J411" s="25">
        <f t="shared" si="46"/>
        <v>5.6696113653200153E-2</v>
      </c>
      <c r="K411" s="19">
        <f t="shared" si="47"/>
        <v>1361.5310108025055</v>
      </c>
      <c r="L411" s="20">
        <f t="shared" si="48"/>
        <v>0.39216679367549739</v>
      </c>
      <c r="M411" s="20">
        <f t="shared" si="49"/>
        <v>-0.11216679367549626</v>
      </c>
      <c r="AB411" s="20">
        <f t="shared" si="50"/>
        <v>0.36497827951535416</v>
      </c>
    </row>
    <row r="412" spans="1:28">
      <c r="A412" s="18" t="str">
        <f>Analysis!A412</f>
        <v>5/1992</v>
      </c>
      <c r="B412" s="19">
        <f>Analysis!B412</f>
        <v>1992.375</v>
      </c>
      <c r="C412" s="19">
        <f>Analysis!E412</f>
        <v>0.31000000000000227</v>
      </c>
      <c r="D412" s="20">
        <f>Analysis!F412</f>
        <v>0.36140744003135555</v>
      </c>
      <c r="E412" s="19">
        <f>IF(ENSO!F412="","",ENSO!F412)</f>
        <v>1.08</v>
      </c>
      <c r="F412" s="25">
        <f>IF(Volcanic!G412="","",Volcanic!G412)</f>
        <v>0.11117</v>
      </c>
      <c r="G412" s="19">
        <f>IF(Solar!D412="","",Solar!D412)</f>
        <v>1361.49</v>
      </c>
      <c r="H412" s="20">
        <f t="shared" si="44"/>
        <v>0.36140744003135555</v>
      </c>
      <c r="I412" s="20">
        <f t="shared" si="45"/>
        <v>1.0781580769143169</v>
      </c>
      <c r="J412" s="25">
        <f t="shared" si="46"/>
        <v>6.1051605123474254E-2</v>
      </c>
      <c r="K412" s="19">
        <f t="shared" si="47"/>
        <v>1361.5277317597847</v>
      </c>
      <c r="L412" s="20">
        <f t="shared" si="48"/>
        <v>0.38275646400036117</v>
      </c>
      <c r="M412" s="20">
        <f t="shared" si="49"/>
        <v>-7.27564640003589E-2</v>
      </c>
      <c r="AB412" s="20">
        <f t="shared" si="50"/>
        <v>0.35345675326267612</v>
      </c>
    </row>
    <row r="413" spans="1:28">
      <c r="A413" s="18" t="str">
        <f>Analysis!A413</f>
        <v>6/1992</v>
      </c>
      <c r="B413" s="19">
        <f>Analysis!B413</f>
        <v>1992.4583333333333</v>
      </c>
      <c r="C413" s="19">
        <f>Analysis!E413</f>
        <v>0.25999999999999979</v>
      </c>
      <c r="D413" s="20">
        <f>Analysis!F413</f>
        <v>0.36032413980374728</v>
      </c>
      <c r="E413" s="19">
        <f>IF(ENSO!F413="","",ENSO!F413)</f>
        <v>0.72</v>
      </c>
      <c r="F413" s="25">
        <f>IF(Volcanic!G413="","",Volcanic!G413)</f>
        <v>0.11448</v>
      </c>
      <c r="G413" s="19">
        <f>IF(Solar!D413="","",Solar!D413)</f>
        <v>1361.33</v>
      </c>
      <c r="H413" s="20">
        <f t="shared" si="44"/>
        <v>0.36032413980374728</v>
      </c>
      <c r="I413" s="20">
        <f t="shared" si="45"/>
        <v>1.0231742667299362</v>
      </c>
      <c r="J413" s="25">
        <f t="shared" si="46"/>
        <v>6.5323503711242528E-2</v>
      </c>
      <c r="K413" s="19">
        <f t="shared" si="47"/>
        <v>1361.5119220011848</v>
      </c>
      <c r="L413" s="20">
        <f t="shared" si="48"/>
        <v>0.35757576551045378</v>
      </c>
      <c r="M413" s="20">
        <f t="shared" si="49"/>
        <v>-9.7575765510453993E-2</v>
      </c>
      <c r="AB413" s="20">
        <f t="shared" si="50"/>
        <v>0.32681180275734295</v>
      </c>
    </row>
    <row r="414" spans="1:28">
      <c r="A414" s="18" t="str">
        <f>Analysis!A414</f>
        <v>7/1992</v>
      </c>
      <c r="B414" s="19">
        <f>Analysis!B414</f>
        <v>1992.5416666666667</v>
      </c>
      <c r="C414" s="19">
        <f>Analysis!E414</f>
        <v>8.9999999999999858E-2</v>
      </c>
      <c r="D414" s="20">
        <f>Analysis!F414</f>
        <v>0.35110329415916136</v>
      </c>
      <c r="E414" s="19">
        <f>IF(ENSO!F414="","",ENSO!F414)</f>
        <v>0.35</v>
      </c>
      <c r="F414" s="25">
        <f>IF(Volcanic!G414="","",Volcanic!G414)</f>
        <v>0.10786999999999999</v>
      </c>
      <c r="G414" s="19">
        <f>IF(Solar!D414="","",Solar!D414)</f>
        <v>1361.02</v>
      </c>
      <c r="H414" s="20">
        <f t="shared" si="44"/>
        <v>0.35110329415916136</v>
      </c>
      <c r="I414" s="20">
        <f t="shared" si="45"/>
        <v>0.91982971445353068</v>
      </c>
      <c r="J414" s="25">
        <f t="shared" si="46"/>
        <v>6.872533372748145E-2</v>
      </c>
      <c r="K414" s="19">
        <f t="shared" si="47"/>
        <v>1361.4725900896233</v>
      </c>
      <c r="L414" s="20">
        <f t="shared" si="48"/>
        <v>0.30651661539363262</v>
      </c>
      <c r="M414" s="20">
        <f t="shared" si="49"/>
        <v>-0.21651661539363276</v>
      </c>
      <c r="AB414" s="20">
        <f t="shared" si="50"/>
        <v>0.27535802499529693</v>
      </c>
    </row>
    <row r="415" spans="1:28">
      <c r="A415" s="18" t="str">
        <f>Analysis!A415</f>
        <v>8/1992</v>
      </c>
      <c r="B415" s="19">
        <f>Analysis!B415</f>
        <v>1992.625</v>
      </c>
      <c r="C415" s="19">
        <f>Analysis!E415</f>
        <v>8.0000000000000071E-2</v>
      </c>
      <c r="D415" s="20">
        <f>Analysis!F415</f>
        <v>0.34235155757775643</v>
      </c>
      <c r="E415" s="19">
        <f>IF(ENSO!F415="","",ENSO!F415)</f>
        <v>0.08</v>
      </c>
      <c r="F415" s="25">
        <f>IF(Volcanic!G415="","",Volcanic!G415)</f>
        <v>0.10366</v>
      </c>
      <c r="G415" s="19">
        <f>IF(Solar!D415="","",Solar!D415)</f>
        <v>1360.98</v>
      </c>
      <c r="H415" s="20">
        <f t="shared" si="44"/>
        <v>0.34235155757775643</v>
      </c>
      <c r="I415" s="20">
        <f t="shared" si="45"/>
        <v>0.79090050530501665</v>
      </c>
      <c r="J415" s="25">
        <f t="shared" si="46"/>
        <v>7.1518555419029906E-2</v>
      </c>
      <c r="K415" s="19">
        <f t="shared" si="47"/>
        <v>1361.4332047606597</v>
      </c>
      <c r="L415" s="20">
        <f t="shared" si="48"/>
        <v>0.25518011587033973</v>
      </c>
      <c r="M415" s="20">
        <f t="shared" si="49"/>
        <v>-0.17518011587033966</v>
      </c>
      <c r="AB415" s="20">
        <f t="shared" si="50"/>
        <v>0.22415248321032577</v>
      </c>
    </row>
    <row r="416" spans="1:28">
      <c r="A416" s="18" t="str">
        <f>Analysis!A416</f>
        <v>9/1992</v>
      </c>
      <c r="B416" s="19">
        <f>Analysis!B416</f>
        <v>1992.7083333333333</v>
      </c>
      <c r="C416" s="19">
        <f>Analysis!E416</f>
        <v>-9.9999999999980105E-3</v>
      </c>
      <c r="D416" s="20">
        <f>Analysis!F416</f>
        <v>0.3342822252952366</v>
      </c>
      <c r="E416" s="19">
        <f>IF(ENSO!F416="","",ENSO!F416)</f>
        <v>-0.15</v>
      </c>
      <c r="F416" s="25">
        <f>IF(Volcanic!G416="","",Volcanic!G416)</f>
        <v>9.9900000000000003E-2</v>
      </c>
      <c r="G416" s="19">
        <f>IF(Solar!D416="","",Solar!D416)</f>
        <v>1361.15</v>
      </c>
      <c r="H416" s="20">
        <f t="shared" si="44"/>
        <v>0.3342822252952366</v>
      </c>
      <c r="I416" s="20">
        <f t="shared" si="45"/>
        <v>0.64645508268104102</v>
      </c>
      <c r="J416" s="25">
        <f t="shared" si="46"/>
        <v>7.3787810434166795E-2</v>
      </c>
      <c r="K416" s="19">
        <f t="shared" si="47"/>
        <v>1361.4105609582414</v>
      </c>
      <c r="L416" s="20">
        <f t="shared" si="48"/>
        <v>0.2052767864140041</v>
      </c>
      <c r="M416" s="20">
        <f t="shared" si="49"/>
        <v>-0.21527678641400211</v>
      </c>
      <c r="AB416" s="20">
        <f t="shared" si="50"/>
        <v>0.17476298323658923</v>
      </c>
    </row>
    <row r="417" spans="1:28">
      <c r="A417" s="18" t="str">
        <f>Analysis!A417</f>
        <v>10/1992</v>
      </c>
      <c r="B417" s="19">
        <f>Analysis!B417</f>
        <v>1992.7916666666667</v>
      </c>
      <c r="C417" s="19">
        <f>Analysis!E417</f>
        <v>7.0000000000000284E-2</v>
      </c>
      <c r="D417" s="20">
        <f>Analysis!F417</f>
        <v>0.33587521271928794</v>
      </c>
      <c r="E417" s="19">
        <f>IF(ENSO!F417="","",ENSO!F417)</f>
        <v>-0.22</v>
      </c>
      <c r="F417" s="25">
        <f>IF(Volcanic!G417="","",Volcanic!G417)</f>
        <v>9.0620000000000006E-2</v>
      </c>
      <c r="G417" s="19">
        <f>IF(Solar!D417="","",Solar!D417)</f>
        <v>1360.84</v>
      </c>
      <c r="H417" s="20">
        <f t="shared" si="44"/>
        <v>0.33587521271928794</v>
      </c>
      <c r="I417" s="20">
        <f t="shared" si="45"/>
        <v>0.51343839292808735</v>
      </c>
      <c r="J417" s="25">
        <f t="shared" si="46"/>
        <v>7.5133638003973185E-2</v>
      </c>
      <c r="K417" s="19">
        <f t="shared" si="47"/>
        <v>1361.3649414228355</v>
      </c>
      <c r="L417" s="20">
        <f t="shared" si="48"/>
        <v>0.1862474997724779</v>
      </c>
      <c r="M417" s="20">
        <f t="shared" si="49"/>
        <v>-0.11624749977247761</v>
      </c>
      <c r="AB417" s="20">
        <f t="shared" si="50"/>
        <v>0.15635022937437459</v>
      </c>
    </row>
    <row r="418" spans="1:28">
      <c r="A418" s="18" t="str">
        <f>Analysis!A418</f>
        <v>11/1992</v>
      </c>
      <c r="B418" s="19">
        <f>Analysis!B418</f>
        <v>1992.875</v>
      </c>
      <c r="C418" s="19">
        <f>Analysis!E418</f>
        <v>2.9999999999997584E-2</v>
      </c>
      <c r="D418" s="20">
        <f>Analysis!F418</f>
        <v>0.34003319062417492</v>
      </c>
      <c r="E418" s="19">
        <f>IF(ENSO!F418="","",ENSO!F418)</f>
        <v>-0.24</v>
      </c>
      <c r="F418" s="25">
        <f>IF(Volcanic!G418="","",Volcanic!G418)</f>
        <v>8.3360000000000004E-2</v>
      </c>
      <c r="G418" s="19">
        <f>IF(Solar!D418="","",Solar!D418)</f>
        <v>1361.03</v>
      </c>
      <c r="H418" s="20">
        <f t="shared" si="44"/>
        <v>0.34003319062417492</v>
      </c>
      <c r="I418" s="20">
        <f t="shared" si="45"/>
        <v>0.39777183044457964</v>
      </c>
      <c r="J418" s="25">
        <f t="shared" si="46"/>
        <v>7.579138159283659E-2</v>
      </c>
      <c r="K418" s="19">
        <f t="shared" si="47"/>
        <v>1361.3381609853079</v>
      </c>
      <c r="L418" s="20">
        <f t="shared" si="48"/>
        <v>0.17893710186580347</v>
      </c>
      <c r="M418" s="20">
        <f t="shared" si="49"/>
        <v>-0.14893710186580589</v>
      </c>
      <c r="AB418" s="20">
        <f t="shared" si="50"/>
        <v>0.14975446148725546</v>
      </c>
    </row>
    <row r="419" spans="1:28">
      <c r="A419" s="18" t="str">
        <f>Analysis!A419</f>
        <v>12/1992</v>
      </c>
      <c r="B419" s="19">
        <f>Analysis!B419</f>
        <v>1992.9583333333333</v>
      </c>
      <c r="C419" s="19">
        <f>Analysis!E419</f>
        <v>0.22000000000000242</v>
      </c>
      <c r="D419" s="20">
        <f>Analysis!F419</f>
        <v>0.34515302630729883</v>
      </c>
      <c r="E419" s="19">
        <f>IF(ENSO!F419="","",ENSO!F419)</f>
        <v>-0.05</v>
      </c>
      <c r="F419" s="25">
        <f>IF(Volcanic!G419="","",Volcanic!G419)</f>
        <v>7.9369999999999996E-2</v>
      </c>
      <c r="G419" s="19">
        <f>IF(Solar!D419="","",Solar!D419)</f>
        <v>1361.29</v>
      </c>
      <c r="H419" s="20">
        <f t="shared" si="44"/>
        <v>0.34515302630729883</v>
      </c>
      <c r="I419" s="20">
        <f t="shared" si="45"/>
        <v>0.32903067139215542</v>
      </c>
      <c r="J419" s="25">
        <f t="shared" si="46"/>
        <v>7.6077512122399618E-2</v>
      </c>
      <c r="K419" s="19">
        <f t="shared" si="47"/>
        <v>1361.3343102455356</v>
      </c>
      <c r="L419" s="20">
        <f t="shared" si="48"/>
        <v>0.18211054565622969</v>
      </c>
      <c r="M419" s="20">
        <f t="shared" si="49"/>
        <v>3.7889454343772722E-2</v>
      </c>
      <c r="AB419" s="20">
        <f t="shared" si="50"/>
        <v>0.15334091028442981</v>
      </c>
    </row>
    <row r="420" spans="1:28">
      <c r="A420" s="18" t="str">
        <f>Analysis!A420</f>
        <v>1/1993</v>
      </c>
      <c r="B420" s="19">
        <f>Analysis!B420</f>
        <v>1993.0416666666667</v>
      </c>
      <c r="C420" s="19">
        <f>Analysis!E420</f>
        <v>0.34999999999999787</v>
      </c>
      <c r="D420" s="20">
        <f>Analysis!F420</f>
        <v>0.35090130675373682</v>
      </c>
      <c r="E420" s="19">
        <f>IF(ENSO!F420="","",ENSO!F420)</f>
        <v>0.13</v>
      </c>
      <c r="F420" s="25">
        <f>IF(Volcanic!G420="","",Volcanic!G420)</f>
        <v>7.0660000000000001E-2</v>
      </c>
      <c r="G420" s="19">
        <f>IF(Solar!D420="","",Solar!D420)</f>
        <v>1361.26</v>
      </c>
      <c r="H420" s="20">
        <f t="shared" si="44"/>
        <v>0.35090130675373682</v>
      </c>
      <c r="I420" s="20">
        <f t="shared" si="45"/>
        <v>0.29847582602616873</v>
      </c>
      <c r="J420" s="25">
        <f t="shared" si="46"/>
        <v>7.5644351769400417E-2</v>
      </c>
      <c r="K420" s="19">
        <f t="shared" si="47"/>
        <v>1361.3283687263547</v>
      </c>
      <c r="L420" s="20">
        <f t="shared" si="48"/>
        <v>0.19481241026828217</v>
      </c>
      <c r="M420" s="20">
        <f t="shared" si="49"/>
        <v>0.1551875897317157</v>
      </c>
      <c r="AB420" s="20">
        <f t="shared" si="50"/>
        <v>0.16641130411754695</v>
      </c>
    </row>
    <row r="421" spans="1:28">
      <c r="A421" s="18" t="str">
        <f>Analysis!A421</f>
        <v>2/1993</v>
      </c>
      <c r="B421" s="19">
        <f>Analysis!B421</f>
        <v>1993.125</v>
      </c>
      <c r="C421" s="19">
        <f>Analysis!E421</f>
        <v>0.36999999999999744</v>
      </c>
      <c r="D421" s="20">
        <f>Analysis!F421</f>
        <v>0.35219353774503176</v>
      </c>
      <c r="E421" s="19">
        <f>IF(ENSO!F421="","",ENSO!F421)</f>
        <v>0.31</v>
      </c>
      <c r="F421" s="25">
        <f>IF(Volcanic!G421="","",Volcanic!G421)</f>
        <v>6.9159999999999999E-2</v>
      </c>
      <c r="G421" s="19">
        <f>IF(Solar!D421="","",Solar!D421)</f>
        <v>1360.72</v>
      </c>
      <c r="H421" s="20">
        <f t="shared" si="44"/>
        <v>0.35219353774503176</v>
      </c>
      <c r="I421" s="20">
        <f t="shared" si="45"/>
        <v>0.30024499733669174</v>
      </c>
      <c r="J421" s="25">
        <f t="shared" si="46"/>
        <v>7.5125891627928626E-2</v>
      </c>
      <c r="K421" s="19">
        <f t="shared" si="47"/>
        <v>1361.2797262487177</v>
      </c>
      <c r="L421" s="20">
        <f t="shared" si="48"/>
        <v>0.20031530792935437</v>
      </c>
      <c r="M421" s="20">
        <f t="shared" si="49"/>
        <v>0.16968469207064307</v>
      </c>
      <c r="AB421" s="20">
        <f t="shared" si="50"/>
        <v>0.1721126256856349</v>
      </c>
    </row>
    <row r="422" spans="1:28">
      <c r="A422" s="18" t="str">
        <f>Analysis!A422</f>
        <v>3/1993</v>
      </c>
      <c r="B422" s="19">
        <f>Analysis!B422</f>
        <v>1993.2083333333333</v>
      </c>
      <c r="C422" s="19">
        <f>Analysis!E422</f>
        <v>0.36000000000000121</v>
      </c>
      <c r="D422" s="20">
        <f>Analysis!F422</f>
        <v>0.3569084291577157</v>
      </c>
      <c r="E422" s="19">
        <f>IF(ENSO!F422="","",ENSO!F422)</f>
        <v>0.5</v>
      </c>
      <c r="F422" s="25">
        <f>IF(Volcanic!G422="","",Volcanic!G422)</f>
        <v>6.4710000000000004E-2</v>
      </c>
      <c r="G422" s="19">
        <f>IF(Solar!D422="","",Solar!D422)</f>
        <v>1361.14</v>
      </c>
      <c r="H422" s="20">
        <f t="shared" si="44"/>
        <v>0.3569084291577157</v>
      </c>
      <c r="I422" s="20">
        <f t="shared" si="45"/>
        <v>0.33091104079003358</v>
      </c>
      <c r="J422" s="25">
        <f t="shared" si="46"/>
        <v>7.4293082915660058E-2</v>
      </c>
      <c r="K422" s="19">
        <f t="shared" si="47"/>
        <v>1361.2685543547097</v>
      </c>
      <c r="L422" s="20">
        <f t="shared" si="48"/>
        <v>0.22021801896415699</v>
      </c>
      <c r="M422" s="20">
        <f t="shared" si="49"/>
        <v>0.13978198103584422</v>
      </c>
      <c r="AB422" s="20">
        <f t="shared" si="50"/>
        <v>0.19200299076143823</v>
      </c>
    </row>
    <row r="423" spans="1:28">
      <c r="A423" s="18" t="str">
        <f>Analysis!A423</f>
        <v>4/1993</v>
      </c>
      <c r="B423" s="19">
        <f>Analysis!B423</f>
        <v>1993.2916666666667</v>
      </c>
      <c r="C423" s="19">
        <f>Analysis!E423</f>
        <v>0.28000000000000114</v>
      </c>
      <c r="D423" s="20">
        <f>Analysis!F423</f>
        <v>0.36012343935395846</v>
      </c>
      <c r="E423" s="19">
        <f>IF(ENSO!F423="","",ENSO!F423)</f>
        <v>0.73</v>
      </c>
      <c r="F423" s="25">
        <f>IF(Volcanic!G423="","",Volcanic!G423)</f>
        <v>6.4380000000000007E-2</v>
      </c>
      <c r="G423" s="19">
        <f>IF(Solar!D423="","",Solar!D423)</f>
        <v>1361.11</v>
      </c>
      <c r="H423" s="20">
        <f t="shared" si="44"/>
        <v>0.36012343935395846</v>
      </c>
      <c r="I423" s="20">
        <f t="shared" si="45"/>
        <v>0.39217848942314765</v>
      </c>
      <c r="J423" s="25">
        <f t="shared" si="46"/>
        <v>7.3500476568310408E-2</v>
      </c>
      <c r="K423" s="19">
        <f t="shared" si="47"/>
        <v>1361.2558770484657</v>
      </c>
      <c r="L423" s="20">
        <f t="shared" si="48"/>
        <v>0.2402469088030437</v>
      </c>
      <c r="M423" s="20">
        <f t="shared" si="49"/>
        <v>3.9753091196957441E-2</v>
      </c>
      <c r="AB423" s="20">
        <f t="shared" si="50"/>
        <v>0.21173828545922435</v>
      </c>
    </row>
    <row r="424" spans="1:28">
      <c r="A424" s="18" t="str">
        <f>Analysis!A424</f>
        <v>5/1993</v>
      </c>
      <c r="B424" s="19">
        <f>Analysis!B424</f>
        <v>1993.375</v>
      </c>
      <c r="C424" s="19">
        <f>Analysis!E424</f>
        <v>0.28000000000000114</v>
      </c>
      <c r="D424" s="20">
        <f>Analysis!F424</f>
        <v>0.36377182459446167</v>
      </c>
      <c r="E424" s="19">
        <f>IF(ENSO!F424="","",ENSO!F424)</f>
        <v>0.76</v>
      </c>
      <c r="F424" s="25">
        <f>IF(Volcanic!G424="","",Volcanic!G424)</f>
        <v>5.951E-2</v>
      </c>
      <c r="G424" s="19">
        <f>IF(Solar!D424="","",Solar!D424)</f>
        <v>1361.08</v>
      </c>
      <c r="H424" s="20">
        <f t="shared" si="44"/>
        <v>0.36377182459446167</v>
      </c>
      <c r="I424" s="20">
        <f t="shared" si="45"/>
        <v>0.44864581327503472</v>
      </c>
      <c r="J424" s="25">
        <f t="shared" si="46"/>
        <v>7.2381859824676403E-2</v>
      </c>
      <c r="K424" s="19">
        <f t="shared" si="47"/>
        <v>1361.2418146961024</v>
      </c>
      <c r="L424" s="20">
        <f t="shared" si="48"/>
        <v>0.26187627253995127</v>
      </c>
      <c r="M424" s="20">
        <f t="shared" si="49"/>
        <v>1.8123727460049865E-2</v>
      </c>
      <c r="AB424" s="20">
        <f t="shared" si="50"/>
        <v>0.2332649727094539</v>
      </c>
    </row>
    <row r="425" spans="1:28">
      <c r="A425" s="18" t="str">
        <f>Analysis!A425</f>
        <v>6/1993</v>
      </c>
      <c r="B425" s="19">
        <f>Analysis!B425</f>
        <v>1993.4583333333333</v>
      </c>
      <c r="C425" s="19">
        <f>Analysis!E425</f>
        <v>0.2300000000000022</v>
      </c>
      <c r="D425" s="20">
        <f>Analysis!F425</f>
        <v>0.36112666251503961</v>
      </c>
      <c r="E425" s="19">
        <f>IF(ENSO!F425="","",ENSO!F425)</f>
        <v>0.56000000000000005</v>
      </c>
      <c r="F425" s="25">
        <f>IF(Volcanic!G425="","",Volcanic!G425)</f>
        <v>5.4960000000000002E-2</v>
      </c>
      <c r="G425" s="19">
        <f>IF(Solar!D425="","",Solar!D425)</f>
        <v>1361.1</v>
      </c>
      <c r="H425" s="20">
        <f t="shared" si="44"/>
        <v>0.36112666251503961</v>
      </c>
      <c r="I425" s="20">
        <f t="shared" si="45"/>
        <v>0.46574071594725985</v>
      </c>
      <c r="J425" s="25">
        <f t="shared" si="46"/>
        <v>7.0988884824148529E-2</v>
      </c>
      <c r="K425" s="19">
        <f t="shared" si="47"/>
        <v>1361.2304758190612</v>
      </c>
      <c r="L425" s="20">
        <f t="shared" si="48"/>
        <v>0.26186124201338423</v>
      </c>
      <c r="M425" s="20">
        <f t="shared" si="49"/>
        <v>-3.186124201338203E-2</v>
      </c>
      <c r="AB425" s="20">
        <f t="shared" si="50"/>
        <v>0.23380490549148708</v>
      </c>
    </row>
    <row r="426" spans="1:28">
      <c r="A426" s="18" t="str">
        <f>Analysis!A426</f>
        <v>7/1993</v>
      </c>
      <c r="B426" s="19">
        <f>Analysis!B426</f>
        <v>1993.5416666666667</v>
      </c>
      <c r="C426" s="19">
        <f>Analysis!E426</f>
        <v>0.25000000000000355</v>
      </c>
      <c r="D426" s="20">
        <f>Analysis!F426</f>
        <v>0.35231462507909828</v>
      </c>
      <c r="E426" s="19">
        <f>IF(ENSO!F426="","",ENSO!F426)</f>
        <v>0.28000000000000003</v>
      </c>
      <c r="F426" s="25">
        <f>IF(Volcanic!G426="","",Volcanic!G426)</f>
        <v>5.0900000000000001E-2</v>
      </c>
      <c r="G426" s="19">
        <f>IF(Solar!D426="","",Solar!D426)</f>
        <v>1361</v>
      </c>
      <c r="H426" s="20">
        <f t="shared" si="44"/>
        <v>0.35231462507909828</v>
      </c>
      <c r="I426" s="20">
        <f t="shared" si="45"/>
        <v>0.43722612161745411</v>
      </c>
      <c r="J426" s="25">
        <f t="shared" si="46"/>
        <v>6.9382666278589633E-2</v>
      </c>
      <c r="K426" s="19">
        <f t="shared" si="47"/>
        <v>1361.2120479900343</v>
      </c>
      <c r="L426" s="20">
        <f t="shared" si="48"/>
        <v>0.23945685377927528</v>
      </c>
      <c r="M426" s="20">
        <f t="shared" si="49"/>
        <v>1.0543146220728272E-2</v>
      </c>
      <c r="AB426" s="20">
        <f t="shared" si="50"/>
        <v>0.21264176851686639</v>
      </c>
    </row>
    <row r="427" spans="1:28">
      <c r="A427" s="18" t="str">
        <f>Analysis!A427</f>
        <v>8/1993</v>
      </c>
      <c r="B427" s="19">
        <f>Analysis!B427</f>
        <v>1993.625</v>
      </c>
      <c r="C427" s="19">
        <f>Analysis!E427</f>
        <v>0.10999999999999766</v>
      </c>
      <c r="D427" s="20">
        <f>Analysis!F427</f>
        <v>0.34547748263181688</v>
      </c>
      <c r="E427" s="19">
        <f>IF(ENSO!F427="","",ENSO!F427)</f>
        <v>0.22</v>
      </c>
      <c r="F427" s="25">
        <f>IF(Volcanic!G427="","",Volcanic!G427)</f>
        <v>4.6559999999999997E-2</v>
      </c>
      <c r="G427" s="19">
        <f>IF(Solar!D427="","",Solar!D427)</f>
        <v>1361</v>
      </c>
      <c r="H427" s="20">
        <f t="shared" si="44"/>
        <v>0.34547748263181688</v>
      </c>
      <c r="I427" s="20">
        <f t="shared" si="45"/>
        <v>0.40387794211804084</v>
      </c>
      <c r="J427" s="25">
        <f t="shared" si="46"/>
        <v>6.7557866636565392E-2</v>
      </c>
      <c r="K427" s="19">
        <f t="shared" si="47"/>
        <v>1361.1950935688644</v>
      </c>
      <c r="L427" s="20">
        <f t="shared" si="48"/>
        <v>0.22245231472610094</v>
      </c>
      <c r="M427" s="20">
        <f t="shared" si="49"/>
        <v>-0.11245231472610329</v>
      </c>
      <c r="AB427" s="20">
        <f t="shared" si="50"/>
        <v>0.1969831700113997</v>
      </c>
    </row>
    <row r="428" spans="1:28">
      <c r="A428" s="18" t="str">
        <f>Analysis!A428</f>
        <v>9/1993</v>
      </c>
      <c r="B428" s="19">
        <f>Analysis!B428</f>
        <v>1993.7083333333333</v>
      </c>
      <c r="C428" s="19">
        <f>Analysis!E428</f>
        <v>0.10999999999999766</v>
      </c>
      <c r="D428" s="20">
        <f>Analysis!F428</f>
        <v>0.33889297770649457</v>
      </c>
      <c r="E428" s="19">
        <f>IF(ENSO!F428="","",ENSO!F428)</f>
        <v>0.2</v>
      </c>
      <c r="F428" s="25">
        <f>IF(Volcanic!G428="","",Volcanic!G428)</f>
        <v>4.249E-2</v>
      </c>
      <c r="G428" s="19">
        <f>IF(Solar!D428="","",Solar!D428)</f>
        <v>1360.84</v>
      </c>
      <c r="H428" s="20">
        <f t="shared" si="44"/>
        <v>0.33889297770649457</v>
      </c>
      <c r="I428" s="20">
        <f t="shared" si="45"/>
        <v>0.37257895211122799</v>
      </c>
      <c r="J428" s="25">
        <f t="shared" si="46"/>
        <v>6.5553550685644751E-2</v>
      </c>
      <c r="K428" s="19">
        <f t="shared" si="47"/>
        <v>1361.1667018547046</v>
      </c>
      <c r="L428" s="20">
        <f t="shared" si="48"/>
        <v>0.20702912238436152</v>
      </c>
      <c r="M428" s="20">
        <f t="shared" si="49"/>
        <v>-9.7029122384363869E-2</v>
      </c>
      <c r="AB428" s="20">
        <f t="shared" si="50"/>
        <v>0.18296519171005293</v>
      </c>
    </row>
    <row r="429" spans="1:28">
      <c r="A429" s="18" t="str">
        <f>Analysis!A429</f>
        <v>10/1993</v>
      </c>
      <c r="B429" s="19">
        <f>Analysis!B429</f>
        <v>1993.7916666666667</v>
      </c>
      <c r="C429" s="19">
        <f>Analysis!E429</f>
        <v>0.24000000000000199</v>
      </c>
      <c r="D429" s="20">
        <f>Analysis!F429</f>
        <v>0.33925957300098403</v>
      </c>
      <c r="E429" s="19">
        <f>IF(ENSO!F429="","",ENSO!F429)</f>
        <v>0.2</v>
      </c>
      <c r="F429" s="25">
        <f>IF(Volcanic!G429="","",Volcanic!G429)</f>
        <v>3.9300000000000002E-2</v>
      </c>
      <c r="G429" s="19">
        <f>IF(Solar!D429="","",Solar!D429)</f>
        <v>1360.6</v>
      </c>
      <c r="H429" s="20">
        <f t="shared" si="44"/>
        <v>0.33925957300098403</v>
      </c>
      <c r="I429" s="20">
        <f t="shared" si="45"/>
        <v>0.34608492906292693</v>
      </c>
      <c r="J429" s="25">
        <f t="shared" si="46"/>
        <v>6.3454432672515299E-2</v>
      </c>
      <c r="K429" s="19">
        <f t="shared" si="47"/>
        <v>1361.1213908761811</v>
      </c>
      <c r="L429" s="20">
        <f t="shared" si="48"/>
        <v>0.21140260039966469</v>
      </c>
      <c r="M429" s="20">
        <f t="shared" si="49"/>
        <v>2.8597399600337303E-2</v>
      </c>
      <c r="AB429" s="20">
        <f t="shared" si="50"/>
        <v>0.18858124474952692</v>
      </c>
    </row>
    <row r="430" spans="1:28">
      <c r="A430" s="18" t="str">
        <f>Analysis!A430</f>
        <v>11/1993</v>
      </c>
      <c r="B430" s="19">
        <f>Analysis!B430</f>
        <v>1993.875</v>
      </c>
      <c r="C430" s="19">
        <f>Analysis!E430</f>
        <v>3.9999999999999147E-2</v>
      </c>
      <c r="D430" s="20">
        <f>Analysis!F430</f>
        <v>0.34454447395471077</v>
      </c>
      <c r="E430" s="19">
        <f>IF(ENSO!F430="","",ENSO!F430)</f>
        <v>0.2</v>
      </c>
      <c r="F430" s="25">
        <f>IF(Volcanic!G430="","",Volcanic!G430)</f>
        <v>3.5959999999999999E-2</v>
      </c>
      <c r="G430" s="19">
        <f>IF(Solar!D430="","",Solar!D430)</f>
        <v>1360.64</v>
      </c>
      <c r="H430" s="20">
        <f t="shared" si="44"/>
        <v>0.34454447395471077</v>
      </c>
      <c r="I430" s="20">
        <f t="shared" si="45"/>
        <v>0.32365822273370937</v>
      </c>
      <c r="J430" s="25">
        <f t="shared" si="46"/>
        <v>6.1256099213749679E-2</v>
      </c>
      <c r="K430" s="19">
        <f t="shared" si="47"/>
        <v>1361.0829009868839</v>
      </c>
      <c r="L430" s="20">
        <f t="shared" si="48"/>
        <v>0.22998659259014317</v>
      </c>
      <c r="M430" s="20">
        <f t="shared" si="49"/>
        <v>-0.18998659259014403</v>
      </c>
      <c r="AB430" s="20">
        <f t="shared" si="50"/>
        <v>0.20830147620492998</v>
      </c>
    </row>
    <row r="431" spans="1:28">
      <c r="A431" s="18" t="str">
        <f>Analysis!A431</f>
        <v>12/1993</v>
      </c>
      <c r="B431" s="19">
        <f>Analysis!B431</f>
        <v>1993.9583333333333</v>
      </c>
      <c r="C431" s="19">
        <f>Analysis!E431</f>
        <v>0.17999999999999972</v>
      </c>
      <c r="D431" s="20">
        <f>Analysis!F431</f>
        <v>0.35061847686790176</v>
      </c>
      <c r="E431" s="19">
        <f>IF(ENSO!F431="","",ENSO!F431)</f>
        <v>0.19</v>
      </c>
      <c r="F431" s="25">
        <f>IF(Volcanic!G431="","",Volcanic!G431)</f>
        <v>3.2710000000000003E-2</v>
      </c>
      <c r="G431" s="19">
        <f>IF(Solar!D431="","",Solar!D431)</f>
        <v>1360.8</v>
      </c>
      <c r="H431" s="20">
        <f t="shared" si="44"/>
        <v>0.35061847686790176</v>
      </c>
      <c r="I431" s="20">
        <f t="shared" si="45"/>
        <v>0.30313924292544425</v>
      </c>
      <c r="J431" s="25">
        <f t="shared" si="46"/>
        <v>5.8973679141064904E-2</v>
      </c>
      <c r="K431" s="19">
        <f t="shared" si="47"/>
        <v>1361.0602814728757</v>
      </c>
      <c r="L431" s="20">
        <f t="shared" si="48"/>
        <v>0.25125892761206037</v>
      </c>
      <c r="M431" s="20">
        <f t="shared" si="49"/>
        <v>-7.1258927612060652E-2</v>
      </c>
      <c r="AB431" s="20">
        <f t="shared" si="50"/>
        <v>0.23071309006936094</v>
      </c>
    </row>
    <row r="432" spans="1:28">
      <c r="A432" s="18" t="str">
        <f>Analysis!A432</f>
        <v>1/1994</v>
      </c>
      <c r="B432" s="19">
        <f>Analysis!B432</f>
        <v>1994.0416666666667</v>
      </c>
      <c r="C432" s="19">
        <f>Analysis!E432</f>
        <v>0.25999999999999979</v>
      </c>
      <c r="D432" s="20">
        <f>Analysis!F432</f>
        <v>0.35598278616786283</v>
      </c>
      <c r="E432" s="19">
        <f>IF(ENSO!F432="","",ENSO!F432)</f>
        <v>7.0000000000000007E-2</v>
      </c>
      <c r="F432" s="25">
        <f>IF(Volcanic!G432="","",Volcanic!G432)</f>
        <v>2.9739999999999999E-2</v>
      </c>
      <c r="G432" s="19">
        <f>IF(Solar!D432="","",Solar!D432)</f>
        <v>1360.55</v>
      </c>
      <c r="H432" s="20">
        <f t="shared" si="44"/>
        <v>0.35598278616786283</v>
      </c>
      <c r="I432" s="20">
        <f t="shared" si="45"/>
        <v>0.26734810849122198</v>
      </c>
      <c r="J432" s="25">
        <f t="shared" si="46"/>
        <v>5.6636283212802514E-2</v>
      </c>
      <c r="K432" s="19">
        <f t="shared" si="47"/>
        <v>1361.019481619008</v>
      </c>
      <c r="L432" s="20">
        <f t="shared" si="48"/>
        <v>0.26864340518205443</v>
      </c>
      <c r="M432" s="20">
        <f t="shared" si="49"/>
        <v>-8.643405182054642E-3</v>
      </c>
      <c r="AB432" s="20">
        <f t="shared" si="50"/>
        <v>0.24942749619402804</v>
      </c>
    </row>
    <row r="433" spans="1:28">
      <c r="A433" s="18" t="str">
        <f>Analysis!A433</f>
        <v>2/1994</v>
      </c>
      <c r="B433" s="19">
        <f>Analysis!B433</f>
        <v>1994.125</v>
      </c>
      <c r="C433" s="19">
        <f>Analysis!E433</f>
        <v>2.0000000000003126E-2</v>
      </c>
      <c r="D433" s="20">
        <f>Analysis!F433</f>
        <v>0.35871775388910165</v>
      </c>
      <c r="E433" s="19">
        <f>IF(ENSO!F433="","",ENSO!F433)</f>
        <v>0</v>
      </c>
      <c r="F433" s="25">
        <f>IF(Volcanic!G433="","",Volcanic!G433)</f>
        <v>2.4920000000000001E-2</v>
      </c>
      <c r="G433" s="19">
        <f>IF(Solar!D433="","",Solar!D433)</f>
        <v>1360.94</v>
      </c>
      <c r="H433" s="20">
        <f t="shared" si="44"/>
        <v>0.35871775388910165</v>
      </c>
      <c r="I433" s="20">
        <f t="shared" si="45"/>
        <v>0.22630528802189262</v>
      </c>
      <c r="J433" s="25">
        <f t="shared" si="46"/>
        <v>5.410038922274072E-2</v>
      </c>
      <c r="K433" s="19">
        <f t="shared" si="47"/>
        <v>1361.013126619634</v>
      </c>
      <c r="L433" s="20">
        <f t="shared" si="48"/>
        <v>0.27884994321936796</v>
      </c>
      <c r="M433" s="20">
        <f t="shared" si="49"/>
        <v>-0.25884994321936483</v>
      </c>
      <c r="AB433" s="20">
        <f t="shared" si="50"/>
        <v>0.26116977964643651</v>
      </c>
    </row>
    <row r="434" spans="1:28">
      <c r="A434" s="18" t="str">
        <f>Analysis!A434</f>
        <v>3/1994</v>
      </c>
      <c r="B434" s="19">
        <f>Analysis!B434</f>
        <v>1994.2083333333333</v>
      </c>
      <c r="C434" s="19">
        <f>Analysis!E434</f>
        <v>0.28999999999999559</v>
      </c>
      <c r="D434" s="20">
        <f>Analysis!F434</f>
        <v>0.36301083553510793</v>
      </c>
      <c r="E434" s="19">
        <f>IF(ENSO!F434="","",ENSO!F434)</f>
        <v>0.04</v>
      </c>
      <c r="F434" s="25">
        <f>IF(Volcanic!G434="","",Volcanic!G434)</f>
        <v>2.1430000000000001E-2</v>
      </c>
      <c r="G434" s="19">
        <f>IF(Solar!D434="","",Solar!D434)</f>
        <v>1360.99</v>
      </c>
      <c r="H434" s="20">
        <f t="shared" si="44"/>
        <v>0.36301083553510793</v>
      </c>
      <c r="I434" s="20">
        <f t="shared" si="45"/>
        <v>0.19770402156101433</v>
      </c>
      <c r="J434" s="25">
        <f t="shared" si="46"/>
        <v>5.1488209128148638E-2</v>
      </c>
      <c r="K434" s="19">
        <f t="shared" si="47"/>
        <v>1361.0112775172233</v>
      </c>
      <c r="L434" s="20">
        <f t="shared" si="48"/>
        <v>0.29528444796410713</v>
      </c>
      <c r="M434" s="20">
        <f t="shared" si="49"/>
        <v>-5.2844479641115383E-3</v>
      </c>
      <c r="AB434" s="20">
        <f t="shared" si="50"/>
        <v>0.27901936225906615</v>
      </c>
    </row>
    <row r="435" spans="1:28">
      <c r="A435" s="18" t="str">
        <f>Analysis!A435</f>
        <v>4/1994</v>
      </c>
      <c r="B435" s="19">
        <f>Analysis!B435</f>
        <v>1994.2916666666667</v>
      </c>
      <c r="C435" s="19">
        <f>Analysis!E435</f>
        <v>0.41000000000000014</v>
      </c>
      <c r="D435" s="20">
        <f>Analysis!F435</f>
        <v>0.36800999171782506</v>
      </c>
      <c r="E435" s="19">
        <f>IF(ENSO!F435="","",ENSO!F435)</f>
        <v>0.17</v>
      </c>
      <c r="F435" s="25">
        <f>IF(Volcanic!G435="","",Volcanic!G435)</f>
        <v>1.8630000000000001E-2</v>
      </c>
      <c r="G435" s="19">
        <f>IF(Solar!D435="","",Solar!D435)</f>
        <v>1360.82</v>
      </c>
      <c r="H435" s="20">
        <f t="shared" si="44"/>
        <v>0.36800999171782506</v>
      </c>
      <c r="I435" s="20">
        <f t="shared" si="45"/>
        <v>0.19345094795737416</v>
      </c>
      <c r="J435" s="25">
        <f t="shared" si="46"/>
        <v>4.8861011783075399E-2</v>
      </c>
      <c r="K435" s="19">
        <f t="shared" si="47"/>
        <v>1360.9959838113655</v>
      </c>
      <c r="L435" s="20">
        <f t="shared" si="48"/>
        <v>0.31711528603954536</v>
      </c>
      <c r="M435" s="20">
        <f t="shared" si="49"/>
        <v>9.2884713960454779E-2</v>
      </c>
      <c r="AB435" s="20">
        <f t="shared" si="50"/>
        <v>0.3020197889261429</v>
      </c>
    </row>
    <row r="436" spans="1:28">
      <c r="A436" s="18" t="str">
        <f>Analysis!A436</f>
        <v>5/1994</v>
      </c>
      <c r="B436" s="19">
        <f>Analysis!B436</f>
        <v>1994.375</v>
      </c>
      <c r="C436" s="19">
        <f>Analysis!E436</f>
        <v>0.28000000000000114</v>
      </c>
      <c r="D436" s="20">
        <f>Analysis!F436</f>
        <v>0.36968582761490204</v>
      </c>
      <c r="E436" s="19">
        <f>IF(ENSO!F436="","",ENSO!F436)</f>
        <v>0.25</v>
      </c>
      <c r="F436" s="25">
        <f>IF(Volcanic!G436="","",Volcanic!G436)</f>
        <v>1.685E-2</v>
      </c>
      <c r="G436" s="19">
        <f>IF(Solar!D436="","",Solar!D436)</f>
        <v>1360.74</v>
      </c>
      <c r="H436" s="20">
        <f t="shared" si="44"/>
        <v>0.36968582761490204</v>
      </c>
      <c r="I436" s="20">
        <f t="shared" si="45"/>
        <v>0.20213226088602898</v>
      </c>
      <c r="J436" s="25">
        <f t="shared" si="46"/>
        <v>4.6301552597651972E-2</v>
      </c>
      <c r="K436" s="19">
        <f t="shared" si="47"/>
        <v>1360.9755164758824</v>
      </c>
      <c r="L436" s="20">
        <f t="shared" si="48"/>
        <v>0.33155480769754381</v>
      </c>
      <c r="M436" s="20">
        <f t="shared" si="49"/>
        <v>-5.1554807697542671E-2</v>
      </c>
      <c r="AB436" s="20">
        <f t="shared" si="50"/>
        <v>0.31754824767374734</v>
      </c>
    </row>
    <row r="437" spans="1:28">
      <c r="A437" s="18" t="str">
        <f>Analysis!A437</f>
        <v>6/1994</v>
      </c>
      <c r="B437" s="19">
        <f>Analysis!B437</f>
        <v>1994.4583333333333</v>
      </c>
      <c r="C437" s="19">
        <f>Analysis!E437</f>
        <v>0.42999999999999972</v>
      </c>
      <c r="D437" s="20">
        <f>Analysis!F437</f>
        <v>0.36633220690413326</v>
      </c>
      <c r="E437" s="19">
        <f>IF(ENSO!F437="","",ENSO!F437)</f>
        <v>0.23</v>
      </c>
      <c r="F437" s="25">
        <f>IF(Volcanic!G437="","",Volcanic!G437)</f>
        <v>1.5699999999999999E-2</v>
      </c>
      <c r="G437" s="19">
        <f>IF(Solar!D437="","",Solar!D437)</f>
        <v>1360.75</v>
      </c>
      <c r="H437" s="20">
        <f t="shared" si="44"/>
        <v>0.36633220690413326</v>
      </c>
      <c r="I437" s="20">
        <f t="shared" si="45"/>
        <v>0.20641046812600417</v>
      </c>
      <c r="J437" s="25">
        <f t="shared" si="46"/>
        <v>4.3854787546455151E-2</v>
      </c>
      <c r="K437" s="19">
        <f t="shared" si="47"/>
        <v>1360.9574851740426</v>
      </c>
      <c r="L437" s="20">
        <f t="shared" si="48"/>
        <v>0.33139013199729339</v>
      </c>
      <c r="M437" s="20">
        <f t="shared" si="49"/>
        <v>9.8609868002706325E-2</v>
      </c>
      <c r="AB437" s="20">
        <f t="shared" si="50"/>
        <v>0.31857829352775457</v>
      </c>
    </row>
    <row r="438" spans="1:28">
      <c r="A438" s="18" t="str">
        <f>Analysis!A438</f>
        <v>7/1994</v>
      </c>
      <c r="B438" s="19">
        <f>Analysis!B438</f>
        <v>1994.5416666666667</v>
      </c>
      <c r="C438" s="19">
        <f>Analysis!E438</f>
        <v>0.30000000000000249</v>
      </c>
      <c r="D438" s="20">
        <f>Analysis!F438</f>
        <v>0.36060507353538723</v>
      </c>
      <c r="E438" s="19">
        <f>IF(ENSO!F438="","",ENSO!F438)</f>
        <v>0.3</v>
      </c>
      <c r="F438" s="25">
        <f>IF(Volcanic!G438="","",Volcanic!G438)</f>
        <v>1.482E-2</v>
      </c>
      <c r="G438" s="19">
        <f>IF(Solar!D438="","",Solar!D438)</f>
        <v>1360.7</v>
      </c>
      <c r="H438" s="20">
        <f t="shared" si="44"/>
        <v>0.36060507353538723</v>
      </c>
      <c r="I438" s="20">
        <f t="shared" si="45"/>
        <v>0.22077817162759489</v>
      </c>
      <c r="J438" s="25">
        <f t="shared" si="46"/>
        <v>4.1533294112065099E-2</v>
      </c>
      <c r="K438" s="19">
        <f t="shared" si="47"/>
        <v>1360.9368977962276</v>
      </c>
      <c r="L438" s="20">
        <f t="shared" si="48"/>
        <v>0.32580593597786917</v>
      </c>
      <c r="M438" s="20">
        <f t="shared" si="49"/>
        <v>-2.5805935977866679E-2</v>
      </c>
      <c r="AB438" s="20">
        <f t="shared" si="50"/>
        <v>0.31408654217927678</v>
      </c>
    </row>
    <row r="439" spans="1:28">
      <c r="A439" s="18" t="str">
        <f>Analysis!A439</f>
        <v>8/1994</v>
      </c>
      <c r="B439" s="19">
        <f>Analysis!B439</f>
        <v>1994.625</v>
      </c>
      <c r="C439" s="19">
        <f>Analysis!E439</f>
        <v>0.22000000000000242</v>
      </c>
      <c r="D439" s="20">
        <f>Analysis!F439</f>
        <v>0.35287956496583295</v>
      </c>
      <c r="E439" s="19">
        <f>IF(ENSO!F439="","",ENSO!F439)</f>
        <v>0.3</v>
      </c>
      <c r="F439" s="25">
        <f>IF(Volcanic!G439="","",Volcanic!G439)</f>
        <v>1.4149999999999999E-2</v>
      </c>
      <c r="G439" s="19">
        <f>IF(Solar!D439="","",Solar!D439)</f>
        <v>1360.71</v>
      </c>
      <c r="H439" s="20">
        <f t="shared" si="44"/>
        <v>0.35287956496583295</v>
      </c>
      <c r="I439" s="20">
        <f t="shared" si="45"/>
        <v>0.23294017007033835</v>
      </c>
      <c r="J439" s="25">
        <f t="shared" si="46"/>
        <v>3.934384680195753E-2</v>
      </c>
      <c r="K439" s="19">
        <f t="shared" si="47"/>
        <v>1360.9187560501109</v>
      </c>
      <c r="L439" s="20">
        <f t="shared" si="48"/>
        <v>0.31405856407351401</v>
      </c>
      <c r="M439" s="20">
        <f t="shared" si="49"/>
        <v>-9.4058564073511597E-2</v>
      </c>
      <c r="AB439" s="20">
        <f t="shared" si="50"/>
        <v>0.30343674939098064</v>
      </c>
    </row>
    <row r="440" spans="1:28">
      <c r="A440" s="18" t="str">
        <f>Analysis!A440</f>
        <v>9/1994</v>
      </c>
      <c r="B440" s="19">
        <f>Analysis!B440</f>
        <v>1994.7083333333333</v>
      </c>
      <c r="C440" s="19">
        <f>Analysis!E440</f>
        <v>0.31000000000000227</v>
      </c>
      <c r="D440" s="20">
        <f>Analysis!F440</f>
        <v>0.34588295045182915</v>
      </c>
      <c r="E440" s="19">
        <f>IF(ENSO!F440="","",ENSO!F440)</f>
        <v>0.47</v>
      </c>
      <c r="F440" s="25">
        <f>IF(Volcanic!G440="","",Volcanic!G440)</f>
        <v>1.3639999999999999E-2</v>
      </c>
      <c r="G440" s="19">
        <f>IF(Solar!D440="","",Solar!D440)</f>
        <v>1360.57</v>
      </c>
      <c r="H440" s="20">
        <f t="shared" si="44"/>
        <v>0.34588295045182915</v>
      </c>
      <c r="I440" s="20">
        <f t="shared" si="45"/>
        <v>0.26933318625886438</v>
      </c>
      <c r="J440" s="25">
        <f t="shared" si="46"/>
        <v>3.7288680684628817E-2</v>
      </c>
      <c r="K440" s="19">
        <f t="shared" si="47"/>
        <v>1360.8908710559729</v>
      </c>
      <c r="L440" s="20">
        <f t="shared" si="48"/>
        <v>0.30724622074264962</v>
      </c>
      <c r="M440" s="20">
        <f t="shared" si="49"/>
        <v>2.7537792573526509E-3</v>
      </c>
      <c r="AB440" s="20">
        <f t="shared" si="50"/>
        <v>0.29740640817272679</v>
      </c>
    </row>
    <row r="441" spans="1:28">
      <c r="A441" s="18" t="str">
        <f>Analysis!A441</f>
        <v>10/1994</v>
      </c>
      <c r="B441" s="19">
        <f>Analysis!B441</f>
        <v>1994.7916666666667</v>
      </c>
      <c r="C441" s="19">
        <f>Analysis!E441</f>
        <v>0.42999999999999972</v>
      </c>
      <c r="D441" s="20">
        <f>Analysis!F441</f>
        <v>0.34730119108821406</v>
      </c>
      <c r="E441" s="19">
        <f>IF(ENSO!F441="","",ENSO!F441)</f>
        <v>0.66</v>
      </c>
      <c r="F441" s="25">
        <f>IF(Volcanic!G441="","",Volcanic!G441)</f>
        <v>1.328E-2</v>
      </c>
      <c r="G441" s="19">
        <f>IF(Solar!D441="","",Solar!D441)</f>
        <v>1360.66</v>
      </c>
      <c r="H441" s="20">
        <f t="shared" si="44"/>
        <v>0.34730119108821406</v>
      </c>
      <c r="I441" s="20">
        <f t="shared" si="45"/>
        <v>0.32930768164688323</v>
      </c>
      <c r="J441" s="25">
        <f t="shared" si="46"/>
        <v>3.5369052566511662E-2</v>
      </c>
      <c r="K441" s="19">
        <f t="shared" si="47"/>
        <v>1360.8724116255473</v>
      </c>
      <c r="L441" s="20">
        <f t="shared" si="48"/>
        <v>0.32605715479764552</v>
      </c>
      <c r="M441" s="20">
        <f t="shared" si="49"/>
        <v>0.10394284520235419</v>
      </c>
      <c r="AB441" s="20">
        <f t="shared" si="50"/>
        <v>0.31651155754415644</v>
      </c>
    </row>
    <row r="442" spans="1:28">
      <c r="A442" s="18" t="str">
        <f>Analysis!A442</f>
        <v>11/1994</v>
      </c>
      <c r="B442" s="19">
        <f>Analysis!B442</f>
        <v>1994.875</v>
      </c>
      <c r="C442" s="19">
        <f>Analysis!E442</f>
        <v>0.44999999999999751</v>
      </c>
      <c r="D442" s="20">
        <f>Analysis!F442</f>
        <v>0.35312161435528655</v>
      </c>
      <c r="E442" s="19">
        <f>IF(ENSO!F442="","",ENSO!F442)</f>
        <v>0.93</v>
      </c>
      <c r="F442" s="25">
        <f>IF(Volcanic!G442="","",Volcanic!G442)</f>
        <v>1.247E-2</v>
      </c>
      <c r="G442" s="19">
        <f>IF(Solar!D442="","",Solar!D442)</f>
        <v>1360.79</v>
      </c>
      <c r="H442" s="20">
        <f t="shared" si="44"/>
        <v>0.35312161435528655</v>
      </c>
      <c r="I442" s="20">
        <f t="shared" si="45"/>
        <v>0.42152493023191184</v>
      </c>
      <c r="J442" s="25">
        <f t="shared" si="46"/>
        <v>3.3538145414122325E-2</v>
      </c>
      <c r="K442" s="19">
        <f t="shared" si="47"/>
        <v>1360.8658223557854</v>
      </c>
      <c r="L442" s="20">
        <f t="shared" si="48"/>
        <v>0.36102151022580031</v>
      </c>
      <c r="M442" s="20">
        <f t="shared" si="49"/>
        <v>8.89784897741972E-2</v>
      </c>
      <c r="AB442" s="20">
        <f t="shared" si="50"/>
        <v>0.35131335499111999</v>
      </c>
    </row>
    <row r="443" spans="1:28">
      <c r="A443" s="18" t="str">
        <f>Analysis!A443</f>
        <v>12/1994</v>
      </c>
      <c r="B443" s="19">
        <f>Analysis!B443</f>
        <v>1994.9583333333333</v>
      </c>
      <c r="C443" s="19">
        <f>Analysis!E443</f>
        <v>0.38999999999999879</v>
      </c>
      <c r="D443" s="20">
        <f>Analysis!F443</f>
        <v>0.35895882583232935</v>
      </c>
      <c r="E443" s="19">
        <f>IF(ENSO!F443="","",ENSO!F443)</f>
        <v>0.97</v>
      </c>
      <c r="F443" s="25">
        <f>IF(Volcanic!G443="","",Volcanic!G443)</f>
        <v>1.176E-2</v>
      </c>
      <c r="G443" s="19">
        <f>IF(Solar!D443="","",Solar!D443)</f>
        <v>1360.71</v>
      </c>
      <c r="H443" s="20">
        <f t="shared" si="44"/>
        <v>0.35895882583232935</v>
      </c>
      <c r="I443" s="20">
        <f t="shared" si="45"/>
        <v>0.5057258768832088</v>
      </c>
      <c r="J443" s="25">
        <f t="shared" si="46"/>
        <v>3.1796861049248455E-2</v>
      </c>
      <c r="K443" s="19">
        <f t="shared" si="47"/>
        <v>1360.8533634881146</v>
      </c>
      <c r="L443" s="20">
        <f t="shared" si="48"/>
        <v>0.39459596111340234</v>
      </c>
      <c r="M443" s="20">
        <f t="shared" si="49"/>
        <v>-4.5959611134035461E-3</v>
      </c>
      <c r="AB443" s="20">
        <f t="shared" si="50"/>
        <v>0.38476020462940991</v>
      </c>
    </row>
    <row r="444" spans="1:28">
      <c r="A444" s="18" t="str">
        <f>Analysis!A444</f>
        <v>1/1995</v>
      </c>
      <c r="B444" s="19">
        <f>Analysis!B444</f>
        <v>1995.0416666666667</v>
      </c>
      <c r="C444" s="19">
        <f>Analysis!E444</f>
        <v>0.52999999999999758</v>
      </c>
      <c r="D444" s="20">
        <f>Analysis!F444</f>
        <v>0.36273036992883079</v>
      </c>
      <c r="E444" s="19">
        <f>IF(ENSO!F444="","",ENSO!F444)</f>
        <v>0.88</v>
      </c>
      <c r="F444" s="25">
        <f>IF(Volcanic!G444="","",Volcanic!G444)</f>
        <v>1.1270000000000001E-2</v>
      </c>
      <c r="G444" s="19">
        <f>IF(Solar!D444="","",Solar!D444)</f>
        <v>1360.77</v>
      </c>
      <c r="H444" s="20">
        <f t="shared" si="44"/>
        <v>0.36273036992883079</v>
      </c>
      <c r="I444" s="20">
        <f t="shared" si="45"/>
        <v>0.5631837946821765</v>
      </c>
      <c r="J444" s="25">
        <f t="shared" si="46"/>
        <v>3.0155623858233251E-2</v>
      </c>
      <c r="K444" s="19">
        <f t="shared" si="47"/>
        <v>1360.8466981116237</v>
      </c>
      <c r="L444" s="20">
        <f t="shared" si="48"/>
        <v>0.4184710878145772</v>
      </c>
      <c r="M444" s="20">
        <f t="shared" si="49"/>
        <v>0.11152891218542038</v>
      </c>
      <c r="AB444" s="20">
        <f t="shared" si="50"/>
        <v>0.40876766554967336</v>
      </c>
    </row>
    <row r="445" spans="1:28">
      <c r="A445" s="18" t="str">
        <f>Analysis!A445</f>
        <v>2/1995</v>
      </c>
      <c r="B445" s="19">
        <f>Analysis!B445</f>
        <v>1995.125</v>
      </c>
      <c r="C445" s="19">
        <f>Analysis!E445</f>
        <v>0.79000000000000092</v>
      </c>
      <c r="D445" s="20">
        <f>Analysis!F445</f>
        <v>0.36657200994220462</v>
      </c>
      <c r="E445" s="19">
        <f>IF(ENSO!F445="","",ENSO!F445)</f>
        <v>0.65</v>
      </c>
      <c r="F445" s="25">
        <f>IF(Volcanic!G445="","",Volcanic!G445)</f>
        <v>1.0330000000000001E-2</v>
      </c>
      <c r="G445" s="19">
        <f>IF(Solar!D445="","",Solar!D445)</f>
        <v>1360.86</v>
      </c>
      <c r="H445" s="20">
        <f t="shared" si="44"/>
        <v>0.36657200994220462</v>
      </c>
      <c r="I445" s="20">
        <f t="shared" si="45"/>
        <v>0.57651166877411109</v>
      </c>
      <c r="J445" s="25">
        <f t="shared" si="46"/>
        <v>2.8570454497309355E-2</v>
      </c>
      <c r="K445" s="19">
        <f t="shared" si="47"/>
        <v>1360.8477616718953</v>
      </c>
      <c r="L445" s="20">
        <f t="shared" si="48"/>
        <v>0.43611788790230399</v>
      </c>
      <c r="M445" s="20">
        <f t="shared" si="49"/>
        <v>0.35388211209769693</v>
      </c>
      <c r="AB445" s="20">
        <f t="shared" si="50"/>
        <v>0.42694683125378835</v>
      </c>
    </row>
    <row r="446" spans="1:28">
      <c r="A446" s="18" t="str">
        <f>Analysis!A446</f>
        <v>3/1995</v>
      </c>
      <c r="B446" s="19">
        <f>Analysis!B446</f>
        <v>1995.2083333333333</v>
      </c>
      <c r="C446" s="19">
        <f>Analysis!E446</f>
        <v>0.47000000000000242</v>
      </c>
      <c r="D446" s="20">
        <f>Analysis!F446</f>
        <v>0.3704831610279733</v>
      </c>
      <c r="E446" s="19">
        <f>IF(ENSO!F446="","",ENSO!F446)</f>
        <v>0.46</v>
      </c>
      <c r="F446" s="25">
        <f>IF(Volcanic!G446="","",Volcanic!G446)</f>
        <v>9.8200000000000006E-3</v>
      </c>
      <c r="G446" s="19">
        <f>IF(Solar!D446="","",Solar!D446)</f>
        <v>1360.71</v>
      </c>
      <c r="H446" s="20">
        <f t="shared" si="44"/>
        <v>0.3704831610279733</v>
      </c>
      <c r="I446" s="20">
        <f t="shared" si="45"/>
        <v>0.55862499835379342</v>
      </c>
      <c r="J446" s="25">
        <f t="shared" si="46"/>
        <v>2.7071250932010748E-2</v>
      </c>
      <c r="K446" s="19">
        <f t="shared" si="47"/>
        <v>1360.8367468567772</v>
      </c>
      <c r="L446" s="20">
        <f t="shared" si="48"/>
        <v>0.44925600249626413</v>
      </c>
      <c r="M446" s="20">
        <f t="shared" si="49"/>
        <v>2.0743997503738287E-2</v>
      </c>
      <c r="AB446" s="20">
        <f t="shared" si="50"/>
        <v>0.44087787705959491</v>
      </c>
    </row>
    <row r="447" spans="1:28">
      <c r="A447" s="18" t="str">
        <f>Analysis!A447</f>
        <v>4/1995</v>
      </c>
      <c r="B447" s="19">
        <f>Analysis!B447</f>
        <v>1995.2916666666667</v>
      </c>
      <c r="C447" s="19">
        <f>Analysis!E447</f>
        <v>0.47000000000000242</v>
      </c>
      <c r="D447" s="20">
        <f>Analysis!F447</f>
        <v>0.37629038333705156</v>
      </c>
      <c r="E447" s="19">
        <f>IF(ENSO!F447="","",ENSO!F447)</f>
        <v>0.19</v>
      </c>
      <c r="F447" s="25">
        <f>IF(Volcanic!G447="","",Volcanic!G447)</f>
        <v>9.3399999999999993E-3</v>
      </c>
      <c r="G447" s="19">
        <f>IF(Solar!D447="","",Solar!D447)</f>
        <v>1360.68</v>
      </c>
      <c r="H447" s="20">
        <f t="shared" si="44"/>
        <v>0.37629038333705156</v>
      </c>
      <c r="I447" s="20">
        <f t="shared" si="45"/>
        <v>0.50203432444431884</v>
      </c>
      <c r="J447" s="25">
        <f t="shared" si="46"/>
        <v>2.5653538384387473E-2</v>
      </c>
      <c r="K447" s="19">
        <f t="shared" si="47"/>
        <v>1360.8242140700886</v>
      </c>
      <c r="L447" s="20">
        <f t="shared" si="48"/>
        <v>0.46178302837872615</v>
      </c>
      <c r="M447" s="20">
        <f t="shared" si="49"/>
        <v>8.21697162127627E-3</v>
      </c>
      <c r="AB447" s="20">
        <f t="shared" si="50"/>
        <v>0.45449090868473985</v>
      </c>
    </row>
    <row r="448" spans="1:28">
      <c r="A448" s="18" t="str">
        <f>Analysis!A448</f>
        <v>5/1995</v>
      </c>
      <c r="B448" s="19">
        <f>Analysis!B448</f>
        <v>1995.375</v>
      </c>
      <c r="C448" s="19">
        <f>Analysis!E448</f>
        <v>0.27000000000000135</v>
      </c>
      <c r="D448" s="20">
        <f>Analysis!F448</f>
        <v>0.37783767971908239</v>
      </c>
      <c r="E448" s="19">
        <f>IF(ENSO!F448="","",ENSO!F448)</f>
        <v>0.03</v>
      </c>
      <c r="F448" s="25">
        <f>IF(Volcanic!G448="","",Volcanic!G448)</f>
        <v>8.7799999999999996E-3</v>
      </c>
      <c r="G448" s="19">
        <f>IF(Solar!D448="","",Solar!D448)</f>
        <v>1360.68</v>
      </c>
      <c r="H448" s="20">
        <f t="shared" si="44"/>
        <v>0.37783767971908239</v>
      </c>
      <c r="I448" s="20">
        <f t="shared" si="45"/>
        <v>0.42956842916320281</v>
      </c>
      <c r="J448" s="25">
        <f t="shared" si="46"/>
        <v>2.4304404745589193E-2</v>
      </c>
      <c r="K448" s="19">
        <f t="shared" si="47"/>
        <v>1360.812683349696</v>
      </c>
      <c r="L448" s="20">
        <f t="shared" si="48"/>
        <v>0.46031750111282049</v>
      </c>
      <c r="M448" s="20">
        <f t="shared" si="49"/>
        <v>-0.19031750111281914</v>
      </c>
      <c r="AB448" s="20">
        <f t="shared" si="50"/>
        <v>0.45433156435844035</v>
      </c>
    </row>
    <row r="449" spans="1:28">
      <c r="A449" s="18" t="str">
        <f>Analysis!A449</f>
        <v>6/1995</v>
      </c>
      <c r="B449" s="19">
        <f>Analysis!B449</f>
        <v>1995.4583333333333</v>
      </c>
      <c r="C449" s="19">
        <f>Analysis!E449</f>
        <v>0.42999999999999972</v>
      </c>
      <c r="D449" s="20">
        <f>Analysis!F449</f>
        <v>0.37585366620313115</v>
      </c>
      <c r="E449" s="19">
        <f>IF(ENSO!F449="","",ENSO!F449)</f>
        <v>-0.11</v>
      </c>
      <c r="F449" s="25">
        <f>IF(Volcanic!G449="","",Volcanic!G449)</f>
        <v>8.4200000000000004E-3</v>
      </c>
      <c r="G449" s="19">
        <f>IF(Solar!D449="","",Solar!D449)</f>
        <v>1360.73</v>
      </c>
      <c r="H449" s="20">
        <f t="shared" si="44"/>
        <v>0.37585366620313115</v>
      </c>
      <c r="I449" s="20">
        <f t="shared" si="45"/>
        <v>0.34673481461458705</v>
      </c>
      <c r="J449" s="25">
        <f t="shared" si="46"/>
        <v>2.3034357865890854E-2</v>
      </c>
      <c r="K449" s="19">
        <f t="shared" si="47"/>
        <v>1360.8060723540707</v>
      </c>
      <c r="L449" s="20">
        <f t="shared" si="48"/>
        <v>0.44757130266388001</v>
      </c>
      <c r="M449" s="20">
        <f t="shared" si="49"/>
        <v>-1.7571302663880295E-2</v>
      </c>
      <c r="AB449" s="20">
        <f t="shared" si="50"/>
        <v>0.44303644356562155</v>
      </c>
    </row>
    <row r="450" spans="1:28">
      <c r="A450" s="18" t="str">
        <f>Analysis!A450</f>
        <v>7/1995</v>
      </c>
      <c r="B450" s="19">
        <f>Analysis!B450</f>
        <v>1995.5416666666667</v>
      </c>
      <c r="C450" s="19">
        <f>Analysis!E450</f>
        <v>0.46000000000000441</v>
      </c>
      <c r="D450" s="20">
        <f>Analysis!F450</f>
        <v>0.36968582761490204</v>
      </c>
      <c r="E450" s="19">
        <f>IF(ENSO!F450="","",ENSO!F450)</f>
        <v>-0.3</v>
      </c>
      <c r="F450" s="25">
        <f>IF(Volcanic!G450="","",Volcanic!G450)</f>
        <v>8.3599999999999994E-3</v>
      </c>
      <c r="G450" s="19">
        <f>IF(Solar!D450="","",Solar!D450)</f>
        <v>1360.73</v>
      </c>
      <c r="H450" s="20">
        <f t="shared" ref="H450:H513" si="51">IF(D450="","",IF(OR(ROW()=2,H449=""),D450,$Q$3*H449+(1-$Q$3)*D450))</f>
        <v>0.36968582761490204</v>
      </c>
      <c r="I450" s="20">
        <f t="shared" ref="I450:I513" si="52">IF(E450="","",IF(OR(ROW()=2,I449=""),E450,$Q$4*I449+(1-$Q$4)*E450))</f>
        <v>0.24744920142176718</v>
      </c>
      <c r="J450" s="25">
        <f t="shared" ref="J450:J513" si="53">IF(F450="","",IF(OR(ROW()=2,J449=""),F450,$Q$5*J449+(1-$Q$5)*F450))</f>
        <v>2.1861060992784755E-2</v>
      </c>
      <c r="K450" s="19">
        <f t="shared" ref="K450:K513" si="54">IF(G450="","",IF(OR(ROW()=2,K449=""),G450,$Q$6*K449+(1-$Q$6)*G450))</f>
        <v>1360.7999899444706</v>
      </c>
      <c r="L450" s="20">
        <f t="shared" ref="L450:L513" si="55">IF(OR(I450="",J450=""),"",$P$13+$P$14*H450+$P$15*I450+$P$16*J450)</f>
        <v>0.42086137861640294</v>
      </c>
      <c r="M450" s="20">
        <f t="shared" ref="M450:M513" si="56">IF(L450="","",C450-L450)</f>
        <v>3.9138621383601468E-2</v>
      </c>
      <c r="AB450" s="20">
        <f t="shared" ref="AB450:AB513" si="57">IF(OR(I450="",J450=""),"",$P$52+$P$53*H450+$P$54*I450+$P$55*J450)</f>
        <v>0.41798826965407032</v>
      </c>
    </row>
    <row r="451" spans="1:28">
      <c r="A451" s="18" t="str">
        <f>Analysis!A451</f>
        <v>8/1995</v>
      </c>
      <c r="B451" s="19">
        <f>Analysis!B451</f>
        <v>1995.625</v>
      </c>
      <c r="C451" s="19">
        <f>Analysis!E451</f>
        <v>0.44999999999999751</v>
      </c>
      <c r="D451" s="20">
        <f>Analysis!F451</f>
        <v>0.35988256195342855</v>
      </c>
      <c r="E451" s="19">
        <f>IF(ENSO!F451="","",ENSO!F451)</f>
        <v>-0.55000000000000004</v>
      </c>
      <c r="F451" s="25">
        <f>IF(Volcanic!G451="","",Volcanic!G451)</f>
        <v>7.9799999999999992E-3</v>
      </c>
      <c r="G451" s="19">
        <f>IF(Solar!D451="","",Solar!D451)</f>
        <v>1360.77</v>
      </c>
      <c r="H451" s="20">
        <f t="shared" si="51"/>
        <v>0.35988256195342855</v>
      </c>
      <c r="I451" s="20">
        <f t="shared" si="52"/>
        <v>0.12502617553214027</v>
      </c>
      <c r="J451" s="25">
        <f t="shared" si="53"/>
        <v>2.0751192635540584E-2</v>
      </c>
      <c r="K451" s="19">
        <f t="shared" si="54"/>
        <v>1360.7975920809051</v>
      </c>
      <c r="L451" s="20">
        <f t="shared" si="55"/>
        <v>0.38084027951354632</v>
      </c>
      <c r="M451" s="20">
        <f t="shared" si="56"/>
        <v>6.9159720486451193E-2</v>
      </c>
      <c r="AB451" s="20">
        <f t="shared" si="57"/>
        <v>0.37990754724144282</v>
      </c>
    </row>
    <row r="452" spans="1:28">
      <c r="A452" s="18" t="str">
        <f>Analysis!A452</f>
        <v>9/1995</v>
      </c>
      <c r="B452" s="19">
        <f>Analysis!B452</f>
        <v>1995.7083333333333</v>
      </c>
      <c r="C452" s="19">
        <f>Analysis!E452</f>
        <v>0.32999999999999652</v>
      </c>
      <c r="D452" s="20">
        <f>Analysis!F452</f>
        <v>0.35582174413600615</v>
      </c>
      <c r="E452" s="19">
        <f>IF(ENSO!F452="","",ENSO!F452)</f>
        <v>-0.81</v>
      </c>
      <c r="F452" s="25">
        <f>IF(Volcanic!G452="","",Volcanic!G452)</f>
        <v>7.6600000000000001E-3</v>
      </c>
      <c r="G452" s="19">
        <f>IF(Solar!D452="","",Solar!D452)</f>
        <v>1360.75</v>
      </c>
      <c r="H452" s="20">
        <f t="shared" si="51"/>
        <v>0.35582174413600615</v>
      </c>
      <c r="I452" s="20">
        <f t="shared" si="52"/>
        <v>-1.851743011767977E-2</v>
      </c>
      <c r="J452" s="25">
        <f t="shared" si="53"/>
        <v>1.9704478665165646E-2</v>
      </c>
      <c r="K452" s="19">
        <f t="shared" si="54"/>
        <v>1360.7937868282174</v>
      </c>
      <c r="L452" s="20">
        <f t="shared" si="55"/>
        <v>0.35315295793752788</v>
      </c>
      <c r="M452" s="20">
        <f t="shared" si="56"/>
        <v>-2.315295793753136E-2</v>
      </c>
      <c r="AB452" s="20">
        <f t="shared" si="57"/>
        <v>0.35420270666050702</v>
      </c>
    </row>
    <row r="453" spans="1:28">
      <c r="A453" s="18" t="str">
        <f>Analysis!A453</f>
        <v>10/1995</v>
      </c>
      <c r="B453" s="19">
        <f>Analysis!B453</f>
        <v>1995.7916666666667</v>
      </c>
      <c r="C453" s="19">
        <f>Analysis!E453</f>
        <v>0.46000000000000441</v>
      </c>
      <c r="D453" s="20">
        <f>Analysis!F453</f>
        <v>0.35509683245126811</v>
      </c>
      <c r="E453" s="19">
        <f>IF(ENSO!F453="","",ENSO!F453)</f>
        <v>-0.97</v>
      </c>
      <c r="F453" s="25">
        <f>IF(Volcanic!G453="","",Volcanic!G453)</f>
        <v>7.3899999999999999E-3</v>
      </c>
      <c r="G453" s="19">
        <f>IF(Solar!D453="","",Solar!D453)</f>
        <v>1360.68</v>
      </c>
      <c r="H453" s="20">
        <f t="shared" si="51"/>
        <v>0.35509683245126811</v>
      </c>
      <c r="I453" s="20">
        <f t="shared" si="52"/>
        <v>-0.16458739304265926</v>
      </c>
      <c r="J453" s="25">
        <f t="shared" si="53"/>
        <v>1.8719867314957617E-2</v>
      </c>
      <c r="K453" s="19">
        <f t="shared" si="54"/>
        <v>1360.78468893576</v>
      </c>
      <c r="L453" s="20">
        <f t="shared" si="55"/>
        <v>0.3339193092719358</v>
      </c>
      <c r="M453" s="20">
        <f t="shared" si="56"/>
        <v>0.1260806907280686</v>
      </c>
      <c r="AB453" s="20">
        <f t="shared" si="57"/>
        <v>0.33686942497123451</v>
      </c>
    </row>
    <row r="454" spans="1:28">
      <c r="A454" s="18" t="str">
        <f>Analysis!A454</f>
        <v>11/1995</v>
      </c>
      <c r="B454" s="19">
        <f>Analysis!B454</f>
        <v>1995.875</v>
      </c>
      <c r="C454" s="19">
        <f>Analysis!E454</f>
        <v>0.44999999999999751</v>
      </c>
      <c r="D454" s="20">
        <f>Analysis!F454</f>
        <v>0.36100631256369653</v>
      </c>
      <c r="E454" s="19">
        <f>IF(ENSO!F454="","",ENSO!F454)</f>
        <v>-1.05</v>
      </c>
      <c r="F454" s="25">
        <f>IF(Volcanic!G454="","",Volcanic!G454)</f>
        <v>7.1799999999999998E-3</v>
      </c>
      <c r="G454" s="19">
        <f>IF(Solar!D454="","",Solar!D454)</f>
        <v>1360.73</v>
      </c>
      <c r="H454" s="20">
        <f t="shared" si="51"/>
        <v>0.36100631256369653</v>
      </c>
      <c r="I454" s="20">
        <f t="shared" si="52"/>
        <v>-0.30051440922285488</v>
      </c>
      <c r="J454" s="25">
        <f t="shared" si="53"/>
        <v>1.779719046869024E-2</v>
      </c>
      <c r="K454" s="19">
        <f t="shared" si="54"/>
        <v>1360.7803162498881</v>
      </c>
      <c r="L454" s="20">
        <f t="shared" si="55"/>
        <v>0.33384748744387727</v>
      </c>
      <c r="M454" s="20">
        <f t="shared" si="56"/>
        <v>0.11615251255612025</v>
      </c>
      <c r="AB454" s="20">
        <f t="shared" si="57"/>
        <v>0.33841664818832068</v>
      </c>
    </row>
    <row r="455" spans="1:28">
      <c r="A455" s="18" t="str">
        <f>Analysis!A455</f>
        <v>12/1995</v>
      </c>
      <c r="B455" s="19">
        <f>Analysis!B455</f>
        <v>1995.9583333333333</v>
      </c>
      <c r="C455" s="19">
        <f>Analysis!E455</f>
        <v>0.25999999999999979</v>
      </c>
      <c r="D455" s="20">
        <f>Analysis!F455</f>
        <v>0.36585248121553354</v>
      </c>
      <c r="E455" s="19">
        <f>IF(ENSO!F455="","",ENSO!F455)</f>
        <v>-1.01</v>
      </c>
      <c r="F455" s="25">
        <f>IF(Volcanic!G455="","",Volcanic!G455)</f>
        <v>6.8399999999999997E-3</v>
      </c>
      <c r="G455" s="19">
        <f>IF(Solar!D455="","",Solar!D455)</f>
        <v>1360.7</v>
      </c>
      <c r="H455" s="20">
        <f t="shared" si="51"/>
        <v>0.36585248121553354</v>
      </c>
      <c r="I455" s="20">
        <f t="shared" si="52"/>
        <v>-0.4094334133339258</v>
      </c>
      <c r="J455" s="25">
        <f t="shared" si="53"/>
        <v>1.6921101890748112E-2</v>
      </c>
      <c r="K455" s="19">
        <f t="shared" si="54"/>
        <v>1360.7738945171134</v>
      </c>
      <c r="L455" s="20">
        <f t="shared" si="55"/>
        <v>0.33455363844097485</v>
      </c>
      <c r="M455" s="20">
        <f t="shared" si="56"/>
        <v>-7.4553638440975067E-2</v>
      </c>
      <c r="AB455" s="20">
        <f t="shared" si="57"/>
        <v>0.34048233278092022</v>
      </c>
    </row>
    <row r="456" spans="1:28">
      <c r="A456" s="18" t="str">
        <f>Analysis!A456</f>
        <v>1/1996</v>
      </c>
      <c r="B456" s="19">
        <f>Analysis!B456</f>
        <v>1996.0416666666667</v>
      </c>
      <c r="C456" s="19">
        <f>Analysis!E456</f>
        <v>0.24000000000000199</v>
      </c>
      <c r="D456" s="20">
        <f>Analysis!F456</f>
        <v>0.37135971911783916</v>
      </c>
      <c r="E456" s="19">
        <f>IF(ENSO!F456="","",ENSO!F456)</f>
        <v>-0.88</v>
      </c>
      <c r="F456" s="25">
        <f>IF(Volcanic!G456="","",Volcanic!G456)</f>
        <v>6.45E-3</v>
      </c>
      <c r="G456" s="19">
        <f>IF(Solar!D456="","",Solar!D456)</f>
        <v>1360.7</v>
      </c>
      <c r="H456" s="20">
        <f t="shared" si="51"/>
        <v>0.37135971911783916</v>
      </c>
      <c r="I456" s="20">
        <f t="shared" si="52"/>
        <v>-0.48167398404301287</v>
      </c>
      <c r="J456" s="25">
        <f t="shared" si="53"/>
        <v>1.6083878809597347E-2</v>
      </c>
      <c r="K456" s="19">
        <f t="shared" si="54"/>
        <v>1360.7679862377418</v>
      </c>
      <c r="L456" s="20">
        <f t="shared" si="55"/>
        <v>0.34209168555447633</v>
      </c>
      <c r="M456" s="20">
        <f t="shared" si="56"/>
        <v>-0.10209168555447434</v>
      </c>
      <c r="AB456" s="20">
        <f t="shared" si="57"/>
        <v>0.34899030818308335</v>
      </c>
    </row>
    <row r="457" spans="1:28">
      <c r="A457" s="18" t="str">
        <f>Analysis!A457</f>
        <v>2/1996</v>
      </c>
      <c r="B457" s="19">
        <f>Analysis!B457</f>
        <v>1996.125</v>
      </c>
      <c r="C457" s="19">
        <f>Analysis!E457</f>
        <v>0.46000000000000441</v>
      </c>
      <c r="D457" s="20">
        <f>Analysis!F457</f>
        <v>0.37597278398719675</v>
      </c>
      <c r="E457" s="19">
        <f>IF(ENSO!F457="","",ENSO!F457)</f>
        <v>-0.7</v>
      </c>
      <c r="F457" s="25">
        <f>IF(Volcanic!G457="","",Volcanic!G457)</f>
        <v>6.0600000000000003E-3</v>
      </c>
      <c r="G457" s="19">
        <f>IF(Solar!D457="","",Solar!D457)</f>
        <v>1360.68</v>
      </c>
      <c r="H457" s="20">
        <f t="shared" si="51"/>
        <v>0.37597278398719675</v>
      </c>
      <c r="I457" s="20">
        <f t="shared" si="52"/>
        <v>-0.51519101742423379</v>
      </c>
      <c r="J457" s="25">
        <f t="shared" si="53"/>
        <v>1.528241371169127E-2</v>
      </c>
      <c r="K457" s="19">
        <f t="shared" si="54"/>
        <v>1360.7609512465986</v>
      </c>
      <c r="L457" s="20">
        <f t="shared" si="55"/>
        <v>0.35255513201758748</v>
      </c>
      <c r="M457" s="20">
        <f t="shared" si="56"/>
        <v>0.10744486798241693</v>
      </c>
      <c r="AB457" s="20">
        <f t="shared" si="57"/>
        <v>0.36005170630480354</v>
      </c>
    </row>
    <row r="458" spans="1:28">
      <c r="A458" s="18" t="str">
        <f>Analysis!A458</f>
        <v>3/1996</v>
      </c>
      <c r="B458" s="19">
        <f>Analysis!B458</f>
        <v>1996.2083333333333</v>
      </c>
      <c r="C458" s="19">
        <f>Analysis!E458</f>
        <v>0.32999999999999652</v>
      </c>
      <c r="D458" s="20">
        <f>Analysis!F458</f>
        <v>0.37962096205570828</v>
      </c>
      <c r="E458" s="19">
        <f>IF(ENSO!F458="","",ENSO!F458)</f>
        <v>-0.52</v>
      </c>
      <c r="F458" s="25">
        <f>IF(Volcanic!G458="","",Volcanic!G458)</f>
        <v>5.7499999999999999E-3</v>
      </c>
      <c r="G458" s="19">
        <f>IF(Solar!D458="","",Solar!D458)</f>
        <v>1360.62</v>
      </c>
      <c r="H458" s="20">
        <f t="shared" si="51"/>
        <v>0.37962096205570828</v>
      </c>
      <c r="I458" s="20">
        <f t="shared" si="52"/>
        <v>-0.51592928413429651</v>
      </c>
      <c r="J458" s="25">
        <f t="shared" si="53"/>
        <v>1.452024399337753E-2</v>
      </c>
      <c r="K458" s="19">
        <f t="shared" si="54"/>
        <v>1360.7496814071681</v>
      </c>
      <c r="L458" s="20">
        <f t="shared" si="55"/>
        <v>0.36490182347238914</v>
      </c>
      <c r="M458" s="20">
        <f t="shared" si="56"/>
        <v>-3.4901823472392624E-2</v>
      </c>
      <c r="AB458" s="20">
        <f t="shared" si="57"/>
        <v>0.37268201806449969</v>
      </c>
    </row>
    <row r="459" spans="1:28">
      <c r="A459" s="18" t="str">
        <f>Analysis!A459</f>
        <v>4/1996</v>
      </c>
      <c r="B459" s="19">
        <f>Analysis!B459</f>
        <v>1996.2916666666667</v>
      </c>
      <c r="C459" s="19">
        <f>Analysis!E459</f>
        <v>0.32999999999999652</v>
      </c>
      <c r="D459" s="20">
        <f>Analysis!F459</f>
        <v>0.3812438135561429</v>
      </c>
      <c r="E459" s="19">
        <f>IF(ENSO!F459="","",ENSO!F459)</f>
        <v>-0.36</v>
      </c>
      <c r="F459" s="25">
        <f>IF(Volcanic!G459="","",Volcanic!G459)</f>
        <v>5.5700000000000003E-3</v>
      </c>
      <c r="G459" s="19">
        <f>IF(Solar!D459="","",Solar!D459)</f>
        <v>1360.65</v>
      </c>
      <c r="H459" s="20">
        <f t="shared" si="51"/>
        <v>0.3812438135561429</v>
      </c>
      <c r="I459" s="20">
        <f t="shared" si="52"/>
        <v>-0.49199128939495801</v>
      </c>
      <c r="J459" s="25">
        <f t="shared" si="53"/>
        <v>1.3804621995676647E-2</v>
      </c>
      <c r="K459" s="19">
        <f t="shared" si="54"/>
        <v>1360.7417113219074</v>
      </c>
      <c r="L459" s="20">
        <f t="shared" si="55"/>
        <v>0.37509611017339078</v>
      </c>
      <c r="M459" s="20">
        <f t="shared" si="56"/>
        <v>-4.5096110173394266E-2</v>
      </c>
      <c r="AB459" s="20">
        <f t="shared" si="57"/>
        <v>0.38294532736633241</v>
      </c>
    </row>
    <row r="460" spans="1:28">
      <c r="A460" s="18" t="str">
        <f>Analysis!A460</f>
        <v>5/1996</v>
      </c>
      <c r="B460" s="19">
        <f>Analysis!B460</f>
        <v>1996.375</v>
      </c>
      <c r="C460" s="19">
        <f>Analysis!E460</f>
        <v>0.27000000000000135</v>
      </c>
      <c r="D460" s="20">
        <f>Analysis!F460</f>
        <v>0.38345744585853175</v>
      </c>
      <c r="E460" s="19">
        <f>IF(ENSO!F460="","",ENSO!F460)</f>
        <v>-0.25</v>
      </c>
      <c r="F460" s="25">
        <f>IF(Volcanic!G460="","",Volcanic!G460)</f>
        <v>5.47E-3</v>
      </c>
      <c r="G460" s="19">
        <f>IF(Solar!D460="","",Solar!D460)</f>
        <v>1360.67</v>
      </c>
      <c r="H460" s="20">
        <f t="shared" si="51"/>
        <v>0.38345744585853175</v>
      </c>
      <c r="I460" s="20">
        <f t="shared" si="52"/>
        <v>-0.45484120405554784</v>
      </c>
      <c r="J460" s="25">
        <f t="shared" si="53"/>
        <v>1.3138222415169003E-2</v>
      </c>
      <c r="K460" s="19">
        <f t="shared" si="54"/>
        <v>1360.7359776011865</v>
      </c>
      <c r="L460" s="20">
        <f t="shared" si="55"/>
        <v>0.38858549299202499</v>
      </c>
      <c r="M460" s="20">
        <f t="shared" si="56"/>
        <v>-0.11858549299202364</v>
      </c>
      <c r="AB460" s="20">
        <f t="shared" si="57"/>
        <v>0.39633854935542229</v>
      </c>
    </row>
    <row r="461" spans="1:28">
      <c r="A461" s="18" t="str">
        <f>Analysis!A461</f>
        <v>6/1996</v>
      </c>
      <c r="B461" s="19">
        <f>Analysis!B461</f>
        <v>1996.4583333333333</v>
      </c>
      <c r="C461" s="19">
        <f>Analysis!E461</f>
        <v>0.25999999999999979</v>
      </c>
      <c r="D461" s="20">
        <f>Analysis!F461</f>
        <v>0.38270677268151582</v>
      </c>
      <c r="E461" s="19">
        <f>IF(ENSO!F461="","",ENSO!F461)</f>
        <v>-0.24</v>
      </c>
      <c r="F461" s="25">
        <f>IF(Volcanic!G461="","",Volcanic!G461)</f>
        <v>5.79E-3</v>
      </c>
      <c r="G461" s="19">
        <f>IF(Solar!D461="","",Solar!D461)</f>
        <v>1360.67</v>
      </c>
      <c r="H461" s="20">
        <f t="shared" si="51"/>
        <v>0.38270677268151582</v>
      </c>
      <c r="I461" s="20">
        <f t="shared" si="52"/>
        <v>-0.42185915298651655</v>
      </c>
      <c r="J461" s="25">
        <f t="shared" si="53"/>
        <v>1.2550690990530237E-2</v>
      </c>
      <c r="K461" s="19">
        <f t="shared" si="54"/>
        <v>1360.7307023234623</v>
      </c>
      <c r="L461" s="20">
        <f t="shared" si="55"/>
        <v>0.39320313040022992</v>
      </c>
      <c r="M461" s="20">
        <f t="shared" si="56"/>
        <v>-0.13320313040023013</v>
      </c>
      <c r="AB461" s="20">
        <f t="shared" si="57"/>
        <v>0.40093174204749654</v>
      </c>
    </row>
    <row r="462" spans="1:28">
      <c r="A462" s="18" t="str">
        <f>Analysis!A462</f>
        <v>7/1996</v>
      </c>
      <c r="B462" s="19">
        <f>Analysis!B462</f>
        <v>1996.5416666666667</v>
      </c>
      <c r="C462" s="19">
        <f>Analysis!E462</f>
        <v>0.36999999999999744</v>
      </c>
      <c r="D462" s="20">
        <f>Analysis!F462</f>
        <v>0.37728243090608043</v>
      </c>
      <c r="E462" s="19">
        <f>IF(ENSO!F462="","",ENSO!F462)</f>
        <v>-0.22</v>
      </c>
      <c r="F462" s="25">
        <f>IF(Volcanic!G462="","",Volcanic!G462)</f>
        <v>5.2100000000000002E-3</v>
      </c>
      <c r="G462" s="19">
        <f>IF(Solar!D462="","",Solar!D462)</f>
        <v>1360.66</v>
      </c>
      <c r="H462" s="20">
        <f t="shared" si="51"/>
        <v>0.37728243090608043</v>
      </c>
      <c r="I462" s="20">
        <f t="shared" si="52"/>
        <v>-0.39087008400498491</v>
      </c>
      <c r="J462" s="25">
        <f t="shared" si="53"/>
        <v>1.196376174535714E-2</v>
      </c>
      <c r="K462" s="19">
        <f t="shared" si="54"/>
        <v>1360.7250492778028</v>
      </c>
      <c r="L462" s="20">
        <f t="shared" si="55"/>
        <v>0.38489906046395483</v>
      </c>
      <c r="M462" s="20">
        <f t="shared" si="56"/>
        <v>-1.4899060463957392E-2</v>
      </c>
      <c r="AB462" s="20">
        <f t="shared" si="57"/>
        <v>0.39273046828377289</v>
      </c>
    </row>
    <row r="463" spans="1:28">
      <c r="A463" s="18" t="str">
        <f>Analysis!A463</f>
        <v>8/1996</v>
      </c>
      <c r="B463" s="19">
        <f>Analysis!B463</f>
        <v>1996.625</v>
      </c>
      <c r="C463" s="19">
        <f>Analysis!E463</f>
        <v>0.47999999999999865</v>
      </c>
      <c r="D463" s="20">
        <f>Analysis!F463</f>
        <v>0.36876834909033485</v>
      </c>
      <c r="E463" s="19">
        <f>IF(ENSO!F463="","",ENSO!F463)</f>
        <v>-0.27</v>
      </c>
      <c r="F463" s="25">
        <f>IF(Volcanic!G463="","",Volcanic!G463)</f>
        <v>5.2300000000000003E-3</v>
      </c>
      <c r="G463" s="19">
        <f>IF(Solar!D463="","",Solar!D463)</f>
        <v>1360.68</v>
      </c>
      <c r="H463" s="20">
        <f t="shared" si="51"/>
        <v>0.36876834909033485</v>
      </c>
      <c r="I463" s="20">
        <f t="shared" si="52"/>
        <v>-0.37231431719621305</v>
      </c>
      <c r="J463" s="25">
        <f t="shared" si="53"/>
        <v>1.142535988326044E-2</v>
      </c>
      <c r="K463" s="19">
        <f t="shared" si="54"/>
        <v>1360.7214473364256</v>
      </c>
      <c r="L463" s="20">
        <f t="shared" si="55"/>
        <v>0.36632057295328574</v>
      </c>
      <c r="M463" s="20">
        <f t="shared" si="56"/>
        <v>0.11367942704671291</v>
      </c>
      <c r="AB463" s="20">
        <f t="shared" si="57"/>
        <v>0.37442396346758494</v>
      </c>
    </row>
    <row r="464" spans="1:28">
      <c r="A464" s="18" t="str">
        <f>Analysis!A464</f>
        <v>9/1996</v>
      </c>
      <c r="B464" s="19">
        <f>Analysis!B464</f>
        <v>1996.7083333333333</v>
      </c>
      <c r="C464" s="19">
        <f>Analysis!E464</f>
        <v>0.25999999999999979</v>
      </c>
      <c r="D464" s="20">
        <f>Analysis!F464</f>
        <v>0.36132722345969809</v>
      </c>
      <c r="E464" s="19">
        <f>IF(ENSO!F464="","",ENSO!F464)</f>
        <v>-0.3</v>
      </c>
      <c r="F464" s="25">
        <f>IF(Volcanic!G464="","",Volcanic!G464)</f>
        <v>5.1799999999999997E-3</v>
      </c>
      <c r="G464" s="19">
        <f>IF(Solar!D464="","",Solar!D464)</f>
        <v>1360.74</v>
      </c>
      <c r="H464" s="20">
        <f t="shared" si="51"/>
        <v>0.36132722345969809</v>
      </c>
      <c r="I464" s="20">
        <f t="shared" si="52"/>
        <v>-0.36121274795453745</v>
      </c>
      <c r="J464" s="25">
        <f t="shared" si="53"/>
        <v>1.092600847794381E-2</v>
      </c>
      <c r="K464" s="19">
        <f t="shared" si="54"/>
        <v>1360.722930725502</v>
      </c>
      <c r="L464" s="20">
        <f t="shared" si="55"/>
        <v>0.3494591280514795</v>
      </c>
      <c r="M464" s="20">
        <f t="shared" si="56"/>
        <v>-8.9459128051479708E-2</v>
      </c>
      <c r="AB464" s="20">
        <f t="shared" si="57"/>
        <v>0.35786350246654747</v>
      </c>
    </row>
    <row r="465" spans="1:28">
      <c r="A465" s="18" t="str">
        <f>Analysis!A465</f>
        <v>10/1996</v>
      </c>
      <c r="B465" s="19">
        <f>Analysis!B465</f>
        <v>1996.7916666666667</v>
      </c>
      <c r="C465" s="19">
        <f>Analysis!E465</f>
        <v>0.22000000000000242</v>
      </c>
      <c r="D465" s="20">
        <f>Analysis!F465</f>
        <v>0.36144754664467421</v>
      </c>
      <c r="E465" s="19">
        <f>IF(ENSO!F465="","",ENSO!F465)</f>
        <v>-0.33</v>
      </c>
      <c r="F465" s="25">
        <f>IF(Volcanic!G465="","",Volcanic!G465)</f>
        <v>5.0800000000000003E-3</v>
      </c>
      <c r="G465" s="19">
        <f>IF(Solar!D465="","",Solar!D465)</f>
        <v>1360.69</v>
      </c>
      <c r="H465" s="20">
        <f t="shared" si="51"/>
        <v>0.36144754664467421</v>
      </c>
      <c r="I465" s="20">
        <f t="shared" si="52"/>
        <v>-0.35642102072713289</v>
      </c>
      <c r="J465" s="25">
        <f t="shared" si="53"/>
        <v>1.0458587448007874E-2</v>
      </c>
      <c r="K465" s="19">
        <f t="shared" si="54"/>
        <v>1360.7202977300678</v>
      </c>
      <c r="L465" s="20">
        <f t="shared" si="55"/>
        <v>0.35204638518742487</v>
      </c>
      <c r="M465" s="20">
        <f t="shared" si="56"/>
        <v>-0.13204638518742245</v>
      </c>
      <c r="AB465" s="20">
        <f t="shared" si="57"/>
        <v>0.36062281444361582</v>
      </c>
    </row>
    <row r="466" spans="1:28">
      <c r="A466" s="18" t="str">
        <f>Analysis!A466</f>
        <v>11/1996</v>
      </c>
      <c r="B466" s="19">
        <f>Analysis!B466</f>
        <v>1996.875</v>
      </c>
      <c r="C466" s="19">
        <f>Analysis!E466</f>
        <v>0.42000000000000348</v>
      </c>
      <c r="D466" s="20">
        <f>Analysis!F466</f>
        <v>0.36673185649279633</v>
      </c>
      <c r="E466" s="19">
        <f>IF(ENSO!F466="","",ENSO!F466)</f>
        <v>-0.39</v>
      </c>
      <c r="F466" s="25">
        <f>IF(Volcanic!G466="","",Volcanic!G466)</f>
        <v>5.0200000000000002E-3</v>
      </c>
      <c r="G466" s="19">
        <f>IF(Solar!D466="","",Solar!D466)</f>
        <v>1360.56</v>
      </c>
      <c r="H466" s="20">
        <f t="shared" si="51"/>
        <v>0.36673185649279633</v>
      </c>
      <c r="I466" s="20">
        <f t="shared" si="52"/>
        <v>-0.36157600770503728</v>
      </c>
      <c r="J466" s="25">
        <f t="shared" si="53"/>
        <v>1.0023742005012789E-2</v>
      </c>
      <c r="K466" s="19">
        <f t="shared" si="54"/>
        <v>1360.7074810312267</v>
      </c>
      <c r="L466" s="20">
        <f t="shared" si="55"/>
        <v>0.36708376186915748</v>
      </c>
      <c r="M466" s="20">
        <f t="shared" si="56"/>
        <v>5.2916238130846005E-2</v>
      </c>
      <c r="AB466" s="20">
        <f t="shared" si="57"/>
        <v>0.37579379803285529</v>
      </c>
    </row>
    <row r="467" spans="1:28">
      <c r="A467" s="18" t="str">
        <f>Analysis!A467</f>
        <v>12/1996</v>
      </c>
      <c r="B467" s="19">
        <f>Analysis!B467</f>
        <v>1996.9583333333333</v>
      </c>
      <c r="C467" s="19">
        <f>Analysis!E467</f>
        <v>0.36999999999999744</v>
      </c>
      <c r="D467" s="20">
        <f>Analysis!F467</f>
        <v>0.37211631819884028</v>
      </c>
      <c r="E467" s="19">
        <f>IF(ENSO!F467="","",ENSO!F467)</f>
        <v>-0.41</v>
      </c>
      <c r="F467" s="25">
        <f>IF(Volcanic!G467="","",Volcanic!G467)</f>
        <v>4.8599999999999997E-3</v>
      </c>
      <c r="G467" s="19">
        <f>IF(Solar!D467="","",Solar!D467)</f>
        <v>1360.79</v>
      </c>
      <c r="H467" s="20">
        <f t="shared" si="51"/>
        <v>0.37211631819884028</v>
      </c>
      <c r="I467" s="20">
        <f t="shared" si="52"/>
        <v>-0.36900997547607017</v>
      </c>
      <c r="J467" s="25">
        <f t="shared" si="53"/>
        <v>9.6108719902988395E-3</v>
      </c>
      <c r="K467" s="19">
        <f t="shared" si="54"/>
        <v>1360.7140788836791</v>
      </c>
      <c r="L467" s="20">
        <f t="shared" si="55"/>
        <v>0.38199580563063923</v>
      </c>
      <c r="M467" s="20">
        <f t="shared" si="56"/>
        <v>-1.1995805630641787E-2</v>
      </c>
      <c r="AB467" s="20">
        <f t="shared" si="57"/>
        <v>0.39084883789910074</v>
      </c>
    </row>
    <row r="468" spans="1:28">
      <c r="A468" s="18" t="str">
        <f>Analysis!A468</f>
        <v>1/1997</v>
      </c>
      <c r="B468" s="19">
        <f>Analysis!B468</f>
        <v>1997.0416666666667</v>
      </c>
      <c r="C468" s="19">
        <f>Analysis!E468</f>
        <v>0.32000000000000028</v>
      </c>
      <c r="D468" s="20">
        <f>Analysis!F468</f>
        <v>0.37549625382897855</v>
      </c>
      <c r="E468" s="19">
        <f>IF(ENSO!F468="","",ENSO!F468)</f>
        <v>-0.41</v>
      </c>
      <c r="F468" s="25">
        <f>IF(Volcanic!G468="","",Volcanic!G468)</f>
        <v>4.7299999999999998E-3</v>
      </c>
      <c r="G468" s="19">
        <f>IF(Solar!D468="","",Solar!D468)</f>
        <v>1360.75</v>
      </c>
      <c r="H468" s="20">
        <f t="shared" si="51"/>
        <v>0.37549625382897855</v>
      </c>
      <c r="I468" s="20">
        <f t="shared" si="52"/>
        <v>-0.3753026933376753</v>
      </c>
      <c r="J468" s="25">
        <f t="shared" si="53"/>
        <v>9.2206190131951544E-3</v>
      </c>
      <c r="K468" s="19">
        <f t="shared" si="54"/>
        <v>1360.7169509775617</v>
      </c>
      <c r="L468" s="20">
        <f t="shared" si="55"/>
        <v>0.39157159091317628</v>
      </c>
      <c r="M468" s="20">
        <f t="shared" si="56"/>
        <v>-7.1571590913175998E-2</v>
      </c>
      <c r="AB468" s="20">
        <f t="shared" si="57"/>
        <v>0.40059223722825077</v>
      </c>
    </row>
    <row r="469" spans="1:28">
      <c r="A469" s="18" t="str">
        <f>Analysis!A469</f>
        <v>2/1997</v>
      </c>
      <c r="B469" s="19">
        <f>Analysis!B469</f>
        <v>1997.125</v>
      </c>
      <c r="C469" s="19">
        <f>Analysis!E469</f>
        <v>0.41000000000000014</v>
      </c>
      <c r="D469" s="20">
        <f>Analysis!F469</f>
        <v>0.37934370731460526</v>
      </c>
      <c r="E469" s="19">
        <f>IF(ENSO!F469="","",ENSO!F469)</f>
        <v>-0.26</v>
      </c>
      <c r="F469" s="25">
        <f>IF(Volcanic!G469="","",Volcanic!G469)</f>
        <v>4.5999999999999999E-3</v>
      </c>
      <c r="G469" s="19">
        <f>IF(Solar!D469="","",Solar!D469)</f>
        <v>1360.76</v>
      </c>
      <c r="H469" s="20">
        <f t="shared" si="51"/>
        <v>0.37934370731460526</v>
      </c>
      <c r="I469" s="20">
        <f t="shared" si="52"/>
        <v>-0.35760162274100887</v>
      </c>
      <c r="J469" s="25">
        <f t="shared" si="53"/>
        <v>8.8511747152202579E-3</v>
      </c>
      <c r="K469" s="19">
        <f t="shared" si="54"/>
        <v>1360.7203929873504</v>
      </c>
      <c r="L469" s="20">
        <f t="shared" si="55"/>
        <v>0.4057270617490415</v>
      </c>
      <c r="M469" s="20">
        <f t="shared" si="56"/>
        <v>4.2729382509586467E-3</v>
      </c>
      <c r="AB469" s="20">
        <f t="shared" si="57"/>
        <v>0.41466182943546825</v>
      </c>
    </row>
    <row r="470" spans="1:28">
      <c r="A470" s="18" t="str">
        <f>Analysis!A470</f>
        <v>3/1997</v>
      </c>
      <c r="B470" s="19">
        <f>Analysis!B470</f>
        <v>1997.2083333333333</v>
      </c>
      <c r="C470" s="19">
        <f>Analysis!E470</f>
        <v>0.5199999999999978</v>
      </c>
      <c r="D470" s="20">
        <f>Analysis!F470</f>
        <v>0.38108556691755607</v>
      </c>
      <c r="E470" s="19">
        <f>IF(ENSO!F470="","",ENSO!F470)</f>
        <v>-0.03</v>
      </c>
      <c r="F470" s="25">
        <f>IF(Volcanic!G470="","",Volcanic!G470)</f>
        <v>4.4900000000000001E-3</v>
      </c>
      <c r="G470" s="19">
        <f>IF(Solar!D470="","",Solar!D470)</f>
        <v>1360.76</v>
      </c>
      <c r="H470" s="20">
        <f t="shared" si="51"/>
        <v>0.38108556691755607</v>
      </c>
      <c r="I470" s="20">
        <f t="shared" si="52"/>
        <v>-0.30730878669477341</v>
      </c>
      <c r="J470" s="25">
        <f t="shared" si="53"/>
        <v>8.502474437961028E-3</v>
      </c>
      <c r="K470" s="19">
        <f t="shared" si="54"/>
        <v>1360.7235597892316</v>
      </c>
      <c r="L470" s="20">
        <f t="shared" si="55"/>
        <v>0.41871765062143657</v>
      </c>
      <c r="M470" s="20">
        <f t="shared" si="56"/>
        <v>0.10128234937856123</v>
      </c>
      <c r="AB470" s="20">
        <f t="shared" si="57"/>
        <v>0.42728921284315219</v>
      </c>
    </row>
    <row r="471" spans="1:28">
      <c r="A471" s="18" t="str">
        <f>Analysis!A471</f>
        <v>4/1997</v>
      </c>
      <c r="B471" s="19">
        <f>Analysis!B471</f>
        <v>1997.2916666666667</v>
      </c>
      <c r="C471" s="19">
        <f>Analysis!E471</f>
        <v>0.33999999999999986</v>
      </c>
      <c r="D471" s="20">
        <f>Analysis!F471</f>
        <v>0.38834700653063781</v>
      </c>
      <c r="E471" s="19">
        <f>IF(ENSO!F471="","",ENSO!F471)</f>
        <v>0.3</v>
      </c>
      <c r="F471" s="25">
        <f>IF(Volcanic!G471="","",Volcanic!G471)</f>
        <v>4.45E-3</v>
      </c>
      <c r="G471" s="19">
        <f>IF(Solar!D471="","",Solar!D471)</f>
        <v>1360.75</v>
      </c>
      <c r="H471" s="20">
        <f t="shared" si="51"/>
        <v>0.38834700653063781</v>
      </c>
      <c r="I471" s="20">
        <f t="shared" si="52"/>
        <v>-0.21407578930261784</v>
      </c>
      <c r="J471" s="25">
        <f t="shared" si="53"/>
        <v>8.1784564720741495E-3</v>
      </c>
      <c r="K471" s="19">
        <f t="shared" si="54"/>
        <v>1360.725673831761</v>
      </c>
      <c r="L471" s="20">
        <f t="shared" si="55"/>
        <v>0.45261016981213836</v>
      </c>
      <c r="M471" s="20">
        <f t="shared" si="56"/>
        <v>-0.11261016981213851</v>
      </c>
      <c r="AB471" s="20">
        <f t="shared" si="57"/>
        <v>0.46026241194516354</v>
      </c>
    </row>
    <row r="472" spans="1:28">
      <c r="A472" s="18" t="str">
        <f>Analysis!A472</f>
        <v>5/1997</v>
      </c>
      <c r="B472" s="19">
        <f>Analysis!B472</f>
        <v>1997.375</v>
      </c>
      <c r="C472" s="19">
        <f>Analysis!E472</f>
        <v>0.34999999999999787</v>
      </c>
      <c r="D472" s="20">
        <f>Analysis!F472</f>
        <v>0.3894488111595088</v>
      </c>
      <c r="E472" s="19">
        <f>IF(ENSO!F472="","",ENSO!F472)</f>
        <v>0.71</v>
      </c>
      <c r="F472" s="25">
        <f>IF(Volcanic!G472="","",Volcanic!G472)</f>
        <v>4.4400000000000004E-3</v>
      </c>
      <c r="G472" s="19">
        <f>IF(Solar!D472="","",Solar!D472)</f>
        <v>1360.78</v>
      </c>
      <c r="H472" s="20">
        <f t="shared" si="51"/>
        <v>0.3894488111595088</v>
      </c>
      <c r="I472" s="20">
        <f t="shared" si="52"/>
        <v>-7.221326805853566E-2</v>
      </c>
      <c r="J472" s="25">
        <f t="shared" si="53"/>
        <v>7.8795459964666661E-3</v>
      </c>
      <c r="K472" s="19">
        <f t="shared" si="54"/>
        <v>1360.7300175123435</v>
      </c>
      <c r="L472" s="20">
        <f t="shared" si="55"/>
        <v>0.4766234362252873</v>
      </c>
      <c r="M472" s="20">
        <f t="shared" si="56"/>
        <v>-0.12662343622528943</v>
      </c>
      <c r="AB472" s="20">
        <f t="shared" si="57"/>
        <v>0.48301519167888707</v>
      </c>
    </row>
    <row r="473" spans="1:28">
      <c r="A473" s="18" t="str">
        <f>Analysis!A473</f>
        <v>6/1997</v>
      </c>
      <c r="B473" s="19">
        <f>Analysis!B473</f>
        <v>1997.4583333333333</v>
      </c>
      <c r="C473" s="19">
        <f>Analysis!E473</f>
        <v>0.54999999999999893</v>
      </c>
      <c r="D473" s="20">
        <f>Analysis!F473</f>
        <v>0.38535214535553447</v>
      </c>
      <c r="E473" s="19">
        <f>IF(ENSO!F473="","",ENSO!F473)</f>
        <v>1.1299999999999999</v>
      </c>
      <c r="F473" s="25">
        <f>IF(Volcanic!G473="","",Volcanic!G473)</f>
        <v>4.3699999999999998E-3</v>
      </c>
      <c r="G473" s="19">
        <f>IF(Solar!D473="","",Solar!D473)</f>
        <v>1360.77</v>
      </c>
      <c r="H473" s="20">
        <f t="shared" si="51"/>
        <v>0.38535214535553447</v>
      </c>
      <c r="I473" s="20">
        <f t="shared" si="52"/>
        <v>0.11234843916742848</v>
      </c>
      <c r="J473" s="25">
        <f t="shared" si="53"/>
        <v>7.598938191933859E-3</v>
      </c>
      <c r="K473" s="19">
        <f t="shared" si="54"/>
        <v>1360.7332143355486</v>
      </c>
      <c r="L473" s="20">
        <f t="shared" si="55"/>
        <v>0.49254279546845686</v>
      </c>
      <c r="M473" s="20">
        <f t="shared" si="56"/>
        <v>5.7457204531542072E-2</v>
      </c>
      <c r="AB473" s="20">
        <f t="shared" si="57"/>
        <v>0.49737141390073331</v>
      </c>
    </row>
    <row r="474" spans="1:28">
      <c r="A474" s="18" t="str">
        <f>Analysis!A474</f>
        <v>7/1997</v>
      </c>
      <c r="B474" s="19">
        <f>Analysis!B474</f>
        <v>1997.5416666666667</v>
      </c>
      <c r="C474" s="19">
        <f>Analysis!E474</f>
        <v>0.33999999999999986</v>
      </c>
      <c r="D474" s="20">
        <f>Analysis!F474</f>
        <v>0.38033365825089765</v>
      </c>
      <c r="E474" s="19">
        <f>IF(ENSO!F474="","",ENSO!F474)</f>
        <v>1.48</v>
      </c>
      <c r="F474" s="25">
        <f>IF(Volcanic!G474="","",Volcanic!G474)</f>
        <v>4.3299999999999996E-3</v>
      </c>
      <c r="G474" s="19">
        <f>IF(Solar!D474="","",Solar!D474)</f>
        <v>1360.79</v>
      </c>
      <c r="H474" s="20">
        <f t="shared" si="51"/>
        <v>0.38033365825089765</v>
      </c>
      <c r="I474" s="20">
        <f t="shared" si="52"/>
        <v>0.32230794773710414</v>
      </c>
      <c r="J474" s="25">
        <f t="shared" si="53"/>
        <v>7.3375683252572257E-3</v>
      </c>
      <c r="K474" s="19">
        <f t="shared" si="54"/>
        <v>1360.7377546665905</v>
      </c>
      <c r="L474" s="20">
        <f t="shared" si="55"/>
        <v>0.50948828970864868</v>
      </c>
      <c r="M474" s="20">
        <f t="shared" si="56"/>
        <v>-0.16948828970864882</v>
      </c>
      <c r="AB474" s="20">
        <f t="shared" si="57"/>
        <v>0.51251955968596197</v>
      </c>
    </row>
    <row r="475" spans="1:28">
      <c r="A475" s="18" t="str">
        <f>Analysis!A475</f>
        <v>8/1997</v>
      </c>
      <c r="B475" s="19">
        <f>Analysis!B475</f>
        <v>1997.625</v>
      </c>
      <c r="C475" s="19">
        <f>Analysis!E475</f>
        <v>0.41000000000000014</v>
      </c>
      <c r="D475" s="20">
        <f>Analysis!F475</f>
        <v>0.37215612821390631</v>
      </c>
      <c r="E475" s="19">
        <f>IF(ENSO!F475="","",ENSO!F475)</f>
        <v>1.79</v>
      </c>
      <c r="F475" s="25">
        <f>IF(Volcanic!G475="","",Volcanic!G475)</f>
        <v>4.3600000000000002E-3</v>
      </c>
      <c r="G475" s="19">
        <f>IF(Solar!D475="","",Solar!D475)</f>
        <v>1360.85</v>
      </c>
      <c r="H475" s="20">
        <f t="shared" si="51"/>
        <v>0.37215612821390631</v>
      </c>
      <c r="I475" s="20">
        <f t="shared" si="52"/>
        <v>0.54762549999225851</v>
      </c>
      <c r="J475" s="25">
        <f t="shared" si="53"/>
        <v>7.0994951068300994E-3</v>
      </c>
      <c r="K475" s="19">
        <f t="shared" si="54"/>
        <v>1360.7467293079285</v>
      </c>
      <c r="L475" s="20">
        <f t="shared" si="55"/>
        <v>0.5199794933684011</v>
      </c>
      <c r="M475" s="20">
        <f t="shared" si="56"/>
        <v>-0.10997949336840096</v>
      </c>
      <c r="AB475" s="20">
        <f t="shared" si="57"/>
        <v>0.52112648750690838</v>
      </c>
    </row>
    <row r="476" spans="1:28">
      <c r="A476" s="18" t="str">
        <f>Analysis!A476</f>
        <v>9/1997</v>
      </c>
      <c r="B476" s="19">
        <f>Analysis!B476</f>
        <v>1997.7083333333333</v>
      </c>
      <c r="C476" s="19">
        <f>Analysis!E476</f>
        <v>0.5199999999999978</v>
      </c>
      <c r="D476" s="20">
        <f>Analysis!F476</f>
        <v>0.36433229663226918</v>
      </c>
      <c r="E476" s="19">
        <f>IF(ENSO!F476="","",ENSO!F476)</f>
        <v>2.04</v>
      </c>
      <c r="F476" s="25">
        <f>IF(Volcanic!G476="","",Volcanic!G476)</f>
        <v>4.4000000000000003E-3</v>
      </c>
      <c r="G476" s="19">
        <f>IF(Solar!D476="","",Solar!D476)</f>
        <v>1360.66</v>
      </c>
      <c r="H476" s="20">
        <f t="shared" si="51"/>
        <v>0.36433229663226918</v>
      </c>
      <c r="I476" s="20">
        <f t="shared" si="52"/>
        <v>0.77673225905067911</v>
      </c>
      <c r="J476" s="25">
        <f t="shared" si="53"/>
        <v>6.8836553953582217E-3</v>
      </c>
      <c r="K476" s="19">
        <f t="shared" si="54"/>
        <v>1360.7397948153443</v>
      </c>
      <c r="L476" s="20">
        <f t="shared" si="55"/>
        <v>0.53188647127432731</v>
      </c>
      <c r="M476" s="20">
        <f t="shared" si="56"/>
        <v>-1.1886471274329513E-2</v>
      </c>
      <c r="AB476" s="20">
        <f t="shared" si="57"/>
        <v>0.53109370642553333</v>
      </c>
    </row>
    <row r="477" spans="1:28">
      <c r="A477" s="18" t="str">
        <f>Analysis!A477</f>
        <v>10/1997</v>
      </c>
      <c r="B477" s="19">
        <f>Analysis!B477</f>
        <v>1997.7916666666667</v>
      </c>
      <c r="C477" s="19">
        <f>Analysis!E477</f>
        <v>0.61000000000000121</v>
      </c>
      <c r="D477" s="20">
        <f>Analysis!F477</f>
        <v>0.36645211340564054</v>
      </c>
      <c r="E477" s="19">
        <f>IF(ENSO!F477="","",ENSO!F477)</f>
        <v>2.2400000000000002</v>
      </c>
      <c r="F477" s="25">
        <f>IF(Volcanic!G477="","",Volcanic!G477)</f>
        <v>4.3600000000000002E-3</v>
      </c>
      <c r="G477" s="19">
        <f>IF(Solar!D477="","",Solar!D477)</f>
        <v>1361.01</v>
      </c>
      <c r="H477" s="20">
        <f t="shared" si="51"/>
        <v>0.36645211340564054</v>
      </c>
      <c r="I477" s="20">
        <f t="shared" si="52"/>
        <v>1.0013705986644266</v>
      </c>
      <c r="J477" s="25">
        <f t="shared" si="53"/>
        <v>6.6818750509484888E-3</v>
      </c>
      <c r="K477" s="19">
        <f t="shared" si="54"/>
        <v>1360.7613992290537</v>
      </c>
      <c r="L477" s="20">
        <f t="shared" si="55"/>
        <v>0.57000452176901983</v>
      </c>
      <c r="M477" s="20">
        <f t="shared" si="56"/>
        <v>3.9995478230981374E-2</v>
      </c>
      <c r="AB477" s="20">
        <f t="shared" si="57"/>
        <v>0.56707851952951105</v>
      </c>
    </row>
    <row r="478" spans="1:28">
      <c r="A478" s="18" t="str">
        <f>Analysis!A478</f>
        <v>11/1997</v>
      </c>
      <c r="B478" s="19">
        <f>Analysis!B478</f>
        <v>1997.875</v>
      </c>
      <c r="C478" s="19">
        <f>Analysis!E478</f>
        <v>0.65000000000000213</v>
      </c>
      <c r="D478" s="20">
        <f>Analysis!F478</f>
        <v>0.37315102173715475</v>
      </c>
      <c r="E478" s="19">
        <f>IF(ENSO!F478="","",ENSO!F478)</f>
        <v>2.34</v>
      </c>
      <c r="F478" s="25">
        <f>IF(Volcanic!G478="","",Volcanic!G478)</f>
        <v>4.3899999999999998E-3</v>
      </c>
      <c r="G478" s="19">
        <f>IF(Solar!D478="","",Solar!D478)</f>
        <v>1360.89</v>
      </c>
      <c r="H478" s="20">
        <f t="shared" si="51"/>
        <v>0.37315102173715475</v>
      </c>
      <c r="I478" s="20">
        <f t="shared" si="52"/>
        <v>1.2068746753681736</v>
      </c>
      <c r="J478" s="25">
        <f t="shared" si="53"/>
        <v>6.4986268396534531E-3</v>
      </c>
      <c r="K478" s="19">
        <f t="shared" si="54"/>
        <v>1360.7716815789738</v>
      </c>
      <c r="L478" s="20">
        <f t="shared" si="55"/>
        <v>0.61774211856110028</v>
      </c>
      <c r="M478" s="20">
        <f t="shared" si="56"/>
        <v>3.2257881438901848E-2</v>
      </c>
      <c r="AB478" s="20">
        <f t="shared" si="57"/>
        <v>0.61275376907023671</v>
      </c>
    </row>
    <row r="479" spans="1:28">
      <c r="A479" s="18" t="str">
        <f>Analysis!A479</f>
        <v>12/1997</v>
      </c>
      <c r="B479" s="19">
        <f>Analysis!B479</f>
        <v>1997.9583333333333</v>
      </c>
      <c r="C479" s="19">
        <f>Analysis!E479</f>
        <v>0.58999999999999986</v>
      </c>
      <c r="D479" s="20">
        <f>Analysis!F479</f>
        <v>0.38053156694990453</v>
      </c>
      <c r="E479" s="19">
        <f>IF(ENSO!F479="","",ENSO!F479)</f>
        <v>2.37</v>
      </c>
      <c r="F479" s="25">
        <f>IF(Volcanic!G479="","",Volcanic!G479)</f>
        <v>4.3899999999999998E-3</v>
      </c>
      <c r="G479" s="19">
        <f>IF(Solar!D479="","",Solar!D479)</f>
        <v>1360.91</v>
      </c>
      <c r="H479" s="20">
        <f t="shared" si="51"/>
        <v>0.38053156694990453</v>
      </c>
      <c r="I479" s="20">
        <f t="shared" si="52"/>
        <v>1.385435668941696</v>
      </c>
      <c r="J479" s="25">
        <f t="shared" si="53"/>
        <v>6.3300303463606411E-3</v>
      </c>
      <c r="K479" s="19">
        <f t="shared" si="54"/>
        <v>1360.7827409092945</v>
      </c>
      <c r="L479" s="20">
        <f t="shared" si="55"/>
        <v>0.66347104168525928</v>
      </c>
      <c r="M479" s="20">
        <f t="shared" si="56"/>
        <v>-7.3471041685259419E-2</v>
      </c>
      <c r="AB479" s="20">
        <f t="shared" si="57"/>
        <v>0.65665906287461873</v>
      </c>
    </row>
    <row r="480" spans="1:28">
      <c r="A480" s="18" t="str">
        <f>Analysis!A480</f>
        <v>1/1998</v>
      </c>
      <c r="B480" s="19">
        <f>Analysis!B480</f>
        <v>1998.0416666666667</v>
      </c>
      <c r="C480" s="19">
        <f>Analysis!E480</f>
        <v>0.58000000000000007</v>
      </c>
      <c r="D480" s="20">
        <f>Analysis!F480</f>
        <v>0.38401032363198068</v>
      </c>
      <c r="E480" s="19">
        <f>IF(ENSO!F480="","",ENSO!F480)</f>
        <v>2.2200000000000002</v>
      </c>
      <c r="F480" s="25">
        <f>IF(Volcanic!G480="","",Volcanic!G480)</f>
        <v>4.3400000000000001E-3</v>
      </c>
      <c r="G480" s="19">
        <f>IF(Solar!D480="","",Solar!D480)</f>
        <v>1361.05</v>
      </c>
      <c r="H480" s="20">
        <f t="shared" si="51"/>
        <v>0.38401032363198068</v>
      </c>
      <c r="I480" s="20">
        <f t="shared" si="52"/>
        <v>1.5135565455135853</v>
      </c>
      <c r="J480" s="25">
        <f t="shared" si="53"/>
        <v>6.1709163051119655E-3</v>
      </c>
      <c r="K480" s="19">
        <f t="shared" si="54"/>
        <v>1360.8041097663374</v>
      </c>
      <c r="L480" s="20">
        <f t="shared" si="55"/>
        <v>0.69149852321355398</v>
      </c>
      <c r="M480" s="20">
        <f t="shared" si="56"/>
        <v>-0.11149852321355391</v>
      </c>
      <c r="AB480" s="20">
        <f t="shared" si="57"/>
        <v>0.68343817637426019</v>
      </c>
    </row>
    <row r="481" spans="1:28">
      <c r="A481" s="18" t="str">
        <f>Analysis!A481</f>
        <v>2/1998</v>
      </c>
      <c r="B481" s="19">
        <f>Analysis!B481</f>
        <v>1998.125</v>
      </c>
      <c r="C481" s="19">
        <f>Analysis!E481</f>
        <v>0.88000000000000256</v>
      </c>
      <c r="D481" s="20">
        <f>Analysis!F481</f>
        <v>0.38681094647221681</v>
      </c>
      <c r="E481" s="19">
        <f>IF(ENSO!F481="","",ENSO!F481)</f>
        <v>1.91</v>
      </c>
      <c r="F481" s="25">
        <f>IF(Volcanic!G481="","",Volcanic!G481)</f>
        <v>4.2599999999999999E-3</v>
      </c>
      <c r="G481" s="19">
        <f>IF(Solar!D481="","",Solar!D481)</f>
        <v>1360.95</v>
      </c>
      <c r="H481" s="20">
        <f t="shared" si="51"/>
        <v>0.38681094647221681</v>
      </c>
      <c r="I481" s="20">
        <f t="shared" si="52"/>
        <v>1.5744178608247461</v>
      </c>
      <c r="J481" s="25">
        <f t="shared" si="53"/>
        <v>6.018127873342367E-3</v>
      </c>
      <c r="K481" s="19">
        <f t="shared" si="54"/>
        <v>1360.8157745053697</v>
      </c>
      <c r="L481" s="20">
        <f t="shared" si="55"/>
        <v>0.70817901903485347</v>
      </c>
      <c r="M481" s="20">
        <f t="shared" si="56"/>
        <v>0.17182098096514908</v>
      </c>
      <c r="AB481" s="20">
        <f t="shared" si="57"/>
        <v>0.69953564078573471</v>
      </c>
    </row>
    <row r="482" spans="1:28">
      <c r="A482" s="18" t="str">
        <f>Analysis!A482</f>
        <v>3/1998</v>
      </c>
      <c r="B482" s="19">
        <f>Analysis!B482</f>
        <v>1998.2083333333333</v>
      </c>
      <c r="C482" s="19">
        <f>Analysis!E482</f>
        <v>0.63000000000000256</v>
      </c>
      <c r="D482" s="20">
        <f>Analysis!F482</f>
        <v>0.39176771995599674</v>
      </c>
      <c r="E482" s="19">
        <f>IF(ENSO!F482="","",ENSO!F482)</f>
        <v>1.4</v>
      </c>
      <c r="F482" s="25">
        <f>IF(Volcanic!G482="","",Volcanic!G482)</f>
        <v>4.1900000000000001E-3</v>
      </c>
      <c r="G482" s="19">
        <f>IF(Solar!D482="","",Solar!D482)</f>
        <v>1360.84</v>
      </c>
      <c r="H482" s="20">
        <f t="shared" si="51"/>
        <v>0.39176771995599674</v>
      </c>
      <c r="I482" s="20">
        <f t="shared" si="52"/>
        <v>1.5476415316826622</v>
      </c>
      <c r="J482" s="25">
        <f t="shared" si="53"/>
        <v>5.8719588390968276E-3</v>
      </c>
      <c r="K482" s="19">
        <f t="shared" si="54"/>
        <v>1360.8177114689738</v>
      </c>
      <c r="L482" s="20">
        <f t="shared" si="55"/>
        <v>0.71830015582438278</v>
      </c>
      <c r="M482" s="20">
        <f t="shared" si="56"/>
        <v>-8.8300155824380222E-2</v>
      </c>
      <c r="AB482" s="20">
        <f t="shared" si="57"/>
        <v>0.70987106768370023</v>
      </c>
    </row>
    <row r="483" spans="1:28">
      <c r="A483" s="18" t="str">
        <f>Analysis!A483</f>
        <v>4/1998</v>
      </c>
      <c r="B483" s="19">
        <f>Analysis!B483</f>
        <v>1998.2916666666667</v>
      </c>
      <c r="C483" s="19">
        <f>Analysis!E483</f>
        <v>0.64000000000000234</v>
      </c>
      <c r="D483" s="20">
        <f>Analysis!F483</f>
        <v>0.39737270943755826</v>
      </c>
      <c r="E483" s="19">
        <f>IF(ENSO!F483="","",ENSO!F483)</f>
        <v>1.03</v>
      </c>
      <c r="F483" s="25">
        <f>IF(Volcanic!G483="","",Volcanic!G483)</f>
        <v>4.1700000000000001E-3</v>
      </c>
      <c r="G483" s="19">
        <f>IF(Solar!D483="","",Solar!D483)</f>
        <v>1361.16</v>
      </c>
      <c r="H483" s="20">
        <f t="shared" si="51"/>
        <v>0.39737270943755826</v>
      </c>
      <c r="I483" s="20">
        <f t="shared" si="52"/>
        <v>1.4681740966137593</v>
      </c>
      <c r="J483" s="25">
        <f t="shared" si="53"/>
        <v>5.7358777238400429E-3</v>
      </c>
      <c r="K483" s="19">
        <f t="shared" si="54"/>
        <v>1360.8450793488378</v>
      </c>
      <c r="L483" s="20">
        <f t="shared" si="55"/>
        <v>0.72270413907670084</v>
      </c>
      <c r="M483" s="20">
        <f t="shared" si="56"/>
        <v>-8.2704139076698491E-2</v>
      </c>
      <c r="AB483" s="20">
        <f t="shared" si="57"/>
        <v>0.71498083239679056</v>
      </c>
    </row>
    <row r="484" spans="1:28">
      <c r="A484" s="18" t="str">
        <f>Analysis!A484</f>
        <v>5/1998</v>
      </c>
      <c r="B484" s="19">
        <f>Analysis!B484</f>
        <v>1998.375</v>
      </c>
      <c r="C484" s="19">
        <f>Analysis!E484</f>
        <v>0.67999999999999972</v>
      </c>
      <c r="D484" s="20">
        <f>Analysis!F484</f>
        <v>0.40038178530727464</v>
      </c>
      <c r="E484" s="19">
        <f>IF(ENSO!F484="","",ENSO!F484)</f>
        <v>0.4</v>
      </c>
      <c r="F484" s="25">
        <f>IF(Volcanic!G484="","",Volcanic!G484)</f>
        <v>4.2399999999999998E-3</v>
      </c>
      <c r="G484" s="19">
        <f>IF(Solar!D484="","",Solar!D484)</f>
        <v>1361.07</v>
      </c>
      <c r="H484" s="20">
        <f t="shared" si="51"/>
        <v>0.40038178530727464</v>
      </c>
      <c r="I484" s="20">
        <f t="shared" si="52"/>
        <v>1.3041898517850885</v>
      </c>
      <c r="J484" s="25">
        <f t="shared" si="53"/>
        <v>5.6162739447874572E-3</v>
      </c>
      <c r="K484" s="19">
        <f t="shared" si="54"/>
        <v>1360.8630630111634</v>
      </c>
      <c r="L484" s="20">
        <f t="shared" si="55"/>
        <v>0.70810532823682626</v>
      </c>
      <c r="M484" s="20">
        <f t="shared" si="56"/>
        <v>-2.8105328236826543E-2</v>
      </c>
      <c r="AB484" s="20">
        <f t="shared" si="57"/>
        <v>0.70196017683995904</v>
      </c>
    </row>
    <row r="485" spans="1:28">
      <c r="A485" s="18" t="str">
        <f>Analysis!A485</f>
        <v>6/1998</v>
      </c>
      <c r="B485" s="19">
        <f>Analysis!B485</f>
        <v>1998.4583333333333</v>
      </c>
      <c r="C485" s="19">
        <f>Analysis!E485</f>
        <v>0.77000000000000135</v>
      </c>
      <c r="D485" s="20">
        <f>Analysis!F485</f>
        <v>0.39870216614997578</v>
      </c>
      <c r="E485" s="19">
        <f>IF(ENSO!F485="","",ENSO!F485)</f>
        <v>-0.08</v>
      </c>
      <c r="F485" s="25">
        <f>IF(Volcanic!G485="","",Volcanic!G485)</f>
        <v>4.1700000000000001E-3</v>
      </c>
      <c r="G485" s="19">
        <f>IF(Solar!D485="","",Solar!D485)</f>
        <v>1361.1</v>
      </c>
      <c r="H485" s="20">
        <f t="shared" si="51"/>
        <v>0.39870216614997578</v>
      </c>
      <c r="I485" s="20">
        <f t="shared" si="52"/>
        <v>1.0916914133151252</v>
      </c>
      <c r="J485" s="25">
        <f t="shared" si="53"/>
        <v>5.5006362649256185E-3</v>
      </c>
      <c r="K485" s="19">
        <f t="shared" si="54"/>
        <v>1360.8820074468017</v>
      </c>
      <c r="L485" s="20">
        <f t="shared" si="55"/>
        <v>0.67396764548322174</v>
      </c>
      <c r="M485" s="20">
        <f t="shared" si="56"/>
        <v>9.6032354516779606E-2</v>
      </c>
      <c r="AB485" s="20">
        <f t="shared" si="57"/>
        <v>0.66997805071499927</v>
      </c>
    </row>
    <row r="486" spans="1:28">
      <c r="A486" s="18" t="str">
        <f>Analysis!A486</f>
        <v>7/1998</v>
      </c>
      <c r="B486" s="19">
        <f>Analysis!B486</f>
        <v>1998.5416666666667</v>
      </c>
      <c r="C486" s="19">
        <f>Analysis!E486</f>
        <v>0.66000000000000369</v>
      </c>
      <c r="D486" s="20">
        <f>Analysis!F486</f>
        <v>0.39420052964215635</v>
      </c>
      <c r="E486" s="19">
        <f>IF(ENSO!F486="","",ENSO!F486)</f>
        <v>-0.63</v>
      </c>
      <c r="F486" s="25">
        <f>IF(Volcanic!G486="","",Volcanic!G486)</f>
        <v>4.1900000000000001E-3</v>
      </c>
      <c r="G486" s="19">
        <f>IF(Solar!D486="","",Solar!D486)</f>
        <v>1361.34</v>
      </c>
      <c r="H486" s="20">
        <f t="shared" si="51"/>
        <v>0.39420052964215635</v>
      </c>
      <c r="I486" s="20">
        <f t="shared" si="52"/>
        <v>0.82738031727234651</v>
      </c>
      <c r="J486" s="25">
        <f t="shared" si="53"/>
        <v>5.3958435751554536E-3</v>
      </c>
      <c r="K486" s="19">
        <f t="shared" si="54"/>
        <v>1360.9186265094879</v>
      </c>
      <c r="L486" s="20">
        <f t="shared" si="55"/>
        <v>0.62485009373681399</v>
      </c>
      <c r="M486" s="20">
        <f t="shared" si="56"/>
        <v>3.5149906263189701E-2</v>
      </c>
      <c r="AB486" s="20">
        <f t="shared" si="57"/>
        <v>0.62357899483960644</v>
      </c>
    </row>
    <row r="487" spans="1:28">
      <c r="A487" s="18" t="str">
        <f>Analysis!A487</f>
        <v>8/1998</v>
      </c>
      <c r="B487" s="19">
        <f>Analysis!B487</f>
        <v>1998.625</v>
      </c>
      <c r="C487" s="19">
        <f>Analysis!E487</f>
        <v>0.65000000000000213</v>
      </c>
      <c r="D487" s="20">
        <f>Analysis!F487</f>
        <v>0.38681094647221681</v>
      </c>
      <c r="E487" s="19">
        <f>IF(ENSO!F487="","",ENSO!F487)</f>
        <v>-0.83</v>
      </c>
      <c r="F487" s="25">
        <f>IF(Volcanic!G487="","",Volcanic!G487)</f>
        <v>4.3899999999999998E-3</v>
      </c>
      <c r="G487" s="19">
        <f>IF(Solar!D487="","",Solar!D487)</f>
        <v>1361.15</v>
      </c>
      <c r="H487" s="20">
        <f t="shared" si="51"/>
        <v>0.38681094647221681</v>
      </c>
      <c r="I487" s="20">
        <f t="shared" si="52"/>
        <v>0.57294214976444913</v>
      </c>
      <c r="J487" s="25">
        <f t="shared" si="53"/>
        <v>5.3154207633125655E-3</v>
      </c>
      <c r="K487" s="19">
        <f t="shared" si="54"/>
        <v>1360.9371261123611</v>
      </c>
      <c r="L487" s="20">
        <f t="shared" si="55"/>
        <v>0.56923363727827025</v>
      </c>
      <c r="M487" s="20">
        <f t="shared" si="56"/>
        <v>8.0766362721731877E-2</v>
      </c>
      <c r="AB487" s="20">
        <f t="shared" si="57"/>
        <v>0.57064054651296403</v>
      </c>
    </row>
    <row r="488" spans="1:28">
      <c r="A488" s="18" t="str">
        <f>Analysis!A488</f>
        <v>9/1998</v>
      </c>
      <c r="B488" s="19">
        <f>Analysis!B488</f>
        <v>1998.7083333333333</v>
      </c>
      <c r="C488" s="19">
        <f>Analysis!E488</f>
        <v>0.42000000000000348</v>
      </c>
      <c r="D488" s="20">
        <f>Analysis!F488</f>
        <v>0.37914563558689091</v>
      </c>
      <c r="E488" s="19">
        <f>IF(ENSO!F488="","",ENSO!F488)</f>
        <v>-1.02</v>
      </c>
      <c r="F488" s="25">
        <f>IF(Volcanic!G488="","",Volcanic!G488)</f>
        <v>4.7000000000000002E-3</v>
      </c>
      <c r="G488" s="19">
        <f>IF(Solar!D488="","",Solar!D488)</f>
        <v>1361.11</v>
      </c>
      <c r="H488" s="20">
        <f t="shared" si="51"/>
        <v>0.37914563558689091</v>
      </c>
      <c r="I488" s="20">
        <f t="shared" si="52"/>
        <v>0.32839641858357382</v>
      </c>
      <c r="J488" s="25">
        <f t="shared" si="53"/>
        <v>5.2662144359326406E-3</v>
      </c>
      <c r="K488" s="19">
        <f t="shared" si="54"/>
        <v>1360.9509483452425</v>
      </c>
      <c r="L488" s="20">
        <f t="shared" si="55"/>
        <v>0.51416169725188909</v>
      </c>
      <c r="M488" s="20">
        <f t="shared" si="56"/>
        <v>-9.4161697251885612E-2</v>
      </c>
      <c r="AB488" s="20">
        <f t="shared" si="57"/>
        <v>0.51814222700973922</v>
      </c>
    </row>
    <row r="489" spans="1:28">
      <c r="A489" s="18" t="str">
        <f>Analysis!A489</f>
        <v>10/1998</v>
      </c>
      <c r="B489" s="19">
        <f>Analysis!B489</f>
        <v>1998.7916666666667</v>
      </c>
      <c r="C489" s="19">
        <f>Analysis!E489</f>
        <v>0.42000000000000348</v>
      </c>
      <c r="D489" s="20">
        <f>Analysis!F489</f>
        <v>0.38065029913905807</v>
      </c>
      <c r="E489" s="19">
        <f>IF(ENSO!F489="","",ENSO!F489)</f>
        <v>-1.1200000000000001</v>
      </c>
      <c r="F489" s="25">
        <f>IF(Volcanic!G489="","",Volcanic!G489)</f>
        <v>4.7600000000000003E-3</v>
      </c>
      <c r="G489" s="19">
        <f>IF(Solar!D489="","",Solar!D489)</f>
        <v>1361.49</v>
      </c>
      <c r="H489" s="20">
        <f t="shared" si="51"/>
        <v>0.38065029913905807</v>
      </c>
      <c r="I489" s="20">
        <f t="shared" si="52"/>
        <v>0.10604109872801154</v>
      </c>
      <c r="J489" s="25">
        <f t="shared" si="53"/>
        <v>5.2257397643845592E-3</v>
      </c>
      <c r="K489" s="19">
        <f t="shared" si="54"/>
        <v>1360.9940485358438</v>
      </c>
      <c r="L489" s="20">
        <f t="shared" si="55"/>
        <v>0.4869888747934269</v>
      </c>
      <c r="M489" s="20">
        <f t="shared" si="56"/>
        <v>-6.6988874793423414E-2</v>
      </c>
      <c r="AB489" s="20">
        <f t="shared" si="57"/>
        <v>0.49311130226196909</v>
      </c>
    </row>
    <row r="490" spans="1:28">
      <c r="A490" s="18" t="str">
        <f>Analysis!A490</f>
        <v>11/1998</v>
      </c>
      <c r="B490" s="19">
        <f>Analysis!B490</f>
        <v>1998.875</v>
      </c>
      <c r="C490" s="19">
        <f>Analysis!E490</f>
        <v>0.42999999999999972</v>
      </c>
      <c r="D490" s="20">
        <f>Analysis!F490</f>
        <v>0.38511544395370917</v>
      </c>
      <c r="E490" s="19">
        <f>IF(ENSO!F490="","",ENSO!F490)</f>
        <v>-1.31</v>
      </c>
      <c r="F490" s="25">
        <f>IF(Volcanic!G490="","",Volcanic!G490)</f>
        <v>4.5500000000000002E-3</v>
      </c>
      <c r="G490" s="19">
        <f>IF(Solar!D490="","",Solar!D490)</f>
        <v>1361.35</v>
      </c>
      <c r="H490" s="20">
        <f t="shared" si="51"/>
        <v>0.38511544395370917</v>
      </c>
      <c r="I490" s="20">
        <f t="shared" si="52"/>
        <v>-0.11134708823271237</v>
      </c>
      <c r="J490" s="25">
        <f t="shared" si="53"/>
        <v>5.1717105959649488E-3</v>
      </c>
      <c r="K490" s="19">
        <f t="shared" si="54"/>
        <v>1361.0225088435238</v>
      </c>
      <c r="L490" s="20">
        <f t="shared" si="55"/>
        <v>0.46856865731850966</v>
      </c>
      <c r="M490" s="20">
        <f t="shared" si="56"/>
        <v>-3.8568657318509947E-2</v>
      </c>
      <c r="AB490" s="20">
        <f t="shared" si="57"/>
        <v>0.47672267346248159</v>
      </c>
    </row>
    <row r="491" spans="1:28">
      <c r="A491" s="18" t="str">
        <f>Analysis!A491</f>
        <v>12/1998</v>
      </c>
      <c r="B491" s="19">
        <f>Analysis!B491</f>
        <v>1998.9583333333333</v>
      </c>
      <c r="C491" s="19">
        <f>Analysis!E491</f>
        <v>0.54999999999999893</v>
      </c>
      <c r="D491" s="20">
        <f>Analysis!F491</f>
        <v>0.3915320688993289</v>
      </c>
      <c r="E491" s="19">
        <f>IF(ENSO!F491="","",ENSO!F491)</f>
        <v>-1.47</v>
      </c>
      <c r="F491" s="25">
        <f>IF(Volcanic!G491="","",Volcanic!G491)</f>
        <v>4.3699999999999998E-3</v>
      </c>
      <c r="G491" s="19">
        <f>IF(Solar!D491="","",Solar!D491)</f>
        <v>1361.48</v>
      </c>
      <c r="H491" s="20">
        <f t="shared" si="51"/>
        <v>0.3915320688993289</v>
      </c>
      <c r="I491" s="20">
        <f t="shared" si="52"/>
        <v>-0.31992513971957098</v>
      </c>
      <c r="J491" s="25">
        <f t="shared" si="53"/>
        <v>5.107609355966697E-3</v>
      </c>
      <c r="K491" s="19">
        <f t="shared" si="54"/>
        <v>1361.0590878167418</v>
      </c>
      <c r="L491" s="20">
        <f t="shared" si="55"/>
        <v>0.45670304480827895</v>
      </c>
      <c r="M491" s="20">
        <f t="shared" si="56"/>
        <v>9.3296955191719988E-2</v>
      </c>
      <c r="AB491" s="20">
        <f t="shared" si="57"/>
        <v>0.46676275878822299</v>
      </c>
    </row>
    <row r="492" spans="1:28">
      <c r="A492" s="18" t="str">
        <f>Analysis!A492</f>
        <v>1/1999</v>
      </c>
      <c r="B492" s="19">
        <f>Analysis!B492</f>
        <v>1999.0416666666667</v>
      </c>
      <c r="C492" s="19">
        <f>Analysis!E492</f>
        <v>0.47999999999999865</v>
      </c>
      <c r="D492" s="20">
        <f>Analysis!F492</f>
        <v>0.39565041545437801</v>
      </c>
      <c r="E492" s="19">
        <f>IF(ENSO!F492="","",ENSO!F492)</f>
        <v>-1.51</v>
      </c>
      <c r="F492" s="25">
        <f>IF(Volcanic!G492="","",Volcanic!G492)</f>
        <v>4.2399999999999998E-3</v>
      </c>
      <c r="G492" s="19">
        <f>IF(Solar!D492="","",Solar!D492)</f>
        <v>1361.69</v>
      </c>
      <c r="H492" s="20">
        <f t="shared" si="51"/>
        <v>0.39565041545437801</v>
      </c>
      <c r="I492" s="20">
        <f t="shared" si="52"/>
        <v>-0.50262337952086578</v>
      </c>
      <c r="J492" s="25">
        <f t="shared" si="53"/>
        <v>5.0382391420373037E-3</v>
      </c>
      <c r="K492" s="19">
        <f t="shared" si="54"/>
        <v>1361.1095327696717</v>
      </c>
      <c r="L492" s="20">
        <f t="shared" si="55"/>
        <v>0.44229254636100201</v>
      </c>
      <c r="M492" s="20">
        <f t="shared" si="56"/>
        <v>3.7707453638996635E-2</v>
      </c>
      <c r="AB492" s="20">
        <f t="shared" si="57"/>
        <v>0.45406253701767085</v>
      </c>
    </row>
    <row r="493" spans="1:28">
      <c r="A493" s="18" t="str">
        <f>Analysis!A493</f>
        <v>2/1999</v>
      </c>
      <c r="B493" s="19">
        <f>Analysis!B493</f>
        <v>1999.125</v>
      </c>
      <c r="C493" s="19">
        <f>Analysis!E493</f>
        <v>0.64000000000000234</v>
      </c>
      <c r="D493" s="20">
        <f>Analysis!F493</f>
        <v>0.39928830192579123</v>
      </c>
      <c r="E493" s="19">
        <f>IF(ENSO!F493="","",ENSO!F493)</f>
        <v>-1.25</v>
      </c>
      <c r="F493" s="25">
        <f>IF(Volcanic!G493="","",Volcanic!G493)</f>
        <v>4.0400000000000002E-3</v>
      </c>
      <c r="G493" s="19">
        <f>IF(Solar!D493="","",Solar!D493)</f>
        <v>1361.41</v>
      </c>
      <c r="H493" s="20">
        <f t="shared" si="51"/>
        <v>0.39928830192579123</v>
      </c>
      <c r="I493" s="20">
        <f t="shared" si="52"/>
        <v>-0.61735934915390456</v>
      </c>
      <c r="J493" s="25">
        <f t="shared" si="53"/>
        <v>4.9584243470957882E-3</v>
      </c>
      <c r="K493" s="19">
        <f t="shared" si="54"/>
        <v>1361.1335568029572</v>
      </c>
      <c r="L493" s="20">
        <f t="shared" si="55"/>
        <v>0.43620913416931612</v>
      </c>
      <c r="M493" s="20">
        <f t="shared" si="56"/>
        <v>0.20379086583068623</v>
      </c>
      <c r="AB493" s="20">
        <f t="shared" si="57"/>
        <v>0.44904601631102714</v>
      </c>
    </row>
    <row r="494" spans="1:28">
      <c r="A494" s="18" t="str">
        <f>Analysis!A494</f>
        <v>3/1999</v>
      </c>
      <c r="B494" s="19">
        <f>Analysis!B494</f>
        <v>1999.2083333333333</v>
      </c>
      <c r="C494" s="19">
        <f>Analysis!E494</f>
        <v>0.32999999999999652</v>
      </c>
      <c r="D494" s="20">
        <f>Analysis!F494</f>
        <v>0.40147444051625025</v>
      </c>
      <c r="E494" s="19">
        <f>IF(ENSO!F494="","",ENSO!F494)</f>
        <v>-0.93</v>
      </c>
      <c r="F494" s="25">
        <f>IF(Volcanic!G494="","",Volcanic!G494)</f>
        <v>3.8800000000000002E-3</v>
      </c>
      <c r="G494" s="19">
        <f>IF(Solar!D494="","",Solar!D494)</f>
        <v>1361.45</v>
      </c>
      <c r="H494" s="20">
        <f t="shared" si="51"/>
        <v>0.40147444051625025</v>
      </c>
      <c r="I494" s="20">
        <f t="shared" si="52"/>
        <v>-0.66535540260087289</v>
      </c>
      <c r="J494" s="25">
        <f t="shared" si="53"/>
        <v>4.8721982971457545E-3</v>
      </c>
      <c r="K494" s="19">
        <f t="shared" si="54"/>
        <v>1361.1588582040133</v>
      </c>
      <c r="L494" s="20">
        <f t="shared" si="55"/>
        <v>0.4356400947027626</v>
      </c>
      <c r="M494" s="20">
        <f t="shared" si="56"/>
        <v>-0.10564009470276609</v>
      </c>
      <c r="AB494" s="20">
        <f t="shared" si="57"/>
        <v>0.4489329177329926</v>
      </c>
    </row>
    <row r="495" spans="1:28">
      <c r="A495" s="18" t="str">
        <f>Analysis!A495</f>
        <v>4/1999</v>
      </c>
      <c r="B495" s="19">
        <f>Analysis!B495</f>
        <v>1999.2916666666667</v>
      </c>
      <c r="C495" s="19">
        <f>Analysis!E495</f>
        <v>0.32000000000000028</v>
      </c>
      <c r="D495" s="20">
        <f>Analysis!F495</f>
        <v>0.40657554167160614</v>
      </c>
      <c r="E495" s="19">
        <f>IF(ENSO!F495="","",ENSO!F495)</f>
        <v>-0.8</v>
      </c>
      <c r="F495" s="25">
        <f>IF(Volcanic!G495="","",Volcanic!G495)</f>
        <v>3.8500000000000001E-3</v>
      </c>
      <c r="G495" s="19">
        <f>IF(Solar!D495="","",Solar!D495)</f>
        <v>1361.36</v>
      </c>
      <c r="H495" s="20">
        <f t="shared" si="51"/>
        <v>0.40657554167160614</v>
      </c>
      <c r="I495" s="20">
        <f t="shared" si="52"/>
        <v>-0.68602580894638465</v>
      </c>
      <c r="J495" s="25">
        <f t="shared" si="53"/>
        <v>4.7904678339325572E-3</v>
      </c>
      <c r="K495" s="19">
        <f t="shared" si="54"/>
        <v>1361.1749406140539</v>
      </c>
      <c r="L495" s="20">
        <f t="shared" si="55"/>
        <v>0.44679459238417796</v>
      </c>
      <c r="M495" s="20">
        <f t="shared" si="56"/>
        <v>-0.12679459238417767</v>
      </c>
      <c r="AB495" s="20">
        <f t="shared" si="57"/>
        <v>0.46020860422676074</v>
      </c>
    </row>
    <row r="496" spans="1:28">
      <c r="A496" s="18" t="str">
        <f>Analysis!A496</f>
        <v>5/1999</v>
      </c>
      <c r="B496" s="19">
        <f>Analysis!B496</f>
        <v>1999.375</v>
      </c>
      <c r="C496" s="19">
        <f>Analysis!E496</f>
        <v>0.25999999999999979</v>
      </c>
      <c r="D496" s="20">
        <f>Analysis!F496</f>
        <v>0.40645892413014484</v>
      </c>
      <c r="E496" s="19">
        <f>IF(ENSO!F496="","",ENSO!F496)</f>
        <v>-0.79</v>
      </c>
      <c r="F496" s="25">
        <f>IF(Volcanic!G496="","",Volcanic!G496)</f>
        <v>4.0000000000000001E-3</v>
      </c>
      <c r="G496" s="19">
        <f>IF(Solar!D496="","",Solar!D496)</f>
        <v>1361.53</v>
      </c>
      <c r="H496" s="20">
        <f t="shared" si="51"/>
        <v>0.40645892413014484</v>
      </c>
      <c r="I496" s="20">
        <f t="shared" si="52"/>
        <v>-0.70198774741282943</v>
      </c>
      <c r="J496" s="25">
        <f t="shared" si="53"/>
        <v>4.7272655155537885E-3</v>
      </c>
      <c r="K496" s="19">
        <f t="shared" si="54"/>
        <v>1361.2033295950985</v>
      </c>
      <c r="L496" s="20">
        <f t="shared" si="55"/>
        <v>0.44444108011184208</v>
      </c>
      <c r="M496" s="20">
        <f t="shared" si="56"/>
        <v>-0.18444108011184229</v>
      </c>
      <c r="AB496" s="20">
        <f t="shared" si="57"/>
        <v>0.45804260149253173</v>
      </c>
    </row>
    <row r="497" spans="1:28">
      <c r="A497" s="18" t="str">
        <f>Analysis!A497</f>
        <v>6/1999</v>
      </c>
      <c r="B497" s="19">
        <f>Analysis!B497</f>
        <v>1999.4583333333333</v>
      </c>
      <c r="C497" s="19">
        <f>Analysis!E497</f>
        <v>0.36000000000000121</v>
      </c>
      <c r="D497" s="20">
        <f>Analysis!F497</f>
        <v>0.40389095040272749</v>
      </c>
      <c r="E497" s="19">
        <f>IF(ENSO!F497="","",ENSO!F497)</f>
        <v>-0.84</v>
      </c>
      <c r="F497" s="25">
        <f>IF(Volcanic!G497="","",Volcanic!G497)</f>
        <v>4.1999999999999997E-3</v>
      </c>
      <c r="G497" s="19">
        <f>IF(Solar!D497="","",Solar!D497)</f>
        <v>1361.42</v>
      </c>
      <c r="H497" s="20">
        <f t="shared" si="51"/>
        <v>0.40389095040272749</v>
      </c>
      <c r="I497" s="20">
        <f t="shared" si="52"/>
        <v>-0.72317515037397273</v>
      </c>
      <c r="J497" s="25">
        <f t="shared" si="53"/>
        <v>4.6851076926119131E-3</v>
      </c>
      <c r="K497" s="19">
        <f t="shared" si="54"/>
        <v>1361.2206536041549</v>
      </c>
      <c r="L497" s="20">
        <f t="shared" si="55"/>
        <v>0.43464986071461631</v>
      </c>
      <c r="M497" s="20">
        <f t="shared" si="56"/>
        <v>-7.4649860714615102E-2</v>
      </c>
      <c r="AB497" s="20">
        <f t="shared" si="57"/>
        <v>0.44853637521618861</v>
      </c>
    </row>
    <row r="498" spans="1:28">
      <c r="A498" s="18" t="str">
        <f>Analysis!A498</f>
        <v>7/1999</v>
      </c>
      <c r="B498" s="19">
        <f>Analysis!B498</f>
        <v>1999.5416666666667</v>
      </c>
      <c r="C498" s="19">
        <f>Analysis!E498</f>
        <v>0.38999999999999879</v>
      </c>
      <c r="D498" s="20">
        <f>Analysis!F498</f>
        <v>0.40057696301241569</v>
      </c>
      <c r="E498" s="19">
        <f>IF(ENSO!F498="","",ENSO!F498)</f>
        <v>-0.9</v>
      </c>
      <c r="F498" s="25">
        <f>IF(Volcanic!G498="","",Volcanic!G498)</f>
        <v>4.1999999999999997E-3</v>
      </c>
      <c r="G498" s="19">
        <f>IF(Solar!D498="","",Solar!D498)</f>
        <v>1361.54</v>
      </c>
      <c r="H498" s="20">
        <f t="shared" si="51"/>
        <v>0.40057696301241569</v>
      </c>
      <c r="I498" s="20">
        <f t="shared" si="52"/>
        <v>-0.75032099628503701</v>
      </c>
      <c r="J498" s="25">
        <f t="shared" si="53"/>
        <v>4.6463206230813094E-3</v>
      </c>
      <c r="K498" s="19">
        <f t="shared" si="54"/>
        <v>1361.2461871321707</v>
      </c>
      <c r="L498" s="20">
        <f t="shared" si="55"/>
        <v>0.42198899443333698</v>
      </c>
      <c r="M498" s="20">
        <f t="shared" si="56"/>
        <v>-3.1988994433338191E-2</v>
      </c>
      <c r="AB498" s="20">
        <f t="shared" si="57"/>
        <v>0.43623399098184812</v>
      </c>
    </row>
    <row r="499" spans="1:28">
      <c r="A499" s="18" t="str">
        <f>Analysis!A499</f>
        <v>8/1999</v>
      </c>
      <c r="B499" s="19">
        <f>Analysis!B499</f>
        <v>1999.625</v>
      </c>
      <c r="C499" s="19">
        <f>Analysis!E499</f>
        <v>0.31000000000000227</v>
      </c>
      <c r="D499" s="20">
        <f>Analysis!F499</f>
        <v>0.39058907956946148</v>
      </c>
      <c r="E499" s="19">
        <f>IF(ENSO!F499="","",ENSO!F499)</f>
        <v>-0.94</v>
      </c>
      <c r="F499" s="25">
        <f>IF(Volcanic!G499="","",Volcanic!G499)</f>
        <v>4.3200000000000001E-3</v>
      </c>
      <c r="G499" s="19">
        <f>IF(Solar!D499="","",Solar!D499)</f>
        <v>1361.59</v>
      </c>
      <c r="H499" s="20">
        <f t="shared" si="51"/>
        <v>0.39058907956946148</v>
      </c>
      <c r="I499" s="20">
        <f t="shared" si="52"/>
        <v>-0.77944018975982488</v>
      </c>
      <c r="J499" s="25">
        <f t="shared" si="53"/>
        <v>4.6202294666443187E-3</v>
      </c>
      <c r="K499" s="19">
        <f t="shared" si="54"/>
        <v>1361.273676891276</v>
      </c>
      <c r="L499" s="20">
        <f t="shared" si="55"/>
        <v>0.3909592021219172</v>
      </c>
      <c r="M499" s="20">
        <f t="shared" si="56"/>
        <v>-8.095920212191493E-2</v>
      </c>
      <c r="AB499" s="20">
        <f t="shared" si="57"/>
        <v>0.40573030636412144</v>
      </c>
    </row>
    <row r="500" spans="1:28">
      <c r="A500" s="18" t="str">
        <f>Analysis!A500</f>
        <v>9/1999</v>
      </c>
      <c r="B500" s="19">
        <f>Analysis!B500</f>
        <v>1999.7083333333333</v>
      </c>
      <c r="C500" s="19">
        <f>Analysis!E500</f>
        <v>0.38999999999999879</v>
      </c>
      <c r="D500" s="20">
        <f>Analysis!F500</f>
        <v>0.38227199382725641</v>
      </c>
      <c r="E500" s="19">
        <f>IF(ENSO!F500="","",ENSO!F500)</f>
        <v>-1</v>
      </c>
      <c r="F500" s="25">
        <f>IF(Volcanic!G500="","",Volcanic!G500)</f>
        <v>4.4000000000000003E-3</v>
      </c>
      <c r="G500" s="19">
        <f>IF(Solar!D500="","",Solar!D500)</f>
        <v>1361.7</v>
      </c>
      <c r="H500" s="20">
        <f t="shared" si="51"/>
        <v>0.38227199382725641</v>
      </c>
      <c r="I500" s="20">
        <f t="shared" si="52"/>
        <v>-0.81330015138635003</v>
      </c>
      <c r="J500" s="25">
        <f t="shared" si="53"/>
        <v>4.6026208907228999E-3</v>
      </c>
      <c r="K500" s="19">
        <f t="shared" si="54"/>
        <v>1361.3077638049911</v>
      </c>
      <c r="L500" s="20">
        <f t="shared" si="55"/>
        <v>0.36374973949845479</v>
      </c>
      <c r="M500" s="20">
        <f t="shared" si="56"/>
        <v>2.6250260501543998E-2</v>
      </c>
      <c r="AB500" s="20">
        <f t="shared" si="57"/>
        <v>0.37905025923623592</v>
      </c>
    </row>
    <row r="501" spans="1:28">
      <c r="A501" s="18" t="str">
        <f>Analysis!A501</f>
        <v>10/1999</v>
      </c>
      <c r="B501" s="19">
        <f>Analysis!B501</f>
        <v>1999.7916666666667</v>
      </c>
      <c r="C501" s="19">
        <f>Analysis!E501</f>
        <v>0.33999999999999986</v>
      </c>
      <c r="D501" s="20">
        <f>Analysis!F501</f>
        <v>0.38452352048875721</v>
      </c>
      <c r="E501" s="19">
        <f>IF(ENSO!F501="","",ENSO!F501)</f>
        <v>-1.1299999999999999</v>
      </c>
      <c r="F501" s="25">
        <f>IF(Volcanic!G501="","",Volcanic!G501)</f>
        <v>4.45E-3</v>
      </c>
      <c r="G501" s="19">
        <f>IF(Solar!D501="","",Solar!D501)</f>
        <v>1361.23</v>
      </c>
      <c r="H501" s="20">
        <f t="shared" si="51"/>
        <v>0.38452352048875721</v>
      </c>
      <c r="I501" s="20">
        <f t="shared" si="52"/>
        <v>-0.86191936587292128</v>
      </c>
      <c r="J501" s="25">
        <f t="shared" si="53"/>
        <v>4.5904179980653563E-3</v>
      </c>
      <c r="K501" s="19">
        <f t="shared" si="54"/>
        <v>1361.3015461544423</v>
      </c>
      <c r="L501" s="20">
        <f t="shared" si="55"/>
        <v>0.36301846508415092</v>
      </c>
      <c r="M501" s="20">
        <f t="shared" si="56"/>
        <v>-2.3018465084151063E-2</v>
      </c>
      <c r="AB501" s="20">
        <f t="shared" si="57"/>
        <v>0.37874440697539957</v>
      </c>
    </row>
    <row r="502" spans="1:28">
      <c r="A502" s="18" t="str">
        <f>Analysis!A502</f>
        <v>11/1999</v>
      </c>
      <c r="B502" s="19">
        <f>Analysis!B502</f>
        <v>1999.875</v>
      </c>
      <c r="C502" s="19">
        <f>Analysis!E502</f>
        <v>0.36999999999999744</v>
      </c>
      <c r="D502" s="20">
        <f>Analysis!F502</f>
        <v>0.38988143286110233</v>
      </c>
      <c r="E502" s="19">
        <f>IF(ENSO!F502="","",ENSO!F502)</f>
        <v>-1.35</v>
      </c>
      <c r="F502" s="25">
        <f>IF(Volcanic!G502="","",Volcanic!G502)</f>
        <v>4.4400000000000004E-3</v>
      </c>
      <c r="G502" s="19">
        <f>IF(Solar!D502="","",Solar!D502)</f>
        <v>1361.37</v>
      </c>
      <c r="H502" s="20">
        <f t="shared" si="51"/>
        <v>0.38988143286110233</v>
      </c>
      <c r="I502" s="20">
        <f t="shared" si="52"/>
        <v>-0.93684866293840563</v>
      </c>
      <c r="J502" s="25">
        <f t="shared" si="53"/>
        <v>4.5783912389797555E-3</v>
      </c>
      <c r="K502" s="19">
        <f t="shared" si="54"/>
        <v>1361.3070194217348</v>
      </c>
      <c r="L502" s="20">
        <f t="shared" si="55"/>
        <v>0.36697389597726549</v>
      </c>
      <c r="M502" s="20">
        <f t="shared" si="56"/>
        <v>3.0261040227319569E-3</v>
      </c>
      <c r="AB502" s="20">
        <f t="shared" si="57"/>
        <v>0.38330856143164771</v>
      </c>
    </row>
    <row r="503" spans="1:28">
      <c r="A503" s="18" t="str">
        <f>Analysis!A503</f>
        <v>12/1999</v>
      </c>
      <c r="B503" s="19">
        <f>Analysis!B503</f>
        <v>1999.9583333333333</v>
      </c>
      <c r="C503" s="19">
        <f>Analysis!E503</f>
        <v>0.40000000000000213</v>
      </c>
      <c r="D503" s="20">
        <f>Analysis!F503</f>
        <v>0.3952978746136992</v>
      </c>
      <c r="E503" s="19">
        <f>IF(ENSO!F503="","",ENSO!F503)</f>
        <v>-1.53</v>
      </c>
      <c r="F503" s="25">
        <f>IF(Volcanic!G503="","",Volcanic!G503)</f>
        <v>4.2500000000000003E-3</v>
      </c>
      <c r="G503" s="19">
        <f>IF(Solar!D503="","",Solar!D503)</f>
        <v>1361.48</v>
      </c>
      <c r="H503" s="20">
        <f t="shared" si="51"/>
        <v>0.3952978746136992</v>
      </c>
      <c r="I503" s="20">
        <f t="shared" si="52"/>
        <v>-1.0279082330829277</v>
      </c>
      <c r="J503" s="25">
        <f t="shared" si="53"/>
        <v>4.5521345252365281E-3</v>
      </c>
      <c r="K503" s="19">
        <f t="shared" si="54"/>
        <v>1361.3208501851277</v>
      </c>
      <c r="L503" s="20">
        <f t="shared" si="55"/>
        <v>0.36885955400157511</v>
      </c>
      <c r="M503" s="20">
        <f t="shared" si="56"/>
        <v>3.1140445998427024E-2</v>
      </c>
      <c r="AB503" s="20">
        <f t="shared" si="57"/>
        <v>0.38596484197003467</v>
      </c>
    </row>
    <row r="504" spans="1:28">
      <c r="A504" s="18" t="str">
        <f>Analysis!A504</f>
        <v>1/2000</v>
      </c>
      <c r="B504" s="19">
        <f>Analysis!B504</f>
        <v>2000.0416666666667</v>
      </c>
      <c r="C504" s="19">
        <f>Analysis!E504</f>
        <v>0.25000000000000355</v>
      </c>
      <c r="D504" s="20">
        <f>Analysis!F504</f>
        <v>0.39995230138778842</v>
      </c>
      <c r="E504" s="19">
        <f>IF(ENSO!F504="","",ENSO!F504)</f>
        <v>-1.47</v>
      </c>
      <c r="F504" s="25">
        <f>IF(Volcanic!G504="","",Volcanic!G504)</f>
        <v>4.1799999999999997E-3</v>
      </c>
      <c r="G504" s="19">
        <f>IF(Solar!D504="","",Solar!D504)</f>
        <v>1361.77</v>
      </c>
      <c r="H504" s="20">
        <f t="shared" si="51"/>
        <v>0.39995230138778842</v>
      </c>
      <c r="I504" s="20">
        <f t="shared" si="52"/>
        <v>-1.0957773985800974</v>
      </c>
      <c r="J504" s="25">
        <f t="shared" si="53"/>
        <v>4.5223802914346025E-3</v>
      </c>
      <c r="K504" s="19">
        <f t="shared" si="54"/>
        <v>1361.356762221495</v>
      </c>
      <c r="L504" s="20">
        <f t="shared" si="55"/>
        <v>0.37196910842165848</v>
      </c>
      <c r="M504" s="20">
        <f t="shared" si="56"/>
        <v>-0.12196910842165493</v>
      </c>
      <c r="AB504" s="20">
        <f t="shared" si="57"/>
        <v>0.38963929286899712</v>
      </c>
    </row>
    <row r="505" spans="1:28">
      <c r="A505" s="18" t="str">
        <f>Analysis!A505</f>
        <v>2/2000</v>
      </c>
      <c r="B505" s="19">
        <f>Analysis!B505</f>
        <v>2000.125</v>
      </c>
      <c r="C505" s="19">
        <f>Analysis!E505</f>
        <v>0.55999999999999872</v>
      </c>
      <c r="D505" s="20">
        <f>Analysis!F505</f>
        <v>0.40096723922560795</v>
      </c>
      <c r="E505" s="19">
        <f>IF(ENSO!F505="","",ENSO!F505)</f>
        <v>-1.26</v>
      </c>
      <c r="F505" s="25">
        <f>IF(Volcanic!G505="","",Volcanic!G505)</f>
        <v>4.0600000000000002E-3</v>
      </c>
      <c r="G505" s="19">
        <f>IF(Solar!D505="","",Solar!D505)</f>
        <v>1361.6</v>
      </c>
      <c r="H505" s="20">
        <f t="shared" si="51"/>
        <v>0.40096723922560795</v>
      </c>
      <c r="I505" s="20">
        <f t="shared" si="52"/>
        <v>-1.1209885690840571</v>
      </c>
      <c r="J505" s="25">
        <f t="shared" si="53"/>
        <v>4.4854104045690844E-3</v>
      </c>
      <c r="K505" s="19">
        <f t="shared" si="54"/>
        <v>1361.3762104404598</v>
      </c>
      <c r="L505" s="20">
        <f t="shared" si="55"/>
        <v>0.37128126775035597</v>
      </c>
      <c r="M505" s="20">
        <f t="shared" si="56"/>
        <v>0.18871873224964275</v>
      </c>
      <c r="AB505" s="20">
        <f t="shared" si="57"/>
        <v>0.38919009372971558</v>
      </c>
    </row>
    <row r="506" spans="1:28">
      <c r="A506" s="18" t="str">
        <f>Analysis!A506</f>
        <v>3/2000</v>
      </c>
      <c r="B506" s="19">
        <f>Analysis!B506</f>
        <v>2000.2083333333333</v>
      </c>
      <c r="C506" s="19">
        <f>Analysis!E506</f>
        <v>0.54999999999999893</v>
      </c>
      <c r="D506" s="20">
        <f>Analysis!F506</f>
        <v>0.40501986550966412</v>
      </c>
      <c r="E506" s="19">
        <f>IF(ENSO!F506="","",ENSO!F506)</f>
        <v>-0.98</v>
      </c>
      <c r="F506" s="25">
        <f>IF(Volcanic!G506="","",Volcanic!G506)</f>
        <v>3.96E-3</v>
      </c>
      <c r="G506" s="19">
        <f>IF(Solar!D506="","",Solar!D506)</f>
        <v>1361.39</v>
      </c>
      <c r="H506" s="20">
        <f t="shared" si="51"/>
        <v>0.40501986550966412</v>
      </c>
      <c r="I506" s="20">
        <f t="shared" si="52"/>
        <v>-1.0993442471481323</v>
      </c>
      <c r="J506" s="25">
        <f t="shared" si="53"/>
        <v>4.4434009081119191E-3</v>
      </c>
      <c r="K506" s="19">
        <f t="shared" si="54"/>
        <v>1361.3773129927649</v>
      </c>
      <c r="L506" s="20">
        <f t="shared" si="55"/>
        <v>0.38543725420120922</v>
      </c>
      <c r="M506" s="20">
        <f t="shared" si="56"/>
        <v>0.16456274579878971</v>
      </c>
      <c r="AB506" s="20">
        <f t="shared" si="57"/>
        <v>0.40306214151190767</v>
      </c>
    </row>
    <row r="507" spans="1:28">
      <c r="A507" s="18" t="str">
        <f>Analysis!A507</f>
        <v>4/2000</v>
      </c>
      <c r="B507" s="19">
        <f>Analysis!B507</f>
        <v>2000.2916666666667</v>
      </c>
      <c r="C507" s="19">
        <f>Analysis!E507</f>
        <v>0.55999999999999872</v>
      </c>
      <c r="D507" s="20">
        <f>Analysis!F507</f>
        <v>0.40979822782841963</v>
      </c>
      <c r="E507" s="19">
        <f>IF(ENSO!F507="","",ENSO!F507)</f>
        <v>-0.81</v>
      </c>
      <c r="F507" s="25">
        <f>IF(Volcanic!G507="","",Volcanic!G507)</f>
        <v>4.0699999999999998E-3</v>
      </c>
      <c r="G507" s="19">
        <f>IF(Solar!D507="","",Solar!D507)</f>
        <v>1361.63</v>
      </c>
      <c r="H507" s="20">
        <f t="shared" si="51"/>
        <v>0.40979822782841963</v>
      </c>
      <c r="I507" s="20">
        <f t="shared" si="52"/>
        <v>-1.0549246174131273</v>
      </c>
      <c r="J507" s="25">
        <f t="shared" si="53"/>
        <v>4.4135454199258888E-3</v>
      </c>
      <c r="K507" s="19">
        <f t="shared" si="54"/>
        <v>1361.3975167303438</v>
      </c>
      <c r="L507" s="20">
        <f t="shared" si="55"/>
        <v>0.40472859982241166</v>
      </c>
      <c r="M507" s="20">
        <f t="shared" si="56"/>
        <v>0.15527140017758706</v>
      </c>
      <c r="AB507" s="20">
        <f t="shared" si="57"/>
        <v>0.42182599984933972</v>
      </c>
    </row>
    <row r="508" spans="1:28">
      <c r="A508" s="18" t="str">
        <f>Analysis!A508</f>
        <v>5/2000</v>
      </c>
      <c r="B508" s="19">
        <f>Analysis!B508</f>
        <v>2000.375</v>
      </c>
      <c r="C508" s="19">
        <f>Analysis!E508</f>
        <v>0.34999999999999787</v>
      </c>
      <c r="D508" s="20">
        <f>Analysis!F508</f>
        <v>0.40890591510745228</v>
      </c>
      <c r="E508" s="19">
        <f>IF(ENSO!F508="","",ENSO!F508)</f>
        <v>-0.67</v>
      </c>
      <c r="F508" s="25">
        <f>IF(Volcanic!G508="","",Volcanic!G508)</f>
        <v>4.0499999999999998E-3</v>
      </c>
      <c r="G508" s="19">
        <f>IF(Solar!D508="","",Solar!D508)</f>
        <v>1361.28</v>
      </c>
      <c r="H508" s="20">
        <f t="shared" si="51"/>
        <v>0.40890591510745228</v>
      </c>
      <c r="I508" s="20">
        <f t="shared" si="52"/>
        <v>-0.99583165410072372</v>
      </c>
      <c r="J508" s="25">
        <f t="shared" si="53"/>
        <v>4.3844779330668854E-3</v>
      </c>
      <c r="K508" s="19">
        <f t="shared" si="54"/>
        <v>1361.3881206113781</v>
      </c>
      <c r="L508" s="20">
        <f t="shared" si="55"/>
        <v>0.41075349560092361</v>
      </c>
      <c r="M508" s="20">
        <f t="shared" si="56"/>
        <v>-6.0753495600925744E-2</v>
      </c>
      <c r="AB508" s="20">
        <f t="shared" si="57"/>
        <v>0.42731192337462426</v>
      </c>
    </row>
    <row r="509" spans="1:28">
      <c r="A509" s="18" t="str">
        <f>Analysis!A509</f>
        <v>6/2000</v>
      </c>
      <c r="B509" s="19">
        <f>Analysis!B509</f>
        <v>2000.4583333333333</v>
      </c>
      <c r="C509" s="19">
        <f>Analysis!E509</f>
        <v>0.40000000000000213</v>
      </c>
      <c r="D509" s="20">
        <f>Analysis!F509</f>
        <v>0.40937153842691504</v>
      </c>
      <c r="E509" s="19">
        <f>IF(ENSO!F509="","",ENSO!F509)</f>
        <v>-0.62</v>
      </c>
      <c r="F509" s="25">
        <f>IF(Volcanic!G509="","",Volcanic!G509)</f>
        <v>4.0400000000000002E-3</v>
      </c>
      <c r="G509" s="19">
        <f>IF(Solar!D509="","",Solar!D509)</f>
        <v>1361.39</v>
      </c>
      <c r="H509" s="20">
        <f t="shared" si="51"/>
        <v>0.40937153842691504</v>
      </c>
      <c r="I509" s="20">
        <f t="shared" si="52"/>
        <v>-0.93813462683167326</v>
      </c>
      <c r="J509" s="25">
        <f t="shared" si="53"/>
        <v>4.3569349982812413E-3</v>
      </c>
      <c r="K509" s="19">
        <f t="shared" si="54"/>
        <v>1361.3882708789956</v>
      </c>
      <c r="L509" s="20">
        <f t="shared" si="55"/>
        <v>0.42024831895087822</v>
      </c>
      <c r="M509" s="20">
        <f t="shared" si="56"/>
        <v>-2.0248318950876087E-2</v>
      </c>
      <c r="AB509" s="20">
        <f t="shared" si="57"/>
        <v>0.4362491636602342</v>
      </c>
    </row>
    <row r="510" spans="1:28">
      <c r="A510" s="18" t="str">
        <f>Analysis!A510</f>
        <v>7/2000</v>
      </c>
      <c r="B510" s="19">
        <f>Analysis!B510</f>
        <v>2000.5416666666667</v>
      </c>
      <c r="C510" s="19">
        <f>Analysis!E510</f>
        <v>0.38999999999999879</v>
      </c>
      <c r="D510" s="20">
        <f>Analysis!F510</f>
        <v>0.40217642497948264</v>
      </c>
      <c r="E510" s="19">
        <f>IF(ENSO!F510="","",ENSO!F510)</f>
        <v>-0.48</v>
      </c>
      <c r="F510" s="25">
        <f>IF(Volcanic!G510="","",Volcanic!G510)</f>
        <v>4.0299999999999997E-3</v>
      </c>
      <c r="G510" s="19">
        <f>IF(Solar!D510="","",Solar!D510)</f>
        <v>1361.51</v>
      </c>
      <c r="H510" s="20">
        <f t="shared" si="51"/>
        <v>0.40217642497948264</v>
      </c>
      <c r="I510" s="20">
        <f t="shared" si="52"/>
        <v>-0.86780258915259267</v>
      </c>
      <c r="J510" s="25">
        <f t="shared" si="53"/>
        <v>4.3307947191155039E-3</v>
      </c>
      <c r="K510" s="19">
        <f t="shared" si="54"/>
        <v>1361.3980038021223</v>
      </c>
      <c r="L510" s="20">
        <f t="shared" si="55"/>
        <v>0.41080548405067796</v>
      </c>
      <c r="M510" s="20">
        <f t="shared" si="56"/>
        <v>-2.0805484050679168E-2</v>
      </c>
      <c r="AB510" s="20">
        <f t="shared" si="57"/>
        <v>0.42630281460452252</v>
      </c>
    </row>
    <row r="511" spans="1:28">
      <c r="A511" s="18" t="str">
        <f>Analysis!A511</f>
        <v>8/2000</v>
      </c>
      <c r="B511" s="19">
        <f>Analysis!B511</f>
        <v>2000.625</v>
      </c>
      <c r="C511" s="19">
        <f>Analysis!E511</f>
        <v>0.42000000000000348</v>
      </c>
      <c r="D511" s="20">
        <f>Analysis!F511</f>
        <v>0.39533705007270242</v>
      </c>
      <c r="E511" s="19">
        <f>IF(ENSO!F511="","",ENSO!F511)</f>
        <v>-0.4</v>
      </c>
      <c r="F511" s="25">
        <f>IF(Volcanic!G511="","",Volcanic!G511)</f>
        <v>4.1399999999999996E-3</v>
      </c>
      <c r="G511" s="19">
        <f>IF(Solar!D511="","",Solar!D511)</f>
        <v>1362.02</v>
      </c>
      <c r="H511" s="20">
        <f t="shared" si="51"/>
        <v>0.39533705007270242</v>
      </c>
      <c r="I511" s="20">
        <f t="shared" si="52"/>
        <v>-0.79598634257418188</v>
      </c>
      <c r="J511" s="25">
        <f t="shared" si="53"/>
        <v>4.3155396156629904E-3</v>
      </c>
      <c r="K511" s="19">
        <f t="shared" si="54"/>
        <v>1361.447735872222</v>
      </c>
      <c r="L511" s="20">
        <f t="shared" si="55"/>
        <v>0.40249715442287326</v>
      </c>
      <c r="M511" s="20">
        <f t="shared" si="56"/>
        <v>1.7502845577130222E-2</v>
      </c>
      <c r="AB511" s="20">
        <f t="shared" si="57"/>
        <v>0.41746318006102767</v>
      </c>
    </row>
    <row r="512" spans="1:28">
      <c r="A512" s="18" t="str">
        <f>Analysis!A512</f>
        <v>9/2000</v>
      </c>
      <c r="B512" s="19">
        <f>Analysis!B512</f>
        <v>2000.7083333333333</v>
      </c>
      <c r="C512" s="19">
        <f>Analysis!E512</f>
        <v>0.38999999999999879</v>
      </c>
      <c r="D512" s="20">
        <f>Analysis!F512</f>
        <v>0.39094277280254291</v>
      </c>
      <c r="E512" s="19">
        <f>IF(ENSO!F512="","",ENSO!F512)</f>
        <v>-0.42</v>
      </c>
      <c r="F512" s="25">
        <f>IF(Volcanic!G512="","",Volcanic!G512)</f>
        <v>4.2100000000000002E-3</v>
      </c>
      <c r="G512" s="19">
        <f>IF(Solar!D512="","",Solar!D512)</f>
        <v>1361.41</v>
      </c>
      <c r="H512" s="20">
        <f t="shared" si="51"/>
        <v>0.39094277280254291</v>
      </c>
      <c r="I512" s="20">
        <f t="shared" si="52"/>
        <v>-0.73826556779750685</v>
      </c>
      <c r="J512" s="25">
        <f t="shared" si="53"/>
        <v>4.3071011339128598E-3</v>
      </c>
      <c r="K512" s="19">
        <f t="shared" si="54"/>
        <v>1361.4447186784689</v>
      </c>
      <c r="L512" s="20">
        <f t="shared" si="55"/>
        <v>0.3987885028596958</v>
      </c>
      <c r="M512" s="20">
        <f t="shared" si="56"/>
        <v>-8.7885028596970116E-3</v>
      </c>
      <c r="AB512" s="20">
        <f t="shared" si="57"/>
        <v>0.4133001672353977</v>
      </c>
    </row>
    <row r="513" spans="1:28">
      <c r="A513" s="18" t="str">
        <f>Analysis!A513</f>
        <v>10/2000</v>
      </c>
      <c r="B513" s="19">
        <f>Analysis!B513</f>
        <v>2000.7916666666667</v>
      </c>
      <c r="C513" s="19">
        <f>Analysis!E513</f>
        <v>0.27000000000000135</v>
      </c>
      <c r="D513" s="20">
        <f>Analysis!F513</f>
        <v>0.39106065128020484</v>
      </c>
      <c r="E513" s="19">
        <f>IF(ENSO!F513="","",ENSO!F513)</f>
        <v>-0.54</v>
      </c>
      <c r="F513" s="25">
        <f>IF(Volcanic!G513="","",Volcanic!G513)</f>
        <v>4.3099999999999996E-3</v>
      </c>
      <c r="G513" s="19">
        <f>IF(Solar!D513="","",Solar!D513)</f>
        <v>1362.03</v>
      </c>
      <c r="H513" s="20">
        <f t="shared" si="51"/>
        <v>0.39106065128020484</v>
      </c>
      <c r="I513" s="20">
        <f t="shared" si="52"/>
        <v>-0.7078281798156506</v>
      </c>
      <c r="J513" s="25">
        <f t="shared" si="53"/>
        <v>4.307332914447768E-3</v>
      </c>
      <c r="K513" s="19">
        <f t="shared" si="54"/>
        <v>1361.4915151891385</v>
      </c>
      <c r="L513" s="20">
        <f t="shared" si="55"/>
        <v>0.40340183439723287</v>
      </c>
      <c r="M513" s="20">
        <f t="shared" si="56"/>
        <v>-0.13340183439723152</v>
      </c>
      <c r="AB513" s="20">
        <f t="shared" si="57"/>
        <v>0.41761531967665688</v>
      </c>
    </row>
    <row r="514" spans="1:28">
      <c r="A514" s="18" t="str">
        <f>Analysis!A514</f>
        <v>11/2000</v>
      </c>
      <c r="B514" s="19">
        <f>Analysis!B514</f>
        <v>2000.875</v>
      </c>
      <c r="C514" s="19">
        <f>Analysis!E514</f>
        <v>0.30000000000000249</v>
      </c>
      <c r="D514" s="20">
        <f>Analysis!F514</f>
        <v>0.39635523879745971</v>
      </c>
      <c r="E514" s="19">
        <f>IF(ENSO!F514="","",ENSO!F514)</f>
        <v>-0.76</v>
      </c>
      <c r="F514" s="25">
        <f>IF(Volcanic!G514="","",Volcanic!G514)</f>
        <v>4.4200000000000003E-3</v>
      </c>
      <c r="G514" s="19">
        <f>IF(Solar!D514="","",Solar!D514)</f>
        <v>1361.89</v>
      </c>
      <c r="H514" s="20">
        <f t="shared" ref="H514:H577" si="58">IF(D514="","",IF(OR(ROW()=2,H513=""),D514,$Q$3*H513+(1-$Q$3)*D514))</f>
        <v>0.39635523879745971</v>
      </c>
      <c r="I514" s="20">
        <f t="shared" ref="I514:I577" si="59">IF(E514="","",IF(OR(ROW()=2,I513=""),E514,$Q$4*I513+(1-$Q$4)*E514))</f>
        <v>-0.71583750765966891</v>
      </c>
      <c r="J514" s="25">
        <f t="shared" ref="J514:J577" si="60">IF(F514="","",IF(OR(ROW()=2,J513=""),F514,$Q$5*J513+(1-$Q$5)*F514))</f>
        <v>4.3163412772251053E-3</v>
      </c>
      <c r="K514" s="19">
        <f t="shared" ref="K514:K577" si="61">IF(G514="","",IF(OR(ROW()=2,K513=""),G514,$Q$6*K513+(1-$Q$6)*G514))</f>
        <v>1361.5233762754522</v>
      </c>
      <c r="L514" s="20">
        <f t="shared" ref="L514:L577" si="62">IF(OR(I514="",J514=""),"",$P$13+$P$14*H514+$P$15*I514+$P$16*J514)</f>
        <v>0.41655847617397329</v>
      </c>
      <c r="M514" s="20">
        <f t="shared" ref="M514:M577" si="63">IF(L514="","",C514-L514)</f>
        <v>-0.1165584761739708</v>
      </c>
      <c r="AB514" s="20">
        <f t="shared" ref="AB514:AB577" si="64">IF(OR(I514="",J514=""),"",$P$52+$P$53*H514+$P$54*I514+$P$55*J514)</f>
        <v>0.43072285109915509</v>
      </c>
    </row>
    <row r="515" spans="1:28">
      <c r="A515" s="18" t="str">
        <f>Analysis!A515</f>
        <v>12/2000</v>
      </c>
      <c r="B515" s="19">
        <f>Analysis!B515</f>
        <v>2000.9583333333333</v>
      </c>
      <c r="C515" s="19">
        <f>Analysis!E515</f>
        <v>0.28000000000000114</v>
      </c>
      <c r="D515" s="20">
        <f>Analysis!F515</f>
        <v>0.40143543136241211</v>
      </c>
      <c r="E515" s="19">
        <f>IF(ENSO!F515="","",ENSO!F515)</f>
        <v>-0.78</v>
      </c>
      <c r="F515" s="25">
        <f>IF(Volcanic!G515="","",Volcanic!G515)</f>
        <v>4.3800000000000002E-3</v>
      </c>
      <c r="G515" s="19">
        <f>IF(Solar!D515="","",Solar!D515)</f>
        <v>1361.99</v>
      </c>
      <c r="H515" s="20">
        <f t="shared" si="58"/>
        <v>0.40143543136241211</v>
      </c>
      <c r="I515" s="20">
        <f t="shared" si="59"/>
        <v>-0.72568762281047572</v>
      </c>
      <c r="J515" s="25">
        <f t="shared" si="60"/>
        <v>4.3214311476685212E-3</v>
      </c>
      <c r="K515" s="19">
        <f t="shared" si="61"/>
        <v>1361.5606854484961</v>
      </c>
      <c r="L515" s="20">
        <f t="shared" si="62"/>
        <v>0.42888887600958836</v>
      </c>
      <c r="M515" s="20">
        <f t="shared" si="63"/>
        <v>-0.14888887600958722</v>
      </c>
      <c r="AB515" s="20">
        <f t="shared" si="64"/>
        <v>0.44302882053386916</v>
      </c>
    </row>
    <row r="516" spans="1:28">
      <c r="A516" s="18" t="str">
        <f>Analysis!A516</f>
        <v>1/2001</v>
      </c>
      <c r="B516" s="19">
        <f>Analysis!B516</f>
        <v>2001.0416666666667</v>
      </c>
      <c r="C516" s="19">
        <f>Analysis!E516</f>
        <v>0.44999999999999751</v>
      </c>
      <c r="D516" s="20">
        <f>Analysis!F516</f>
        <v>0.40505877786528899</v>
      </c>
      <c r="E516" s="19">
        <f>IF(ENSO!F516="","",ENSO!F516)</f>
        <v>-0.76</v>
      </c>
      <c r="F516" s="25">
        <f>IF(Volcanic!G516="","",Volcanic!G516)</f>
        <v>4.3099999999999996E-3</v>
      </c>
      <c r="G516" s="19">
        <f>IF(Solar!D516="","",Solar!D516)</f>
        <v>1361.81</v>
      </c>
      <c r="H516" s="20">
        <f t="shared" si="58"/>
        <v>0.40505877786528899</v>
      </c>
      <c r="I516" s="20">
        <f t="shared" si="59"/>
        <v>-0.73095519977151413</v>
      </c>
      <c r="J516" s="25">
        <f t="shared" si="60"/>
        <v>4.3205171635652267E-3</v>
      </c>
      <c r="K516" s="19">
        <f t="shared" si="61"/>
        <v>1361.580619539403</v>
      </c>
      <c r="L516" s="20">
        <f t="shared" si="62"/>
        <v>0.43794677026473</v>
      </c>
      <c r="M516" s="20">
        <f t="shared" si="63"/>
        <v>1.2053229735267512E-2</v>
      </c>
      <c r="AB516" s="20">
        <f t="shared" si="64"/>
        <v>0.45205438556245803</v>
      </c>
    </row>
    <row r="517" spans="1:28">
      <c r="A517" s="18" t="str">
        <f>Analysis!A517</f>
        <v>2/2001</v>
      </c>
      <c r="B517" s="19">
        <f>Analysis!B517</f>
        <v>2001.125</v>
      </c>
      <c r="C517" s="19">
        <f>Analysis!E517</f>
        <v>0.44000000000000483</v>
      </c>
      <c r="D517" s="20">
        <f>Analysis!F517</f>
        <v>0.40867304708140773</v>
      </c>
      <c r="E517" s="19">
        <f>IF(ENSO!F517="","",ENSO!F517)</f>
        <v>-0.54</v>
      </c>
      <c r="F517" s="25">
        <f>IF(Volcanic!G517="","",Volcanic!G517)</f>
        <v>4.1900000000000001E-3</v>
      </c>
      <c r="G517" s="19">
        <f>IF(Solar!D517="","",Solar!D517)</f>
        <v>1361.84</v>
      </c>
      <c r="H517" s="20">
        <f t="shared" si="58"/>
        <v>0.40867304708140773</v>
      </c>
      <c r="I517" s="20">
        <f t="shared" si="59"/>
        <v>-0.70164008687942314</v>
      </c>
      <c r="J517" s="25">
        <f t="shared" si="60"/>
        <v>4.3100815873514491E-3</v>
      </c>
      <c r="K517" s="19">
        <f t="shared" si="61"/>
        <v>1361.6013584559637</v>
      </c>
      <c r="L517" s="20">
        <f t="shared" si="62"/>
        <v>0.45189276176493032</v>
      </c>
      <c r="M517" s="20">
        <f t="shared" si="63"/>
        <v>-1.1892761764925486E-2</v>
      </c>
      <c r="AB517" s="20">
        <f t="shared" si="64"/>
        <v>0.46563720324328212</v>
      </c>
    </row>
    <row r="518" spans="1:28">
      <c r="A518" s="18" t="str">
        <f>Analysis!A518</f>
        <v>3/2001</v>
      </c>
      <c r="B518" s="19">
        <f>Analysis!B518</f>
        <v>2001.2083333333333</v>
      </c>
      <c r="C518" s="19">
        <f>Analysis!E518</f>
        <v>0.54999999999999893</v>
      </c>
      <c r="D518" s="20">
        <f>Analysis!F518</f>
        <v>0.4123170014542763</v>
      </c>
      <c r="E518" s="19">
        <f>IF(ENSO!F518="","",ENSO!F518)</f>
        <v>-0.43</v>
      </c>
      <c r="F518" s="25">
        <f>IF(Volcanic!G518="","",Volcanic!G518)</f>
        <v>4.1999999999999997E-3</v>
      </c>
      <c r="G518" s="19">
        <f>IF(Solar!D518="","",Solar!D518)</f>
        <v>1361.37</v>
      </c>
      <c r="H518" s="20">
        <f t="shared" si="58"/>
        <v>0.4123170014542763</v>
      </c>
      <c r="I518" s="20">
        <f t="shared" si="59"/>
        <v>-0.65993836929113037</v>
      </c>
      <c r="J518" s="25">
        <f t="shared" si="60"/>
        <v>4.3012799495962314E-3</v>
      </c>
      <c r="K518" s="19">
        <f t="shared" si="61"/>
        <v>1361.5828600551868</v>
      </c>
      <c r="L518" s="20">
        <f t="shared" si="62"/>
        <v>0.46766149390576189</v>
      </c>
      <c r="M518" s="20">
        <f t="shared" si="63"/>
        <v>8.2338506094237041E-2</v>
      </c>
      <c r="AB518" s="20">
        <f t="shared" si="64"/>
        <v>0.48092111075072669</v>
      </c>
    </row>
    <row r="519" spans="1:28">
      <c r="A519" s="18" t="str">
        <f>Analysis!A519</f>
        <v>4/2001</v>
      </c>
      <c r="B519" s="19">
        <f>Analysis!B519</f>
        <v>2001.2916666666667</v>
      </c>
      <c r="C519" s="19">
        <f>Analysis!E519</f>
        <v>0.5</v>
      </c>
      <c r="D519" s="20">
        <f>Analysis!F519</f>
        <v>0.41587453478450814</v>
      </c>
      <c r="E519" s="19">
        <f>IF(ENSO!F519="","",ENSO!F519)</f>
        <v>-0.28999999999999998</v>
      </c>
      <c r="F519" s="25">
        <f>IF(Volcanic!G519="","",Volcanic!G519)</f>
        <v>4.0699999999999998E-3</v>
      </c>
      <c r="G519" s="19">
        <f>IF(Solar!D519="","",Solar!D519)</f>
        <v>1361.33</v>
      </c>
      <c r="H519" s="20">
        <f t="shared" si="58"/>
        <v>0.41587453478450814</v>
      </c>
      <c r="I519" s="20">
        <f t="shared" si="59"/>
        <v>-0.60314606894077705</v>
      </c>
      <c r="J519" s="25">
        <f t="shared" si="60"/>
        <v>4.2827878258417645E-3</v>
      </c>
      <c r="K519" s="19">
        <f t="shared" si="61"/>
        <v>1361.5626424814575</v>
      </c>
      <c r="L519" s="20">
        <f t="shared" si="62"/>
        <v>0.48535900008565525</v>
      </c>
      <c r="M519" s="20">
        <f t="shared" si="63"/>
        <v>1.4640999914344754E-2</v>
      </c>
      <c r="AB519" s="20">
        <f t="shared" si="64"/>
        <v>0.49799395424968962</v>
      </c>
    </row>
    <row r="520" spans="1:28">
      <c r="A520" s="18" t="str">
        <f>Analysis!A520</f>
        <v>5/2001</v>
      </c>
      <c r="B520" s="19">
        <f>Analysis!B520</f>
        <v>2001.375</v>
      </c>
      <c r="C520" s="19">
        <f>Analysis!E520</f>
        <v>0.57000000000000028</v>
      </c>
      <c r="D520" s="20">
        <f>Analysis!F520</f>
        <v>0.41772716250271424</v>
      </c>
      <c r="E520" s="19">
        <f>IF(ENSO!F520="","",ENSO!F520)</f>
        <v>-0.19</v>
      </c>
      <c r="F520" s="25">
        <f>IF(Volcanic!G520="","",Volcanic!G520)</f>
        <v>4.0899999999999999E-3</v>
      </c>
      <c r="G520" s="19">
        <f>IF(Solar!D520="","",Solar!D520)</f>
        <v>1361.59</v>
      </c>
      <c r="H520" s="20">
        <f t="shared" si="58"/>
        <v>0.41772716250271424</v>
      </c>
      <c r="I520" s="20">
        <f t="shared" si="59"/>
        <v>-0.53972059706876552</v>
      </c>
      <c r="J520" s="25">
        <f t="shared" si="60"/>
        <v>4.2673733623742466E-3</v>
      </c>
      <c r="K520" s="19">
        <f t="shared" si="61"/>
        <v>1361.5648298678668</v>
      </c>
      <c r="L520" s="20">
        <f t="shared" si="62"/>
        <v>0.4993717839502439</v>
      </c>
      <c r="M520" s="20">
        <f t="shared" si="63"/>
        <v>7.0628216049756387E-2</v>
      </c>
      <c r="AB520" s="20">
        <f t="shared" si="64"/>
        <v>0.51135572071113011</v>
      </c>
    </row>
    <row r="521" spans="1:28">
      <c r="A521" s="18" t="str">
        <f>Analysis!A521</f>
        <v>6/2001</v>
      </c>
      <c r="B521" s="19">
        <f>Analysis!B521</f>
        <v>2001.4583333333333</v>
      </c>
      <c r="C521" s="19">
        <f>Analysis!E521</f>
        <v>0.52999999999999758</v>
      </c>
      <c r="D521" s="20">
        <f>Analysis!F521</f>
        <v>0.41529510039387307</v>
      </c>
      <c r="E521" s="19">
        <f>IF(ENSO!F521="","",ENSO!F521)</f>
        <v>-0.08</v>
      </c>
      <c r="F521" s="25">
        <f>IF(Volcanic!G521="","",Volcanic!G521)</f>
        <v>4.3200000000000001E-3</v>
      </c>
      <c r="G521" s="19">
        <f>IF(Solar!D521="","",Solar!D521)</f>
        <v>1361.49</v>
      </c>
      <c r="H521" s="20">
        <f t="shared" si="58"/>
        <v>0.41529510039387307</v>
      </c>
      <c r="I521" s="20">
        <f t="shared" si="59"/>
        <v>-0.4691450839745116</v>
      </c>
      <c r="J521" s="25">
        <f t="shared" si="60"/>
        <v>4.2715811559917039E-3</v>
      </c>
      <c r="K521" s="19">
        <f t="shared" si="61"/>
        <v>1361.5588468019785</v>
      </c>
      <c r="L521" s="20">
        <f t="shared" si="62"/>
        <v>0.50274047581087333</v>
      </c>
      <c r="M521" s="20">
        <f t="shared" si="63"/>
        <v>2.7259524189124251E-2</v>
      </c>
      <c r="AB521" s="20">
        <f t="shared" si="64"/>
        <v>0.51409390860963788</v>
      </c>
    </row>
    <row r="522" spans="1:28">
      <c r="A522" s="18" t="str">
        <f>Analysis!A522</f>
        <v>7/2001</v>
      </c>
      <c r="B522" s="19">
        <f>Analysis!B522</f>
        <v>2001.5416666666667</v>
      </c>
      <c r="C522" s="19">
        <f>Analysis!E522</f>
        <v>0.58999999999999986</v>
      </c>
      <c r="D522" s="20">
        <f>Analysis!F522</f>
        <v>0.40863423208911642</v>
      </c>
      <c r="E522" s="19">
        <f>IF(ENSO!F522="","",ENSO!F522)</f>
        <v>-0.05</v>
      </c>
      <c r="F522" s="25">
        <f>IF(Volcanic!G522="","",Volcanic!G522)</f>
        <v>4.7099999999999998E-3</v>
      </c>
      <c r="G522" s="19">
        <f>IF(Solar!D522="","",Solar!D522)</f>
        <v>1361.72</v>
      </c>
      <c r="H522" s="20">
        <f t="shared" si="58"/>
        <v>0.40863423208911642</v>
      </c>
      <c r="I522" s="20">
        <f t="shared" si="59"/>
        <v>-0.40479865366216589</v>
      </c>
      <c r="J522" s="25">
        <f t="shared" si="60"/>
        <v>4.3066351913019227E-3</v>
      </c>
      <c r="K522" s="19">
        <f t="shared" si="61"/>
        <v>1361.5717319002606</v>
      </c>
      <c r="L522" s="20">
        <f t="shared" si="62"/>
        <v>0.49369004367868696</v>
      </c>
      <c r="M522" s="20">
        <f t="shared" si="63"/>
        <v>9.6309956321312895E-2</v>
      </c>
      <c r="AB522" s="20">
        <f t="shared" si="64"/>
        <v>0.50455669808562209</v>
      </c>
    </row>
    <row r="523" spans="1:28">
      <c r="A523" s="18" t="str">
        <f>Analysis!A523</f>
        <v>8/2001</v>
      </c>
      <c r="B523" s="19">
        <f>Analysis!B523</f>
        <v>2001.625</v>
      </c>
      <c r="C523" s="19">
        <f>Analysis!E523</f>
        <v>0.47999999999999865</v>
      </c>
      <c r="D523" s="20">
        <f>Analysis!F523</f>
        <v>0.40124036977007455</v>
      </c>
      <c r="E523" s="19">
        <f>IF(ENSO!F523="","",ENSO!F523)</f>
        <v>-0.13</v>
      </c>
      <c r="F523" s="25">
        <f>IF(Volcanic!G523="","",Volcanic!G523)</f>
        <v>4.9100000000000003E-3</v>
      </c>
      <c r="G523" s="19">
        <f>IF(Solar!D523="","",Solar!D523)</f>
        <v>1361.42</v>
      </c>
      <c r="H523" s="20">
        <f t="shared" si="58"/>
        <v>0.40124036977007455</v>
      </c>
      <c r="I523" s="20">
        <f t="shared" si="59"/>
        <v>-0.36261203834956868</v>
      </c>
      <c r="J523" s="25">
        <f t="shared" si="60"/>
        <v>4.3548775777734446E-3</v>
      </c>
      <c r="K523" s="19">
        <f t="shared" si="61"/>
        <v>1361.5596000873559</v>
      </c>
      <c r="L523" s="20">
        <f t="shared" si="62"/>
        <v>0.47948551360448316</v>
      </c>
      <c r="M523" s="20">
        <f t="shared" si="63"/>
        <v>5.1448639551548991E-4</v>
      </c>
      <c r="AB523" s="20">
        <f t="shared" si="64"/>
        <v>0.49009113375552238</v>
      </c>
    </row>
    <row r="524" spans="1:28">
      <c r="A524" s="18" t="str">
        <f>Analysis!A524</f>
        <v>9/2001</v>
      </c>
      <c r="B524" s="19">
        <f>Analysis!B524</f>
        <v>2001.7083333333333</v>
      </c>
      <c r="C524" s="19">
        <f>Analysis!E524</f>
        <v>0.5199999999999978</v>
      </c>
      <c r="D524" s="20">
        <f>Analysis!F524</f>
        <v>0.39561124850380214</v>
      </c>
      <c r="E524" s="19">
        <f>IF(ENSO!F524="","",ENSO!F524)</f>
        <v>-0.15</v>
      </c>
      <c r="F524" s="25">
        <f>IF(Volcanic!G524="","",Volcanic!G524)</f>
        <v>4.6800000000000001E-3</v>
      </c>
      <c r="G524" s="19">
        <f>IF(Solar!D524="","",Solar!D524)</f>
        <v>1361.16</v>
      </c>
      <c r="H524" s="20">
        <f t="shared" si="58"/>
        <v>0.39561124850380214</v>
      </c>
      <c r="I524" s="20">
        <f t="shared" si="59"/>
        <v>-0.32997220495465229</v>
      </c>
      <c r="J524" s="25">
        <f t="shared" si="60"/>
        <v>4.3808729313597012E-3</v>
      </c>
      <c r="K524" s="19">
        <f t="shared" si="61"/>
        <v>1361.5276498284572</v>
      </c>
      <c r="L524" s="20">
        <f t="shared" si="62"/>
        <v>0.46878136951121596</v>
      </c>
      <c r="M524" s="20">
        <f t="shared" si="63"/>
        <v>5.1218630488781836E-2</v>
      </c>
      <c r="AB524" s="20">
        <f t="shared" si="64"/>
        <v>0.47918827360515615</v>
      </c>
    </row>
    <row r="525" spans="1:28">
      <c r="A525" s="18" t="str">
        <f>Analysis!A525</f>
        <v>10/2001</v>
      </c>
      <c r="B525" s="19">
        <f>Analysis!B525</f>
        <v>2001.7916666666667</v>
      </c>
      <c r="C525" s="19">
        <f>Analysis!E525</f>
        <v>0.5</v>
      </c>
      <c r="D525" s="20">
        <f>Analysis!F525</f>
        <v>0.39666838312207731</v>
      </c>
      <c r="E525" s="19">
        <f>IF(ENSO!F525="","",ENSO!F525)</f>
        <v>-0.26</v>
      </c>
      <c r="F525" s="25">
        <f>IF(Volcanic!G525="","",Volcanic!G525)</f>
        <v>4.7400000000000003E-3</v>
      </c>
      <c r="G525" s="19">
        <f>IF(Solar!D525="","",Solar!D525)</f>
        <v>1361.78</v>
      </c>
      <c r="H525" s="20">
        <f t="shared" si="58"/>
        <v>0.39666838312207731</v>
      </c>
      <c r="I525" s="20">
        <f t="shared" si="59"/>
        <v>-0.31923019274441367</v>
      </c>
      <c r="J525" s="25">
        <f t="shared" si="60"/>
        <v>4.409587146355292E-3</v>
      </c>
      <c r="K525" s="19">
        <f t="shared" si="61"/>
        <v>1361.5478266341413</v>
      </c>
      <c r="L525" s="20">
        <f t="shared" si="62"/>
        <v>0.47305855918872824</v>
      </c>
      <c r="M525" s="20">
        <f t="shared" si="63"/>
        <v>2.6941440811271755E-2</v>
      </c>
      <c r="AB525" s="20">
        <f t="shared" si="64"/>
        <v>0.4833231633815398</v>
      </c>
    </row>
    <row r="526" spans="1:28">
      <c r="A526" s="18" t="str">
        <f>Analysis!A526</f>
        <v>11/2001</v>
      </c>
      <c r="B526" s="19">
        <f>Analysis!B526</f>
        <v>2001.875</v>
      </c>
      <c r="C526" s="19">
        <f>Analysis!E526</f>
        <v>0.72000000000000242</v>
      </c>
      <c r="D526" s="20">
        <f>Analysis!F526</f>
        <v>0.40186447405316023</v>
      </c>
      <c r="E526" s="19">
        <f>IF(ENSO!F526="","",ENSO!F526)</f>
        <v>-0.33</v>
      </c>
      <c r="F526" s="25">
        <f>IF(Volcanic!G526="","",Volcanic!G526)</f>
        <v>4.4799999999999996E-3</v>
      </c>
      <c r="G526" s="19">
        <f>IF(Solar!D526="","",Solar!D526)</f>
        <v>1361.43</v>
      </c>
      <c r="H526" s="20">
        <f t="shared" si="58"/>
        <v>0.40186447405316023</v>
      </c>
      <c r="I526" s="20">
        <f t="shared" si="59"/>
        <v>-0.32088355497755183</v>
      </c>
      <c r="J526" s="25">
        <f t="shared" si="60"/>
        <v>4.4152170472860743E-3</v>
      </c>
      <c r="K526" s="19">
        <f t="shared" si="61"/>
        <v>1361.5384057366364</v>
      </c>
      <c r="L526" s="20">
        <f t="shared" si="62"/>
        <v>0.48685727015675889</v>
      </c>
      <c r="M526" s="20">
        <f t="shared" si="63"/>
        <v>0.23314272984324352</v>
      </c>
      <c r="AB526" s="20">
        <f t="shared" si="64"/>
        <v>0.49701497048444498</v>
      </c>
    </row>
    <row r="527" spans="1:28">
      <c r="A527" s="18" t="str">
        <f>Analysis!A527</f>
        <v>12/2001</v>
      </c>
      <c r="B527" s="19">
        <f>Analysis!B527</f>
        <v>2001.9583333333333</v>
      </c>
      <c r="C527" s="19">
        <f>Analysis!E527</f>
        <v>0.54999999999999893</v>
      </c>
      <c r="D527" s="20">
        <f>Analysis!F527</f>
        <v>0.40762467556660881</v>
      </c>
      <c r="E527" s="19">
        <f>IF(ENSO!F527="","",ENSO!F527)</f>
        <v>-0.32</v>
      </c>
      <c r="F527" s="25">
        <f>IF(Volcanic!G527="","",Volcanic!G527)</f>
        <v>4.3200000000000001E-3</v>
      </c>
      <c r="G527" s="19">
        <f>IF(Solar!D527="","",Solar!D527)</f>
        <v>1361.89</v>
      </c>
      <c r="H527" s="20">
        <f t="shared" si="58"/>
        <v>0.40762467556660881</v>
      </c>
      <c r="I527" s="20">
        <f t="shared" si="59"/>
        <v>-0.32074791314143375</v>
      </c>
      <c r="J527" s="25">
        <f t="shared" si="60"/>
        <v>4.4076039125330486E-3</v>
      </c>
      <c r="K527" s="19">
        <f t="shared" si="61"/>
        <v>1361.5665176617765</v>
      </c>
      <c r="L527" s="20">
        <f t="shared" si="62"/>
        <v>0.50247882566679281</v>
      </c>
      <c r="M527" s="20">
        <f t="shared" si="63"/>
        <v>4.7521174333206129E-2</v>
      </c>
      <c r="AB527" s="20">
        <f t="shared" si="64"/>
        <v>0.51250547570583471</v>
      </c>
    </row>
    <row r="528" spans="1:28">
      <c r="A528" s="18" t="str">
        <f>Analysis!A528</f>
        <v>1/2002</v>
      </c>
      <c r="B528" s="19">
        <f>Analysis!B528</f>
        <v>2002.0416666666667</v>
      </c>
      <c r="C528" s="19">
        <f>Analysis!E528</f>
        <v>0.77000000000000135</v>
      </c>
      <c r="D528" s="20">
        <f>Analysis!F528</f>
        <v>0.4125879918965209</v>
      </c>
      <c r="E528" s="19">
        <f>IF(ENSO!F528="","",ENSO!F528)</f>
        <v>-0.15</v>
      </c>
      <c r="F528" s="25">
        <f>IF(Volcanic!G528="","",Volcanic!G528)</f>
        <v>4.2100000000000002E-3</v>
      </c>
      <c r="G528" s="19">
        <f>IF(Solar!D528="","",Solar!D528)</f>
        <v>1362.43</v>
      </c>
      <c r="H528" s="20">
        <f t="shared" si="58"/>
        <v>0.4125879918965209</v>
      </c>
      <c r="I528" s="20">
        <f t="shared" si="59"/>
        <v>-0.29453498803743361</v>
      </c>
      <c r="J528" s="25">
        <f t="shared" si="60"/>
        <v>4.3918043760349324E-3</v>
      </c>
      <c r="K528" s="19">
        <f t="shared" si="61"/>
        <v>1361.6355578975865</v>
      </c>
      <c r="L528" s="20">
        <f t="shared" si="62"/>
        <v>0.5196532880637692</v>
      </c>
      <c r="M528" s="20">
        <f t="shared" si="63"/>
        <v>0.25034671193623215</v>
      </c>
      <c r="AB528" s="20">
        <f t="shared" si="64"/>
        <v>0.52931817725042518</v>
      </c>
    </row>
    <row r="529" spans="1:28">
      <c r="A529" s="18" t="str">
        <f>Analysis!A529</f>
        <v>2/2002</v>
      </c>
      <c r="B529" s="19">
        <f>Analysis!B529</f>
        <v>2002.125</v>
      </c>
      <c r="C529" s="19">
        <f>Analysis!E529</f>
        <v>0.77999999999999758</v>
      </c>
      <c r="D529" s="20">
        <f>Analysis!F529</f>
        <v>0.41517918558409256</v>
      </c>
      <c r="E529" s="19">
        <f>IF(ENSO!F529="","",ENSO!F529)</f>
        <v>7.0000000000000007E-2</v>
      </c>
      <c r="F529" s="25">
        <f>IF(Volcanic!G529="","",Volcanic!G529)</f>
        <v>4.0699999999999998E-3</v>
      </c>
      <c r="G529" s="19">
        <f>IF(Solar!D529="","",Solar!D529)</f>
        <v>1362.26</v>
      </c>
      <c r="H529" s="20">
        <f t="shared" si="58"/>
        <v>0.41517918558409256</v>
      </c>
      <c r="I529" s="20">
        <f t="shared" si="59"/>
        <v>-0.23857220545690619</v>
      </c>
      <c r="J529" s="25">
        <f t="shared" si="60"/>
        <v>4.3660743187742138E-3</v>
      </c>
      <c r="K529" s="19">
        <f t="shared" si="61"/>
        <v>1361.6854855314152</v>
      </c>
      <c r="L529" s="20">
        <f t="shared" si="62"/>
        <v>0.534645135193348</v>
      </c>
      <c r="M529" s="20">
        <f t="shared" si="63"/>
        <v>0.24535486480664959</v>
      </c>
      <c r="AB529" s="20">
        <f t="shared" si="64"/>
        <v>0.54371920719410871</v>
      </c>
    </row>
    <row r="530" spans="1:28">
      <c r="A530" s="18" t="str">
        <f>Analysis!A530</f>
        <v>3/2002</v>
      </c>
      <c r="B530" s="19">
        <f>Analysis!B530</f>
        <v>2002.2083333333333</v>
      </c>
      <c r="C530" s="19">
        <f>Analysis!E530</f>
        <v>0.88000000000000256</v>
      </c>
      <c r="D530" s="20">
        <f>Analysis!F530</f>
        <v>0.41876822106763295</v>
      </c>
      <c r="E530" s="19">
        <f>IF(ENSO!F530="","",ENSO!F530)</f>
        <v>0.11</v>
      </c>
      <c r="F530" s="25">
        <f>IF(Volcanic!G530="","",Volcanic!G530)</f>
        <v>4.0400000000000002E-3</v>
      </c>
      <c r="G530" s="19">
        <f>IF(Solar!D530="","",Solar!D530)</f>
        <v>1362.05</v>
      </c>
      <c r="H530" s="20">
        <f t="shared" si="58"/>
        <v>0.41876822106763295</v>
      </c>
      <c r="I530" s="20">
        <f t="shared" si="59"/>
        <v>-0.18506000172408749</v>
      </c>
      <c r="J530" s="25">
        <f t="shared" si="60"/>
        <v>4.3400028557422764E-3</v>
      </c>
      <c r="K530" s="19">
        <f t="shared" si="61"/>
        <v>1361.714630499127</v>
      </c>
      <c r="L530" s="20">
        <f t="shared" si="62"/>
        <v>0.55199065022649574</v>
      </c>
      <c r="M530" s="20">
        <f t="shared" si="63"/>
        <v>0.32800934977350682</v>
      </c>
      <c r="AB530" s="20">
        <f t="shared" si="64"/>
        <v>0.56047474682320608</v>
      </c>
    </row>
    <row r="531" spans="1:28">
      <c r="A531" s="18" t="str">
        <f>Analysis!A531</f>
        <v>4/2002</v>
      </c>
      <c r="B531" s="19">
        <f>Analysis!B531</f>
        <v>2002.2916666666667</v>
      </c>
      <c r="C531" s="19">
        <f>Analysis!E531</f>
        <v>0.58000000000000007</v>
      </c>
      <c r="D531" s="20">
        <f>Analysis!F531</f>
        <v>0.4221945488102623</v>
      </c>
      <c r="E531" s="19">
        <f>IF(ENSO!F531="","",ENSO!F531)</f>
        <v>0.15</v>
      </c>
      <c r="F531" s="25">
        <f>IF(Volcanic!G531="","",Volcanic!G531)</f>
        <v>3.8600000000000001E-3</v>
      </c>
      <c r="G531" s="19">
        <f>IF(Solar!D531="","",Solar!D531)</f>
        <v>1361.52</v>
      </c>
      <c r="H531" s="20">
        <f t="shared" si="58"/>
        <v>0.4221945488102623</v>
      </c>
      <c r="I531" s="20">
        <f t="shared" si="59"/>
        <v>-0.13362216820125772</v>
      </c>
      <c r="J531" s="25">
        <f t="shared" si="60"/>
        <v>4.3016239464318063E-3</v>
      </c>
      <c r="K531" s="19">
        <f t="shared" si="61"/>
        <v>1361.6990687036382</v>
      </c>
      <c r="L531" s="20">
        <f t="shared" si="62"/>
        <v>0.56864518959010157</v>
      </c>
      <c r="M531" s="20">
        <f t="shared" si="63"/>
        <v>1.1354810409898497E-2</v>
      </c>
      <c r="AB531" s="20">
        <f t="shared" si="64"/>
        <v>0.57656903314396002</v>
      </c>
    </row>
    <row r="532" spans="1:28">
      <c r="A532" s="18" t="str">
        <f>Analysis!A532</f>
        <v>5/2002</v>
      </c>
      <c r="B532" s="19">
        <f>Analysis!B532</f>
        <v>2002.375</v>
      </c>
      <c r="C532" s="19">
        <f>Analysis!E532</f>
        <v>0.64000000000000234</v>
      </c>
      <c r="D532" s="20">
        <f>Analysis!F532</f>
        <v>0.42503722288541401</v>
      </c>
      <c r="E532" s="19">
        <f>IF(ENSO!F532="","",ENSO!F532)</f>
        <v>0.3</v>
      </c>
      <c r="F532" s="25">
        <f>IF(Volcanic!G532="","",Volcanic!G532)</f>
        <v>3.8999999999999998E-3</v>
      </c>
      <c r="G532" s="19">
        <f>IF(Solar!D532="","",Solar!D532)</f>
        <v>1361.57</v>
      </c>
      <c r="H532" s="20">
        <f t="shared" si="58"/>
        <v>0.42503722288541401</v>
      </c>
      <c r="I532" s="20">
        <f t="shared" si="59"/>
        <v>-6.7053240889808643E-2</v>
      </c>
      <c r="J532" s="25">
        <f t="shared" si="60"/>
        <v>4.2695118686959703E-3</v>
      </c>
      <c r="K532" s="19">
        <f t="shared" si="61"/>
        <v>1361.6887489398857</v>
      </c>
      <c r="L532" s="20">
        <f t="shared" si="62"/>
        <v>0.58583548316748846</v>
      </c>
      <c r="M532" s="20">
        <f t="shared" si="63"/>
        <v>5.4164516832513887E-2</v>
      </c>
      <c r="AB532" s="20">
        <f t="shared" si="64"/>
        <v>0.59306279647528648</v>
      </c>
    </row>
    <row r="533" spans="1:28">
      <c r="A533" s="18" t="str">
        <f>Analysis!A533</f>
        <v>6/2002</v>
      </c>
      <c r="B533" s="19">
        <f>Analysis!B533</f>
        <v>2002.4583333333333</v>
      </c>
      <c r="C533" s="19">
        <f>Analysis!E533</f>
        <v>0.52999999999999758</v>
      </c>
      <c r="D533" s="20">
        <f>Analysis!F533</f>
        <v>0.42411588811097739</v>
      </c>
      <c r="E533" s="19">
        <f>IF(ENSO!F533="","",ENSO!F533)</f>
        <v>0.45</v>
      </c>
      <c r="F533" s="25">
        <f>IF(Volcanic!G533="","",Volcanic!G533)</f>
        <v>3.9899999999999996E-3</v>
      </c>
      <c r="G533" s="19">
        <f>IF(Solar!D533="","",Solar!D533)</f>
        <v>1361.63</v>
      </c>
      <c r="H533" s="20">
        <f t="shared" si="58"/>
        <v>0.42411588811097739</v>
      </c>
      <c r="I533" s="20">
        <f t="shared" si="59"/>
        <v>1.2323880791312566E-2</v>
      </c>
      <c r="J533" s="25">
        <f t="shared" si="60"/>
        <v>4.2471633336163316E-3</v>
      </c>
      <c r="K533" s="19">
        <f t="shared" si="61"/>
        <v>1361.6840516340071</v>
      </c>
      <c r="L533" s="20">
        <f t="shared" si="62"/>
        <v>0.59462162527329576</v>
      </c>
      <c r="M533" s="20">
        <f t="shared" si="63"/>
        <v>-6.4621625273298178E-2</v>
      </c>
      <c r="AB533" s="20">
        <f t="shared" si="64"/>
        <v>0.60111063491497541</v>
      </c>
    </row>
    <row r="534" spans="1:28">
      <c r="A534" s="18" t="str">
        <f>Analysis!A534</f>
        <v>7/2002</v>
      </c>
      <c r="B534" s="19">
        <f>Analysis!B534</f>
        <v>2002.5416666666667</v>
      </c>
      <c r="C534" s="19">
        <f>Analysis!E534</f>
        <v>0.61000000000000121</v>
      </c>
      <c r="D534" s="20">
        <f>Analysis!F534</f>
        <v>0.41822850669924977</v>
      </c>
      <c r="E534" s="19">
        <f>IF(ENSO!F534="","",ENSO!F534)</f>
        <v>0.56999999999999995</v>
      </c>
      <c r="F534" s="25">
        <f>IF(Volcanic!G534="","",Volcanic!G534)</f>
        <v>4.0200000000000001E-3</v>
      </c>
      <c r="G534" s="19">
        <f>IF(Solar!D534="","",Solar!D534)</f>
        <v>1361.01</v>
      </c>
      <c r="H534" s="20">
        <f t="shared" si="58"/>
        <v>0.41822850669924977</v>
      </c>
      <c r="I534" s="20">
        <f t="shared" si="59"/>
        <v>9.7937356681926505E-2</v>
      </c>
      <c r="J534" s="25">
        <f t="shared" si="60"/>
        <v>4.2290003563022838E-3</v>
      </c>
      <c r="K534" s="19">
        <f t="shared" si="61"/>
        <v>1361.63015744104</v>
      </c>
      <c r="L534" s="20">
        <f t="shared" si="62"/>
        <v>0.59084459475246365</v>
      </c>
      <c r="M534" s="20">
        <f t="shared" si="63"/>
        <v>1.915540524753756E-2</v>
      </c>
      <c r="AB534" s="20">
        <f t="shared" si="64"/>
        <v>0.59664776181217061</v>
      </c>
    </row>
    <row r="535" spans="1:28">
      <c r="A535" s="18" t="str">
        <f>Analysis!A535</f>
        <v>8/2002</v>
      </c>
      <c r="B535" s="19">
        <f>Analysis!B535</f>
        <v>2002.625</v>
      </c>
      <c r="C535" s="19">
        <f>Analysis!E535</f>
        <v>0.52999999999999758</v>
      </c>
      <c r="D535" s="20">
        <f>Analysis!F535</f>
        <v>0.40999213584619632</v>
      </c>
      <c r="E535" s="19">
        <f>IF(ENSO!F535="","",ENSO!F535)</f>
        <v>0.63</v>
      </c>
      <c r="F535" s="25">
        <f>IF(Volcanic!G535="","",Volcanic!G535)</f>
        <v>4.0000000000000001E-3</v>
      </c>
      <c r="G535" s="19">
        <f>IF(Solar!D535="","",Solar!D535)</f>
        <v>1361.19</v>
      </c>
      <c r="H535" s="20">
        <f t="shared" si="58"/>
        <v>0.40999213584619632</v>
      </c>
      <c r="I535" s="20">
        <f t="shared" si="59"/>
        <v>0.17961869593425756</v>
      </c>
      <c r="J535" s="25">
        <f t="shared" si="60"/>
        <v>4.2106904987640409E-3</v>
      </c>
      <c r="K535" s="19">
        <f t="shared" si="61"/>
        <v>1361.5949643951863</v>
      </c>
      <c r="L535" s="20">
        <f t="shared" si="62"/>
        <v>0.58016107945122453</v>
      </c>
      <c r="M535" s="20">
        <f t="shared" si="63"/>
        <v>-5.0161079451226942E-2</v>
      </c>
      <c r="AB535" s="20">
        <f t="shared" si="64"/>
        <v>0.58537100308249124</v>
      </c>
    </row>
    <row r="536" spans="1:28">
      <c r="A536" s="18" t="str">
        <f>Analysis!A536</f>
        <v>9/2002</v>
      </c>
      <c r="B536" s="19">
        <f>Analysis!B536</f>
        <v>2002.7083333333333</v>
      </c>
      <c r="C536" s="19">
        <f>Analysis!E536</f>
        <v>0.64000000000000234</v>
      </c>
      <c r="D536" s="20">
        <f>Analysis!F536</f>
        <v>0.40568123285968838</v>
      </c>
      <c r="E536" s="19">
        <f>IF(ENSO!F536="","",ENSO!F536)</f>
        <v>0.78</v>
      </c>
      <c r="F536" s="25">
        <f>IF(Volcanic!G536="","",Volcanic!G536)</f>
        <v>3.9100000000000003E-3</v>
      </c>
      <c r="G536" s="19">
        <f>IF(Solar!D536="","",Solar!D536)</f>
        <v>1361.35</v>
      </c>
      <c r="H536" s="20">
        <f t="shared" si="58"/>
        <v>0.40568123285968838</v>
      </c>
      <c r="I536" s="20">
        <f t="shared" si="59"/>
        <v>0.27178819814235405</v>
      </c>
      <c r="J536" s="25">
        <f t="shared" si="60"/>
        <v>4.1866486139199612E-3</v>
      </c>
      <c r="K536" s="19">
        <f t="shared" si="61"/>
        <v>1361.5753781235742</v>
      </c>
      <c r="L536" s="20">
        <f t="shared" si="62"/>
        <v>0.58159225716033491</v>
      </c>
      <c r="M536" s="20">
        <f t="shared" si="63"/>
        <v>5.8407742839667431E-2</v>
      </c>
      <c r="AB536" s="20">
        <f t="shared" si="64"/>
        <v>0.5860190145886679</v>
      </c>
    </row>
    <row r="537" spans="1:28">
      <c r="A537" s="18" t="str">
        <f>Analysis!A537</f>
        <v>10/2002</v>
      </c>
      <c r="B537" s="19">
        <f>Analysis!B537</f>
        <v>2002.7916666666667</v>
      </c>
      <c r="C537" s="19">
        <f>Analysis!E537</f>
        <v>0.53999999999999915</v>
      </c>
      <c r="D537" s="20">
        <f>Analysis!F537</f>
        <v>0.40494203764964165</v>
      </c>
      <c r="E537" s="19">
        <f>IF(ENSO!F537="","",ENSO!F537)</f>
        <v>0.99</v>
      </c>
      <c r="F537" s="25">
        <f>IF(Volcanic!G537="","",Volcanic!G537)</f>
        <v>4.0899999999999999E-3</v>
      </c>
      <c r="G537" s="19">
        <f>IF(Solar!D537="","",Solar!D537)</f>
        <v>1361.46</v>
      </c>
      <c r="H537" s="20">
        <f t="shared" si="58"/>
        <v>0.40494203764964165</v>
      </c>
      <c r="I537" s="20">
        <f t="shared" si="59"/>
        <v>0.38204683512674387</v>
      </c>
      <c r="J537" s="25">
        <f t="shared" si="60"/>
        <v>4.1789210174187266E-3</v>
      </c>
      <c r="K537" s="19">
        <f t="shared" si="61"/>
        <v>1361.5661529981649</v>
      </c>
      <c r="L537" s="20">
        <f t="shared" si="62"/>
        <v>0.59517936617125211</v>
      </c>
      <c r="M537" s="20">
        <f t="shared" si="63"/>
        <v>-5.5179366171252964E-2</v>
      </c>
      <c r="AB537" s="20">
        <f t="shared" si="64"/>
        <v>0.5985570302158858</v>
      </c>
    </row>
    <row r="538" spans="1:28">
      <c r="A538" s="18" t="str">
        <f>Analysis!A538</f>
        <v>11/2002</v>
      </c>
      <c r="B538" s="19">
        <f>Analysis!B538</f>
        <v>2002.875</v>
      </c>
      <c r="C538" s="19">
        <f>Analysis!E538</f>
        <v>0.58999999999999986</v>
      </c>
      <c r="D538" s="20">
        <f>Analysis!F538</f>
        <v>0.41154246245041559</v>
      </c>
      <c r="E538" s="19">
        <f>IF(ENSO!F538="","",ENSO!F538)</f>
        <v>1.19</v>
      </c>
      <c r="F538" s="25">
        <f>IF(Volcanic!G538="","",Volcanic!G538)</f>
        <v>4.3499999999999997E-3</v>
      </c>
      <c r="G538" s="19">
        <f>IF(Solar!D538="","",Solar!D538)</f>
        <v>1361.37</v>
      </c>
      <c r="H538" s="20">
        <f t="shared" si="58"/>
        <v>0.41154246245041559</v>
      </c>
      <c r="I538" s="20">
        <f t="shared" si="59"/>
        <v>0.5060824113672554</v>
      </c>
      <c r="J538" s="25">
        <f t="shared" si="60"/>
        <v>4.1925997376156317E-3</v>
      </c>
      <c r="K538" s="19">
        <f t="shared" si="61"/>
        <v>1361.5504694703743</v>
      </c>
      <c r="L538" s="20">
        <f t="shared" si="62"/>
        <v>0.63048568132034766</v>
      </c>
      <c r="M538" s="20">
        <f t="shared" si="63"/>
        <v>-4.0485681320347799E-2</v>
      </c>
      <c r="AB538" s="20">
        <f t="shared" si="64"/>
        <v>0.63250053484691626</v>
      </c>
    </row>
    <row r="539" spans="1:28">
      <c r="A539" s="18" t="str">
        <f>Analysis!A539</f>
        <v>12/2002</v>
      </c>
      <c r="B539" s="19">
        <f>Analysis!B539</f>
        <v>2002.9583333333333</v>
      </c>
      <c r="C539" s="19">
        <f>Analysis!E539</f>
        <v>0.44000000000000483</v>
      </c>
      <c r="D539" s="20">
        <f>Analysis!F539</f>
        <v>0.41753429141234943</v>
      </c>
      <c r="E539" s="19">
        <f>IF(ENSO!F539="","",ENSO!F539)</f>
        <v>1.08</v>
      </c>
      <c r="F539" s="25">
        <f>IF(Volcanic!G539="","",Volcanic!G539)</f>
        <v>4.4900000000000001E-3</v>
      </c>
      <c r="G539" s="19">
        <f>IF(Solar!D539="","",Solar!D539)</f>
        <v>1361.8</v>
      </c>
      <c r="H539" s="20">
        <f t="shared" si="58"/>
        <v>0.41753429141234943</v>
      </c>
      <c r="I539" s="20">
        <f t="shared" si="59"/>
        <v>0.59418924962909248</v>
      </c>
      <c r="J539" s="25">
        <f t="shared" si="60"/>
        <v>4.2163785496839665E-3</v>
      </c>
      <c r="K539" s="19">
        <f t="shared" si="61"/>
        <v>1361.5704208299385</v>
      </c>
      <c r="L539" s="20">
        <f t="shared" si="62"/>
        <v>0.65904168552308906</v>
      </c>
      <c r="M539" s="20">
        <f t="shared" si="63"/>
        <v>-0.21904168552308423</v>
      </c>
      <c r="AB539" s="20">
        <f t="shared" si="64"/>
        <v>0.66005165830138635</v>
      </c>
    </row>
    <row r="540" spans="1:28">
      <c r="A540" s="18" t="str">
        <f>Analysis!A540</f>
        <v>1/2003</v>
      </c>
      <c r="B540" s="19">
        <f>Analysis!B540</f>
        <v>2003.0416666666667</v>
      </c>
      <c r="C540" s="19">
        <f>Analysis!E540</f>
        <v>0.75</v>
      </c>
      <c r="D540" s="20">
        <f>Analysis!F540</f>
        <v>0.42173304638074988</v>
      </c>
      <c r="E540" s="19">
        <f>IF(ENSO!F540="","",ENSO!F540)</f>
        <v>0.9</v>
      </c>
      <c r="F540" s="25">
        <f>IF(Volcanic!G540="","",Volcanic!G540)</f>
        <v>4.81E-3</v>
      </c>
      <c r="G540" s="19">
        <f>IF(Solar!D540="","",Solar!D540)</f>
        <v>1361.63</v>
      </c>
      <c r="H540" s="20">
        <f t="shared" si="58"/>
        <v>0.42173304638074988</v>
      </c>
      <c r="I540" s="20">
        <f t="shared" si="59"/>
        <v>0.64113678853594125</v>
      </c>
      <c r="J540" s="25">
        <f t="shared" si="60"/>
        <v>4.2638419002325751E-3</v>
      </c>
      <c r="K540" s="19">
        <f t="shared" si="61"/>
        <v>1361.5751845173565</v>
      </c>
      <c r="L540" s="20">
        <f t="shared" si="62"/>
        <v>0.67686011827658055</v>
      </c>
      <c r="M540" s="20">
        <f t="shared" si="63"/>
        <v>7.3139881723419453E-2</v>
      </c>
      <c r="AB540" s="20">
        <f t="shared" si="64"/>
        <v>0.67729487950139822</v>
      </c>
    </row>
    <row r="541" spans="1:28">
      <c r="A541" s="18" t="str">
        <f>Analysis!A541</f>
        <v>2/2003</v>
      </c>
      <c r="B541" s="19">
        <f>Analysis!B541</f>
        <v>2003.125</v>
      </c>
      <c r="C541" s="19">
        <f>Analysis!E541</f>
        <v>0.58000000000000007</v>
      </c>
      <c r="D541" s="20">
        <f>Analysis!F541</f>
        <v>0.42461501748300506</v>
      </c>
      <c r="E541" s="19">
        <f>IF(ENSO!F541="","",ENSO!F541)</f>
        <v>0.59</v>
      </c>
      <c r="F541" s="25">
        <f>IF(Volcanic!G541="","",Volcanic!G541)</f>
        <v>4.9300000000000004E-3</v>
      </c>
      <c r="G541" s="19">
        <f>IF(Solar!D541="","",Solar!D541)</f>
        <v>1361.59</v>
      </c>
      <c r="H541" s="20">
        <f t="shared" si="58"/>
        <v>0.42461501748300506</v>
      </c>
      <c r="I541" s="20">
        <f t="shared" si="59"/>
        <v>0.63328635696527014</v>
      </c>
      <c r="J541" s="25">
        <f t="shared" si="60"/>
        <v>4.3171049610488971E-3</v>
      </c>
      <c r="K541" s="19">
        <f t="shared" si="61"/>
        <v>1361.5763690979438</v>
      </c>
      <c r="L541" s="20">
        <f t="shared" si="62"/>
        <v>0.68336492046398578</v>
      </c>
      <c r="M541" s="20">
        <f t="shared" si="63"/>
        <v>-0.10336492046398571</v>
      </c>
      <c r="AB541" s="20">
        <f t="shared" si="64"/>
        <v>0.68378392192306658</v>
      </c>
    </row>
    <row r="542" spans="1:28">
      <c r="A542" s="18" t="str">
        <f>Analysis!A542</f>
        <v>3/2003</v>
      </c>
      <c r="B542" s="19">
        <f>Analysis!B542</f>
        <v>2003.2083333333333</v>
      </c>
      <c r="C542" s="19">
        <f>Analysis!E542</f>
        <v>0.60000000000000142</v>
      </c>
      <c r="D542" s="20">
        <f>Analysis!F542</f>
        <v>0.42775939831875309</v>
      </c>
      <c r="E542" s="19">
        <f>IF(ENSO!F542="","",ENSO!F542)</f>
        <v>0.38</v>
      </c>
      <c r="F542" s="25">
        <f>IF(Volcanic!G542="","",Volcanic!G542)</f>
        <v>5.0400000000000002E-3</v>
      </c>
      <c r="G542" s="19">
        <f>IF(Solar!D542="","",Solar!D542)</f>
        <v>1361.13</v>
      </c>
      <c r="H542" s="20">
        <f t="shared" si="58"/>
        <v>0.42775939831875309</v>
      </c>
      <c r="I542" s="20">
        <f t="shared" si="59"/>
        <v>0.59440227233522169</v>
      </c>
      <c r="J542" s="25">
        <f t="shared" si="60"/>
        <v>4.3749044570497901E-3</v>
      </c>
      <c r="K542" s="19">
        <f t="shared" si="61"/>
        <v>1361.5406793954264</v>
      </c>
      <c r="L542" s="20">
        <f t="shared" si="62"/>
        <v>0.68618443549086172</v>
      </c>
      <c r="M542" s="20">
        <f t="shared" si="63"/>
        <v>-8.6184435490860301E-2</v>
      </c>
      <c r="AB542" s="20">
        <f t="shared" si="64"/>
        <v>0.68688058106167993</v>
      </c>
    </row>
    <row r="543" spans="1:28">
      <c r="A543" s="18" t="str">
        <f>Analysis!A543</f>
        <v>4/2003</v>
      </c>
      <c r="B543" s="19">
        <f>Analysis!B543</f>
        <v>2003.2916666666667</v>
      </c>
      <c r="C543" s="19">
        <f>Analysis!E543</f>
        <v>0.54999999999999893</v>
      </c>
      <c r="D543" s="20">
        <f>Analysis!F543</f>
        <v>0.43265404267746627</v>
      </c>
      <c r="E543" s="19">
        <f>IF(ENSO!F543="","",ENSO!F543)</f>
        <v>-0.01</v>
      </c>
      <c r="F543" s="25">
        <f>IF(Volcanic!G543="","",Volcanic!G543)</f>
        <v>4.7200000000000002E-3</v>
      </c>
      <c r="G543" s="19">
        <f>IF(Solar!D543="","",Solar!D543)</f>
        <v>1361.11</v>
      </c>
      <c r="H543" s="20">
        <f t="shared" si="58"/>
        <v>0.43265404267746627</v>
      </c>
      <c r="I543" s="20">
        <f t="shared" si="59"/>
        <v>0.5016154780141252</v>
      </c>
      <c r="J543" s="25">
        <f t="shared" si="60"/>
        <v>4.4024967731951855E-3</v>
      </c>
      <c r="K543" s="19">
        <f t="shared" si="61"/>
        <v>1361.506244172258</v>
      </c>
      <c r="L543" s="20">
        <f t="shared" si="62"/>
        <v>0.68623263872997697</v>
      </c>
      <c r="M543" s="20">
        <f t="shared" si="63"/>
        <v>-0.13623263872997804</v>
      </c>
      <c r="AB543" s="20">
        <f t="shared" si="64"/>
        <v>0.68770274636164275</v>
      </c>
    </row>
    <row r="544" spans="1:28">
      <c r="A544" s="18" t="str">
        <f>Analysis!A544</f>
        <v>5/2003</v>
      </c>
      <c r="B544" s="19">
        <f>Analysis!B544</f>
        <v>2003.375</v>
      </c>
      <c r="C544" s="19">
        <f>Analysis!E544</f>
        <v>0.60000000000000142</v>
      </c>
      <c r="D544" s="20">
        <f>Analysis!F544</f>
        <v>0.43593332976445326</v>
      </c>
      <c r="E544" s="19">
        <f>IF(ENSO!F544="","",ENSO!F544)</f>
        <v>-0.18</v>
      </c>
      <c r="F544" s="25">
        <f>IF(Volcanic!G544="","",Volcanic!G544)</f>
        <v>4.5900000000000003E-3</v>
      </c>
      <c r="G544" s="19">
        <f>IF(Solar!D544="","",Solar!D544)</f>
        <v>1361.08</v>
      </c>
      <c r="H544" s="20">
        <f t="shared" si="58"/>
        <v>0.43593332976445326</v>
      </c>
      <c r="I544" s="20">
        <f t="shared" si="59"/>
        <v>0.39697504554153717</v>
      </c>
      <c r="J544" s="25">
        <f t="shared" si="60"/>
        <v>4.4174887034532546E-3</v>
      </c>
      <c r="K544" s="19">
        <f t="shared" si="61"/>
        <v>1361.4721635699543</v>
      </c>
      <c r="L544" s="20">
        <f t="shared" si="62"/>
        <v>0.68028258317845014</v>
      </c>
      <c r="M544" s="20">
        <f t="shared" si="63"/>
        <v>-8.0282583178448719E-2</v>
      </c>
      <c r="AB544" s="20">
        <f t="shared" si="64"/>
        <v>0.68268503076028186</v>
      </c>
    </row>
    <row r="545" spans="1:28">
      <c r="A545" s="18" t="str">
        <f>Analysis!A545</f>
        <v>6/2003</v>
      </c>
      <c r="B545" s="19">
        <f>Analysis!B545</f>
        <v>2003.4583333333333</v>
      </c>
      <c r="C545" s="19">
        <f>Analysis!E545</f>
        <v>0.47999999999999865</v>
      </c>
      <c r="D545" s="20">
        <f>Analysis!F545</f>
        <v>0.43471400051463627</v>
      </c>
      <c r="E545" s="19">
        <f>IF(ENSO!F545="","",ENSO!F545)</f>
        <v>-0.13</v>
      </c>
      <c r="F545" s="25">
        <f>IF(Volcanic!G545="","",Volcanic!G545)</f>
        <v>4.7400000000000003E-3</v>
      </c>
      <c r="G545" s="19">
        <f>IF(Solar!D545="","",Solar!D545)</f>
        <v>1360.95</v>
      </c>
      <c r="H545" s="20">
        <f t="shared" si="58"/>
        <v>0.43471400051463627</v>
      </c>
      <c r="I545" s="20">
        <f t="shared" si="59"/>
        <v>0.31607474552431031</v>
      </c>
      <c r="J545" s="25">
        <f t="shared" si="60"/>
        <v>4.443275282957306E-3</v>
      </c>
      <c r="K545" s="19">
        <f t="shared" si="61"/>
        <v>1361.4304136760593</v>
      </c>
      <c r="L545" s="20">
        <f t="shared" si="62"/>
        <v>0.66548109758777507</v>
      </c>
      <c r="M545" s="20">
        <f t="shared" si="63"/>
        <v>-0.18548109758777642</v>
      </c>
      <c r="AB545" s="20">
        <f t="shared" si="64"/>
        <v>0.66868455340030519</v>
      </c>
    </row>
    <row r="546" spans="1:28">
      <c r="A546" s="18" t="str">
        <f>Analysis!A546</f>
        <v>7/2003</v>
      </c>
      <c r="B546" s="19">
        <f>Analysis!B546</f>
        <v>2003.5416666666667</v>
      </c>
      <c r="C546" s="19">
        <f>Analysis!E546</f>
        <v>0.58000000000000007</v>
      </c>
      <c r="D546" s="20">
        <f>Analysis!F546</f>
        <v>0.42867840994823009</v>
      </c>
      <c r="E546" s="19">
        <f>IF(ENSO!F546="","",ENSO!F546)</f>
        <v>0.09</v>
      </c>
      <c r="F546" s="25">
        <f>IF(Volcanic!G546="","",Volcanic!G546)</f>
        <v>4.8399999999999997E-3</v>
      </c>
      <c r="G546" s="19">
        <f>IF(Solar!D546="","",Solar!D546)</f>
        <v>1361.1</v>
      </c>
      <c r="H546" s="20">
        <f t="shared" si="58"/>
        <v>0.42867840994823009</v>
      </c>
      <c r="I546" s="20">
        <f t="shared" si="59"/>
        <v>0.28136814054562481</v>
      </c>
      <c r="J546" s="25">
        <f t="shared" si="60"/>
        <v>4.474995639939471E-3</v>
      </c>
      <c r="K546" s="19">
        <f t="shared" si="61"/>
        <v>1361.4039952571757</v>
      </c>
      <c r="L546" s="20">
        <f t="shared" si="62"/>
        <v>0.64415437326864</v>
      </c>
      <c r="M546" s="20">
        <f t="shared" si="63"/>
        <v>-6.415437326863993E-2</v>
      </c>
      <c r="AB546" s="20">
        <f t="shared" si="64"/>
        <v>0.64781928844773129</v>
      </c>
    </row>
    <row r="547" spans="1:28">
      <c r="A547" s="18" t="str">
        <f>Analysis!A547</f>
        <v>8/2003</v>
      </c>
      <c r="B547" s="19">
        <f>Analysis!B547</f>
        <v>2003.625</v>
      </c>
      <c r="C547" s="19">
        <f>Analysis!E547</f>
        <v>0.64000000000000234</v>
      </c>
      <c r="D547" s="20">
        <f>Analysis!F547</f>
        <v>0.41980852893927539</v>
      </c>
      <c r="E547" s="19">
        <f>IF(ENSO!F547="","",ENSO!F547)</f>
        <v>0.14000000000000001</v>
      </c>
      <c r="F547" s="25">
        <f>IF(Volcanic!G547="","",Volcanic!G547)</f>
        <v>5.0499999999999998E-3</v>
      </c>
      <c r="G547" s="19">
        <f>IF(Solar!D547="","",Solar!D547)</f>
        <v>1361.17</v>
      </c>
      <c r="H547" s="20">
        <f t="shared" si="58"/>
        <v>0.41980852893927539</v>
      </c>
      <c r="I547" s="20">
        <f t="shared" si="59"/>
        <v>0.25966554745363923</v>
      </c>
      <c r="J547" s="25">
        <f t="shared" si="60"/>
        <v>4.5209704501388021E-3</v>
      </c>
      <c r="K547" s="19">
        <f t="shared" si="61"/>
        <v>1361.3852860294141</v>
      </c>
      <c r="L547" s="20">
        <f t="shared" si="62"/>
        <v>0.61695001687959106</v>
      </c>
      <c r="M547" s="20">
        <f t="shared" si="63"/>
        <v>2.3049983120411288E-2</v>
      </c>
      <c r="AB547" s="20">
        <f t="shared" si="64"/>
        <v>0.62100906994631044</v>
      </c>
    </row>
    <row r="548" spans="1:28">
      <c r="A548" s="18" t="str">
        <f>Analysis!A548</f>
        <v>9/2003</v>
      </c>
      <c r="B548" s="19">
        <f>Analysis!B548</f>
        <v>2003.7083333333333</v>
      </c>
      <c r="C548" s="19">
        <f>Analysis!E548</f>
        <v>0.62000000000000099</v>
      </c>
      <c r="D548" s="20">
        <f>Analysis!F548</f>
        <v>0.41506326146026928</v>
      </c>
      <c r="E548" s="19">
        <f>IF(ENSO!F548="","",ENSO!F548)</f>
        <v>0.23</v>
      </c>
      <c r="F548" s="25">
        <f>IF(Volcanic!G548="","",Volcanic!G548)</f>
        <v>5.13E-3</v>
      </c>
      <c r="G548" s="19">
        <f>IF(Solar!D548="","",Solar!D548)</f>
        <v>1361.28</v>
      </c>
      <c r="H548" s="20">
        <f t="shared" si="58"/>
        <v>0.41506326146026928</v>
      </c>
      <c r="I548" s="20">
        <f t="shared" si="59"/>
        <v>0.25511134377838091</v>
      </c>
      <c r="J548" s="25">
        <f t="shared" si="60"/>
        <v>4.569665764305994E-3</v>
      </c>
      <c r="K548" s="19">
        <f t="shared" si="61"/>
        <v>1361.3768678233009</v>
      </c>
      <c r="L548" s="20">
        <f t="shared" si="62"/>
        <v>0.60331010149512732</v>
      </c>
      <c r="M548" s="20">
        <f t="shared" si="63"/>
        <v>1.6689898504873679E-2</v>
      </c>
      <c r="AB548" s="20">
        <f t="shared" si="64"/>
        <v>0.6075001316639026</v>
      </c>
    </row>
    <row r="549" spans="1:28">
      <c r="A549" s="18" t="str">
        <f>Analysis!A549</f>
        <v>10/2003</v>
      </c>
      <c r="B549" s="19">
        <f>Analysis!B549</f>
        <v>2003.7916666666667</v>
      </c>
      <c r="C549" s="19">
        <f>Analysis!E549</f>
        <v>0.72000000000000242</v>
      </c>
      <c r="D549" s="20">
        <f>Analysis!F549</f>
        <v>0.41494732802090711</v>
      </c>
      <c r="E549" s="19">
        <f>IF(ENSO!F549="","",ENSO!F549)</f>
        <v>0.23</v>
      </c>
      <c r="F549" s="25">
        <f>IF(Volcanic!G549="","",Volcanic!G549)</f>
        <v>5.1599999999999997E-3</v>
      </c>
      <c r="G549" s="19">
        <f>IF(Solar!D549="","",Solar!D549)</f>
        <v>1360.31</v>
      </c>
      <c r="H549" s="20">
        <f t="shared" si="58"/>
        <v>0.41494732802090711</v>
      </c>
      <c r="I549" s="20">
        <f t="shared" si="59"/>
        <v>0.25125629359584506</v>
      </c>
      <c r="J549" s="25">
        <f t="shared" si="60"/>
        <v>4.6168662836852592E-3</v>
      </c>
      <c r="K549" s="19">
        <f t="shared" si="61"/>
        <v>1361.2915657819758</v>
      </c>
      <c r="L549" s="20">
        <f t="shared" si="62"/>
        <v>0.60229244682990524</v>
      </c>
      <c r="M549" s="20">
        <f t="shared" si="63"/>
        <v>0.11770755317009718</v>
      </c>
      <c r="AB549" s="20">
        <f t="shared" si="64"/>
        <v>0.60650021646153573</v>
      </c>
    </row>
    <row r="550" spans="1:28">
      <c r="A550" s="18" t="str">
        <f>Analysis!A550</f>
        <v>11/2003</v>
      </c>
      <c r="B550" s="19">
        <f>Analysis!B550</f>
        <v>2003.875</v>
      </c>
      <c r="C550" s="19">
        <f>Analysis!E550</f>
        <v>0.52999999999999758</v>
      </c>
      <c r="D550" s="20">
        <f>Analysis!F550</f>
        <v>0.42084808719949091</v>
      </c>
      <c r="E550" s="19">
        <f>IF(ENSO!F550="","",ENSO!F550)</f>
        <v>0.28999999999999998</v>
      </c>
      <c r="F550" s="25">
        <f>IF(Volcanic!G550="","",Volcanic!G550)</f>
        <v>5.0000000000000001E-3</v>
      </c>
      <c r="G550" s="19">
        <f>IF(Solar!D550="","",Solar!D550)</f>
        <v>1361.06</v>
      </c>
      <c r="H550" s="20">
        <f t="shared" si="58"/>
        <v>0.42084808719949091</v>
      </c>
      <c r="I550" s="20">
        <f t="shared" si="59"/>
        <v>0.25720416057435541</v>
      </c>
      <c r="J550" s="25">
        <f t="shared" si="60"/>
        <v>4.647499964248447E-3</v>
      </c>
      <c r="K550" s="19">
        <f t="shared" si="61"/>
        <v>1361.273050804326</v>
      </c>
      <c r="L550" s="20">
        <f t="shared" si="62"/>
        <v>0.61898457392966566</v>
      </c>
      <c r="M550" s="20">
        <f t="shared" si="63"/>
        <v>-8.8984573929668076E-2</v>
      </c>
      <c r="AB550" s="20">
        <f t="shared" si="64"/>
        <v>0.62298353149644314</v>
      </c>
    </row>
    <row r="551" spans="1:28">
      <c r="A551" s="18" t="str">
        <f>Analysis!A551</f>
        <v>12/2003</v>
      </c>
      <c r="B551" s="19">
        <f>Analysis!B551</f>
        <v>2003.9583333333333</v>
      </c>
      <c r="C551" s="19">
        <f>Analysis!E551</f>
        <v>0.75</v>
      </c>
      <c r="D551" s="20">
        <f>Analysis!F551</f>
        <v>0.42595796965197702</v>
      </c>
      <c r="E551" s="19">
        <f>IF(ENSO!F551="","",ENSO!F551)</f>
        <v>0.28999999999999998</v>
      </c>
      <c r="F551" s="25">
        <f>IF(Volcanic!G551="","",Volcanic!G551)</f>
        <v>4.7699999999999999E-3</v>
      </c>
      <c r="G551" s="19">
        <f>IF(Solar!D551="","",Solar!D551)</f>
        <v>1361.18</v>
      </c>
      <c r="H551" s="20">
        <f t="shared" si="58"/>
        <v>0.42595796965197702</v>
      </c>
      <c r="I551" s="20">
        <f t="shared" si="59"/>
        <v>0.26223892127374476</v>
      </c>
      <c r="J551" s="25">
        <f t="shared" si="60"/>
        <v>4.6572945263148912E-3</v>
      </c>
      <c r="K551" s="19">
        <f t="shared" si="61"/>
        <v>1361.2656108727967</v>
      </c>
      <c r="L551" s="20">
        <f t="shared" si="62"/>
        <v>0.63347986850638527</v>
      </c>
      <c r="M551" s="20">
        <f t="shared" si="63"/>
        <v>0.11652013149361473</v>
      </c>
      <c r="AB551" s="20">
        <f t="shared" si="64"/>
        <v>0.63730704939901495</v>
      </c>
    </row>
    <row r="552" spans="1:28">
      <c r="A552" s="18" t="str">
        <f>Analysis!A552</f>
        <v>1/2004</v>
      </c>
      <c r="B552" s="19">
        <f>Analysis!B552</f>
        <v>2004.0416666666667</v>
      </c>
      <c r="C552" s="19">
        <f>Analysis!E552</f>
        <v>0.58000000000000007</v>
      </c>
      <c r="D552" s="20">
        <f>Analysis!F552</f>
        <v>0.42978810183201854</v>
      </c>
      <c r="E552" s="19">
        <f>IF(ENSO!F552="","",ENSO!F552)</f>
        <v>0.34</v>
      </c>
      <c r="F552" s="25">
        <f>IF(Volcanic!G552="","",Volcanic!G552)</f>
        <v>4.6600000000000001E-3</v>
      </c>
      <c r="G552" s="19">
        <f>IF(Solar!D552="","",Solar!D552)</f>
        <v>1360.99</v>
      </c>
      <c r="H552" s="20">
        <f t="shared" si="58"/>
        <v>0.42978810183201854</v>
      </c>
      <c r="I552" s="20">
        <f t="shared" si="59"/>
        <v>0.2741766679504446</v>
      </c>
      <c r="J552" s="25">
        <f t="shared" si="60"/>
        <v>4.6575108440470893E-3</v>
      </c>
      <c r="K552" s="19">
        <f t="shared" si="61"/>
        <v>1361.2435742441276</v>
      </c>
      <c r="L552" s="20">
        <f t="shared" si="62"/>
        <v>0.64552114486733314</v>
      </c>
      <c r="M552" s="20">
        <f t="shared" si="63"/>
        <v>-6.552114486733307E-2</v>
      </c>
      <c r="AB552" s="20">
        <f t="shared" si="64"/>
        <v>0.64914372753303806</v>
      </c>
    </row>
    <row r="553" spans="1:28">
      <c r="A553" s="18" t="str">
        <f>Analysis!A553</f>
        <v>2/2004</v>
      </c>
      <c r="B553" s="19">
        <f>Analysis!B553</f>
        <v>2004.125</v>
      </c>
      <c r="C553" s="19">
        <f>Analysis!E553</f>
        <v>0.72000000000000242</v>
      </c>
      <c r="D553" s="20">
        <f>Analysis!F553</f>
        <v>0.43315022733337655</v>
      </c>
      <c r="E553" s="19">
        <f>IF(ENSO!F553="","",ENSO!F553)</f>
        <v>0.27</v>
      </c>
      <c r="F553" s="25">
        <f>IF(Volcanic!G553="","",Volcanic!G553)</f>
        <v>4.4600000000000004E-3</v>
      </c>
      <c r="G553" s="19">
        <f>IF(Solar!D553="","",Solar!D553)</f>
        <v>1360.99</v>
      </c>
      <c r="H553" s="20">
        <f t="shared" si="58"/>
        <v>0.43315022733337655</v>
      </c>
      <c r="I553" s="20">
        <f t="shared" si="59"/>
        <v>0.27353547309098769</v>
      </c>
      <c r="J553" s="25">
        <f t="shared" si="60"/>
        <v>4.6417187488942482E-3</v>
      </c>
      <c r="K553" s="19">
        <f t="shared" si="61"/>
        <v>1361.2232995670033</v>
      </c>
      <c r="L553" s="20">
        <f t="shared" si="62"/>
        <v>0.65457600383604808</v>
      </c>
      <c r="M553" s="20">
        <f t="shared" si="63"/>
        <v>6.5423996163954334E-2</v>
      </c>
      <c r="AB553" s="20">
        <f t="shared" si="64"/>
        <v>0.65813445845883223</v>
      </c>
    </row>
    <row r="554" spans="1:28">
      <c r="A554" s="18" t="str">
        <f>Analysis!A554</f>
        <v>3/2004</v>
      </c>
      <c r="B554" s="19">
        <f>Analysis!B554</f>
        <v>2004.2083333333333</v>
      </c>
      <c r="C554" s="19">
        <f>Analysis!E554</f>
        <v>0.63000000000000256</v>
      </c>
      <c r="D554" s="20">
        <f>Analysis!F554</f>
        <v>0.4369993981425544</v>
      </c>
      <c r="E554" s="19">
        <f>IF(ENSO!F554="","",ENSO!F554)</f>
        <v>0.19</v>
      </c>
      <c r="F554" s="25">
        <f>IF(Volcanic!G554="","",Volcanic!G554)</f>
        <v>4.3200000000000001E-3</v>
      </c>
      <c r="G554" s="19">
        <f>IF(Solar!D554="","",Solar!D554)</f>
        <v>1361.02</v>
      </c>
      <c r="H554" s="20">
        <f t="shared" si="58"/>
        <v>0.4369993981425544</v>
      </c>
      <c r="I554" s="20">
        <f t="shared" si="59"/>
        <v>0.26071125135161277</v>
      </c>
      <c r="J554" s="25">
        <f t="shared" si="60"/>
        <v>4.6159955380016869E-3</v>
      </c>
      <c r="K554" s="19">
        <f t="shared" si="61"/>
        <v>1361.2070446311179</v>
      </c>
      <c r="L554" s="20">
        <f t="shared" si="62"/>
        <v>0.66326232750005065</v>
      </c>
      <c r="M554" s="20">
        <f t="shared" si="63"/>
        <v>-3.3262327500048094E-2</v>
      </c>
      <c r="AB554" s="20">
        <f t="shared" si="64"/>
        <v>0.66686829699528538</v>
      </c>
    </row>
    <row r="555" spans="1:28">
      <c r="A555" s="18" t="str">
        <f>Analysis!A555</f>
        <v>4/2004</v>
      </c>
      <c r="B555" s="19">
        <f>Analysis!B555</f>
        <v>2004.2916666666667</v>
      </c>
      <c r="C555" s="19">
        <f>Analysis!E555</f>
        <v>0.61000000000000121</v>
      </c>
      <c r="D555" s="20">
        <f>Analysis!F555</f>
        <v>0.44262128166655951</v>
      </c>
      <c r="E555" s="19">
        <f>IF(ENSO!F555="","",ENSO!F555)</f>
        <v>0.1</v>
      </c>
      <c r="F555" s="25">
        <f>IF(Volcanic!G555="","",Volcanic!G555)</f>
        <v>4.3E-3</v>
      </c>
      <c r="G555" s="19">
        <f>IF(Solar!D555="","",Solar!D555)</f>
        <v>1361.06</v>
      </c>
      <c r="H555" s="20">
        <f t="shared" si="58"/>
        <v>0.44262128166655951</v>
      </c>
      <c r="I555" s="20">
        <f t="shared" si="59"/>
        <v>0.23603913725344222</v>
      </c>
      <c r="J555" s="25">
        <f t="shared" si="60"/>
        <v>4.5907299297862402E-3</v>
      </c>
      <c r="K555" s="19">
        <f t="shared" si="61"/>
        <v>1361.1952875915613</v>
      </c>
      <c r="L555" s="20">
        <f t="shared" si="62"/>
        <v>0.67506883623429492</v>
      </c>
      <c r="M555" s="20">
        <f t="shared" si="63"/>
        <v>-6.5068836234293714E-2</v>
      </c>
      <c r="AB555" s="20">
        <f t="shared" si="64"/>
        <v>0.67879603124833332</v>
      </c>
    </row>
    <row r="556" spans="1:28">
      <c r="A556" s="18" t="str">
        <f>Analysis!A556</f>
        <v>5/2004</v>
      </c>
      <c r="B556" s="19">
        <f>Analysis!B556</f>
        <v>2004.375</v>
      </c>
      <c r="C556" s="19">
        <f>Analysis!E556</f>
        <v>0.36999999999999744</v>
      </c>
      <c r="D556" s="20">
        <f>Analysis!F556</f>
        <v>0.44360665147561484</v>
      </c>
      <c r="E556" s="19">
        <f>IF(ENSO!F556="","",ENSO!F556)</f>
        <v>0.12</v>
      </c>
      <c r="F556" s="25">
        <f>IF(Volcanic!G556="","",Volcanic!G556)</f>
        <v>4.1999999999999997E-3</v>
      </c>
      <c r="G556" s="19">
        <f>IF(Solar!D556="","",Solar!D556)</f>
        <v>1360.9</v>
      </c>
      <c r="H556" s="20">
        <f t="shared" si="58"/>
        <v>0.44360665147561484</v>
      </c>
      <c r="I556" s="20">
        <f t="shared" si="59"/>
        <v>0.21822500905711251</v>
      </c>
      <c r="J556" s="25">
        <f t="shared" si="60"/>
        <v>4.5594888895283386E-3</v>
      </c>
      <c r="K556" s="19">
        <f t="shared" si="61"/>
        <v>1361.1716776993253</v>
      </c>
      <c r="L556" s="20">
        <f t="shared" si="62"/>
        <v>0.67532548188669628</v>
      </c>
      <c r="M556" s="20">
        <f t="shared" si="63"/>
        <v>-0.30532548188669884</v>
      </c>
      <c r="AB556" s="20">
        <f t="shared" si="64"/>
        <v>0.67921751501076422</v>
      </c>
    </row>
    <row r="557" spans="1:28">
      <c r="A557" s="18" t="str">
        <f>Analysis!A557</f>
        <v>6/2004</v>
      </c>
      <c r="B557" s="19">
        <f>Analysis!B557</f>
        <v>2004.4583333333333</v>
      </c>
      <c r="C557" s="19">
        <f>Analysis!E557</f>
        <v>0.44000000000000483</v>
      </c>
      <c r="D557" s="20">
        <f>Analysis!F557</f>
        <v>0.44007895337646558</v>
      </c>
      <c r="E557" s="19">
        <f>IF(ENSO!F557="","",ENSO!F557)</f>
        <v>0.22</v>
      </c>
      <c r="F557" s="25">
        <f>IF(Volcanic!G557="","",Volcanic!G557)</f>
        <v>4.1399999999999996E-3</v>
      </c>
      <c r="G557" s="19">
        <f>IF(Solar!D557="","",Solar!D557)</f>
        <v>1360.93</v>
      </c>
      <c r="H557" s="20">
        <f t="shared" si="58"/>
        <v>0.44007895337646558</v>
      </c>
      <c r="I557" s="20">
        <f t="shared" si="59"/>
        <v>0.21849750260499937</v>
      </c>
      <c r="J557" s="25">
        <f t="shared" si="60"/>
        <v>4.5259484098096056E-3</v>
      </c>
      <c r="K557" s="19">
        <f t="shared" si="61"/>
        <v>1361.1523542174045</v>
      </c>
      <c r="L557" s="20">
        <f t="shared" si="62"/>
        <v>0.66593820909048085</v>
      </c>
      <c r="M557" s="20">
        <f t="shared" si="63"/>
        <v>-0.22593820909047602</v>
      </c>
      <c r="AB557" s="20">
        <f t="shared" si="64"/>
        <v>0.66992514076103038</v>
      </c>
    </row>
    <row r="558" spans="1:28">
      <c r="A558" s="18" t="str">
        <f>Analysis!A558</f>
        <v>7/2004</v>
      </c>
      <c r="B558" s="19">
        <f>Analysis!B558</f>
        <v>2004.5416666666667</v>
      </c>
      <c r="C558" s="19">
        <f>Analysis!E558</f>
        <v>0.25999999999999979</v>
      </c>
      <c r="D558" s="20">
        <f>Analysis!F558</f>
        <v>0.43162295971329212</v>
      </c>
      <c r="E558" s="19">
        <f>IF(ENSO!F558="","",ENSO!F558)</f>
        <v>0.39</v>
      </c>
      <c r="F558" s="25">
        <f>IF(Volcanic!G558="","",Volcanic!G558)</f>
        <v>4.1799999999999997E-3</v>
      </c>
      <c r="G558" s="19">
        <f>IF(Solar!D558="","",Solar!D558)</f>
        <v>1360.53</v>
      </c>
      <c r="H558" s="20">
        <f t="shared" si="58"/>
        <v>0.43162295971329212</v>
      </c>
      <c r="I558" s="20">
        <f t="shared" si="59"/>
        <v>0.24482627018203179</v>
      </c>
      <c r="J558" s="25">
        <f t="shared" si="60"/>
        <v>4.498287902195224E-3</v>
      </c>
      <c r="K558" s="19">
        <f t="shared" si="61"/>
        <v>1361.1025935216439</v>
      </c>
      <c r="L558" s="20">
        <f t="shared" si="62"/>
        <v>0.64688110748158023</v>
      </c>
      <c r="M558" s="20">
        <f t="shared" si="63"/>
        <v>-0.38688110748158044</v>
      </c>
      <c r="AB558" s="20">
        <f t="shared" si="64"/>
        <v>0.65082140553246515</v>
      </c>
    </row>
    <row r="559" spans="1:28">
      <c r="A559" s="18" t="str">
        <f>Analysis!A559</f>
        <v>8/2004</v>
      </c>
      <c r="B559" s="19">
        <f>Analysis!B559</f>
        <v>2004.625</v>
      </c>
      <c r="C559" s="19">
        <f>Analysis!E559</f>
        <v>0.44999999999999751</v>
      </c>
      <c r="D559" s="20">
        <f>Analysis!F559</f>
        <v>0.42595796965197702</v>
      </c>
      <c r="E559" s="19">
        <f>IF(ENSO!F559="","",ENSO!F559)</f>
        <v>0.54</v>
      </c>
      <c r="F559" s="25">
        <f>IF(Volcanic!G559="","",Volcanic!G559)</f>
        <v>4.2700000000000004E-3</v>
      </c>
      <c r="G559" s="19">
        <f>IF(Solar!D559="","",Solar!D559)</f>
        <v>1360.71</v>
      </c>
      <c r="H559" s="20">
        <f t="shared" si="58"/>
        <v>0.42595796965197702</v>
      </c>
      <c r="I559" s="20">
        <f t="shared" si="59"/>
        <v>0.29014083204129015</v>
      </c>
      <c r="J559" s="25">
        <f t="shared" si="60"/>
        <v>4.480035009342161E-3</v>
      </c>
      <c r="K559" s="19">
        <f t="shared" si="61"/>
        <v>1361.071203476808</v>
      </c>
      <c r="L559" s="20">
        <f t="shared" si="62"/>
        <v>0.63801874478761311</v>
      </c>
      <c r="M559" s="20">
        <f t="shared" si="63"/>
        <v>-0.1880187447876156</v>
      </c>
      <c r="AB559" s="20">
        <f t="shared" si="64"/>
        <v>0.64165912404288217</v>
      </c>
    </row>
    <row r="560" spans="1:28">
      <c r="A560" s="18" t="str">
        <f>Analysis!A560</f>
        <v>9/2004</v>
      </c>
      <c r="B560" s="19">
        <f>Analysis!B560</f>
        <v>2004.7083333333333</v>
      </c>
      <c r="C560" s="19">
        <f>Analysis!E560</f>
        <v>0.5</v>
      </c>
      <c r="D560" s="20">
        <f>Analysis!F560</f>
        <v>0.41926920368406412</v>
      </c>
      <c r="E560" s="19">
        <f>IF(ENSO!F560="","",ENSO!F560)</f>
        <v>0.57999999999999996</v>
      </c>
      <c r="F560" s="25">
        <f>IF(Volcanic!G560="","",Volcanic!G560)</f>
        <v>4.4299999999999999E-3</v>
      </c>
      <c r="G560" s="19">
        <f>IF(Solar!D560="","",Solar!D560)</f>
        <v>1360.98</v>
      </c>
      <c r="H560" s="20">
        <f t="shared" si="58"/>
        <v>0.41926920368406412</v>
      </c>
      <c r="I560" s="20">
        <f t="shared" si="59"/>
        <v>0.33463951153095306</v>
      </c>
      <c r="J560" s="25">
        <f t="shared" si="60"/>
        <v>4.4760344308811808E-3</v>
      </c>
      <c r="K560" s="19">
        <f t="shared" si="61"/>
        <v>1361.0639112494321</v>
      </c>
      <c r="L560" s="20">
        <f t="shared" si="62"/>
        <v>0.62622442657824895</v>
      </c>
      <c r="M560" s="20">
        <f t="shared" si="63"/>
        <v>-0.12622442657824895</v>
      </c>
      <c r="AB560" s="20">
        <f t="shared" si="64"/>
        <v>0.62958975362147851</v>
      </c>
    </row>
    <row r="561" spans="1:28">
      <c r="A561" s="18" t="str">
        <f>Analysis!A561</f>
        <v>10/2004</v>
      </c>
      <c r="B561" s="19">
        <f>Analysis!B561</f>
        <v>2004.7916666666667</v>
      </c>
      <c r="C561" s="19">
        <f>Analysis!E561</f>
        <v>0.61000000000000121</v>
      </c>
      <c r="D561" s="20">
        <f>Analysis!F561</f>
        <v>0.42003960662918038</v>
      </c>
      <c r="E561" s="19">
        <f>IF(ENSO!F561="","",ENSO!F561)</f>
        <v>0.61</v>
      </c>
      <c r="F561" s="25">
        <f>IF(Volcanic!G561="","",Volcanic!G561)</f>
        <v>4.3099999999999996E-3</v>
      </c>
      <c r="G561" s="19">
        <f>IF(Solar!D561="","",Solar!D561)</f>
        <v>1360.97</v>
      </c>
      <c r="H561" s="20">
        <f t="shared" si="58"/>
        <v>0.42003960662918038</v>
      </c>
      <c r="I561" s="20">
        <f t="shared" si="59"/>
        <v>0.37691237875399908</v>
      </c>
      <c r="J561" s="25">
        <f t="shared" si="60"/>
        <v>4.4627590507683897E-3</v>
      </c>
      <c r="K561" s="19">
        <f t="shared" si="61"/>
        <v>1361.0564025205108</v>
      </c>
      <c r="L561" s="20">
        <f t="shared" si="62"/>
        <v>0.6343183535826491</v>
      </c>
      <c r="M561" s="20">
        <f t="shared" si="63"/>
        <v>-2.4318353582647889E-2</v>
      </c>
      <c r="AB561" s="20">
        <f t="shared" si="64"/>
        <v>0.63726195038870714</v>
      </c>
    </row>
    <row r="562" spans="1:28">
      <c r="A562" s="18" t="str">
        <f>Analysis!A562</f>
        <v>11/2004</v>
      </c>
      <c r="B562" s="19">
        <f>Analysis!B562</f>
        <v>2004.875</v>
      </c>
      <c r="C562" s="19">
        <f>Analysis!E562</f>
        <v>0.7300000000000022</v>
      </c>
      <c r="D562" s="20">
        <f>Analysis!F562</f>
        <v>0.42657147452910854</v>
      </c>
      <c r="E562" s="19">
        <f>IF(ENSO!F562="","",ENSO!F562)</f>
        <v>0.64</v>
      </c>
      <c r="F562" s="25">
        <f>IF(Volcanic!G562="","",Volcanic!G562)</f>
        <v>4.4000000000000003E-3</v>
      </c>
      <c r="G562" s="19">
        <f>IF(Solar!D562="","",Solar!D562)</f>
        <v>1360.88</v>
      </c>
      <c r="H562" s="20">
        <f t="shared" si="58"/>
        <v>0.42657147452910854</v>
      </c>
      <c r="I562" s="20">
        <f t="shared" si="59"/>
        <v>0.41730113657031653</v>
      </c>
      <c r="J562" s="25">
        <f t="shared" si="60"/>
        <v>4.4577411141268949E-3</v>
      </c>
      <c r="K562" s="19">
        <f t="shared" si="61"/>
        <v>1361.0422981537224</v>
      </c>
      <c r="L562" s="20">
        <f t="shared" si="62"/>
        <v>0.65769838438512063</v>
      </c>
      <c r="M562" s="20">
        <f t="shared" si="63"/>
        <v>7.2301615614881576E-2</v>
      </c>
      <c r="AB562" s="20">
        <f t="shared" si="64"/>
        <v>0.66010125440062195</v>
      </c>
    </row>
    <row r="563" spans="1:28">
      <c r="A563" s="18" t="str">
        <f>Analysis!A563</f>
        <v>12/2004</v>
      </c>
      <c r="B563" s="19">
        <f>Analysis!B563</f>
        <v>2004.9583333333333</v>
      </c>
      <c r="C563" s="19">
        <f>Analysis!E563</f>
        <v>0.50999999999999801</v>
      </c>
      <c r="D563" s="20">
        <f>Analysis!F563</f>
        <v>0.43173756088430215</v>
      </c>
      <c r="E563" s="19">
        <f>IF(ENSO!F563="","",ENSO!F563)</f>
        <v>0.71</v>
      </c>
      <c r="F563" s="25">
        <f>IF(Volcanic!G563="","",Volcanic!G563)</f>
        <v>4.5500000000000002E-3</v>
      </c>
      <c r="G563" s="19">
        <f>IF(Solar!D563="","",Solar!D563)</f>
        <v>1361.07</v>
      </c>
      <c r="H563" s="20">
        <f t="shared" si="58"/>
        <v>0.43173756088430215</v>
      </c>
      <c r="I563" s="20">
        <f t="shared" si="59"/>
        <v>0.46223576121051924</v>
      </c>
      <c r="J563" s="25">
        <f t="shared" si="60"/>
        <v>4.4651177273525256E-3</v>
      </c>
      <c r="K563" s="19">
        <f t="shared" si="61"/>
        <v>1361.0445130710573</v>
      </c>
      <c r="L563" s="20">
        <f t="shared" si="62"/>
        <v>0.6779845744521954</v>
      </c>
      <c r="M563" s="20">
        <f t="shared" si="63"/>
        <v>-0.16798457445219739</v>
      </c>
      <c r="AB563" s="20">
        <f t="shared" si="64"/>
        <v>0.67982835459389879</v>
      </c>
    </row>
    <row r="564" spans="1:28">
      <c r="A564" s="18" t="str">
        <f>Analysis!A564</f>
        <v>1/2005</v>
      </c>
      <c r="B564" s="19">
        <f>Analysis!B564</f>
        <v>2005.0416666666667</v>
      </c>
      <c r="C564" s="19">
        <f>Analysis!E564</f>
        <v>0.75</v>
      </c>
      <c r="D564" s="20">
        <f>Analysis!F564</f>
        <v>0.43536189749141069</v>
      </c>
      <c r="E564" s="19">
        <f>IF(ENSO!F564="","",ENSO!F564)</f>
        <v>0.62</v>
      </c>
      <c r="F564" s="25">
        <f>IF(Volcanic!G564="","",Volcanic!G564)</f>
        <v>4.7099999999999998E-3</v>
      </c>
      <c r="G564" s="19">
        <f>IF(Solar!D564="","",Solar!D564)</f>
        <v>1360.62</v>
      </c>
      <c r="H564" s="20">
        <f t="shared" si="58"/>
        <v>0.43536189749141069</v>
      </c>
      <c r="I564" s="20">
        <f t="shared" si="59"/>
        <v>0.48645545502342558</v>
      </c>
      <c r="J564" s="25">
        <f t="shared" si="60"/>
        <v>4.4846974328089555E-3</v>
      </c>
      <c r="K564" s="19">
        <f t="shared" si="61"/>
        <v>1361.0105708799633</v>
      </c>
      <c r="L564" s="20">
        <f t="shared" si="62"/>
        <v>0.69113689621442653</v>
      </c>
      <c r="M564" s="20">
        <f t="shared" si="63"/>
        <v>5.8863103785573467E-2</v>
      </c>
      <c r="AB564" s="20">
        <f t="shared" si="64"/>
        <v>0.69265249849123645</v>
      </c>
    </row>
    <row r="565" spans="1:28">
      <c r="A565" s="18" t="str">
        <f>Analysis!A565</f>
        <v>2/2005</v>
      </c>
      <c r="B565" s="19">
        <f>Analysis!B565</f>
        <v>2005.125</v>
      </c>
      <c r="C565" s="19">
        <f>Analysis!E565</f>
        <v>0.60000000000000142</v>
      </c>
      <c r="D565" s="20">
        <f>Analysis!F565</f>
        <v>0.4402308599854548</v>
      </c>
      <c r="E565" s="19">
        <f>IF(ENSO!F565="","",ENSO!F565)</f>
        <v>0.55000000000000004</v>
      </c>
      <c r="F565" s="25">
        <f>IF(Volcanic!G565="","",Volcanic!G565)</f>
        <v>4.8799999999999998E-3</v>
      </c>
      <c r="G565" s="19">
        <f>IF(Solar!D565="","",Solar!D565)</f>
        <v>1360.8</v>
      </c>
      <c r="H565" s="20">
        <f t="shared" si="58"/>
        <v>0.4402308599854548</v>
      </c>
      <c r="I565" s="20">
        <f t="shared" si="59"/>
        <v>0.4962107039608401</v>
      </c>
      <c r="J565" s="25">
        <f t="shared" si="60"/>
        <v>4.5163040809672464E-3</v>
      </c>
      <c r="K565" s="19">
        <f t="shared" si="61"/>
        <v>1360.993734561994</v>
      </c>
      <c r="L565" s="20">
        <f t="shared" si="62"/>
        <v>0.70557286636814587</v>
      </c>
      <c r="M565" s="20">
        <f t="shared" si="63"/>
        <v>-0.10557286636814445</v>
      </c>
      <c r="AB565" s="20">
        <f t="shared" si="64"/>
        <v>0.70686613637959406</v>
      </c>
    </row>
    <row r="566" spans="1:28">
      <c r="A566" s="18" t="str">
        <f>Analysis!A566</f>
        <v>3/2005</v>
      </c>
      <c r="B566" s="19">
        <f>Analysis!B566</f>
        <v>2005.2083333333333</v>
      </c>
      <c r="C566" s="19">
        <f>Analysis!E566</f>
        <v>0.73999999999999666</v>
      </c>
      <c r="D566" s="20">
        <f>Analysis!F566</f>
        <v>0.44417482806617692</v>
      </c>
      <c r="E566" s="19">
        <f>IF(ENSO!F566="","",ENSO!F566)</f>
        <v>0.4</v>
      </c>
      <c r="F566" s="25">
        <f>IF(Volcanic!G566="","",Volcanic!G566)</f>
        <v>5.5399999999999998E-3</v>
      </c>
      <c r="G566" s="19">
        <f>IF(Solar!D566="","",Solar!D566)</f>
        <v>1360.75</v>
      </c>
      <c r="H566" s="20">
        <f t="shared" si="58"/>
        <v>0.44417482806617692</v>
      </c>
      <c r="I566" s="20">
        <f t="shared" si="59"/>
        <v>0.48144060264171218</v>
      </c>
      <c r="J566" s="25">
        <f t="shared" si="60"/>
        <v>4.5981542874150832E-3</v>
      </c>
      <c r="K566" s="19">
        <f t="shared" si="61"/>
        <v>1360.9742466224147</v>
      </c>
      <c r="L566" s="20">
        <f t="shared" si="62"/>
        <v>0.71387600416341057</v>
      </c>
      <c r="M566" s="20">
        <f t="shared" si="63"/>
        <v>2.6123995836586089E-2</v>
      </c>
      <c r="AB566" s="20">
        <f t="shared" si="64"/>
        <v>0.71518253729630821</v>
      </c>
    </row>
    <row r="567" spans="1:28">
      <c r="A567" s="18" t="str">
        <f>Analysis!A567</f>
        <v>4/2005</v>
      </c>
      <c r="B567" s="19">
        <f>Analysis!B567</f>
        <v>2005.2916666666667</v>
      </c>
      <c r="C567" s="19">
        <f>Analysis!E567</f>
        <v>0.66999999999999993</v>
      </c>
      <c r="D567" s="20">
        <f>Analysis!F567</f>
        <v>0.44995748362800358</v>
      </c>
      <c r="E567" s="19">
        <f>IF(ENSO!F567="","",ENSO!F567)</f>
        <v>0.37</v>
      </c>
      <c r="F567" s="25">
        <f>IF(Volcanic!G567="","",Volcanic!G567)</f>
        <v>5.6699999999999997E-3</v>
      </c>
      <c r="G567" s="19">
        <f>IF(Solar!D567="","",Solar!D567)</f>
        <v>1360.72</v>
      </c>
      <c r="H567" s="20">
        <f t="shared" si="58"/>
        <v>0.44995748362800358</v>
      </c>
      <c r="I567" s="20">
        <f t="shared" si="59"/>
        <v>0.46433243354700604</v>
      </c>
      <c r="J567" s="25">
        <f t="shared" si="60"/>
        <v>4.6838543387918603E-3</v>
      </c>
      <c r="K567" s="19">
        <f t="shared" si="61"/>
        <v>1360.9539181848911</v>
      </c>
      <c r="L567" s="20">
        <f t="shared" si="62"/>
        <v>0.72680826223596595</v>
      </c>
      <c r="M567" s="20">
        <f t="shared" si="63"/>
        <v>-5.6808262235966023E-2</v>
      </c>
      <c r="AB567" s="20">
        <f t="shared" si="64"/>
        <v>0.72810635970669724</v>
      </c>
    </row>
    <row r="568" spans="1:28">
      <c r="A568" s="18" t="str">
        <f>Analysis!A568</f>
        <v>5/2005</v>
      </c>
      <c r="B568" s="19">
        <f>Analysis!B568</f>
        <v>2005.375</v>
      </c>
      <c r="C568" s="19">
        <f>Analysis!E568</f>
        <v>0.63000000000000256</v>
      </c>
      <c r="D568" s="20">
        <f>Analysis!F568</f>
        <v>0.45056086926661437</v>
      </c>
      <c r="E568" s="19">
        <f>IF(ENSO!F568="","",ENSO!F568)</f>
        <v>0.27</v>
      </c>
      <c r="F568" s="25">
        <f>IF(Volcanic!G568="","",Volcanic!G568)</f>
        <v>5.7200000000000003E-3</v>
      </c>
      <c r="G568" s="19">
        <f>IF(Solar!D568="","",Solar!D568)</f>
        <v>1360.66</v>
      </c>
      <c r="H568" s="20">
        <f t="shared" si="58"/>
        <v>0.45056086926661437</v>
      </c>
      <c r="I568" s="20">
        <f t="shared" si="59"/>
        <v>0.43449885355106033</v>
      </c>
      <c r="J568" s="25">
        <f t="shared" si="60"/>
        <v>4.7666999716630444E-3</v>
      </c>
      <c r="K568" s="19">
        <f t="shared" si="61"/>
        <v>1360.9304177843671</v>
      </c>
      <c r="L568" s="20">
        <f t="shared" si="62"/>
        <v>0.7239487342791362</v>
      </c>
      <c r="M568" s="20">
        <f t="shared" si="63"/>
        <v>-9.3948734279133639E-2</v>
      </c>
      <c r="AB568" s="20">
        <f t="shared" si="64"/>
        <v>0.72548311670458865</v>
      </c>
    </row>
    <row r="569" spans="1:28">
      <c r="A569" s="18" t="str">
        <f>Analysis!A569</f>
        <v>6/2005</v>
      </c>
      <c r="B569" s="19">
        <f>Analysis!B569</f>
        <v>2005.4583333333333</v>
      </c>
      <c r="C569" s="19">
        <f>Analysis!E569</f>
        <v>0.65000000000000213</v>
      </c>
      <c r="D569" s="20">
        <f>Analysis!F569</f>
        <v>0.44965569614841971</v>
      </c>
      <c r="E569" s="19">
        <f>IF(ENSO!F569="","",ENSO!F569)</f>
        <v>0.09</v>
      </c>
      <c r="F569" s="25">
        <f>IF(Volcanic!G569="","",Volcanic!G569)</f>
        <v>5.7499999999999999E-3</v>
      </c>
      <c r="G569" s="19">
        <f>IF(Solar!D569="","",Solar!D569)</f>
        <v>1360.64</v>
      </c>
      <c r="H569" s="20">
        <f t="shared" si="58"/>
        <v>0.44965569614841971</v>
      </c>
      <c r="I569" s="20">
        <f t="shared" si="59"/>
        <v>0.3816119837767406</v>
      </c>
      <c r="J569" s="25">
        <f t="shared" si="60"/>
        <v>4.8453203010237287E-3</v>
      </c>
      <c r="K569" s="19">
        <f t="shared" si="61"/>
        <v>1360.9071972604161</v>
      </c>
      <c r="L569" s="20">
        <f t="shared" si="62"/>
        <v>0.71377083207103331</v>
      </c>
      <c r="M569" s="20">
        <f t="shared" si="63"/>
        <v>-6.377083207103118E-2</v>
      </c>
      <c r="AB569" s="20">
        <f t="shared" si="64"/>
        <v>0.71580211200100741</v>
      </c>
    </row>
    <row r="570" spans="1:28">
      <c r="A570" s="18" t="str">
        <f>Analysis!A570</f>
        <v>7/2005</v>
      </c>
      <c r="B570" s="19">
        <f>Analysis!B570</f>
        <v>2005.5416666666667</v>
      </c>
      <c r="C570" s="19">
        <f>Analysis!E570</f>
        <v>0.61000000000000121</v>
      </c>
      <c r="D570" s="20">
        <f>Analysis!F570</f>
        <v>0.44409908411483445</v>
      </c>
      <c r="E570" s="19">
        <f>IF(ENSO!F570="","",ENSO!F570)</f>
        <v>-0.04</v>
      </c>
      <c r="F570" s="25">
        <f>IF(Volcanic!G570="","",Volcanic!G570)</f>
        <v>6.0000000000000001E-3</v>
      </c>
      <c r="G570" s="19">
        <f>IF(Solar!D570="","",Solar!D570)</f>
        <v>1360.7</v>
      </c>
      <c r="H570" s="20">
        <f t="shared" si="58"/>
        <v>0.44409908411483445</v>
      </c>
      <c r="I570" s="20">
        <f t="shared" si="59"/>
        <v>0.31688683926188899</v>
      </c>
      <c r="J570" s="25">
        <f t="shared" si="60"/>
        <v>4.9376433922710137E-3</v>
      </c>
      <c r="K570" s="19">
        <f t="shared" si="61"/>
        <v>1360.8906306821723</v>
      </c>
      <c r="L570" s="20">
        <f t="shared" si="62"/>
        <v>0.68929751600020339</v>
      </c>
      <c r="M570" s="20">
        <f t="shared" si="63"/>
        <v>-7.9297516000202184E-2</v>
      </c>
      <c r="AB570" s="20">
        <f t="shared" si="64"/>
        <v>0.69204174733022183</v>
      </c>
    </row>
    <row r="571" spans="1:28">
      <c r="A571" s="18" t="str">
        <f>Analysis!A571</f>
        <v>8/2005</v>
      </c>
      <c r="B571" s="19">
        <f>Analysis!B571</f>
        <v>2005.625</v>
      </c>
      <c r="C571" s="19">
        <f>Analysis!E571</f>
        <v>0.60000000000000142</v>
      </c>
      <c r="D571" s="20">
        <f>Analysis!F571</f>
        <v>0.43650453579040066</v>
      </c>
      <c r="E571" s="19">
        <f>IF(ENSO!F571="","",ENSO!F571)</f>
        <v>-0.14000000000000001</v>
      </c>
      <c r="F571" s="25">
        <f>IF(Volcanic!G571="","",Volcanic!G571)</f>
        <v>6.4599999999999996E-3</v>
      </c>
      <c r="G571" s="19">
        <f>IF(Solar!D571="","",Solar!D571)</f>
        <v>1360.78</v>
      </c>
      <c r="H571" s="20">
        <f t="shared" si="58"/>
        <v>0.43650453579040066</v>
      </c>
      <c r="I571" s="20">
        <f t="shared" si="59"/>
        <v>0.24674635977822457</v>
      </c>
      <c r="J571" s="25">
        <f t="shared" si="60"/>
        <v>5.0593643059849017E-3</v>
      </c>
      <c r="K571" s="19">
        <f t="shared" si="61"/>
        <v>1360.8817851412193</v>
      </c>
      <c r="L571" s="20">
        <f t="shared" si="62"/>
        <v>0.65844931976715082</v>
      </c>
      <c r="M571" s="20">
        <f t="shared" si="63"/>
        <v>-5.8449319767149399E-2</v>
      </c>
      <c r="AB571" s="20">
        <f t="shared" si="64"/>
        <v>0.66199230294357392</v>
      </c>
    </row>
    <row r="572" spans="1:28">
      <c r="A572" s="18" t="str">
        <f>Analysis!A572</f>
        <v>9/2005</v>
      </c>
      <c r="B572" s="19">
        <f>Analysis!B572</f>
        <v>2005.7083333333333</v>
      </c>
      <c r="C572" s="19">
        <f>Analysis!E572</f>
        <v>0.72000000000000242</v>
      </c>
      <c r="D572" s="20">
        <f>Analysis!F572</f>
        <v>0.42871668939795532</v>
      </c>
      <c r="E572" s="19">
        <f>IF(ENSO!F572="","",ENSO!F572)</f>
        <v>-0.11</v>
      </c>
      <c r="F572" s="25">
        <f>IF(Volcanic!G572="","",Volcanic!G572)</f>
        <v>6.5300000000000002E-3</v>
      </c>
      <c r="G572" s="19">
        <f>IF(Solar!D572="","",Solar!D572)</f>
        <v>1360.64</v>
      </c>
      <c r="H572" s="20">
        <f t="shared" si="58"/>
        <v>0.42871668939795532</v>
      </c>
      <c r="I572" s="20">
        <f t="shared" si="59"/>
        <v>0.19197927397351916</v>
      </c>
      <c r="J572" s="25">
        <f t="shared" si="60"/>
        <v>5.1769498437668898E-3</v>
      </c>
      <c r="K572" s="19">
        <f t="shared" si="61"/>
        <v>1360.8624530687193</v>
      </c>
      <c r="L572" s="20">
        <f t="shared" si="62"/>
        <v>0.62926194902007471</v>
      </c>
      <c r="M572" s="20">
        <f t="shared" si="63"/>
        <v>9.0738050979927709E-2</v>
      </c>
      <c r="AB572" s="20">
        <f t="shared" si="64"/>
        <v>0.63346094536461428</v>
      </c>
    </row>
    <row r="573" spans="1:28">
      <c r="A573" s="18" t="str">
        <f>Analysis!A573</f>
        <v>10/2005</v>
      </c>
      <c r="B573" s="19">
        <f>Analysis!B573</f>
        <v>2005.7916666666667</v>
      </c>
      <c r="C573" s="19">
        <f>Analysis!E573</f>
        <v>0.75999999999999801</v>
      </c>
      <c r="D573" s="20">
        <f>Analysis!F573</f>
        <v>0.42986460085324052</v>
      </c>
      <c r="E573" s="19">
        <f>IF(ENSO!F573="","",ENSO!F573)</f>
        <v>-0.27</v>
      </c>
      <c r="F573" s="25">
        <f>IF(Volcanic!G573="","",Volcanic!G573)</f>
        <v>6.4999999999999997E-3</v>
      </c>
      <c r="G573" s="19">
        <f>IF(Solar!D573="","",Solar!D573)</f>
        <v>1360.78</v>
      </c>
      <c r="H573" s="20">
        <f t="shared" si="58"/>
        <v>0.42986460085324052</v>
      </c>
      <c r="I573" s="20">
        <f t="shared" si="59"/>
        <v>0.12105701269681809</v>
      </c>
      <c r="J573" s="25">
        <f t="shared" si="60"/>
        <v>5.2827350934832734E-3</v>
      </c>
      <c r="K573" s="19">
        <f t="shared" si="61"/>
        <v>1360.8558604853442</v>
      </c>
      <c r="L573" s="20">
        <f t="shared" si="62"/>
        <v>0.62199861890939523</v>
      </c>
      <c r="M573" s="20">
        <f t="shared" si="63"/>
        <v>0.13800138109060278</v>
      </c>
      <c r="AB573" s="20">
        <f t="shared" si="64"/>
        <v>0.62680912535254629</v>
      </c>
    </row>
    <row r="574" spans="1:28">
      <c r="A574" s="18" t="str">
        <f>Analysis!A574</f>
        <v>11/2005</v>
      </c>
      <c r="B574" s="19">
        <f>Analysis!B574</f>
        <v>2005.875</v>
      </c>
      <c r="C574" s="19">
        <f>Analysis!E574</f>
        <v>0.73999999999999666</v>
      </c>
      <c r="D574" s="20">
        <f>Analysis!F574</f>
        <v>0.43501892945440074</v>
      </c>
      <c r="E574" s="19">
        <f>IF(ENSO!F574="","",ENSO!F574)</f>
        <v>-0.56999999999999995</v>
      </c>
      <c r="F574" s="25">
        <f>IF(Volcanic!G574="","",Volcanic!G574)</f>
        <v>6.3200000000000001E-3</v>
      </c>
      <c r="G574" s="19">
        <f>IF(Solar!D574="","",Solar!D574)</f>
        <v>1360.62</v>
      </c>
      <c r="H574" s="20">
        <f t="shared" si="58"/>
        <v>0.43501892945440074</v>
      </c>
      <c r="I574" s="20">
        <f t="shared" si="59"/>
        <v>1.496713210535762E-2</v>
      </c>
      <c r="J574" s="25">
        <f t="shared" si="60"/>
        <v>5.3656702162682788E-3</v>
      </c>
      <c r="K574" s="19">
        <f t="shared" si="61"/>
        <v>1360.8370021221729</v>
      </c>
      <c r="L574" s="20">
        <f t="shared" si="62"/>
        <v>0.62068396523959224</v>
      </c>
      <c r="M574" s="20">
        <f t="shared" si="63"/>
        <v>0.11931603476040442</v>
      </c>
      <c r="AB574" s="20">
        <f t="shared" si="64"/>
        <v>0.62636529907257432</v>
      </c>
    </row>
    <row r="575" spans="1:28">
      <c r="A575" s="18" t="str">
        <f>Analysis!A575</f>
        <v>12/2005</v>
      </c>
      <c r="B575" s="19">
        <f>Analysis!B575</f>
        <v>2005.9583333333333</v>
      </c>
      <c r="C575" s="19">
        <f>Analysis!E575</f>
        <v>0.67999999999999972</v>
      </c>
      <c r="D575" s="20">
        <f>Analysis!F575</f>
        <v>0.44174904700923706</v>
      </c>
      <c r="E575" s="19">
        <f>IF(ENSO!F575="","",ENSO!F575)</f>
        <v>-0.82</v>
      </c>
      <c r="F575" s="25">
        <f>IF(Volcanic!G575="","",Volcanic!G575)</f>
        <v>5.94E-3</v>
      </c>
      <c r="G575" s="19">
        <f>IF(Solar!D575="","",Solar!D575)</f>
        <v>1360.72</v>
      </c>
      <c r="H575" s="20">
        <f t="shared" si="58"/>
        <v>0.44174904700923706</v>
      </c>
      <c r="I575" s="20">
        <f t="shared" si="59"/>
        <v>-0.1132155817884876</v>
      </c>
      <c r="J575" s="25">
        <f t="shared" si="60"/>
        <v>5.4115910903223628E-3</v>
      </c>
      <c r="K575" s="19">
        <f t="shared" si="61"/>
        <v>1360.8276471490049</v>
      </c>
      <c r="L575" s="20">
        <f t="shared" si="62"/>
        <v>0.62063832316751522</v>
      </c>
      <c r="M575" s="20">
        <f t="shared" si="63"/>
        <v>5.93616768324845E-2</v>
      </c>
      <c r="AB575" s="20">
        <f t="shared" si="64"/>
        <v>0.62738590624390245</v>
      </c>
    </row>
    <row r="576" spans="1:28">
      <c r="A576" s="18" t="str">
        <f>Analysis!A576</f>
        <v>1/2006</v>
      </c>
      <c r="B576" s="19">
        <f>Analysis!B576</f>
        <v>2006.0416666666667</v>
      </c>
      <c r="C576" s="19">
        <f>Analysis!E576</f>
        <v>0.55999999999999872</v>
      </c>
      <c r="D576" s="20">
        <f>Analysis!F576</f>
        <v>0.44655872924400647</v>
      </c>
      <c r="E576" s="19">
        <f>IF(ENSO!F576="","",ENSO!F576)</f>
        <v>-0.86</v>
      </c>
      <c r="F576" s="25">
        <f>IF(Volcanic!G576="","",Volcanic!G576)</f>
        <v>6.1000000000000004E-3</v>
      </c>
      <c r="G576" s="19">
        <f>IF(Solar!D576="","",Solar!D576)</f>
        <v>1360.77</v>
      </c>
      <c r="H576" s="20">
        <f t="shared" si="58"/>
        <v>0.44655872924400647</v>
      </c>
      <c r="I576" s="20">
        <f t="shared" si="59"/>
        <v>-0.2278606375508852</v>
      </c>
      <c r="J576" s="25">
        <f t="shared" si="60"/>
        <v>5.4666332276700272E-3</v>
      </c>
      <c r="K576" s="19">
        <f t="shared" si="61"/>
        <v>1360.8230379374611</v>
      </c>
      <c r="L576" s="20">
        <f t="shared" si="62"/>
        <v>0.6172789946582985</v>
      </c>
      <c r="M576" s="20">
        <f t="shared" si="63"/>
        <v>-5.7278994658299776E-2</v>
      </c>
      <c r="AB576" s="20">
        <f t="shared" si="64"/>
        <v>0.62500160387008674</v>
      </c>
    </row>
    <row r="577" spans="1:28">
      <c r="A577" s="18" t="str">
        <f>Analysis!A577</f>
        <v>2/2006</v>
      </c>
      <c r="B577" s="19">
        <f>Analysis!B577</f>
        <v>2006.125</v>
      </c>
      <c r="C577" s="19">
        <f>Analysis!E577</f>
        <v>0.73999999999999666</v>
      </c>
      <c r="D577" s="20">
        <f>Analysis!F577</f>
        <v>0.44965569614841971</v>
      </c>
      <c r="E577" s="19">
        <f>IF(ENSO!F577="","",ENSO!F577)</f>
        <v>-0.8</v>
      </c>
      <c r="F577" s="25">
        <f>IF(Volcanic!G577="","",Volcanic!G577)</f>
        <v>6.0000000000000001E-3</v>
      </c>
      <c r="G577" s="19">
        <f>IF(Solar!D577="","",Solar!D577)</f>
        <v>1360.74</v>
      </c>
      <c r="H577" s="20">
        <f t="shared" si="58"/>
        <v>0.44965569614841971</v>
      </c>
      <c r="I577" s="20">
        <f t="shared" si="59"/>
        <v>-0.31569448559625707</v>
      </c>
      <c r="J577" s="25">
        <f t="shared" si="60"/>
        <v>5.5092788801689389E-3</v>
      </c>
      <c r="K577" s="19">
        <f t="shared" si="61"/>
        <v>1360.8163985905635</v>
      </c>
      <c r="L577" s="20">
        <f t="shared" si="62"/>
        <v>0.61311386332718976</v>
      </c>
      <c r="M577" s="20">
        <f t="shared" si="63"/>
        <v>0.1268861366728069</v>
      </c>
      <c r="AB577" s="20">
        <f t="shared" si="64"/>
        <v>0.62159686021039451</v>
      </c>
    </row>
    <row r="578" spans="1:28">
      <c r="A578" s="18" t="str">
        <f>Analysis!A578</f>
        <v>3/2006</v>
      </c>
      <c r="B578" s="19">
        <f>Analysis!B578</f>
        <v>2006.2083333333333</v>
      </c>
      <c r="C578" s="19">
        <f>Analysis!E578</f>
        <v>0.63000000000000256</v>
      </c>
      <c r="D578" s="20">
        <f>Analysis!F578</f>
        <v>0.4513901126832936</v>
      </c>
      <c r="E578" s="19">
        <f>IF(ENSO!F578="","",ENSO!F578)</f>
        <v>-0.63</v>
      </c>
      <c r="F578" s="25">
        <f>IF(Volcanic!G578="","",Volcanic!G578)</f>
        <v>5.8199999999999997E-3</v>
      </c>
      <c r="G578" s="19">
        <f>IF(Solar!D578="","",Solar!D578)</f>
        <v>1360.68</v>
      </c>
      <c r="H578" s="20">
        <f t="shared" ref="H578:H641" si="65">IF(D578="","",IF(OR(ROW()=2,H577=""),D578,$Q$3*H577+(1-$Q$3)*D578))</f>
        <v>0.4513901126832936</v>
      </c>
      <c r="I578" s="20">
        <f t="shared" ref="I578:I641" si="66">IF(E578="","",IF(OR(ROW()=2,I577=""),E578,$Q$4*I577+(1-$Q$4)*E578))</f>
        <v>-0.36394612602488796</v>
      </c>
      <c r="J578" s="25">
        <f t="shared" ref="J578:J641" si="67">IF(F578="","",IF(OR(ROW()=2,J577=""),F578,$Q$5*J577+(1-$Q$5)*F578))</f>
        <v>5.5341227691920632E-3</v>
      </c>
      <c r="K578" s="19">
        <f t="shared" ref="K578:K641" si="68">IF(G578="","",IF(OR(ROW()=2,K577=""),G578,$Q$6*K577+(1-$Q$6)*G578))</f>
        <v>1360.8054927614114</v>
      </c>
      <c r="L578" s="20">
        <f t="shared" ref="L578:L641" si="69">IF(OR(I578="",J578=""),"",$P$13+$P$14*H578+$P$15*I578+$P$16*J578)</f>
        <v>0.61091042887301616</v>
      </c>
      <c r="M578" s="20">
        <f t="shared" ref="M578:M641" si="70">IF(L578="","",C578-L578)</f>
        <v>1.9089571126986393E-2</v>
      </c>
      <c r="AB578" s="20">
        <f t="shared" ref="AB578:AB641" si="71">IF(OR(I578="",J578=""),"",$P$52+$P$53*H578+$P$54*I578+$P$55*J578)</f>
        <v>0.61980970894327647</v>
      </c>
    </row>
    <row r="579" spans="1:28">
      <c r="A579" s="18" t="str">
        <f>Analysis!A579</f>
        <v>4/2006</v>
      </c>
      <c r="B579" s="19">
        <f>Analysis!B579</f>
        <v>2006.2916666666667</v>
      </c>
      <c r="C579" s="19">
        <f>Analysis!E579</f>
        <v>0.47000000000000242</v>
      </c>
      <c r="D579" s="20">
        <f>Analysis!F579</f>
        <v>0.45868197193771321</v>
      </c>
      <c r="E579" s="19">
        <f>IF(ENSO!F579="","",ENSO!F579)</f>
        <v>-0.45</v>
      </c>
      <c r="F579" s="25">
        <f>IF(Volcanic!G579="","",Volcanic!G579)</f>
        <v>5.8599999999999998E-3</v>
      </c>
      <c r="G579" s="19">
        <f>IF(Solar!D579="","",Solar!D579)</f>
        <v>1360.65</v>
      </c>
      <c r="H579" s="20">
        <f t="shared" si="65"/>
        <v>0.45868197193771321</v>
      </c>
      <c r="I579" s="20">
        <f t="shared" si="66"/>
        <v>-0.37715696832402767</v>
      </c>
      <c r="J579" s="25">
        <f t="shared" si="67"/>
        <v>5.560178473940287E-3</v>
      </c>
      <c r="K579" s="19">
        <f t="shared" si="68"/>
        <v>1360.7930602466517</v>
      </c>
      <c r="L579" s="20">
        <f t="shared" si="69"/>
        <v>0.62867616704577667</v>
      </c>
      <c r="M579" s="20">
        <f t="shared" si="70"/>
        <v>-0.15867616704577425</v>
      </c>
      <c r="AB579" s="20">
        <f t="shared" si="71"/>
        <v>0.63752250232819618</v>
      </c>
    </row>
    <row r="580" spans="1:28">
      <c r="A580" s="18" t="str">
        <f>Analysis!A580</f>
        <v>5/2006</v>
      </c>
      <c r="B580" s="19">
        <f>Analysis!B580</f>
        <v>2006.375</v>
      </c>
      <c r="C580" s="19">
        <f>Analysis!E580</f>
        <v>0.47999999999999865</v>
      </c>
      <c r="D580" s="20">
        <f>Analysis!F580</f>
        <v>0.46025578035116405</v>
      </c>
      <c r="E580" s="19">
        <f>IF(ENSO!F580="","",ENSO!F580)</f>
        <v>-0.19</v>
      </c>
      <c r="F580" s="25">
        <f>IF(Volcanic!G580="","",Volcanic!G580)</f>
        <v>5.8300000000000001E-3</v>
      </c>
      <c r="G580" s="19">
        <f>IF(Solar!D580="","",Solar!D580)</f>
        <v>1360.84</v>
      </c>
      <c r="H580" s="20">
        <f t="shared" si="65"/>
        <v>0.46025578035116405</v>
      </c>
      <c r="I580" s="20">
        <f t="shared" si="66"/>
        <v>-0.34842495337222101</v>
      </c>
      <c r="J580" s="25">
        <f t="shared" si="67"/>
        <v>5.5817522120020007E-3</v>
      </c>
      <c r="K580" s="19">
        <f t="shared" si="68"/>
        <v>1360.796813342108</v>
      </c>
      <c r="L580" s="20">
        <f t="shared" si="69"/>
        <v>0.63691352250397359</v>
      </c>
      <c r="M580" s="20">
        <f t="shared" si="70"/>
        <v>-0.15691352250397494</v>
      </c>
      <c r="AB580" s="20">
        <f t="shared" si="71"/>
        <v>0.64543441799067447</v>
      </c>
    </row>
    <row r="581" spans="1:28">
      <c r="A581" s="18" t="str">
        <f>Analysis!A581</f>
        <v>6/2006</v>
      </c>
      <c r="B581" s="19">
        <f>Analysis!B581</f>
        <v>2006.4583333333333</v>
      </c>
      <c r="C581" s="19">
        <f>Analysis!E581</f>
        <v>0.66999999999999993</v>
      </c>
      <c r="D581" s="20">
        <f>Analysis!F581</f>
        <v>0.45658088651772205</v>
      </c>
      <c r="E581" s="19">
        <f>IF(ENSO!F581="","",ENSO!F581)</f>
        <v>-0.05</v>
      </c>
      <c r="F581" s="25">
        <f>IF(Volcanic!G581="","",Volcanic!G581)</f>
        <v>6.3200000000000001E-3</v>
      </c>
      <c r="G581" s="19">
        <f>IF(Solar!D581="","",Solar!D581)</f>
        <v>1360.71</v>
      </c>
      <c r="H581" s="20">
        <f t="shared" si="65"/>
        <v>0.45658088651772205</v>
      </c>
      <c r="I581" s="20">
        <f t="shared" si="66"/>
        <v>-0.30261126928091869</v>
      </c>
      <c r="J581" s="25">
        <f t="shared" si="67"/>
        <v>5.6407792460399881E-3</v>
      </c>
      <c r="K581" s="19">
        <f t="shared" si="68"/>
        <v>1360.7898721305216</v>
      </c>
      <c r="L581" s="20">
        <f t="shared" si="69"/>
        <v>0.63324100006621475</v>
      </c>
      <c r="M581" s="20">
        <f t="shared" si="70"/>
        <v>3.6758999933785175E-2</v>
      </c>
      <c r="AB581" s="20">
        <f t="shared" si="71"/>
        <v>0.64137447229294053</v>
      </c>
    </row>
    <row r="582" spans="1:28">
      <c r="A582" s="18" t="str">
        <f>Analysis!A582</f>
        <v>7/2006</v>
      </c>
      <c r="B582" s="19">
        <f>Analysis!B582</f>
        <v>2006.5416666666667</v>
      </c>
      <c r="C582" s="19">
        <f>Analysis!E582</f>
        <v>0.53999999999999915</v>
      </c>
      <c r="D582" s="20">
        <f>Analysis!F582</f>
        <v>0.45059857249129948</v>
      </c>
      <c r="E582" s="19">
        <f>IF(ENSO!F582="","",ENSO!F582)</f>
        <v>0.12</v>
      </c>
      <c r="F582" s="25">
        <f>IF(Volcanic!G582="","",Volcanic!G582)</f>
        <v>6.8300000000000001E-3</v>
      </c>
      <c r="G582" s="19">
        <f>IF(Solar!D582="","",Solar!D582)</f>
        <v>1360.68</v>
      </c>
      <c r="H582" s="20">
        <f t="shared" si="65"/>
        <v>0.45059857249129948</v>
      </c>
      <c r="I582" s="20">
        <f t="shared" si="66"/>
        <v>-0.23773271617912384</v>
      </c>
      <c r="J582" s="25">
        <f t="shared" si="67"/>
        <v>5.7358640875578189E-3</v>
      </c>
      <c r="K582" s="19">
        <f t="shared" si="68"/>
        <v>1360.7810872400098</v>
      </c>
      <c r="L582" s="20">
        <f t="shared" si="69"/>
        <v>0.62589694321442679</v>
      </c>
      <c r="M582" s="20">
        <f t="shared" si="70"/>
        <v>-8.5896943214427646E-2</v>
      </c>
      <c r="AB582" s="20">
        <f t="shared" si="71"/>
        <v>0.63349434027988694</v>
      </c>
    </row>
    <row r="583" spans="1:28">
      <c r="A583" s="18" t="str">
        <f>Analysis!A583</f>
        <v>8/2006</v>
      </c>
      <c r="B583" s="19">
        <f>Analysis!B583</f>
        <v>2006.625</v>
      </c>
      <c r="C583" s="19">
        <f>Analysis!E583</f>
        <v>0.71000000000000085</v>
      </c>
      <c r="D583" s="20">
        <f>Analysis!F583</f>
        <v>0.44284873444169331</v>
      </c>
      <c r="E583" s="19">
        <f>IF(ENSO!F583="","",ENSO!F583)</f>
        <v>0.33</v>
      </c>
      <c r="F583" s="25">
        <f>IF(Volcanic!G583="","",Volcanic!G583)</f>
        <v>7.3600000000000002E-3</v>
      </c>
      <c r="G583" s="19">
        <f>IF(Solar!D583="","",Solar!D583)</f>
        <v>1360.54</v>
      </c>
      <c r="H583" s="20">
        <f t="shared" si="65"/>
        <v>0.44284873444169331</v>
      </c>
      <c r="I583" s="20">
        <f t="shared" si="66"/>
        <v>-0.15057536886813822</v>
      </c>
      <c r="J583" s="25">
        <f t="shared" si="67"/>
        <v>5.8657228251586717E-3</v>
      </c>
      <c r="K583" s="19">
        <f t="shared" si="68"/>
        <v>1360.7618109686093</v>
      </c>
      <c r="L583" s="20">
        <f t="shared" si="69"/>
        <v>0.61679923289083094</v>
      </c>
      <c r="M583" s="20">
        <f t="shared" si="70"/>
        <v>9.3200767109169913E-2</v>
      </c>
      <c r="AB583" s="20">
        <f t="shared" si="71"/>
        <v>0.62366882773336718</v>
      </c>
    </row>
    <row r="584" spans="1:28">
      <c r="A584" s="18" t="str">
        <f>Analysis!A584</f>
        <v>9/2006</v>
      </c>
      <c r="B584" s="19">
        <f>Analysis!B584</f>
        <v>2006.7083333333333</v>
      </c>
      <c r="C584" s="19">
        <f>Analysis!E584</f>
        <v>0.66000000000000369</v>
      </c>
      <c r="D584" s="20">
        <f>Analysis!F584</f>
        <v>0.4369232765205403</v>
      </c>
      <c r="E584" s="19">
        <f>IF(ENSO!F584="","",ENSO!F584)</f>
        <v>0.54</v>
      </c>
      <c r="F584" s="25">
        <f>IF(Volcanic!G584="","",Volcanic!G584)</f>
        <v>7.5700000000000003E-3</v>
      </c>
      <c r="G584" s="19">
        <f>IF(Solar!D584="","",Solar!D584)</f>
        <v>1360.72</v>
      </c>
      <c r="H584" s="20">
        <f t="shared" si="65"/>
        <v>0.4369232765205403</v>
      </c>
      <c r="I584" s="20">
        <f t="shared" si="66"/>
        <v>-4.4559429406473741E-2</v>
      </c>
      <c r="J584" s="25">
        <f t="shared" si="67"/>
        <v>6.0019893043069929E-3</v>
      </c>
      <c r="K584" s="19">
        <f t="shared" si="68"/>
        <v>1360.7584679481392</v>
      </c>
      <c r="L584" s="20">
        <f t="shared" si="69"/>
        <v>0.6152745692679128</v>
      </c>
      <c r="M584" s="20">
        <f t="shared" si="70"/>
        <v>4.4725430732090898E-2</v>
      </c>
      <c r="AB584" s="20">
        <f t="shared" si="71"/>
        <v>0.62118810722882745</v>
      </c>
    </row>
    <row r="585" spans="1:28">
      <c r="A585" s="18" t="str">
        <f>Analysis!A585</f>
        <v>10/2006</v>
      </c>
      <c r="B585" s="19">
        <f>Analysis!B585</f>
        <v>2006.7916666666667</v>
      </c>
      <c r="C585" s="19">
        <f>Analysis!E585</f>
        <v>0.71000000000000085</v>
      </c>
      <c r="D585" s="20">
        <f>Analysis!F585</f>
        <v>0.43802664712394201</v>
      </c>
      <c r="E585" s="19">
        <f>IF(ENSO!F585="","",ENSO!F585)</f>
        <v>0.71</v>
      </c>
      <c r="F585" s="25">
        <f>IF(Volcanic!G585="","",Volcanic!G585)</f>
        <v>7.4999999999999997E-3</v>
      </c>
      <c r="G585" s="19">
        <f>IF(Solar!D585="","",Solar!D585)</f>
        <v>1360.74</v>
      </c>
      <c r="H585" s="20">
        <f t="shared" si="65"/>
        <v>0.43802664712394201</v>
      </c>
      <c r="I585" s="20">
        <f t="shared" si="66"/>
        <v>7.1279232663530506E-2</v>
      </c>
      <c r="J585" s="25">
        <f t="shared" si="67"/>
        <v>6.1217636263726618E-3</v>
      </c>
      <c r="K585" s="19">
        <f t="shared" si="68"/>
        <v>1360.7569913325353</v>
      </c>
      <c r="L585" s="20">
        <f t="shared" si="69"/>
        <v>0.63419922059313294</v>
      </c>
      <c r="M585" s="20">
        <f t="shared" si="70"/>
        <v>7.5800779406867913E-2</v>
      </c>
      <c r="AB585" s="20">
        <f t="shared" si="71"/>
        <v>0.63890649333333738</v>
      </c>
    </row>
    <row r="586" spans="1:28">
      <c r="A586" s="18" t="str">
        <f>Analysis!A586</f>
        <v>11/2006</v>
      </c>
      <c r="B586" s="19">
        <f>Analysis!B586</f>
        <v>2006.875</v>
      </c>
      <c r="C586" s="19">
        <f>Analysis!E586</f>
        <v>0.7300000000000022</v>
      </c>
      <c r="D586" s="20">
        <f>Analysis!F586</f>
        <v>0.44190077787897852</v>
      </c>
      <c r="E586" s="19">
        <f>IF(ENSO!F586="","",ENSO!F586)</f>
        <v>0.88</v>
      </c>
      <c r="F586" s="25">
        <f>IF(Volcanic!G586="","",Volcanic!G586)</f>
        <v>8.3800000000000003E-3</v>
      </c>
      <c r="G586" s="19">
        <f>IF(Solar!D586="","",Solar!D586)</f>
        <v>1360.53</v>
      </c>
      <c r="H586" s="20">
        <f t="shared" si="65"/>
        <v>0.44190077787897852</v>
      </c>
      <c r="I586" s="20">
        <f t="shared" si="66"/>
        <v>0.19543264991016426</v>
      </c>
      <c r="J586" s="25">
        <f t="shared" si="67"/>
        <v>6.3023222375313895E-3</v>
      </c>
      <c r="K586" s="19">
        <f t="shared" si="68"/>
        <v>1360.7388421076682</v>
      </c>
      <c r="L586" s="20">
        <f t="shared" si="69"/>
        <v>0.6615836724341122</v>
      </c>
      <c r="M586" s="20">
        <f t="shared" si="70"/>
        <v>6.8416327565890001E-2</v>
      </c>
      <c r="AB586" s="20">
        <f t="shared" si="71"/>
        <v>0.66491107869933685</v>
      </c>
    </row>
    <row r="587" spans="1:28">
      <c r="A587" s="18" t="str">
        <f>Analysis!A587</f>
        <v>12/2006</v>
      </c>
      <c r="B587" s="19">
        <f>Analysis!B587</f>
        <v>2006.9583333333333</v>
      </c>
      <c r="C587" s="19">
        <f>Analysis!E587</f>
        <v>0.79000000000000092</v>
      </c>
      <c r="D587" s="20">
        <f>Analysis!F587</f>
        <v>0.44822134288530163</v>
      </c>
      <c r="E587" s="19">
        <f>IF(ENSO!F587="","",ENSO!F587)</f>
        <v>0.88</v>
      </c>
      <c r="F587" s="25">
        <f>IF(Volcanic!G587="","",Volcanic!G587)</f>
        <v>8.8000000000000005E-3</v>
      </c>
      <c r="G587" s="19">
        <f>IF(Solar!D587="","",Solar!D587)</f>
        <v>1360.55</v>
      </c>
      <c r="H587" s="20">
        <f t="shared" si="65"/>
        <v>0.44822134288530163</v>
      </c>
      <c r="I587" s="20">
        <f t="shared" si="66"/>
        <v>0.30052624869215894</v>
      </c>
      <c r="J587" s="25">
        <f t="shared" si="67"/>
        <v>6.5020255250968894E-3</v>
      </c>
      <c r="K587" s="19">
        <f t="shared" si="68"/>
        <v>1360.723743126407</v>
      </c>
      <c r="L587" s="20">
        <f t="shared" si="69"/>
        <v>0.6928290219008616</v>
      </c>
      <c r="M587" s="20">
        <f t="shared" si="70"/>
        <v>9.7170978099139327E-2</v>
      </c>
      <c r="AB587" s="20">
        <f t="shared" si="71"/>
        <v>0.69489580691254194</v>
      </c>
    </row>
    <row r="588" spans="1:28">
      <c r="A588" s="18" t="str">
        <f>Analysis!A588</f>
        <v>1/2007</v>
      </c>
      <c r="B588" s="19">
        <f>Analysis!B588</f>
        <v>2007.0416666666667</v>
      </c>
      <c r="C588" s="19">
        <f>Analysis!E588</f>
        <v>1.0099999999999998</v>
      </c>
      <c r="D588" s="20">
        <f>Analysis!F588</f>
        <v>0.45229419859155129</v>
      </c>
      <c r="E588" s="19">
        <f>IF(ENSO!F588="","",ENSO!F588)</f>
        <v>0.62</v>
      </c>
      <c r="F588" s="25">
        <f>IF(Volcanic!G588="","",Volcanic!G588)</f>
        <v>8.9800000000000001E-3</v>
      </c>
      <c r="G588" s="19">
        <f>IF(Solar!D588="","",Solar!D588)</f>
        <v>1360.53</v>
      </c>
      <c r="H588" s="20">
        <f t="shared" si="65"/>
        <v>0.45229419859155129</v>
      </c>
      <c r="I588" s="20">
        <f t="shared" si="66"/>
        <v>0.3495713079356636</v>
      </c>
      <c r="J588" s="25">
        <f t="shared" si="67"/>
        <v>6.7001534247713625E-3</v>
      </c>
      <c r="K588" s="19">
        <f t="shared" si="68"/>
        <v>1360.7082522813234</v>
      </c>
      <c r="L588" s="20">
        <f t="shared" si="69"/>
        <v>0.71009189407751749</v>
      </c>
      <c r="M588" s="20">
        <f t="shared" si="70"/>
        <v>0.29990810592248229</v>
      </c>
      <c r="AB588" s="20">
        <f t="shared" si="71"/>
        <v>0.71149468584195097</v>
      </c>
    </row>
    <row r="589" spans="1:28">
      <c r="A589" s="18" t="str">
        <f>Analysis!A589</f>
        <v>2/2007</v>
      </c>
      <c r="B589" s="19">
        <f>Analysis!B589</f>
        <v>2007.125</v>
      </c>
      <c r="C589" s="19">
        <f>Analysis!E589</f>
        <v>0.70000000000000107</v>
      </c>
      <c r="D589" s="20">
        <f>Analysis!F589</f>
        <v>0.45613025554704617</v>
      </c>
      <c r="E589" s="19">
        <f>IF(ENSO!F589="","",ENSO!F589)</f>
        <v>0.19</v>
      </c>
      <c r="F589" s="25">
        <f>IF(Volcanic!G589="","",Volcanic!G589)</f>
        <v>8.9300000000000004E-3</v>
      </c>
      <c r="G589" s="19">
        <f>IF(Solar!D589="","",Solar!D589)</f>
        <v>1360.59</v>
      </c>
      <c r="H589" s="20">
        <f t="shared" si="65"/>
        <v>0.45613025554704617</v>
      </c>
      <c r="I589" s="20">
        <f t="shared" si="66"/>
        <v>0.32507419598443188</v>
      </c>
      <c r="J589" s="25">
        <f t="shared" si="67"/>
        <v>6.8784421129805678E-3</v>
      </c>
      <c r="K589" s="19">
        <f t="shared" si="68"/>
        <v>1360.6987973509488</v>
      </c>
      <c r="L589" s="20">
        <f t="shared" si="69"/>
        <v>0.71640338033936179</v>
      </c>
      <c r="M589" s="20">
        <f t="shared" si="70"/>
        <v>-1.6403380339360729E-2</v>
      </c>
      <c r="AB589" s="20">
        <f t="shared" si="71"/>
        <v>0.71787065052390608</v>
      </c>
    </row>
    <row r="590" spans="1:28">
      <c r="A590" s="18" t="str">
        <f>Analysis!A590</f>
        <v>3/2007</v>
      </c>
      <c r="B590" s="19">
        <f>Analysis!B590</f>
        <v>2007.2083333333333</v>
      </c>
      <c r="C590" s="19">
        <f>Analysis!E590</f>
        <v>0.71000000000000085</v>
      </c>
      <c r="D590" s="20">
        <f>Analysis!F590</f>
        <v>0.45871946352542553</v>
      </c>
      <c r="E590" s="19">
        <f>IF(ENSO!F590="","",ENSO!F590)</f>
        <v>-0.12</v>
      </c>
      <c r="F590" s="25">
        <f>IF(Volcanic!G590="","",Volcanic!G590)</f>
        <v>8.1600000000000006E-3</v>
      </c>
      <c r="G590" s="19">
        <f>IF(Solar!D590="","",Solar!D590)</f>
        <v>1360.66</v>
      </c>
      <c r="H590" s="20">
        <f t="shared" si="65"/>
        <v>0.45871946352542553</v>
      </c>
      <c r="I590" s="20">
        <f t="shared" si="66"/>
        <v>0.25674717312120515</v>
      </c>
      <c r="J590" s="25">
        <f t="shared" si="67"/>
        <v>6.9809098240236137E-3</v>
      </c>
      <c r="K590" s="19">
        <f t="shared" si="68"/>
        <v>1360.6956952860428</v>
      </c>
      <c r="L590" s="20">
        <f t="shared" si="69"/>
        <v>0.7134150636887413</v>
      </c>
      <c r="M590" s="20">
        <f t="shared" si="70"/>
        <v>-3.4150636887404495E-3</v>
      </c>
      <c r="AB590" s="20">
        <f t="shared" si="71"/>
        <v>0.71543686911104554</v>
      </c>
    </row>
    <row r="591" spans="1:28">
      <c r="A591" s="18" t="str">
        <f>Analysis!A591</f>
        <v>4/2007</v>
      </c>
      <c r="B591" s="19">
        <f>Analysis!B591</f>
        <v>2007.2916666666667</v>
      </c>
      <c r="C591" s="19">
        <f>Analysis!E591</f>
        <v>0.77000000000000135</v>
      </c>
      <c r="D591" s="20">
        <f>Analysis!F591</f>
        <v>0.46589985649655991</v>
      </c>
      <c r="E591" s="19">
        <f>IF(ENSO!F591="","",ENSO!F591)</f>
        <v>-0.32</v>
      </c>
      <c r="F591" s="25">
        <f>IF(Volcanic!G591="","",Volcanic!G591)</f>
        <v>7.7999999999999996E-3</v>
      </c>
      <c r="G591" s="19">
        <f>IF(Solar!D591="","",Solar!D591)</f>
        <v>1360.59</v>
      </c>
      <c r="H591" s="20">
        <f t="shared" si="65"/>
        <v>0.46589985649655991</v>
      </c>
      <c r="I591" s="20">
        <f t="shared" si="66"/>
        <v>0.1682059419294234</v>
      </c>
      <c r="J591" s="25">
        <f t="shared" si="67"/>
        <v>7.046400658515176E-3</v>
      </c>
      <c r="K591" s="19">
        <f t="shared" si="68"/>
        <v>1360.6872443575762</v>
      </c>
      <c r="L591" s="20">
        <f t="shared" si="69"/>
        <v>0.72011490070945183</v>
      </c>
      <c r="M591" s="20">
        <f t="shared" si="70"/>
        <v>4.9885099290549517E-2</v>
      </c>
      <c r="AB591" s="20">
        <f t="shared" si="71"/>
        <v>0.7227986153885021</v>
      </c>
    </row>
    <row r="592" spans="1:28">
      <c r="A592" s="18" t="str">
        <f>Analysis!A592</f>
        <v>5/2007</v>
      </c>
      <c r="B592" s="19">
        <f>Analysis!B592</f>
        <v>2007.375</v>
      </c>
      <c r="C592" s="19">
        <f>Analysis!E592</f>
        <v>0.69000000000000128</v>
      </c>
      <c r="D592" s="20">
        <f>Analysis!F592</f>
        <v>0.46608636928151376</v>
      </c>
      <c r="E592" s="19">
        <f>IF(ENSO!F592="","",ENSO!F592)</f>
        <v>-0.34</v>
      </c>
      <c r="F592" s="25">
        <f>IF(Volcanic!G592="","",Volcanic!G592)</f>
        <v>7.4400000000000004E-3</v>
      </c>
      <c r="G592" s="19">
        <f>IF(Solar!D592="","",Solar!D592)</f>
        <v>1360.57</v>
      </c>
      <c r="H592" s="20">
        <f t="shared" si="65"/>
        <v>0.46608636928151376</v>
      </c>
      <c r="I592" s="20">
        <f t="shared" si="66"/>
        <v>9.0187042324077593E-2</v>
      </c>
      <c r="J592" s="25">
        <f t="shared" si="67"/>
        <v>7.0778711242651081E-3</v>
      </c>
      <c r="K592" s="19">
        <f t="shared" si="68"/>
        <v>1360.677870016335</v>
      </c>
      <c r="L592" s="20">
        <f t="shared" si="69"/>
        <v>0.70950240069420534</v>
      </c>
      <c r="M592" s="20">
        <f t="shared" si="70"/>
        <v>-1.9502400694204058E-2</v>
      </c>
      <c r="AB592" s="20">
        <f t="shared" si="71"/>
        <v>0.71292393036807433</v>
      </c>
    </row>
    <row r="593" spans="1:28">
      <c r="A593" s="18" t="str">
        <f>Analysis!A593</f>
        <v>6/2007</v>
      </c>
      <c r="B593" s="19">
        <f>Analysis!B593</f>
        <v>2007.4583333333333</v>
      </c>
      <c r="C593" s="19">
        <f>Analysis!E593</f>
        <v>0.61000000000000121</v>
      </c>
      <c r="D593" s="20">
        <f>Analysis!F593</f>
        <v>0.4644068855296089</v>
      </c>
      <c r="E593" s="19">
        <f>IF(ENSO!F593="","",ENSO!F593)</f>
        <v>-0.41</v>
      </c>
      <c r="F593" s="25">
        <f>IF(Volcanic!G593="","",Volcanic!G593)</f>
        <v>7.2100000000000003E-3</v>
      </c>
      <c r="G593" s="19">
        <f>IF(Solar!D593="","",Solar!D593)</f>
        <v>1360.65</v>
      </c>
      <c r="H593" s="20">
        <f t="shared" si="65"/>
        <v>0.4644068855296089</v>
      </c>
      <c r="I593" s="20">
        <f t="shared" si="66"/>
        <v>1.3399190354419818E-2</v>
      </c>
      <c r="J593" s="25">
        <f t="shared" si="67"/>
        <v>7.088435565868861E-3</v>
      </c>
      <c r="K593" s="19">
        <f t="shared" si="68"/>
        <v>1360.6756416528644</v>
      </c>
      <c r="L593" s="20">
        <f t="shared" si="69"/>
        <v>0.69408856921782758</v>
      </c>
      <c r="M593" s="20">
        <f t="shared" si="70"/>
        <v>-8.408856921782637E-2</v>
      </c>
      <c r="AB593" s="20">
        <f t="shared" si="71"/>
        <v>0.69828906300730598</v>
      </c>
    </row>
    <row r="594" spans="1:28">
      <c r="A594" s="18" t="str">
        <f>Analysis!A594</f>
        <v>7/2007</v>
      </c>
      <c r="B594" s="19">
        <f>Analysis!B594</f>
        <v>2007.5416666666667</v>
      </c>
      <c r="C594" s="19">
        <f>Analysis!E594</f>
        <v>0.60000000000000142</v>
      </c>
      <c r="D594" s="20">
        <f>Analysis!F594</f>
        <v>0.45841950353975386</v>
      </c>
      <c r="E594" s="19">
        <f>IF(ENSO!F594="","",ENSO!F594)</f>
        <v>-0.49</v>
      </c>
      <c r="F594" s="25">
        <f>IF(Volcanic!G594="","",Volcanic!G594)</f>
        <v>7.1500000000000001E-3</v>
      </c>
      <c r="G594" s="19">
        <f>IF(Solar!D594="","",Solar!D594)</f>
        <v>1360.61</v>
      </c>
      <c r="H594" s="20">
        <f t="shared" si="65"/>
        <v>0.45841950353975386</v>
      </c>
      <c r="I594" s="20">
        <f t="shared" si="66"/>
        <v>-6.3881785040252104E-2</v>
      </c>
      <c r="J594" s="25">
        <f t="shared" si="67"/>
        <v>7.0933579862378308E-3</v>
      </c>
      <c r="K594" s="19">
        <f t="shared" si="68"/>
        <v>1360.6703932360849</v>
      </c>
      <c r="L594" s="20">
        <f t="shared" si="69"/>
        <v>0.66697498129469945</v>
      </c>
      <c r="M594" s="20">
        <f t="shared" si="70"/>
        <v>-6.6974981294698033E-2</v>
      </c>
      <c r="AB594" s="20">
        <f t="shared" si="71"/>
        <v>0.67206161643437667</v>
      </c>
    </row>
    <row r="595" spans="1:28">
      <c r="A595" s="18" t="str">
        <f>Analysis!A595</f>
        <v>8/2007</v>
      </c>
      <c r="B595" s="19">
        <f>Analysis!B595</f>
        <v>2007.625</v>
      </c>
      <c r="C595" s="19">
        <f>Analysis!E595</f>
        <v>0.60000000000000142</v>
      </c>
      <c r="D595" s="20">
        <f>Analysis!F595</f>
        <v>0.44905193173664115</v>
      </c>
      <c r="E595" s="19">
        <f>IF(ENSO!F595="","",ENSO!F595)</f>
        <v>-0.77</v>
      </c>
      <c r="F595" s="25">
        <f>IF(Volcanic!G595="","",Volcanic!G595)</f>
        <v>7.1999999999999998E-3</v>
      </c>
      <c r="G595" s="19">
        <f>IF(Solar!D595="","",Solar!D595)</f>
        <v>1360.66</v>
      </c>
      <c r="H595" s="20">
        <f t="shared" si="65"/>
        <v>0.44905193173664115</v>
      </c>
      <c r="I595" s="20">
        <f t="shared" si="66"/>
        <v>-0.17228383542419115</v>
      </c>
      <c r="J595" s="25">
        <f t="shared" si="67"/>
        <v>7.1018846108732931E-3</v>
      </c>
      <c r="K595" s="19">
        <f t="shared" si="68"/>
        <v>1360.6695622388099</v>
      </c>
      <c r="L595" s="20">
        <f t="shared" si="69"/>
        <v>0.62631670876347045</v>
      </c>
      <c r="M595" s="20">
        <f t="shared" si="70"/>
        <v>-2.6316708763469032E-2</v>
      </c>
      <c r="AB595" s="20">
        <f t="shared" si="71"/>
        <v>0.63266799899014858</v>
      </c>
    </row>
    <row r="596" spans="1:28">
      <c r="A596" s="18" t="str">
        <f>Analysis!A596</f>
        <v>9/2007</v>
      </c>
      <c r="B596" s="19">
        <f>Analysis!B596</f>
        <v>2007.7083333333333</v>
      </c>
      <c r="C596" s="19">
        <f>Analysis!E596</f>
        <v>0.60000000000000142</v>
      </c>
      <c r="D596" s="20">
        <f>Analysis!F596</f>
        <v>0.44512129207761308</v>
      </c>
      <c r="E596" s="19">
        <f>IF(ENSO!F596="","",ENSO!F596)</f>
        <v>-1.05</v>
      </c>
      <c r="F596" s="25">
        <f>IF(Volcanic!G596="","",Volcanic!G596)</f>
        <v>7.11E-3</v>
      </c>
      <c r="G596" s="19">
        <f>IF(Solar!D596="","",Solar!D596)</f>
        <v>1360.6</v>
      </c>
      <c r="H596" s="20">
        <f t="shared" si="65"/>
        <v>0.44512129207761308</v>
      </c>
      <c r="I596" s="20">
        <f t="shared" si="66"/>
        <v>-0.30702930704549519</v>
      </c>
      <c r="J596" s="25">
        <f t="shared" si="67"/>
        <v>7.102533481561429E-3</v>
      </c>
      <c r="K596" s="19">
        <f t="shared" si="68"/>
        <v>1360.6640003492862</v>
      </c>
      <c r="L596" s="20">
        <f t="shared" si="69"/>
        <v>0.59666996158031871</v>
      </c>
      <c r="M596" s="20">
        <f t="shared" si="70"/>
        <v>3.3300384196827126E-3</v>
      </c>
      <c r="AB596" s="20">
        <f t="shared" si="71"/>
        <v>0.60441939721606985</v>
      </c>
    </row>
    <row r="597" spans="1:28">
      <c r="A597" s="18" t="str">
        <f>Analysis!A597</f>
        <v>10/2007</v>
      </c>
      <c r="B597" s="19">
        <f>Analysis!B597</f>
        <v>2007.7916666666667</v>
      </c>
      <c r="C597" s="19">
        <f>Analysis!E597</f>
        <v>0.58999999999999986</v>
      </c>
      <c r="D597" s="20">
        <f>Analysis!F597</f>
        <v>0.44576453312043945</v>
      </c>
      <c r="E597" s="19">
        <f>IF(ENSO!F597="","",ENSO!F597)</f>
        <v>-1.38</v>
      </c>
      <c r="F597" s="25">
        <f>IF(Volcanic!G597="","",Volcanic!G597)</f>
        <v>6.9800000000000001E-3</v>
      </c>
      <c r="G597" s="19">
        <f>IF(Solar!D597="","",Solar!D597)</f>
        <v>1360.6</v>
      </c>
      <c r="H597" s="20">
        <f t="shared" si="65"/>
        <v>0.44576453312043945</v>
      </c>
      <c r="I597" s="20">
        <f t="shared" si="66"/>
        <v>-0.47174991707079328</v>
      </c>
      <c r="J597" s="25">
        <f t="shared" si="67"/>
        <v>7.092736245315678E-3</v>
      </c>
      <c r="K597" s="19">
        <f t="shared" si="68"/>
        <v>1360.6588831638951</v>
      </c>
      <c r="L597" s="20">
        <f t="shared" si="69"/>
        <v>0.57519709985727574</v>
      </c>
      <c r="M597" s="20">
        <f t="shared" si="70"/>
        <v>1.4802900142724118E-2</v>
      </c>
      <c r="AB597" s="20">
        <f t="shared" si="71"/>
        <v>0.58453460496288656</v>
      </c>
    </row>
    <row r="598" spans="1:28">
      <c r="A598" s="18" t="str">
        <f>Analysis!A598</f>
        <v>11/2007</v>
      </c>
      <c r="B598" s="19">
        <f>Analysis!B598</f>
        <v>2007.875</v>
      </c>
      <c r="C598" s="19">
        <f>Analysis!E598</f>
        <v>0.58999999999999986</v>
      </c>
      <c r="D598" s="20">
        <f>Analysis!F598</f>
        <v>0.4507870738361669</v>
      </c>
      <c r="E598" s="19">
        <f>IF(ENSO!F598="","",ENSO!F598)</f>
        <v>-1.57</v>
      </c>
      <c r="F598" s="25">
        <f>IF(Volcanic!G598="","",Volcanic!G598)</f>
        <v>6.94E-3</v>
      </c>
      <c r="G598" s="19">
        <f>IF(Solar!D598="","",Solar!D598)</f>
        <v>1360.59</v>
      </c>
      <c r="H598" s="20">
        <f t="shared" si="65"/>
        <v>0.4507870738361669</v>
      </c>
      <c r="I598" s="20">
        <f t="shared" si="66"/>
        <v>-0.6403513754408251</v>
      </c>
      <c r="J598" s="25">
        <f t="shared" si="67"/>
        <v>7.0805241294141438E-3</v>
      </c>
      <c r="K598" s="19">
        <f t="shared" si="68"/>
        <v>1360.6533755702037</v>
      </c>
      <c r="L598" s="20">
        <f t="shared" si="69"/>
        <v>0.56502714937300069</v>
      </c>
      <c r="M598" s="20">
        <f t="shared" si="70"/>
        <v>2.4972850626999166E-2</v>
      </c>
      <c r="AB598" s="20">
        <f t="shared" si="71"/>
        <v>0.5758901506360441</v>
      </c>
    </row>
    <row r="599" spans="1:28">
      <c r="A599" s="18" t="str">
        <f>Analysis!A599</f>
        <v>12/2007</v>
      </c>
      <c r="B599" s="19">
        <f>Analysis!B599</f>
        <v>2007.9583333333333</v>
      </c>
      <c r="C599" s="19">
        <f>Analysis!E599</f>
        <v>0.5</v>
      </c>
      <c r="D599" s="20">
        <f>Analysis!F599</f>
        <v>0.45639314071876497</v>
      </c>
      <c r="E599" s="19">
        <f>IF(ENSO!F599="","",ENSO!F599)</f>
        <v>-1.72</v>
      </c>
      <c r="F599" s="25">
        <f>IF(Volcanic!G599="","",Volcanic!G599)</f>
        <v>6.5900000000000004E-3</v>
      </c>
      <c r="G599" s="19">
        <f>IF(Solar!D599="","",Solar!D599)</f>
        <v>1360.6</v>
      </c>
      <c r="H599" s="20">
        <f t="shared" si="65"/>
        <v>0.45639314071876497</v>
      </c>
      <c r="I599" s="20">
        <f t="shared" si="66"/>
        <v>-0.80609717000737047</v>
      </c>
      <c r="J599" s="25">
        <f t="shared" si="67"/>
        <v>7.0413039855083941E-3</v>
      </c>
      <c r="K599" s="19">
        <f t="shared" si="68"/>
        <v>1360.6491078952436</v>
      </c>
      <c r="L599" s="20">
        <f t="shared" si="69"/>
        <v>0.55692977067716298</v>
      </c>
      <c r="M599" s="20">
        <f t="shared" si="70"/>
        <v>-5.6929770677162983E-2</v>
      </c>
      <c r="AB599" s="20">
        <f t="shared" si="71"/>
        <v>0.5692898402630806</v>
      </c>
    </row>
    <row r="600" spans="1:28">
      <c r="A600" s="18" t="str">
        <f>Analysis!A600</f>
        <v>1/2008</v>
      </c>
      <c r="B600" s="19">
        <f>Analysis!B600</f>
        <v>2008.0416666666667</v>
      </c>
      <c r="C600" s="19">
        <f>Analysis!E600</f>
        <v>0.30000000000000249</v>
      </c>
      <c r="D600" s="20">
        <f>Analysis!F600</f>
        <v>0.46235152448856948</v>
      </c>
      <c r="E600" s="19">
        <f>IF(ENSO!F600="","",ENSO!F600)</f>
        <v>-1.76</v>
      </c>
      <c r="F600" s="25">
        <f>IF(Volcanic!G600="","",Volcanic!G600)</f>
        <v>6.2500000000000003E-3</v>
      </c>
      <c r="G600" s="19">
        <f>IF(Solar!D600="","",Solar!D600)</f>
        <v>1360.69</v>
      </c>
      <c r="H600" s="20">
        <f t="shared" si="65"/>
        <v>0.46235152448856948</v>
      </c>
      <c r="I600" s="20">
        <f t="shared" si="66"/>
        <v>-0.95253868708980072</v>
      </c>
      <c r="J600" s="25">
        <f t="shared" si="67"/>
        <v>6.9780348121409206E-3</v>
      </c>
      <c r="K600" s="19">
        <f t="shared" si="68"/>
        <v>1360.6523774474165</v>
      </c>
      <c r="L600" s="20">
        <f t="shared" si="69"/>
        <v>0.55259094003685327</v>
      </c>
      <c r="M600" s="20">
        <f t="shared" si="70"/>
        <v>-0.25259094003685079</v>
      </c>
      <c r="AB600" s="20">
        <f t="shared" si="71"/>
        <v>0.56626399655908077</v>
      </c>
    </row>
    <row r="601" spans="1:28">
      <c r="A601" s="18" t="str">
        <f>Analysis!A601</f>
        <v>2/2008</v>
      </c>
      <c r="B601" s="19">
        <f>Analysis!B601</f>
        <v>2008.125</v>
      </c>
      <c r="C601" s="19">
        <f>Analysis!E601</f>
        <v>0.38000000000000256</v>
      </c>
      <c r="D601" s="20">
        <f>Analysis!F601</f>
        <v>0.46339825601108536</v>
      </c>
      <c r="E601" s="19">
        <f>IF(ENSO!F601="","",ENSO!F601)</f>
        <v>-1.61</v>
      </c>
      <c r="F601" s="25">
        <f>IF(Volcanic!G601="","",Volcanic!G601)</f>
        <v>6.2399999999999999E-3</v>
      </c>
      <c r="G601" s="19">
        <f>IF(Solar!D601="","",Solar!D601)</f>
        <v>1360.63</v>
      </c>
      <c r="H601" s="20">
        <f t="shared" si="65"/>
        <v>0.46339825601108536</v>
      </c>
      <c r="I601" s="20">
        <f t="shared" si="66"/>
        <v>-1.0534710137989267</v>
      </c>
      <c r="J601" s="25">
        <f t="shared" si="67"/>
        <v>6.9190248067122553E-3</v>
      </c>
      <c r="K601" s="19">
        <f t="shared" si="68"/>
        <v>1360.6505882455092</v>
      </c>
      <c r="L601" s="20">
        <f t="shared" si="69"/>
        <v>0.54137799993951019</v>
      </c>
      <c r="M601" s="20">
        <f t="shared" si="70"/>
        <v>-0.16137799993950763</v>
      </c>
      <c r="AB601" s="20">
        <f t="shared" si="71"/>
        <v>0.55603413754359554</v>
      </c>
    </row>
    <row r="602" spans="1:28">
      <c r="A602" s="18" t="str">
        <f>Analysis!A602</f>
        <v>3/2008</v>
      </c>
      <c r="B602" s="19">
        <f>Analysis!B602</f>
        <v>2008.2083333333333</v>
      </c>
      <c r="C602" s="19">
        <f>Analysis!E602</f>
        <v>0.75</v>
      </c>
      <c r="D602" s="20">
        <f>Analysis!F602</f>
        <v>0.46422015547914297</v>
      </c>
      <c r="E602" s="19">
        <f>IF(ENSO!F602="","",ENSO!F602)</f>
        <v>-1.37</v>
      </c>
      <c r="F602" s="25">
        <f>IF(Volcanic!G602="","",Volcanic!G602)</f>
        <v>6.1900000000000002E-3</v>
      </c>
      <c r="G602" s="19">
        <f>IF(Solar!D602="","",Solar!D602)</f>
        <v>1360.57</v>
      </c>
      <c r="H602" s="20">
        <f t="shared" si="65"/>
        <v>0.46422015547914297</v>
      </c>
      <c r="I602" s="20">
        <f t="shared" si="66"/>
        <v>-1.1020639977826381</v>
      </c>
      <c r="J602" s="25">
        <f t="shared" si="67"/>
        <v>6.8607352015418325E-3</v>
      </c>
      <c r="K602" s="19">
        <f t="shared" si="68"/>
        <v>1360.6441447651655</v>
      </c>
      <c r="L602" s="20">
        <f t="shared" si="69"/>
        <v>0.53694081013905903</v>
      </c>
      <c r="M602" s="20">
        <f t="shared" si="70"/>
        <v>0.21305918986094097</v>
      </c>
      <c r="AB602" s="20">
        <f t="shared" si="71"/>
        <v>0.55207703206673053</v>
      </c>
    </row>
    <row r="603" spans="1:28">
      <c r="A603" s="18" t="str">
        <f>Analysis!A603</f>
        <v>4/2008</v>
      </c>
      <c r="B603" s="19">
        <f>Analysis!B603</f>
        <v>2008.2916666666667</v>
      </c>
      <c r="C603" s="19">
        <f>Analysis!E603</f>
        <v>0.53999999999999915</v>
      </c>
      <c r="D603" s="20">
        <f>Analysis!F603</f>
        <v>0.46813642006500927</v>
      </c>
      <c r="E603" s="19">
        <f>IF(ENSO!F603="","",ENSO!F603)</f>
        <v>-1.05</v>
      </c>
      <c r="F603" s="25">
        <f>IF(Volcanic!G603="","",Volcanic!G603)</f>
        <v>6.2599999999999999E-3</v>
      </c>
      <c r="G603" s="19">
        <f>IF(Solar!D603="","",Solar!D603)</f>
        <v>1360.66</v>
      </c>
      <c r="H603" s="20">
        <f t="shared" si="65"/>
        <v>0.46813642006500927</v>
      </c>
      <c r="I603" s="20">
        <f t="shared" si="66"/>
        <v>-1.0940712226477487</v>
      </c>
      <c r="J603" s="25">
        <f t="shared" si="67"/>
        <v>6.8127030668497842E-3</v>
      </c>
      <c r="K603" s="19">
        <f t="shared" si="68"/>
        <v>1360.6454124797478</v>
      </c>
      <c r="L603" s="20">
        <f t="shared" si="69"/>
        <v>0.54882196228924551</v>
      </c>
      <c r="M603" s="20">
        <f t="shared" si="70"/>
        <v>-8.8219622892463656E-3</v>
      </c>
      <c r="AB603" s="20">
        <f t="shared" si="71"/>
        <v>0.56381271791512511</v>
      </c>
    </row>
    <row r="604" spans="1:28">
      <c r="A604" s="18" t="str">
        <f>Analysis!A604</f>
        <v>5/2008</v>
      </c>
      <c r="B604" s="19">
        <f>Analysis!B604</f>
        <v>2008.375</v>
      </c>
      <c r="C604" s="19">
        <f>Analysis!E604</f>
        <v>0.5</v>
      </c>
      <c r="D604" s="20">
        <f>Analysis!F604</f>
        <v>0.47352717715675879</v>
      </c>
      <c r="E604" s="19">
        <f>IF(ENSO!F604="","",ENSO!F604)</f>
        <v>-0.85</v>
      </c>
      <c r="F604" s="25">
        <f>IF(Volcanic!G604="","",Volcanic!G604)</f>
        <v>6.1000000000000004E-3</v>
      </c>
      <c r="G604" s="19">
        <f>IF(Solar!D604="","",Solar!D604)</f>
        <v>1360.64</v>
      </c>
      <c r="H604" s="20">
        <f t="shared" si="65"/>
        <v>0.47352717715675879</v>
      </c>
      <c r="I604" s="20">
        <f t="shared" si="66"/>
        <v>-1.0566018295430275</v>
      </c>
      <c r="J604" s="25">
        <f t="shared" si="67"/>
        <v>6.7557184759443334E-3</v>
      </c>
      <c r="K604" s="19">
        <f t="shared" si="68"/>
        <v>1360.6449797217615</v>
      </c>
      <c r="L604" s="20">
        <f t="shared" si="69"/>
        <v>0.56888053791843596</v>
      </c>
      <c r="M604" s="20">
        <f t="shared" si="70"/>
        <v>-6.8880537918435958E-2</v>
      </c>
      <c r="AB604" s="20">
        <f t="shared" si="71"/>
        <v>0.58340991629982852</v>
      </c>
    </row>
    <row r="605" spans="1:28">
      <c r="A605" s="18" t="str">
        <f>Analysis!A605</f>
        <v>6/2008</v>
      </c>
      <c r="B605" s="19">
        <f>Analysis!B605</f>
        <v>2008.4583333333333</v>
      </c>
      <c r="C605" s="19">
        <f>Analysis!E605</f>
        <v>0.5</v>
      </c>
      <c r="D605" s="20">
        <f>Analysis!F605</f>
        <v>0.47059264190111394</v>
      </c>
      <c r="E605" s="19">
        <f>IF(ENSO!F605="","",ENSO!F605)</f>
        <v>-0.56000000000000005</v>
      </c>
      <c r="F605" s="25">
        <f>IF(Volcanic!G605="","",Volcanic!G605)</f>
        <v>6.0099999999999997E-3</v>
      </c>
      <c r="G605" s="19">
        <f>IF(Solar!D605="","",Solar!D605)</f>
        <v>1360.6</v>
      </c>
      <c r="H605" s="20">
        <f t="shared" si="65"/>
        <v>0.47059264190111394</v>
      </c>
      <c r="I605" s="20">
        <f t="shared" si="66"/>
        <v>-0.98036437325541659</v>
      </c>
      <c r="J605" s="25">
        <f t="shared" si="67"/>
        <v>6.6960941186784756E-3</v>
      </c>
      <c r="K605" s="19">
        <f t="shared" si="68"/>
        <v>1360.6413833417782</v>
      </c>
      <c r="L605" s="20">
        <f t="shared" si="69"/>
        <v>0.5719060167506046</v>
      </c>
      <c r="M605" s="20">
        <f t="shared" si="70"/>
        <v>-7.1906016750604596E-2</v>
      </c>
      <c r="AB605" s="20">
        <f t="shared" si="71"/>
        <v>0.58579180960166299</v>
      </c>
    </row>
    <row r="606" spans="1:28">
      <c r="A606" s="18" t="str">
        <f>Analysis!A606</f>
        <v>7/2008</v>
      </c>
      <c r="B606" s="19">
        <f>Analysis!B606</f>
        <v>2008.5416666666667</v>
      </c>
      <c r="C606" s="19">
        <f>Analysis!E606</f>
        <v>0.60000000000000142</v>
      </c>
      <c r="D606" s="20">
        <f>Analysis!F606</f>
        <v>0.46548944347381965</v>
      </c>
      <c r="E606" s="19">
        <f>IF(ENSO!F606="","",ENSO!F606)</f>
        <v>-0.33</v>
      </c>
      <c r="F606" s="25">
        <f>IF(Volcanic!G606="","",Volcanic!G606)</f>
        <v>6.0899999999999999E-3</v>
      </c>
      <c r="G606" s="19">
        <f>IF(Solar!D606="","",Solar!D606)</f>
        <v>1360.6</v>
      </c>
      <c r="H606" s="20">
        <f t="shared" si="65"/>
        <v>0.46548944347381965</v>
      </c>
      <c r="I606" s="20">
        <f t="shared" si="66"/>
        <v>-0.88052155648064823</v>
      </c>
      <c r="J606" s="25">
        <f t="shared" si="67"/>
        <v>6.6476335086298136E-3</v>
      </c>
      <c r="K606" s="19">
        <f t="shared" si="68"/>
        <v>1360.6380745124618</v>
      </c>
      <c r="L606" s="20">
        <f t="shared" si="69"/>
        <v>0.57236039296095587</v>
      </c>
      <c r="M606" s="20">
        <f t="shared" si="70"/>
        <v>2.7639607039045555E-2</v>
      </c>
      <c r="AB606" s="20">
        <f t="shared" si="71"/>
        <v>0.58541846694755051</v>
      </c>
    </row>
    <row r="607" spans="1:28">
      <c r="A607" s="18" t="str">
        <f>Analysis!A607</f>
        <v>8/2008</v>
      </c>
      <c r="B607" s="19">
        <f>Analysis!B607</f>
        <v>2008.625</v>
      </c>
      <c r="C607" s="19">
        <f>Analysis!E607</f>
        <v>0.44999999999999751</v>
      </c>
      <c r="D607" s="20">
        <f>Analysis!F607</f>
        <v>0.45688122898594291</v>
      </c>
      <c r="E607" s="19">
        <f>IF(ENSO!F607="","",ENSO!F607)</f>
        <v>-0.2</v>
      </c>
      <c r="F607" s="25">
        <f>IF(Volcanic!G607="","",Volcanic!G607)</f>
        <v>6.4999999999999997E-3</v>
      </c>
      <c r="G607" s="19">
        <f>IF(Solar!D607="","",Solar!D607)</f>
        <v>1360.59</v>
      </c>
      <c r="H607" s="20">
        <f t="shared" si="65"/>
        <v>0.45688122898594291</v>
      </c>
      <c r="I607" s="20">
        <f t="shared" si="66"/>
        <v>-0.7760490609549846</v>
      </c>
      <c r="J607" s="25">
        <f t="shared" si="67"/>
        <v>6.6358293850269905E-3</v>
      </c>
      <c r="K607" s="19">
        <f t="shared" si="68"/>
        <v>1360.6342306866763</v>
      </c>
      <c r="L607" s="20">
        <f t="shared" si="69"/>
        <v>0.56386558810009757</v>
      </c>
      <c r="M607" s="20">
        <f t="shared" si="70"/>
        <v>-0.11386558810010006</v>
      </c>
      <c r="AB607" s="20">
        <f t="shared" si="71"/>
        <v>0.57611479801098842</v>
      </c>
    </row>
    <row r="608" spans="1:28">
      <c r="A608" s="18" t="str">
        <f>Analysis!A608</f>
        <v>9/2008</v>
      </c>
      <c r="B608" s="19">
        <f>Analysis!B608</f>
        <v>2008.7083333333333</v>
      </c>
      <c r="C608" s="19">
        <f>Analysis!E608</f>
        <v>0.60000000000000142</v>
      </c>
      <c r="D608" s="20">
        <f>Analysis!F608</f>
        <v>0.45346113832373852</v>
      </c>
      <c r="E608" s="19">
        <f>IF(ENSO!F608="","",ENSO!F608)</f>
        <v>-0.25</v>
      </c>
      <c r="F608" s="25">
        <f>IF(Volcanic!G608="","",Volcanic!G608)</f>
        <v>7.62E-3</v>
      </c>
      <c r="G608" s="19">
        <f>IF(Solar!D608="","",Solar!D608)</f>
        <v>1360.58</v>
      </c>
      <c r="H608" s="20">
        <f t="shared" si="65"/>
        <v>0.45346113832373852</v>
      </c>
      <c r="I608" s="20">
        <f t="shared" si="66"/>
        <v>-0.69529091649426322</v>
      </c>
      <c r="J608" s="25">
        <f t="shared" si="67"/>
        <v>6.7145193226517763E-3</v>
      </c>
      <c r="K608" s="19">
        <f t="shared" si="68"/>
        <v>1360.6298946403781</v>
      </c>
      <c r="L608" s="20">
        <f t="shared" si="69"/>
        <v>0.5657467901224954</v>
      </c>
      <c r="M608" s="20">
        <f t="shared" si="70"/>
        <v>3.4253209877506019E-2</v>
      </c>
      <c r="AB608" s="20">
        <f t="shared" si="71"/>
        <v>0.57725429387266469</v>
      </c>
    </row>
    <row r="609" spans="1:28">
      <c r="A609" s="18" t="str">
        <f>Analysis!A609</f>
        <v>10/2008</v>
      </c>
      <c r="B609" s="19">
        <f>Analysis!B609</f>
        <v>2008.7916666666667</v>
      </c>
      <c r="C609" s="19">
        <f>Analysis!E609</f>
        <v>0.66999999999999993</v>
      </c>
      <c r="D609" s="20">
        <f>Analysis!F609</f>
        <v>0.45274602917491535</v>
      </c>
      <c r="E609" s="19">
        <f>IF(ENSO!F609="","",ENSO!F609)</f>
        <v>-0.36</v>
      </c>
      <c r="F609" s="25">
        <f>IF(Volcanic!G609="","",Volcanic!G609)</f>
        <v>7.6600000000000001E-3</v>
      </c>
      <c r="G609" s="19">
        <f>IF(Solar!D609="","",Solar!D609)</f>
        <v>1360.6</v>
      </c>
      <c r="H609" s="20">
        <f t="shared" si="65"/>
        <v>0.45274602917491535</v>
      </c>
      <c r="I609" s="20">
        <f t="shared" si="66"/>
        <v>-0.64381763333421882</v>
      </c>
      <c r="J609" s="25">
        <f t="shared" si="67"/>
        <v>6.7901157836658173E-3</v>
      </c>
      <c r="K609" s="19">
        <f t="shared" si="68"/>
        <v>1360.6275043969072</v>
      </c>
      <c r="L609" s="20">
        <f t="shared" si="69"/>
        <v>0.57082051874944228</v>
      </c>
      <c r="M609" s="20">
        <f t="shared" si="70"/>
        <v>9.9179481250557644E-2</v>
      </c>
      <c r="AB609" s="20">
        <f t="shared" si="71"/>
        <v>0.58180932276223118</v>
      </c>
    </row>
    <row r="610" spans="1:28">
      <c r="A610" s="18" t="str">
        <f>Analysis!A610</f>
        <v>11/2008</v>
      </c>
      <c r="B610" s="19">
        <f>Analysis!B610</f>
        <v>2008.875</v>
      </c>
      <c r="C610" s="19">
        <f>Analysis!E610</f>
        <v>0.69000000000000128</v>
      </c>
      <c r="D610" s="20">
        <f>Analysis!F610</f>
        <v>0.45721903954172527</v>
      </c>
      <c r="E610" s="19">
        <f>IF(ENSO!F610="","",ENSO!F610)</f>
        <v>-0.56999999999999995</v>
      </c>
      <c r="F610" s="25">
        <f>IF(Volcanic!G610="","",Volcanic!G610)</f>
        <v>7.6499999999999997E-3</v>
      </c>
      <c r="G610" s="19">
        <f>IF(Solar!D610="","",Solar!D610)</f>
        <v>1360.59</v>
      </c>
      <c r="H610" s="20">
        <f t="shared" si="65"/>
        <v>0.45721903954172527</v>
      </c>
      <c r="I610" s="20">
        <f t="shared" si="66"/>
        <v>-0.63248527759209239</v>
      </c>
      <c r="J610" s="25">
        <f t="shared" si="67"/>
        <v>6.8588683295338227E-3</v>
      </c>
      <c r="K610" s="19">
        <f t="shared" si="68"/>
        <v>1360.6245057108983</v>
      </c>
      <c r="L610" s="20">
        <f t="shared" si="69"/>
        <v>0.58428231537417075</v>
      </c>
      <c r="M610" s="20">
        <f t="shared" si="70"/>
        <v>0.10571768462583053</v>
      </c>
      <c r="AB610" s="20">
        <f t="shared" si="71"/>
        <v>0.59502506025264368</v>
      </c>
    </row>
    <row r="611" spans="1:28">
      <c r="A611" s="18" t="str">
        <f>Analysis!A611</f>
        <v>12/2008</v>
      </c>
      <c r="B611" s="19">
        <f>Analysis!B611</f>
        <v>2008.9583333333333</v>
      </c>
      <c r="C611" s="19">
        <f>Analysis!E611</f>
        <v>0.53999999999999915</v>
      </c>
      <c r="D611" s="20">
        <f>Analysis!F611</f>
        <v>0.4623889208373384</v>
      </c>
      <c r="E611" s="19">
        <f>IF(ENSO!F611="","",ENSO!F611)</f>
        <v>-0.79</v>
      </c>
      <c r="F611" s="25">
        <f>IF(Volcanic!G611="","",Volcanic!G611)</f>
        <v>7.26E-3</v>
      </c>
      <c r="G611" s="19">
        <f>IF(Solar!D611="","",Solar!D611)</f>
        <v>1360.57</v>
      </c>
      <c r="H611" s="20">
        <f t="shared" si="65"/>
        <v>0.4623889208373384</v>
      </c>
      <c r="I611" s="20">
        <f t="shared" si="66"/>
        <v>-0.65666666608048818</v>
      </c>
      <c r="J611" s="25">
        <f t="shared" si="67"/>
        <v>6.8909410470566635E-3</v>
      </c>
      <c r="K611" s="19">
        <f t="shared" si="68"/>
        <v>1360.6201476748774</v>
      </c>
      <c r="L611" s="20">
        <f t="shared" si="69"/>
        <v>0.59474126981986808</v>
      </c>
      <c r="M611" s="20">
        <f t="shared" si="70"/>
        <v>-5.4741269819868932E-2</v>
      </c>
      <c r="AB611" s="20">
        <f t="shared" si="71"/>
        <v>0.60558379060111622</v>
      </c>
    </row>
    <row r="612" spans="1:28">
      <c r="A612" s="18" t="str">
        <f>Analysis!A612</f>
        <v>1/2009</v>
      </c>
      <c r="B612" s="19">
        <f>Analysis!B612</f>
        <v>2009.0416666666667</v>
      </c>
      <c r="C612" s="19">
        <f>Analysis!E612</f>
        <v>0.65000000000000213</v>
      </c>
      <c r="D612" s="20">
        <f>Analysis!F612</f>
        <v>0.46754034205383838</v>
      </c>
      <c r="E612" s="19">
        <f>IF(ENSO!F612="","",ENSO!F612)</f>
        <v>-0.89</v>
      </c>
      <c r="F612" s="25">
        <f>IF(Volcanic!G612="","",Volcanic!G612)</f>
        <v>6.96E-3</v>
      </c>
      <c r="G612" s="19">
        <f>IF(Solar!D612="","",Solar!D612)</f>
        <v>1360.56</v>
      </c>
      <c r="H612" s="20">
        <f t="shared" si="65"/>
        <v>0.46754034205383838</v>
      </c>
      <c r="I612" s="20">
        <f t="shared" si="66"/>
        <v>-0.69248759702933405</v>
      </c>
      <c r="J612" s="25">
        <f t="shared" si="67"/>
        <v>6.8964626960643337E-3</v>
      </c>
      <c r="K612" s="19">
        <f t="shared" si="68"/>
        <v>1360.6153385323239</v>
      </c>
      <c r="L612" s="20">
        <f t="shared" si="69"/>
        <v>0.60359779267794966</v>
      </c>
      <c r="M612" s="20">
        <f t="shared" si="70"/>
        <v>4.6402207322052469E-2</v>
      </c>
      <c r="AB612" s="20">
        <f t="shared" si="71"/>
        <v>0.61466603029655398</v>
      </c>
    </row>
    <row r="613" spans="1:28">
      <c r="A613" s="18" t="str">
        <f>Analysis!A613</f>
        <v>2/2009</v>
      </c>
      <c r="B613" s="19">
        <f>Analysis!B613</f>
        <v>2009.125</v>
      </c>
      <c r="C613" s="19">
        <f>Analysis!E613</f>
        <v>0.52999999999999758</v>
      </c>
      <c r="D613" s="20">
        <f>Analysis!F613</f>
        <v>0.46951390791885167</v>
      </c>
      <c r="E613" s="19">
        <f>IF(ENSO!F613="","",ENSO!F613)</f>
        <v>-0.84</v>
      </c>
      <c r="F613" s="25">
        <f>IF(Volcanic!G613="","",Volcanic!G613)</f>
        <v>6.6899999999999998E-3</v>
      </c>
      <c r="G613" s="19">
        <f>IF(Solar!D613="","",Solar!D613)</f>
        <v>1360.58</v>
      </c>
      <c r="H613" s="20">
        <f t="shared" si="65"/>
        <v>0.46951390791885167</v>
      </c>
      <c r="I613" s="20">
        <f t="shared" si="66"/>
        <v>-0.71513344669063139</v>
      </c>
      <c r="J613" s="25">
        <f t="shared" si="67"/>
        <v>6.8799548503433016E-3</v>
      </c>
      <c r="K613" s="19">
        <f t="shared" si="68"/>
        <v>1360.6125130192859</v>
      </c>
      <c r="L613" s="20">
        <f t="shared" si="69"/>
        <v>0.60579485455247206</v>
      </c>
      <c r="M613" s="20">
        <f t="shared" si="70"/>
        <v>-7.5794854552474478E-2</v>
      </c>
      <c r="AB613" s="20">
        <f t="shared" si="71"/>
        <v>0.61704496190250135</v>
      </c>
    </row>
    <row r="614" spans="1:28">
      <c r="A614" s="18" t="str">
        <f>Analysis!A614</f>
        <v>3/2009</v>
      </c>
      <c r="B614" s="19">
        <f>Analysis!B614</f>
        <v>2009.2083333333333</v>
      </c>
      <c r="C614" s="19">
        <f>Analysis!E614</f>
        <v>0.52999999999999758</v>
      </c>
      <c r="D614" s="20">
        <f>Analysis!F614</f>
        <v>0.47449166951900662</v>
      </c>
      <c r="E614" s="19">
        <f>IF(ENSO!F614="","",ENSO!F614)</f>
        <v>-0.63</v>
      </c>
      <c r="F614" s="25">
        <f>IF(Volcanic!G614="","",Volcanic!G614)</f>
        <v>7.2500000000000004E-3</v>
      </c>
      <c r="G614" s="19">
        <f>IF(Solar!D614="","",Solar!D614)</f>
        <v>1360.59</v>
      </c>
      <c r="H614" s="20">
        <f t="shared" si="65"/>
        <v>0.47449166951900662</v>
      </c>
      <c r="I614" s="20">
        <f t="shared" si="66"/>
        <v>-0.70206390680056874</v>
      </c>
      <c r="J614" s="25">
        <f t="shared" si="67"/>
        <v>6.9095420268976823E-3</v>
      </c>
      <c r="K614" s="19">
        <f t="shared" si="68"/>
        <v>1360.6107129776503</v>
      </c>
      <c r="L614" s="20">
        <f t="shared" si="69"/>
        <v>0.62099960320424741</v>
      </c>
      <c r="M614" s="20">
        <f t="shared" si="70"/>
        <v>-9.0999603204249824E-2</v>
      </c>
      <c r="AB614" s="20">
        <f t="shared" si="71"/>
        <v>0.63199365674695351</v>
      </c>
    </row>
    <row r="615" spans="1:28">
      <c r="A615" s="18" t="str">
        <f>Analysis!A615</f>
        <v>4/2009</v>
      </c>
      <c r="B615" s="19">
        <f>Analysis!B615</f>
        <v>2009.2916666666667</v>
      </c>
      <c r="C615" s="19">
        <f>Analysis!E615</f>
        <v>0.61000000000000121</v>
      </c>
      <c r="D615" s="20">
        <f>Analysis!F615</f>
        <v>0.47715921118664112</v>
      </c>
      <c r="E615" s="19">
        <f>IF(ENSO!F615="","",ENSO!F615)</f>
        <v>-0.35</v>
      </c>
      <c r="F615" s="25">
        <f>IF(Volcanic!G615="","",Volcanic!G615)</f>
        <v>7.7200000000000003E-3</v>
      </c>
      <c r="G615" s="19">
        <f>IF(Solar!D615="","",Solar!D615)</f>
        <v>1360.58</v>
      </c>
      <c r="H615" s="20">
        <f t="shared" si="65"/>
        <v>0.47715921118664112</v>
      </c>
      <c r="I615" s="20">
        <f t="shared" si="66"/>
        <v>-0.64801566310027381</v>
      </c>
      <c r="J615" s="25">
        <f t="shared" si="67"/>
        <v>6.9743426685554104E-3</v>
      </c>
      <c r="K615" s="19">
        <f t="shared" si="68"/>
        <v>1360.6082573035437</v>
      </c>
      <c r="L615" s="20">
        <f t="shared" si="69"/>
        <v>0.63562061255429936</v>
      </c>
      <c r="M615" s="20">
        <f t="shared" si="70"/>
        <v>-2.562061255429815E-2</v>
      </c>
      <c r="AB615" s="20">
        <f t="shared" si="71"/>
        <v>0.6459977902695081</v>
      </c>
    </row>
    <row r="616" spans="1:28">
      <c r="A616" s="18" t="str">
        <f>Analysis!A616</f>
        <v>5/2009</v>
      </c>
      <c r="B616" s="19">
        <f>Analysis!B616</f>
        <v>2009.375</v>
      </c>
      <c r="C616" s="19">
        <f>Analysis!E616</f>
        <v>0.65000000000000213</v>
      </c>
      <c r="D616" s="20">
        <f>Analysis!F616</f>
        <v>0.47937840104259694</v>
      </c>
      <c r="E616" s="19">
        <f>IF(ENSO!F616="","",ENSO!F616)</f>
        <v>0.03</v>
      </c>
      <c r="F616" s="25">
        <f>IF(Volcanic!G616="","",Volcanic!G616)</f>
        <v>7.2700000000000004E-3</v>
      </c>
      <c r="G616" s="19">
        <f>IF(Solar!D616="","",Solar!D616)</f>
        <v>1360.64</v>
      </c>
      <c r="H616" s="20">
        <f t="shared" si="65"/>
        <v>0.47937840104259694</v>
      </c>
      <c r="I616" s="20">
        <f t="shared" si="66"/>
        <v>-0.5439278680039733</v>
      </c>
      <c r="J616" s="25">
        <f t="shared" si="67"/>
        <v>6.9979821235601949E-3</v>
      </c>
      <c r="K616" s="19">
        <f t="shared" si="68"/>
        <v>1360.6107953094202</v>
      </c>
      <c r="L616" s="20">
        <f t="shared" si="69"/>
        <v>0.65623046529290985</v>
      </c>
      <c r="M616" s="20">
        <f t="shared" si="70"/>
        <v>-6.2304652929077164E-3</v>
      </c>
      <c r="AB616" s="20">
        <f t="shared" si="71"/>
        <v>0.66553509187144233</v>
      </c>
    </row>
    <row r="617" spans="1:28">
      <c r="A617" s="18" t="str">
        <f>Analysis!A617</f>
        <v>6/2009</v>
      </c>
      <c r="B617" s="19">
        <f>Analysis!B617</f>
        <v>2009.4583333333333</v>
      </c>
      <c r="C617" s="19">
        <f>Analysis!E617</f>
        <v>0.63000000000000256</v>
      </c>
      <c r="D617" s="20">
        <f>Analysis!F617</f>
        <v>0.47693710433670838</v>
      </c>
      <c r="E617" s="19">
        <f>IF(ENSO!F617="","",ENSO!F617)</f>
        <v>0.34</v>
      </c>
      <c r="F617" s="25">
        <f>IF(Volcanic!G617="","",Volcanic!G617)</f>
        <v>7.0099999999999997E-3</v>
      </c>
      <c r="G617" s="19">
        <f>IF(Solar!D617="","",Solar!D617)</f>
        <v>1360.62</v>
      </c>
      <c r="H617" s="20">
        <f t="shared" si="65"/>
        <v>0.47693710433670838</v>
      </c>
      <c r="I617" s="20">
        <f t="shared" si="66"/>
        <v>-0.40822878638688642</v>
      </c>
      <c r="J617" s="25">
        <f t="shared" si="67"/>
        <v>6.9989430199058518E-3</v>
      </c>
      <c r="K617" s="19">
        <f t="shared" si="68"/>
        <v>1360.6115312758436</v>
      </c>
      <c r="L617" s="20">
        <f t="shared" si="69"/>
        <v>0.66877550148533649</v>
      </c>
      <c r="M617" s="20">
        <f t="shared" si="70"/>
        <v>-3.877550148533393E-2</v>
      </c>
      <c r="AB617" s="20">
        <f t="shared" si="71"/>
        <v>0.67681946708504537</v>
      </c>
    </row>
    <row r="618" spans="1:28">
      <c r="A618" s="18" t="str">
        <f>Analysis!A618</f>
        <v>7/2009</v>
      </c>
      <c r="B618" s="19">
        <f>Analysis!B618</f>
        <v>2009.5416666666667</v>
      </c>
      <c r="C618" s="19">
        <f>Analysis!E618</f>
        <v>0.73999999999999666</v>
      </c>
      <c r="D618" s="20">
        <f>Analysis!F618</f>
        <v>0.47152193804450682</v>
      </c>
      <c r="E618" s="19">
        <f>IF(ENSO!F618="","",ENSO!F618)</f>
        <v>0.5</v>
      </c>
      <c r="F618" s="25">
        <f>IF(Volcanic!G618="","",Volcanic!G618)</f>
        <v>8.9499999999999996E-3</v>
      </c>
      <c r="G618" s="19">
        <f>IF(Solar!D618="","",Solar!D618)</f>
        <v>1360.59</v>
      </c>
      <c r="H618" s="20">
        <f t="shared" si="65"/>
        <v>0.47152193804450682</v>
      </c>
      <c r="I618" s="20">
        <f t="shared" si="66"/>
        <v>-0.26879906969608075</v>
      </c>
      <c r="J618" s="25">
        <f t="shared" si="67"/>
        <v>7.154940922840824E-3</v>
      </c>
      <c r="K618" s="19">
        <f t="shared" si="68"/>
        <v>1360.6098097300796</v>
      </c>
      <c r="L618" s="20">
        <f t="shared" si="69"/>
        <v>0.67327920361236493</v>
      </c>
      <c r="M618" s="20">
        <f t="shared" si="70"/>
        <v>6.6720796387631731E-2</v>
      </c>
      <c r="AB618" s="20">
        <f t="shared" si="71"/>
        <v>0.68002173540295696</v>
      </c>
    </row>
    <row r="619" spans="1:28">
      <c r="A619" s="18" t="str">
        <f>Analysis!A619</f>
        <v>8/2009</v>
      </c>
      <c r="B619" s="19">
        <f>Analysis!B619</f>
        <v>2009.625</v>
      </c>
      <c r="C619" s="19">
        <f>Analysis!E619</f>
        <v>0.69000000000000128</v>
      </c>
      <c r="D619" s="20">
        <f>Analysis!F619</f>
        <v>0.46425750342278521</v>
      </c>
      <c r="E619" s="19">
        <f>IF(ENSO!F619="","",ENSO!F619)</f>
        <v>0.56000000000000005</v>
      </c>
      <c r="F619" s="25">
        <f>IF(Volcanic!G619="","",Volcanic!G619)</f>
        <v>9.9000000000000008E-3</v>
      </c>
      <c r="G619" s="19">
        <f>IF(Solar!D619="","",Solar!D619)</f>
        <v>1360.59</v>
      </c>
      <c r="H619" s="20">
        <f t="shared" si="65"/>
        <v>0.46425750342278521</v>
      </c>
      <c r="I619" s="20">
        <f t="shared" si="66"/>
        <v>-0.14156326610407474</v>
      </c>
      <c r="J619" s="25">
        <f t="shared" si="67"/>
        <v>7.3744237282321757E-3</v>
      </c>
      <c r="K619" s="19">
        <f t="shared" si="68"/>
        <v>1360.608225831515</v>
      </c>
      <c r="L619" s="20">
        <f t="shared" si="69"/>
        <v>0.67084598072141866</v>
      </c>
      <c r="M619" s="20">
        <f t="shared" si="70"/>
        <v>1.9154019278582624E-2</v>
      </c>
      <c r="AB619" s="20">
        <f t="shared" si="71"/>
        <v>0.67641814476130901</v>
      </c>
    </row>
    <row r="620" spans="1:28">
      <c r="A620" s="18" t="str">
        <f>Analysis!A620</f>
        <v>9/2009</v>
      </c>
      <c r="B620" s="19">
        <f>Analysis!B620</f>
        <v>2009.7083333333333</v>
      </c>
      <c r="C620" s="19">
        <f>Analysis!E620</f>
        <v>0.72000000000000242</v>
      </c>
      <c r="D620" s="20">
        <f>Analysis!F620</f>
        <v>0.45924424347749254</v>
      </c>
      <c r="E620" s="19">
        <f>IF(ENSO!F620="","",ENSO!F620)</f>
        <v>0.66</v>
      </c>
      <c r="F620" s="25">
        <f>IF(Volcanic!G620="","",Volcanic!G620)</f>
        <v>9.9000000000000008E-3</v>
      </c>
      <c r="G620" s="19">
        <f>IF(Solar!D620="","",Solar!D620)</f>
        <v>1360.59</v>
      </c>
      <c r="H620" s="20">
        <f t="shared" si="65"/>
        <v>0.45924424347749254</v>
      </c>
      <c r="I620" s="20">
        <f t="shared" si="66"/>
        <v>-1.8508656100731505E-2</v>
      </c>
      <c r="J620" s="25">
        <f t="shared" si="67"/>
        <v>7.5763576574396632E-3</v>
      </c>
      <c r="K620" s="19">
        <f t="shared" si="68"/>
        <v>1360.6067685744872</v>
      </c>
      <c r="L620" s="20">
        <f t="shared" si="69"/>
        <v>0.67396980409069984</v>
      </c>
      <c r="M620" s="20">
        <f t="shared" si="70"/>
        <v>4.6030195909302574E-2</v>
      </c>
      <c r="AB620" s="20">
        <f t="shared" si="71"/>
        <v>0.67836837027280916</v>
      </c>
    </row>
    <row r="621" spans="1:28">
      <c r="A621" s="18" t="str">
        <f>Analysis!A621</f>
        <v>10/2009</v>
      </c>
      <c r="B621" s="19">
        <f>Analysis!B621</f>
        <v>2009.7916666666667</v>
      </c>
      <c r="C621" s="19">
        <f>Analysis!E621</f>
        <v>0.65000000000000213</v>
      </c>
      <c r="D621" s="20">
        <f>Analysis!F621</f>
        <v>0.45808197399149425</v>
      </c>
      <c r="E621" s="19">
        <f>IF(ENSO!F621="","",ENSO!F621)</f>
        <v>0.92</v>
      </c>
      <c r="F621" s="25">
        <f>IF(Volcanic!G621="","",Volcanic!G621)</f>
        <v>9.0600000000000003E-3</v>
      </c>
      <c r="G621" s="19">
        <f>IF(Solar!D621="","",Solar!D621)</f>
        <v>1360.6</v>
      </c>
      <c r="H621" s="20">
        <f t="shared" si="65"/>
        <v>0.45808197399149425</v>
      </c>
      <c r="I621" s="20">
        <f t="shared" si="66"/>
        <v>0.12556957395908064</v>
      </c>
      <c r="J621" s="25">
        <f t="shared" si="67"/>
        <v>7.6949831494197967E-3</v>
      </c>
      <c r="K621" s="19">
        <f t="shared" si="68"/>
        <v>1360.6062273891519</v>
      </c>
      <c r="L621" s="20">
        <f t="shared" si="69"/>
        <v>0.69075686314945639</v>
      </c>
      <c r="M621" s="20">
        <f t="shared" si="70"/>
        <v>-4.0756863149454259E-2</v>
      </c>
      <c r="AB621" s="20">
        <f t="shared" si="71"/>
        <v>0.6937281392070066</v>
      </c>
    </row>
    <row r="622" spans="1:28">
      <c r="A622" s="18" t="str">
        <f>Analysis!A622</f>
        <v>11/2009</v>
      </c>
      <c r="B622" s="19">
        <f>Analysis!B622</f>
        <v>2009.875</v>
      </c>
      <c r="C622" s="19">
        <f>Analysis!E622</f>
        <v>0.79999999999999893</v>
      </c>
      <c r="D622" s="20">
        <f>Analysis!F622</f>
        <v>0.46403340125681564</v>
      </c>
      <c r="E622" s="19">
        <f>IF(ENSO!F622="","",ENSO!F622)</f>
        <v>1.31</v>
      </c>
      <c r="F622" s="25">
        <f>IF(Volcanic!G622="","",Volcanic!G622)</f>
        <v>8.6099999999999996E-3</v>
      </c>
      <c r="G622" s="19">
        <f>IF(Solar!D622="","",Solar!D622)</f>
        <v>1360.68</v>
      </c>
      <c r="H622" s="20">
        <f t="shared" si="65"/>
        <v>0.46403340125681564</v>
      </c>
      <c r="I622" s="20">
        <f t="shared" si="66"/>
        <v>0.30740128995195759</v>
      </c>
      <c r="J622" s="25">
        <f t="shared" si="67"/>
        <v>7.7681438573319701E-3</v>
      </c>
      <c r="K622" s="19">
        <f t="shared" si="68"/>
        <v>1360.6121259214367</v>
      </c>
      <c r="L622" s="20">
        <f t="shared" si="69"/>
        <v>0.73226263831975347</v>
      </c>
      <c r="M622" s="20">
        <f t="shared" si="70"/>
        <v>6.7737361680245467E-2</v>
      </c>
      <c r="AB622" s="20">
        <f t="shared" si="71"/>
        <v>0.73329715228095227</v>
      </c>
    </row>
    <row r="623" spans="1:28">
      <c r="A623" s="18" t="str">
        <f>Analysis!A623</f>
        <v>12/2009</v>
      </c>
      <c r="B623" s="19">
        <f>Analysis!B623</f>
        <v>2009.9583333333333</v>
      </c>
      <c r="C623" s="19">
        <f>Analysis!E623</f>
        <v>0.66999999999999993</v>
      </c>
      <c r="D623" s="20">
        <f>Analysis!F623</f>
        <v>0.46925340296447982</v>
      </c>
      <c r="E623" s="19">
        <f>IF(ENSO!F623="","",ENSO!F623)</f>
        <v>1.5</v>
      </c>
      <c r="F623" s="25">
        <f>IF(Volcanic!G623="","",Volcanic!G623)</f>
        <v>7.7200000000000003E-3</v>
      </c>
      <c r="G623" s="19">
        <f>IF(Solar!D623="","",Solar!D623)</f>
        <v>1360.67</v>
      </c>
      <c r="H623" s="20">
        <f t="shared" si="65"/>
        <v>0.46925340296447982</v>
      </c>
      <c r="I623" s="20">
        <f t="shared" si="66"/>
        <v>0.49048698681621167</v>
      </c>
      <c r="J623" s="25">
        <f t="shared" si="67"/>
        <v>7.7642944870369903E-3</v>
      </c>
      <c r="K623" s="19">
        <f t="shared" si="68"/>
        <v>1360.6167532772661</v>
      </c>
      <c r="L623" s="20">
        <f t="shared" si="69"/>
        <v>0.77222872188387903</v>
      </c>
      <c r="M623" s="20">
        <f t="shared" si="70"/>
        <v>-0.1022287218838791</v>
      </c>
      <c r="AB623" s="20">
        <f t="shared" si="71"/>
        <v>0.77136770354632433</v>
      </c>
    </row>
    <row r="624" spans="1:28">
      <c r="A624" s="18" t="str">
        <f>Analysis!A624</f>
        <v>1/2010</v>
      </c>
      <c r="B624" s="19">
        <f>Analysis!B624</f>
        <v>2010.0416666666667</v>
      </c>
      <c r="C624" s="19">
        <f>Analysis!E624</f>
        <v>0.75</v>
      </c>
      <c r="D624" s="20">
        <f>Analysis!F624</f>
        <v>0.47400950393751357</v>
      </c>
      <c r="E624" s="19">
        <f>IF(ENSO!F624="","",ENSO!F624)</f>
        <v>1.47</v>
      </c>
      <c r="F624" s="25">
        <f>IF(Volcanic!G624="","",Volcanic!G624)</f>
        <v>6.96E-3</v>
      </c>
      <c r="G624" s="19">
        <f>IF(Solar!D624="","",Solar!D624)</f>
        <v>1360.69</v>
      </c>
      <c r="H624" s="20">
        <f t="shared" si="65"/>
        <v>0.47400950393751357</v>
      </c>
      <c r="I624" s="20">
        <f t="shared" si="66"/>
        <v>0.64086013504738393</v>
      </c>
      <c r="J624" s="25">
        <f t="shared" si="67"/>
        <v>7.6999866505155397E-3</v>
      </c>
      <c r="K624" s="19">
        <f t="shared" si="68"/>
        <v>1360.6226097618589</v>
      </c>
      <c r="L624" s="20">
        <f t="shared" si="69"/>
        <v>0.80652900835702201</v>
      </c>
      <c r="M624" s="20">
        <f t="shared" si="70"/>
        <v>-5.6529008357022015E-2</v>
      </c>
      <c r="AB624" s="20">
        <f t="shared" si="71"/>
        <v>0.80412924185284695</v>
      </c>
    </row>
    <row r="625" spans="1:28">
      <c r="A625" s="18" t="str">
        <f>Analysis!A625</f>
        <v>2/2010</v>
      </c>
      <c r="B625" s="19">
        <f>Analysis!B625</f>
        <v>2010.125</v>
      </c>
      <c r="C625" s="19">
        <f>Analysis!E625</f>
        <v>0.83999999999999986</v>
      </c>
      <c r="D625" s="20">
        <f>Analysis!F625</f>
        <v>0.47956317953598965</v>
      </c>
      <c r="E625" s="19">
        <f>IF(ENSO!F625="","",ENSO!F625)</f>
        <v>1.21</v>
      </c>
      <c r="F625" s="25">
        <f>IF(Volcanic!G625="","",Volcanic!G625)</f>
        <v>6.3400000000000001E-3</v>
      </c>
      <c r="G625" s="19">
        <f>IF(Solar!D625="","",Solar!D625)</f>
        <v>1360.8</v>
      </c>
      <c r="H625" s="20">
        <f t="shared" si="65"/>
        <v>0.47956317953598965</v>
      </c>
      <c r="I625" s="20">
        <f t="shared" si="66"/>
        <v>0.72823350541089837</v>
      </c>
      <c r="J625" s="25">
        <f t="shared" si="67"/>
        <v>7.5912481217772646E-3</v>
      </c>
      <c r="K625" s="19">
        <f t="shared" si="68"/>
        <v>1360.6367931021887</v>
      </c>
      <c r="L625" s="20">
        <f t="shared" si="69"/>
        <v>0.83424621092293894</v>
      </c>
      <c r="M625" s="20">
        <f t="shared" si="70"/>
        <v>5.7537890770609224E-3</v>
      </c>
      <c r="AB625" s="20">
        <f t="shared" si="71"/>
        <v>0.8309215734015456</v>
      </c>
    </row>
    <row r="626" spans="1:28">
      <c r="A626" s="18" t="str">
        <f>Analysis!A626</f>
        <v>3/2010</v>
      </c>
      <c r="B626" s="19">
        <f>Analysis!B626</f>
        <v>2010.2083333333333</v>
      </c>
      <c r="C626" s="19">
        <f>Analysis!E626</f>
        <v>0.91999999999999993</v>
      </c>
      <c r="D626" s="20">
        <f>Analysis!F626</f>
        <v>0.48310634496717497</v>
      </c>
      <c r="E626" s="19">
        <f>IF(ENSO!F626="","",ENSO!F626)</f>
        <v>0.88</v>
      </c>
      <c r="F626" s="25">
        <f>IF(Volcanic!G626="","",Volcanic!G626)</f>
        <v>6.4599999999999996E-3</v>
      </c>
      <c r="G626" s="19">
        <f>IF(Solar!D626="","",Solar!D626)</f>
        <v>1360.76</v>
      </c>
      <c r="H626" s="20">
        <f t="shared" si="65"/>
        <v>0.48310634496717497</v>
      </c>
      <c r="I626" s="20">
        <f t="shared" si="66"/>
        <v>0.75153243587961516</v>
      </c>
      <c r="J626" s="25">
        <f t="shared" si="67"/>
        <v>7.5007985160010842E-3</v>
      </c>
      <c r="K626" s="19">
        <f t="shared" si="68"/>
        <v>1360.6466441818247</v>
      </c>
      <c r="L626" s="20">
        <f t="shared" si="69"/>
        <v>0.8474223537600063</v>
      </c>
      <c r="M626" s="20">
        <f t="shared" si="70"/>
        <v>7.2577646239993632E-2</v>
      </c>
      <c r="AB626" s="20">
        <f t="shared" si="71"/>
        <v>0.84383245329403433</v>
      </c>
    </row>
    <row r="627" spans="1:28">
      <c r="A627" s="18" t="str">
        <f>Analysis!A627</f>
        <v>4/2010</v>
      </c>
      <c r="B627" s="19">
        <f>Analysis!B627</f>
        <v>2010.2916666666667</v>
      </c>
      <c r="C627" s="19">
        <f>Analysis!E627</f>
        <v>0.8500000000000032</v>
      </c>
      <c r="D627" s="20">
        <f>Analysis!F627</f>
        <v>0.4878905530991211</v>
      </c>
      <c r="E627" s="19">
        <f>IF(ENSO!F627="","",ENSO!F627)</f>
        <v>0.38</v>
      </c>
      <c r="F627" s="25">
        <f>IF(Volcanic!G627="","",Volcanic!G627)</f>
        <v>6.5500000000000003E-3</v>
      </c>
      <c r="G627" s="19">
        <f>IF(Solar!D627="","",Solar!D627)</f>
        <v>1360.83</v>
      </c>
      <c r="H627" s="20">
        <f t="shared" si="65"/>
        <v>0.4878905530991211</v>
      </c>
      <c r="I627" s="20">
        <f t="shared" si="66"/>
        <v>0.69449541717618823</v>
      </c>
      <c r="J627" s="25">
        <f t="shared" si="67"/>
        <v>7.4247768640846468E-3</v>
      </c>
      <c r="K627" s="19">
        <f t="shared" si="68"/>
        <v>1360.6613045035981</v>
      </c>
      <c r="L627" s="20">
        <f t="shared" si="69"/>
        <v>0.85256845928024183</v>
      </c>
      <c r="M627" s="20">
        <f t="shared" si="70"/>
        <v>-2.568459280238633E-3</v>
      </c>
      <c r="AB627" s="20">
        <f t="shared" si="71"/>
        <v>0.84945725312902598</v>
      </c>
    </row>
    <row r="628" spans="1:28">
      <c r="A628" s="18" t="str">
        <f>Analysis!A628</f>
        <v>5/2010</v>
      </c>
      <c r="B628" s="19">
        <f>Analysis!B628</f>
        <v>2010.375</v>
      </c>
      <c r="C628" s="19">
        <f>Analysis!E628</f>
        <v>0.75</v>
      </c>
      <c r="D628" s="20">
        <f>Analysis!F628</f>
        <v>0.4898731851668387</v>
      </c>
      <c r="E628" s="19">
        <f>IF(ENSO!F628="","",ENSO!F628)</f>
        <v>-0.16</v>
      </c>
      <c r="F628" s="25">
        <f>IF(Volcanic!G628="","",Volcanic!G628)</f>
        <v>6.2899999999999996E-3</v>
      </c>
      <c r="G628" s="19">
        <f>IF(Solar!D628="","",Solar!D628)</f>
        <v>1360.8</v>
      </c>
      <c r="H628" s="20">
        <f t="shared" si="65"/>
        <v>0.4898731851668387</v>
      </c>
      <c r="I628" s="20">
        <f t="shared" si="66"/>
        <v>0.56331475464242475</v>
      </c>
      <c r="J628" s="25">
        <f t="shared" si="67"/>
        <v>7.3340451156516575E-3</v>
      </c>
      <c r="K628" s="19">
        <f t="shared" si="68"/>
        <v>1360.6723939832013</v>
      </c>
      <c r="L628" s="20">
        <f t="shared" si="69"/>
        <v>0.83972529454293365</v>
      </c>
      <c r="M628" s="20">
        <f t="shared" si="70"/>
        <v>-8.9725294542933653E-2</v>
      </c>
      <c r="AB628" s="20">
        <f t="shared" si="71"/>
        <v>0.8378840321832921</v>
      </c>
    </row>
    <row r="629" spans="1:28">
      <c r="A629" s="18" t="str">
        <f>Analysis!A629</f>
        <v>6/2010</v>
      </c>
      <c r="B629" s="19">
        <f>Analysis!B629</f>
        <v>2010.4583333333333</v>
      </c>
      <c r="C629" s="19">
        <f>Analysis!E629</f>
        <v>0.67999999999999972</v>
      </c>
      <c r="D629" s="20">
        <f>Analysis!F629</f>
        <v>0.4868246806556118</v>
      </c>
      <c r="E629" s="19">
        <f>IF(ENSO!F629="","",ENSO!F629)</f>
        <v>-0.66</v>
      </c>
      <c r="F629" s="25">
        <f>IF(Volcanic!G629="","",Volcanic!G629)</f>
        <v>6.2199999999999998E-3</v>
      </c>
      <c r="G629" s="19">
        <f>IF(Solar!D629="","",Solar!D629)</f>
        <v>1360.76</v>
      </c>
      <c r="H629" s="20">
        <f t="shared" si="65"/>
        <v>0.4868246806556118</v>
      </c>
      <c r="I629" s="20">
        <f t="shared" si="66"/>
        <v>0.37551358359385811</v>
      </c>
      <c r="J629" s="25">
        <f t="shared" si="67"/>
        <v>7.2449709863003859E-3</v>
      </c>
      <c r="K629" s="19">
        <f t="shared" si="68"/>
        <v>1360.6793985735565</v>
      </c>
      <c r="L629" s="20">
        <f t="shared" si="69"/>
        <v>0.8052810965301781</v>
      </c>
      <c r="M629" s="20">
        <f t="shared" si="70"/>
        <v>-0.12528109653017838</v>
      </c>
      <c r="AB629" s="20">
        <f t="shared" si="71"/>
        <v>0.80537485673578424</v>
      </c>
    </row>
    <row r="630" spans="1:28">
      <c r="A630" s="18" t="str">
        <f>Analysis!A630</f>
        <v>7/2010</v>
      </c>
      <c r="B630" s="19">
        <f>Analysis!B630</f>
        <v>2010.5416666666667</v>
      </c>
      <c r="C630" s="19">
        <f>Analysis!E630</f>
        <v>0.63000000000000256</v>
      </c>
      <c r="D630" s="20">
        <f>Analysis!F630</f>
        <v>0.47956317953598965</v>
      </c>
      <c r="E630" s="19">
        <f>IF(ENSO!F630="","",ENSO!F630)</f>
        <v>-0.98</v>
      </c>
      <c r="F630" s="25">
        <f>IF(Volcanic!G630="","",Volcanic!G630)</f>
        <v>6.3099999999999996E-3</v>
      </c>
      <c r="G630" s="19">
        <f>IF(Solar!D630="","",Solar!D630)</f>
        <v>1360.86</v>
      </c>
      <c r="H630" s="20">
        <f t="shared" si="65"/>
        <v>0.47956317953598965</v>
      </c>
      <c r="I630" s="20">
        <f t="shared" si="66"/>
        <v>0.16741747635318668</v>
      </c>
      <c r="J630" s="25">
        <f t="shared" si="67"/>
        <v>7.1702148337861394E-3</v>
      </c>
      <c r="K630" s="19">
        <f t="shared" si="68"/>
        <v>1360.6938386663267</v>
      </c>
      <c r="L630" s="20">
        <f t="shared" si="69"/>
        <v>0.75653160956237131</v>
      </c>
      <c r="M630" s="20">
        <f t="shared" si="70"/>
        <v>-0.12653160956236875</v>
      </c>
      <c r="AB630" s="20">
        <f t="shared" si="71"/>
        <v>0.7588480625363242</v>
      </c>
    </row>
    <row r="631" spans="1:28">
      <c r="A631" s="18" t="str">
        <f>Analysis!A631</f>
        <v>8/2010</v>
      </c>
      <c r="B631" s="19">
        <f>Analysis!B631</f>
        <v>2010.625</v>
      </c>
      <c r="C631" s="19">
        <f>Analysis!E631</f>
        <v>0.66999999999999993</v>
      </c>
      <c r="D631" s="20">
        <f>Analysis!F631</f>
        <v>0.47263630384637006</v>
      </c>
      <c r="E631" s="19">
        <f>IF(ENSO!F631="","",ENSO!F631)</f>
        <v>-1.24</v>
      </c>
      <c r="F631" s="25">
        <f>IF(Volcanic!G631="","",Volcanic!G631)</f>
        <v>6.2399999999999999E-3</v>
      </c>
      <c r="G631" s="19">
        <f>IF(Solar!D631="","",Solar!D631)</f>
        <v>1360.82</v>
      </c>
      <c r="H631" s="20">
        <f t="shared" si="65"/>
        <v>0.47263630384637006</v>
      </c>
      <c r="I631" s="20">
        <f t="shared" si="66"/>
        <v>-4.8646826975359408E-2</v>
      </c>
      <c r="J631" s="25">
        <f t="shared" si="67"/>
        <v>7.0958389622302817E-3</v>
      </c>
      <c r="K631" s="19">
        <f t="shared" si="68"/>
        <v>1360.7039259696116</v>
      </c>
      <c r="L631" s="20">
        <f t="shared" si="69"/>
        <v>0.70756123830049544</v>
      </c>
      <c r="M631" s="20">
        <f t="shared" si="70"/>
        <v>-3.7561238300495514E-2</v>
      </c>
      <c r="AB631" s="20">
        <f t="shared" si="71"/>
        <v>0.71216977509970603</v>
      </c>
    </row>
    <row r="632" spans="1:28">
      <c r="A632" s="18" t="str">
        <f>Analysis!A632</f>
        <v>9/2010</v>
      </c>
      <c r="B632" s="19">
        <f>Analysis!B632</f>
        <v>2010.7083333333333</v>
      </c>
      <c r="C632" s="19">
        <f>Analysis!E632</f>
        <v>0.63000000000000256</v>
      </c>
      <c r="D632" s="20">
        <f>Analysis!F632</f>
        <v>0.46701857168978234</v>
      </c>
      <c r="E632" s="19">
        <f>IF(ENSO!F632="","",ENSO!F632)</f>
        <v>-1.43</v>
      </c>
      <c r="F632" s="25">
        <f>IF(Volcanic!G632="","",Volcanic!G632)</f>
        <v>6.0800000000000003E-3</v>
      </c>
      <c r="G632" s="19">
        <f>IF(Solar!D632="","",Solar!D632)</f>
        <v>1360.81</v>
      </c>
      <c r="H632" s="20">
        <f t="shared" si="65"/>
        <v>0.46701857168978234</v>
      </c>
      <c r="I632" s="20">
        <f t="shared" si="66"/>
        <v>-0.26070978341497925</v>
      </c>
      <c r="J632" s="25">
        <f t="shared" si="67"/>
        <v>7.0146169633628188E-3</v>
      </c>
      <c r="K632" s="19">
        <f t="shared" si="68"/>
        <v>1360.7124071808039</v>
      </c>
      <c r="L632" s="20">
        <f t="shared" si="69"/>
        <v>0.66271891753316736</v>
      </c>
      <c r="M632" s="20">
        <f t="shared" si="70"/>
        <v>-3.2718917533164804E-2</v>
      </c>
      <c r="AB632" s="20">
        <f t="shared" si="71"/>
        <v>0.66955364951400598</v>
      </c>
    </row>
    <row r="633" spans="1:28">
      <c r="A633" s="18" t="str">
        <f>Analysis!A633</f>
        <v>10/2010</v>
      </c>
      <c r="B633" s="19">
        <f>Analysis!B633</f>
        <v>2010.7916666666667</v>
      </c>
      <c r="C633" s="19">
        <f>Analysis!E633</f>
        <v>0.71000000000000085</v>
      </c>
      <c r="D633" s="20">
        <f>Analysis!F633</f>
        <v>0.46850884379594554</v>
      </c>
      <c r="E633" s="19">
        <f>IF(ENSO!F633="","",ENSO!F633)</f>
        <v>-1.54</v>
      </c>
      <c r="F633" s="25">
        <f>IF(Volcanic!G633="","",Volcanic!G633)</f>
        <v>5.8500000000000002E-3</v>
      </c>
      <c r="G633" s="19">
        <f>IF(Solar!D633="","",Solar!D633)</f>
        <v>1360.71</v>
      </c>
      <c r="H633" s="20">
        <f t="shared" si="65"/>
        <v>0.46850884379594554</v>
      </c>
      <c r="I633" s="20">
        <f t="shared" si="66"/>
        <v>-0.45710421082942432</v>
      </c>
      <c r="J633" s="25">
        <f t="shared" si="67"/>
        <v>6.9214993323245249E-3</v>
      </c>
      <c r="K633" s="19">
        <f t="shared" si="68"/>
        <v>1360.7122147132536</v>
      </c>
      <c r="L633" s="20">
        <f t="shared" si="69"/>
        <v>0.63934938944130981</v>
      </c>
      <c r="M633" s="20">
        <f t="shared" si="70"/>
        <v>7.065061055869104E-2</v>
      </c>
      <c r="AB633" s="20">
        <f t="shared" si="71"/>
        <v>0.64809937576856591</v>
      </c>
    </row>
    <row r="634" spans="1:28">
      <c r="A634" s="18" t="str">
        <f>Analysis!A634</f>
        <v>11/2010</v>
      </c>
      <c r="B634" s="19">
        <f>Analysis!B634</f>
        <v>2010.875</v>
      </c>
      <c r="C634" s="19">
        <f>Analysis!E634</f>
        <v>0.81000000000000227</v>
      </c>
      <c r="D634" s="20">
        <f>Analysis!F634</f>
        <v>0.47386111287143712</v>
      </c>
      <c r="E634" s="19">
        <f>IF(ENSO!F634="","",ENSO!F634)</f>
        <v>-1.57</v>
      </c>
      <c r="F634" s="25">
        <f>IF(Volcanic!G634="","",Volcanic!G634)</f>
        <v>6.0499999999999998E-3</v>
      </c>
      <c r="G634" s="19">
        <f>IF(Solar!D634="","",Solar!D634)</f>
        <v>1360.82</v>
      </c>
      <c r="H634" s="20">
        <f t="shared" si="65"/>
        <v>0.47386111287143712</v>
      </c>
      <c r="I634" s="20">
        <f t="shared" si="66"/>
        <v>-0.62795405275938987</v>
      </c>
      <c r="J634" s="25">
        <f t="shared" si="67"/>
        <v>6.8518180930583639E-3</v>
      </c>
      <c r="K634" s="19">
        <f t="shared" si="68"/>
        <v>1360.7208327489498</v>
      </c>
      <c r="L634" s="20">
        <f t="shared" si="69"/>
        <v>0.62994874474218676</v>
      </c>
      <c r="M634" s="20">
        <f t="shared" si="70"/>
        <v>0.18005125525781551</v>
      </c>
      <c r="AB634" s="20">
        <f t="shared" si="71"/>
        <v>0.64026562415704302</v>
      </c>
    </row>
    <row r="635" spans="1:28">
      <c r="A635" s="18" t="str">
        <f>Analysis!A635</f>
        <v>12/2010</v>
      </c>
      <c r="B635" s="19">
        <f>Analysis!B635</f>
        <v>2010.9583333333333</v>
      </c>
      <c r="C635" s="19">
        <f>Analysis!E635</f>
        <v>0.44999999999999751</v>
      </c>
      <c r="D635" s="20">
        <f>Analysis!F635</f>
        <v>0.47801030414984191</v>
      </c>
      <c r="E635" s="19">
        <f>IF(ENSO!F635="","",ENSO!F635)</f>
        <v>-1.48</v>
      </c>
      <c r="F635" s="25">
        <f>IF(Volcanic!G635="","",Volcanic!G635)</f>
        <v>6.9499999999999996E-3</v>
      </c>
      <c r="G635" s="19">
        <f>IF(Solar!D635="","",Solar!D635)</f>
        <v>1360.77</v>
      </c>
      <c r="H635" s="20">
        <f t="shared" si="65"/>
        <v>0.47801030414984191</v>
      </c>
      <c r="I635" s="20">
        <f t="shared" si="66"/>
        <v>-0.75875867689371113</v>
      </c>
      <c r="J635" s="25">
        <f t="shared" si="67"/>
        <v>6.8596682849006918E-3</v>
      </c>
      <c r="K635" s="19">
        <f t="shared" si="68"/>
        <v>1360.7247639452885</v>
      </c>
      <c r="L635" s="20">
        <f t="shared" si="69"/>
        <v>0.62268297266061612</v>
      </c>
      <c r="M635" s="20">
        <f t="shared" si="70"/>
        <v>-0.17268297266061861</v>
      </c>
      <c r="AB635" s="20">
        <f t="shared" si="71"/>
        <v>0.63416931386112185</v>
      </c>
    </row>
    <row r="636" spans="1:28">
      <c r="A636" s="18" t="str">
        <f>Analysis!A636</f>
        <v>1/2011</v>
      </c>
      <c r="B636" s="19">
        <f>Analysis!B636</f>
        <v>2011.0416666666667</v>
      </c>
      <c r="C636" s="19">
        <f>Analysis!E636</f>
        <v>0.5199999999999978</v>
      </c>
      <c r="D636" s="20">
        <f>Analysis!F636</f>
        <v>0.48358548034607413</v>
      </c>
      <c r="E636" s="19">
        <f>IF(ENSO!F636="","",ENSO!F636)</f>
        <v>-1.29</v>
      </c>
      <c r="F636" s="25">
        <f>IF(Volcanic!G636="","",Volcanic!G636)</f>
        <v>7.1999999999999998E-3</v>
      </c>
      <c r="G636" s="19">
        <f>IF(Solar!D636="","",Solar!D636)</f>
        <v>1360.79</v>
      </c>
      <c r="H636" s="20">
        <f t="shared" si="65"/>
        <v>0.48358548034607413</v>
      </c>
      <c r="I636" s="20">
        <f t="shared" si="66"/>
        <v>-0.84031392848381647</v>
      </c>
      <c r="J636" s="25">
        <f t="shared" si="67"/>
        <v>6.8868797064016631E-3</v>
      </c>
      <c r="K636" s="19">
        <f t="shared" si="68"/>
        <v>1360.7299799322302</v>
      </c>
      <c r="L636" s="20">
        <f t="shared" si="69"/>
        <v>0.62615775079395897</v>
      </c>
      <c r="M636" s="20">
        <f t="shared" si="70"/>
        <v>-0.10615775079396117</v>
      </c>
      <c r="AB636" s="20">
        <f t="shared" si="71"/>
        <v>0.63829349911017319</v>
      </c>
    </row>
    <row r="637" spans="1:28">
      <c r="A637" s="18" t="str">
        <f>Analysis!A637</f>
        <v>2/2011</v>
      </c>
      <c r="B637" s="19">
        <f>Analysis!B637</f>
        <v>2011.125</v>
      </c>
      <c r="C637" s="19">
        <f>Analysis!E637</f>
        <v>0.47000000000000242</v>
      </c>
      <c r="D637" s="20">
        <f>Analysis!F637</f>
        <v>0.48561083266005051</v>
      </c>
      <c r="E637" s="19">
        <f>IF(ENSO!F637="","",ENSO!F637)</f>
        <v>-1.06</v>
      </c>
      <c r="F637" s="25">
        <f>IF(Volcanic!G637="","",Volcanic!G637)</f>
        <v>7.1799999999999998E-3</v>
      </c>
      <c r="G637" s="19">
        <f>IF(Solar!D637="","",Solar!D637)</f>
        <v>1360.82</v>
      </c>
      <c r="H637" s="20">
        <f t="shared" si="65"/>
        <v>0.48561083266005051</v>
      </c>
      <c r="I637" s="20">
        <f t="shared" si="66"/>
        <v>-0.87403975524853816</v>
      </c>
      <c r="J637" s="25">
        <f t="shared" si="67"/>
        <v>6.910316311060343E-3</v>
      </c>
      <c r="K637" s="19">
        <f t="shared" si="68"/>
        <v>1360.7371775394438</v>
      </c>
      <c r="L637" s="20">
        <f t="shared" si="69"/>
        <v>0.62679572834937913</v>
      </c>
      <c r="M637" s="20">
        <f t="shared" si="70"/>
        <v>-0.15679572834937672</v>
      </c>
      <c r="AB637" s="20">
        <f t="shared" si="71"/>
        <v>0.63920074439881491</v>
      </c>
    </row>
    <row r="638" spans="1:28">
      <c r="A638" s="18" t="str">
        <f>Analysis!A638</f>
        <v>3/2011</v>
      </c>
      <c r="B638" s="19">
        <f>Analysis!B638</f>
        <v>2011.2083333333333</v>
      </c>
      <c r="C638" s="19">
        <f>Analysis!E638</f>
        <v>0.65000000000000213</v>
      </c>
      <c r="D638" s="20">
        <f>Analysis!F638</f>
        <v>0.48836810248236423</v>
      </c>
      <c r="E638" s="19">
        <f>IF(ENSO!F638="","",ENSO!F638)</f>
        <v>-0.85</v>
      </c>
      <c r="F638" s="25">
        <f>IF(Volcanic!G638="","",Volcanic!G638)</f>
        <v>7.0099999999999997E-3</v>
      </c>
      <c r="G638" s="19">
        <f>IF(Solar!D638="","",Solar!D638)</f>
        <v>1360.82</v>
      </c>
      <c r="H638" s="20">
        <f t="shared" si="65"/>
        <v>0.48836810248236423</v>
      </c>
      <c r="I638" s="20">
        <f t="shared" si="66"/>
        <v>-0.87034921348873073</v>
      </c>
      <c r="J638" s="25">
        <f t="shared" si="67"/>
        <v>6.9182865787614217E-3</v>
      </c>
      <c r="K638" s="19">
        <f t="shared" si="68"/>
        <v>1360.7437996577594</v>
      </c>
      <c r="L638" s="20">
        <f t="shared" si="69"/>
        <v>0.63474564030930847</v>
      </c>
      <c r="M638" s="20">
        <f t="shared" si="70"/>
        <v>1.5254359690693664E-2</v>
      </c>
      <c r="AB638" s="20">
        <f t="shared" si="71"/>
        <v>0.64704724587263707</v>
      </c>
    </row>
    <row r="639" spans="1:28">
      <c r="A639" s="18" t="str">
        <f>Analysis!A639</f>
        <v>4/2011</v>
      </c>
      <c r="B639" s="19">
        <f>Analysis!B639</f>
        <v>2011.2916666666667</v>
      </c>
      <c r="C639" s="19">
        <f>Analysis!E639</f>
        <v>0.64000000000000234</v>
      </c>
      <c r="D639" s="20">
        <f>Analysis!F639</f>
        <v>0.49071681287639107</v>
      </c>
      <c r="E639" s="19">
        <f>IF(ENSO!F639="","",ENSO!F639)</f>
        <v>-0.68</v>
      </c>
      <c r="F639" s="25">
        <f>IF(Volcanic!G639="","",Volcanic!G639)</f>
        <v>6.8100000000000001E-3</v>
      </c>
      <c r="G639" s="19">
        <f>IF(Solar!D639="","",Solar!D639)</f>
        <v>1361.19</v>
      </c>
      <c r="H639" s="20">
        <f t="shared" si="65"/>
        <v>0.49071681287639107</v>
      </c>
      <c r="I639" s="20">
        <f t="shared" si="66"/>
        <v>-0.84112713056551258</v>
      </c>
      <c r="J639" s="25">
        <f t="shared" si="67"/>
        <v>6.9096284619687646E-3</v>
      </c>
      <c r="K639" s="19">
        <f t="shared" si="68"/>
        <v>1360.7794758673158</v>
      </c>
      <c r="L639" s="20">
        <f t="shared" si="69"/>
        <v>0.64525018229618569</v>
      </c>
      <c r="M639" s="20">
        <f t="shared" si="70"/>
        <v>-5.2501822961833478E-3</v>
      </c>
      <c r="AB639" s="20">
        <f t="shared" si="71"/>
        <v>0.65721797065199627</v>
      </c>
    </row>
    <row r="640" spans="1:28">
      <c r="A640" s="18" t="str">
        <f>Analysis!A640</f>
        <v>5/2011</v>
      </c>
      <c r="B640" s="19">
        <f>Analysis!B640</f>
        <v>2011.375</v>
      </c>
      <c r="C640" s="19">
        <f>Analysis!E640</f>
        <v>0.52999999999999758</v>
      </c>
      <c r="D640" s="20">
        <f>Analysis!F640</f>
        <v>0.49426930357072107</v>
      </c>
      <c r="E640" s="19">
        <f>IF(ENSO!F640="","",ENSO!F640)</f>
        <v>-0.5</v>
      </c>
      <c r="F640" s="25">
        <f>IF(Volcanic!G640="","",Volcanic!G640)</f>
        <v>6.5500000000000003E-3</v>
      </c>
      <c r="G640" s="19">
        <f>IF(Solar!D640="","",Solar!D640)</f>
        <v>1361.17</v>
      </c>
      <c r="H640" s="20">
        <f t="shared" si="65"/>
        <v>0.49426930357072107</v>
      </c>
      <c r="I640" s="20">
        <f t="shared" si="66"/>
        <v>-0.78875788188808094</v>
      </c>
      <c r="J640" s="25">
        <f t="shared" si="67"/>
        <v>6.8808741577760964E-3</v>
      </c>
      <c r="K640" s="19">
        <f t="shared" si="68"/>
        <v>1360.8107004529459</v>
      </c>
      <c r="L640" s="20">
        <f t="shared" si="69"/>
        <v>0.66234468014113013</v>
      </c>
      <c r="M640" s="20">
        <f t="shared" si="70"/>
        <v>-0.13234468014113254</v>
      </c>
      <c r="AB640" s="20">
        <f t="shared" si="71"/>
        <v>0.67373569977883085</v>
      </c>
    </row>
    <row r="641" spans="1:28">
      <c r="A641" s="18" t="str">
        <f>Analysis!A641</f>
        <v>6/2011</v>
      </c>
      <c r="B641" s="19">
        <f>Analysis!B641</f>
        <v>2011.4583333333333</v>
      </c>
      <c r="C641" s="19">
        <f>Analysis!E641</f>
        <v>0.62000000000000099</v>
      </c>
      <c r="D641" s="20">
        <f>Analysis!F641</f>
        <v>0.49258570776646082</v>
      </c>
      <c r="E641" s="19">
        <f>IF(ENSO!F641="","",ENSO!F641)</f>
        <v>-0.34</v>
      </c>
      <c r="F641" s="25">
        <f>IF(Volcanic!G641="","",Volcanic!G641)</f>
        <v>7.5700000000000003E-3</v>
      </c>
      <c r="G641" s="19">
        <f>IF(Solar!D641="","",Solar!D641)</f>
        <v>1361.08</v>
      </c>
      <c r="H641" s="20">
        <f t="shared" si="65"/>
        <v>0.49258570776646082</v>
      </c>
      <c r="I641" s="20">
        <f t="shared" si="66"/>
        <v>-0.71986534591888118</v>
      </c>
      <c r="J641" s="25">
        <f t="shared" si="67"/>
        <v>6.935973617885169E-3</v>
      </c>
      <c r="K641" s="19">
        <f t="shared" si="68"/>
        <v>1360.8322324558706</v>
      </c>
      <c r="L641" s="20">
        <f t="shared" si="69"/>
        <v>0.66732720792211575</v>
      </c>
      <c r="M641" s="20">
        <f t="shared" si="70"/>
        <v>-4.7327207922114756E-2</v>
      </c>
      <c r="AB641" s="20">
        <f t="shared" si="71"/>
        <v>0.67806262968727693</v>
      </c>
    </row>
    <row r="642" spans="1:28">
      <c r="A642" s="18" t="str">
        <f>Analysis!A642</f>
        <v>7/2011</v>
      </c>
      <c r="B642" s="19">
        <f>Analysis!B642</f>
        <v>2011.5416666666667</v>
      </c>
      <c r="C642" s="19">
        <f>Analysis!E642</f>
        <v>0.71000000000000085</v>
      </c>
      <c r="D642" s="20">
        <f>Analysis!F642</f>
        <v>0.48807424464635712</v>
      </c>
      <c r="E642" s="19">
        <f>IF(ENSO!F642="","",ENSO!F642)</f>
        <v>-0.37</v>
      </c>
      <c r="F642" s="25">
        <f>IF(Volcanic!G642="","",Volcanic!G642)</f>
        <v>9.1000000000000004E-3</v>
      </c>
      <c r="G642" s="19">
        <f>IF(Solar!D642="","",Solar!D642)</f>
        <v>1361.04</v>
      </c>
      <c r="H642" s="20">
        <f t="shared" ref="H642:H705" si="72">IF(D642="","",IF(OR(ROW()=2,H641=""),D642,$Q$3*H641+(1-$Q$3)*D642))</f>
        <v>0.48807424464635712</v>
      </c>
      <c r="I642" s="20">
        <f t="shared" ref="I642:I705" si="73">IF(E642="","",IF(OR(ROW()=2,I641=""),E642,$Q$4*I641+(1-$Q$4)*E642))</f>
        <v>-0.66615462149286597</v>
      </c>
      <c r="J642" s="25">
        <f t="shared" ref="J642:J705" si="74">IF(F642="","",IF(OR(ROW()=2,J641=""),F642,$Q$5*J641+(1-$Q$5)*F642))</f>
        <v>7.1089996140247481E-3</v>
      </c>
      <c r="K642" s="19">
        <f t="shared" ref="K642:K705" si="75">IF(G642="","",IF(OR(ROW()=2,K641=""),G642,$Q$6*K641+(1-$Q$6)*G642))</f>
        <v>1360.8488446314825</v>
      </c>
      <c r="L642" s="20">
        <f t="shared" ref="L642:L705" si="76">IF(OR(I642="",J642=""),"",$P$13+$P$14*H642+$P$15*I642+$P$16*J642)</f>
        <v>0.66212016700665244</v>
      </c>
      <c r="M642" s="20">
        <f t="shared" ref="M642:M705" si="77">IF(L642="","",C642-L642)</f>
        <v>4.7879832993348415E-2</v>
      </c>
      <c r="AB642" s="20">
        <f t="shared" ref="AB642:AB705" si="78">IF(OR(I642="",J642=""),"",$P$52+$P$53*H642+$P$54*I642+$P$55*J642)</f>
        <v>0.67235692269186076</v>
      </c>
    </row>
    <row r="643" spans="1:28">
      <c r="A643" s="18" t="str">
        <f>Analysis!A643</f>
        <v>8/2011</v>
      </c>
      <c r="B643" s="19">
        <f>Analysis!B643</f>
        <v>2011.625</v>
      </c>
      <c r="C643" s="19">
        <f>Analysis!E643</f>
        <v>0.73999999999999666</v>
      </c>
      <c r="D643" s="20">
        <f>Analysis!F643</f>
        <v>0.47926752258572419</v>
      </c>
      <c r="E643" s="19">
        <f>IF(ENSO!F643="","",ENSO!F643)</f>
        <v>-0.5</v>
      </c>
      <c r="F643" s="25">
        <f>IF(Volcanic!G643="","",Volcanic!G643)</f>
        <v>1.0319999999999999E-2</v>
      </c>
      <c r="G643" s="19">
        <f>IF(Solar!D643="","",Solar!D643)</f>
        <v>1360.98</v>
      </c>
      <c r="H643" s="20">
        <f t="shared" si="72"/>
        <v>0.47926752258572419</v>
      </c>
      <c r="I643" s="20">
        <f t="shared" si="73"/>
        <v>-0.6406468505998284</v>
      </c>
      <c r="J643" s="25">
        <f t="shared" si="74"/>
        <v>7.3657370295108684E-3</v>
      </c>
      <c r="K643" s="19">
        <f t="shared" si="75"/>
        <v>1360.8593312357468</v>
      </c>
      <c r="L643" s="20">
        <f t="shared" si="76"/>
        <v>0.64103398952241264</v>
      </c>
      <c r="M643" s="20">
        <f t="shared" si="77"/>
        <v>9.8966010477584021E-2</v>
      </c>
      <c r="AB643" s="20">
        <f t="shared" si="78"/>
        <v>0.65110552729985205</v>
      </c>
    </row>
    <row r="644" spans="1:28">
      <c r="A644" s="18" t="str">
        <f>Analysis!A644</f>
        <v>9/2011</v>
      </c>
      <c r="B644" s="19">
        <f>Analysis!B644</f>
        <v>2011.7083333333333</v>
      </c>
      <c r="C644" s="19">
        <f>Analysis!E644</f>
        <v>0.55999999999999872</v>
      </c>
      <c r="D644" s="20">
        <f>Analysis!F644</f>
        <v>0.47538139821873787</v>
      </c>
      <c r="E644" s="19">
        <f>IF(ENSO!F644="","",ENSO!F644)</f>
        <v>-0.76</v>
      </c>
      <c r="F644" s="25">
        <f>IF(Volcanic!G644="","",Volcanic!G644)</f>
        <v>1.0619999999999999E-2</v>
      </c>
      <c r="G644" s="19">
        <f>IF(Solar!D644="","",Solar!D644)</f>
        <v>1361</v>
      </c>
      <c r="H644" s="20">
        <f t="shared" si="72"/>
        <v>0.47538139821873787</v>
      </c>
      <c r="I644" s="20">
        <f t="shared" si="73"/>
        <v>-0.65896974022461552</v>
      </c>
      <c r="J644" s="25">
        <f t="shared" si="74"/>
        <v>7.6259335302664433E-3</v>
      </c>
      <c r="K644" s="19">
        <f t="shared" si="75"/>
        <v>1360.8705784891361</v>
      </c>
      <c r="L644" s="20">
        <f t="shared" si="76"/>
        <v>0.62705680407386621</v>
      </c>
      <c r="M644" s="20">
        <f t="shared" si="77"/>
        <v>-6.7056804073867493E-2</v>
      </c>
      <c r="AB644" s="20">
        <f t="shared" si="78"/>
        <v>0.63727288080050326</v>
      </c>
    </row>
    <row r="645" spans="1:28">
      <c r="A645" s="18" t="str">
        <f>Analysis!A645</f>
        <v>10/2011</v>
      </c>
      <c r="B645" s="19">
        <f>Analysis!B645</f>
        <v>2011.7916666666667</v>
      </c>
      <c r="C645" s="19">
        <f>Analysis!E645</f>
        <v>0.65000000000000213</v>
      </c>
      <c r="D645" s="20">
        <f>Analysis!F645</f>
        <v>0.47504781425465853</v>
      </c>
      <c r="E645" s="19">
        <f>IF(ENSO!F645="","",ENSO!F645)</f>
        <v>-0.94</v>
      </c>
      <c r="F645" s="25">
        <f>IF(Volcanic!G645="","",Volcanic!G645)</f>
        <v>1.043E-2</v>
      </c>
      <c r="G645" s="19">
        <f>IF(Solar!D645="","",Solar!D645)</f>
        <v>1361.16</v>
      </c>
      <c r="H645" s="20">
        <f t="shared" si="72"/>
        <v>0.47504781425465853</v>
      </c>
      <c r="I645" s="20">
        <f t="shared" si="73"/>
        <v>-0.70211302095887518</v>
      </c>
      <c r="J645" s="25">
        <f t="shared" si="74"/>
        <v>7.8501343062722766E-3</v>
      </c>
      <c r="K645" s="19">
        <f t="shared" si="75"/>
        <v>1360.8937193554561</v>
      </c>
      <c r="L645" s="20">
        <f t="shared" si="76"/>
        <v>0.61930573918738918</v>
      </c>
      <c r="M645" s="20">
        <f t="shared" si="77"/>
        <v>3.069426081261295E-2</v>
      </c>
      <c r="AB645" s="20">
        <f t="shared" si="78"/>
        <v>0.62984200198781404</v>
      </c>
    </row>
    <row r="646" spans="1:28">
      <c r="A646" s="18" t="str">
        <f>Analysis!A646</f>
        <v>11/2011</v>
      </c>
      <c r="B646" s="19">
        <f>Analysis!B646</f>
        <v>2011.875</v>
      </c>
      <c r="C646" s="19">
        <f>Analysis!E646</f>
        <v>0.60000000000000142</v>
      </c>
      <c r="D646" s="20">
        <f>Analysis!F646</f>
        <v>0.47982182967399284</v>
      </c>
      <c r="E646" s="19">
        <f>IF(ENSO!F646="","",ENSO!F646)</f>
        <v>-1.02</v>
      </c>
      <c r="F646" s="25">
        <f>IF(Volcanic!G646="","",Volcanic!G646)</f>
        <v>9.9100000000000004E-3</v>
      </c>
      <c r="G646" s="19">
        <f>IF(Solar!D646="","",Solar!D646)</f>
        <v>1361.28</v>
      </c>
      <c r="H646" s="20">
        <f t="shared" si="72"/>
        <v>0.47982182967399284</v>
      </c>
      <c r="I646" s="20">
        <f t="shared" si="73"/>
        <v>-0.75091448166100216</v>
      </c>
      <c r="J646" s="25">
        <f t="shared" si="74"/>
        <v>8.0148320735992512E-3</v>
      </c>
      <c r="K646" s="19">
        <f t="shared" si="75"/>
        <v>1360.9246046505079</v>
      </c>
      <c r="L646" s="20">
        <f t="shared" si="76"/>
        <v>0.62476988042703407</v>
      </c>
      <c r="M646" s="20">
        <f t="shared" si="77"/>
        <v>-2.4769880427032653E-2</v>
      </c>
      <c r="AB646" s="20">
        <f t="shared" si="78"/>
        <v>0.63559117552145383</v>
      </c>
    </row>
    <row r="647" spans="1:28">
      <c r="A647" s="18" t="str">
        <f>Analysis!A647</f>
        <v>12/2011</v>
      </c>
      <c r="B647" s="19">
        <f>Analysis!B647</f>
        <v>2011.9583333333333</v>
      </c>
      <c r="C647" s="19">
        <f>Analysis!E647</f>
        <v>0.60000000000000142</v>
      </c>
      <c r="D647" s="20">
        <f>Analysis!F647</f>
        <v>0.48564763094194874</v>
      </c>
      <c r="E647" s="19">
        <f>IF(ENSO!F647="","",ENSO!F647)</f>
        <v>-0.92</v>
      </c>
      <c r="F647" s="25">
        <f>IF(Volcanic!G647="","",Volcanic!G647)</f>
        <v>8.3300000000000006E-3</v>
      </c>
      <c r="G647" s="19">
        <f>IF(Solar!D647="","",Solar!D647)</f>
        <v>1361.47</v>
      </c>
      <c r="H647" s="20">
        <f t="shared" si="72"/>
        <v>0.48564763094194874</v>
      </c>
      <c r="I647" s="20">
        <f t="shared" si="73"/>
        <v>-0.77687219878238145</v>
      </c>
      <c r="J647" s="25">
        <f t="shared" si="74"/>
        <v>8.0400315096446854E-3</v>
      </c>
      <c r="K647" s="19">
        <f t="shared" si="75"/>
        <v>1360.9682120549351</v>
      </c>
      <c r="L647" s="20">
        <f t="shared" si="76"/>
        <v>0.63677519612664768</v>
      </c>
      <c r="M647" s="20">
        <f t="shared" si="77"/>
        <v>-3.6775196126646259E-2</v>
      </c>
      <c r="AB647" s="20">
        <f t="shared" si="78"/>
        <v>0.64770157443541798</v>
      </c>
    </row>
    <row r="648" spans="1:28">
      <c r="A648" s="18" t="str">
        <f>Analysis!A648</f>
        <v>1/2012</v>
      </c>
      <c r="B648" s="19">
        <f>Analysis!B648</f>
        <v>2012.0416666666667</v>
      </c>
      <c r="C648" s="19">
        <f>Analysis!E648</f>
        <v>0.47000000000000242</v>
      </c>
      <c r="D648" s="20">
        <f>Analysis!F648</f>
        <v>0.4902400404403634</v>
      </c>
      <c r="E648" s="19">
        <f>IF(ENSO!F648="","",ENSO!F648)</f>
        <v>-0.71</v>
      </c>
      <c r="F648" s="25">
        <f>IF(Volcanic!G648="","",Volcanic!G648)</f>
        <v>7.6600000000000001E-3</v>
      </c>
      <c r="G648" s="19">
        <f>IF(Solar!D648="","",Solar!D648)</f>
        <v>1361.26</v>
      </c>
      <c r="H648" s="20">
        <f t="shared" si="72"/>
        <v>0.4902400404403634</v>
      </c>
      <c r="I648" s="20">
        <f t="shared" si="73"/>
        <v>-0.76660609417253833</v>
      </c>
      <c r="J648" s="25">
        <f t="shared" si="74"/>
        <v>8.0096458678317432E-3</v>
      </c>
      <c r="K648" s="19">
        <f t="shared" si="75"/>
        <v>1360.991542130887</v>
      </c>
      <c r="L648" s="20">
        <f t="shared" si="76"/>
        <v>0.65074571263711145</v>
      </c>
      <c r="M648" s="20">
        <f t="shared" si="77"/>
        <v>-0.18074571263710904</v>
      </c>
      <c r="AB648" s="20">
        <f t="shared" si="78"/>
        <v>0.66148055834741681</v>
      </c>
    </row>
    <row r="649" spans="1:28">
      <c r="A649" s="18" t="str">
        <f>Analysis!A649</f>
        <v>2/2012</v>
      </c>
      <c r="B649" s="19">
        <f>Analysis!B649</f>
        <v>2012.125</v>
      </c>
      <c r="C649" s="19">
        <f>Analysis!E649</f>
        <v>0.47999999999999865</v>
      </c>
      <c r="D649" s="20">
        <f>Analysis!F649</f>
        <v>0.49291526157867827</v>
      </c>
      <c r="E649" s="19">
        <f>IF(ENSO!F649="","",ENSO!F649)</f>
        <v>-0.56000000000000005</v>
      </c>
      <c r="F649" s="25">
        <f>IF(Volcanic!G649="","",Volcanic!G649)</f>
        <v>7.3200000000000001E-3</v>
      </c>
      <c r="G649" s="19">
        <f>IF(Solar!D649="","",Solar!D649)</f>
        <v>1361.24</v>
      </c>
      <c r="H649" s="20">
        <f t="shared" si="72"/>
        <v>0.49291526157867827</v>
      </c>
      <c r="I649" s="20">
        <f t="shared" si="73"/>
        <v>-0.73488828296808295</v>
      </c>
      <c r="J649" s="25">
        <f t="shared" si="74"/>
        <v>7.9545048287707875E-3</v>
      </c>
      <c r="K649" s="19">
        <f t="shared" si="75"/>
        <v>1361.0114077252517</v>
      </c>
      <c r="L649" s="20">
        <f t="shared" si="76"/>
        <v>0.66264308375966474</v>
      </c>
      <c r="M649" s="20">
        <f t="shared" si="77"/>
        <v>-0.18264308375966609</v>
      </c>
      <c r="AB649" s="20">
        <f t="shared" si="78"/>
        <v>0.67303434828221187</v>
      </c>
    </row>
    <row r="650" spans="1:28">
      <c r="A650" s="18" t="str">
        <f>Analysis!A650</f>
        <v>3/2012</v>
      </c>
      <c r="B650" s="19">
        <f>Analysis!B650</f>
        <v>2012.2083333333333</v>
      </c>
      <c r="C650" s="19">
        <f>Analysis!E650</f>
        <v>0.57000000000000028</v>
      </c>
      <c r="D650" s="20">
        <f>Analysis!F650</f>
        <v>0.49492756747912453</v>
      </c>
      <c r="E650" s="19">
        <f>IF(ENSO!F650="","",ENSO!F650)</f>
        <v>-0.44</v>
      </c>
      <c r="F650" s="25">
        <f>IF(Volcanic!G650="","",Volcanic!G650)</f>
        <v>6.8999999999999999E-3</v>
      </c>
      <c r="G650" s="19">
        <f>IF(Solar!D650="","",Solar!D650)</f>
        <v>1361.01</v>
      </c>
      <c r="H650" s="20">
        <f t="shared" si="72"/>
        <v>0.49492756747912453</v>
      </c>
      <c r="I650" s="20">
        <f t="shared" si="73"/>
        <v>-0.68961754241685447</v>
      </c>
      <c r="J650" s="25">
        <f t="shared" si="74"/>
        <v>7.8701912779102143E-3</v>
      </c>
      <c r="K650" s="19">
        <f t="shared" si="75"/>
        <v>1361.0112951697552</v>
      </c>
      <c r="L650" s="20">
        <f t="shared" si="76"/>
        <v>0.67475938358286214</v>
      </c>
      <c r="M650" s="20">
        <f t="shared" si="77"/>
        <v>-0.10475938358286185</v>
      </c>
      <c r="AB650" s="20">
        <f t="shared" si="78"/>
        <v>0.68470471916123476</v>
      </c>
    </row>
    <row r="651" spans="1:28">
      <c r="A651" s="18" t="str">
        <f>Analysis!A651</f>
        <v>4/2012</v>
      </c>
      <c r="B651" s="19">
        <f>Analysis!B651</f>
        <v>2012.2916666666667</v>
      </c>
      <c r="C651" s="19">
        <f>Analysis!E651</f>
        <v>0.7300000000000022</v>
      </c>
      <c r="D651" s="20">
        <f>Analysis!F651</f>
        <v>0.50145734365703309</v>
      </c>
      <c r="E651" s="19">
        <f>IF(ENSO!F651="","",ENSO!F651)</f>
        <v>-0.35</v>
      </c>
      <c r="F651" s="25">
        <f>IF(Volcanic!G651="","",Volcanic!G651)</f>
        <v>6.96E-3</v>
      </c>
      <c r="G651" s="19">
        <f>IF(Solar!D651="","",Solar!D651)</f>
        <v>1361.13</v>
      </c>
      <c r="H651" s="20">
        <f t="shared" si="72"/>
        <v>0.50145734365703309</v>
      </c>
      <c r="I651" s="20">
        <f t="shared" si="73"/>
        <v>-0.63748004310813022</v>
      </c>
      <c r="J651" s="25">
        <f t="shared" si="74"/>
        <v>7.7974164014856188E-3</v>
      </c>
      <c r="K651" s="19">
        <f t="shared" si="75"/>
        <v>1361.0207862839436</v>
      </c>
      <c r="L651" s="20">
        <f t="shared" si="76"/>
        <v>0.70002160906796584</v>
      </c>
      <c r="M651" s="20">
        <f t="shared" si="77"/>
        <v>2.9978390932036358E-2</v>
      </c>
      <c r="AB651" s="20">
        <f t="shared" si="78"/>
        <v>0.70934435023057252</v>
      </c>
    </row>
    <row r="652" spans="1:28">
      <c r="A652" s="18" t="str">
        <f>Analysis!A652</f>
        <v>5/2012</v>
      </c>
      <c r="B652" s="19">
        <f>Analysis!B652</f>
        <v>2012.375</v>
      </c>
      <c r="C652" s="19">
        <f>Analysis!E652</f>
        <v>0.77999999999999758</v>
      </c>
      <c r="D652" s="20">
        <f>Analysis!F652</f>
        <v>0.50345777829071003</v>
      </c>
      <c r="E652" s="19">
        <f>IF(ENSO!F652="","",ENSO!F652)</f>
        <v>-0.18</v>
      </c>
      <c r="F652" s="25">
        <f>IF(Volcanic!G652="","",Volcanic!G652)</f>
        <v>6.5799999999999999E-3</v>
      </c>
      <c r="G652" s="19">
        <f>IF(Solar!D652="","",Solar!D652)</f>
        <v>1361.05</v>
      </c>
      <c r="H652" s="20">
        <f t="shared" si="72"/>
        <v>0.50345777829071003</v>
      </c>
      <c r="I652" s="20">
        <f t="shared" si="73"/>
        <v>-0.56724849599320259</v>
      </c>
      <c r="J652" s="25">
        <f t="shared" si="74"/>
        <v>7.7000771604649734E-3</v>
      </c>
      <c r="K652" s="19">
        <f t="shared" si="75"/>
        <v>1361.0231220837115</v>
      </c>
      <c r="L652" s="20">
        <f t="shared" si="76"/>
        <v>0.71567248838965303</v>
      </c>
      <c r="M652" s="20">
        <f t="shared" si="77"/>
        <v>6.4327511610344557E-2</v>
      </c>
      <c r="AB652" s="20">
        <f t="shared" si="78"/>
        <v>0.72431354321125474</v>
      </c>
    </row>
    <row r="653" spans="1:28">
      <c r="A653" s="18" t="str">
        <f>Analysis!A653</f>
        <v>6/2012</v>
      </c>
      <c r="B653" s="19">
        <f>Analysis!B653</f>
        <v>2012.4583333333333</v>
      </c>
      <c r="C653" s="19">
        <f>Analysis!E653</f>
        <v>0.65000000000000213</v>
      </c>
      <c r="D653" s="20">
        <f>Analysis!F653</f>
        <v>0.49974568063274527</v>
      </c>
      <c r="E653" s="19">
        <f>IF(ENSO!F653="","",ENSO!F653)</f>
        <v>0.03</v>
      </c>
      <c r="F653" s="25">
        <f>IF(Volcanic!G653="","",Volcanic!G653)</f>
        <v>6.3200000000000001E-3</v>
      </c>
      <c r="G653" s="19">
        <f>IF(Solar!D653="","",Solar!D653)</f>
        <v>1361.19</v>
      </c>
      <c r="H653" s="20">
        <f t="shared" si="72"/>
        <v>0.49974568063274527</v>
      </c>
      <c r="I653" s="20">
        <f t="shared" si="73"/>
        <v>-0.47555993707665117</v>
      </c>
      <c r="J653" s="25">
        <f t="shared" si="74"/>
        <v>7.5897322832432952E-3</v>
      </c>
      <c r="K653" s="19">
        <f t="shared" si="75"/>
        <v>1361.0364649051937</v>
      </c>
      <c r="L653" s="20">
        <f t="shared" si="76"/>
        <v>0.71894784111350007</v>
      </c>
      <c r="M653" s="20">
        <f t="shared" si="77"/>
        <v>-6.8947841113497943E-2</v>
      </c>
      <c r="AB653" s="20">
        <f t="shared" si="78"/>
        <v>0.72683740165834942</v>
      </c>
    </row>
    <row r="654" spans="1:28">
      <c r="A654" s="18" t="str">
        <f>Analysis!A654</f>
        <v>7/2012</v>
      </c>
      <c r="B654" s="19">
        <f>Analysis!B654</f>
        <v>2012.5416666666667</v>
      </c>
      <c r="C654" s="19">
        <f>Analysis!E654</f>
        <v>0.58999999999999986</v>
      </c>
      <c r="D654" s="20">
        <f>Analysis!F654</f>
        <v>0.49481787768314806</v>
      </c>
      <c r="E654" s="19">
        <f>IF(ENSO!F654="","",ENSO!F654)</f>
        <v>0.28000000000000003</v>
      </c>
      <c r="F654" s="25">
        <f>IF(Volcanic!G654="","",Volcanic!G654)</f>
        <v>6.2500000000000003E-3</v>
      </c>
      <c r="G654" s="19">
        <f>IF(Solar!D654="","",Solar!D654)</f>
        <v>1360.96</v>
      </c>
      <c r="H654" s="20">
        <f t="shared" si="72"/>
        <v>0.49481787768314806</v>
      </c>
      <c r="I654" s="20">
        <f t="shared" si="73"/>
        <v>-0.3595676787948876</v>
      </c>
      <c r="J654" s="25">
        <f t="shared" si="74"/>
        <v>7.4826132042965839E-3</v>
      </c>
      <c r="K654" s="19">
        <f t="shared" si="75"/>
        <v>1361.0303511089387</v>
      </c>
      <c r="L654" s="20">
        <f t="shared" si="76"/>
        <v>0.72235453389682713</v>
      </c>
      <c r="M654" s="20">
        <f t="shared" si="77"/>
        <v>-0.13235453389682728</v>
      </c>
      <c r="AB654" s="20">
        <f t="shared" si="78"/>
        <v>0.72928339011093979</v>
      </c>
    </row>
    <row r="655" spans="1:28">
      <c r="A655" s="18" t="str">
        <f>Analysis!A655</f>
        <v>8/2012</v>
      </c>
      <c r="B655" s="19">
        <f>Analysis!B655</f>
        <v>2012.625</v>
      </c>
      <c r="C655" s="19">
        <f>Analysis!E655</f>
        <v>0.66000000000000369</v>
      </c>
      <c r="D655" s="20">
        <f>Analysis!F655</f>
        <v>0.48759659796662874</v>
      </c>
      <c r="E655" s="19">
        <f>IF(ENSO!F655="","",ENSO!F655)</f>
        <v>0.39</v>
      </c>
      <c r="F655" s="25">
        <f>IF(Volcanic!G655="","",Volcanic!G655)</f>
        <v>6.1700000000000001E-3</v>
      </c>
      <c r="G655" s="19">
        <f>IF(Solar!D655="","",Solar!D655)</f>
        <v>1361.32</v>
      </c>
      <c r="H655" s="20">
        <f t="shared" si="72"/>
        <v>0.48759659796662874</v>
      </c>
      <c r="I655" s="20">
        <f t="shared" si="73"/>
        <v>-0.24449534166855025</v>
      </c>
      <c r="J655" s="25">
        <f t="shared" si="74"/>
        <v>7.3776624471817709E-3</v>
      </c>
      <c r="K655" s="19">
        <f t="shared" si="75"/>
        <v>1361.0535101555756</v>
      </c>
      <c r="L655" s="20">
        <f t="shared" si="76"/>
        <v>0.71942209057716711</v>
      </c>
      <c r="M655" s="20">
        <f t="shared" si="77"/>
        <v>-5.9422090577163411E-2</v>
      </c>
      <c r="AB655" s="20">
        <f t="shared" si="78"/>
        <v>0.72545123209522555</v>
      </c>
    </row>
    <row r="656" spans="1:28">
      <c r="A656" s="18" t="str">
        <f>Analysis!A656</f>
        <v>9/2012</v>
      </c>
      <c r="B656" s="19">
        <f>Analysis!B656</f>
        <v>2012.7083333333333</v>
      </c>
      <c r="C656" s="19">
        <f>Analysis!E656</f>
        <v>0.72000000000000242</v>
      </c>
      <c r="D656" s="20">
        <f>Analysis!F656</f>
        <v>0.48292201974993032</v>
      </c>
      <c r="E656" s="19">
        <f>IF(ENSO!F656="","",ENSO!F656)</f>
        <v>0.37</v>
      </c>
      <c r="F656" s="25">
        <f>IF(Volcanic!G656="","",Volcanic!G656)</f>
        <v>6.0899999999999999E-3</v>
      </c>
      <c r="G656" s="19">
        <f>IF(Solar!D656="","",Solar!D656)</f>
        <v>1361.46</v>
      </c>
      <c r="H656" s="20">
        <f t="shared" si="72"/>
        <v>0.48292201974993032</v>
      </c>
      <c r="I656" s="20">
        <f t="shared" si="73"/>
        <v>-0.15015907675284168</v>
      </c>
      <c r="J656" s="25">
        <f t="shared" si="74"/>
        <v>7.274706642457514E-3</v>
      </c>
      <c r="K656" s="19">
        <f t="shared" si="75"/>
        <v>1361.0860112890336</v>
      </c>
      <c r="L656" s="20">
        <f t="shared" si="76"/>
        <v>0.72044330875707285</v>
      </c>
      <c r="M656" s="20">
        <f t="shared" si="77"/>
        <v>-4.4330875707043749E-4</v>
      </c>
      <c r="AB656" s="20">
        <f t="shared" si="78"/>
        <v>0.72571404565165443</v>
      </c>
    </row>
    <row r="657" spans="1:28">
      <c r="A657" s="18" t="str">
        <f>Analysis!A657</f>
        <v>10/2012</v>
      </c>
      <c r="B657" s="19">
        <f>Analysis!B657</f>
        <v>2012.7916666666667</v>
      </c>
      <c r="C657" s="19">
        <f>Analysis!E657</f>
        <v>0.79999999999999893</v>
      </c>
      <c r="D657" s="20">
        <f>Analysis!F657</f>
        <v>0.48273767097945647</v>
      </c>
      <c r="E657" s="19">
        <f>IF(ENSO!F657="","",ENSO!F657)</f>
        <v>0.28000000000000003</v>
      </c>
      <c r="F657" s="25">
        <f>IF(Volcanic!G657="","",Volcanic!G657)</f>
        <v>5.94E-3</v>
      </c>
      <c r="G657" s="19">
        <f>IF(Solar!D657="","",Solar!D657)</f>
        <v>1361.25</v>
      </c>
      <c r="H657" s="20">
        <f t="shared" si="72"/>
        <v>0.48273767097945647</v>
      </c>
      <c r="I657" s="20">
        <f t="shared" si="73"/>
        <v>-8.4121797267099507E-2</v>
      </c>
      <c r="J657" s="25">
        <f t="shared" si="74"/>
        <v>7.1679893915616933E-3</v>
      </c>
      <c r="K657" s="19">
        <f t="shared" si="75"/>
        <v>1361.0991231024132</v>
      </c>
      <c r="L657" s="20">
        <f t="shared" si="76"/>
        <v>0.72962606829401166</v>
      </c>
      <c r="M657" s="20">
        <f t="shared" si="77"/>
        <v>7.0373931705987269E-2</v>
      </c>
      <c r="AB657" s="20">
        <f t="shared" si="78"/>
        <v>0.73431083158355626</v>
      </c>
    </row>
    <row r="658" spans="1:28">
      <c r="A658" s="18" t="str">
        <f>Analysis!A658</f>
        <v>11/2012</v>
      </c>
      <c r="B658" s="19">
        <f>Analysis!B658</f>
        <v>2012.875</v>
      </c>
      <c r="C658" s="19">
        <f>Analysis!E658</f>
        <v>0.77999999999999758</v>
      </c>
      <c r="D658" s="20">
        <f>Analysis!F658</f>
        <v>0.48983649450825167</v>
      </c>
      <c r="E658" s="19">
        <f>IF(ENSO!F658="","",ENSO!F658)</f>
        <v>0.13</v>
      </c>
      <c r="F658" s="25">
        <f>IF(Volcanic!G658="","",Volcanic!G658)</f>
        <v>5.9500000000000004E-3</v>
      </c>
      <c r="G658" s="19">
        <f>IF(Solar!D658="","",Solar!D658)</f>
        <v>1361.23</v>
      </c>
      <c r="H658" s="20">
        <f t="shared" si="72"/>
        <v>0.48983649450825167</v>
      </c>
      <c r="I658" s="20">
        <f t="shared" si="73"/>
        <v>-5.1250188287332785E-2</v>
      </c>
      <c r="J658" s="25">
        <f t="shared" si="74"/>
        <v>7.0706043367841044E-3</v>
      </c>
      <c r="K658" s="19">
        <f t="shared" si="75"/>
        <v>1361.1095874413711</v>
      </c>
      <c r="L658" s="20">
        <f t="shared" si="76"/>
        <v>0.75379176259538183</v>
      </c>
      <c r="M658" s="20">
        <f t="shared" si="77"/>
        <v>2.6208237404615753E-2</v>
      </c>
      <c r="AB658" s="20">
        <f t="shared" si="78"/>
        <v>0.75803935364595454</v>
      </c>
    </row>
    <row r="659" spans="1:28">
      <c r="A659" s="18" t="str">
        <f>Analysis!A659</f>
        <v>12/2012</v>
      </c>
      <c r="B659" s="19">
        <f>Analysis!B659</f>
        <v>2012.9583333333333</v>
      </c>
      <c r="C659" s="19">
        <f>Analysis!E659</f>
        <v>0.52999999999999758</v>
      </c>
      <c r="D659" s="20">
        <f>Analysis!F659</f>
        <v>0.49485444187513067</v>
      </c>
      <c r="E659" s="19">
        <f>IF(ENSO!F659="","",ENSO!F659)</f>
        <v>-0.03</v>
      </c>
      <c r="F659" s="25">
        <f>IF(Volcanic!G659="","",Volcanic!G659)</f>
        <v>5.6800000000000002E-3</v>
      </c>
      <c r="G659" s="19">
        <f>IF(Solar!D659="","",Solar!D659)</f>
        <v>1361.22</v>
      </c>
      <c r="H659" s="20">
        <f t="shared" si="72"/>
        <v>0.49485444187513067</v>
      </c>
      <c r="I659" s="20">
        <f t="shared" si="73"/>
        <v>-4.7987896035711783E-2</v>
      </c>
      <c r="J659" s="25">
        <f t="shared" si="74"/>
        <v>6.9594177530175301E-3</v>
      </c>
      <c r="K659" s="19">
        <f t="shared" si="75"/>
        <v>1361.1184155421283</v>
      </c>
      <c r="L659" s="20">
        <f t="shared" si="76"/>
        <v>0.76819873007571571</v>
      </c>
      <c r="M659" s="20">
        <f t="shared" si="77"/>
        <v>-0.23819873007571812</v>
      </c>
      <c r="AB659" s="20">
        <f t="shared" si="78"/>
        <v>0.77235115878243032</v>
      </c>
    </row>
    <row r="660" spans="1:28">
      <c r="A660" s="18" t="str">
        <f>Analysis!A660</f>
        <v>1/2013</v>
      </c>
      <c r="B660" s="19">
        <f>Analysis!B660</f>
        <v>2013.0416666666667</v>
      </c>
      <c r="C660" s="19">
        <f>Analysis!E660</f>
        <v>0.71000000000000085</v>
      </c>
      <c r="D660" s="20">
        <f>Analysis!F660</f>
        <v>0.49927188316908833</v>
      </c>
      <c r="E660" s="19">
        <f>IF(ENSO!F660="","",ENSO!F660)</f>
        <v>-0.24</v>
      </c>
      <c r="F660" s="25">
        <f>IF(Volcanic!G660="","",Volcanic!G660)</f>
        <v>5.2100000000000002E-3</v>
      </c>
      <c r="G660" s="19">
        <f>IF(Solar!D660="","",Solar!D660)</f>
        <v>1361.16</v>
      </c>
      <c r="H660" s="20">
        <f t="shared" si="72"/>
        <v>0.49927188316908833</v>
      </c>
      <c r="I660" s="20">
        <f t="shared" si="73"/>
        <v>-7.7465263036433391E-2</v>
      </c>
      <c r="J660" s="25">
        <f t="shared" si="74"/>
        <v>6.8195420325171596E-3</v>
      </c>
      <c r="K660" s="19">
        <f t="shared" si="75"/>
        <v>1361.1217404518</v>
      </c>
      <c r="L660" s="20">
        <f t="shared" si="76"/>
        <v>0.77645889639607268</v>
      </c>
      <c r="M660" s="20">
        <f t="shared" si="77"/>
        <v>-6.6458896396071832E-2</v>
      </c>
      <c r="AB660" s="20">
        <f t="shared" si="78"/>
        <v>0.7808613285833641</v>
      </c>
    </row>
    <row r="661" spans="1:28">
      <c r="A661" s="18" t="str">
        <f>Analysis!A661</f>
        <v>2/2013</v>
      </c>
      <c r="B661" s="19">
        <f>Analysis!B661</f>
        <v>2013.125</v>
      </c>
      <c r="C661" s="19">
        <f>Analysis!E661</f>
        <v>0.62000000000000099</v>
      </c>
      <c r="D661" s="20">
        <f>Analysis!F661</f>
        <v>0.50382119585545315</v>
      </c>
      <c r="E661" s="19">
        <f>IF(ENSO!F661="","",ENSO!F661)</f>
        <v>-0.28000000000000003</v>
      </c>
      <c r="F661" s="25">
        <f>IF(Volcanic!G661="","",Volcanic!G661)</f>
        <v>5.1200000000000004E-3</v>
      </c>
      <c r="G661" s="19">
        <f>IF(Solar!D661="","",Solar!D661)</f>
        <v>1361.2</v>
      </c>
      <c r="H661" s="20">
        <f t="shared" si="72"/>
        <v>0.50382119585545315</v>
      </c>
      <c r="I661" s="20">
        <f t="shared" si="73"/>
        <v>-0.10855804650481331</v>
      </c>
      <c r="J661" s="25">
        <f t="shared" si="74"/>
        <v>6.6836541544451804E-3</v>
      </c>
      <c r="K661" s="19">
        <f t="shared" si="75"/>
        <v>1361.1279977397871</v>
      </c>
      <c r="L661" s="20">
        <f t="shared" si="76"/>
        <v>0.78483416848192433</v>
      </c>
      <c r="M661" s="20">
        <f t="shared" si="77"/>
        <v>-0.16483416848192334</v>
      </c>
      <c r="AB661" s="20">
        <f t="shared" si="78"/>
        <v>0.78949733794452603</v>
      </c>
    </row>
    <row r="662" spans="1:28">
      <c r="A662" s="18" t="str">
        <f>Analysis!A662</f>
        <v>3/2013</v>
      </c>
      <c r="B662" s="19">
        <f>Analysis!B662</f>
        <v>2013.2083333333333</v>
      </c>
      <c r="C662" s="19">
        <f>Analysis!E662</f>
        <v>0.66999999999999993</v>
      </c>
      <c r="D662" s="20">
        <f>Analysis!F662</f>
        <v>0.50610862382400879</v>
      </c>
      <c r="E662" s="19">
        <f>IF(ENSO!F662="","",ENSO!F662)</f>
        <v>-0.23</v>
      </c>
      <c r="F662" s="25">
        <f>IF(Volcanic!G662="","",Volcanic!G662)</f>
        <v>4.96E-3</v>
      </c>
      <c r="G662" s="19">
        <f>IF(Solar!D662="","",Solar!D662)</f>
        <v>1361.25</v>
      </c>
      <c r="H662" s="20">
        <f t="shared" si="72"/>
        <v>0.50610862382400879</v>
      </c>
      <c r="I662" s="20">
        <f t="shared" si="73"/>
        <v>-0.12720160573130862</v>
      </c>
      <c r="J662" s="25">
        <f t="shared" si="74"/>
        <v>6.5458383775499175E-3</v>
      </c>
      <c r="K662" s="19">
        <f t="shared" si="75"/>
        <v>1361.1377525019191</v>
      </c>
      <c r="L662" s="20">
        <f t="shared" si="76"/>
        <v>0.78885629764630061</v>
      </c>
      <c r="M662" s="20">
        <f t="shared" si="77"/>
        <v>-0.11885629764630068</v>
      </c>
      <c r="AB662" s="20">
        <f t="shared" si="78"/>
        <v>0.79371267862623762</v>
      </c>
    </row>
    <row r="663" spans="1:28">
      <c r="A663" s="18" t="str">
        <f>Analysis!A663</f>
        <v>4/2013</v>
      </c>
      <c r="B663" s="19">
        <f>Analysis!B663</f>
        <v>2013.2916666666667</v>
      </c>
      <c r="C663" s="19">
        <f>Analysis!E663</f>
        <v>0.52999999999999758</v>
      </c>
      <c r="D663" s="20">
        <f>Analysis!F663</f>
        <v>0.50965965196384122</v>
      </c>
      <c r="E663" s="19">
        <f>IF(ENSO!F663="","",ENSO!F663)</f>
        <v>-0.2</v>
      </c>
      <c r="F663" s="25">
        <f>IF(Volcanic!G663="","",Volcanic!G663)</f>
        <v>4.8300000000000001E-3</v>
      </c>
      <c r="G663" s="19">
        <f>IF(Solar!D663="","",Solar!D663)</f>
        <v>1361.09</v>
      </c>
      <c r="H663" s="20">
        <f t="shared" si="72"/>
        <v>0.50965965196384122</v>
      </c>
      <c r="I663" s="20">
        <f t="shared" si="73"/>
        <v>-0.13837748965017113</v>
      </c>
      <c r="J663" s="25">
        <f t="shared" si="74"/>
        <v>6.4086475156714413E-3</v>
      </c>
      <c r="K663" s="19">
        <f t="shared" si="75"/>
        <v>1361.1339344226753</v>
      </c>
      <c r="L663" s="20">
        <f t="shared" si="76"/>
        <v>0.79734714717953936</v>
      </c>
      <c r="M663" s="20">
        <f t="shared" si="77"/>
        <v>-0.26734714717954178</v>
      </c>
      <c r="AB663" s="20">
        <f t="shared" si="78"/>
        <v>0.80229473302028753</v>
      </c>
    </row>
    <row r="664" spans="1:28">
      <c r="A664" s="18" t="str">
        <f>Analysis!A664</f>
        <v>5/2013</v>
      </c>
      <c r="B664" s="19">
        <f>Analysis!B664</f>
        <v>2013.375</v>
      </c>
      <c r="C664" s="19">
        <f>Analysis!E664</f>
        <v>0.60000000000000142</v>
      </c>
      <c r="D664" s="20">
        <f>Analysis!F664</f>
        <v>0.51464530577849399</v>
      </c>
      <c r="E664" s="19">
        <f>IF(ENSO!F664="","",ENSO!F664)</f>
        <v>-0.3</v>
      </c>
      <c r="F664" s="25">
        <f>IF(Volcanic!G664="","",Volcanic!G664)</f>
        <v>4.6699999999999997E-3</v>
      </c>
      <c r="G664" s="19">
        <f>IF(Solar!D664="","",Solar!D664)</f>
        <v>1361.33</v>
      </c>
      <c r="H664" s="20">
        <f t="shared" si="72"/>
        <v>0.51464530577849399</v>
      </c>
      <c r="I664" s="20">
        <f t="shared" si="73"/>
        <v>-0.1631894986579257</v>
      </c>
      <c r="J664" s="25">
        <f t="shared" si="74"/>
        <v>6.2696329358026583E-3</v>
      </c>
      <c r="K664" s="19">
        <f t="shared" si="75"/>
        <v>1361.1496109606815</v>
      </c>
      <c r="L664" s="20">
        <f t="shared" si="76"/>
        <v>0.80779931756573575</v>
      </c>
      <c r="M664" s="20">
        <f t="shared" si="77"/>
        <v>-0.20779931756573433</v>
      </c>
      <c r="AB664" s="20">
        <f t="shared" si="78"/>
        <v>0.81293807694465092</v>
      </c>
    </row>
    <row r="665" spans="1:28">
      <c r="A665" s="18" t="str">
        <f>Analysis!A665</f>
        <v>6/2013</v>
      </c>
      <c r="B665" s="19">
        <f>Analysis!B665</f>
        <v>2013.4583333333333</v>
      </c>
      <c r="C665" s="19">
        <f>Analysis!E665</f>
        <v>0.70000000000000107</v>
      </c>
      <c r="D665" s="20">
        <f>Analysis!F665</f>
        <v>0.5102747580160486</v>
      </c>
      <c r="E665" s="19">
        <f>IF(ENSO!F665="","",ENSO!F665)</f>
        <v>-0.38</v>
      </c>
      <c r="F665" s="25">
        <f>IF(Volcanic!G665="","",Volcanic!G665)</f>
        <v>4.3899999999999998E-3</v>
      </c>
      <c r="G665" s="19">
        <f>IF(Solar!D665="","",Solar!D665)</f>
        <v>1361.32</v>
      </c>
      <c r="H665" s="20">
        <f t="shared" si="72"/>
        <v>0.5102747580160486</v>
      </c>
      <c r="I665" s="20">
        <f t="shared" si="73"/>
        <v>-0.19647387284956214</v>
      </c>
      <c r="J665" s="25">
        <f t="shared" si="74"/>
        <v>6.1193457841385527E-3</v>
      </c>
      <c r="K665" s="19">
        <f t="shared" si="75"/>
        <v>1361.163234516061</v>
      </c>
      <c r="L665" s="20">
        <f t="shared" si="76"/>
        <v>0.79179330361769951</v>
      </c>
      <c r="M665" s="20">
        <f t="shared" si="77"/>
        <v>-9.1793303617698441E-2</v>
      </c>
      <c r="AB665" s="20">
        <f t="shared" si="78"/>
        <v>0.79742736417302029</v>
      </c>
    </row>
    <row r="666" spans="1:28">
      <c r="A666" s="18" t="str">
        <f>Analysis!A666</f>
        <v>7/2013</v>
      </c>
      <c r="B666" s="19">
        <f>Analysis!B666</f>
        <v>2013.5416666666667</v>
      </c>
      <c r="C666" s="19">
        <f>Analysis!E666</f>
        <v>0.60000000000000142</v>
      </c>
      <c r="D666" s="20">
        <f>Analysis!F666</f>
        <v>0.50556432698509302</v>
      </c>
      <c r="E666" s="19">
        <f>IF(ENSO!F666="","",ENSO!F666)</f>
        <v>-0.45</v>
      </c>
      <c r="F666" s="25">
        <f>IF(Volcanic!G666="","",Volcanic!G666)</f>
        <v>4.3899999999999998E-3</v>
      </c>
      <c r="G666" s="19">
        <f>IF(Solar!D666="","",Solar!D666)</f>
        <v>1361.36</v>
      </c>
      <c r="H666" s="20">
        <f t="shared" si="72"/>
        <v>0.50556432698509302</v>
      </c>
      <c r="I666" s="20">
        <f t="shared" si="73"/>
        <v>-0.23539476658486019</v>
      </c>
      <c r="J666" s="25">
        <f t="shared" si="74"/>
        <v>5.9810749296594426E-3</v>
      </c>
      <c r="K666" s="19">
        <f t="shared" si="75"/>
        <v>1361.1789670155101</v>
      </c>
      <c r="L666" s="20">
        <f t="shared" si="76"/>
        <v>0.77403199121255362</v>
      </c>
      <c r="M666" s="20">
        <f t="shared" si="77"/>
        <v>-0.1740319912125522</v>
      </c>
      <c r="AB666" s="20">
        <f t="shared" si="78"/>
        <v>0.78021822305375055</v>
      </c>
    </row>
    <row r="667" spans="1:28">
      <c r="A667" s="18" t="str">
        <f>Analysis!A667</f>
        <v>8/2013</v>
      </c>
      <c r="B667" s="19">
        <f>Analysis!B667</f>
        <v>2013.625</v>
      </c>
      <c r="C667" s="19">
        <f>Analysis!E667</f>
        <v>0.70000000000000107</v>
      </c>
      <c r="D667" s="20">
        <f>Analysis!F667</f>
        <v>0.49784955645922896</v>
      </c>
      <c r="E667" s="19">
        <f>IF(ENSO!F667="","",ENSO!F667)</f>
        <v>-0.34</v>
      </c>
      <c r="F667" s="25">
        <f>IF(Volcanic!G667="","",Volcanic!G667)</f>
        <v>4.4999999999999997E-3</v>
      </c>
      <c r="G667" s="19">
        <f>IF(Solar!D667="","",Solar!D667)</f>
        <v>1361.42</v>
      </c>
      <c r="H667" s="20">
        <f t="shared" si="72"/>
        <v>0.49784955645922896</v>
      </c>
      <c r="I667" s="20">
        <f t="shared" si="73"/>
        <v>-0.25145358158616715</v>
      </c>
      <c r="J667" s="25">
        <f t="shared" si="74"/>
        <v>5.862654716680688E-3</v>
      </c>
      <c r="K667" s="19">
        <f t="shared" si="75"/>
        <v>1361.1982389488787</v>
      </c>
      <c r="L667" s="20">
        <f t="shared" si="76"/>
        <v>0.75130540014811553</v>
      </c>
      <c r="M667" s="20">
        <f t="shared" si="77"/>
        <v>-5.1305400148114466E-2</v>
      </c>
      <c r="AB667" s="20">
        <f t="shared" si="78"/>
        <v>0.75788211323359056</v>
      </c>
    </row>
    <row r="668" spans="1:28">
      <c r="A668" s="18" t="str">
        <f>Analysis!A668</f>
        <v>9/2013</v>
      </c>
      <c r="B668" s="19">
        <f>Analysis!B668</f>
        <v>2013.7083333333333</v>
      </c>
      <c r="C668" s="19">
        <f>Analysis!E668</f>
        <v>0.77000000000000135</v>
      </c>
      <c r="D668" s="20">
        <f>Analysis!F668</f>
        <v>0.49174317251988486</v>
      </c>
      <c r="E668" s="19">
        <f>IF(ENSO!F668="","",ENSO!F668)</f>
        <v>-0.32</v>
      </c>
      <c r="F668" s="25">
        <f>IF(Volcanic!G668="","",Volcanic!G668)</f>
        <v>4.5799999999999999E-3</v>
      </c>
      <c r="G668" s="19">
        <f>IF(Solar!D668="","",Solar!D668)</f>
        <v>1361.39</v>
      </c>
      <c r="H668" s="20">
        <f t="shared" si="72"/>
        <v>0.49174317251988486</v>
      </c>
      <c r="I668" s="20">
        <f t="shared" si="73"/>
        <v>-0.26197670950598501</v>
      </c>
      <c r="J668" s="25">
        <f t="shared" si="74"/>
        <v>5.7600993079800246E-3</v>
      </c>
      <c r="K668" s="19">
        <f t="shared" si="75"/>
        <v>1361.2135713159726</v>
      </c>
      <c r="L668" s="20">
        <f t="shared" si="76"/>
        <v>0.73365554836130331</v>
      </c>
      <c r="M668" s="20">
        <f t="shared" si="77"/>
        <v>3.6344451638698039E-2</v>
      </c>
      <c r="AB668" s="20">
        <f t="shared" si="78"/>
        <v>0.74052428484434685</v>
      </c>
    </row>
    <row r="669" spans="1:28">
      <c r="A669" s="18" t="str">
        <f>Analysis!A669</f>
        <v>10/2013</v>
      </c>
      <c r="B669" s="19">
        <f>Analysis!B669</f>
        <v>2013.7916666666667</v>
      </c>
      <c r="C669" s="19">
        <f>Analysis!E669</f>
        <v>0.69000000000000128</v>
      </c>
      <c r="D669" s="20">
        <f>Analysis!F669</f>
        <v>0.49240258978171431</v>
      </c>
      <c r="E669" s="19">
        <f>IF(ENSO!F669="","",ENSO!F669)</f>
        <v>-0.14000000000000001</v>
      </c>
      <c r="F669" s="25">
        <f>IF(Volcanic!G669="","",Volcanic!G669)</f>
        <v>4.5500000000000002E-3</v>
      </c>
      <c r="G669" s="19">
        <f>IF(Solar!D669="","",Solar!D669)</f>
        <v>1361.09</v>
      </c>
      <c r="H669" s="20">
        <f t="shared" si="72"/>
        <v>0.49240258978171431</v>
      </c>
      <c r="I669" s="20">
        <f t="shared" si="73"/>
        <v>-0.24325105545910758</v>
      </c>
      <c r="J669" s="25">
        <f t="shared" si="74"/>
        <v>5.6633451094538307E-3</v>
      </c>
      <c r="K669" s="19">
        <f t="shared" si="75"/>
        <v>1361.2036910990689</v>
      </c>
      <c r="L669" s="20">
        <f t="shared" si="76"/>
        <v>0.73840953680769927</v>
      </c>
      <c r="M669" s="20">
        <f t="shared" si="77"/>
        <v>-4.8409536807697995E-2</v>
      </c>
      <c r="AB669" s="20">
        <f t="shared" si="78"/>
        <v>0.74512712522682434</v>
      </c>
    </row>
    <row r="670" spans="1:28">
      <c r="A670" s="18" t="str">
        <f>Analysis!A670</f>
        <v>11/2013</v>
      </c>
      <c r="B670" s="19">
        <f>Analysis!B670</f>
        <v>2013.875</v>
      </c>
      <c r="C670" s="19">
        <f>Analysis!E670</f>
        <v>0.83000000000000362</v>
      </c>
      <c r="D670" s="20">
        <f>Analysis!F670</f>
        <v>0.49774008860909347</v>
      </c>
      <c r="E670" s="19">
        <f>IF(ENSO!F670="","",ENSO!F670)</f>
        <v>-0.12</v>
      </c>
      <c r="F670" s="25">
        <f>IF(Volcanic!G670="","",Volcanic!G670)</f>
        <v>4.5399999999999998E-3</v>
      </c>
      <c r="G670" s="19">
        <f>IF(Solar!D670="","",Solar!D670)</f>
        <v>1361.09</v>
      </c>
      <c r="H670" s="20">
        <f t="shared" si="72"/>
        <v>0.49774008860909347</v>
      </c>
      <c r="I670" s="20">
        <f t="shared" si="73"/>
        <v>-0.22432976601961413</v>
      </c>
      <c r="J670" s="25">
        <f t="shared" si="74"/>
        <v>5.5735273936541622E-3</v>
      </c>
      <c r="K670" s="19">
        <f t="shared" si="75"/>
        <v>1361.1946008606915</v>
      </c>
      <c r="L670" s="20">
        <f t="shared" si="76"/>
        <v>0.75581794871259766</v>
      </c>
      <c r="M670" s="20">
        <f t="shared" si="77"/>
        <v>7.4182051287405959E-2</v>
      </c>
      <c r="AB670" s="20">
        <f t="shared" si="78"/>
        <v>0.7622709163342406</v>
      </c>
    </row>
    <row r="671" spans="1:28">
      <c r="A671" s="18" t="str">
        <f>Analysis!A671</f>
        <v>12/2013</v>
      </c>
      <c r="B671" s="19">
        <f>Analysis!B671</f>
        <v>2013.9583333333333</v>
      </c>
      <c r="C671" s="19">
        <f>Analysis!E671</f>
        <v>0.70000000000000107</v>
      </c>
      <c r="D671" s="20">
        <f>Analysis!F671</f>
        <v>0.50382119585545315</v>
      </c>
      <c r="E671" s="19">
        <f>IF(ENSO!F671="","",ENSO!F671)</f>
        <v>-0.11</v>
      </c>
      <c r="F671" s="25">
        <f>IF(Volcanic!G671="","",Volcanic!G671)</f>
        <v>4.2700000000000004E-3</v>
      </c>
      <c r="G671" s="19">
        <f>IF(Solar!D671="","",Solar!D671)</f>
        <v>1361.45</v>
      </c>
      <c r="H671" s="20">
        <f t="shared" si="72"/>
        <v>0.50382119585545315</v>
      </c>
      <c r="I671" s="20">
        <f t="shared" si="73"/>
        <v>-0.20677805754662332</v>
      </c>
      <c r="J671" s="25">
        <f t="shared" si="74"/>
        <v>5.4693030978478305E-3</v>
      </c>
      <c r="K671" s="19">
        <f t="shared" si="75"/>
        <v>1361.2150214483781</v>
      </c>
      <c r="L671" s="20">
        <f t="shared" si="76"/>
        <v>0.77509280311424888</v>
      </c>
      <c r="M671" s="20">
        <f t="shared" si="77"/>
        <v>-7.5092803114247819E-2</v>
      </c>
      <c r="AB671" s="20">
        <f t="shared" si="78"/>
        <v>0.78128404784708716</v>
      </c>
    </row>
    <row r="672" spans="1:28">
      <c r="A672" s="18" t="str">
        <f>Analysis!A672</f>
        <v>1/2014</v>
      </c>
      <c r="B672" s="19">
        <f>Analysis!B672</f>
        <v>2014.0416666666667</v>
      </c>
      <c r="C672" s="19">
        <f>Analysis!E672</f>
        <v>0.75999999999999801</v>
      </c>
      <c r="D672" s="20">
        <f>Analysis!F672</f>
        <v>0.50748659078948732</v>
      </c>
      <c r="E672" s="19">
        <f>IF(ENSO!F672="","",ENSO!F672)</f>
        <v>-0.24</v>
      </c>
      <c r="F672" s="25">
        <f>IF(Volcanic!G672="","",Volcanic!G672)</f>
        <v>4.1099999999999999E-3</v>
      </c>
      <c r="G672" s="19">
        <f>IF(Solar!D672="","",Solar!D672)</f>
        <v>1361.27</v>
      </c>
      <c r="H672" s="20">
        <f t="shared" si="72"/>
        <v>0.50748659078948732</v>
      </c>
      <c r="I672" s="20">
        <f t="shared" si="73"/>
        <v>-0.21187823284784899</v>
      </c>
      <c r="J672" s="25">
        <f t="shared" si="74"/>
        <v>5.3606192229632326E-3</v>
      </c>
      <c r="K672" s="19">
        <f t="shared" si="75"/>
        <v>1361.2194172906559</v>
      </c>
      <c r="L672" s="20">
        <f t="shared" si="76"/>
        <v>0.78465362379613257</v>
      </c>
      <c r="M672" s="20">
        <f t="shared" si="77"/>
        <v>-2.4653623796134561E-2</v>
      </c>
      <c r="AB672" s="20">
        <f t="shared" si="78"/>
        <v>0.79086097329816429</v>
      </c>
    </row>
    <row r="673" spans="1:28">
      <c r="A673" s="18" t="str">
        <f>Analysis!A673</f>
        <v>2/2014</v>
      </c>
      <c r="B673" s="19">
        <f>Analysis!B673</f>
        <v>2014.125</v>
      </c>
      <c r="C673" s="19">
        <f>Analysis!E673</f>
        <v>0.54999999999999893</v>
      </c>
      <c r="D673" s="20">
        <f>Analysis!F673</f>
        <v>0.50831998448950766</v>
      </c>
      <c r="E673" s="19">
        <f>IF(ENSO!F673="","",ENSO!F673)</f>
        <v>-0.21</v>
      </c>
      <c r="F673" s="25">
        <f>IF(Volcanic!G673="","",Volcanic!G673)</f>
        <v>4.5700000000000003E-3</v>
      </c>
      <c r="G673" s="19">
        <f>IF(Solar!D673="","",Solar!D673)</f>
        <v>1361.01</v>
      </c>
      <c r="H673" s="20">
        <f t="shared" si="72"/>
        <v>0.50831998448950766</v>
      </c>
      <c r="I673" s="20">
        <f t="shared" si="73"/>
        <v>-0.21158988978079343</v>
      </c>
      <c r="J673" s="25">
        <f t="shared" si="74"/>
        <v>5.2974048001858979E-3</v>
      </c>
      <c r="K673" s="19">
        <f t="shared" si="75"/>
        <v>1361.2026732085947</v>
      </c>
      <c r="L673" s="20">
        <f t="shared" si="76"/>
        <v>0.78716240385090175</v>
      </c>
      <c r="M673" s="20">
        <f t="shared" si="77"/>
        <v>-0.23716240385090281</v>
      </c>
      <c r="AB673" s="20">
        <f t="shared" si="78"/>
        <v>0.79337759738920943</v>
      </c>
    </row>
    <row r="674" spans="1:28">
      <c r="A674" s="18" t="str">
        <f>Analysis!A674</f>
        <v>3/2014</v>
      </c>
      <c r="B674" s="19">
        <f>Analysis!B674</f>
        <v>2014.2083333333333</v>
      </c>
      <c r="C674" s="19">
        <f>Analysis!E674</f>
        <v>0.77999999999999758</v>
      </c>
      <c r="D674" s="20">
        <f>Analysis!F674</f>
        <v>0.51424852992186132</v>
      </c>
      <c r="E674" s="19">
        <f>IF(ENSO!F674="","",ENSO!F674)</f>
        <v>-0.02</v>
      </c>
      <c r="F674" s="25">
        <f>IF(Volcanic!G674="","",Volcanic!G674)</f>
        <v>7.0000000000000001E-3</v>
      </c>
      <c r="G674" s="19">
        <f>IF(Solar!D674="","",Solar!D674)</f>
        <v>1361.77</v>
      </c>
      <c r="H674" s="20">
        <f t="shared" si="72"/>
        <v>0.51424852992186132</v>
      </c>
      <c r="I674" s="20">
        <f t="shared" si="73"/>
        <v>-0.18217734037324868</v>
      </c>
      <c r="J674" s="25">
        <f t="shared" si="74"/>
        <v>5.4335367960363385E-3</v>
      </c>
      <c r="K674" s="19">
        <f t="shared" si="75"/>
        <v>1361.248034154298</v>
      </c>
      <c r="L674" s="20">
        <f t="shared" si="76"/>
        <v>0.80688313848845805</v>
      </c>
      <c r="M674" s="20">
        <f t="shared" si="77"/>
        <v>-2.6883138488460467E-2</v>
      </c>
      <c r="AB674" s="20">
        <f t="shared" si="78"/>
        <v>0.81261123776071398</v>
      </c>
    </row>
    <row r="675" spans="1:28">
      <c r="A675" s="18" t="str">
        <f>Analysis!A675</f>
        <v>4/2014</v>
      </c>
      <c r="B675" s="19">
        <f>Analysis!B675</f>
        <v>2014.2916666666667</v>
      </c>
      <c r="C675" s="19">
        <f>Analysis!E675</f>
        <v>0.81000000000000227</v>
      </c>
      <c r="D675" s="20">
        <f>Analysis!F675</f>
        <v>0.52000909275354024</v>
      </c>
      <c r="E675" s="19">
        <f>IF(ENSO!F675="","",ENSO!F675)</f>
        <v>0.25</v>
      </c>
      <c r="F675" s="25">
        <f>IF(Volcanic!G675="","",Volcanic!G675)</f>
        <v>7.43E-3</v>
      </c>
      <c r="G675" s="19">
        <f>IF(Solar!D675="","",Solar!D675)</f>
        <v>1361.49</v>
      </c>
      <c r="H675" s="20">
        <f t="shared" si="72"/>
        <v>0.52000909275354024</v>
      </c>
      <c r="I675" s="20">
        <f t="shared" si="73"/>
        <v>-0.11583022053778558</v>
      </c>
      <c r="J675" s="25">
        <f t="shared" si="74"/>
        <v>5.5931651801802698E-3</v>
      </c>
      <c r="K675" s="19">
        <f t="shared" si="75"/>
        <v>1361.2673806751309</v>
      </c>
      <c r="L675" s="20">
        <f t="shared" si="76"/>
        <v>0.83128215295239472</v>
      </c>
      <c r="M675" s="20">
        <f t="shared" si="77"/>
        <v>-2.1282152952392441E-2</v>
      </c>
      <c r="AB675" s="20">
        <f t="shared" si="78"/>
        <v>0.8361575361255269</v>
      </c>
    </row>
    <row r="676" spans="1:28">
      <c r="A676" s="18" t="str">
        <f>Analysis!A676</f>
        <v>5/2014</v>
      </c>
      <c r="B676" s="19">
        <f>Analysis!B676</f>
        <v>2014.375</v>
      </c>
      <c r="C676" s="19">
        <f>Analysis!E676</f>
        <v>0.86999999999999744</v>
      </c>
      <c r="D676" s="20">
        <f>Analysis!F676</f>
        <v>0.52162511534624834</v>
      </c>
      <c r="E676" s="19">
        <f>IF(ENSO!F676="","",ENSO!F676)</f>
        <v>0.35</v>
      </c>
      <c r="F676" s="25">
        <f>IF(Volcanic!G676="","",Volcanic!G676)</f>
        <v>7.3600000000000002E-3</v>
      </c>
      <c r="G676" s="19">
        <f>IF(Solar!D676="","",Solar!D676)</f>
        <v>1361.38</v>
      </c>
      <c r="H676" s="20">
        <f t="shared" si="72"/>
        <v>0.52162511534624834</v>
      </c>
      <c r="I676" s="20">
        <f t="shared" si="73"/>
        <v>-4.4316768586999927E-2</v>
      </c>
      <c r="J676" s="25">
        <f t="shared" si="74"/>
        <v>5.7344334924522506E-3</v>
      </c>
      <c r="K676" s="19">
        <f t="shared" si="75"/>
        <v>1361.2763852191749</v>
      </c>
      <c r="L676" s="20">
        <f t="shared" si="76"/>
        <v>0.84526497175226367</v>
      </c>
      <c r="M676" s="20">
        <f t="shared" si="77"/>
        <v>2.473502824773377E-2</v>
      </c>
      <c r="AB676" s="20">
        <f t="shared" si="78"/>
        <v>0.84934214196366931</v>
      </c>
    </row>
    <row r="677" spans="1:28">
      <c r="A677" s="18" t="str">
        <f>Analysis!A677</f>
        <v>6/2014</v>
      </c>
      <c r="B677" s="19">
        <f>Analysis!B677</f>
        <v>2014.4583333333333</v>
      </c>
      <c r="C677" s="19">
        <f>Analysis!E677</f>
        <v>0.66999999999999993</v>
      </c>
      <c r="D677" s="20">
        <f>Analysis!F677</f>
        <v>0.5197216102426353</v>
      </c>
      <c r="E677" s="19">
        <f>IF(ENSO!F677="","",ENSO!F677)</f>
        <v>0.22</v>
      </c>
      <c r="F677" s="25">
        <f>IF(Volcanic!G677="","",Volcanic!G677)</f>
        <v>7.2700000000000004E-3</v>
      </c>
      <c r="G677" s="19">
        <f>IF(Solar!D677="","",Solar!D677)</f>
        <v>1361.24</v>
      </c>
      <c r="H677" s="20">
        <f t="shared" si="72"/>
        <v>0.5197216102426353</v>
      </c>
      <c r="I677" s="20">
        <f t="shared" si="73"/>
        <v>-3.7393141910369923E-3</v>
      </c>
      <c r="J677" s="25">
        <f t="shared" si="74"/>
        <v>5.8572106114388369E-3</v>
      </c>
      <c r="K677" s="19">
        <f t="shared" si="75"/>
        <v>1361.273476017677</v>
      </c>
      <c r="L677" s="20">
        <f t="shared" si="76"/>
        <v>0.84542738632977954</v>
      </c>
      <c r="M677" s="20">
        <f t="shared" si="77"/>
        <v>-0.17542738632977961</v>
      </c>
      <c r="AB677" s="20">
        <f t="shared" si="78"/>
        <v>0.84909674962252668</v>
      </c>
    </row>
    <row r="678" spans="1:28">
      <c r="A678" s="18" t="str">
        <f>Analysis!A678</f>
        <v>7/2014</v>
      </c>
      <c r="B678" s="19">
        <f>Analysis!B678</f>
        <v>2014.5416666666667</v>
      </c>
      <c r="C678" s="19">
        <f>Analysis!E678</f>
        <v>0.58000000000000007</v>
      </c>
      <c r="D678" s="20">
        <f>Analysis!F678</f>
        <v>0.51193784891495564</v>
      </c>
      <c r="E678" s="19">
        <f>IF(ENSO!F678="","",ENSO!F678)</f>
        <v>7.0000000000000007E-2</v>
      </c>
      <c r="F678" s="25">
        <f>IF(Volcanic!G678="","",Volcanic!G678)</f>
        <v>6.8700000000000002E-3</v>
      </c>
      <c r="G678" s="19">
        <f>IF(Solar!D678="","",Solar!D678)</f>
        <v>1361.27</v>
      </c>
      <c r="H678" s="20">
        <f t="shared" si="72"/>
        <v>0.51193784891495564</v>
      </c>
      <c r="I678" s="20">
        <f t="shared" si="73"/>
        <v>7.5810181313200661E-3</v>
      </c>
      <c r="J678" s="25">
        <f t="shared" si="74"/>
        <v>5.9381887798584543E-3</v>
      </c>
      <c r="K678" s="19">
        <f t="shared" si="75"/>
        <v>1361.273198090649</v>
      </c>
      <c r="L678" s="20">
        <f t="shared" si="76"/>
        <v>0.82570156934524386</v>
      </c>
      <c r="M678" s="20">
        <f t="shared" si="77"/>
        <v>-0.24570156934524379</v>
      </c>
      <c r="AB678" s="20">
        <f t="shared" si="78"/>
        <v>0.82940292501765223</v>
      </c>
    </row>
    <row r="679" spans="1:28">
      <c r="A679" s="18" t="str">
        <f>Analysis!A679</f>
        <v>8/2014</v>
      </c>
      <c r="B679" s="19">
        <f>Analysis!B679</f>
        <v>2014.625</v>
      </c>
      <c r="C679" s="19">
        <f>Analysis!E679</f>
        <v>0.83000000000000362</v>
      </c>
      <c r="D679" s="20">
        <f>Analysis!F679</f>
        <v>0.50436615061227197</v>
      </c>
      <c r="E679" s="19">
        <f>IF(ENSO!F679="","",ENSO!F679)</f>
        <v>7.0000000000000007E-2</v>
      </c>
      <c r="F679" s="25">
        <f>IF(Volcanic!G679="","",Volcanic!G679)</f>
        <v>6.9800000000000001E-3</v>
      </c>
      <c r="G679" s="19">
        <f>IF(Solar!D679="","",Solar!D679)</f>
        <v>1361.49</v>
      </c>
      <c r="H679" s="20">
        <f t="shared" si="72"/>
        <v>0.50436615061227197</v>
      </c>
      <c r="I679" s="20">
        <f t="shared" si="73"/>
        <v>1.7163472561883841E-2</v>
      </c>
      <c r="J679" s="25">
        <f t="shared" si="74"/>
        <v>6.0214874058106107E-3</v>
      </c>
      <c r="K679" s="19">
        <f t="shared" si="75"/>
        <v>1361.2905326142206</v>
      </c>
      <c r="L679" s="20">
        <f t="shared" si="76"/>
        <v>0.80629608477630266</v>
      </c>
      <c r="M679" s="20">
        <f t="shared" si="77"/>
        <v>2.3703915223700966E-2</v>
      </c>
      <c r="AB679" s="20">
        <f t="shared" si="78"/>
        <v>0.81004028813716344</v>
      </c>
    </row>
    <row r="680" spans="1:28">
      <c r="A680" s="18" t="str">
        <f>Analysis!A680</f>
        <v>9/2014</v>
      </c>
      <c r="B680" s="19">
        <f>Analysis!B680</f>
        <v>2014.7083333333333</v>
      </c>
      <c r="C680" s="19">
        <f>Analysis!E680</f>
        <v>0.88000000000000256</v>
      </c>
      <c r="D680" s="20">
        <f>Analysis!F680</f>
        <v>0.49839677115263525</v>
      </c>
      <c r="E680" s="19">
        <f>IF(ENSO!F680="","",ENSO!F680)</f>
        <v>0.24</v>
      </c>
      <c r="F680" s="25">
        <f>IF(Volcanic!G680="","",Volcanic!G680)</f>
        <v>6.9300000000000004E-3</v>
      </c>
      <c r="G680" s="19">
        <f>IF(Solar!D680="","",Solar!D680)</f>
        <v>1361.51</v>
      </c>
      <c r="H680" s="20">
        <f t="shared" si="72"/>
        <v>0.49839677115263525</v>
      </c>
      <c r="I680" s="20">
        <f t="shared" si="73"/>
        <v>5.1372951885548773E-2</v>
      </c>
      <c r="J680" s="25">
        <f t="shared" si="74"/>
        <v>6.0941280620956557E-3</v>
      </c>
      <c r="K680" s="19">
        <f t="shared" si="75"/>
        <v>1361.3080802575205</v>
      </c>
      <c r="L680" s="20">
        <f t="shared" si="76"/>
        <v>0.79473509477599336</v>
      </c>
      <c r="M680" s="20">
        <f t="shared" si="77"/>
        <v>8.5264905224009202E-2</v>
      </c>
      <c r="AB680" s="20">
        <f t="shared" si="78"/>
        <v>0.7982511401820378</v>
      </c>
    </row>
    <row r="681" spans="1:28">
      <c r="A681" s="18" t="str">
        <f>Analysis!A681</f>
        <v>10/2014</v>
      </c>
      <c r="B681" s="19">
        <f>Analysis!B681</f>
        <v>2014.7916666666667</v>
      </c>
      <c r="C681" s="19">
        <f>Analysis!E681</f>
        <v>0.79999999999999893</v>
      </c>
      <c r="D681" s="20">
        <f>Analysis!F681</f>
        <v>0.50065639249457372</v>
      </c>
      <c r="E681" s="19">
        <f>IF(ENSO!F681="","",ENSO!F681)</f>
        <v>0.51</v>
      </c>
      <c r="F681" s="25">
        <f>IF(Volcanic!G681="","",Volcanic!G681)</f>
        <v>6.62E-3</v>
      </c>
      <c r="G681" s="19">
        <f>IF(Solar!D681="","",Solar!D681)</f>
        <v>1361.14</v>
      </c>
      <c r="H681" s="20">
        <f t="shared" si="72"/>
        <v>0.50065639249457372</v>
      </c>
      <c r="I681" s="20">
        <f t="shared" si="73"/>
        <v>0.12178058523058866</v>
      </c>
      <c r="J681" s="25">
        <f t="shared" si="74"/>
        <v>6.1361744607208099E-3</v>
      </c>
      <c r="K681" s="19">
        <f t="shared" si="75"/>
        <v>1361.2946413021411</v>
      </c>
      <c r="L681" s="20">
        <f t="shared" si="76"/>
        <v>0.81063886064978175</v>
      </c>
      <c r="M681" s="20">
        <f t="shared" si="77"/>
        <v>-1.0638860649782811E-2</v>
      </c>
      <c r="AB681" s="20">
        <f t="shared" si="78"/>
        <v>0.81339950885452073</v>
      </c>
    </row>
    <row r="682" spans="1:28">
      <c r="A682" s="18" t="str">
        <f>Analysis!A682</f>
        <v>11/2014</v>
      </c>
      <c r="B682" s="19">
        <f>Analysis!B682</f>
        <v>2014.875</v>
      </c>
      <c r="C682" s="19">
        <f>Analysis!E682</f>
        <v>0.66999999999999993</v>
      </c>
      <c r="D682" s="20">
        <f>Analysis!F682</f>
        <v>0.50516504541734131</v>
      </c>
      <c r="E682" s="19">
        <f>IF(ENSO!F682="","",ENSO!F682)</f>
        <v>0.7</v>
      </c>
      <c r="F682" s="25">
        <f>IF(Volcanic!G682="","",Volcanic!G682)</f>
        <v>6.6100000000000004E-3</v>
      </c>
      <c r="G682" s="19">
        <f>IF(Solar!D682="","",Solar!D682)</f>
        <v>1361.55</v>
      </c>
      <c r="H682" s="20">
        <f t="shared" si="72"/>
        <v>0.50516504541734131</v>
      </c>
      <c r="I682" s="20">
        <f t="shared" si="73"/>
        <v>0.21054783242074723</v>
      </c>
      <c r="J682" s="25">
        <f t="shared" si="74"/>
        <v>6.1740594590774548E-3</v>
      </c>
      <c r="K682" s="19">
        <f t="shared" si="75"/>
        <v>1361.3150586563079</v>
      </c>
      <c r="L682" s="20">
        <f t="shared" si="76"/>
        <v>0.83522944285049439</v>
      </c>
      <c r="M682" s="20">
        <f t="shared" si="77"/>
        <v>-0.16522944285049446</v>
      </c>
      <c r="AB682" s="20">
        <f t="shared" si="78"/>
        <v>0.83700645566030418</v>
      </c>
    </row>
    <row r="683" spans="1:28">
      <c r="A683" s="18" t="str">
        <f>Analysis!A683</f>
        <v>12/2014</v>
      </c>
      <c r="B683" s="19">
        <f>Analysis!B683</f>
        <v>2014.9583333333333</v>
      </c>
      <c r="C683" s="19">
        <f>Analysis!E683</f>
        <v>0.79000000000000092</v>
      </c>
      <c r="D683" s="20">
        <f>Analysis!F683</f>
        <v>0.51125115244612851</v>
      </c>
      <c r="E683" s="19">
        <f>IF(ENSO!F683="","",ENSO!F683)</f>
        <v>0.8</v>
      </c>
      <c r="F683" s="25">
        <f>IF(Volcanic!G683="","",Volcanic!G683)</f>
        <v>6.6E-3</v>
      </c>
      <c r="G683" s="19">
        <f>IF(Solar!D683="","",Solar!D683)</f>
        <v>1361.48</v>
      </c>
      <c r="H683" s="20">
        <f t="shared" si="72"/>
        <v>0.51125115244612851</v>
      </c>
      <c r="I683" s="20">
        <f t="shared" si="73"/>
        <v>0.30103951244700278</v>
      </c>
      <c r="J683" s="25">
        <f t="shared" si="74"/>
        <v>6.2081157843600198E-3</v>
      </c>
      <c r="K683" s="19">
        <f t="shared" si="75"/>
        <v>1361.3282466379947</v>
      </c>
      <c r="L683" s="20">
        <f t="shared" si="76"/>
        <v>0.86434207733012147</v>
      </c>
      <c r="M683" s="20">
        <f t="shared" si="77"/>
        <v>-7.4342077330120548E-2</v>
      </c>
      <c r="AB683" s="20">
        <f t="shared" si="78"/>
        <v>0.86508401971359672</v>
      </c>
    </row>
    <row r="684" spans="1:28">
      <c r="A684" s="18" t="str">
        <f>Analysis!A684</f>
        <v>1/2015</v>
      </c>
      <c r="B684" s="19">
        <f>Analysis!B684</f>
        <v>2015.0416666666667</v>
      </c>
      <c r="C684" s="19">
        <f>Analysis!E684</f>
        <v>0.86000000000000121</v>
      </c>
      <c r="D684" s="20">
        <f>Analysis!F684</f>
        <v>0.51522223956909252</v>
      </c>
      <c r="E684" s="19">
        <f>IF(ENSO!F684="","",ENSO!F684)</f>
        <v>0.73</v>
      </c>
      <c r="F684" s="25">
        <f>IF(Volcanic!G684="","",Volcanic!G684)</f>
        <v>6.2300000000000003E-3</v>
      </c>
      <c r="G684" s="19">
        <f>IF(Solar!D684="","",Solar!D684)</f>
        <v>1361.52</v>
      </c>
      <c r="H684" s="20">
        <f t="shared" si="72"/>
        <v>0.51522223956909252</v>
      </c>
      <c r="I684" s="20">
        <f t="shared" si="73"/>
        <v>0.3668927865862201</v>
      </c>
      <c r="J684" s="25">
        <f t="shared" si="74"/>
        <v>6.2098655496318931E-3</v>
      </c>
      <c r="K684" s="19">
        <f t="shared" si="75"/>
        <v>1361.3435783903005</v>
      </c>
      <c r="L684" s="20">
        <f t="shared" si="76"/>
        <v>0.88436793022814419</v>
      </c>
      <c r="M684" s="20">
        <f t="shared" si="77"/>
        <v>-2.4367930228142987E-2</v>
      </c>
      <c r="AB684" s="20">
        <f t="shared" si="78"/>
        <v>0.88437813119883479</v>
      </c>
    </row>
    <row r="685" spans="1:28">
      <c r="A685" s="18" t="str">
        <f>Analysis!A685</f>
        <v>2/2015</v>
      </c>
      <c r="B685" s="19">
        <f>Analysis!B685</f>
        <v>2015.125</v>
      </c>
      <c r="C685" s="19">
        <f>Analysis!E685</f>
        <v>0.91000000000000014</v>
      </c>
      <c r="D685" s="20">
        <f>Analysis!F685</f>
        <v>0.51655551596218474</v>
      </c>
      <c r="E685" s="19">
        <f>IF(ENSO!F685="","",ENSO!F685)</f>
        <v>0.65</v>
      </c>
      <c r="F685" s="25">
        <f>IF(Volcanic!G685="","",Volcanic!G685)</f>
        <v>5.9899999999999997E-3</v>
      </c>
      <c r="G685" s="19">
        <f>IF(Solar!D685="","",Solar!D685)</f>
        <v>1361.91</v>
      </c>
      <c r="H685" s="20">
        <f t="shared" si="72"/>
        <v>0.51655551596218474</v>
      </c>
      <c r="I685" s="20">
        <f t="shared" si="73"/>
        <v>0.4103549176605284</v>
      </c>
      <c r="J685" s="25">
        <f t="shared" si="74"/>
        <v>6.1922860709082298E-3</v>
      </c>
      <c r="K685" s="19">
        <f t="shared" si="75"/>
        <v>1361.3888669616708</v>
      </c>
      <c r="L685" s="20">
        <f t="shared" si="76"/>
        <v>0.89416639616413607</v>
      </c>
      <c r="M685" s="20">
        <f t="shared" si="77"/>
        <v>1.5833603835864074E-2</v>
      </c>
      <c r="AB685" s="20">
        <f t="shared" si="78"/>
        <v>0.89373233571701394</v>
      </c>
    </row>
    <row r="686" spans="1:28">
      <c r="A686" s="18" t="str">
        <f>Analysis!A686</f>
        <v>3/2015</v>
      </c>
      <c r="B686" s="19">
        <f>Analysis!B686</f>
        <v>2015.2083333333333</v>
      </c>
      <c r="C686" s="19">
        <f>Analysis!E686</f>
        <v>0.95999999999999908</v>
      </c>
      <c r="D686" s="20">
        <f>Analysis!F686</f>
        <v>0.52083528601459983</v>
      </c>
      <c r="E686" s="19">
        <f>IF(ENSO!F686="","",ENSO!F686)</f>
        <v>0.72</v>
      </c>
      <c r="F686" s="25">
        <f>IF(Volcanic!G686="","",Volcanic!G686)</f>
        <v>5.7499999999999999E-3</v>
      </c>
      <c r="G686" s="19">
        <f>IF(Solar!D686="","",Solar!D686)</f>
        <v>1361.71</v>
      </c>
      <c r="H686" s="20">
        <f t="shared" si="72"/>
        <v>0.52083528601459983</v>
      </c>
      <c r="I686" s="20">
        <f t="shared" si="73"/>
        <v>0.4578910965973878</v>
      </c>
      <c r="J686" s="25">
        <f t="shared" si="74"/>
        <v>6.1569228292074653E-3</v>
      </c>
      <c r="K686" s="19">
        <f t="shared" si="75"/>
        <v>1361.4145433417323</v>
      </c>
      <c r="L686" s="20">
        <f t="shared" si="76"/>
        <v>0.91256795641121813</v>
      </c>
      <c r="M686" s="20">
        <f t="shared" si="77"/>
        <v>4.7432043588780948E-2</v>
      </c>
      <c r="AB686" s="20">
        <f t="shared" si="78"/>
        <v>0.91159031776188393</v>
      </c>
    </row>
    <row r="687" spans="1:28">
      <c r="A687" s="18" t="str">
        <f>Analysis!A687</f>
        <v>4/2015</v>
      </c>
      <c r="B687" s="19">
        <f>Analysis!B687</f>
        <v>2015.2916666666667</v>
      </c>
      <c r="C687" s="19">
        <f>Analysis!E687</f>
        <v>0.75</v>
      </c>
      <c r="D687" s="20">
        <f>Analysis!F687</f>
        <v>0.52660542876170069</v>
      </c>
      <c r="E687" s="19">
        <f>IF(ENSO!F687="","",ENSO!F687)</f>
        <v>0.86</v>
      </c>
      <c r="F687" s="25">
        <f>IF(Volcanic!G687="","",Volcanic!G687)</f>
        <v>5.8199999999999997E-3</v>
      </c>
      <c r="G687" s="19">
        <f>IF(Solar!D687="","",Solar!D687)</f>
        <v>1361.7</v>
      </c>
      <c r="H687" s="20">
        <f t="shared" si="72"/>
        <v>0.52660542876170069</v>
      </c>
      <c r="I687" s="20">
        <f t="shared" si="73"/>
        <v>0.51962216185388344</v>
      </c>
      <c r="J687" s="25">
        <f t="shared" si="74"/>
        <v>6.129983967173438E-3</v>
      </c>
      <c r="K687" s="19">
        <f t="shared" si="75"/>
        <v>1361.437367195942</v>
      </c>
      <c r="L687" s="20">
        <f t="shared" si="76"/>
        <v>0.93697436123143851</v>
      </c>
      <c r="M687" s="20">
        <f t="shared" si="77"/>
        <v>-0.18697436123143851</v>
      </c>
      <c r="AB687" s="20">
        <f t="shared" si="78"/>
        <v>0.93527691947345271</v>
      </c>
    </row>
    <row r="688" spans="1:28">
      <c r="A688" s="18" t="str">
        <f>Analysis!A688</f>
        <v>5/2015</v>
      </c>
      <c r="B688" s="19">
        <f>Analysis!B688</f>
        <v>2015.375</v>
      </c>
      <c r="C688" s="19">
        <f>Analysis!E688</f>
        <v>0.79999999999999893</v>
      </c>
      <c r="D688" s="20">
        <f>Analysis!F688</f>
        <v>0.52946402049003916</v>
      </c>
      <c r="E688" s="19">
        <f>IF(ENSO!F688="","",ENSO!F688)</f>
        <v>1.04</v>
      </c>
      <c r="F688" s="25">
        <f>IF(Volcanic!G688="","",Volcanic!G688)</f>
        <v>8.4600000000000005E-3</v>
      </c>
      <c r="G688" s="19">
        <f>IF(Solar!D688="","",Solar!D688)</f>
        <v>1361.48</v>
      </c>
      <c r="H688" s="20">
        <f t="shared" si="72"/>
        <v>0.52946402049003916</v>
      </c>
      <c r="I688" s="20">
        <f t="shared" si="73"/>
        <v>0.59950966997122646</v>
      </c>
      <c r="J688" s="25">
        <f t="shared" si="74"/>
        <v>6.3162817630011475E-3</v>
      </c>
      <c r="K688" s="19">
        <f t="shared" si="75"/>
        <v>1361.4407759267465</v>
      </c>
      <c r="L688" s="20">
        <f t="shared" si="76"/>
        <v>0.95534630106619423</v>
      </c>
      <c r="M688" s="20">
        <f t="shared" si="77"/>
        <v>-0.15534630106619529</v>
      </c>
      <c r="AB688" s="20">
        <f t="shared" si="78"/>
        <v>0.95271930506078983</v>
      </c>
    </row>
    <row r="689" spans="1:28">
      <c r="A689" s="18" t="str">
        <f>Analysis!A689</f>
        <v>6/2015</v>
      </c>
      <c r="B689" s="19">
        <f>Analysis!B689</f>
        <v>2015.4583333333333</v>
      </c>
      <c r="C689" s="19">
        <f>Analysis!E689</f>
        <v>0.82000000000000028</v>
      </c>
      <c r="D689" s="20">
        <f>Analysis!F689</f>
        <v>0.52524561093224054</v>
      </c>
      <c r="E689" s="19">
        <f>IF(ENSO!F689="","",ENSO!F689)</f>
        <v>1.19</v>
      </c>
      <c r="F689" s="25">
        <f>IF(Volcanic!G689="","",Volcanic!G689)</f>
        <v>9.3200000000000002E-3</v>
      </c>
      <c r="G689" s="19">
        <f>IF(Solar!D689="","",Solar!D689)</f>
        <v>1361.29</v>
      </c>
      <c r="H689" s="20">
        <f t="shared" si="72"/>
        <v>0.52524561093224054</v>
      </c>
      <c r="I689" s="20">
        <f t="shared" si="73"/>
        <v>0.69016072690601582</v>
      </c>
      <c r="J689" s="25">
        <f t="shared" si="74"/>
        <v>6.5564458129289674E-3</v>
      </c>
      <c r="K689" s="19">
        <f t="shared" si="75"/>
        <v>1361.4287205492635</v>
      </c>
      <c r="L689" s="20">
        <f t="shared" si="76"/>
        <v>0.95591702606560713</v>
      </c>
      <c r="M689" s="20">
        <f t="shared" si="77"/>
        <v>-0.13591702606560685</v>
      </c>
      <c r="AB689" s="20">
        <f t="shared" si="78"/>
        <v>0.95239434861497707</v>
      </c>
    </row>
    <row r="690" spans="1:28">
      <c r="A690" s="18" t="str">
        <f>Analysis!A690</f>
        <v>7/2015</v>
      </c>
      <c r="B690" s="19">
        <f>Analysis!B690</f>
        <v>2015.5416666666667</v>
      </c>
      <c r="C690" s="19">
        <f>Analysis!E690</f>
        <v>0.7300000000000022</v>
      </c>
      <c r="D690" s="20">
        <f>Analysis!F690</f>
        <v>0.51982942289753653</v>
      </c>
      <c r="E690" s="19">
        <f>IF(ENSO!F690="","",ENSO!F690)</f>
        <v>1.44</v>
      </c>
      <c r="F690" s="25">
        <f>IF(Volcanic!G690="","",Volcanic!G690)</f>
        <v>9.6200000000000001E-3</v>
      </c>
      <c r="G690" s="19">
        <f>IF(Solar!D690="","",Solar!D690)</f>
        <v>1361.41</v>
      </c>
      <c r="H690" s="20">
        <f t="shared" si="72"/>
        <v>0.51982942289753653</v>
      </c>
      <c r="I690" s="20">
        <f t="shared" si="73"/>
        <v>0.80527475872068011</v>
      </c>
      <c r="J690" s="25">
        <f t="shared" si="74"/>
        <v>6.8013940812710191E-3</v>
      </c>
      <c r="K690" s="19">
        <f t="shared" si="75"/>
        <v>1361.4272237367886</v>
      </c>
      <c r="L690" s="20">
        <f t="shared" si="76"/>
        <v>0.95668475871523939</v>
      </c>
      <c r="M690" s="20">
        <f t="shared" si="77"/>
        <v>-0.22668475871523719</v>
      </c>
      <c r="AB690" s="20">
        <f t="shared" si="78"/>
        <v>0.95205449135395892</v>
      </c>
    </row>
    <row r="691" spans="1:28">
      <c r="A691" s="18" t="str">
        <f>Analysis!A691</f>
        <v>8/2015</v>
      </c>
      <c r="B691" s="19">
        <f>Analysis!B691</f>
        <v>2015.625</v>
      </c>
      <c r="C691" s="19">
        <f>Analysis!E691</f>
        <v>0.79999999999999893</v>
      </c>
      <c r="D691" s="20">
        <f>Analysis!F691</f>
        <v>0.51135959993669367</v>
      </c>
      <c r="E691" s="19">
        <f>IF(ENSO!F691="","",ENSO!F691)</f>
        <v>1.73</v>
      </c>
      <c r="F691" s="25">
        <f>IF(Volcanic!G691="","",Volcanic!G691)</f>
        <v>9.3900000000000008E-3</v>
      </c>
      <c r="G691" s="19">
        <f>IF(Solar!D691="","",Solar!D691)</f>
        <v>1361.09</v>
      </c>
      <c r="H691" s="20">
        <f t="shared" si="72"/>
        <v>0.51135959993669367</v>
      </c>
      <c r="I691" s="20">
        <f t="shared" si="73"/>
        <v>0.94723698271199197</v>
      </c>
      <c r="J691" s="25">
        <f t="shared" si="74"/>
        <v>7.0083675827969935E-3</v>
      </c>
      <c r="K691" s="19">
        <f t="shared" si="75"/>
        <v>1361.4002608155129</v>
      </c>
      <c r="L691" s="20">
        <f t="shared" si="76"/>
        <v>0.95311259918147773</v>
      </c>
      <c r="M691" s="20">
        <f t="shared" si="77"/>
        <v>-0.15311259918147879</v>
      </c>
      <c r="AB691" s="20">
        <f t="shared" si="78"/>
        <v>0.94720289658953138</v>
      </c>
    </row>
    <row r="692" spans="1:28">
      <c r="A692" s="18" t="str">
        <f>Analysis!A692</f>
        <v>9/2015</v>
      </c>
      <c r="B692" s="19">
        <f>Analysis!B692</f>
        <v>2015.7083333333333</v>
      </c>
      <c r="C692" s="19">
        <f>Analysis!E692</f>
        <v>0.83999999999999986</v>
      </c>
      <c r="D692" s="20">
        <f>Analysis!F692</f>
        <v>0.50668898086543035</v>
      </c>
      <c r="E692" s="19">
        <f>IF(ENSO!F692="","",ENSO!F692)</f>
        <v>2.02</v>
      </c>
      <c r="F692" s="25">
        <f>IF(Volcanic!G692="","",Volcanic!G692)</f>
        <v>9.4800000000000006E-3</v>
      </c>
      <c r="G692" s="19">
        <f>IF(Solar!D692="","",Solar!D692)</f>
        <v>1361.05</v>
      </c>
      <c r="H692" s="20">
        <f t="shared" si="72"/>
        <v>0.50668898086543035</v>
      </c>
      <c r="I692" s="20">
        <f t="shared" si="73"/>
        <v>1.1119257107271872</v>
      </c>
      <c r="J692" s="25">
        <f t="shared" si="74"/>
        <v>7.2059883995356008E-3</v>
      </c>
      <c r="K692" s="19">
        <f t="shared" si="75"/>
        <v>1361.372255506976</v>
      </c>
      <c r="L692" s="20">
        <f t="shared" si="76"/>
        <v>0.96305306218211806</v>
      </c>
      <c r="M692" s="20">
        <f t="shared" si="77"/>
        <v>-0.1230530621821182</v>
      </c>
      <c r="AB692" s="20">
        <f t="shared" si="78"/>
        <v>0.95555988754970211</v>
      </c>
    </row>
    <row r="693" spans="1:28">
      <c r="A693" s="18" t="str">
        <f>Analysis!A693</f>
        <v>10/2015</v>
      </c>
      <c r="B693" s="19">
        <f>Analysis!B693</f>
        <v>2015.7916666666667</v>
      </c>
      <c r="C693" s="19">
        <f>Analysis!E693</f>
        <v>1.0800000000000036</v>
      </c>
      <c r="D693" s="20">
        <f>Analysis!F693</f>
        <v>0.50911669345346611</v>
      </c>
      <c r="E693" s="19">
        <f>IF(ENSO!F693="","",ENSO!F693)</f>
        <v>2.2799999999999998</v>
      </c>
      <c r="F693" s="25">
        <f>IF(Volcanic!G693="","",Volcanic!G693)</f>
        <v>9.6299999999999997E-3</v>
      </c>
      <c r="G693" s="19">
        <f>IF(Solar!D693="","",Solar!D693)</f>
        <v>1361.24</v>
      </c>
      <c r="H693" s="20">
        <f t="shared" si="72"/>
        <v>0.50911669345346611</v>
      </c>
      <c r="I693" s="20">
        <f t="shared" si="73"/>
        <v>1.2912464608159713</v>
      </c>
      <c r="J693" s="25">
        <f t="shared" si="74"/>
        <v>7.3998016659960432E-3</v>
      </c>
      <c r="K693" s="19">
        <f t="shared" si="75"/>
        <v>1361.3616809404973</v>
      </c>
      <c r="L693" s="20">
        <f t="shared" si="76"/>
        <v>0.99426645074692499</v>
      </c>
      <c r="M693" s="20">
        <f t="shared" si="77"/>
        <v>8.5733549253078634E-2</v>
      </c>
      <c r="AB693" s="20">
        <f t="shared" si="78"/>
        <v>0.98488531469302187</v>
      </c>
    </row>
    <row r="694" spans="1:28">
      <c r="A694" s="18" t="str">
        <f>Analysis!A694</f>
        <v>11/2015</v>
      </c>
      <c r="B694" s="19">
        <f>Analysis!B694</f>
        <v>2015.875</v>
      </c>
      <c r="C694" s="19">
        <f>Analysis!E694</f>
        <v>1.0600000000000023</v>
      </c>
      <c r="D694" s="20">
        <f>Analysis!F694</f>
        <v>0.51554666346621814</v>
      </c>
      <c r="E694" s="19">
        <f>IF(ENSO!F694="","",ENSO!F694)</f>
        <v>2.4500000000000002</v>
      </c>
      <c r="F694" s="25">
        <f>IF(Volcanic!G694="","",Volcanic!G694)</f>
        <v>1.0120000000000001E-2</v>
      </c>
      <c r="G694" s="19">
        <f>IF(Solar!D694="","",Solar!D694)</f>
        <v>1361.34</v>
      </c>
      <c r="H694" s="20">
        <f t="shared" si="72"/>
        <v>0.51554666346621814</v>
      </c>
      <c r="I694" s="20">
        <f t="shared" si="73"/>
        <v>1.4691363054283995</v>
      </c>
      <c r="J694" s="25">
        <f t="shared" si="74"/>
        <v>7.6172967161156693E-3</v>
      </c>
      <c r="K694" s="19">
        <f t="shared" si="75"/>
        <v>1361.3599474282084</v>
      </c>
      <c r="L694" s="20">
        <f t="shared" si="76"/>
        <v>1.0360203712877596</v>
      </c>
      <c r="M694" s="20">
        <f t="shared" si="77"/>
        <v>2.3979628712242684E-2</v>
      </c>
      <c r="AB694" s="20">
        <f t="shared" si="78"/>
        <v>1.0246612986618959</v>
      </c>
    </row>
    <row r="695" spans="1:28">
      <c r="A695" s="18" t="str">
        <f>Analysis!A695</f>
        <v>12/2015</v>
      </c>
      <c r="B695" s="19">
        <f>Analysis!B695</f>
        <v>2015.9583333333333</v>
      </c>
      <c r="C695" s="19">
        <f>Analysis!E695</f>
        <v>1.1699999999999964</v>
      </c>
      <c r="D695" s="20">
        <f>Analysis!F695</f>
        <v>0.52198398578437877</v>
      </c>
      <c r="E695" s="19">
        <f>IF(ENSO!F695="","",ENSO!F695)</f>
        <v>2.59</v>
      </c>
      <c r="F695" s="25">
        <f>IF(Volcanic!G695="","",Volcanic!G695)</f>
        <v>1.0109999999999999E-2</v>
      </c>
      <c r="G695" s="19">
        <f>IF(Solar!D695="","",Solar!D695)</f>
        <v>1361.22</v>
      </c>
      <c r="H695" s="20">
        <f t="shared" si="72"/>
        <v>0.52198398578437877</v>
      </c>
      <c r="I695" s="20">
        <f t="shared" si="73"/>
        <v>1.6412093664517651</v>
      </c>
      <c r="J695" s="25">
        <f t="shared" si="74"/>
        <v>7.8166022663340492E-3</v>
      </c>
      <c r="K695" s="19">
        <f t="shared" si="75"/>
        <v>1361.3487578496647</v>
      </c>
      <c r="L695" s="20">
        <f t="shared" si="76"/>
        <v>1.0770350092309149</v>
      </c>
      <c r="M695" s="20">
        <f t="shared" si="77"/>
        <v>9.296499076908149E-2</v>
      </c>
      <c r="AB695" s="20">
        <f t="shared" si="78"/>
        <v>1.063762884539867</v>
      </c>
    </row>
    <row r="696" spans="1:28">
      <c r="A696" s="18" t="str">
        <f>Analysis!A696</f>
        <v>1/2016</v>
      </c>
      <c r="B696" s="19">
        <f>Analysis!B696</f>
        <v>2016.0416666666667</v>
      </c>
      <c r="C696" s="19">
        <f>Analysis!E696</f>
        <v>1.1799999999999997</v>
      </c>
      <c r="D696" s="20">
        <f>Analysis!F696</f>
        <v>0.52438611777087951</v>
      </c>
      <c r="E696" s="19">
        <f>IF(ENSO!F696="","",ENSO!F696)</f>
        <v>2.5</v>
      </c>
      <c r="F696" s="25">
        <f>IF(Volcanic!G696="","",Volcanic!G696)</f>
        <v>9.4299999999999991E-3</v>
      </c>
      <c r="G696" s="19">
        <f>IF(Solar!D696="","",Solar!D696)</f>
        <v>1361.2</v>
      </c>
      <c r="H696" s="20">
        <f t="shared" si="72"/>
        <v>0.52438611777087951</v>
      </c>
      <c r="I696" s="20">
        <f t="shared" si="73"/>
        <v>1.7730494231941869</v>
      </c>
      <c r="J696" s="25">
        <f t="shared" si="74"/>
        <v>7.9456024265650328E-3</v>
      </c>
      <c r="K696" s="19">
        <f t="shared" si="75"/>
        <v>1361.3368638287163</v>
      </c>
      <c r="L696" s="20">
        <f t="shared" si="76"/>
        <v>1.1016985721812469</v>
      </c>
      <c r="M696" s="20">
        <f t="shared" si="77"/>
        <v>7.8301427818752822E-2</v>
      </c>
      <c r="AB696" s="20">
        <f t="shared" si="78"/>
        <v>1.0870304843908352</v>
      </c>
    </row>
    <row r="697" spans="1:28">
      <c r="A697" s="18" t="str">
        <f>Analysis!A697</f>
        <v>2/2016</v>
      </c>
      <c r="B697" s="19">
        <f>Analysis!B697</f>
        <v>2016.125</v>
      </c>
      <c r="C697" s="19">
        <f>Analysis!E697</f>
        <v>1.370000000000001</v>
      </c>
      <c r="D697" s="20">
        <f>Analysis!F697</f>
        <v>0.52982094652869527</v>
      </c>
      <c r="E697" s="19">
        <f>IF(ENSO!F697="","",ENSO!F697)</f>
        <v>2.21</v>
      </c>
      <c r="F697" s="25">
        <f>IF(Volcanic!G697="","",Volcanic!G697)</f>
        <v>8.5800000000000008E-3</v>
      </c>
      <c r="G697" s="19">
        <f>IF(Solar!D697="","",Solar!D697)</f>
        <v>1361.23</v>
      </c>
      <c r="H697" s="20">
        <f t="shared" si="72"/>
        <v>0.52982094652869527</v>
      </c>
      <c r="I697" s="20">
        <f t="shared" si="73"/>
        <v>1.8401293220534665</v>
      </c>
      <c r="J697" s="25">
        <f t="shared" si="74"/>
        <v>7.9963260559067616E-3</v>
      </c>
      <c r="K697" s="19">
        <f t="shared" si="75"/>
        <v>1361.3283194687363</v>
      </c>
      <c r="L697" s="20">
        <f t="shared" si="76"/>
        <v>1.1256896016911198</v>
      </c>
      <c r="M697" s="20">
        <f t="shared" si="77"/>
        <v>0.24431039830888124</v>
      </c>
      <c r="AB697" s="20">
        <f t="shared" si="78"/>
        <v>1.1102207967589897</v>
      </c>
    </row>
    <row r="698" spans="1:28">
      <c r="A698" s="18" t="str">
        <f>Analysis!A698</f>
        <v>3/2016</v>
      </c>
      <c r="B698" s="19">
        <f>Analysis!B698</f>
        <v>2016.2083333333333</v>
      </c>
      <c r="C698" s="19">
        <f>Analysis!E698</f>
        <v>1.3499999999999979</v>
      </c>
      <c r="D698" s="20">
        <f>Analysis!F698</f>
        <v>0.53270879759518996</v>
      </c>
      <c r="E698" s="19">
        <f>IF(ENSO!F698="","",ENSO!F698)</f>
        <v>1.69</v>
      </c>
      <c r="F698" s="25">
        <f>IF(Volcanic!G698="","",Volcanic!G698)</f>
        <v>7.79E-3</v>
      </c>
      <c r="G698" s="19">
        <f>IF(Solar!D698="","",Solar!D698)</f>
        <v>1361.07</v>
      </c>
      <c r="H698" s="20">
        <f t="shared" si="72"/>
        <v>0.53270879759518996</v>
      </c>
      <c r="I698" s="20">
        <f t="shared" si="73"/>
        <v>1.817081727488477</v>
      </c>
      <c r="J698" s="25">
        <f t="shared" si="74"/>
        <v>7.979829135329514E-3</v>
      </c>
      <c r="K698" s="19">
        <f t="shared" si="75"/>
        <v>1361.3076653844007</v>
      </c>
      <c r="L698" s="20">
        <f t="shared" si="76"/>
        <v>1.1303023181088323</v>
      </c>
      <c r="M698" s="20">
        <f t="shared" si="77"/>
        <v>0.21969768189116556</v>
      </c>
      <c r="AB698" s="20">
        <f t="shared" si="78"/>
        <v>1.1149981117644405</v>
      </c>
    </row>
    <row r="699" spans="1:28">
      <c r="A699" s="18" t="str">
        <f>Analysis!A699</f>
        <v>4/2016</v>
      </c>
      <c r="B699" s="19">
        <f>Analysis!B699</f>
        <v>2016.2916666666667</v>
      </c>
      <c r="C699" s="19">
        <f>Analysis!E699</f>
        <v>1.0899999999999999</v>
      </c>
      <c r="D699" s="20">
        <f>Analysis!F699</f>
        <v>0.54172722433348508</v>
      </c>
      <c r="E699" s="19">
        <f>IF(ENSO!F699="","",ENSO!F699)</f>
        <v>1.1100000000000001</v>
      </c>
      <c r="F699" s="25">
        <f>IF(Volcanic!G699="","",Volcanic!G699)</f>
        <v>7.1000000000000004E-3</v>
      </c>
      <c r="G699" s="19">
        <f>IF(Solar!D699="","",Solar!D699)</f>
        <v>1360.8</v>
      </c>
      <c r="H699" s="20">
        <f t="shared" si="72"/>
        <v>0.54172722433348508</v>
      </c>
      <c r="I699" s="20">
        <f t="shared" si="73"/>
        <v>1.7085317603230812</v>
      </c>
      <c r="J699" s="25">
        <f t="shared" si="74"/>
        <v>7.9094818817880656E-3</v>
      </c>
      <c r="K699" s="19">
        <f t="shared" si="75"/>
        <v>1361.2670747014186</v>
      </c>
      <c r="L699" s="20">
        <f t="shared" si="76"/>
        <v>1.1396096800494495</v>
      </c>
      <c r="M699" s="20">
        <f t="shared" si="77"/>
        <v>-4.9609680049449656E-2</v>
      </c>
      <c r="AB699" s="20">
        <f t="shared" si="78"/>
        <v>1.1251833073364232</v>
      </c>
    </row>
    <row r="700" spans="1:28">
      <c r="A700" s="18" t="str">
        <f>Analysis!A700</f>
        <v>5/2016</v>
      </c>
      <c r="B700" s="19">
        <f>Analysis!B700</f>
        <v>2016.375</v>
      </c>
      <c r="C700" s="19">
        <f>Analysis!E700</f>
        <v>0.95999999999999908</v>
      </c>
      <c r="D700" s="20">
        <f>Analysis!F700</f>
        <v>0.5427886799601942</v>
      </c>
      <c r="E700" s="19">
        <f>IF(ENSO!F700="","",ENSO!F700)</f>
        <v>0.56999999999999995</v>
      </c>
      <c r="F700" s="25">
        <f>IF(Volcanic!G700="","",Volcanic!G700)</f>
        <v>6.8199999999999997E-3</v>
      </c>
      <c r="G700" s="19">
        <f>IF(Solar!D700="","",Solar!D700)</f>
        <v>1360.94</v>
      </c>
      <c r="H700" s="20">
        <f t="shared" si="72"/>
        <v>0.5427886799601942</v>
      </c>
      <c r="I700" s="20">
        <f t="shared" si="73"/>
        <v>1.5337463283210291</v>
      </c>
      <c r="J700" s="25">
        <f t="shared" si="74"/>
        <v>7.8223717201789545E-3</v>
      </c>
      <c r="K700" s="19">
        <f t="shared" si="75"/>
        <v>1361.2409232522066</v>
      </c>
      <c r="L700" s="20">
        <f t="shared" si="76"/>
        <v>1.1181096605215466</v>
      </c>
      <c r="M700" s="20">
        <f t="shared" si="77"/>
        <v>-0.15810966052154751</v>
      </c>
      <c r="AB700" s="20">
        <f t="shared" si="78"/>
        <v>1.1053959470412773</v>
      </c>
    </row>
    <row r="701" spans="1:28">
      <c r="A701" s="18" t="str">
        <f>Analysis!A701</f>
        <v>6/2016</v>
      </c>
      <c r="B701" s="19">
        <f>Analysis!B701</f>
        <v>2016.4583333333333</v>
      </c>
      <c r="C701" s="19">
        <f>Analysis!E701</f>
        <v>0.81000000000000227</v>
      </c>
      <c r="D701" s="20">
        <f>Analysis!F701</f>
        <v>0.53956651983320436</v>
      </c>
      <c r="E701" s="19">
        <f>IF(ENSO!F701="","",ENSO!F701)</f>
        <v>0.09</v>
      </c>
      <c r="F701" s="25">
        <f>IF(Volcanic!G701="","",Volcanic!G701)</f>
        <v>6.2100000000000002E-3</v>
      </c>
      <c r="G701" s="19">
        <f>IF(Solar!D701="","",Solar!D701)</f>
        <v>1360.99</v>
      </c>
      <c r="H701" s="20">
        <f t="shared" si="72"/>
        <v>0.53956651983320436</v>
      </c>
      <c r="I701" s="20">
        <f t="shared" si="73"/>
        <v>1.3121048823016757</v>
      </c>
      <c r="J701" s="25">
        <f t="shared" si="74"/>
        <v>7.693453595456921E-3</v>
      </c>
      <c r="K701" s="19">
        <f t="shared" si="75"/>
        <v>1361.2208605366932</v>
      </c>
      <c r="L701" s="20">
        <f t="shared" si="76"/>
        <v>1.0785554607805226</v>
      </c>
      <c r="M701" s="20">
        <f t="shared" si="77"/>
        <v>-0.26855546078052028</v>
      </c>
      <c r="AB701" s="20">
        <f t="shared" si="78"/>
        <v>1.0681280164227087</v>
      </c>
    </row>
    <row r="702" spans="1:28">
      <c r="A702" s="18" t="str">
        <f>Analysis!A702</f>
        <v>7/2016</v>
      </c>
      <c r="B702" s="19">
        <f>Analysis!B702</f>
        <v>2016.5416666666667</v>
      </c>
      <c r="C702" s="19">
        <f>Analysis!E702</f>
        <v>0.83999999999999986</v>
      </c>
      <c r="D702" s="20">
        <f>Analysis!F702</f>
        <v>0.53103383496841972</v>
      </c>
      <c r="E702" s="19">
        <f>IF(ENSO!F702="","",ENSO!F702)</f>
        <v>-0.19</v>
      </c>
      <c r="F702" s="25">
        <f>IF(Volcanic!G702="","",Volcanic!G702)</f>
        <v>5.9300000000000004E-3</v>
      </c>
      <c r="G702" s="19">
        <f>IF(Solar!D702="","",Solar!D702)</f>
        <v>1360.91</v>
      </c>
      <c r="H702" s="20">
        <f t="shared" si="72"/>
        <v>0.53103383496841972</v>
      </c>
      <c r="I702" s="20">
        <f t="shared" si="73"/>
        <v>1.0815043317373354</v>
      </c>
      <c r="J702" s="25">
        <f t="shared" si="74"/>
        <v>7.5524556309581386E-3</v>
      </c>
      <c r="K702" s="19">
        <f t="shared" si="75"/>
        <v>1361.1960055005134</v>
      </c>
      <c r="L702" s="20">
        <f t="shared" si="76"/>
        <v>1.0234173401100177</v>
      </c>
      <c r="M702" s="20">
        <f t="shared" si="77"/>
        <v>-0.18341734011001787</v>
      </c>
      <c r="AB702" s="20">
        <f t="shared" si="78"/>
        <v>1.0154917469895932</v>
      </c>
    </row>
    <row r="703" spans="1:28">
      <c r="A703" s="18" t="str">
        <f>Analysis!A703</f>
        <v>8/2016</v>
      </c>
      <c r="B703" s="19">
        <f>Analysis!B703</f>
        <v>2016.625</v>
      </c>
      <c r="C703" s="19">
        <f>Analysis!E703</f>
        <v>1.0099999999999998</v>
      </c>
      <c r="D703" s="20">
        <f>Analysis!F703</f>
        <v>0.52338272814934861</v>
      </c>
      <c r="E703" s="19">
        <f>IF(ENSO!F703="","",ENSO!F703)</f>
        <v>-0.34</v>
      </c>
      <c r="F703" s="25">
        <f>IF(Volcanic!G703="","",Volcanic!G703)</f>
        <v>5.77E-3</v>
      </c>
      <c r="G703" s="19">
        <f>IF(Solar!D703="","",Solar!D703)</f>
        <v>1360.92</v>
      </c>
      <c r="H703" s="20">
        <f t="shared" si="72"/>
        <v>0.52338272814934861</v>
      </c>
      <c r="I703" s="20">
        <f t="shared" si="73"/>
        <v>0.86327743866849949</v>
      </c>
      <c r="J703" s="25">
        <f t="shared" si="74"/>
        <v>7.4099383475876215E-3</v>
      </c>
      <c r="K703" s="19">
        <f t="shared" si="75"/>
        <v>1361.1739373191544</v>
      </c>
      <c r="L703" s="20">
        <f t="shared" si="76"/>
        <v>0.97241449657253787</v>
      </c>
      <c r="M703" s="20">
        <f t="shared" si="77"/>
        <v>3.7585503427461919E-2</v>
      </c>
      <c r="AB703" s="20">
        <f t="shared" si="78"/>
        <v>0.96685100273908675</v>
      </c>
    </row>
    <row r="704" spans="1:28">
      <c r="A704" s="18" t="str">
        <f>Analysis!A704</f>
        <v>9/2016</v>
      </c>
      <c r="B704" s="19">
        <f>Analysis!B704</f>
        <v>2016.7083333333333</v>
      </c>
      <c r="C704" s="19">
        <f>Analysis!E704</f>
        <v>0.89999999999999858</v>
      </c>
      <c r="D704" s="20">
        <f>Analysis!F704</f>
        <v>0.51900265323929839</v>
      </c>
      <c r="E704" s="19">
        <f>IF(ENSO!F704="","",ENSO!F704)</f>
        <v>-0.42</v>
      </c>
      <c r="F704" s="25">
        <f>IF(Volcanic!G704="","",Volcanic!G704)</f>
        <v>5.7099999999999998E-3</v>
      </c>
      <c r="G704" s="19">
        <f>IF(Solar!D704="","",Solar!D704)</f>
        <v>1360.92</v>
      </c>
      <c r="H704" s="20">
        <f t="shared" si="72"/>
        <v>0.51900265323929839</v>
      </c>
      <c r="I704" s="20">
        <f t="shared" si="73"/>
        <v>0.66627089979732068</v>
      </c>
      <c r="J704" s="25">
        <f t="shared" si="74"/>
        <v>7.2740187819121923E-3</v>
      </c>
      <c r="K704" s="19">
        <f t="shared" si="75"/>
        <v>1361.1536336121542</v>
      </c>
      <c r="L704" s="20">
        <f t="shared" si="76"/>
        <v>0.93322934751267805</v>
      </c>
      <c r="M704" s="20">
        <f t="shared" si="77"/>
        <v>-3.3229347512679475E-2</v>
      </c>
      <c r="AB704" s="20">
        <f t="shared" si="78"/>
        <v>0.92974320405953137</v>
      </c>
    </row>
    <row r="705" spans="1:28">
      <c r="A705" s="18" t="str">
        <f>Analysis!A705</f>
        <v>10/2016</v>
      </c>
      <c r="B705" s="19">
        <f>Analysis!B705</f>
        <v>2016.7916666666667</v>
      </c>
      <c r="C705" s="19">
        <f>Analysis!E705</f>
        <v>0.86999999999999744</v>
      </c>
      <c r="D705" s="20">
        <f>Analysis!F705</f>
        <v>0.52101483065422127</v>
      </c>
      <c r="E705" s="19">
        <f>IF(ENSO!F705="","",ENSO!F705)</f>
        <v>-0.51</v>
      </c>
      <c r="F705" s="25">
        <f>IF(Volcanic!G705="","",Volcanic!G705)</f>
        <v>5.8199999999999997E-3</v>
      </c>
      <c r="G705" s="19">
        <f>IF(Solar!D705="","",Solar!D705)</f>
        <v>1360.86</v>
      </c>
      <c r="H705" s="20">
        <f t="shared" si="72"/>
        <v>0.52101483065422127</v>
      </c>
      <c r="I705" s="20">
        <f t="shared" si="73"/>
        <v>0.4856918201990707</v>
      </c>
      <c r="J705" s="25">
        <f t="shared" si="74"/>
        <v>7.1577618590644449E-3</v>
      </c>
      <c r="K705" s="19">
        <f t="shared" si="75"/>
        <v>1361.13015596481</v>
      </c>
      <c r="L705" s="20">
        <f t="shared" si="76"/>
        <v>0.91358151673445587</v>
      </c>
      <c r="M705" s="20">
        <f t="shared" si="77"/>
        <v>-4.3581516734458425E-2</v>
      </c>
      <c r="AB705" s="20">
        <f t="shared" si="78"/>
        <v>0.91185604361654515</v>
      </c>
    </row>
    <row r="706" spans="1:28">
      <c r="A706" s="18" t="str">
        <f>Analysis!A706</f>
        <v>11/2016</v>
      </c>
      <c r="B706" s="19">
        <f>Analysis!B706</f>
        <v>2016.875</v>
      </c>
      <c r="C706" s="19">
        <f>Analysis!E706</f>
        <v>0.91000000000000014</v>
      </c>
      <c r="D706" s="20">
        <f>Analysis!F706</f>
        <v>0.52792823149882584</v>
      </c>
      <c r="E706" s="19">
        <f>IF(ENSO!F706="","",ENSO!F706)</f>
        <v>-0.49</v>
      </c>
      <c r="F706" s="25">
        <f>IF(Volcanic!G706="","",Volcanic!G706)</f>
        <v>5.7299999999999999E-3</v>
      </c>
      <c r="G706" s="19">
        <f>IF(Solar!D706="","",Solar!D706)</f>
        <v>1360.86</v>
      </c>
      <c r="H706" s="20">
        <f t="shared" ref="H706:H769" si="79">IF(D706="","",IF(OR(ROW()=2,H705=""),D706,$Q$3*H705+(1-$Q$3)*D706))</f>
        <v>0.52792823149882584</v>
      </c>
      <c r="I706" s="20">
        <f t="shared" ref="I706:I769" si="80">IF(E706="","",IF(OR(ROW()=2,I705=""),E706,$Q$4*I705+(1-$Q$4)*E706))</f>
        <v>0.3359052949237723</v>
      </c>
      <c r="J706" s="25">
        <f t="shared" ref="J706:J769" si="81">IF(F706="","",IF(OR(ROW()=2,J705=""),F706,$Q$5*J705+(1-$Q$5)*F706))</f>
        <v>7.0436043238530218E-3</v>
      </c>
      <c r="K706" s="19">
        <f t="shared" ref="K706:K769" si="82">IF(G706="","",IF(OR(ROW()=2,K705=""),G706,$Q$6*K705+(1-$Q$6)*G706))</f>
        <v>1361.1085554865024</v>
      </c>
      <c r="L706" s="20">
        <f t="shared" ref="L706:L769" si="83">IF(OR(I706="",J706=""),"",$P$13+$P$14*H706+$P$15*I706+$P$16*J706)</f>
        <v>0.91152580016973495</v>
      </c>
      <c r="M706" s="20">
        <f t="shared" ref="M706:M769" si="84">IF(L706="","",C706-L706)</f>
        <v>-1.5258001697348034E-3</v>
      </c>
      <c r="AB706" s="20">
        <f t="shared" ref="AB706:AB769" si="85">IF(OR(I706="",J706=""),"",$P$52+$P$53*H706+$P$54*I706+$P$55*J706)</f>
        <v>0.91114776115698848</v>
      </c>
    </row>
    <row r="707" spans="1:28">
      <c r="A707" s="18" t="str">
        <f>Analysis!A707</f>
        <v>12/2016</v>
      </c>
      <c r="B707" s="19">
        <f>Analysis!B707</f>
        <v>2016.9583333333333</v>
      </c>
      <c r="C707" s="19">
        <f>Analysis!E707</f>
        <v>0.86000000000000121</v>
      </c>
      <c r="D707" s="20">
        <f>Analysis!F707</f>
        <v>0.53121211494354725</v>
      </c>
      <c r="E707" s="19">
        <f>IF(ENSO!F707="","",ENSO!F707)</f>
        <v>-0.37</v>
      </c>
      <c r="F707" s="25">
        <f>IF(Volcanic!G707="","",Volcanic!G707)</f>
        <v>5.5799999999999999E-3</v>
      </c>
      <c r="G707" s="19">
        <f>IF(Solar!D707="","",Solar!D707)</f>
        <v>1360.75</v>
      </c>
      <c r="H707" s="20">
        <f t="shared" si="79"/>
        <v>0.53121211494354725</v>
      </c>
      <c r="I707" s="20">
        <f t="shared" si="80"/>
        <v>0.22753593165649247</v>
      </c>
      <c r="J707" s="25">
        <f t="shared" si="81"/>
        <v>6.9265809833882995E-3</v>
      </c>
      <c r="K707" s="19">
        <f t="shared" si="82"/>
        <v>1361.0798869726914</v>
      </c>
      <c r="L707" s="20">
        <f t="shared" si="83"/>
        <v>0.90550978938965199</v>
      </c>
      <c r="M707" s="20">
        <f t="shared" si="84"/>
        <v>-4.5509789389650779E-2</v>
      </c>
      <c r="AB707" s="20">
        <f t="shared" si="85"/>
        <v>0.90616267902577297</v>
      </c>
    </row>
    <row r="708" spans="1:28">
      <c r="A708" s="18" t="str">
        <f>Analysis!A708</f>
        <v>1/2017</v>
      </c>
      <c r="B708" s="19">
        <f>Analysis!B708</f>
        <v>2017.0416666666667</v>
      </c>
      <c r="C708" s="19">
        <f>Analysis!E708</f>
        <v>1.0200000000000014</v>
      </c>
      <c r="D708" s="20">
        <f>Analysis!F708</f>
        <v>0.5373315704079159</v>
      </c>
      <c r="E708" s="19">
        <f>IF(ENSO!F708="","",ENSO!F708)</f>
        <v>-0.08</v>
      </c>
      <c r="F708" s="25">
        <f>IF(Volcanic!G708="","",Volcanic!G708)</f>
        <v>5.3E-3</v>
      </c>
      <c r="G708" s="19">
        <f>IF(Solar!D708="","",Solar!D708)</f>
        <v>1360.66</v>
      </c>
      <c r="H708" s="20">
        <f t="shared" si="79"/>
        <v>0.5373315704079159</v>
      </c>
      <c r="I708" s="20">
        <f t="shared" si="80"/>
        <v>0.18032354589442975</v>
      </c>
      <c r="J708" s="25">
        <f t="shared" si="81"/>
        <v>6.7965267487086773E-3</v>
      </c>
      <c r="K708" s="19">
        <f t="shared" si="82"/>
        <v>1361.0463146640002</v>
      </c>
      <c r="L708" s="20">
        <f t="shared" si="83"/>
        <v>0.91583639675375339</v>
      </c>
      <c r="M708" s="20">
        <f t="shared" si="84"/>
        <v>0.10416360324624796</v>
      </c>
      <c r="AB708" s="20">
        <f t="shared" si="85"/>
        <v>0.91686732712172736</v>
      </c>
    </row>
    <row r="709" spans="1:28">
      <c r="A709" s="18" t="str">
        <f>Analysis!A709</f>
        <v>2/2017</v>
      </c>
      <c r="B709" s="19">
        <f>Analysis!B709</f>
        <v>2017.125</v>
      </c>
      <c r="C709" s="19">
        <f>Analysis!E709</f>
        <v>1.1299999999999955</v>
      </c>
      <c r="D709" s="20">
        <f>Analysis!F709</f>
        <v>0.53839626385189021</v>
      </c>
      <c r="E709" s="19">
        <f>IF(ENSO!F709="","",ENSO!F709)</f>
        <v>0.08</v>
      </c>
      <c r="F709" s="25">
        <f>IF(Volcanic!G709="","",Volcanic!G709)</f>
        <v>5.1200000000000004E-3</v>
      </c>
      <c r="G709" s="19">
        <f>IF(Solar!D709="","",Solar!D709)</f>
        <v>1360.67</v>
      </c>
      <c r="H709" s="20">
        <f t="shared" si="79"/>
        <v>0.53839626385189021</v>
      </c>
      <c r="I709" s="20">
        <f t="shared" si="80"/>
        <v>0.16492204817585959</v>
      </c>
      <c r="J709" s="25">
        <f t="shared" si="81"/>
        <v>6.6624790711260779E-3</v>
      </c>
      <c r="K709" s="19">
        <f t="shared" si="82"/>
        <v>1361.0162262047565</v>
      </c>
      <c r="L709" s="20">
        <f t="shared" si="83"/>
        <v>0.91699677911706301</v>
      </c>
      <c r="M709" s="20">
        <f t="shared" si="84"/>
        <v>0.21300322088293244</v>
      </c>
      <c r="AB709" s="20">
        <f t="shared" si="85"/>
        <v>0.91821598256185943</v>
      </c>
    </row>
    <row r="710" spans="1:28">
      <c r="A710" s="18" t="str">
        <f>Analysis!A710</f>
        <v>3/2017</v>
      </c>
      <c r="B710" s="19">
        <f>Analysis!B710</f>
        <v>2017.2083333333333</v>
      </c>
      <c r="C710" s="19">
        <f>Analysis!E710</f>
        <v>1.1600000000000001</v>
      </c>
      <c r="D710" s="20">
        <f>Analysis!F710</f>
        <v>0.54151483946067869</v>
      </c>
      <c r="E710" s="19">
        <f>IF(ENSO!F710="","",ENSO!F710)</f>
        <v>0.27</v>
      </c>
      <c r="F710" s="25">
        <f>IF(Volcanic!G710="","",Volcanic!G710)</f>
        <v>4.9800000000000001E-3</v>
      </c>
      <c r="G710" s="19">
        <f>IF(Solar!D710="","",Solar!D710)</f>
        <v>1360.6</v>
      </c>
      <c r="H710" s="20">
        <f t="shared" si="79"/>
        <v>0.54151483946067869</v>
      </c>
      <c r="I710" s="20">
        <f t="shared" si="80"/>
        <v>0.18105343409192878</v>
      </c>
      <c r="J710" s="25">
        <f t="shared" si="81"/>
        <v>6.5279554721202797E-3</v>
      </c>
      <c r="K710" s="19">
        <f t="shared" si="82"/>
        <v>1360.9829465949085</v>
      </c>
      <c r="L710" s="20">
        <f t="shared" si="83"/>
        <v>0.92816278199431057</v>
      </c>
      <c r="M710" s="20">
        <f t="shared" si="84"/>
        <v>0.23183721800568957</v>
      </c>
      <c r="AB710" s="20">
        <f t="shared" si="85"/>
        <v>0.92921696941801624</v>
      </c>
    </row>
    <row r="711" spans="1:28">
      <c r="A711" s="18" t="str">
        <f>Analysis!A711</f>
        <v>4/2017</v>
      </c>
      <c r="B711" s="19">
        <f>Analysis!B711</f>
        <v>2017.2916666666667</v>
      </c>
      <c r="C711" s="19">
        <f>Analysis!E711</f>
        <v>0.93999999999999773</v>
      </c>
      <c r="D711" s="20">
        <f>Analysis!F711</f>
        <v>0.54744982914396567</v>
      </c>
      <c r="E711" s="19">
        <f>IF(ENSO!F711="","",ENSO!F711)</f>
        <v>0.32</v>
      </c>
      <c r="F711" s="25">
        <f>IF(Volcanic!G711="","",Volcanic!G711)</f>
        <v>4.8700000000000002E-3</v>
      </c>
      <c r="G711" s="19">
        <f>IF(Solar!D711="","",Solar!D711)</f>
        <v>1360.66</v>
      </c>
      <c r="H711" s="20">
        <f t="shared" si="79"/>
        <v>0.54744982914396567</v>
      </c>
      <c r="I711" s="20">
        <f t="shared" si="80"/>
        <v>0.20238427122250846</v>
      </c>
      <c r="J711" s="25">
        <f t="shared" si="81"/>
        <v>6.3953926718283861E-3</v>
      </c>
      <c r="K711" s="19">
        <f t="shared" si="82"/>
        <v>1360.9571252108692</v>
      </c>
      <c r="L711" s="20">
        <f t="shared" si="83"/>
        <v>0.94767195834797302</v>
      </c>
      <c r="M711" s="20">
        <f t="shared" si="84"/>
        <v>-7.671958347975294E-3</v>
      </c>
      <c r="AB711" s="20">
        <f t="shared" si="85"/>
        <v>0.94844455452429188</v>
      </c>
    </row>
    <row r="712" spans="1:28">
      <c r="A712" s="18" t="str">
        <f>Analysis!A712</f>
        <v>5/2017</v>
      </c>
      <c r="B712" s="19">
        <f>Analysis!B712</f>
        <v>2017.375</v>
      </c>
      <c r="C712" s="19">
        <f>Analysis!E712</f>
        <v>0.91000000000000014</v>
      </c>
      <c r="D712" s="20">
        <f>Analysis!F712</f>
        <v>0.54980996610473554</v>
      </c>
      <c r="E712" s="19">
        <f>IF(ENSO!F712="","",ENSO!F712)</f>
        <v>0.35</v>
      </c>
      <c r="F712" s="25">
        <f>IF(Volcanic!G712="","",Volcanic!G712)</f>
        <v>4.7499999999999999E-3</v>
      </c>
      <c r="G712" s="19">
        <f>IF(Solar!D712="","",Solar!D712)</f>
        <v>1360.71</v>
      </c>
      <c r="H712" s="20">
        <f t="shared" si="79"/>
        <v>0.54980996610473554</v>
      </c>
      <c r="I712" s="20">
        <f t="shared" si="80"/>
        <v>0.22504598328344388</v>
      </c>
      <c r="J712" s="25">
        <f t="shared" si="81"/>
        <v>6.2638343375877262E-3</v>
      </c>
      <c r="K712" s="19">
        <f t="shared" si="82"/>
        <v>1360.9373661699742</v>
      </c>
      <c r="L712" s="20">
        <f t="shared" si="83"/>
        <v>0.95769851788097859</v>
      </c>
      <c r="M712" s="20">
        <f t="shared" si="84"/>
        <v>-4.7698517880978453E-2</v>
      </c>
      <c r="AB712" s="20">
        <f t="shared" si="85"/>
        <v>0.95825888532345449</v>
      </c>
    </row>
    <row r="713" spans="1:28">
      <c r="A713" s="18" t="str">
        <f>Analysis!A713</f>
        <v>6/2017</v>
      </c>
      <c r="B713" s="19">
        <f>Analysis!B713</f>
        <v>2017.4583333333333</v>
      </c>
      <c r="C713" s="19">
        <f>Analysis!E713</f>
        <v>0.71000000000000085</v>
      </c>
      <c r="D713" s="20">
        <f>Analysis!F713</f>
        <v>0.54695617814141118</v>
      </c>
      <c r="E713" s="19">
        <f>IF(ENSO!F713="","",ENSO!F713)</f>
        <v>0.32</v>
      </c>
      <c r="F713" s="25">
        <f>IF(Volcanic!G713="","",Volcanic!G713)</f>
        <v>4.5999999999999999E-3</v>
      </c>
      <c r="G713" s="19">
        <f>IF(Solar!D713="","",Solar!D713)</f>
        <v>1360.75</v>
      </c>
      <c r="H713" s="20">
        <f t="shared" si="79"/>
        <v>0.54695617814141118</v>
      </c>
      <c r="I713" s="20">
        <f t="shared" si="80"/>
        <v>0.23962316014447738</v>
      </c>
      <c r="J713" s="25">
        <f t="shared" si="81"/>
        <v>6.130801489166067E-3</v>
      </c>
      <c r="K713" s="19">
        <f t="shared" si="82"/>
        <v>1360.9223851981753</v>
      </c>
      <c r="L713" s="20">
        <f t="shared" si="83"/>
        <v>0.95248982198645082</v>
      </c>
      <c r="M713" s="20">
        <f t="shared" si="84"/>
        <v>-0.24248982198644997</v>
      </c>
      <c r="AB713" s="20">
        <f t="shared" si="85"/>
        <v>0.95303779866467175</v>
      </c>
    </row>
    <row r="714" spans="1:28">
      <c r="A714" s="18" t="str">
        <f>Analysis!A714</f>
        <v>7/2017</v>
      </c>
      <c r="B714" s="19">
        <f>Analysis!B714</f>
        <v>2017.5416666666667</v>
      </c>
      <c r="C714" s="19">
        <f>Analysis!E714</f>
        <v>0.82000000000000028</v>
      </c>
      <c r="D714" s="20">
        <f>Analysis!F714</f>
        <v>0.54077124608923599</v>
      </c>
      <c r="E714" s="19">
        <f>IF(ENSO!F714="","",ENSO!F714)</f>
        <v>0.14000000000000001</v>
      </c>
      <c r="F714" s="25">
        <f>IF(Volcanic!G714="","",Volcanic!G714)</f>
        <v>4.5700000000000003E-3</v>
      </c>
      <c r="G714" s="19">
        <f>IF(Solar!D714="","",Solar!D714)</f>
        <v>1360.59</v>
      </c>
      <c r="H714" s="20">
        <f t="shared" si="79"/>
        <v>0.54077124608923599</v>
      </c>
      <c r="I714" s="20">
        <f t="shared" si="80"/>
        <v>0.22432918443815109</v>
      </c>
      <c r="J714" s="25">
        <f t="shared" si="81"/>
        <v>6.0060066924523701E-3</v>
      </c>
      <c r="K714" s="19">
        <f t="shared" si="82"/>
        <v>1360.8958091450866</v>
      </c>
      <c r="L714" s="20">
        <f t="shared" si="83"/>
        <v>0.93402974016284079</v>
      </c>
      <c r="M714" s="20">
        <f t="shared" si="84"/>
        <v>-0.11402974016284051</v>
      </c>
      <c r="AB714" s="20">
        <f t="shared" si="85"/>
        <v>0.93492838197464057</v>
      </c>
    </row>
    <row r="715" spans="1:28">
      <c r="A715" s="18" t="str">
        <f>Analysis!A715</f>
        <v>8/2017</v>
      </c>
      <c r="B715" s="19">
        <f>Analysis!B715</f>
        <v>2017.625</v>
      </c>
      <c r="C715" s="19">
        <f>Analysis!E715</f>
        <v>0.86999999999999744</v>
      </c>
      <c r="D715" s="20">
        <f>Analysis!F715</f>
        <v>0.53363453792318827</v>
      </c>
      <c r="E715" s="19">
        <f>IF(ENSO!F715="","",ENSO!F715)</f>
        <v>-7.0000000000000007E-2</v>
      </c>
      <c r="F715" s="25">
        <f>IF(Volcanic!G715="","",Volcanic!G715)</f>
        <v>4.6600000000000001E-3</v>
      </c>
      <c r="G715" s="19">
        <f>IF(Solar!D715="","",Solar!D715)</f>
        <v>1360.59</v>
      </c>
      <c r="H715" s="20">
        <f t="shared" si="79"/>
        <v>0.53363453792318827</v>
      </c>
      <c r="I715" s="20">
        <f t="shared" si="80"/>
        <v>0.17914427572885383</v>
      </c>
      <c r="J715" s="25">
        <f t="shared" si="81"/>
        <v>5.8983859394444926E-3</v>
      </c>
      <c r="K715" s="19">
        <f t="shared" si="82"/>
        <v>1360.8713579958794</v>
      </c>
      <c r="L715" s="20">
        <f t="shared" si="83"/>
        <v>0.90871939163933813</v>
      </c>
      <c r="M715" s="20">
        <f t="shared" si="84"/>
        <v>-3.8719391639340683E-2</v>
      </c>
      <c r="AB715" s="20">
        <f t="shared" si="85"/>
        <v>0.91027263657465551</v>
      </c>
    </row>
    <row r="716" spans="1:28">
      <c r="A716" s="18" t="str">
        <f>Analysis!A716</f>
        <v>9/2017</v>
      </c>
      <c r="B716" s="19">
        <f>Analysis!B716</f>
        <v>2017.7083333333333</v>
      </c>
      <c r="C716" s="19">
        <f>Analysis!E716</f>
        <v>0.73999999999999666</v>
      </c>
      <c r="D716" s="20">
        <f>Analysis!F716</f>
        <v>0.52739210629320266</v>
      </c>
      <c r="E716" s="19">
        <f>IF(ENSO!F716="","",ENSO!F716)</f>
        <v>-0.23</v>
      </c>
      <c r="F716" s="25">
        <f>IF(Volcanic!G716="","",Volcanic!G716)</f>
        <v>7.1000000000000004E-3</v>
      </c>
      <c r="G716" s="19">
        <f>IF(Solar!D716="","",Solar!D716)</f>
        <v>1360.46</v>
      </c>
      <c r="H716" s="20">
        <f t="shared" si="79"/>
        <v>0.52739210629320266</v>
      </c>
      <c r="I716" s="20">
        <f t="shared" si="80"/>
        <v>0.1163331522480812</v>
      </c>
      <c r="J716" s="25">
        <f t="shared" si="81"/>
        <v>5.9944616950458442E-3</v>
      </c>
      <c r="K716" s="19">
        <f t="shared" si="82"/>
        <v>1360.8384676265221</v>
      </c>
      <c r="L716" s="20">
        <f t="shared" si="83"/>
        <v>0.88264887813041182</v>
      </c>
      <c r="M716" s="20">
        <f t="shared" si="84"/>
        <v>-0.14264887813041516</v>
      </c>
      <c r="AB716" s="20">
        <f t="shared" si="85"/>
        <v>0.88491060091007123</v>
      </c>
    </row>
    <row r="717" spans="1:28">
      <c r="A717" s="18" t="str">
        <f>Analysis!A717</f>
        <v>10/2017</v>
      </c>
      <c r="B717" s="19">
        <f>Analysis!B717</f>
        <v>2017.7916666666667</v>
      </c>
      <c r="C717" s="19">
        <f>Analysis!E717</f>
        <v>0.88000000000000256</v>
      </c>
      <c r="D717" s="20">
        <f>Analysis!F717</f>
        <v>0.52828553765041275</v>
      </c>
      <c r="E717" s="19">
        <f>IF(ENSO!F717="","",ENSO!F717)</f>
        <v>-0.44</v>
      </c>
      <c r="F717" s="25">
        <f>IF(Volcanic!G717="","",Volcanic!G717)</f>
        <v>6.8500000000000002E-3</v>
      </c>
      <c r="G717" s="19">
        <f>IF(Solar!D717="","",Solar!D717)</f>
        <v>1360.81</v>
      </c>
      <c r="H717" s="20">
        <f t="shared" si="79"/>
        <v>0.52828553765041275</v>
      </c>
      <c r="I717" s="20">
        <f t="shared" si="80"/>
        <v>3.092584632878842E-2</v>
      </c>
      <c r="J717" s="25">
        <f t="shared" si="81"/>
        <v>6.0628667610254901E-3</v>
      </c>
      <c r="K717" s="19">
        <f t="shared" si="82"/>
        <v>1360.8361914807792</v>
      </c>
      <c r="L717" s="20">
        <f t="shared" si="83"/>
        <v>0.87278005365341482</v>
      </c>
      <c r="M717" s="20">
        <f t="shared" si="84"/>
        <v>7.2199463465877356E-3</v>
      </c>
      <c r="AB717" s="20">
        <f t="shared" si="85"/>
        <v>0.87581742932205731</v>
      </c>
    </row>
    <row r="718" spans="1:28">
      <c r="A718" s="18" t="str">
        <f>Analysis!A718</f>
        <v>11/2017</v>
      </c>
      <c r="B718" s="19">
        <f>Analysis!B718</f>
        <v>2017.875</v>
      </c>
      <c r="C718" s="19">
        <f>Analysis!E718</f>
        <v>0.86999999999999744</v>
      </c>
      <c r="D718" s="20">
        <f>Analysis!F718</f>
        <v>0.53359894350795678</v>
      </c>
      <c r="E718" s="19">
        <f>IF(ENSO!F718="","",ENSO!F718)</f>
        <v>-0.61</v>
      </c>
      <c r="F718" s="25">
        <f>IF(Volcanic!G718="","",Volcanic!G718)</f>
        <v>6.5399999999999998E-3</v>
      </c>
      <c r="G718" s="19">
        <f>IF(Solar!D718="","",Solar!D718)</f>
        <v>1360.76</v>
      </c>
      <c r="H718" s="20">
        <f t="shared" si="79"/>
        <v>0.53359894350795678</v>
      </c>
      <c r="I718" s="20">
        <f t="shared" si="80"/>
        <v>-6.7467984072630494E-2</v>
      </c>
      <c r="J718" s="25">
        <f t="shared" si="81"/>
        <v>6.1010162284475039E-3</v>
      </c>
      <c r="K718" s="19">
        <f t="shared" si="82"/>
        <v>1360.8300995463333</v>
      </c>
      <c r="L718" s="20">
        <f t="shared" si="83"/>
        <v>0.87313357657448287</v>
      </c>
      <c r="M718" s="20">
        <f t="shared" si="84"/>
        <v>-3.1335765744854305E-3</v>
      </c>
      <c r="AB718" s="20">
        <f t="shared" si="85"/>
        <v>0.87698462789944542</v>
      </c>
    </row>
    <row r="719" spans="1:28">
      <c r="A719" s="18" t="str">
        <f>Analysis!A719</f>
        <v>12/2017</v>
      </c>
      <c r="B719" s="19">
        <f>Analysis!B719</f>
        <v>2017.9583333333333</v>
      </c>
      <c r="C719" s="19">
        <f>Analysis!E719</f>
        <v>0.92999999999999794</v>
      </c>
      <c r="D719" s="20">
        <f>Analysis!F719</f>
        <v>0.53960196732128063</v>
      </c>
      <c r="E719" s="19">
        <f>IF(ENSO!F719="","",ENSO!F719)</f>
        <v>-0.76</v>
      </c>
      <c r="F719" s="25">
        <f>IF(Volcanic!G719="","",Volcanic!G719)</f>
        <v>6.2100000000000002E-3</v>
      </c>
      <c r="G719" s="19">
        <f>IF(Solar!D719="","",Solar!D719)</f>
        <v>1360.66</v>
      </c>
      <c r="H719" s="20">
        <f t="shared" si="79"/>
        <v>0.53960196732128063</v>
      </c>
      <c r="I719" s="20">
        <f t="shared" si="80"/>
        <v>-0.173784304615826</v>
      </c>
      <c r="J719" s="25">
        <f t="shared" si="81"/>
        <v>6.1097300896978879E-3</v>
      </c>
      <c r="K719" s="19">
        <f t="shared" si="82"/>
        <v>1360.8164991375349</v>
      </c>
      <c r="L719" s="20">
        <f t="shared" si="83"/>
        <v>0.87433377359185871</v>
      </c>
      <c r="M719" s="20">
        <f t="shared" si="84"/>
        <v>5.566622640813923E-2</v>
      </c>
      <c r="AB719" s="20">
        <f t="shared" si="85"/>
        <v>0.87907334919846258</v>
      </c>
    </row>
    <row r="720" spans="1:28">
      <c r="A720" s="18" t="str">
        <f>Analysis!A720</f>
        <v>1/2018</v>
      </c>
      <c r="B720" s="19">
        <f>Analysis!B720</f>
        <v>2018.0416666666667</v>
      </c>
      <c r="C720" s="19">
        <f>Analysis!E720</f>
        <v>0.82000000000000028</v>
      </c>
      <c r="D720" s="20">
        <f>Analysis!F720</f>
        <v>0.54367263013850597</v>
      </c>
      <c r="E720" s="19">
        <f>IF(ENSO!F720="","",ENSO!F720)</f>
        <v>-0.71</v>
      </c>
      <c r="F720" s="25">
        <f>IF(Volcanic!G720="","",Volcanic!G720)</f>
        <v>5.8700000000000002E-3</v>
      </c>
      <c r="G720" s="19">
        <f>IF(Solar!D720="","",Solar!D720)</f>
        <v>1360.61</v>
      </c>
      <c r="H720" s="20">
        <f t="shared" si="79"/>
        <v>0.54367263013850597</v>
      </c>
      <c r="I720" s="20">
        <f t="shared" si="80"/>
        <v>-0.25610321325778429</v>
      </c>
      <c r="J720" s="25">
        <f t="shared" si="81"/>
        <v>6.0905623300451283E-3</v>
      </c>
      <c r="K720" s="19">
        <f t="shared" si="82"/>
        <v>1360.7999883781149</v>
      </c>
      <c r="L720" s="20">
        <f t="shared" si="83"/>
        <v>0.873789653527</v>
      </c>
      <c r="M720" s="20">
        <f t="shared" si="84"/>
        <v>-5.3789653526999714E-2</v>
      </c>
      <c r="AB720" s="20">
        <f t="shared" si="85"/>
        <v>0.87924283485392829</v>
      </c>
    </row>
    <row r="721" spans="1:28">
      <c r="A721" s="18" t="str">
        <f>Analysis!A721</f>
        <v>2/2018</v>
      </c>
      <c r="B721" s="19">
        <f>Analysis!B721</f>
        <v>2018.125</v>
      </c>
      <c r="C721" s="19">
        <f>Analysis!E721</f>
        <v>0.8500000000000032</v>
      </c>
      <c r="D721" s="20">
        <f>Analysis!F721</f>
        <v>0.54497988325580371</v>
      </c>
      <c r="E721" s="19">
        <f>IF(ENSO!F721="","",ENSO!F721)</f>
        <v>-0.67</v>
      </c>
      <c r="F721" s="25">
        <f>IF(Volcanic!G721="","",Volcanic!G721)</f>
        <v>5.6899999999999997E-3</v>
      </c>
      <c r="G721" s="19">
        <f>IF(Solar!D721="","",Solar!D721)</f>
        <v>1360.53</v>
      </c>
      <c r="H721" s="20">
        <f t="shared" si="79"/>
        <v>0.54497988325580371</v>
      </c>
      <c r="I721" s="20">
        <f t="shared" si="80"/>
        <v>-0.31964393403176655</v>
      </c>
      <c r="J721" s="25">
        <f t="shared" si="81"/>
        <v>6.0585351344689276E-3</v>
      </c>
      <c r="K721" s="19">
        <f t="shared" si="82"/>
        <v>1360.7784012992993</v>
      </c>
      <c r="L721" s="20">
        <f t="shared" si="83"/>
        <v>0.8684664131806219</v>
      </c>
      <c r="M721" s="20">
        <f t="shared" si="84"/>
        <v>-1.8466413180618702E-2</v>
      </c>
      <c r="AB721" s="20">
        <f t="shared" si="85"/>
        <v>0.87452104897164296</v>
      </c>
    </row>
    <row r="722" spans="1:28">
      <c r="A722" s="18" t="str">
        <f>Analysis!A722</f>
        <v>3/2018</v>
      </c>
      <c r="B722" s="19">
        <f>Analysis!B722</f>
        <v>2018.2083333333333</v>
      </c>
      <c r="C722" s="19">
        <f>Analysis!E722</f>
        <v>0.88000000000000256</v>
      </c>
      <c r="D722" s="20">
        <f>Analysis!F722</f>
        <v>0.54875366569081085</v>
      </c>
      <c r="E722" s="19">
        <f>IF(ENSO!F722="","",ENSO!F722)</f>
        <v>-0.55000000000000004</v>
      </c>
      <c r="F722" s="25">
        <f>IF(Volcanic!G722="","",Volcanic!G722)</f>
        <v>5.3800000000000002E-3</v>
      </c>
      <c r="G722" s="19">
        <f>IF(Solar!D722="","",Solar!D722)</f>
        <v>1360.56</v>
      </c>
      <c r="H722" s="20">
        <f t="shared" si="79"/>
        <v>0.54875366569081085</v>
      </c>
      <c r="I722" s="20">
        <f t="shared" si="80"/>
        <v>-0.35500779994019371</v>
      </c>
      <c r="J722" s="25">
        <f t="shared" si="81"/>
        <v>6.0042824605978937E-3</v>
      </c>
      <c r="K722" s="19">
        <f t="shared" si="82"/>
        <v>1360.7609388955682</v>
      </c>
      <c r="L722" s="20">
        <f t="shared" si="83"/>
        <v>0.8738648397094072</v>
      </c>
      <c r="M722" s="20">
        <f t="shared" si="84"/>
        <v>6.1351602905953539E-3</v>
      </c>
      <c r="AB722" s="20">
        <f t="shared" si="85"/>
        <v>0.88020095199889326</v>
      </c>
    </row>
    <row r="723" spans="1:28">
      <c r="A723" s="18" t="str">
        <f>Analysis!A723</f>
        <v>4/2018</v>
      </c>
      <c r="B723" s="19">
        <f>Analysis!B723</f>
        <v>2018.2916666666667</v>
      </c>
      <c r="C723" s="19">
        <f>Analysis!E723</f>
        <v>0.88000000000000256</v>
      </c>
      <c r="D723" s="20">
        <f>Analysis!F723</f>
        <v>0.55177966000822387</v>
      </c>
      <c r="E723" s="19">
        <f>IF(ENSO!F723="","",ENSO!F723)</f>
        <v>-0.35</v>
      </c>
      <c r="F723" s="25">
        <f>IF(Volcanic!G723="","",Volcanic!G723)</f>
        <v>5.2100000000000002E-3</v>
      </c>
      <c r="G723" s="19">
        <f>IF(Solar!D723="","",Solar!D723)</f>
        <v>1360.63</v>
      </c>
      <c r="H723" s="20">
        <f t="shared" si="79"/>
        <v>0.55177966000822387</v>
      </c>
      <c r="I723" s="20">
        <f t="shared" si="80"/>
        <v>-0.35423901113128231</v>
      </c>
      <c r="J723" s="25">
        <f t="shared" si="81"/>
        <v>5.9407751415111272E-3</v>
      </c>
      <c r="K723" s="19">
        <f t="shared" si="82"/>
        <v>1360.7504695995253</v>
      </c>
      <c r="L723" s="20">
        <f t="shared" si="83"/>
        <v>0.88237158785703218</v>
      </c>
      <c r="M723" s="20">
        <f t="shared" si="84"/>
        <v>-2.3715878570296223E-3</v>
      </c>
      <c r="AB723" s="20">
        <f t="shared" si="85"/>
        <v>0.88866026593043268</v>
      </c>
    </row>
    <row r="724" spans="1:28">
      <c r="A724" s="18" t="str">
        <f>Analysis!A724</f>
        <v>5/2018</v>
      </c>
      <c r="B724" s="19">
        <f>Analysis!B724</f>
        <v>2018.375</v>
      </c>
      <c r="C724" s="19">
        <f>Analysis!E724</f>
        <v>0.81000000000000227</v>
      </c>
      <c r="D724" s="20">
        <f>Analysis!F724</f>
        <v>0.55525523163276624</v>
      </c>
      <c r="E724" s="19">
        <f>IF(ENSO!F724="","",ENSO!F724)</f>
        <v>-7.0000000000000007E-2</v>
      </c>
      <c r="F724" s="25">
        <f>IF(Volcanic!G724="","",Volcanic!G724)</f>
        <v>5.3299999999999997E-3</v>
      </c>
      <c r="G724" s="19">
        <f>IF(Solar!D724="","",Solar!D724)</f>
        <v>1360.69</v>
      </c>
      <c r="H724" s="20">
        <f t="shared" si="79"/>
        <v>0.55525523163276624</v>
      </c>
      <c r="I724" s="20">
        <f t="shared" si="80"/>
        <v>-0.31060312842361032</v>
      </c>
      <c r="J724" s="25">
        <f t="shared" si="81"/>
        <v>5.8919402575417475E-3</v>
      </c>
      <c r="K724" s="19">
        <f t="shared" si="82"/>
        <v>1360.7456347172983</v>
      </c>
      <c r="L724" s="20">
        <f t="shared" si="83"/>
        <v>0.89809374295068956</v>
      </c>
      <c r="M724" s="20">
        <f t="shared" si="84"/>
        <v>-8.8093742950687282E-2</v>
      </c>
      <c r="AB724" s="20">
        <f t="shared" si="85"/>
        <v>0.90390168326673259</v>
      </c>
    </row>
    <row r="725" spans="1:28">
      <c r="A725" s="18" t="str">
        <f>Analysis!A725</f>
        <v>6/2018</v>
      </c>
      <c r="B725" s="19">
        <f>Analysis!B725</f>
        <v>2018.4583333333333</v>
      </c>
      <c r="C725" s="19">
        <f>Analysis!E725</f>
        <v>0.77000000000000135</v>
      </c>
      <c r="D725" s="20">
        <f>Analysis!F725</f>
        <v>0.55367646424055572</v>
      </c>
      <c r="E725" s="19">
        <f>IF(ENSO!F725="","",ENSO!F725)</f>
        <v>0.13</v>
      </c>
      <c r="F725" s="25">
        <f>IF(Volcanic!G725="","",Volcanic!G725)</f>
        <v>5.13E-3</v>
      </c>
      <c r="G725" s="19">
        <f>IF(Solar!D725="","",Solar!D725)</f>
        <v>1360.73</v>
      </c>
      <c r="H725" s="20">
        <f t="shared" si="79"/>
        <v>0.55367646424055572</v>
      </c>
      <c r="I725" s="20">
        <f t="shared" si="80"/>
        <v>-0.24296249614021845</v>
      </c>
      <c r="J725" s="25">
        <f t="shared" si="81"/>
        <v>5.8310188782325131E-3</v>
      </c>
      <c r="K725" s="19">
        <f t="shared" si="82"/>
        <v>1360.7443846343247</v>
      </c>
      <c r="L725" s="20">
        <f t="shared" si="83"/>
        <v>0.90357666173328988</v>
      </c>
      <c r="M725" s="20">
        <f t="shared" si="84"/>
        <v>-0.13357666173328853</v>
      </c>
      <c r="AB725" s="20">
        <f t="shared" si="85"/>
        <v>0.90879366377714998</v>
      </c>
    </row>
    <row r="726" spans="1:28">
      <c r="A726" s="18" t="str">
        <f>Analysis!A726</f>
        <v>7/2018</v>
      </c>
      <c r="B726" s="19">
        <f>Analysis!B726</f>
        <v>2018.5416666666667</v>
      </c>
      <c r="C726" s="19">
        <f>Analysis!E726</f>
        <v>0.83999999999999986</v>
      </c>
      <c r="D726" s="20">
        <f>Analysis!F726</f>
        <v>0.54632123569403679</v>
      </c>
      <c r="E726" s="19">
        <f>IF(ENSO!F726="","",ENSO!F726)</f>
        <v>0.2</v>
      </c>
      <c r="F726" s="25">
        <f>IF(Volcanic!G726="","",Volcanic!G726)</f>
        <v>5.0299999999999997E-3</v>
      </c>
      <c r="G726" s="19">
        <f>IF(Solar!D726="","",Solar!D726)</f>
        <v>1360.71</v>
      </c>
      <c r="H726" s="20">
        <f t="shared" si="79"/>
        <v>0.54632123569403679</v>
      </c>
      <c r="I726" s="20">
        <f t="shared" si="80"/>
        <v>-0.17495965779462413</v>
      </c>
      <c r="J726" s="25">
        <f t="shared" si="81"/>
        <v>5.7669729449304694E-3</v>
      </c>
      <c r="K726" s="19">
        <f t="shared" si="82"/>
        <v>1360.7416353907595</v>
      </c>
      <c r="L726" s="20">
        <f t="shared" si="83"/>
        <v>0.89350073919514517</v>
      </c>
      <c r="M726" s="20">
        <f t="shared" si="84"/>
        <v>-5.3500739195145308E-2</v>
      </c>
      <c r="AB726" s="20">
        <f t="shared" si="85"/>
        <v>0.89825848347046722</v>
      </c>
    </row>
    <row r="727" spans="1:28">
      <c r="A727" s="18" t="str">
        <f>Analysis!A727</f>
        <v>8/2018</v>
      </c>
      <c r="B727" s="19">
        <f>Analysis!B727</f>
        <v>2018.625</v>
      </c>
      <c r="C727" s="19">
        <f>Analysis!E727</f>
        <v>0.77999999999999758</v>
      </c>
      <c r="D727" s="20">
        <f>Analysis!F727</f>
        <v>0.54016900871244178</v>
      </c>
      <c r="E727" s="19">
        <f>IF(ENSO!F727="","",ENSO!F727)</f>
        <v>0.3</v>
      </c>
      <c r="F727" s="25">
        <f>IF(Volcanic!G727="","",Volcanic!G727)</f>
        <v>6.3499999999999997E-3</v>
      </c>
      <c r="G727" s="19">
        <f>IF(Solar!D727="","",Solar!D727)</f>
        <v>1360.66</v>
      </c>
      <c r="H727" s="20">
        <f t="shared" si="79"/>
        <v>0.54016900871244178</v>
      </c>
      <c r="I727" s="20">
        <f t="shared" si="80"/>
        <v>-0.10204467038344926</v>
      </c>
      <c r="J727" s="25">
        <f t="shared" si="81"/>
        <v>5.8135892144054952E-3</v>
      </c>
      <c r="K727" s="19">
        <f t="shared" si="82"/>
        <v>1360.7351081853044</v>
      </c>
      <c r="L727" s="20">
        <f t="shared" si="83"/>
        <v>0.88699574135630044</v>
      </c>
      <c r="M727" s="20">
        <f t="shared" si="84"/>
        <v>-0.10699574135630285</v>
      </c>
      <c r="AB727" s="20">
        <f t="shared" si="85"/>
        <v>0.89116631544524005</v>
      </c>
    </row>
    <row r="728" spans="1:28">
      <c r="A728" s="18" t="str">
        <f>Analysis!A728</f>
        <v>9/2018</v>
      </c>
      <c r="B728" s="19">
        <f>Analysis!B728</f>
        <v>2018.7083333333333</v>
      </c>
      <c r="C728" s="19">
        <f>Analysis!E728</f>
        <v>0.79999999999999893</v>
      </c>
      <c r="D728" s="20">
        <f>Analysis!F728</f>
        <v>0.53502203557263439</v>
      </c>
      <c r="E728" s="19">
        <f>IF(ENSO!F728="","",ENSO!F728)</f>
        <v>0.52</v>
      </c>
      <c r="F728" s="25">
        <f>IF(Volcanic!G728="","",Volcanic!G728)</f>
        <v>8.0000000000000002E-3</v>
      </c>
      <c r="G728" s="19">
        <f>IF(Solar!D728="","",Solar!D728)</f>
        <v>1360.65</v>
      </c>
      <c r="H728" s="20">
        <f t="shared" si="79"/>
        <v>0.53502203557263439</v>
      </c>
      <c r="I728" s="20">
        <f t="shared" si="80"/>
        <v>-6.5494455451956535E-3</v>
      </c>
      <c r="J728" s="25">
        <f t="shared" si="81"/>
        <v>5.9884049686284649E-3</v>
      </c>
      <c r="K728" s="19">
        <f t="shared" si="82"/>
        <v>1360.7283033105284</v>
      </c>
      <c r="L728" s="20">
        <f t="shared" si="83"/>
        <v>0.88596076875531526</v>
      </c>
      <c r="M728" s="20">
        <f t="shared" si="84"/>
        <v>-8.596076875531633E-2</v>
      </c>
      <c r="AB728" s="20">
        <f t="shared" si="85"/>
        <v>0.88924109610389712</v>
      </c>
    </row>
    <row r="729" spans="1:28">
      <c r="A729" s="18" t="str">
        <f>Analysis!A729</f>
        <v>10/2018</v>
      </c>
      <c r="B729" s="19">
        <f>Analysis!B729</f>
        <v>2018.7916666666667</v>
      </c>
      <c r="C729" s="19">
        <f>Analysis!E729</f>
        <v>1.0200000000000014</v>
      </c>
      <c r="D729" s="20">
        <f>Analysis!F729</f>
        <v>0.53672789516201203</v>
      </c>
      <c r="E729" s="19">
        <f>IF(ENSO!F729="","",ENSO!F729)</f>
        <v>0.82</v>
      </c>
      <c r="F729" s="25">
        <f>IF(Volcanic!G729="","",Volcanic!G729)</f>
        <v>8.5100000000000002E-3</v>
      </c>
      <c r="G729" s="19">
        <f>IF(Solar!D729="","",Solar!D729)</f>
        <v>1360.65</v>
      </c>
      <c r="H729" s="20">
        <f t="shared" si="79"/>
        <v>0.53672789516201203</v>
      </c>
      <c r="I729" s="20">
        <f t="shared" si="80"/>
        <v>0.12034099962752204</v>
      </c>
      <c r="J729" s="25">
        <f t="shared" si="81"/>
        <v>6.190020575429566E-3</v>
      </c>
      <c r="K729" s="19">
        <f t="shared" si="82"/>
        <v>1360.7220425234987</v>
      </c>
      <c r="L729" s="20">
        <f t="shared" si="83"/>
        <v>0.90779665691367728</v>
      </c>
      <c r="M729" s="20">
        <f t="shared" si="84"/>
        <v>0.11220334308632407</v>
      </c>
      <c r="AB729" s="20">
        <f t="shared" si="85"/>
        <v>0.90971078069096478</v>
      </c>
    </row>
    <row r="730" spans="1:28">
      <c r="A730" s="18" t="str">
        <f>Analysis!A730</f>
        <v>11/2018</v>
      </c>
      <c r="B730" s="19">
        <f>Analysis!B730</f>
        <v>2018.875</v>
      </c>
      <c r="C730" s="19">
        <f>Analysis!E730</f>
        <v>0.83000000000000362</v>
      </c>
      <c r="D730" s="20">
        <f>Analysis!F730</f>
        <v>0.54388469761513192</v>
      </c>
      <c r="E730" s="19">
        <f>IF(ENSO!F730="","",ENSO!F730)</f>
        <v>1.04</v>
      </c>
      <c r="F730" s="25">
        <f>IF(Volcanic!G730="","",Volcanic!G730)</f>
        <v>8.6099999999999996E-3</v>
      </c>
      <c r="G730" s="19">
        <f>IF(Solar!D730="","",Solar!D730)</f>
        <v>1360.62</v>
      </c>
      <c r="H730" s="20">
        <f t="shared" si="79"/>
        <v>0.54388469761513192</v>
      </c>
      <c r="I730" s="20">
        <f t="shared" si="80"/>
        <v>0.26152546305352692</v>
      </c>
      <c r="J730" s="25">
        <f t="shared" si="81"/>
        <v>6.3835114469060882E-3</v>
      </c>
      <c r="K730" s="19">
        <f t="shared" si="82"/>
        <v>1360.7138836537997</v>
      </c>
      <c r="L730" s="20">
        <f t="shared" si="83"/>
        <v>0.94641759084170385</v>
      </c>
      <c r="M730" s="20">
        <f t="shared" si="84"/>
        <v>-0.11641759084170022</v>
      </c>
      <c r="AB730" s="20">
        <f t="shared" si="85"/>
        <v>0.94670448000890173</v>
      </c>
    </row>
    <row r="731" spans="1:28">
      <c r="A731" s="18" t="str">
        <f>Analysis!A731</f>
        <v>12/2018</v>
      </c>
      <c r="B731" s="19">
        <f>Analysis!B731</f>
        <v>2018.9583333333333</v>
      </c>
      <c r="C731" s="19">
        <f>Analysis!E731</f>
        <v>0.92999999999999794</v>
      </c>
      <c r="D731" s="20">
        <f>Analysis!F731</f>
        <v>0.54762609214567415</v>
      </c>
      <c r="E731" s="19">
        <f>IF(ENSO!F731="","",ENSO!F731)</f>
        <v>1.05</v>
      </c>
      <c r="F731" s="25">
        <f>IF(Volcanic!G731="","",Volcanic!G731)</f>
        <v>8.3300000000000006E-3</v>
      </c>
      <c r="G731" s="19">
        <f>IF(Solar!D731="","",Solar!D731)</f>
        <v>1360.63</v>
      </c>
      <c r="H731" s="20">
        <f t="shared" si="79"/>
        <v>0.54762609214567415</v>
      </c>
      <c r="I731" s="20">
        <f t="shared" si="80"/>
        <v>0.38257071393322123</v>
      </c>
      <c r="J731" s="25">
        <f t="shared" si="81"/>
        <v>6.5391440785860329E-3</v>
      </c>
      <c r="K731" s="19">
        <f t="shared" si="82"/>
        <v>1360.7071766871572</v>
      </c>
      <c r="L731" s="20">
        <f t="shared" si="83"/>
        <v>0.97308903172598815</v>
      </c>
      <c r="M731" s="20">
        <f t="shared" si="84"/>
        <v>-4.3089031725990212E-2</v>
      </c>
      <c r="AB731" s="20">
        <f t="shared" si="85"/>
        <v>0.97204108932371025</v>
      </c>
    </row>
    <row r="732" spans="1:28">
      <c r="A732" s="18" t="str">
        <f>Analysis!A732</f>
        <v>1/2019</v>
      </c>
      <c r="B732" s="19">
        <f>Analysis!B732</f>
        <v>2019.0416666666667</v>
      </c>
      <c r="C732" s="19">
        <f>Analysis!E732</f>
        <v>0.92999999999999794</v>
      </c>
      <c r="D732" s="20">
        <f>Analysis!F732</f>
        <v>0.55381686910097527</v>
      </c>
      <c r="E732" s="19">
        <f>IF(ENSO!F732="","",ENSO!F732)</f>
        <v>0.99</v>
      </c>
      <c r="F732" s="25">
        <f>IF(Volcanic!G732="","",Volcanic!G732)</f>
        <v>7.8899999999999994E-3</v>
      </c>
      <c r="G732" s="19">
        <f>IF(Solar!D732="","",Solar!D732)</f>
        <v>1360.6</v>
      </c>
      <c r="H732" s="20">
        <f t="shared" si="79"/>
        <v>0.55381686910097527</v>
      </c>
      <c r="I732" s="20">
        <f t="shared" si="80"/>
        <v>0.47582221018111881</v>
      </c>
      <c r="J732" s="25">
        <f t="shared" si="81"/>
        <v>6.6471525545341312E-3</v>
      </c>
      <c r="K732" s="19">
        <f t="shared" si="82"/>
        <v>1360.6986073123974</v>
      </c>
      <c r="L732" s="20">
        <f t="shared" si="83"/>
        <v>1.0026233061647236</v>
      </c>
      <c r="M732" s="20">
        <f t="shared" si="84"/>
        <v>-7.2623306164725676E-2</v>
      </c>
      <c r="AB732" s="20">
        <f t="shared" si="85"/>
        <v>1.0004760731442026</v>
      </c>
    </row>
    <row r="733" spans="1:28">
      <c r="A733" s="18" t="str">
        <f>Analysis!A733</f>
        <v>2/2019</v>
      </c>
      <c r="B733" s="19">
        <f>Analysis!B733</f>
        <v>2019.125</v>
      </c>
      <c r="C733" s="19">
        <f>Analysis!E733</f>
        <v>0.95999999999999908</v>
      </c>
      <c r="D733" s="20">
        <f>Analysis!F733</f>
        <v>0.55707743595872172</v>
      </c>
      <c r="E733" s="19">
        <f>IF(ENSO!F733="","",ENSO!F733)</f>
        <v>0.94</v>
      </c>
      <c r="F733" s="25">
        <f>IF(Volcanic!G733="","",Volcanic!G733)</f>
        <v>7.3600000000000002E-3</v>
      </c>
      <c r="G733" s="19">
        <f>IF(Solar!D733="","",Solar!D733)</f>
        <v>1360.62</v>
      </c>
      <c r="H733" s="20">
        <f t="shared" si="79"/>
        <v>0.55707743595872172</v>
      </c>
      <c r="I733" s="20">
        <f t="shared" si="80"/>
        <v>0.5470819838182005</v>
      </c>
      <c r="J733" s="25">
        <f t="shared" si="81"/>
        <v>6.7041486893163462E-3</v>
      </c>
      <c r="K733" s="19">
        <f t="shared" si="82"/>
        <v>1360.6923222187202</v>
      </c>
      <c r="L733" s="20">
        <f t="shared" si="83"/>
        <v>1.0213033425483924</v>
      </c>
      <c r="M733" s="20">
        <f t="shared" si="84"/>
        <v>-6.1303342548393314E-2</v>
      </c>
      <c r="AB733" s="20">
        <f t="shared" si="85"/>
        <v>1.0183621945241434</v>
      </c>
    </row>
    <row r="734" spans="1:28">
      <c r="A734" s="18" t="str">
        <f>Analysis!A734</f>
        <v>3/2019</v>
      </c>
      <c r="B734" s="19">
        <f>Analysis!B734</f>
        <v>2019.2083333333333</v>
      </c>
      <c r="C734" s="19">
        <f>Analysis!E734</f>
        <v>1.1699999999999964</v>
      </c>
      <c r="D734" s="20">
        <f>Analysis!F734</f>
        <v>0.55784767624929055</v>
      </c>
      <c r="E734" s="19">
        <f>IF(ENSO!F734="","",ENSO!F734)</f>
        <v>0.87</v>
      </c>
      <c r="F734" s="25">
        <f>IF(Volcanic!G734="","",Volcanic!G734)</f>
        <v>6.9899999999999997E-3</v>
      </c>
      <c r="G734" s="19">
        <f>IF(Solar!D734="","",Solar!D734)</f>
        <v>1360.61</v>
      </c>
      <c r="H734" s="20">
        <f t="shared" si="79"/>
        <v>0.55784767624929055</v>
      </c>
      <c r="I734" s="20">
        <f t="shared" si="80"/>
        <v>0.59665580066417512</v>
      </c>
      <c r="J734" s="25">
        <f t="shared" si="81"/>
        <v>6.7270040981910334E-3</v>
      </c>
      <c r="K734" s="19">
        <f t="shared" si="82"/>
        <v>1360.6857400975334</v>
      </c>
      <c r="L734" s="20">
        <f t="shared" si="83"/>
        <v>1.0303045775324999</v>
      </c>
      <c r="M734" s="20">
        <f t="shared" si="84"/>
        <v>0.13969542246749644</v>
      </c>
      <c r="AB734" s="20">
        <f t="shared" si="85"/>
        <v>1.0268537515075344</v>
      </c>
    </row>
    <row r="735" spans="1:28">
      <c r="A735" s="18" t="str">
        <f>Analysis!A735</f>
        <v>4/2019</v>
      </c>
      <c r="B735" s="19">
        <f>Analysis!B735</f>
        <v>2019.2916666666667</v>
      </c>
      <c r="C735" s="19">
        <f>Analysis!E735</f>
        <v>1.0099999999999998</v>
      </c>
      <c r="D735" s="20">
        <f>Analysis!F735</f>
        <v>0.56260005485176923</v>
      </c>
      <c r="E735" s="19">
        <f>IF(ENSO!F735="","",ENSO!F735)</f>
        <v>0.82</v>
      </c>
      <c r="F735" s="25">
        <f>IF(Volcanic!G735="","",Volcanic!G735)</f>
        <v>6.6E-3</v>
      </c>
      <c r="G735" s="19">
        <f>IF(Solar!D735="","",Solar!D735)</f>
        <v>1360.62</v>
      </c>
      <c r="H735" s="20">
        <f t="shared" si="79"/>
        <v>0.56260005485176923</v>
      </c>
      <c r="I735" s="20">
        <f t="shared" si="80"/>
        <v>0.63094321690189781</v>
      </c>
      <c r="J735" s="25">
        <f t="shared" si="81"/>
        <v>6.7168494111756946E-3</v>
      </c>
      <c r="K735" s="19">
        <f t="shared" si="82"/>
        <v>1360.6804838095529</v>
      </c>
      <c r="L735" s="20">
        <f t="shared" si="83"/>
        <v>1.0480289582259017</v>
      </c>
      <c r="M735" s="20">
        <f t="shared" si="84"/>
        <v>-3.802895822590191E-2</v>
      </c>
      <c r="AB735" s="20">
        <f t="shared" si="85"/>
        <v>1.0441402326750795</v>
      </c>
    </row>
    <row r="736" spans="1:28">
      <c r="A736" s="18" t="str">
        <f>Analysis!A736</f>
        <v>5/2019</v>
      </c>
      <c r="B736" s="19">
        <f>Analysis!B736</f>
        <v>2019.375</v>
      </c>
      <c r="C736" s="19">
        <f>Analysis!E736</f>
        <v>0.86000000000000121</v>
      </c>
      <c r="D736" s="20">
        <f>Analysis!F736</f>
        <v>0.5671977348752254</v>
      </c>
      <c r="E736" s="19">
        <f>IF(ENSO!F736="","",ENSO!F736)</f>
        <v>0.71</v>
      </c>
      <c r="F736" s="25">
        <f>IF(Volcanic!G736="","",Volcanic!G736)</f>
        <v>6.3400000000000001E-3</v>
      </c>
      <c r="G736" s="19">
        <f>IF(Solar!D736="","",Solar!D736)</f>
        <v>1360.63</v>
      </c>
      <c r="H736" s="20">
        <f t="shared" si="79"/>
        <v>0.5671977348752254</v>
      </c>
      <c r="I736" s="20">
        <f t="shared" si="80"/>
        <v>0.64307987787881526</v>
      </c>
      <c r="J736" s="25">
        <f t="shared" si="81"/>
        <v>6.6867181959085475E-3</v>
      </c>
      <c r="K736" s="19">
        <f t="shared" si="82"/>
        <v>1360.6764473470084</v>
      </c>
      <c r="L736" s="20">
        <f t="shared" si="83"/>
        <v>1.062276838782948</v>
      </c>
      <c r="M736" s="20">
        <f t="shared" si="84"/>
        <v>-0.20227683878294678</v>
      </c>
      <c r="AB736" s="20">
        <f t="shared" si="85"/>
        <v>1.0581781877338654</v>
      </c>
    </row>
    <row r="737" spans="1:28">
      <c r="A737" s="18" t="str">
        <f>Analysis!A737</f>
        <v>6/2019</v>
      </c>
      <c r="B737" s="19">
        <f>Analysis!B737</f>
        <v>2019.4583333333333</v>
      </c>
      <c r="C737" s="19">
        <f>Analysis!E737</f>
        <v>0.89999999999999858</v>
      </c>
      <c r="D737" s="20">
        <f>Analysis!F737</f>
        <v>0.56472656147689648</v>
      </c>
      <c r="E737" s="19">
        <f>IF(ENSO!F737="","",ENSO!F737)</f>
        <v>0.59</v>
      </c>
      <c r="F737" s="25">
        <f>IF(Volcanic!G737="","",Volcanic!G737)</f>
        <v>6.28E-3</v>
      </c>
      <c r="G737" s="19">
        <f>IF(Solar!D737="","",Solar!D737)</f>
        <v>1360.71</v>
      </c>
      <c r="H737" s="20">
        <f t="shared" si="79"/>
        <v>0.56472656147689648</v>
      </c>
      <c r="I737" s="20">
        <f t="shared" si="80"/>
        <v>0.63493114658384275</v>
      </c>
      <c r="J737" s="25">
        <f t="shared" si="81"/>
        <v>6.6541988044737741E-3</v>
      </c>
      <c r="K737" s="19">
        <f t="shared" si="82"/>
        <v>1360.679130069019</v>
      </c>
      <c r="L737" s="20">
        <f t="shared" si="83"/>
        <v>1.0545547171849095</v>
      </c>
      <c r="M737" s="20">
        <f t="shared" si="84"/>
        <v>-0.15455471718491087</v>
      </c>
      <c r="AB737" s="20">
        <f t="shared" si="85"/>
        <v>1.0506077373652467</v>
      </c>
    </row>
    <row r="738" spans="1:28">
      <c r="A738" s="18" t="str">
        <f>Analysis!A738</f>
        <v>7/2019</v>
      </c>
      <c r="B738" s="19">
        <f>Analysis!B738</f>
        <v>2019.5416666666667</v>
      </c>
      <c r="C738" s="19">
        <f>Analysis!E738</f>
        <v>0.93999999999999773</v>
      </c>
      <c r="D738" s="20">
        <f>Analysis!F738</f>
        <v>0.55707743595872172</v>
      </c>
      <c r="E738" s="19">
        <f>IF(ENSO!F738="","",ENSO!F738)</f>
        <v>0.38</v>
      </c>
      <c r="F738" s="25">
        <f>IF(Volcanic!G738="","",Volcanic!G738)</f>
        <v>1.026E-2</v>
      </c>
      <c r="G738" s="19">
        <f>IF(Solar!D738="","",Solar!D738)</f>
        <v>1360.68</v>
      </c>
      <c r="H738" s="20">
        <f t="shared" si="79"/>
        <v>0.55707743595872172</v>
      </c>
      <c r="I738" s="20">
        <f t="shared" si="80"/>
        <v>0.59579455668863324</v>
      </c>
      <c r="J738" s="25">
        <f t="shared" si="81"/>
        <v>6.942502749792359E-3</v>
      </c>
      <c r="K738" s="19">
        <f t="shared" si="82"/>
        <v>1360.6791996248598</v>
      </c>
      <c r="L738" s="20">
        <f t="shared" si="83"/>
        <v>1.0273691211929585</v>
      </c>
      <c r="M738" s="20">
        <f t="shared" si="84"/>
        <v>-8.7369121192960808E-2</v>
      </c>
      <c r="AB738" s="20">
        <f t="shared" si="85"/>
        <v>1.0238424379064792</v>
      </c>
    </row>
    <row r="739" spans="1:28">
      <c r="A739" s="18" t="str">
        <f>Analysis!A739</f>
        <v>8/2019</v>
      </c>
      <c r="B739" s="19">
        <f>Analysis!B739</f>
        <v>2019.625</v>
      </c>
      <c r="C739" s="19">
        <f>Analysis!E739</f>
        <v>0.94999999999999751</v>
      </c>
      <c r="D739" s="20">
        <f>Analysis!F739</f>
        <v>0.55079514920632977</v>
      </c>
      <c r="E739" s="19">
        <f>IF(ENSO!F739="","",ENSO!F739)</f>
        <v>0.2</v>
      </c>
      <c r="F739" s="25">
        <f>IF(Volcanic!G739="","",Volcanic!G739)</f>
        <v>1.898E-2</v>
      </c>
      <c r="G739" s="19">
        <f>IF(Solar!D739="","",Solar!D739)</f>
        <v>1360.66</v>
      </c>
      <c r="H739" s="20">
        <f t="shared" si="79"/>
        <v>0.55079514920632977</v>
      </c>
      <c r="I739" s="20">
        <f t="shared" si="80"/>
        <v>0.53503285904811027</v>
      </c>
      <c r="J739" s="25">
        <f t="shared" si="81"/>
        <v>7.9049678888306225E-3</v>
      </c>
      <c r="K739" s="19">
        <f t="shared" si="82"/>
        <v>1360.6776645076152</v>
      </c>
      <c r="L739" s="20">
        <f t="shared" si="83"/>
        <v>0.99854092869583666</v>
      </c>
      <c r="M739" s="20">
        <f t="shared" si="84"/>
        <v>-4.8540928695839147E-2</v>
      </c>
      <c r="AB739" s="20">
        <f t="shared" si="85"/>
        <v>0.99529350321622023</v>
      </c>
    </row>
    <row r="740" spans="1:28">
      <c r="A740" s="18" t="str">
        <f>Analysis!A740</f>
        <v>9/2019</v>
      </c>
      <c r="B740" s="19">
        <f>Analysis!B740</f>
        <v>2019.7083333333333</v>
      </c>
      <c r="C740" s="19">
        <f>Analysis!E740</f>
        <v>0.92999999999999794</v>
      </c>
      <c r="D740" s="20">
        <f>Analysis!F740</f>
        <v>0.54582719830025894</v>
      </c>
      <c r="E740" s="19">
        <f>IF(ENSO!F740="","",ENSO!F740)</f>
        <v>0.31</v>
      </c>
      <c r="F740" s="25">
        <f>IF(Volcanic!G740="","",Volcanic!G740)</f>
        <v>1.9550000000000001E-2</v>
      </c>
      <c r="G740" s="19">
        <f>IF(Solar!D740="","",Solar!D740)</f>
        <v>1360.63</v>
      </c>
      <c r="H740" s="20">
        <f t="shared" si="79"/>
        <v>0.54582719830025894</v>
      </c>
      <c r="I740" s="20">
        <f t="shared" si="80"/>
        <v>0.50048620268411081</v>
      </c>
      <c r="J740" s="25">
        <f t="shared" si="81"/>
        <v>8.836053247939497E-3</v>
      </c>
      <c r="K740" s="19">
        <f t="shared" si="82"/>
        <v>1360.6738534640076</v>
      </c>
      <c r="L740" s="20">
        <f t="shared" si="83"/>
        <v>0.97707287329306791</v>
      </c>
      <c r="M740" s="20">
        <f t="shared" si="84"/>
        <v>-4.7072873293069972E-2</v>
      </c>
      <c r="AB740" s="20">
        <f t="shared" si="85"/>
        <v>0.97383476972016447</v>
      </c>
    </row>
    <row r="741" spans="1:28">
      <c r="A741" s="18" t="str">
        <f>Analysis!A741</f>
        <v>10/2019</v>
      </c>
      <c r="B741" s="19">
        <f>Analysis!B741</f>
        <v>2019.7916666666667</v>
      </c>
      <c r="C741" s="19">
        <f>Analysis!E741</f>
        <v>1</v>
      </c>
      <c r="D741" s="20">
        <f>Analysis!F741</f>
        <v>0.54575660771720447</v>
      </c>
      <c r="E741" s="19">
        <f>IF(ENSO!F741="","",ENSO!F741)</f>
        <v>0.51</v>
      </c>
      <c r="F741" s="25">
        <f>IF(Volcanic!G741="","",Volcanic!G741)</f>
        <v>1.9689999999999999E-2</v>
      </c>
      <c r="G741" s="19">
        <f>IF(Solar!D741="","",Solar!D741)</f>
        <v>1360.66</v>
      </c>
      <c r="H741" s="20">
        <f t="shared" si="79"/>
        <v>0.54575660771720447</v>
      </c>
      <c r="I741" s="20">
        <f t="shared" si="80"/>
        <v>0.50194674443778642</v>
      </c>
      <c r="J741" s="25">
        <f t="shared" si="81"/>
        <v>9.70388691408265E-3</v>
      </c>
      <c r="K741" s="19">
        <f t="shared" si="82"/>
        <v>1360.6727458021835</v>
      </c>
      <c r="L741" s="20">
        <f t="shared" si="83"/>
        <v>0.9741440768213262</v>
      </c>
      <c r="M741" s="20">
        <f t="shared" si="84"/>
        <v>2.5855923178673801E-2</v>
      </c>
      <c r="AB741" s="20">
        <f t="shared" si="85"/>
        <v>0.97048249485420224</v>
      </c>
    </row>
    <row r="742" spans="1:28">
      <c r="A742" s="18" t="str">
        <f>Analysis!A742</f>
        <v>11/2019</v>
      </c>
      <c r="B742" s="19">
        <f>Analysis!B742</f>
        <v>2019.875</v>
      </c>
      <c r="C742" s="19">
        <f>Analysis!E742</f>
        <v>0.99000000000000021</v>
      </c>
      <c r="D742" s="20">
        <f>Analysis!F742</f>
        <v>0.55184995650684376</v>
      </c>
      <c r="E742" s="19">
        <f>IF(ENSO!F742="","",ENSO!F742)</f>
        <v>0.72</v>
      </c>
      <c r="F742" s="25">
        <f>IF(Volcanic!G742="","",Volcanic!G742)</f>
        <v>1.771E-2</v>
      </c>
      <c r="G742" s="19">
        <f>IF(Solar!D742="","",Solar!D742)</f>
        <v>1360.69</v>
      </c>
      <c r="H742" s="20">
        <f t="shared" si="79"/>
        <v>0.55184995650684376</v>
      </c>
      <c r="I742" s="20">
        <f t="shared" si="80"/>
        <v>0.53542190411368351</v>
      </c>
      <c r="J742" s="25">
        <f t="shared" si="81"/>
        <v>1.0344020372411005E-2</v>
      </c>
      <c r="K742" s="19">
        <f t="shared" si="82"/>
        <v>1360.67412537167</v>
      </c>
      <c r="L742" s="20">
        <f t="shared" si="83"/>
        <v>0.99317402417354139</v>
      </c>
      <c r="M742" s="20">
        <f t="shared" si="84"/>
        <v>-3.1740241735411789E-3</v>
      </c>
      <c r="AB742" s="20">
        <f t="shared" si="85"/>
        <v>0.98874345558250609</v>
      </c>
    </row>
    <row r="743" spans="1:28">
      <c r="A743" s="18" t="str">
        <f>Analysis!A743</f>
        <v>12/2019</v>
      </c>
      <c r="B743" s="19">
        <f>Analysis!B743</f>
        <v>2019.9583333333333</v>
      </c>
      <c r="C743" s="19">
        <f>Analysis!E743</f>
        <v>1.120000000000001</v>
      </c>
      <c r="D743" s="20">
        <f>Analysis!F743</f>
        <v>0.55711245580363478</v>
      </c>
      <c r="E743" s="19">
        <f>IF(ENSO!F743="","",ENSO!F743)</f>
        <v>0.75</v>
      </c>
      <c r="F743" s="25">
        <f>IF(Volcanic!G743="","",Volcanic!G743)</f>
        <v>1.494E-2</v>
      </c>
      <c r="G743" s="19">
        <f>IF(Solar!D743="","",Solar!D743)</f>
        <v>1360.67</v>
      </c>
      <c r="H743" s="20">
        <f t="shared" si="79"/>
        <v>0.55711245580363478</v>
      </c>
      <c r="I743" s="20">
        <f t="shared" si="80"/>
        <v>0.56836356327040727</v>
      </c>
      <c r="J743" s="25">
        <f t="shared" si="81"/>
        <v>1.0711494613886588E-2</v>
      </c>
      <c r="K743" s="19">
        <f t="shared" si="82"/>
        <v>1360.6737955251633</v>
      </c>
      <c r="L743" s="20">
        <f t="shared" si="83"/>
        <v>1.0108068851288374</v>
      </c>
      <c r="M743" s="20">
        <f t="shared" si="84"/>
        <v>0.10919311487116357</v>
      </c>
      <c r="AB743" s="20">
        <f t="shared" si="85"/>
        <v>1.0057608501931961</v>
      </c>
    </row>
    <row r="744" spans="1:28">
      <c r="A744" s="18" t="str">
        <f>Analysis!A744</f>
        <v>1/2020</v>
      </c>
      <c r="B744" s="19">
        <f>Analysis!B744</f>
        <v>2020.0416666666667</v>
      </c>
      <c r="C744" s="19">
        <f>Analysis!E744</f>
        <v>1.1799999999999997</v>
      </c>
      <c r="D744" s="20">
        <f>Analysis!F744</f>
        <v>0.56277447665277325</v>
      </c>
      <c r="E744" s="19">
        <f>IF(ENSO!F744="","",ENSO!F744)</f>
        <v>0.71</v>
      </c>
      <c r="F744" s="25">
        <f>IF(Volcanic!G744="","",Volcanic!G744)</f>
        <v>1.8069999999999999E-2</v>
      </c>
      <c r="G744" s="19">
        <f>IF(Solar!D744="","",Solar!D744)</f>
        <v>1360.65</v>
      </c>
      <c r="H744" s="20">
        <f t="shared" si="79"/>
        <v>0.56277447665277325</v>
      </c>
      <c r="I744" s="20">
        <f t="shared" si="80"/>
        <v>0.590107344729774</v>
      </c>
      <c r="J744" s="25">
        <f t="shared" si="81"/>
        <v>1.1299848219486562E-2</v>
      </c>
      <c r="K744" s="19">
        <f t="shared" si="82"/>
        <v>1360.6718929400197</v>
      </c>
      <c r="L744" s="20">
        <f t="shared" si="83"/>
        <v>1.0271905600070352</v>
      </c>
      <c r="M744" s="20">
        <f t="shared" si="84"/>
        <v>0.15280943999296448</v>
      </c>
      <c r="AB744" s="20">
        <f t="shared" si="85"/>
        <v>1.021523874139368</v>
      </c>
    </row>
    <row r="745" spans="1:28">
      <c r="A745" s="18" t="str">
        <f>Analysis!A745</f>
        <v>2/2020</v>
      </c>
      <c r="B745" s="19">
        <f>Analysis!B745</f>
        <v>2020.125</v>
      </c>
      <c r="C745" s="19">
        <f>Analysis!E745</f>
        <v>1.240000000000002</v>
      </c>
      <c r="D745" s="20">
        <f>Analysis!F745</f>
        <v>0.5653186364111572</v>
      </c>
      <c r="E745" s="19">
        <f>IF(ENSO!F745="","",ENSO!F745)</f>
        <v>0.66</v>
      </c>
      <c r="F745" s="25">
        <f>IF(Volcanic!G745="","",Volcanic!G745)</f>
        <v>2.5749999999999999E-2</v>
      </c>
      <c r="G745" s="19">
        <f>IF(Solar!D745="","",Solar!D745)</f>
        <v>1360.62</v>
      </c>
      <c r="H745" s="20">
        <f t="shared" si="79"/>
        <v>0.5653186364111572</v>
      </c>
      <c r="I745" s="20">
        <f t="shared" si="80"/>
        <v>0.60083714460967397</v>
      </c>
      <c r="J745" s="25">
        <f t="shared" si="81"/>
        <v>1.245521856379264E-2</v>
      </c>
      <c r="K745" s="19">
        <f t="shared" si="82"/>
        <v>1360.6677438096237</v>
      </c>
      <c r="L745" s="20">
        <f t="shared" si="83"/>
        <v>1.0316651568264417</v>
      </c>
      <c r="M745" s="20">
        <f t="shared" si="84"/>
        <v>0.20833484317356032</v>
      </c>
      <c r="AB745" s="20">
        <f t="shared" si="85"/>
        <v>1.0252883681188008</v>
      </c>
    </row>
    <row r="746" spans="1:28">
      <c r="A746" s="18" t="str">
        <f>Analysis!A746</f>
        <v>3/2020</v>
      </c>
      <c r="B746" s="19">
        <f>Analysis!B746</f>
        <v>2020.2083333333333</v>
      </c>
      <c r="C746" s="19">
        <f>Analysis!E746</f>
        <v>1.1799999999999997</v>
      </c>
      <c r="D746" s="20">
        <f>Analysis!F746</f>
        <v>0.56671079616493381</v>
      </c>
      <c r="E746" s="19">
        <f>IF(ENSO!F746="","",ENSO!F746)</f>
        <v>0.56999999999999995</v>
      </c>
      <c r="F746" s="25">
        <f>IF(Volcanic!G746="","",Volcanic!G746)</f>
        <v>1.8339999999999999E-2</v>
      </c>
      <c r="G746" s="19">
        <f>IF(Solar!D746="","",Solar!D746)</f>
        <v>1360.64</v>
      </c>
      <c r="H746" s="20">
        <f t="shared" si="79"/>
        <v>0.56671079616493381</v>
      </c>
      <c r="I746" s="20">
        <f t="shared" si="80"/>
        <v>0.59610307935989804</v>
      </c>
      <c r="J746" s="25">
        <f t="shared" si="81"/>
        <v>1.292573970830309E-2</v>
      </c>
      <c r="K746" s="19">
        <f t="shared" si="82"/>
        <v>1360.6655255370847</v>
      </c>
      <c r="L746" s="20">
        <f t="shared" si="83"/>
        <v>1.033165537228482</v>
      </c>
      <c r="M746" s="20">
        <f t="shared" si="84"/>
        <v>0.14683446277151768</v>
      </c>
      <c r="AB746" s="20">
        <f t="shared" si="85"/>
        <v>1.0265796547158652</v>
      </c>
    </row>
    <row r="747" spans="1:28">
      <c r="A747" s="18" t="str">
        <f>Analysis!A747</f>
        <v>4/2020</v>
      </c>
      <c r="B747" s="19">
        <f>Analysis!B747</f>
        <v>2020.2916666666667</v>
      </c>
      <c r="C747" s="19">
        <f>Analysis!E747</f>
        <v>1.120000000000001</v>
      </c>
      <c r="D747" s="20">
        <f>Analysis!F747</f>
        <v>0.57261253351296471</v>
      </c>
      <c r="E747" s="19">
        <f>IF(ENSO!F747="","",ENSO!F747)</f>
        <v>0.33</v>
      </c>
      <c r="F747" s="25">
        <f>IF(Volcanic!G747="","",Volcanic!G747)</f>
        <v>1.528E-2</v>
      </c>
      <c r="G747" s="19">
        <f>IF(Solar!D747="","",Solar!D747)</f>
        <v>1360.68</v>
      </c>
      <c r="H747" s="20">
        <f t="shared" si="79"/>
        <v>0.57261253351296471</v>
      </c>
      <c r="I747" s="20">
        <f t="shared" si="80"/>
        <v>0.55525139361527043</v>
      </c>
      <c r="J747" s="25">
        <f t="shared" si="81"/>
        <v>1.3113975968040656E-2</v>
      </c>
      <c r="K747" s="19">
        <f t="shared" si="82"/>
        <v>1360.66668285124</v>
      </c>
      <c r="L747" s="20">
        <f t="shared" si="83"/>
        <v>1.0427212632753782</v>
      </c>
      <c r="M747" s="20">
        <f t="shared" si="84"/>
        <v>7.7278736724622821E-2</v>
      </c>
      <c r="AB747" s="20">
        <f t="shared" si="85"/>
        <v>1.0363060236980326</v>
      </c>
    </row>
    <row r="748" spans="1:28">
      <c r="A748" s="18" t="str">
        <f>Analysis!A748</f>
        <v>5/2020</v>
      </c>
      <c r="B748" s="19">
        <f>Analysis!B748</f>
        <v>2020.375</v>
      </c>
      <c r="C748" s="19">
        <f>Analysis!E748</f>
        <v>0.99000000000000021</v>
      </c>
      <c r="D748" s="20">
        <f>Analysis!F748</f>
        <v>0.57558894751138634</v>
      </c>
      <c r="E748" s="19">
        <f>IF(ENSO!F748="","",ENSO!F748)</f>
        <v>0.04</v>
      </c>
      <c r="F748" s="25">
        <f>IF(Volcanic!G748="","",Volcanic!G748)</f>
        <v>1.337E-2</v>
      </c>
      <c r="G748" s="19">
        <f>IF(Solar!D748="","",Solar!D748)</f>
        <v>1360.74</v>
      </c>
      <c r="H748" s="20">
        <f t="shared" si="79"/>
        <v>0.57558894751138634</v>
      </c>
      <c r="I748" s="20">
        <f t="shared" si="80"/>
        <v>0.4761508884197469</v>
      </c>
      <c r="J748" s="25">
        <f t="shared" si="81"/>
        <v>1.3134446519384927E-2</v>
      </c>
      <c r="K748" s="19">
        <f t="shared" si="82"/>
        <v>1360.672544966787</v>
      </c>
      <c r="L748" s="20">
        <f t="shared" si="83"/>
        <v>1.0395378201236618</v>
      </c>
      <c r="M748" s="20">
        <f t="shared" si="84"/>
        <v>-4.9537820123661591E-2</v>
      </c>
      <c r="AB748" s="20">
        <f t="shared" si="85"/>
        <v>1.0338115177304197</v>
      </c>
    </row>
    <row r="749" spans="1:28">
      <c r="A749" s="18" t="str">
        <f>Analysis!A749</f>
        <v>6/2020</v>
      </c>
      <c r="B749" s="19">
        <f>Analysis!B749</f>
        <v>2020.4583333333333</v>
      </c>
      <c r="C749" s="19">
        <f>Analysis!E749</f>
        <v>0.91000000000000014</v>
      </c>
      <c r="D749" s="20">
        <f>Analysis!F749</f>
        <v>0.57316675010211449</v>
      </c>
      <c r="E749" s="19">
        <f>IF(ENSO!F749="","",ENSO!F749)</f>
        <v>-0.18</v>
      </c>
      <c r="F749" s="25">
        <f>IF(Volcanic!G749="","",Volcanic!G749)</f>
        <v>1.159E-2</v>
      </c>
      <c r="G749" s="19">
        <f>IF(Solar!D749="","",Solar!D749)</f>
        <v>1360.75</v>
      </c>
      <c r="H749" s="20">
        <f t="shared" si="79"/>
        <v>0.57316675010211449</v>
      </c>
      <c r="I749" s="20">
        <f t="shared" si="80"/>
        <v>0.37541973581805621</v>
      </c>
      <c r="J749" s="25">
        <f t="shared" si="81"/>
        <v>1.3010959393853801E-2</v>
      </c>
      <c r="K749" s="19">
        <f t="shared" si="82"/>
        <v>1360.6787379293075</v>
      </c>
      <c r="L749" s="20">
        <f t="shared" si="83"/>
        <v>1.019191413409291</v>
      </c>
      <c r="M749" s="20">
        <f t="shared" si="84"/>
        <v>-0.10919141340929084</v>
      </c>
      <c r="AB749" s="20">
        <f t="shared" si="85"/>
        <v>1.0145570715203971</v>
      </c>
    </row>
    <row r="750" spans="1:28">
      <c r="A750" s="18" t="str">
        <f>Analysis!A750</f>
        <v>7/2020</v>
      </c>
      <c r="B750" s="19">
        <f>Analysis!B750</f>
        <v>2020.5416666666667</v>
      </c>
      <c r="C750" s="19">
        <f>Analysis!E750</f>
        <v>0.8900000000000059</v>
      </c>
      <c r="D750" s="20">
        <f>Analysis!F750</f>
        <v>0.56622369304750153</v>
      </c>
      <c r="E750" s="19">
        <f>IF(ENSO!F750="","",ENSO!F750)</f>
        <v>-0.28999999999999998</v>
      </c>
      <c r="F750" s="25">
        <f>IF(Volcanic!G750="","",Volcanic!G750)</f>
        <v>1.061E-2</v>
      </c>
      <c r="G750" s="19">
        <f>IF(Solar!D750="","",Solar!D750)</f>
        <v>1360.73</v>
      </c>
      <c r="H750" s="20">
        <f t="shared" si="79"/>
        <v>0.56622369304750153</v>
      </c>
      <c r="I750" s="20">
        <f t="shared" si="80"/>
        <v>0.27326564575152501</v>
      </c>
      <c r="J750" s="25">
        <f t="shared" si="81"/>
        <v>1.2818989280066995E-2</v>
      </c>
      <c r="K750" s="19">
        <f t="shared" si="82"/>
        <v>1360.6828366181771</v>
      </c>
      <c r="L750" s="20">
        <f t="shared" si="83"/>
        <v>0.98665132963944013</v>
      </c>
      <c r="M750" s="20">
        <f t="shared" si="84"/>
        <v>-9.6651329639434236E-2</v>
      </c>
      <c r="AB750" s="20">
        <f t="shared" si="85"/>
        <v>0.98325983411989604</v>
      </c>
    </row>
    <row r="751" spans="1:28">
      <c r="A751" s="18" t="str">
        <f>Analysis!A751</f>
        <v>8/2020</v>
      </c>
      <c r="B751" s="19">
        <f>Analysis!B751</f>
        <v>2020.625</v>
      </c>
      <c r="C751" s="19">
        <f>Analysis!E751</f>
        <v>0.86000000000000121</v>
      </c>
      <c r="D751" s="20">
        <f>Analysis!F751</f>
        <v>0.55984138796829153</v>
      </c>
      <c r="E751" s="19">
        <f>IF(ENSO!F751="","",ENSO!F751)</f>
        <v>-0.43</v>
      </c>
      <c r="F751" s="25">
        <f>IF(Volcanic!G751="","",Volcanic!G751)</f>
        <v>1.0070000000000001E-2</v>
      </c>
      <c r="G751" s="19">
        <f>IF(Solar!D751="","",Solar!D751)</f>
        <v>1360.81</v>
      </c>
      <c r="H751" s="20">
        <f t="shared" si="79"/>
        <v>0.55984138796829153</v>
      </c>
      <c r="I751" s="20">
        <f t="shared" si="80"/>
        <v>0.16530151687206251</v>
      </c>
      <c r="J751" s="25">
        <f t="shared" si="81"/>
        <v>1.2599192233001523E-2</v>
      </c>
      <c r="K751" s="19">
        <f t="shared" si="82"/>
        <v>1360.6930040408083</v>
      </c>
      <c r="L751" s="20">
        <f t="shared" si="83"/>
        <v>0.95490209790368585</v>
      </c>
      <c r="M751" s="20">
        <f t="shared" si="84"/>
        <v>-9.4902097903684646E-2</v>
      </c>
      <c r="AB751" s="20">
        <f t="shared" si="85"/>
        <v>0.95281002108844826</v>
      </c>
    </row>
    <row r="752" spans="1:28">
      <c r="A752" s="18" t="str">
        <f>Analysis!A752</f>
        <v>9/2020</v>
      </c>
      <c r="B752" s="19">
        <f>Analysis!B752</f>
        <v>2020.7083333333333</v>
      </c>
      <c r="C752" s="19">
        <f>Analysis!E752</f>
        <v>0.95999999999999908</v>
      </c>
      <c r="D752" s="20">
        <f>Analysis!F752</f>
        <v>0.5554656034766593</v>
      </c>
      <c r="E752" s="19">
        <f>IF(ENSO!F752="","",ENSO!F752)</f>
        <v>-0.77</v>
      </c>
      <c r="F752" s="25">
        <f>IF(Volcanic!G752="","",Volcanic!G752)</f>
        <v>1.0240000000000001E-2</v>
      </c>
      <c r="G752" s="19">
        <f>IF(Solar!D752="","",Solar!D752)</f>
        <v>1360.76</v>
      </c>
      <c r="H752" s="20">
        <f t="shared" si="79"/>
        <v>0.5554656034766593</v>
      </c>
      <c r="I752" s="20">
        <f t="shared" si="80"/>
        <v>2.1715641294671309E-2</v>
      </c>
      <c r="J752" s="25">
        <f t="shared" si="81"/>
        <v>1.2410561637009933E-2</v>
      </c>
      <c r="K752" s="19">
        <f t="shared" si="82"/>
        <v>1360.6983607419429</v>
      </c>
      <c r="L752" s="20">
        <f t="shared" si="83"/>
        <v>0.9234461428213947</v>
      </c>
      <c r="M752" s="20">
        <f t="shared" si="84"/>
        <v>3.6553857178604376E-2</v>
      </c>
      <c r="AB752" s="20">
        <f t="shared" si="85"/>
        <v>0.92293792462232704</v>
      </c>
    </row>
    <row r="753" spans="1:28">
      <c r="A753" s="18" t="str">
        <f>Analysis!A753</f>
        <v>10/2020</v>
      </c>
      <c r="B753" s="19">
        <f>Analysis!B753</f>
        <v>2020.7916666666667</v>
      </c>
      <c r="C753" s="19">
        <f>Analysis!E753</f>
        <v>0.86999999999999744</v>
      </c>
      <c r="D753" s="20">
        <f>Analysis!F753</f>
        <v>0.55543054363289546</v>
      </c>
      <c r="E753" s="19">
        <f>IF(ENSO!F753="","",ENSO!F753)</f>
        <v>-1</v>
      </c>
      <c r="F753" s="25">
        <f>IF(Volcanic!G753="","",Volcanic!G753)</f>
        <v>1.022E-2</v>
      </c>
      <c r="G753" s="19">
        <f>IF(Solar!D753="","",Solar!D753)</f>
        <v>1360.8</v>
      </c>
      <c r="H753" s="20">
        <f t="shared" si="79"/>
        <v>0.55543054363289546</v>
      </c>
      <c r="I753" s="20">
        <f t="shared" si="80"/>
        <v>-0.13513638160916666</v>
      </c>
      <c r="J753" s="25">
        <f t="shared" si="81"/>
        <v>1.2235413999032257E-2</v>
      </c>
      <c r="K753" s="19">
        <f t="shared" si="82"/>
        <v>1360.7064873683175</v>
      </c>
      <c r="L753" s="20">
        <f t="shared" si="83"/>
        <v>0.90181039135844776</v>
      </c>
      <c r="M753" s="20">
        <f t="shared" si="84"/>
        <v>-3.1810391358450318E-2</v>
      </c>
      <c r="AB753" s="20">
        <f t="shared" si="85"/>
        <v>0.90290789100998903</v>
      </c>
    </row>
    <row r="754" spans="1:28">
      <c r="A754" s="18" t="str">
        <f>Analysis!A754</f>
        <v>11/2020</v>
      </c>
      <c r="B754" s="19">
        <f>Analysis!B754</f>
        <v>2020.875</v>
      </c>
      <c r="C754" s="19">
        <f>Analysis!E754</f>
        <v>1.0899999999999999</v>
      </c>
      <c r="D754" s="20">
        <f>Analysis!F754</f>
        <v>0.56106423302379171</v>
      </c>
      <c r="E754" s="19">
        <f>IF(ENSO!F754="","",ENSO!F754)</f>
        <v>-1.1100000000000001</v>
      </c>
      <c r="F754" s="25">
        <f>IF(Volcanic!G754="","",Volcanic!G754)</f>
        <v>1.0319999999999999E-2</v>
      </c>
      <c r="G754" s="19">
        <f>IF(Solar!D754="","",Solar!D754)</f>
        <v>1360.8</v>
      </c>
      <c r="H754" s="20">
        <f t="shared" si="79"/>
        <v>0.56106423302379171</v>
      </c>
      <c r="I754" s="20">
        <f t="shared" si="80"/>
        <v>-0.28479576277142199</v>
      </c>
      <c r="J754" s="25">
        <f t="shared" si="81"/>
        <v>1.2082265951512444E-2</v>
      </c>
      <c r="K754" s="19">
        <f t="shared" si="82"/>
        <v>1360.7139642255233</v>
      </c>
      <c r="L754" s="20">
        <f t="shared" si="83"/>
        <v>0.89644432567762478</v>
      </c>
      <c r="M754" s="20">
        <f t="shared" si="84"/>
        <v>0.19355567432237508</v>
      </c>
      <c r="AB754" s="20">
        <f t="shared" si="85"/>
        <v>0.89893611189172484</v>
      </c>
    </row>
    <row r="755" spans="1:28">
      <c r="A755" s="18" t="str">
        <f>Analysis!A755</f>
        <v>12/2020</v>
      </c>
      <c r="B755" s="19">
        <f>Analysis!B755</f>
        <v>2020.9583333333333</v>
      </c>
      <c r="C755" s="19">
        <f>Analysis!E755</f>
        <v>0.79999999999999893</v>
      </c>
      <c r="D755" s="20">
        <f>Analysis!F755</f>
        <v>0.56500521524359781</v>
      </c>
      <c r="E755" s="19">
        <f>IF(ENSO!F755="","",ENSO!F755)</f>
        <v>-1.06</v>
      </c>
      <c r="F755" s="25">
        <f>IF(Volcanic!G755="","",Volcanic!G755)</f>
        <v>9.7000000000000003E-3</v>
      </c>
      <c r="G755" s="19">
        <f>IF(Solar!D755="","",Solar!D755)</f>
        <v>1361</v>
      </c>
      <c r="H755" s="20">
        <f t="shared" si="79"/>
        <v>0.56500521524359781</v>
      </c>
      <c r="I755" s="20">
        <f t="shared" si="80"/>
        <v>-0.40380378012824047</v>
      </c>
      <c r="J755" s="25">
        <f t="shared" si="81"/>
        <v>1.1891790482850634E-2</v>
      </c>
      <c r="K755" s="19">
        <f t="shared" si="82"/>
        <v>1360.7368343833084</v>
      </c>
      <c r="L755" s="20">
        <f t="shared" si="83"/>
        <v>0.89095306446951683</v>
      </c>
      <c r="M755" s="20">
        <f t="shared" si="84"/>
        <v>-9.0953064469517897E-2</v>
      </c>
      <c r="AB755" s="20">
        <f t="shared" si="85"/>
        <v>0.89459857915854601</v>
      </c>
    </row>
    <row r="756" spans="1:28">
      <c r="A756" s="18" t="str">
        <f>Analysis!A756</f>
        <v>1/2021</v>
      </c>
      <c r="B756" s="19">
        <f>Analysis!B756</f>
        <v>2021.0416666666667</v>
      </c>
      <c r="C756" s="19">
        <f>Analysis!E756</f>
        <v>0.82000000000000028</v>
      </c>
      <c r="D756" s="20">
        <f>Analysis!F756</f>
        <v>0.56938692750523079</v>
      </c>
      <c r="E756" s="19">
        <f>IF(ENSO!F756="","",ENSO!F756)</f>
        <v>-0.99</v>
      </c>
      <c r="F756" s="25">
        <f>IF(Volcanic!G756="","",Volcanic!G756)</f>
        <v>8.9800000000000001E-3</v>
      </c>
      <c r="G756" s="19">
        <f>IF(Solar!D756="","",Solar!D756)</f>
        <v>1360.9</v>
      </c>
      <c r="H756" s="20">
        <f t="shared" si="79"/>
        <v>0.56938692750523079</v>
      </c>
      <c r="I756" s="20">
        <f t="shared" si="80"/>
        <v>-0.49379561267859529</v>
      </c>
      <c r="J756" s="25">
        <f t="shared" si="81"/>
        <v>1.1658976570317546E-2</v>
      </c>
      <c r="K756" s="19">
        <f t="shared" si="82"/>
        <v>1360.7498803857034</v>
      </c>
      <c r="L756" s="20">
        <f t="shared" si="83"/>
        <v>0.890892034330516</v>
      </c>
      <c r="M756" s="20">
        <f t="shared" si="84"/>
        <v>-7.0892034330515719E-2</v>
      </c>
      <c r="AB756" s="20">
        <f t="shared" si="85"/>
        <v>0.89541957320861942</v>
      </c>
    </row>
    <row r="757" spans="1:28">
      <c r="A757" s="18" t="str">
        <f>Analysis!A757</f>
        <v>2/2021</v>
      </c>
      <c r="B757" s="19">
        <f>Analysis!B757</f>
        <v>2021.125</v>
      </c>
      <c r="C757" s="19">
        <f>Analysis!E757</f>
        <v>0.64000000000000234</v>
      </c>
      <c r="D757" s="20">
        <f>Analysis!F757</f>
        <v>0.57365151503101131</v>
      </c>
      <c r="E757" s="19">
        <f>IF(ENSO!F757="","",ENSO!F757)</f>
        <v>-0.85</v>
      </c>
      <c r="F757" s="25">
        <f>IF(Volcanic!G757="","",Volcanic!G757)</f>
        <v>8.4200000000000004E-3</v>
      </c>
      <c r="G757" s="19">
        <f>IF(Solar!D757="","",Solar!D757)</f>
        <v>1360.79</v>
      </c>
      <c r="H757" s="20">
        <f t="shared" si="79"/>
        <v>0.57365151503101131</v>
      </c>
      <c r="I757" s="20">
        <f t="shared" si="80"/>
        <v>-0.54847949580657285</v>
      </c>
      <c r="J757" s="25">
        <f t="shared" si="81"/>
        <v>1.14000023026359E-2</v>
      </c>
      <c r="K757" s="19">
        <f t="shared" si="82"/>
        <v>1360.7530881729492</v>
      </c>
      <c r="L757" s="20">
        <f t="shared" si="83"/>
        <v>0.89558571665957487</v>
      </c>
      <c r="M757" s="20">
        <f t="shared" si="84"/>
        <v>-0.25558571665957253</v>
      </c>
      <c r="AB757" s="20">
        <f t="shared" si="85"/>
        <v>0.90066777776264739</v>
      </c>
    </row>
    <row r="758" spans="1:28">
      <c r="A758" s="18" t="str">
        <f>Analysis!A758</f>
        <v>3/2021</v>
      </c>
      <c r="B758" s="19">
        <f>Analysis!B758</f>
        <v>2021.2083333333333</v>
      </c>
      <c r="C758" s="19">
        <f>Analysis!E758</f>
        <v>0.8900000000000059</v>
      </c>
      <c r="D758" s="20">
        <f>Analysis!F758</f>
        <v>0.57672943161896173</v>
      </c>
      <c r="E758" s="19">
        <f>IF(ENSO!F758="","",ENSO!F758)</f>
        <v>-0.74</v>
      </c>
      <c r="F758" s="25">
        <f>IF(Volcanic!G758="","",Volcanic!G758)</f>
        <v>8.0099999999999998E-3</v>
      </c>
      <c r="G758" s="19">
        <f>IF(Solar!D758="","",Solar!D758)</f>
        <v>1360.86</v>
      </c>
      <c r="H758" s="20">
        <f t="shared" si="79"/>
        <v>0.57672943161896173</v>
      </c>
      <c r="I758" s="20">
        <f t="shared" si="80"/>
        <v>-0.57788139325842769</v>
      </c>
      <c r="J758" s="25">
        <f t="shared" si="81"/>
        <v>1.1128952684120706E-2</v>
      </c>
      <c r="K758" s="19">
        <f t="shared" si="82"/>
        <v>1360.7616363706643</v>
      </c>
      <c r="L758" s="20">
        <f t="shared" si="83"/>
        <v>0.90067921700163345</v>
      </c>
      <c r="M758" s="20">
        <f t="shared" si="84"/>
        <v>-1.067921700162755E-2</v>
      </c>
      <c r="AB758" s="20">
        <f t="shared" si="85"/>
        <v>0.90610367112062618</v>
      </c>
    </row>
    <row r="759" spans="1:28">
      <c r="A759" s="18" t="str">
        <f>Analysis!A759</f>
        <v>4/2021</v>
      </c>
      <c r="B759" s="19">
        <f>Analysis!B759</f>
        <v>2021.2916666666667</v>
      </c>
      <c r="C759" s="19">
        <f>Analysis!E759</f>
        <v>0.75999999999999801</v>
      </c>
      <c r="D759" s="20">
        <f>Analysis!F759</f>
        <v>0.58155784820606116</v>
      </c>
      <c r="E759" s="19">
        <f>IF(ENSO!F759="","",ENSO!F759)</f>
        <v>-0.56000000000000005</v>
      </c>
      <c r="F759" s="25">
        <f>IF(Volcanic!G759="","",Volcanic!G759)</f>
        <v>8.6199999999999992E-3</v>
      </c>
      <c r="G759" s="19">
        <f>IF(Solar!D759="","",Solar!D759)</f>
        <v>1360.86</v>
      </c>
      <c r="H759" s="20">
        <f t="shared" si="79"/>
        <v>0.58155784820606116</v>
      </c>
      <c r="I759" s="20">
        <f t="shared" si="80"/>
        <v>-0.57513627260884126</v>
      </c>
      <c r="J759" s="25">
        <f t="shared" si="81"/>
        <v>1.0928347903594503E-2</v>
      </c>
      <c r="K759" s="19">
        <f t="shared" si="82"/>
        <v>1360.7695010922271</v>
      </c>
      <c r="L759" s="20">
        <f t="shared" si="83"/>
        <v>0.91480401689486068</v>
      </c>
      <c r="M759" s="20">
        <f t="shared" si="84"/>
        <v>-0.15480401689486267</v>
      </c>
      <c r="AB759" s="20">
        <f t="shared" si="85"/>
        <v>0.92018505592918964</v>
      </c>
    </row>
    <row r="760" spans="1:28">
      <c r="A760" s="18" t="str">
        <f>Analysis!A760</f>
        <v>5/2021</v>
      </c>
      <c r="B760" s="19">
        <f>Analysis!B760</f>
        <v>2021.375</v>
      </c>
      <c r="C760" s="19">
        <f>Analysis!E760</f>
        <v>0.79000000000000092</v>
      </c>
      <c r="D760" s="20">
        <f>Analysis!F760</f>
        <v>0.58183327024071485</v>
      </c>
      <c r="E760" s="19">
        <f>IF(ENSO!F760="","",ENSO!F760)</f>
        <v>-0.4</v>
      </c>
      <c r="F760" s="25">
        <f>IF(Volcanic!G760="","",Volcanic!G760)</f>
        <v>1.023E-2</v>
      </c>
      <c r="G760" s="19">
        <f>IF(Solar!D760="","",Solar!D760)</f>
        <v>1360.91</v>
      </c>
      <c r="H760" s="20">
        <f t="shared" si="79"/>
        <v>0.58183327024071485</v>
      </c>
      <c r="I760" s="20">
        <f t="shared" si="80"/>
        <v>-0.54824965412884474</v>
      </c>
      <c r="J760" s="25">
        <f t="shared" si="81"/>
        <v>1.0872511088170219E-2</v>
      </c>
      <c r="K760" s="19">
        <f t="shared" si="82"/>
        <v>1360.7807347646421</v>
      </c>
      <c r="L760" s="20">
        <f t="shared" si="83"/>
        <v>0.91953249146162264</v>
      </c>
      <c r="M760" s="20">
        <f t="shared" si="84"/>
        <v>-0.12953249146162171</v>
      </c>
      <c r="AB760" s="20">
        <f t="shared" si="85"/>
        <v>0.92467270827546</v>
      </c>
    </row>
    <row r="761" spans="1:28">
      <c r="A761" s="18" t="str">
        <f>Analysis!A761</f>
        <v>6/2021</v>
      </c>
      <c r="B761" s="19">
        <f>Analysis!B761</f>
        <v>2021.4583333333333</v>
      </c>
      <c r="C761" s="19">
        <f>Analysis!E761</f>
        <v>0.8500000000000032</v>
      </c>
      <c r="D761" s="20">
        <f>Analysis!F761</f>
        <v>0.5812823735810958</v>
      </c>
      <c r="E761" s="19">
        <f>IF(ENSO!F761="","",ENSO!F761)</f>
        <v>-0.31</v>
      </c>
      <c r="F761" s="25">
        <f>IF(Volcanic!G761="","",Volcanic!G761)</f>
        <v>1.047E-2</v>
      </c>
      <c r="G761" s="19">
        <f>IF(Solar!D761="","",Solar!D761)</f>
        <v>1361.03</v>
      </c>
      <c r="H761" s="20">
        <f t="shared" si="79"/>
        <v>0.5812823735810958</v>
      </c>
      <c r="I761" s="20">
        <f t="shared" si="80"/>
        <v>-0.51167397818157667</v>
      </c>
      <c r="J761" s="25">
        <f t="shared" si="81"/>
        <v>1.084032807849738E-2</v>
      </c>
      <c r="K761" s="19">
        <f t="shared" si="82"/>
        <v>1360.8006649124477</v>
      </c>
      <c r="L761" s="20">
        <f t="shared" si="83"/>
        <v>0.92331354311593805</v>
      </c>
      <c r="M761" s="20">
        <f t="shared" si="84"/>
        <v>-7.3313543115934854E-2</v>
      </c>
      <c r="AB761" s="20">
        <f t="shared" si="85"/>
        <v>0.92812684991371497</v>
      </c>
    </row>
    <row r="762" spans="1:28">
      <c r="A762" s="18" t="str">
        <f>Analysis!A762</f>
        <v>7/2021</v>
      </c>
      <c r="B762" s="19">
        <f>Analysis!B762</f>
        <v>2021.5416666666667</v>
      </c>
      <c r="C762" s="19">
        <f>Analysis!E762</f>
        <v>0.91999999999999993</v>
      </c>
      <c r="D762" s="20">
        <f>Analysis!F762</f>
        <v>0.57427454497606012</v>
      </c>
      <c r="E762" s="19">
        <f>IF(ENSO!F762="","",ENSO!F762)</f>
        <v>-0.35</v>
      </c>
      <c r="F762" s="25">
        <f>IF(Volcanic!G762="","",Volcanic!G762)</f>
        <v>1.085E-2</v>
      </c>
      <c r="G762" s="19">
        <f>IF(Solar!D762="","",Solar!D762)</f>
        <v>1361.12</v>
      </c>
      <c r="H762" s="20">
        <f t="shared" si="79"/>
        <v>0.57427454497606012</v>
      </c>
      <c r="I762" s="20">
        <f t="shared" si="80"/>
        <v>-0.48685406792106856</v>
      </c>
      <c r="J762" s="25">
        <f t="shared" si="81"/>
        <v>1.0841101402642783E-2</v>
      </c>
      <c r="K762" s="19">
        <f t="shared" si="82"/>
        <v>1360.8261975363023</v>
      </c>
      <c r="L762" s="20">
        <f t="shared" si="83"/>
        <v>0.90786314201491813</v>
      </c>
      <c r="M762" s="20">
        <f t="shared" si="84"/>
        <v>1.2136857985081795E-2</v>
      </c>
      <c r="AB762" s="20">
        <f t="shared" si="85"/>
        <v>0.91259746922647489</v>
      </c>
    </row>
    <row r="763" spans="1:28">
      <c r="A763" s="18" t="str">
        <f>Analysis!A763</f>
        <v>8/2021</v>
      </c>
      <c r="B763" s="19">
        <f>Analysis!B763</f>
        <v>2021.625</v>
      </c>
      <c r="C763" s="19">
        <f>Analysis!E763</f>
        <v>0.81000000000000227</v>
      </c>
      <c r="D763" s="20">
        <f>Analysis!F763</f>
        <v>0.56566680231310262</v>
      </c>
      <c r="E763" s="19">
        <f>IF(ENSO!F763="","",ENSO!F763)</f>
        <v>-0.46</v>
      </c>
      <c r="F763" s="25">
        <f>IF(Volcanic!G763="","",Volcanic!G763)</f>
        <v>1.0070000000000001E-2</v>
      </c>
      <c r="G763" s="19">
        <f>IF(Solar!D763="","",Solar!D763)</f>
        <v>1361.04</v>
      </c>
      <c r="H763" s="20">
        <f t="shared" si="79"/>
        <v>0.56566680231310262</v>
      </c>
      <c r="I763" s="20">
        <f t="shared" si="80"/>
        <v>-0.48273147773415581</v>
      </c>
      <c r="J763" s="25">
        <f t="shared" si="81"/>
        <v>1.077944753861433E-2</v>
      </c>
      <c r="K763" s="19">
        <f t="shared" si="82"/>
        <v>1360.8432922374411</v>
      </c>
      <c r="L763" s="20">
        <f t="shared" si="83"/>
        <v>0.88537724560754771</v>
      </c>
      <c r="M763" s="20">
        <f t="shared" si="84"/>
        <v>-7.537724560754544E-2</v>
      </c>
      <c r="AB763" s="20">
        <f t="shared" si="85"/>
        <v>0.89030002003361286</v>
      </c>
    </row>
    <row r="764" spans="1:28">
      <c r="A764" s="18" t="str">
        <f>Analysis!A764</f>
        <v>9/2021</v>
      </c>
      <c r="B764" s="19">
        <f>Analysis!B764</f>
        <v>2021.7083333333333</v>
      </c>
      <c r="C764" s="19">
        <f>Analysis!E764</f>
        <v>0.91999999999999993</v>
      </c>
      <c r="D764" s="20">
        <f>Analysis!F764</f>
        <v>0.56162290287573691</v>
      </c>
      <c r="E764" s="19">
        <f>IF(ENSO!F764="","",ENSO!F764)</f>
        <v>-0.64</v>
      </c>
      <c r="F764" s="25">
        <f>IF(Volcanic!G764="","",Volcanic!G764)</f>
        <v>9.9699999999999997E-3</v>
      </c>
      <c r="G764" s="19">
        <f>IF(Solar!D764="","",Solar!D764)</f>
        <v>1360.96</v>
      </c>
      <c r="H764" s="20">
        <f t="shared" si="79"/>
        <v>0.56162290287573691</v>
      </c>
      <c r="I764" s="20">
        <f t="shared" si="80"/>
        <v>-0.5068750700014103</v>
      </c>
      <c r="J764" s="25">
        <f t="shared" si="81"/>
        <v>1.0714727686837568E-2</v>
      </c>
      <c r="K764" s="19">
        <f t="shared" si="82"/>
        <v>1360.8526236749137</v>
      </c>
      <c r="L764" s="20">
        <f t="shared" si="83"/>
        <v>0.87125422495257265</v>
      </c>
      <c r="M764" s="20">
        <f t="shared" si="84"/>
        <v>4.8745775047427276E-2</v>
      </c>
      <c r="AB764" s="20">
        <f t="shared" si="85"/>
        <v>0.8765355259633627</v>
      </c>
    </row>
    <row r="765" spans="1:28">
      <c r="A765" s="18" t="str">
        <f>Analysis!A765</f>
        <v>10/2021</v>
      </c>
      <c r="B765" s="19">
        <f>Analysis!B765</f>
        <v>2021.7916666666667</v>
      </c>
      <c r="C765" s="19">
        <f>Analysis!E765</f>
        <v>0.97999999999999865</v>
      </c>
      <c r="D765" s="20">
        <f>Analysis!F765</f>
        <v>0.56385542139796185</v>
      </c>
      <c r="E765" s="19">
        <f>IF(ENSO!F765="","",ENSO!F765)</f>
        <v>-0.77</v>
      </c>
      <c r="F765" s="25">
        <f>IF(Volcanic!G765="","",Volcanic!G765)</f>
        <v>9.9100000000000004E-3</v>
      </c>
      <c r="G765" s="19">
        <f>IF(Solar!D765="","",Solar!D765)</f>
        <v>1361.03</v>
      </c>
      <c r="H765" s="20">
        <f t="shared" si="79"/>
        <v>0.56385542139796185</v>
      </c>
      <c r="I765" s="20">
        <f t="shared" si="80"/>
        <v>-0.54726955539307165</v>
      </c>
      <c r="J765" s="25">
        <f t="shared" si="81"/>
        <v>1.0650385213572479E-2</v>
      </c>
      <c r="K765" s="19">
        <f t="shared" si="82"/>
        <v>1360.8668059028168</v>
      </c>
      <c r="L765" s="20">
        <f t="shared" si="83"/>
        <v>0.87180910822036994</v>
      </c>
      <c r="M765" s="20">
        <f t="shared" si="84"/>
        <v>0.10819089177962871</v>
      </c>
      <c r="AB765" s="20">
        <f t="shared" si="85"/>
        <v>0.87746115440962169</v>
      </c>
    </row>
    <row r="766" spans="1:28">
      <c r="A766" s="18" t="str">
        <f>Analysis!A766</f>
        <v>11/2021</v>
      </c>
      <c r="B766" s="19">
        <f>Analysis!B766</f>
        <v>2021.875</v>
      </c>
      <c r="C766" s="19">
        <f>Analysis!E766</f>
        <v>0.92999999999999794</v>
      </c>
      <c r="D766" s="20">
        <f>Analysis!F766</f>
        <v>0.56758021431180217</v>
      </c>
      <c r="E766" s="19">
        <f>IF(ENSO!F766="","",ENSO!F766)</f>
        <v>-0.91</v>
      </c>
      <c r="F766" s="25">
        <f>IF(Volcanic!G766="","",Volcanic!G766)</f>
        <v>9.7999999999999997E-3</v>
      </c>
      <c r="G766" s="19">
        <f>IF(Solar!D766="","",Solar!D766)</f>
        <v>1361.09</v>
      </c>
      <c r="H766" s="20">
        <f t="shared" si="79"/>
        <v>0.56758021431180217</v>
      </c>
      <c r="I766" s="20">
        <f t="shared" si="80"/>
        <v>-0.6029553075787879</v>
      </c>
      <c r="J766" s="25">
        <f t="shared" si="81"/>
        <v>1.0582392166030723E-2</v>
      </c>
      <c r="K766" s="19">
        <f t="shared" si="82"/>
        <v>1360.8846515175085</v>
      </c>
      <c r="L766" s="20">
        <f t="shared" si="83"/>
        <v>0.87425382667462403</v>
      </c>
      <c r="M766" s="20">
        <f t="shared" si="84"/>
        <v>5.5746173325373904E-2</v>
      </c>
      <c r="AB766" s="20">
        <f t="shared" si="85"/>
        <v>0.88039217751145271</v>
      </c>
    </row>
    <row r="767" spans="1:28">
      <c r="A767" s="18" t="str">
        <f>Analysis!A767</f>
        <v>12/2021</v>
      </c>
      <c r="B767" s="19">
        <f>Analysis!B767</f>
        <v>2021.9583333333333</v>
      </c>
      <c r="C767" s="19">
        <f>Analysis!E767</f>
        <v>0.88000000000000256</v>
      </c>
      <c r="D767" s="20">
        <f>Analysis!F767</f>
        <v>0.5734784033974879</v>
      </c>
      <c r="E767" s="19">
        <f>IF(ENSO!F767="","",ENSO!F767)</f>
        <v>-0.83</v>
      </c>
      <c r="F767" s="25">
        <f>IF(Volcanic!G767="","",Volcanic!G767)</f>
        <v>9.4699999999999993E-3</v>
      </c>
      <c r="G767" s="19">
        <f>IF(Solar!D767="","",Solar!D767)</f>
        <v>1361.1</v>
      </c>
      <c r="H767" s="20">
        <f t="shared" si="79"/>
        <v>0.5734784033974879</v>
      </c>
      <c r="I767" s="20">
        <f t="shared" si="80"/>
        <v>-0.63781081713203347</v>
      </c>
      <c r="J767" s="25">
        <f t="shared" si="81"/>
        <v>1.0493450199233981E-2</v>
      </c>
      <c r="K767" s="19">
        <f t="shared" si="82"/>
        <v>1360.9018698314849</v>
      </c>
      <c r="L767" s="20">
        <f t="shared" si="83"/>
        <v>0.88558643731875408</v>
      </c>
      <c r="M767" s="20">
        <f t="shared" si="84"/>
        <v>-5.5864373187515248E-3</v>
      </c>
      <c r="AB767" s="20">
        <f t="shared" si="85"/>
        <v>0.89196858169244919</v>
      </c>
    </row>
    <row r="768" spans="1:28">
      <c r="A768" s="18" t="str">
        <f>Analysis!A768</f>
        <v>1/2022</v>
      </c>
      <c r="B768" s="19">
        <f>Analysis!B768</f>
        <v>2022.0416666666667</v>
      </c>
      <c r="C768" s="19">
        <f>Analysis!E768</f>
        <v>0.91000000000000014</v>
      </c>
      <c r="D768" s="20">
        <f>Analysis!F768</f>
        <v>0.57852473043934227</v>
      </c>
      <c r="E768" s="19">
        <f>IF(ENSO!F768="","",ENSO!F768)</f>
        <v>-0.76</v>
      </c>
      <c r="F768" s="25">
        <f>IF(Volcanic!G768="","",Volcanic!G768)</f>
        <v>1.5140000000000001E-2</v>
      </c>
      <c r="G768" s="19">
        <f>IF(Solar!D768="","",Solar!D768)</f>
        <v>1361.2</v>
      </c>
      <c r="H768" s="20">
        <f t="shared" si="79"/>
        <v>0.57852473043934227</v>
      </c>
      <c r="I768" s="20">
        <f t="shared" si="80"/>
        <v>-0.65656908972294903</v>
      </c>
      <c r="J768" s="25">
        <f t="shared" si="81"/>
        <v>1.0864967808508229E-2</v>
      </c>
      <c r="K768" s="19">
        <f t="shared" si="82"/>
        <v>1360.9257070036251</v>
      </c>
      <c r="L768" s="20">
        <f t="shared" si="83"/>
        <v>0.89532506940208767</v>
      </c>
      <c r="M768" s="20">
        <f t="shared" si="84"/>
        <v>1.4674930597912472E-2</v>
      </c>
      <c r="AB768" s="20">
        <f t="shared" si="85"/>
        <v>0.90159649260357044</v>
      </c>
    </row>
    <row r="769" spans="1:28">
      <c r="A769" s="18" t="str">
        <f>Analysis!A769</f>
        <v>2/2022</v>
      </c>
      <c r="B769" s="19">
        <f>Analysis!B769</f>
        <v>2022.125</v>
      </c>
      <c r="C769" s="19">
        <f>Analysis!E769</f>
        <v>0.8900000000000059</v>
      </c>
      <c r="D769" s="20">
        <f>Analysis!F769</f>
        <v>0.58234954487825097</v>
      </c>
      <c r="E769" s="19">
        <f>IF(ENSO!F769="","",ENSO!F769)</f>
        <v>-0.68</v>
      </c>
      <c r="F769" s="25">
        <f>IF(Volcanic!G769="","",Volcanic!G769)</f>
        <v>2.1350000000000001E-2</v>
      </c>
      <c r="G769" s="19">
        <f>IF(Solar!D769="","",Solar!D769)</f>
        <v>1361.35</v>
      </c>
      <c r="H769" s="20">
        <f t="shared" si="79"/>
        <v>0.58234954487825097</v>
      </c>
      <c r="I769" s="20">
        <f t="shared" si="80"/>
        <v>-0.66016616265292472</v>
      </c>
      <c r="J769" s="25">
        <f t="shared" si="81"/>
        <v>1.1703304695009343E-2</v>
      </c>
      <c r="K769" s="19">
        <f t="shared" si="82"/>
        <v>1360.9596315985189</v>
      </c>
      <c r="L769" s="20">
        <f t="shared" si="83"/>
        <v>0.90231645449452658</v>
      </c>
      <c r="M769" s="20">
        <f t="shared" si="84"/>
        <v>-1.2316454494520679E-2</v>
      </c>
      <c r="AB769" s="20">
        <f t="shared" si="85"/>
        <v>0.90813726971437547</v>
      </c>
    </row>
    <row r="770" spans="1:28">
      <c r="A770" s="18" t="str">
        <f>Analysis!A770</f>
        <v>3/2022</v>
      </c>
      <c r="B770" s="19">
        <f>Analysis!B770</f>
        <v>2022.2083333333333</v>
      </c>
      <c r="C770" s="19">
        <f>Analysis!E770</f>
        <v>1.0500000000000025</v>
      </c>
      <c r="D770" s="20">
        <f>Analysis!F770</f>
        <v>0.5806968152950519</v>
      </c>
      <c r="E770" s="19">
        <f>IF(ENSO!F770="","",ENSO!F770)</f>
        <v>-0.77</v>
      </c>
      <c r="F770" s="25">
        <f>IF(Volcanic!G770="","",Volcanic!G770)</f>
        <v>2.3550000000000001E-2</v>
      </c>
      <c r="G770" s="19">
        <f>IF(Solar!D770="","",Solar!D770)</f>
        <v>1361.27</v>
      </c>
      <c r="H770" s="20">
        <f t="shared" ref="H770:H823" si="86">IF(D770="","",IF(OR(ROW()=2,H769=""),D770,$Q$3*H769+(1-$Q$3)*D770))</f>
        <v>0.5806968152950519</v>
      </c>
      <c r="I770" s="20">
        <f t="shared" ref="I770:I823" si="87">IF(E770="","",IF(OR(ROW()=2,I769=""),E770,$Q$4*I769+(1-$Q$4)*E770))</f>
        <v>-0.67702766391109259</v>
      </c>
      <c r="J770" s="25">
        <f t="shared" ref="J770:J823" si="88">IF(F770="","",IF(OR(ROW()=2,J769=""),F770,$Q$5*J769+(1-$Q$5)*F770))</f>
        <v>1.2650514152827919E-2</v>
      </c>
      <c r="K770" s="19">
        <f t="shared" ref="K770:K823" si="89">IF(G770="","",IF(OR(ROW()=2,K769=""),G770,$Q$6*K769+(1-$Q$6)*G770))</f>
        <v>1360.9844472857399</v>
      </c>
      <c r="L770" s="20">
        <f t="shared" ref="L770:L823" si="90">IF(OR(I770="",J770=""),"",$P$13+$P$14*H770+$P$15*I770+$P$16*J770)</f>
        <v>0.89225438159301329</v>
      </c>
      <c r="M770" s="20">
        <f t="shared" ref="M770:M823" si="91">IF(L770="","",C770-L770)</f>
        <v>0.1577456184069892</v>
      </c>
      <c r="AB770" s="20">
        <f t="shared" ref="AB770:AB823" si="92">IF(OR(I770="",J770=""),"",$P$52+$P$53*H770+$P$54*I770+$P$55*J770)</f>
        <v>0.89782853873851376</v>
      </c>
    </row>
    <row r="771" spans="1:28">
      <c r="A771" s="18" t="str">
        <f>Analysis!A771</f>
        <v>4/2022</v>
      </c>
      <c r="B771" s="19">
        <f>Analysis!B771</f>
        <v>2022.2916666666667</v>
      </c>
      <c r="C771" s="19">
        <f>Analysis!E771</f>
        <v>0.83000000000000362</v>
      </c>
      <c r="D771" s="20">
        <f>Analysis!F771</f>
        <v>0.5856150008995481</v>
      </c>
      <c r="E771" s="19">
        <f>IF(ENSO!F771="","",ENSO!F771)</f>
        <v>-0.86</v>
      </c>
      <c r="F771" s="25">
        <f>IF(Volcanic!G771="","",Volcanic!G771)</f>
        <v>2.726E-2</v>
      </c>
      <c r="G771" s="19">
        <f>IF(Solar!D771="","",Solar!D771)</f>
        <v>1361.38</v>
      </c>
      <c r="H771" s="20">
        <f t="shared" si="86"/>
        <v>0.5856150008995481</v>
      </c>
      <c r="I771" s="20">
        <f t="shared" si="87"/>
        <v>-0.70511726134019648</v>
      </c>
      <c r="J771" s="25">
        <f t="shared" si="88"/>
        <v>1.3818624145703179E-2</v>
      </c>
      <c r="K771" s="19">
        <f t="shared" si="89"/>
        <v>1361.0160739345536</v>
      </c>
      <c r="L771" s="20">
        <f t="shared" si="90"/>
        <v>0.89762730833124327</v>
      </c>
      <c r="M771" s="20">
        <f t="shared" si="91"/>
        <v>-6.7627308331239644E-2</v>
      </c>
      <c r="AB771" s="20">
        <f t="shared" si="92"/>
        <v>0.90280704845750137</v>
      </c>
    </row>
    <row r="772" spans="1:28">
      <c r="A772" s="18" t="str">
        <f>Analysis!A772</f>
        <v>5/2022</v>
      </c>
      <c r="B772" s="19">
        <f>Analysis!B772</f>
        <v>2022.375</v>
      </c>
      <c r="C772" s="19">
        <f>Analysis!E772</f>
        <v>0.83999999999999986</v>
      </c>
      <c r="D772" s="20">
        <f>Analysis!F772</f>
        <v>0.58829059758610203</v>
      </c>
      <c r="E772" s="19">
        <f>IF(ENSO!F772="","",ENSO!F772)</f>
        <v>-0.83</v>
      </c>
      <c r="F772" s="25">
        <f>IF(Volcanic!G772="","",Volcanic!G772)</f>
        <v>2.929E-2</v>
      </c>
      <c r="G772" s="19">
        <f>IF(Solar!D772="","",Solar!D772)</f>
        <v>1361.62</v>
      </c>
      <c r="H772" s="20">
        <f t="shared" si="86"/>
        <v>0.58829059758610203</v>
      </c>
      <c r="I772" s="20">
        <f t="shared" si="87"/>
        <v>-0.72428904397018579</v>
      </c>
      <c r="J772" s="25">
        <f t="shared" si="88"/>
        <v>1.5055647058623235E-2</v>
      </c>
      <c r="K772" s="19">
        <f t="shared" si="89"/>
        <v>1361.064361196637</v>
      </c>
      <c r="L772" s="20">
        <f t="shared" si="90"/>
        <v>0.89796059652262672</v>
      </c>
      <c r="M772" s="20">
        <f t="shared" si="91"/>
        <v>-5.7960596522626862E-2</v>
      </c>
      <c r="AB772" s="20">
        <f t="shared" si="92"/>
        <v>0.90267866838365129</v>
      </c>
    </row>
    <row r="773" spans="1:28">
      <c r="A773" s="18" t="str">
        <f>Analysis!A773</f>
        <v>6/2022</v>
      </c>
      <c r="B773" s="19">
        <f>Analysis!B773</f>
        <v>2022.4583333333333</v>
      </c>
      <c r="C773" s="19">
        <f>Analysis!E773</f>
        <v>0.92999999999999794</v>
      </c>
      <c r="D773" s="20">
        <f>Analysis!F773</f>
        <v>0.58818778172396691</v>
      </c>
      <c r="E773" s="19">
        <f>IF(ENSO!F773="","",ENSO!F773)</f>
        <v>-0.73</v>
      </c>
      <c r="F773" s="25">
        <f>IF(Volcanic!G773="","",Volcanic!G773)</f>
        <v>2.878E-2</v>
      </c>
      <c r="G773" s="19">
        <f>IF(Solar!D773="","",Solar!D773)</f>
        <v>1361.65</v>
      </c>
      <c r="H773" s="20">
        <f t="shared" si="86"/>
        <v>0.58818778172396691</v>
      </c>
      <c r="I773" s="20">
        <f t="shared" si="87"/>
        <v>-0.72516578008910848</v>
      </c>
      <c r="J773" s="25">
        <f t="shared" si="88"/>
        <v>1.6152985731884784E-2</v>
      </c>
      <c r="K773" s="19">
        <f t="shared" si="89"/>
        <v>1361.1111862899756</v>
      </c>
      <c r="L773" s="20">
        <f t="shared" si="90"/>
        <v>0.89383625048601867</v>
      </c>
      <c r="M773" s="20">
        <f t="shared" si="91"/>
        <v>3.6163749513979271E-2</v>
      </c>
      <c r="AB773" s="20">
        <f t="shared" si="92"/>
        <v>0.89804559279349772</v>
      </c>
    </row>
    <row r="774" spans="1:28">
      <c r="A774" s="18" t="str">
        <f>Analysis!A774</f>
        <v>7/2022</v>
      </c>
      <c r="B774" s="19">
        <f>Analysis!B774</f>
        <v>2022.5416666666667</v>
      </c>
      <c r="C774" s="19">
        <f>Analysis!E774</f>
        <v>0.93999999999999773</v>
      </c>
      <c r="D774" s="20">
        <f>Analysis!F774</f>
        <v>0.58100684634573119</v>
      </c>
      <c r="E774" s="19">
        <f>IF(ENSO!F774="","",ENSO!F774)</f>
        <v>-0.7</v>
      </c>
      <c r="F774" s="25">
        <f>IF(Volcanic!G774="","",Volcanic!G774)</f>
        <v>2.8219999999999999E-2</v>
      </c>
      <c r="G774" s="19">
        <f>IF(Solar!D774="","",Solar!D774)</f>
        <v>1361.38</v>
      </c>
      <c r="H774" s="20">
        <f t="shared" si="86"/>
        <v>0.58100684634573119</v>
      </c>
      <c r="I774" s="20">
        <f t="shared" si="87"/>
        <v>-0.72130237293804644</v>
      </c>
      <c r="J774" s="25">
        <f t="shared" si="88"/>
        <v>1.7117810921368243E-2</v>
      </c>
      <c r="K774" s="19">
        <f t="shared" si="89"/>
        <v>1361.1326794475165</v>
      </c>
      <c r="L774" s="20">
        <f t="shared" si="90"/>
        <v>0.87168990748201691</v>
      </c>
      <c r="M774" s="20">
        <f t="shared" si="91"/>
        <v>6.8310092517980814E-2</v>
      </c>
      <c r="AB774" s="20">
        <f t="shared" si="92"/>
        <v>0.87557112071829823</v>
      </c>
    </row>
    <row r="775" spans="1:28">
      <c r="A775" s="18" t="str">
        <f>Analysis!A775</f>
        <v>8/2022</v>
      </c>
      <c r="B775" s="19">
        <f>Analysis!B775</f>
        <v>2022.625</v>
      </c>
      <c r="C775" s="19">
        <f>Analysis!E775</f>
        <v>0.93999999999999773</v>
      </c>
      <c r="D775" s="20">
        <f>Analysis!F775</f>
        <v>0.57513941823551418</v>
      </c>
      <c r="E775" s="19">
        <f>IF(ENSO!F775="","",ENSO!F775)</f>
        <v>-0.78</v>
      </c>
      <c r="F775" s="25">
        <f>IF(Volcanic!G775="","",Volcanic!G775)</f>
        <v>2.588E-2</v>
      </c>
      <c r="G775" s="19">
        <f>IF(Solar!D775="","",Solar!D775)</f>
        <v>1361.42</v>
      </c>
      <c r="H775" s="20">
        <f t="shared" si="86"/>
        <v>0.57513941823551418</v>
      </c>
      <c r="I775" s="20">
        <f t="shared" si="87"/>
        <v>-0.73031353139761157</v>
      </c>
      <c r="J775" s="25">
        <f t="shared" si="88"/>
        <v>1.7818396878278794E-2</v>
      </c>
      <c r="K775" s="19">
        <f t="shared" si="89"/>
        <v>1361.1556523304794</v>
      </c>
      <c r="L775" s="20">
        <f t="shared" si="90"/>
        <v>0.85217504487456985</v>
      </c>
      <c r="M775" s="20">
        <f t="shared" si="91"/>
        <v>8.7824955125427873E-2</v>
      </c>
      <c r="AB775" s="20">
        <f t="shared" si="92"/>
        <v>0.85594777200122873</v>
      </c>
    </row>
    <row r="776" spans="1:28">
      <c r="A776" s="18" t="str">
        <f>Analysis!A776</f>
        <v>9/2022</v>
      </c>
      <c r="B776" s="19">
        <f>Analysis!B776</f>
        <v>2022.7083333333333</v>
      </c>
      <c r="C776" s="19">
        <f>Analysis!E776</f>
        <v>0.88000000000000256</v>
      </c>
      <c r="D776" s="20">
        <f>Analysis!F776</f>
        <v>0.57084454590484046</v>
      </c>
      <c r="E776" s="19">
        <f>IF(ENSO!F776="","",ENSO!F776)</f>
        <v>-0.87</v>
      </c>
      <c r="F776" s="25">
        <f>IF(Volcanic!G776="","",Volcanic!G776)</f>
        <v>2.4309999999999998E-2</v>
      </c>
      <c r="G776" s="19">
        <f>IF(Solar!D776="","",Solar!D776)</f>
        <v>1361.68</v>
      </c>
      <c r="H776" s="20">
        <f t="shared" si="86"/>
        <v>0.57084454590484046</v>
      </c>
      <c r="I776" s="20">
        <f t="shared" si="87"/>
        <v>-0.75175795711357163</v>
      </c>
      <c r="J776" s="25">
        <f t="shared" si="88"/>
        <v>1.8337436805870126E-2</v>
      </c>
      <c r="K776" s="19">
        <f t="shared" si="89"/>
        <v>1361.1975768553336</v>
      </c>
      <c r="L776" s="20">
        <f t="shared" si="90"/>
        <v>0.83577392470813061</v>
      </c>
      <c r="M776" s="20">
        <f t="shared" si="91"/>
        <v>4.4226075291871947E-2</v>
      </c>
      <c r="AB776" s="20">
        <f t="shared" si="92"/>
        <v>0.839608372870981</v>
      </c>
    </row>
    <row r="777" spans="1:28">
      <c r="A777" s="18" t="str">
        <f>Analysis!A777</f>
        <v>10/2022</v>
      </c>
      <c r="B777" s="19">
        <f>Analysis!B777</f>
        <v>2022.7916666666667</v>
      </c>
      <c r="C777" s="19">
        <f>Analysis!E777</f>
        <v>0.96999999999999886</v>
      </c>
      <c r="D777" s="20">
        <f>Analysis!F777</f>
        <v>0.57025473490173317</v>
      </c>
      <c r="E777" s="19">
        <f>IF(ENSO!F777="","",ENSO!F777)</f>
        <v>-0.89</v>
      </c>
      <c r="F777" s="25">
        <f>IF(Volcanic!G777="","",Volcanic!G777)</f>
        <v>2.2939999999999999E-2</v>
      </c>
      <c r="G777" s="19">
        <f>IF(Solar!D777="","",Solar!D777)</f>
        <v>1361.78</v>
      </c>
      <c r="H777" s="20">
        <f t="shared" si="86"/>
        <v>0.57025473490173317</v>
      </c>
      <c r="I777" s="20">
        <f t="shared" si="87"/>
        <v>-0.7729806370850939</v>
      </c>
      <c r="J777" s="25">
        <f t="shared" si="88"/>
        <v>1.8705437440262311E-2</v>
      </c>
      <c r="K777" s="19">
        <f t="shared" si="89"/>
        <v>1361.244144838799</v>
      </c>
      <c r="L777" s="20">
        <f t="shared" si="90"/>
        <v>0.82993561036065899</v>
      </c>
      <c r="M777" s="20">
        <f t="shared" si="91"/>
        <v>0.14006438963933987</v>
      </c>
      <c r="AB777" s="20">
        <f t="shared" si="92"/>
        <v>0.83381538267824062</v>
      </c>
    </row>
    <row r="778" spans="1:28">
      <c r="A778" s="18" t="str">
        <f>Analysis!A778</f>
        <v>11/2022</v>
      </c>
      <c r="B778" s="19">
        <f>Analysis!B778</f>
        <v>2022.875</v>
      </c>
      <c r="C778" s="19">
        <f>Analysis!E778</f>
        <v>0.7300000000000022</v>
      </c>
      <c r="D778" s="20">
        <f>Analysis!F778</f>
        <v>0.57624569998219233</v>
      </c>
      <c r="E778" s="19">
        <f>IF(ENSO!F778="","",ENSO!F778)</f>
        <v>-0.82</v>
      </c>
      <c r="F778" s="25">
        <f>IF(Volcanic!G778="","",Volcanic!G778)</f>
        <v>2.172E-2</v>
      </c>
      <c r="G778" s="19">
        <f>IF(Solar!D778="","",Solar!D778)</f>
        <v>1361.69</v>
      </c>
      <c r="H778" s="20">
        <f t="shared" si="86"/>
        <v>0.57624569998219233</v>
      </c>
      <c r="I778" s="20">
        <f t="shared" si="87"/>
        <v>-0.78019896857653248</v>
      </c>
      <c r="J778" s="25">
        <f t="shared" si="88"/>
        <v>1.8946468554362664E-2</v>
      </c>
      <c r="K778" s="19">
        <f t="shared" si="89"/>
        <v>1361.2797934492032</v>
      </c>
      <c r="L778" s="20">
        <f t="shared" si="90"/>
        <v>0.8442998953815144</v>
      </c>
      <c r="M778" s="20">
        <f t="shared" si="91"/>
        <v>-0.1142998953815122</v>
      </c>
      <c r="AB778" s="20">
        <f t="shared" si="92"/>
        <v>0.84799689369115971</v>
      </c>
    </row>
    <row r="779" spans="1:28">
      <c r="A779" s="18" t="str">
        <f>Analysis!A779</f>
        <v>12/2022</v>
      </c>
      <c r="B779" s="19">
        <f>Analysis!B779</f>
        <v>2022.9583333333333</v>
      </c>
      <c r="C779" s="19">
        <f>Analysis!E779</f>
        <v>0.79999999999999893</v>
      </c>
      <c r="D779" s="20">
        <f>Analysis!F779</f>
        <v>0.5814889844809461</v>
      </c>
      <c r="E779" s="19">
        <f>IF(ENSO!F779="","",ENSO!F779)</f>
        <v>-0.7</v>
      </c>
      <c r="F779" s="25">
        <f>IF(Volcanic!G779="","",Volcanic!G779)</f>
        <v>2.0449999999999999E-2</v>
      </c>
      <c r="G779" s="19">
        <f>IF(Solar!D779="","",Solar!D779)</f>
        <v>1361.5</v>
      </c>
      <c r="H779" s="20">
        <f t="shared" si="86"/>
        <v>0.5814889844809461</v>
      </c>
      <c r="I779" s="20">
        <f t="shared" si="87"/>
        <v>-0.76788696125511136</v>
      </c>
      <c r="J779" s="25">
        <f t="shared" si="88"/>
        <v>1.9066684291221818E-2</v>
      </c>
      <c r="K779" s="19">
        <f t="shared" si="89"/>
        <v>1361.2974001928746</v>
      </c>
      <c r="L779" s="20">
        <f t="shared" si="90"/>
        <v>0.85980831402097402</v>
      </c>
      <c r="M779" s="20">
        <f t="shared" si="91"/>
        <v>-5.9808314020975084E-2</v>
      </c>
      <c r="AB779" s="20">
        <f t="shared" si="92"/>
        <v>0.86320754776966557</v>
      </c>
    </row>
    <row r="780" spans="1:28">
      <c r="A780" s="18" t="str">
        <f>Analysis!A780</f>
        <v>1/2023</v>
      </c>
      <c r="B780" s="19">
        <f>Analysis!B780</f>
        <v>2023.0416666666667</v>
      </c>
      <c r="C780" s="19">
        <f>Analysis!E780</f>
        <v>0.88000000000000256</v>
      </c>
      <c r="D780" s="20">
        <f>Analysis!F780</f>
        <v>0.58317520020842994</v>
      </c>
      <c r="E780" s="19">
        <f>IF(ENSO!F780="","",ENSO!F780)</f>
        <v>-0.55000000000000004</v>
      </c>
      <c r="F780" s="25">
        <f>IF(Volcanic!G780="","",Volcanic!G780)</f>
        <v>1.9570000000000001E-2</v>
      </c>
      <c r="G780" s="19">
        <f>IF(Solar!D780="","",Solar!D780)</f>
        <v>1361.7</v>
      </c>
      <c r="H780" s="20">
        <f t="shared" si="86"/>
        <v>0.58317520020842994</v>
      </c>
      <c r="I780" s="20">
        <f t="shared" si="87"/>
        <v>-0.7344373307944011</v>
      </c>
      <c r="J780" s="25">
        <f t="shared" si="88"/>
        <v>1.9106927193343434E-2</v>
      </c>
      <c r="K780" s="19">
        <f t="shared" si="89"/>
        <v>1361.3295902961233</v>
      </c>
      <c r="L780" s="20">
        <f t="shared" si="90"/>
        <v>0.86895206004657788</v>
      </c>
      <c r="M780" s="20">
        <f t="shared" si="91"/>
        <v>1.1047939953424679E-2</v>
      </c>
      <c r="AB780" s="20">
        <f t="shared" si="92"/>
        <v>0.87196863559200311</v>
      </c>
    </row>
    <row r="781" spans="1:28">
      <c r="A781" s="18" t="str">
        <f>Analysis!A781</f>
        <v>2/2023</v>
      </c>
      <c r="B781" s="19">
        <f>Analysis!B781</f>
        <v>2023.125</v>
      </c>
      <c r="C781" s="19">
        <f>Analysis!E781</f>
        <v>0.96999999999999886</v>
      </c>
      <c r="D781" s="20">
        <f>Analysis!F781</f>
        <v>0.58602695427511742</v>
      </c>
      <c r="E781" s="19">
        <f>IF(ENSO!F781="","",ENSO!F781)</f>
        <v>-0.33</v>
      </c>
      <c r="F781" s="25">
        <f>IF(Volcanic!G781="","",Volcanic!G781)</f>
        <v>1.916E-2</v>
      </c>
      <c r="G781" s="19">
        <f>IF(Solar!D781="","",Solar!D781)</f>
        <v>1361.9</v>
      </c>
      <c r="H781" s="20">
        <f t="shared" si="86"/>
        <v>0.58602695427511742</v>
      </c>
      <c r="I781" s="20">
        <f t="shared" si="87"/>
        <v>-0.6723488093810005</v>
      </c>
      <c r="J781" s="25">
        <f t="shared" si="88"/>
        <v>1.9111170660666924E-2</v>
      </c>
      <c r="K781" s="19">
        <f t="shared" si="89"/>
        <v>1361.3751977378979</v>
      </c>
      <c r="L781" s="20">
        <f t="shared" si="90"/>
        <v>0.885411296473125</v>
      </c>
      <c r="M781" s="20">
        <f t="shared" si="91"/>
        <v>8.4588703526873865E-2</v>
      </c>
      <c r="AB781" s="20">
        <f t="shared" si="92"/>
        <v>0.88775739070588511</v>
      </c>
    </row>
    <row r="782" spans="1:28">
      <c r="A782" s="18" t="str">
        <f>Analysis!A782</f>
        <v>3/2023</v>
      </c>
      <c r="B782" s="19">
        <f>Analysis!B782</f>
        <v>2023.2083333333333</v>
      </c>
      <c r="C782" s="19">
        <f>Analysis!E782</f>
        <v>1.2299999999999986</v>
      </c>
      <c r="D782" s="20">
        <f>Analysis!F782</f>
        <v>0.58835913742367907</v>
      </c>
      <c r="E782" s="19">
        <f>IF(ENSO!F782="","",ENSO!F782)</f>
        <v>-0.11</v>
      </c>
      <c r="F782" s="25">
        <f>IF(Volcanic!G782="","",Volcanic!G782)</f>
        <v>1.8919999999999999E-2</v>
      </c>
      <c r="G782" s="19">
        <f>IF(Solar!D782="","",Solar!D782)</f>
        <v>1362.12</v>
      </c>
      <c r="H782" s="20">
        <f t="shared" si="86"/>
        <v>0.58835913742367907</v>
      </c>
      <c r="I782" s="20">
        <f t="shared" si="87"/>
        <v>-0.58601799015501244</v>
      </c>
      <c r="J782" s="25">
        <f t="shared" si="88"/>
        <v>1.9095885498587602E-2</v>
      </c>
      <c r="K782" s="19">
        <f t="shared" si="89"/>
        <v>1361.4347488387498</v>
      </c>
      <c r="L782" s="20">
        <f t="shared" si="90"/>
        <v>0.90395286799402186</v>
      </c>
      <c r="M782" s="20">
        <f t="shared" si="91"/>
        <v>0.32604713200597679</v>
      </c>
      <c r="AB782" s="20">
        <f t="shared" si="92"/>
        <v>0.90541452707293579</v>
      </c>
    </row>
    <row r="783" spans="1:28">
      <c r="A783" s="18" t="str">
        <f>Analysis!A783</f>
        <v>4/2023</v>
      </c>
      <c r="B783" s="19">
        <f>Analysis!B783</f>
        <v>2023.2916666666667</v>
      </c>
      <c r="C783" s="19">
        <f>Analysis!E783</f>
        <v>0.99000000000000021</v>
      </c>
      <c r="D783" s="20">
        <f>Analysis!F783</f>
        <v>0.59642406189270203</v>
      </c>
      <c r="E783" s="19">
        <f>IF(ENSO!F783="","",ENSO!F783)</f>
        <v>0.19</v>
      </c>
      <c r="F783" s="25">
        <f>IF(Volcanic!G783="","",Volcanic!G783)</f>
        <v>1.8620000000000001E-2</v>
      </c>
      <c r="G783" s="19">
        <f>IF(Solar!D783="","",Solar!D783)</f>
        <v>1362.04</v>
      </c>
      <c r="H783" s="20">
        <f t="shared" si="86"/>
        <v>0.59642406189270203</v>
      </c>
      <c r="I783" s="20">
        <f t="shared" si="87"/>
        <v>-0.46688504685256249</v>
      </c>
      <c r="J783" s="25">
        <f t="shared" si="88"/>
        <v>1.9057835794978613E-2</v>
      </c>
      <c r="K783" s="19">
        <f t="shared" si="89"/>
        <v>1361.4831420496437</v>
      </c>
      <c r="L783" s="20">
        <f t="shared" si="90"/>
        <v>0.94270306306670459</v>
      </c>
      <c r="M783" s="20">
        <f t="shared" si="91"/>
        <v>4.7296936933295619E-2</v>
      </c>
      <c r="AB783" s="20">
        <f t="shared" si="92"/>
        <v>0.94284007688198068</v>
      </c>
    </row>
    <row r="784" spans="1:28">
      <c r="A784" s="18" t="str">
        <f>Analysis!A784</f>
        <v>5/2023</v>
      </c>
      <c r="B784" s="19">
        <f>Analysis!B784</f>
        <v>2023.375</v>
      </c>
      <c r="C784" s="19">
        <f>Analysis!E784</f>
        <v>0.93999999999999773</v>
      </c>
      <c r="D784" s="20">
        <f>Analysis!F784</f>
        <v>0.59863743761823274</v>
      </c>
      <c r="E784" s="19">
        <f>IF(ENSO!F784="","",ENSO!F784)</f>
        <v>0.46</v>
      </c>
      <c r="F784" s="25">
        <f>IF(Volcanic!G784="","",Volcanic!G784)</f>
        <v>1.7600000000000001E-2</v>
      </c>
      <c r="G784" s="19">
        <f>IF(Solar!D784="","",Solar!D784)</f>
        <v>1361.67</v>
      </c>
      <c r="H784" s="20">
        <f t="shared" si="86"/>
        <v>0.59863743761823274</v>
      </c>
      <c r="I784" s="20">
        <f t="shared" si="87"/>
        <v>-0.32459125323507476</v>
      </c>
      <c r="J784" s="25">
        <f t="shared" si="88"/>
        <v>1.8941273680616773E-2</v>
      </c>
      <c r="K784" s="19">
        <f t="shared" si="89"/>
        <v>1361.4980823864457</v>
      </c>
      <c r="L784" s="20">
        <f t="shared" si="90"/>
        <v>0.96916447800489725</v>
      </c>
      <c r="M784" s="20">
        <f t="shared" si="91"/>
        <v>-2.9164478004899519E-2</v>
      </c>
      <c r="AB784" s="20">
        <f t="shared" si="92"/>
        <v>0.96792474296469067</v>
      </c>
    </row>
    <row r="785" spans="1:28">
      <c r="A785" s="18" t="str">
        <f>Analysis!A785</f>
        <v>6/2023</v>
      </c>
      <c r="B785" s="19">
        <f>Analysis!B785</f>
        <v>2023.4583333333333</v>
      </c>
      <c r="C785" s="19">
        <f>Analysis!E785</f>
        <v>1.0899999999999999</v>
      </c>
      <c r="D785" s="20">
        <f>Analysis!F785</f>
        <v>0.59754820008752652</v>
      </c>
      <c r="E785" s="19">
        <f>IF(ENSO!F785="","",ENSO!F785)</f>
        <v>0.73</v>
      </c>
      <c r="F785" s="25">
        <f>IF(Volcanic!G785="","",Volcanic!G785)</f>
        <v>1.6219999999999998E-2</v>
      </c>
      <c r="G785" s="19">
        <f>IF(Solar!D785="","",Solar!D785)</f>
        <v>1362.05</v>
      </c>
      <c r="H785" s="20">
        <f t="shared" si="86"/>
        <v>0.59754820008752652</v>
      </c>
      <c r="I785" s="20">
        <f t="shared" si="87"/>
        <v>-0.16269222309298054</v>
      </c>
      <c r="J785" s="25">
        <f t="shared" si="88"/>
        <v>1.8723692650529245E-2</v>
      </c>
      <c r="K785" s="19">
        <f t="shared" si="89"/>
        <v>1361.5422112823137</v>
      </c>
      <c r="L785" s="20">
        <f t="shared" si="90"/>
        <v>0.98980445668698147</v>
      </c>
      <c r="M785" s="20">
        <f t="shared" si="91"/>
        <v>0.10019554331301839</v>
      </c>
      <c r="AB785" s="20">
        <f t="shared" si="92"/>
        <v>0.98712202384304737</v>
      </c>
    </row>
    <row r="786" spans="1:28">
      <c r="A786" s="18" t="str">
        <f>Analysis!A786</f>
        <v>7/2023</v>
      </c>
      <c r="B786" s="19">
        <f>Analysis!B786</f>
        <v>2023.5416666666667</v>
      </c>
      <c r="C786" s="19">
        <f>Analysis!E786</f>
        <v>1.1899999999999977</v>
      </c>
      <c r="D786" s="20">
        <f>Analysis!F786</f>
        <v>0.59123487420164555</v>
      </c>
      <c r="E786" s="19">
        <f>IF(ENSO!F786="","",ENSO!F786)</f>
        <v>1</v>
      </c>
      <c r="F786" s="25">
        <f>IF(Volcanic!G786="","",Volcanic!G786)</f>
        <v>1.4800000000000001E-2</v>
      </c>
      <c r="G786" s="19">
        <f>IF(Solar!D786="","",Solar!D786)</f>
        <v>1361.65</v>
      </c>
      <c r="H786" s="20">
        <f t="shared" si="86"/>
        <v>0.59123487420164555</v>
      </c>
      <c r="I786" s="20">
        <f t="shared" si="87"/>
        <v>1.5802281479351088E-2</v>
      </c>
      <c r="J786" s="25">
        <f t="shared" si="88"/>
        <v>1.8409971507841558E-2</v>
      </c>
      <c r="K786" s="19">
        <f t="shared" si="89"/>
        <v>1361.5508295923325</v>
      </c>
      <c r="L786" s="20">
        <f t="shared" si="90"/>
        <v>0.99898570486278837</v>
      </c>
      <c r="M786" s="20">
        <f t="shared" si="91"/>
        <v>0.19101429513720936</v>
      </c>
      <c r="AB786" s="20">
        <f t="shared" si="92"/>
        <v>0.9948659983843029</v>
      </c>
    </row>
    <row r="787" spans="1:28">
      <c r="A787" s="18" t="str">
        <f>Analysis!A787</f>
        <v>8/2023</v>
      </c>
      <c r="B787" s="19">
        <f>Analysis!B787</f>
        <v>2023.625</v>
      </c>
      <c r="C787" s="19">
        <f>Analysis!E787</f>
        <v>1.1899999999999977</v>
      </c>
      <c r="D787" s="20">
        <f>Analysis!F787</f>
        <v>0.58386288554529309</v>
      </c>
      <c r="E787" s="19">
        <f>IF(ENSO!F787="","",ENSO!F787)</f>
        <v>1.25</v>
      </c>
      <c r="F787" s="25">
        <f>IF(Volcanic!G787="","",Volcanic!G787)</f>
        <v>1.3599999999999999E-2</v>
      </c>
      <c r="G787" s="19">
        <f>IF(Solar!D787="","",Solar!D787)</f>
        <v>1362.24</v>
      </c>
      <c r="H787" s="20">
        <f t="shared" si="86"/>
        <v>0.58386288554529309</v>
      </c>
      <c r="I787" s="20">
        <f t="shared" si="87"/>
        <v>0.20527418637058045</v>
      </c>
      <c r="J787" s="25">
        <f t="shared" si="88"/>
        <v>1.802538742031581E-2</v>
      </c>
      <c r="K787" s="19">
        <f t="shared" si="89"/>
        <v>1361.6059326156978</v>
      </c>
      <c r="L787" s="20">
        <f t="shared" si="90"/>
        <v>1.0070936801250772</v>
      </c>
      <c r="M787" s="20">
        <f t="shared" si="91"/>
        <v>0.18290631987492056</v>
      </c>
      <c r="AB787" s="20">
        <f t="shared" si="92"/>
        <v>1.0014882455200005</v>
      </c>
    </row>
    <row r="788" spans="1:28">
      <c r="A788" s="18" t="str">
        <f>Analysis!A788</f>
        <v>9/2023</v>
      </c>
      <c r="B788" s="19">
        <f>Analysis!B788</f>
        <v>2023.7083333333333</v>
      </c>
      <c r="C788" s="19">
        <f>Analysis!E788</f>
        <v>1.4800000000000022</v>
      </c>
      <c r="D788" s="20">
        <f>Analysis!F788</f>
        <v>0.57980079560537734</v>
      </c>
      <c r="E788" s="19">
        <f>IF(ENSO!F788="","",ENSO!F788)</f>
        <v>1.5</v>
      </c>
      <c r="F788" s="25">
        <f>IF(Volcanic!G788="","",Volcanic!G788)</f>
        <v>1.3509999999999999E-2</v>
      </c>
      <c r="G788" s="19">
        <f>IF(Solar!D788="","",Solar!D788)</f>
        <v>1362.19</v>
      </c>
      <c r="H788" s="20">
        <f t="shared" si="86"/>
        <v>0.57980079560537734</v>
      </c>
      <c r="I788" s="20">
        <f t="shared" si="87"/>
        <v>0.40403826001856513</v>
      </c>
      <c r="J788" s="25">
        <f t="shared" si="88"/>
        <v>1.7664356975949071E-2</v>
      </c>
      <c r="K788" s="19">
        <f t="shared" si="89"/>
        <v>1361.6526320653056</v>
      </c>
      <c r="L788" s="20">
        <f t="shared" si="90"/>
        <v>1.0253836143780357</v>
      </c>
      <c r="M788" s="20">
        <f t="shared" si="91"/>
        <v>0.45461638562196649</v>
      </c>
      <c r="AB788" s="20">
        <f t="shared" si="92"/>
        <v>1.0181145157908262</v>
      </c>
    </row>
    <row r="789" spans="1:28">
      <c r="A789" s="18" t="str">
        <f>Analysis!A789</f>
        <v>10/2023</v>
      </c>
      <c r="B789" s="19">
        <f>Analysis!B789</f>
        <v>2023.7916666666667</v>
      </c>
      <c r="C789" s="19">
        <f>Analysis!E789</f>
        <v>1.3499999999999979</v>
      </c>
      <c r="D789" s="20">
        <f>Analysis!F789</f>
        <v>0.58090351006474894</v>
      </c>
      <c r="E789" s="19">
        <f>IF(ENSO!F789="","",ENSO!F789)</f>
        <v>1.74</v>
      </c>
      <c r="F789" s="25">
        <f>IF(Volcanic!G789="","",Volcanic!G789)</f>
        <v>1.3769999999999999E-2</v>
      </c>
      <c r="G789" s="19">
        <f>IF(Solar!D789="","",Solar!D789)</f>
        <v>1362.38</v>
      </c>
      <c r="H789" s="20">
        <f t="shared" si="86"/>
        <v>0.58090351006474894</v>
      </c>
      <c r="I789" s="20">
        <f t="shared" si="87"/>
        <v>0.60913280195264896</v>
      </c>
      <c r="J789" s="25">
        <f t="shared" si="88"/>
        <v>1.7352981384294686E-2</v>
      </c>
      <c r="K789" s="19">
        <f t="shared" si="89"/>
        <v>1361.710789194304</v>
      </c>
      <c r="L789" s="20">
        <f t="shared" si="90"/>
        <v>1.0583649920304046</v>
      </c>
      <c r="M789" s="20">
        <f t="shared" si="91"/>
        <v>0.2916350079695933</v>
      </c>
      <c r="AB789" s="20">
        <f t="shared" si="92"/>
        <v>1.0492277340761447</v>
      </c>
    </row>
    <row r="790" spans="1:28">
      <c r="A790" s="18" t="str">
        <f>Analysis!A790</f>
        <v>11/2023</v>
      </c>
      <c r="B790" s="19">
        <f>Analysis!B790</f>
        <v>2023.875</v>
      </c>
      <c r="C790" s="19">
        <f>Analysis!E790</f>
        <v>1.3999999999999986</v>
      </c>
      <c r="D790" s="20">
        <f>Analysis!F790</f>
        <v>0.58654173063114645</v>
      </c>
      <c r="E790" s="19">
        <f>IF(ENSO!F790="","",ENSO!F790)</f>
        <v>1.9</v>
      </c>
      <c r="F790" s="25">
        <f>IF(Volcanic!G790="","",Volcanic!G790)</f>
        <v>1.2930000000000001E-2</v>
      </c>
      <c r="G790" s="19">
        <f>IF(Solar!D790="","",Solar!D790)</f>
        <v>1362.12</v>
      </c>
      <c r="H790" s="20">
        <f t="shared" si="86"/>
        <v>0.58654173063114645</v>
      </c>
      <c r="I790" s="20">
        <f t="shared" si="87"/>
        <v>0.80730450759216432</v>
      </c>
      <c r="J790" s="25">
        <f t="shared" si="88"/>
        <v>1.6999339318629798E-2</v>
      </c>
      <c r="K790" s="19">
        <f t="shared" si="89"/>
        <v>1361.7435078838134</v>
      </c>
      <c r="L790" s="20">
        <f t="shared" si="90"/>
        <v>1.102777593678625</v>
      </c>
      <c r="M790" s="20">
        <f t="shared" si="91"/>
        <v>0.29722240632137353</v>
      </c>
      <c r="AB790" s="20">
        <f t="shared" si="92"/>
        <v>1.0917543749064924</v>
      </c>
    </row>
    <row r="791" spans="1:28">
      <c r="A791" s="18" t="str">
        <f>Analysis!A791</f>
        <v>12/2023</v>
      </c>
      <c r="B791" s="19">
        <f>Analysis!B791</f>
        <v>2023.9583333333333</v>
      </c>
      <c r="C791" s="19">
        <f>Analysis!E791</f>
        <v>1.3599999999999977</v>
      </c>
      <c r="D791" s="20">
        <f>Analysis!F791</f>
        <v>0.59133747314496576</v>
      </c>
      <c r="E791" s="19">
        <f>IF(ENSO!F791="","",ENSO!F791)</f>
        <v>1.99</v>
      </c>
      <c r="F791" s="25">
        <f>IF(Volcanic!G791="","",Volcanic!G791)</f>
        <v>1.235E-2</v>
      </c>
      <c r="G791" s="19">
        <f>IF(Solar!D791="","",Solar!D791)</f>
        <v>1361.97</v>
      </c>
      <c r="H791" s="20">
        <f t="shared" si="86"/>
        <v>0.59133747314496576</v>
      </c>
      <c r="I791" s="20">
        <f t="shared" si="87"/>
        <v>0.98886987956626105</v>
      </c>
      <c r="J791" s="25">
        <f t="shared" si="88"/>
        <v>1.6627598671821849E-2</v>
      </c>
      <c r="K791" s="19">
        <f t="shared" si="89"/>
        <v>1361.7616171935451</v>
      </c>
      <c r="L791" s="20">
        <f t="shared" si="90"/>
        <v>1.1426298833265738</v>
      </c>
      <c r="M791" s="20">
        <f t="shared" si="91"/>
        <v>0.21737011667342387</v>
      </c>
      <c r="AB791" s="20">
        <f t="shared" si="92"/>
        <v>1.1299099107280646</v>
      </c>
    </row>
    <row r="792" spans="1:28">
      <c r="A792" s="18" t="str">
        <f>Analysis!A792</f>
        <v>1/2024</v>
      </c>
      <c r="B792" s="19">
        <f>Analysis!B792</f>
        <v>2024.0416666666667</v>
      </c>
      <c r="C792" s="19">
        <f>Analysis!E792</f>
        <v>1.25</v>
      </c>
      <c r="D792" s="20">
        <f>Analysis!F792</f>
        <v>0.5945485495503543</v>
      </c>
      <c r="E792" s="19">
        <f>IF(ENSO!F792="","",ENSO!F792)</f>
        <v>1.84</v>
      </c>
      <c r="F792" s="25">
        <f>IF(Volcanic!G792="","",Volcanic!G792)</f>
        <v>1.175E-2</v>
      </c>
      <c r="G792" s="19" t="str">
        <f>IF(Solar!D792="","",Solar!D792)</f>
        <v/>
      </c>
      <c r="H792" s="20">
        <f t="shared" si="86"/>
        <v>0.5945485495503543</v>
      </c>
      <c r="I792" s="20">
        <f t="shared" si="87"/>
        <v>1.1195339075488926</v>
      </c>
      <c r="J792" s="25">
        <f t="shared" si="88"/>
        <v>1.6237607414813098E-2</v>
      </c>
      <c r="K792" s="19" t="str">
        <f t="shared" si="89"/>
        <v/>
      </c>
      <c r="L792" s="20">
        <f t="shared" si="90"/>
        <v>1.1710756257497681</v>
      </c>
      <c r="M792" s="20">
        <f t="shared" si="91"/>
        <v>7.892437425023191E-2</v>
      </c>
      <c r="AB792" s="20">
        <f t="shared" si="92"/>
        <v>1.1571981307375063</v>
      </c>
    </row>
    <row r="793" spans="1:28">
      <c r="A793" s="18" t="str">
        <f>Analysis!A793</f>
        <v>2/2024</v>
      </c>
      <c r="B793" s="19">
        <f>Analysis!B793</f>
        <v>2024.125</v>
      </c>
      <c r="C793" s="19">
        <f>Analysis!E793</f>
        <v>1.4400000000000013</v>
      </c>
      <c r="D793" s="20">
        <f>Analysis!F793</f>
        <v>0.60050764534578571</v>
      </c>
      <c r="E793" s="19">
        <f>IF(ENSO!F793="","",ENSO!F793)</f>
        <v>1.53</v>
      </c>
      <c r="F793" s="25">
        <f>IF(Volcanic!G793="","",Volcanic!G793)</f>
        <v>1.065E-2</v>
      </c>
      <c r="G793" s="19" t="str">
        <f>IF(Solar!D793="","",Solar!D793)</f>
        <v/>
      </c>
      <c r="H793" s="20">
        <f t="shared" si="86"/>
        <v>0.60050764534578571</v>
      </c>
      <c r="I793" s="20">
        <f t="shared" si="87"/>
        <v>1.1825479540528763</v>
      </c>
      <c r="J793" s="25">
        <f t="shared" si="88"/>
        <v>1.5790846993140182E-2</v>
      </c>
      <c r="K793" s="19" t="str">
        <f t="shared" si="89"/>
        <v/>
      </c>
      <c r="L793" s="20">
        <f t="shared" si="90"/>
        <v>1.1975982417135322</v>
      </c>
      <c r="M793" s="20">
        <f t="shared" si="91"/>
        <v>0.24240175828646904</v>
      </c>
      <c r="AB793" s="20">
        <f t="shared" si="92"/>
        <v>1.1831829163829362</v>
      </c>
    </row>
    <row r="794" spans="1:28">
      <c r="A794" s="18" t="str">
        <f>Analysis!A794</f>
        <v>3/2024</v>
      </c>
      <c r="B794" s="19">
        <f>Analysis!B794</f>
        <v>2024.2083333333333</v>
      </c>
      <c r="C794" s="19">
        <f>Analysis!E794</f>
        <v>1.3999999999999986</v>
      </c>
      <c r="D794" s="20">
        <f>Analysis!F794</f>
        <v>0.6033253768403416</v>
      </c>
      <c r="E794" s="19">
        <f>IF(ENSO!F794="","",ENSO!F794)</f>
        <v>1.18</v>
      </c>
      <c r="F794" s="25">
        <f>IF(Volcanic!G794="","",Volcanic!G794)</f>
        <v>9.9600000000000001E-3</v>
      </c>
      <c r="G794" s="19" t="str">
        <f>IF(Solar!D794="","",Solar!D794)</f>
        <v/>
      </c>
      <c r="H794" s="20">
        <f t="shared" si="86"/>
        <v>0.6033253768403416</v>
      </c>
      <c r="I794" s="20">
        <f t="shared" si="87"/>
        <v>1.1821567965416206</v>
      </c>
      <c r="J794" s="25">
        <f t="shared" si="88"/>
        <v>1.5324638208596808E-2</v>
      </c>
      <c r="K794" s="19" t="str">
        <f t="shared" si="89"/>
        <v/>
      </c>
      <c r="L794" s="20">
        <f t="shared" si="90"/>
        <v>1.2067442340227472</v>
      </c>
      <c r="M794" s="20">
        <f t="shared" si="91"/>
        <v>0.19325576597725136</v>
      </c>
      <c r="AB794" s="20">
        <f t="shared" si="92"/>
        <v>1.1924882396345258</v>
      </c>
    </row>
    <row r="795" spans="1:28">
      <c r="A795" s="18" t="str">
        <f>Analysis!A795</f>
        <v>4/2024</v>
      </c>
      <c r="B795" s="19">
        <f>Analysis!B795</f>
        <v>2024.2916666666667</v>
      </c>
      <c r="C795" s="19">
        <f>Analysis!E795</f>
        <v>1.3200000000000003</v>
      </c>
      <c r="D795" s="20">
        <f>Analysis!F795</f>
        <v>0.60715274035522215</v>
      </c>
      <c r="E795" s="19">
        <f>IF(ENSO!F795="","",ENSO!F795)</f>
        <v>0.77</v>
      </c>
      <c r="F795" s="25">
        <f>IF(Volcanic!G795="","",Volcanic!G795)</f>
        <v>9.6799999999999994E-3</v>
      </c>
      <c r="G795" s="19" t="str">
        <f>IF(Solar!D795="","",Solar!D795)</f>
        <v/>
      </c>
      <c r="H795" s="20">
        <f t="shared" si="86"/>
        <v>0.60715274035522215</v>
      </c>
      <c r="I795" s="20">
        <f t="shared" si="87"/>
        <v>1.1188831960619408</v>
      </c>
      <c r="J795" s="25">
        <f t="shared" si="88"/>
        <v>1.4873317856422763E-2</v>
      </c>
      <c r="K795" s="19" t="str">
        <f t="shared" si="89"/>
        <v/>
      </c>
      <c r="L795" s="20">
        <f t="shared" si="90"/>
        <v>1.2096959079994687</v>
      </c>
      <c r="M795" s="20">
        <f t="shared" si="91"/>
        <v>0.1103040920005316</v>
      </c>
      <c r="AB795" s="20">
        <f t="shared" si="92"/>
        <v>1.1961789853409288</v>
      </c>
    </row>
    <row r="796" spans="1:28">
      <c r="A796" s="18" t="str">
        <f>Analysis!A796</f>
        <v>5/2024</v>
      </c>
      <c r="B796" s="19">
        <f>Analysis!B796</f>
        <v>2024.375</v>
      </c>
      <c r="C796" s="19">
        <f>Analysis!E796</f>
        <v>1.1600000000000001</v>
      </c>
      <c r="D796" s="20">
        <f>Analysis!F796</f>
        <v>0.60847133541530962</v>
      </c>
      <c r="E796" s="19">
        <f>IF(ENSO!F796="","",ENSO!F796)</f>
        <v>0.43</v>
      </c>
      <c r="F796" s="25">
        <f>IF(Volcanic!G796="","",Volcanic!G796)</f>
        <v>1.523E-2</v>
      </c>
      <c r="G796" s="19" t="str">
        <f>IF(Solar!D796="","",Solar!D796)</f>
        <v/>
      </c>
      <c r="H796" s="20">
        <f t="shared" si="86"/>
        <v>0.60847133541530962</v>
      </c>
      <c r="I796" s="20">
        <f t="shared" si="87"/>
        <v>1.0131270360506708</v>
      </c>
      <c r="J796" s="25">
        <f t="shared" si="88"/>
        <v>1.4901836586003749E-2</v>
      </c>
      <c r="K796" s="19" t="str">
        <f t="shared" si="89"/>
        <v/>
      </c>
      <c r="L796" s="20">
        <f t="shared" si="90"/>
        <v>1.1982404595312421</v>
      </c>
      <c r="M796" s="20">
        <f t="shared" si="91"/>
        <v>-3.8240459531241999E-2</v>
      </c>
      <c r="AB796" s="20">
        <f t="shared" si="92"/>
        <v>1.1857056844766198</v>
      </c>
    </row>
    <row r="797" spans="1:28">
      <c r="A797" s="18" t="str">
        <f>Analysis!A797</f>
        <v>6/2024</v>
      </c>
      <c r="B797" s="19">
        <f>Analysis!B797</f>
        <v>2024.4583333333333</v>
      </c>
      <c r="C797" s="19">
        <f>Analysis!E797</f>
        <v>1.2299999999999986</v>
      </c>
      <c r="D797" s="20">
        <f>Analysis!F797</f>
        <v>0.60850512970305437</v>
      </c>
      <c r="E797" s="19">
        <f>IF(ENSO!F797="","",ENSO!F797)</f>
        <v>0.18</v>
      </c>
      <c r="F797" s="25">
        <f>IF(Volcanic!G797="","",Volcanic!G797)</f>
        <v>1.8540000000000001E-2</v>
      </c>
      <c r="G797" s="19" t="str">
        <f>IF(Solar!D797="","",Solar!D797)</f>
        <v/>
      </c>
      <c r="H797" s="20">
        <f t="shared" si="86"/>
        <v>0.60850512970305437</v>
      </c>
      <c r="I797" s="20">
        <f t="shared" si="87"/>
        <v>0.88522681052917662</v>
      </c>
      <c r="J797" s="25">
        <f t="shared" si="88"/>
        <v>1.5192728071443999E-2</v>
      </c>
      <c r="K797" s="19" t="str">
        <f t="shared" si="89"/>
        <v/>
      </c>
      <c r="L797" s="20">
        <f t="shared" si="90"/>
        <v>1.1792956264003696</v>
      </c>
      <c r="M797" s="20">
        <f t="shared" si="91"/>
        <v>5.0704373599629093E-2</v>
      </c>
      <c r="AB797" s="20">
        <f t="shared" si="92"/>
        <v>1.1678633687603985</v>
      </c>
    </row>
    <row r="798" spans="1:28">
      <c r="A798" s="18" t="str">
        <f>Analysis!A798</f>
        <v>7/2024</v>
      </c>
      <c r="B798" s="19">
        <f>Analysis!B798</f>
        <v>2024.5416666666667</v>
      </c>
      <c r="C798" s="19">
        <f>Analysis!E798</f>
        <v>1.2000000000000011</v>
      </c>
      <c r="D798" s="20">
        <f>Analysis!F798</f>
        <v>0.60390182416318638</v>
      </c>
      <c r="E798" s="19">
        <f>IF(ENSO!F798="","",ENSO!F798)</f>
        <v>0.06</v>
      </c>
      <c r="F798" s="25">
        <f>IF(Volcanic!G798="","",Volcanic!G798)</f>
        <v>1.687E-2</v>
      </c>
      <c r="G798" s="19" t="str">
        <f>IF(Solar!D798="","",Solar!D798)</f>
        <v/>
      </c>
      <c r="H798" s="20">
        <f t="shared" si="86"/>
        <v>0.60390182416318638</v>
      </c>
      <c r="I798" s="20">
        <f t="shared" si="87"/>
        <v>0.7585394140027174</v>
      </c>
      <c r="J798" s="25">
        <f t="shared" si="88"/>
        <v>1.5326835330317498E-2</v>
      </c>
      <c r="K798" s="19" t="str">
        <f t="shared" si="89"/>
        <v/>
      </c>
      <c r="L798" s="20">
        <f t="shared" si="90"/>
        <v>1.1485142957048553</v>
      </c>
      <c r="M798" s="20">
        <f t="shared" si="91"/>
        <v>5.1485704295145762E-2</v>
      </c>
      <c r="AB798" s="20">
        <f t="shared" si="92"/>
        <v>1.1383543694910276</v>
      </c>
    </row>
    <row r="799" spans="1:28">
      <c r="A799" s="18" t="str">
        <f>Analysis!A799</f>
        <v>8/2024</v>
      </c>
      <c r="B799" s="19">
        <f>Analysis!B799</f>
        <v>2024.625</v>
      </c>
      <c r="C799" s="19">
        <f>Analysis!E799</f>
        <v>1.3000000000000043</v>
      </c>
      <c r="D799" s="20">
        <f>Analysis!F799</f>
        <v>0.5951967295060876</v>
      </c>
      <c r="E799" s="19">
        <f>IF(ENSO!F799="","",ENSO!F799)</f>
        <v>-0.04</v>
      </c>
      <c r="F799" s="25">
        <f>IF(Volcanic!G799="","",Volcanic!G799)</f>
        <v>1.6629999999999999E-2</v>
      </c>
      <c r="G799" s="19" t="str">
        <f>IF(Solar!D799="","",Solar!D799)</f>
        <v/>
      </c>
      <c r="H799" s="20">
        <f t="shared" si="86"/>
        <v>0.5951967295060876</v>
      </c>
      <c r="I799" s="20">
        <f t="shared" si="87"/>
        <v>0.63594902055816049</v>
      </c>
      <c r="J799" s="25">
        <f t="shared" si="88"/>
        <v>1.5431030624316347E-2</v>
      </c>
      <c r="K799" s="19" t="str">
        <f t="shared" si="89"/>
        <v/>
      </c>
      <c r="L799" s="20">
        <f t="shared" si="90"/>
        <v>1.107320659452544</v>
      </c>
      <c r="M799" s="20">
        <f t="shared" si="91"/>
        <v>0.19267934054746028</v>
      </c>
      <c r="AB799" s="20">
        <f t="shared" si="92"/>
        <v>1.0985024242228887</v>
      </c>
    </row>
    <row r="800" spans="1:28">
      <c r="A800" s="18" t="str">
        <f>Analysis!A800</f>
        <v>9/2024</v>
      </c>
      <c r="B800" s="19">
        <f>Analysis!B800</f>
        <v>2024.7083333333333</v>
      </c>
      <c r="C800" s="19">
        <f>Analysis!E800</f>
        <v>1.2099999999999991</v>
      </c>
      <c r="D800" s="20">
        <f>Analysis!F800</f>
        <v>0.59191872937568002</v>
      </c>
      <c r="E800" s="19">
        <f>IF(ENSO!F800="","",ENSO!F800)</f>
        <v>-0.12</v>
      </c>
      <c r="F800" s="25">
        <f>IF(Volcanic!G800="","",Volcanic!G800)</f>
        <v>1.5630000000000002E-2</v>
      </c>
      <c r="G800" s="19" t="str">
        <f>IF(Solar!D800="","",Solar!D800)</f>
        <v/>
      </c>
      <c r="H800" s="20">
        <f t="shared" si="86"/>
        <v>0.59191872937568002</v>
      </c>
      <c r="I800" s="20">
        <f t="shared" si="87"/>
        <v>0.51989703085144201</v>
      </c>
      <c r="J800" s="25">
        <f t="shared" si="88"/>
        <v>1.5446939337219971E-2</v>
      </c>
      <c r="K800" s="19" t="str">
        <f t="shared" si="89"/>
        <v/>
      </c>
      <c r="L800" s="20">
        <f t="shared" si="90"/>
        <v>1.0820250383517624</v>
      </c>
      <c r="M800" s="20">
        <f t="shared" si="91"/>
        <v>0.12797496164823663</v>
      </c>
      <c r="AB800" s="20">
        <f t="shared" si="92"/>
        <v>1.0744012281425317</v>
      </c>
    </row>
    <row r="801" spans="1:28">
      <c r="A801" s="18" t="str">
        <f>Analysis!A801</f>
        <v>10/2024</v>
      </c>
      <c r="B801" s="19">
        <f>Analysis!B801</f>
        <v>2024.7916666666667</v>
      </c>
      <c r="C801" s="19">
        <f>Analysis!E801</f>
        <v>1.3499999999999979</v>
      </c>
      <c r="D801" s="20">
        <f>Analysis!F801</f>
        <v>0.59311469648461523</v>
      </c>
      <c r="E801" s="19">
        <f>IF(ENSO!F801="","",ENSO!F801)</f>
        <v>-0.19</v>
      </c>
      <c r="F801" s="25">
        <f>IF(Volcanic!G801="","",Volcanic!G801)</f>
        <v>1.5779999999999999E-2</v>
      </c>
      <c r="G801" s="19" t="str">
        <f>IF(Solar!D801="","",Solar!D801)</f>
        <v/>
      </c>
      <c r="H801" s="20">
        <f t="shared" si="86"/>
        <v>0.59311469648461523</v>
      </c>
      <c r="I801" s="20">
        <f t="shared" si="87"/>
        <v>0.41091486316985409</v>
      </c>
      <c r="J801" s="25">
        <f t="shared" si="88"/>
        <v>1.5473569397476492E-2</v>
      </c>
      <c r="K801" s="19" t="str">
        <f t="shared" si="89"/>
        <v/>
      </c>
      <c r="L801" s="20">
        <f t="shared" si="90"/>
        <v>1.0697891322993069</v>
      </c>
      <c r="M801" s="20">
        <f t="shared" si="91"/>
        <v>0.28021086770069092</v>
      </c>
      <c r="AB801" s="20">
        <f t="shared" si="92"/>
        <v>1.0631825053192123</v>
      </c>
    </row>
    <row r="802" spans="1:28">
      <c r="A802" s="18" t="str">
        <f>Analysis!A802</f>
        <v>11/2024</v>
      </c>
      <c r="B802" s="19">
        <f>Analysis!B802</f>
        <v>2024.875</v>
      </c>
      <c r="C802" s="19">
        <f>Analysis!E802</f>
        <v>1.3000000000000043</v>
      </c>
      <c r="D802" s="20">
        <f>Analysis!F802</f>
        <v>0.59812695991960418</v>
      </c>
      <c r="E802" s="19">
        <f>IF(ENSO!F802="","",ENSO!F802)</f>
        <v>-0.28999999999999998</v>
      </c>
      <c r="F802" s="25">
        <f>IF(Volcanic!G802="","",Volcanic!G802)</f>
        <v>1.6060000000000001E-2</v>
      </c>
      <c r="G802" s="19" t="str">
        <f>IF(Solar!D802="","",Solar!D802)</f>
        <v/>
      </c>
      <c r="H802" s="20">
        <f t="shared" si="86"/>
        <v>0.59812695991960418</v>
      </c>
      <c r="I802" s="20">
        <f t="shared" si="87"/>
        <v>0.30331162237748688</v>
      </c>
      <c r="J802" s="25">
        <f t="shared" si="88"/>
        <v>1.5520457799580539E-2</v>
      </c>
      <c r="K802" s="19" t="str">
        <f t="shared" si="89"/>
        <v/>
      </c>
      <c r="L802" s="20">
        <f t="shared" si="90"/>
        <v>1.0679990269592672</v>
      </c>
      <c r="M802" s="20">
        <f t="shared" si="91"/>
        <v>0.23200097304073708</v>
      </c>
      <c r="AB802" s="20">
        <f t="shared" si="92"/>
        <v>1.0622982694133636</v>
      </c>
    </row>
    <row r="803" spans="1:28">
      <c r="A803" s="18" t="str">
        <f>Analysis!A803</f>
        <v>12/2024</v>
      </c>
      <c r="B803" s="19">
        <f>Analysis!B803</f>
        <v>2024.9583333333333</v>
      </c>
      <c r="C803" s="19">
        <f>Analysis!E803</f>
        <v>1.2700000000000014</v>
      </c>
      <c r="D803" s="20">
        <f>Analysis!F803</f>
        <v>0.60339320612834335</v>
      </c>
      <c r="E803" s="19">
        <f>IF(ENSO!F803="","",ENSO!F803)</f>
        <v>-0.43</v>
      </c>
      <c r="F803" s="25">
        <f>IF(Volcanic!G803="","",Volcanic!G803)</f>
        <v>1.601E-2</v>
      </c>
      <c r="G803" s="19" t="str">
        <f>IF(Solar!D803="","",Solar!D803)</f>
        <v/>
      </c>
      <c r="H803" s="20">
        <f t="shared" si="86"/>
        <v>0.60339320612834335</v>
      </c>
      <c r="I803" s="20">
        <f t="shared" si="87"/>
        <v>0.1907348869924298</v>
      </c>
      <c r="J803" s="25">
        <f t="shared" si="88"/>
        <v>1.5559599432778726E-2</v>
      </c>
      <c r="K803" s="19" t="str">
        <f t="shared" si="89"/>
        <v/>
      </c>
      <c r="L803" s="20">
        <f t="shared" si="90"/>
        <v>1.0662201507828259</v>
      </c>
      <c r="M803" s="20">
        <f t="shared" si="91"/>
        <v>0.2037798492171754</v>
      </c>
      <c r="AB803" s="20">
        <f t="shared" si="92"/>
        <v>1.0614713105837996</v>
      </c>
    </row>
    <row r="804" spans="1:28">
      <c r="A804" s="18" t="str">
        <f>Analysis!A804</f>
        <v>1/2025</v>
      </c>
      <c r="B804" s="19">
        <f>Analysis!B804</f>
        <v>2025.0416666666667</v>
      </c>
      <c r="C804" s="19">
        <f>Analysis!E804</f>
        <v>1.379999999999999</v>
      </c>
      <c r="D804" s="20">
        <f>Analysis!F804</f>
        <v>0.60762622084548734</v>
      </c>
      <c r="E804" s="19">
        <f>IF(ENSO!F804="","",ENSO!F804)</f>
        <v>-0.46</v>
      </c>
      <c r="F804" s="25">
        <f>IF(Volcanic!G804="","",Volcanic!G804)</f>
        <v>1.532E-2</v>
      </c>
      <c r="G804" s="19" t="str">
        <f>IF(Solar!D804="","",Solar!D804)</f>
        <v/>
      </c>
      <c r="H804" s="20">
        <f t="shared" si="86"/>
        <v>0.60762622084548734</v>
      </c>
      <c r="I804" s="20">
        <f t="shared" si="87"/>
        <v>9.0835189587850834E-2</v>
      </c>
      <c r="J804" s="25">
        <f t="shared" si="88"/>
        <v>1.5540442119876423E-2</v>
      </c>
      <c r="K804" s="19" t="str">
        <f t="shared" si="89"/>
        <v/>
      </c>
      <c r="L804" s="20">
        <f t="shared" si="90"/>
        <v>1.0636340049815243</v>
      </c>
      <c r="M804" s="20">
        <f t="shared" si="91"/>
        <v>0.31636599501847473</v>
      </c>
      <c r="AB804" s="20">
        <f t="shared" si="92"/>
        <v>1.059765597627268</v>
      </c>
    </row>
    <row r="805" spans="1:28">
      <c r="A805" s="18" t="str">
        <f>Analysis!A805</f>
        <v>2/2025</v>
      </c>
      <c r="B805" s="19">
        <f>Analysis!B805</f>
        <v>2025.125</v>
      </c>
      <c r="C805" s="19">
        <f>Analysis!E805</f>
        <v>1.2600000000000033</v>
      </c>
      <c r="D805" s="20">
        <f>Analysis!F805</f>
        <v>0.60911329155599458</v>
      </c>
      <c r="E805" s="19">
        <f>IF(ENSO!F805="","",ENSO!F805)</f>
        <v>-0.22</v>
      </c>
      <c r="F805" s="25">
        <f>IF(Volcanic!G805="","",Volcanic!G805)</f>
        <v>1.4789999999999999E-2</v>
      </c>
      <c r="G805" s="19" t="str">
        <f>IF(Solar!D805="","",Solar!D805)</f>
        <v/>
      </c>
      <c r="H805" s="20">
        <f t="shared" si="86"/>
        <v>0.60911329155599458</v>
      </c>
      <c r="I805" s="20">
        <f t="shared" si="87"/>
        <v>4.3116307439025031E-2</v>
      </c>
      <c r="J805" s="25">
        <f t="shared" si="88"/>
        <v>1.5480440080894891E-2</v>
      </c>
      <c r="K805" s="19" t="str">
        <f t="shared" si="89"/>
        <v/>
      </c>
      <c r="L805" s="20">
        <f t="shared" si="90"/>
        <v>1.0611247172655247</v>
      </c>
      <c r="M805" s="20">
        <f t="shared" si="91"/>
        <v>0.19887528273447863</v>
      </c>
      <c r="AB805" s="20">
        <f t="shared" si="92"/>
        <v>1.0577133258989901</v>
      </c>
    </row>
    <row r="806" spans="1:28">
      <c r="A806" s="18" t="str">
        <f>Analysis!A806</f>
        <v>3/2025</v>
      </c>
      <c r="B806" s="19">
        <f>Analysis!B806</f>
        <v>2025.2083333333333</v>
      </c>
      <c r="C806" s="19">
        <f>Analysis!E806</f>
        <v>1.370000000000001</v>
      </c>
      <c r="D806" s="20">
        <f>Analysis!F806</f>
        <v>0.61268949829656494</v>
      </c>
      <c r="E806" s="19">
        <f>IF(ENSO!F806="","",ENSO!F806)</f>
        <v>-0.08</v>
      </c>
      <c r="F806" s="25">
        <f>IF(Volcanic!G806="","",Volcanic!G806)</f>
        <v>1.422E-2</v>
      </c>
      <c r="G806" s="19" t="str">
        <f>IF(Solar!D806="","",Solar!D806)</f>
        <v/>
      </c>
      <c r="H806" s="20">
        <f t="shared" si="86"/>
        <v>0.61268949829656494</v>
      </c>
      <c r="I806" s="20">
        <f t="shared" si="87"/>
        <v>2.4215704283149057E-2</v>
      </c>
      <c r="J806" s="25">
        <f t="shared" si="88"/>
        <v>1.5379660856402279E-2</v>
      </c>
      <c r="K806" s="19" t="str">
        <f t="shared" si="89"/>
        <v/>
      </c>
      <c r="L806" s="20">
        <f t="shared" si="90"/>
        <v>1.0684700121348858</v>
      </c>
      <c r="M806" s="20">
        <f t="shared" si="91"/>
        <v>0.3015299878651152</v>
      </c>
      <c r="AB806" s="20">
        <f t="shared" si="92"/>
        <v>1.0652069556291497</v>
      </c>
    </row>
    <row r="807" spans="1:28">
      <c r="A807" s="18" t="str">
        <f>Analysis!A807</f>
        <v>4/2025</v>
      </c>
      <c r="B807" s="19">
        <f>Analysis!B807</f>
        <v>2025.2916666666667</v>
      </c>
      <c r="C807" s="19">
        <f>Analysis!E807</f>
        <v>1.25</v>
      </c>
      <c r="D807" s="20">
        <f>Analysis!F807</f>
        <v>0.61770148904698363</v>
      </c>
      <c r="E807" s="19">
        <f>IF(ENSO!F807="","",ENSO!F807)</f>
        <v>0.02</v>
      </c>
      <c r="F807" s="25">
        <f>IF(Volcanic!G807="","",Volcanic!G807)</f>
        <v>1.404E-2</v>
      </c>
      <c r="G807" s="19" t="str">
        <f>IF(Solar!D807="","",Solar!D807)</f>
        <v/>
      </c>
      <c r="H807" s="20">
        <f t="shared" si="86"/>
        <v>0.61770148904698363</v>
      </c>
      <c r="I807" s="20">
        <f t="shared" si="87"/>
        <v>2.3568516633228762E-2</v>
      </c>
      <c r="J807" s="25">
        <f t="shared" si="88"/>
        <v>1.5272547488430451E-2</v>
      </c>
      <c r="K807" s="19" t="str">
        <f t="shared" si="89"/>
        <v/>
      </c>
      <c r="L807" s="20">
        <f t="shared" si="90"/>
        <v>1.0822953443767198</v>
      </c>
      <c r="M807" s="20">
        <f t="shared" si="91"/>
        <v>0.16770465562328019</v>
      </c>
      <c r="AB807" s="20">
        <f t="shared" si="92"/>
        <v>1.0789732691863927</v>
      </c>
    </row>
    <row r="808" spans="1:28">
      <c r="A808" s="18" t="str">
        <f>Analysis!A808</f>
        <v>5/2025</v>
      </c>
      <c r="B808" s="19">
        <f>Analysis!B808</f>
        <v>2025.375</v>
      </c>
      <c r="C808" s="19">
        <f>Analysis!E808</f>
        <v>1.0800000000000036</v>
      </c>
      <c r="D808" s="20">
        <f>Analysis!F808</f>
        <v>0.62061992214258854</v>
      </c>
      <c r="E808" s="19">
        <f>IF(ENSO!F808="","",ENSO!F808)</f>
        <v>-0.04</v>
      </c>
      <c r="F808" s="25">
        <f>IF(Volcanic!G808="","",Volcanic!G808)</f>
        <v>1.328E-2</v>
      </c>
      <c r="G808" s="19" t="str">
        <f>IF(Solar!D808="","",Solar!D808)</f>
        <v/>
      </c>
      <c r="H808" s="20">
        <f t="shared" si="86"/>
        <v>0.62061992214258854</v>
      </c>
      <c r="I808" s="20">
        <f t="shared" si="87"/>
        <v>1.3809587608433177E-2</v>
      </c>
      <c r="J808" s="25">
        <f t="shared" si="88"/>
        <v>1.5113232187614123E-2</v>
      </c>
      <c r="K808" s="19" t="str">
        <f t="shared" si="89"/>
        <v/>
      </c>
      <c r="L808" s="20">
        <f t="shared" si="90"/>
        <v>1.0893505633918041</v>
      </c>
      <c r="M808" s="20">
        <f t="shared" si="91"/>
        <v>-9.3505633918005149E-3</v>
      </c>
      <c r="AB808" s="20">
        <f t="shared" si="92"/>
        <v>1.086131064030146</v>
      </c>
    </row>
    <row r="809" spans="1:28">
      <c r="A809" s="18" t="str">
        <f>Analysis!A809</f>
        <v>6/2025</v>
      </c>
      <c r="B809" s="19">
        <f>Analysis!B809</f>
        <v>2025.4583333333333</v>
      </c>
      <c r="C809" s="19">
        <f>Analysis!E809</f>
        <v>1.0700000000000021</v>
      </c>
      <c r="D809" s="20">
        <f>Analysis!F809</f>
        <v>0.61760074804903375</v>
      </c>
      <c r="E809" s="19">
        <f>IF(ENSO!F809="","",ENSO!F809)</f>
        <v>-0.02</v>
      </c>
      <c r="F809" s="25">
        <f>IF(Volcanic!G809="","",Volcanic!G809)</f>
        <v>1.4590000000000001E-2</v>
      </c>
      <c r="G809" s="19" t="str">
        <f>IF(Solar!D809="","",Solar!D809)</f>
        <v/>
      </c>
      <c r="H809" s="20">
        <f t="shared" si="86"/>
        <v>0.61760074804903375</v>
      </c>
      <c r="I809" s="20">
        <f t="shared" si="87"/>
        <v>8.6191980366268489E-3</v>
      </c>
      <c r="J809" s="25">
        <f t="shared" si="88"/>
        <v>1.5071396851768656E-2</v>
      </c>
      <c r="K809" s="19" t="str">
        <f t="shared" si="89"/>
        <v/>
      </c>
      <c r="L809" s="20">
        <f t="shared" si="90"/>
        <v>1.0805956398639065</v>
      </c>
      <c r="M809" s="20">
        <f t="shared" si="91"/>
        <v>-1.0595639863904438E-2</v>
      </c>
      <c r="AB809" s="20">
        <f t="shared" si="92"/>
        <v>1.0775162029300906</v>
      </c>
    </row>
    <row r="810" spans="1:28">
      <c r="A810" s="18" t="str">
        <f>Analysis!A810</f>
        <v>7/2025</v>
      </c>
      <c r="B810" s="19">
        <f>Analysis!B810</f>
        <v>2025.5416666666667</v>
      </c>
      <c r="C810" s="19">
        <f>Analysis!E810</f>
        <v>1.0200000000000014</v>
      </c>
      <c r="D810" s="20">
        <f>Analysis!F810</f>
        <v>0.61174570112861226</v>
      </c>
      <c r="E810" s="19">
        <f>IF(ENSO!F810="","",ENSO!F810)</f>
        <v>-0.11</v>
      </c>
      <c r="F810" s="25">
        <f>IF(Volcanic!G810="","",Volcanic!G810)</f>
        <v>1.387E-2</v>
      </c>
      <c r="G810" s="19" t="str">
        <f>IF(Solar!D810="","",Solar!D810)</f>
        <v/>
      </c>
      <c r="H810" s="20">
        <f t="shared" si="86"/>
        <v>0.61174570112861226</v>
      </c>
      <c r="I810" s="20">
        <f t="shared" si="87"/>
        <v>-9.5910166408147562E-3</v>
      </c>
      <c r="J810" s="25">
        <f t="shared" si="88"/>
        <v>1.4975338463223005E-2</v>
      </c>
      <c r="K810" s="19" t="str">
        <f t="shared" si="89"/>
        <v/>
      </c>
      <c r="L810" s="20">
        <f t="shared" si="90"/>
        <v>1.0625185975583964</v>
      </c>
      <c r="M810" s="20">
        <f t="shared" si="91"/>
        <v>-4.2518597558395044E-2</v>
      </c>
      <c r="AB810" s="20">
        <f t="shared" si="92"/>
        <v>1.0597968789766552</v>
      </c>
    </row>
    <row r="811" spans="1:28">
      <c r="A811" s="18" t="str">
        <f>Analysis!A811</f>
        <v>8/2025</v>
      </c>
      <c r="B811" s="19">
        <f>Analysis!B811</f>
        <v>2025.625</v>
      </c>
      <c r="C811" s="19">
        <f>Analysis!E811</f>
        <v>1.1799999999999997</v>
      </c>
      <c r="D811" s="20">
        <f>Analysis!F811</f>
        <v>0.60366449139444733</v>
      </c>
      <c r="E811" s="19">
        <f>IF(ENSO!F811="","",ENSO!F811)</f>
        <v>-0.26</v>
      </c>
      <c r="F811" s="25">
        <f>IF(Volcanic!G811="","",Volcanic!G811)</f>
        <v>1.291E-2</v>
      </c>
      <c r="G811" s="19" t="str">
        <f>IF(Solar!D811="","",Solar!D811)</f>
        <v/>
      </c>
      <c r="H811" s="20">
        <f t="shared" si="86"/>
        <v>0.60366449139444733</v>
      </c>
      <c r="I811" s="20">
        <f t="shared" si="87"/>
        <v>-4.8033371838011783E-2</v>
      </c>
      <c r="J811" s="25">
        <f t="shared" si="88"/>
        <v>1.4810203117407435E-2</v>
      </c>
      <c r="K811" s="19" t="str">
        <f t="shared" si="89"/>
        <v/>
      </c>
      <c r="L811" s="20">
        <f t="shared" si="90"/>
        <v>1.035800779492444</v>
      </c>
      <c r="M811" s="20">
        <f t="shared" si="91"/>
        <v>0.14419922050755574</v>
      </c>
      <c r="AB811" s="20">
        <f t="shared" si="92"/>
        <v>1.0337173377750384</v>
      </c>
    </row>
    <row r="812" spans="1:28">
      <c r="A812" s="18" t="str">
        <f>Analysis!A812</f>
        <v>9/2025</v>
      </c>
      <c r="B812" s="19">
        <f>Analysis!B812</f>
        <v>2025.7083333333333</v>
      </c>
      <c r="C812" s="19">
        <f>Analysis!E812</f>
        <v>1.25</v>
      </c>
      <c r="D812" s="20">
        <f>Analysis!F812</f>
        <v>0.59989584420727626</v>
      </c>
      <c r="E812" s="19">
        <f>IF(ENSO!F812="","",ENSO!F812)</f>
        <v>-0.43</v>
      </c>
      <c r="F812" s="25">
        <f>IF(Volcanic!G812="","",Volcanic!G812)</f>
        <v>1.2019999999999999E-2</v>
      </c>
      <c r="G812" s="19" t="str">
        <f>IF(Solar!D812="","",Solar!D812)</f>
        <v/>
      </c>
      <c r="H812" s="20">
        <f t="shared" si="86"/>
        <v>0.59989584420727626</v>
      </c>
      <c r="I812" s="20">
        <f t="shared" si="87"/>
        <v>-0.10667222974278838</v>
      </c>
      <c r="J812" s="25">
        <f t="shared" si="88"/>
        <v>1.4587110793852038E-2</v>
      </c>
      <c r="K812" s="19" t="str">
        <f t="shared" si="89"/>
        <v/>
      </c>
      <c r="L812" s="20">
        <f t="shared" si="90"/>
        <v>1.018091342614138</v>
      </c>
      <c r="M812" s="20">
        <f t="shared" si="91"/>
        <v>0.23190865738586197</v>
      </c>
      <c r="AB812" s="20">
        <f t="shared" si="92"/>
        <v>1.0167697642187032</v>
      </c>
    </row>
    <row r="813" spans="1:28">
      <c r="A813" s="18" t="str">
        <f>Analysis!A813</f>
        <v>10/2025</v>
      </c>
      <c r="B813" s="19">
        <f>Analysis!B813</f>
        <v>2025.7916666666667</v>
      </c>
      <c r="C813" s="19">
        <f>Analysis!E813</f>
        <v>1.1899999999999977</v>
      </c>
      <c r="D813" s="20">
        <f>Analysis!F813</f>
        <v>0.60159465162047843</v>
      </c>
      <c r="E813" s="19">
        <f>IF(ENSO!F813="","",ENSO!F813)</f>
        <v>-0.56999999999999995</v>
      </c>
      <c r="F813" s="25">
        <f>IF(Volcanic!G813="","",Volcanic!G813)</f>
        <v>1.1639999999999999E-2</v>
      </c>
      <c r="G813" s="19" t="str">
        <f>IF(Solar!D813="","",Solar!D813)</f>
        <v/>
      </c>
      <c r="H813" s="20">
        <f t="shared" si="86"/>
        <v>0.60159465162047843</v>
      </c>
      <c r="I813" s="20">
        <f t="shared" si="87"/>
        <v>-0.17780150984295331</v>
      </c>
      <c r="J813" s="25">
        <f t="shared" si="88"/>
        <v>1.4351472825177359E-2</v>
      </c>
      <c r="K813" s="19" t="str">
        <f t="shared" si="89"/>
        <v/>
      </c>
      <c r="L813" s="20">
        <f t="shared" si="90"/>
        <v>1.0134467531219888</v>
      </c>
      <c r="M813" s="20">
        <f t="shared" si="91"/>
        <v>0.17655324687800888</v>
      </c>
      <c r="AB813" s="20">
        <f t="shared" si="92"/>
        <v>1.0128876134992026</v>
      </c>
    </row>
    <row r="814" spans="1:28">
      <c r="A814" s="18" t="str">
        <f>Analysis!A814</f>
        <v>11/2025</v>
      </c>
      <c r="B814" s="19">
        <f>Analysis!B814</f>
        <v>2025.875</v>
      </c>
      <c r="C814" s="19">
        <f>Analysis!E814</f>
        <v>1.2099999999999991</v>
      </c>
      <c r="D814" s="20">
        <f>Analysis!F814</f>
        <v>0.60698360251420269</v>
      </c>
      <c r="E814" s="19">
        <f>IF(ENSO!F814="","",ENSO!F814)</f>
        <v>-0.61</v>
      </c>
      <c r="F814" s="25">
        <f>IF(Volcanic!G814="","",Volcanic!G814)</f>
        <v>1.159E-2</v>
      </c>
      <c r="G814" s="19" t="str">
        <f>IF(Solar!D814="","",Solar!D814)</f>
        <v/>
      </c>
      <c r="H814" s="20">
        <f t="shared" si="86"/>
        <v>0.60698360251420269</v>
      </c>
      <c r="I814" s="20">
        <f t="shared" si="87"/>
        <v>-0.24415187655674403</v>
      </c>
      <c r="J814" s="25">
        <f t="shared" si="88"/>
        <v>1.4130677648955087E-2</v>
      </c>
      <c r="K814" s="19" t="str">
        <f t="shared" si="89"/>
        <v/>
      </c>
      <c r="L814" s="20">
        <f t="shared" si="90"/>
        <v>1.0194050061100801</v>
      </c>
      <c r="M814" s="20">
        <f t="shared" si="91"/>
        <v>0.19059499388991896</v>
      </c>
      <c r="AB814" s="20">
        <f t="shared" si="92"/>
        <v>1.0194694852752062</v>
      </c>
    </row>
    <row r="815" spans="1:28">
      <c r="A815" s="18" t="str">
        <f>Analysis!A815</f>
        <v>12/2025</v>
      </c>
      <c r="B815" s="19">
        <f>Analysis!B815</f>
        <v>2025.9583333333333</v>
      </c>
      <c r="C815" s="19">
        <f>Analysis!E815</f>
        <v>1.0600000000000023</v>
      </c>
      <c r="D815" s="20">
        <f>Analysis!F815</f>
        <v>0.61046384518116448</v>
      </c>
      <c r="E815" s="19">
        <f>IF(ENSO!F815="","",ENSO!F815)</f>
        <v>-0.6</v>
      </c>
      <c r="F815" s="25">
        <f>IF(Volcanic!G815="","",Volcanic!G815)</f>
        <v>1.102E-2</v>
      </c>
      <c r="G815" s="19" t="str">
        <f>IF(Solar!D815="","",Solar!D815)</f>
        <v/>
      </c>
      <c r="H815" s="20">
        <f t="shared" si="86"/>
        <v>0.61046384518116448</v>
      </c>
      <c r="I815" s="20">
        <f t="shared" si="87"/>
        <v>-0.2987810666686645</v>
      </c>
      <c r="J815" s="25">
        <f t="shared" si="88"/>
        <v>1.3881961596633404E-2</v>
      </c>
      <c r="K815" s="19" t="str">
        <f t="shared" si="89"/>
        <v/>
      </c>
      <c r="L815" s="20">
        <f t="shared" si="90"/>
        <v>1.0219506020741094</v>
      </c>
      <c r="M815" s="20">
        <f t="shared" si="91"/>
        <v>3.8049397925892903E-2</v>
      </c>
      <c r="AB815" s="20">
        <f t="shared" si="92"/>
        <v>1.0225823715350892</v>
      </c>
    </row>
    <row r="816" spans="1:28">
      <c r="A816" s="18" t="str">
        <f>Analysis!A816</f>
        <v>1/2026</v>
      </c>
      <c r="B816" s="19">
        <f>Analysis!B816</f>
        <v>2026.0416666666667</v>
      </c>
      <c r="C816" s="19">
        <f>Analysis!E816</f>
        <v>1.0899999999999999</v>
      </c>
      <c r="D816" s="20">
        <f>Analysis!F816</f>
        <v>0.61427234255403185</v>
      </c>
      <c r="E816" s="19">
        <f>IF(ENSO!F816="","",ENSO!F816)</f>
        <v>-0.39</v>
      </c>
      <c r="F816" s="25" t="str">
        <f>IF(Volcanic!G816="","",Volcanic!G816)</f>
        <v/>
      </c>
      <c r="G816" s="19" t="str">
        <f>IF(Solar!D816="","",Solar!D816)</f>
        <v/>
      </c>
      <c r="H816" s="20">
        <f t="shared" si="86"/>
        <v>0.61427234255403185</v>
      </c>
      <c r="I816" s="20">
        <f t="shared" si="87"/>
        <v>-0.3127848399710092</v>
      </c>
      <c r="J816" s="25" t="str">
        <f t="shared" si="88"/>
        <v/>
      </c>
      <c r="K816" s="19" t="str">
        <f t="shared" si="89"/>
        <v/>
      </c>
      <c r="L816" s="20" t="str">
        <f t="shared" si="90"/>
        <v/>
      </c>
      <c r="M816" s="20" t="str">
        <f t="shared" si="91"/>
        <v/>
      </c>
      <c r="AB816" s="20" t="str">
        <f t="shared" si="92"/>
        <v/>
      </c>
    </row>
    <row r="817" spans="1:28">
      <c r="A817" s="18" t="str">
        <f>Analysis!A817</f>
        <v>2/2026</v>
      </c>
      <c r="B817" s="19">
        <f>Analysis!B817</f>
        <v>2026.125</v>
      </c>
      <c r="C817" s="19">
        <f>Analysis!E817</f>
        <v>1.25</v>
      </c>
      <c r="D817" s="20">
        <f>Analysis!F817</f>
        <v>0.61672736460373478</v>
      </c>
      <c r="E817" s="19">
        <f>IF(ENSO!F817="","",ENSO!F817)</f>
        <v>-0.21</v>
      </c>
      <c r="F817" s="25" t="str">
        <f>IF(Volcanic!G817="","",Volcanic!G817)</f>
        <v/>
      </c>
      <c r="G817" s="19" t="str">
        <f>IF(Solar!D817="","",Solar!D817)</f>
        <v/>
      </c>
      <c r="H817" s="20">
        <f t="shared" si="86"/>
        <v>0.61672736460373478</v>
      </c>
      <c r="I817" s="20">
        <f t="shared" si="87"/>
        <v>-0.29700548863126564</v>
      </c>
      <c r="J817" s="25" t="str">
        <f t="shared" si="88"/>
        <v/>
      </c>
      <c r="K817" s="19" t="str">
        <f t="shared" si="89"/>
        <v/>
      </c>
      <c r="L817" s="20" t="str">
        <f t="shared" si="90"/>
        <v/>
      </c>
      <c r="M817" s="20" t="str">
        <f t="shared" si="91"/>
        <v/>
      </c>
      <c r="AB817" s="20" t="str">
        <f t="shared" si="92"/>
        <v/>
      </c>
    </row>
    <row r="818" spans="1:28">
      <c r="A818" s="18" t="str">
        <f>Analysis!A818</f>
        <v>3/2026</v>
      </c>
      <c r="B818" s="19">
        <f>Analysis!B818</f>
        <v>2026.2083333333333</v>
      </c>
      <c r="C818" s="19">
        <f>Analysis!E818</f>
        <v>1.3200000000000003</v>
      </c>
      <c r="D818" s="20">
        <f>Analysis!F818</f>
        <v>0.61941301059793685</v>
      </c>
      <c r="E818" s="19">
        <f>IF(ENSO!F818="","",ENSO!F818)</f>
        <v>0.11</v>
      </c>
      <c r="F818" s="25" t="str">
        <f>IF(Volcanic!G818="","",Volcanic!G818)</f>
        <v/>
      </c>
      <c r="G818" s="19" t="str">
        <f>IF(Solar!D818="","",Solar!D818)</f>
        <v/>
      </c>
      <c r="H818" s="20">
        <f t="shared" si="86"/>
        <v>0.61941301059793685</v>
      </c>
      <c r="I818" s="20">
        <f t="shared" si="87"/>
        <v>-0.23452270805654096</v>
      </c>
      <c r="J818" s="25" t="str">
        <f t="shared" si="88"/>
        <v/>
      </c>
      <c r="K818" s="19" t="str">
        <f t="shared" si="89"/>
        <v/>
      </c>
      <c r="L818" s="20" t="str">
        <f t="shared" si="90"/>
        <v/>
      </c>
      <c r="M818" s="20" t="str">
        <f t="shared" si="91"/>
        <v/>
      </c>
      <c r="AB818" s="20" t="str">
        <f t="shared" si="92"/>
        <v/>
      </c>
    </row>
    <row r="819" spans="1:28">
      <c r="A819" s="18" t="str">
        <f>Analysis!A819</f>
        <v>4/2026</v>
      </c>
      <c r="B819" s="19">
        <f>Analysis!B819</f>
        <v>2026.2916666666667</v>
      </c>
      <c r="C819" s="19">
        <f>Analysis!E819</f>
        <v>1.1699999999999964</v>
      </c>
      <c r="D819" s="20">
        <f>Analysis!F819</f>
        <v>0.6226626646700556</v>
      </c>
      <c r="E819" s="19">
        <f>IF(ENSO!F819="","",ENSO!F819)</f>
        <v>0.46</v>
      </c>
      <c r="F819" s="25" t="str">
        <f>IF(Volcanic!G819="","",Volcanic!G819)</f>
        <v/>
      </c>
      <c r="G819" s="19" t="str">
        <f>IF(Solar!D819="","",Solar!D819)</f>
        <v/>
      </c>
      <c r="H819" s="20">
        <f t="shared" si="86"/>
        <v>0.6226626646700556</v>
      </c>
      <c r="I819" s="20">
        <f t="shared" si="87"/>
        <v>-0.12790077989140122</v>
      </c>
      <c r="J819" s="25" t="str">
        <f t="shared" si="88"/>
        <v/>
      </c>
      <c r="K819" s="19" t="str">
        <f t="shared" si="89"/>
        <v/>
      </c>
      <c r="L819" s="20" t="str">
        <f t="shared" si="90"/>
        <v/>
      </c>
      <c r="M819" s="20" t="str">
        <f t="shared" si="91"/>
        <v/>
      </c>
      <c r="AB819" s="20" t="str">
        <f t="shared" si="92"/>
        <v/>
      </c>
    </row>
    <row r="820" spans="1:28">
      <c r="A820" s="18" t="str">
        <f>Analysis!A820</f>
        <v>5/2026</v>
      </c>
      <c r="B820" s="19">
        <f>Analysis!B820</f>
        <v>2026.375</v>
      </c>
      <c r="C820" s="19">
        <f>Analysis!E820</f>
        <v>1.1299999999999955</v>
      </c>
      <c r="D820" s="20">
        <f>Analysis!F820</f>
        <v>0.62673949306079169</v>
      </c>
      <c r="E820" s="19">
        <f>IF(ENSO!F820="","",ENSO!F820)</f>
        <v>0.95</v>
      </c>
      <c r="F820" s="25" t="str">
        <f>IF(Volcanic!G820="","",Volcanic!G820)</f>
        <v/>
      </c>
      <c r="G820" s="19" t="str">
        <f>IF(Solar!D820="","",Solar!D820)</f>
        <v/>
      </c>
      <c r="H820" s="20">
        <f t="shared" si="86"/>
        <v>0.62673949306079169</v>
      </c>
      <c r="I820" s="20">
        <f t="shared" si="87"/>
        <v>3.7576688576588482E-2</v>
      </c>
      <c r="J820" s="25" t="str">
        <f t="shared" si="88"/>
        <v/>
      </c>
      <c r="K820" s="19" t="str">
        <f t="shared" si="89"/>
        <v/>
      </c>
      <c r="L820" s="20" t="str">
        <f t="shared" si="90"/>
        <v/>
      </c>
      <c r="M820" s="20" t="str">
        <f t="shared" si="91"/>
        <v/>
      </c>
      <c r="AB820" s="20" t="str">
        <f t="shared" si="92"/>
        <v/>
      </c>
    </row>
    <row r="821" spans="1:28">
      <c r="A821" s="18" t="str">
        <f>Analysis!A821</f>
        <v>6/2026</v>
      </c>
      <c r="B821" s="19">
        <f>Analysis!B821</f>
        <v>2026.4583333333333</v>
      </c>
      <c r="C821" s="19">
        <f>Analysis!E821</f>
        <v>1.1799999999999997</v>
      </c>
      <c r="D821" s="20">
        <f>Analysis!F821</f>
        <v>0.6236996723378585</v>
      </c>
      <c r="E821" s="19">
        <f>IF(ENSO!F821="","",ENSO!F821)</f>
        <v>1.39</v>
      </c>
      <c r="F821" s="25" t="str">
        <f>IF(Volcanic!G821="","",Volcanic!G821)</f>
        <v/>
      </c>
      <c r="G821" s="19" t="str">
        <f>IF(Solar!D821="","",Solar!D821)</f>
        <v/>
      </c>
      <c r="H821" s="20">
        <f t="shared" si="86"/>
        <v>0.6236996723378585</v>
      </c>
      <c r="I821" s="20">
        <f t="shared" si="87"/>
        <v>0.2451983825640344</v>
      </c>
      <c r="J821" s="25" t="str">
        <f t="shared" si="88"/>
        <v/>
      </c>
      <c r="K821" s="19" t="str">
        <f t="shared" si="89"/>
        <v/>
      </c>
      <c r="L821" s="20" t="str">
        <f t="shared" si="90"/>
        <v/>
      </c>
      <c r="M821" s="20" t="str">
        <f t="shared" si="91"/>
        <v/>
      </c>
      <c r="AB821" s="20" t="str">
        <f t="shared" si="92"/>
        <v/>
      </c>
    </row>
    <row r="822" spans="1:28">
      <c r="A822" s="18" t="str">
        <f>Analysis!A822</f>
        <v>7/2026</v>
      </c>
      <c r="B822" s="19">
        <f>Analysis!B822</f>
        <v>2026.5416666666667</v>
      </c>
      <c r="C822" s="19">
        <f>Analysis!E822</f>
        <v>1.25</v>
      </c>
      <c r="D822" s="20">
        <f>Analysis!F822</f>
        <v>0.61598793464393697</v>
      </c>
      <c r="E822" s="19">
        <f>IF(ENSO!F822="","",ENSO!F822)</f>
        <v>1.8</v>
      </c>
      <c r="F822" s="25" t="str">
        <f>IF(Volcanic!G822="","",Volcanic!G822)</f>
        <v/>
      </c>
      <c r="G822" s="19" t="str">
        <f>IF(Solar!D822="","",Solar!D822)</f>
        <v/>
      </c>
      <c r="H822" s="20">
        <f t="shared" si="86"/>
        <v>0.61598793464393697</v>
      </c>
      <c r="I822" s="20">
        <f t="shared" si="87"/>
        <v>0.48388884501008711</v>
      </c>
      <c r="J822" s="25" t="str">
        <f t="shared" si="88"/>
        <v/>
      </c>
      <c r="K822" s="19" t="str">
        <f t="shared" si="89"/>
        <v/>
      </c>
      <c r="L822" s="20" t="str">
        <f t="shared" si="90"/>
        <v/>
      </c>
      <c r="M822" s="20" t="str">
        <f t="shared" si="91"/>
        <v/>
      </c>
      <c r="AB822" s="20" t="str">
        <f t="shared" si="92"/>
        <v/>
      </c>
    </row>
    <row r="823" spans="1:28">
      <c r="A823" s="18" t="str">
        <f>Analysis!A823</f>
        <v>8/2026</v>
      </c>
      <c r="B823" s="19">
        <f>Analysis!B823</f>
        <v>2026.625</v>
      </c>
      <c r="C823" s="19">
        <f>Analysis!E823</f>
        <v>1.3999999999999986</v>
      </c>
      <c r="D823" s="20">
        <f>Analysis!F823</f>
        <v>0.61066631922353776</v>
      </c>
      <c r="E823" s="19" t="str">
        <f>IF(ENSO!F823="","",ENSO!F823)</f>
        <v/>
      </c>
      <c r="F823" s="25" t="str">
        <f>IF(Volcanic!G823="","",Volcanic!G823)</f>
        <v/>
      </c>
      <c r="G823" s="19" t="str">
        <f>IF(Solar!D823="","",Solar!D823)</f>
        <v/>
      </c>
      <c r="H823" s="20">
        <f t="shared" si="86"/>
        <v>0.61066631922353776</v>
      </c>
      <c r="I823" s="20" t="str">
        <f t="shared" si="87"/>
        <v/>
      </c>
      <c r="J823" s="25" t="str">
        <f t="shared" si="88"/>
        <v/>
      </c>
      <c r="K823" s="19" t="str">
        <f t="shared" si="89"/>
        <v/>
      </c>
      <c r="L823" s="20" t="str">
        <f t="shared" si="90"/>
        <v/>
      </c>
      <c r="M823" s="20" t="str">
        <f t="shared" si="91"/>
        <v/>
      </c>
      <c r="AB823" s="20" t="str">
        <f t="shared" si="92"/>
        <v/>
      </c>
    </row>
  </sheetData>
  <pageMargins left="0.75" right="0.75" top="1" bottom="1" header="0.511811023622047" footer="0.511811023622047"/>
  <pageSetup paperSize="9" orientation="portrait" horizontalDpi="300" verticalDpi="30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B823"/>
  <sheetViews>
    <sheetView workbookViewId="0">
      <pane xSplit="1" ySplit="1" topLeftCell="B2" activePane="bottomRight" state="frozen"/>
      <selection pane="topRight"/>
      <selection pane="bottomLeft"/>
      <selection pane="bottomRight" activeCell="B2" sqref="B2"/>
    </sheetView>
  </sheetViews>
  <sheetFormatPr defaultRowHeight="15"/>
  <cols>
    <col min="1" max="1" width="11" customWidth="1"/>
    <col min="2" max="2" width="12" customWidth="1"/>
    <col min="3" max="45" width="10" customWidth="1"/>
    <col min="46" max="46" width="2" customWidth="1"/>
    <col min="49" max="49" width="56" customWidth="1"/>
    <col min="50" max="50" width="15" customWidth="1"/>
    <col min="51" max="51" width="6" customWidth="1"/>
    <col min="52" max="52" width="15" customWidth="1"/>
    <col min="53" max="53" width="20" customWidth="1"/>
    <col min="54" max="54" width="46" customWidth="1"/>
  </cols>
  <sheetData>
    <row r="1" spans="1:54" ht="121.5">
      <c r="A1" s="2" t="s">
        <v>63</v>
      </c>
      <c r="B1" s="2" t="s">
        <v>1961</v>
      </c>
      <c r="C1" s="2" t="s">
        <v>2617</v>
      </c>
      <c r="D1" s="2" t="s">
        <v>2618</v>
      </c>
      <c r="E1" s="2" t="s">
        <v>2619</v>
      </c>
      <c r="F1" s="2" t="s">
        <v>2620</v>
      </c>
      <c r="G1" s="2" t="s">
        <v>2621</v>
      </c>
      <c r="H1" s="2" t="s">
        <v>2622</v>
      </c>
      <c r="I1" s="2" t="s">
        <v>2623</v>
      </c>
      <c r="J1" s="2" t="s">
        <v>2624</v>
      </c>
      <c r="K1" s="2" t="s">
        <v>2625</v>
      </c>
      <c r="L1" s="2" t="s">
        <v>2626</v>
      </c>
      <c r="M1" s="2" t="s">
        <v>2627</v>
      </c>
      <c r="N1" s="2" t="s">
        <v>2628</v>
      </c>
      <c r="O1" s="2" t="s">
        <v>2629</v>
      </c>
      <c r="P1" s="2" t="s">
        <v>2630</v>
      </c>
      <c r="Q1" s="2" t="s">
        <v>2631</v>
      </c>
      <c r="R1" s="2" t="s">
        <v>2632</v>
      </c>
      <c r="S1" s="2" t="s">
        <v>2633</v>
      </c>
      <c r="T1" s="2" t="s">
        <v>2634</v>
      </c>
      <c r="U1" s="2" t="s">
        <v>2635</v>
      </c>
      <c r="V1" s="2" t="s">
        <v>2636</v>
      </c>
      <c r="W1" s="2" t="s">
        <v>2637</v>
      </c>
      <c r="X1" s="2" t="s">
        <v>2638</v>
      </c>
      <c r="Y1" s="2" t="s">
        <v>2639</v>
      </c>
      <c r="AA1" s="2" t="s">
        <v>2640</v>
      </c>
      <c r="AB1" s="2" t="s">
        <v>2641</v>
      </c>
      <c r="AC1" s="2" t="s">
        <v>2642</v>
      </c>
      <c r="AD1" s="2" t="s">
        <v>2643</v>
      </c>
      <c r="AE1" s="2" t="s">
        <v>2644</v>
      </c>
      <c r="AF1" s="2" t="s">
        <v>2645</v>
      </c>
      <c r="AG1" s="2" t="s">
        <v>2646</v>
      </c>
      <c r="AH1" s="2" t="s">
        <v>2647</v>
      </c>
      <c r="AJ1" s="2" t="s">
        <v>2648</v>
      </c>
      <c r="AK1" s="2" t="s">
        <v>2649</v>
      </c>
      <c r="AM1" s="2" t="s">
        <v>2650</v>
      </c>
      <c r="AN1" s="2" t="s">
        <v>2651</v>
      </c>
      <c r="AO1" s="2" t="s">
        <v>2652</v>
      </c>
      <c r="AP1" s="2" t="s">
        <v>2653</v>
      </c>
      <c r="AQ1" s="2" t="s">
        <v>2654</v>
      </c>
      <c r="AR1" s="2" t="s">
        <v>2655</v>
      </c>
      <c r="AS1" s="2" t="s">
        <v>2656</v>
      </c>
    </row>
    <row r="2" spans="1:54" ht="21">
      <c r="A2" s="18" t="str">
        <f>IF(Volcanic!A2="","",Volcanic!A2)</f>
        <v>3/1958</v>
      </c>
      <c r="B2" s="18">
        <f>IF(ISNUMBER(Volcanic!L2),Volcanic!L2,"")</f>
        <v>1958.2083333333333</v>
      </c>
      <c r="C2" s="18">
        <f>IF(ISNUMBER(Volcanic!J2),Volcanic!J2,"")</f>
        <v>0.19010355620044589</v>
      </c>
      <c r="D2" s="18">
        <f t="shared" ref="D2:D65" si="0">IF(ISNUMBER(C2),C2^2,"")</f>
        <v>3.6139362080056088E-2</v>
      </c>
      <c r="E2" s="18">
        <f>IF(ISNUMBER(Volcanic!C2),Volcanic!C2,"")</f>
        <v>0.17317313104772078</v>
      </c>
      <c r="F2" s="18">
        <f>IF(ISNUMBER(Volcanic!D2),Volcanic!D2,"")</f>
        <v>0</v>
      </c>
      <c r="G2" s="18">
        <f>IF(ISNUMBER(Volcanic!E2),Volcanic!E2,"")</f>
        <v>1.0059999999999999E-2</v>
      </c>
      <c r="H2" s="18">
        <f t="shared" ref="H2:H65" si="1">IF(ISNUMBER(E2),E2^2,"")</f>
        <v>2.9988933316871073E-2</v>
      </c>
      <c r="I2" s="18">
        <f t="shared" ref="I2:I65" si="2">IF(ISNUMBER(F2),F2^2,"")</f>
        <v>0</v>
      </c>
      <c r="J2" s="18">
        <f t="shared" ref="J2:J65" si="3">IF(ISNUMBER(G2),G2^2,"")</f>
        <v>1.0120359999999999E-4</v>
      </c>
      <c r="K2" s="18">
        <f t="shared" ref="K2:K65" si="4">IF(AND(ISNUMBER(E2),ISNUMBER(F2)),E2*F2,"")</f>
        <v>0</v>
      </c>
      <c r="L2" s="18">
        <f t="shared" ref="L2:L65" si="5">IF(AND(ISNUMBER(E2),ISNUMBER(G2)),E2*G2,"")</f>
        <v>1.742121698340071E-3</v>
      </c>
      <c r="M2" s="18">
        <f t="shared" ref="M2:M65" si="6">IF(AND(ISNUMBER(F2),ISNUMBER(G2)),F2*G2,"")</f>
        <v>0</v>
      </c>
      <c r="AJ2" s="18" t="str">
        <f>IF(ISNUMBER(Kernel!M2),Kernel!M2,"")</f>
        <v/>
      </c>
      <c r="AK2" s="18" t="str">
        <f t="shared" ref="AK2:AK65" si="7">IF(ISNUMBER(AJ2),AJ2^2,"")</f>
        <v/>
      </c>
      <c r="AM2" s="18">
        <f>IF(ISNUMBER(Forcing!Q2),Forcing!Q2^2,"")</f>
        <v>2.2844590376147264E-3</v>
      </c>
      <c r="AN2" s="18">
        <f>IF(ISNUMBER(Volcanic!G2),Volcanic!G2,"")</f>
        <v>6.4000000000000003E-3</v>
      </c>
      <c r="AP2" s="18">
        <f>IF(ISNUMBER(Annual!H2),Annual!H2^2,"")</f>
        <v>2.1055391009101546E-2</v>
      </c>
      <c r="AQ2" s="18">
        <f>IF(ISNUMBER(Annual!E2),Annual!E2,"")</f>
        <v>0.17439669687104098</v>
      </c>
      <c r="AR2" s="18">
        <f t="shared" ref="AR2:AR33" si="8">IF(ISNUMBER(AQ2),AQ2^2,"")</f>
        <v>3.0414207879529753E-2</v>
      </c>
      <c r="AW2" s="3" t="s">
        <v>2657</v>
      </c>
    </row>
    <row r="3" spans="1:54" ht="60" customHeight="1">
      <c r="A3" s="18" t="str">
        <f>IF(Volcanic!A3="","",Volcanic!A3)</f>
        <v>4/1958</v>
      </c>
      <c r="B3" s="18">
        <f>IF(ISNUMBER(Volcanic!L3),Volcanic!L3,"")</f>
        <v>1958.2916666666667</v>
      </c>
      <c r="C3" s="18">
        <f>IF(ISNUMBER(Volcanic!J3),Volcanic!J3,"")</f>
        <v>9.7288461465421638E-2</v>
      </c>
      <c r="D3" s="18">
        <f t="shared" si="0"/>
        <v>9.4650447343088313E-3</v>
      </c>
      <c r="E3" s="18">
        <f>IF(ISNUMBER(Volcanic!C3),Volcanic!C3,"")</f>
        <v>0.1811025507537978</v>
      </c>
      <c r="F3" s="18">
        <f>IF(ISNUMBER(Volcanic!D3),Volcanic!D3,"")</f>
        <v>0</v>
      </c>
      <c r="G3" s="18">
        <f>IF(ISNUMBER(Volcanic!E3),Volcanic!E3,"")</f>
        <v>9.5200000000000007E-3</v>
      </c>
      <c r="H3" s="18">
        <f t="shared" si="1"/>
        <v>3.2798133889531907E-2</v>
      </c>
      <c r="I3" s="18">
        <f t="shared" si="2"/>
        <v>0</v>
      </c>
      <c r="J3" s="18">
        <f t="shared" si="3"/>
        <v>9.0630400000000019E-5</v>
      </c>
      <c r="K3" s="18">
        <f t="shared" si="4"/>
        <v>0</v>
      </c>
      <c r="L3" s="18">
        <f t="shared" si="5"/>
        <v>1.7240962831761553E-3</v>
      </c>
      <c r="M3" s="18">
        <f t="shared" si="6"/>
        <v>0</v>
      </c>
      <c r="N3" s="18">
        <f t="shared" ref="N3:N66" si="9">IF(ISNUMBER(D2),D2,"")</f>
        <v>3.6139362080056088E-2</v>
      </c>
      <c r="AA3" s="18">
        <f t="shared" ref="AA3:AA66" si="10">IF(AND(ISNUMBER(C3),ISNUMBER(C2)),C3-$AX$16*C2,"")</f>
        <v>1.7039676743222792E-3</v>
      </c>
      <c r="AB3" s="18">
        <f t="shared" ref="AB3:AB66" si="11">IF(ISNUMBER(AA3),AA3^2,"")</f>
        <v>2.903505835135277E-6</v>
      </c>
      <c r="AJ3" s="18" t="str">
        <f>IF(ISNUMBER(Kernel!M3),Kernel!M3,"")</f>
        <v/>
      </c>
      <c r="AK3" s="18" t="str">
        <f t="shared" si="7"/>
        <v/>
      </c>
      <c r="AM3" s="18">
        <f>IF(ISNUMBER(Forcing!Q3),Forcing!Q3^2,"")</f>
        <v>1.5440542031747395E-4</v>
      </c>
      <c r="AN3" s="18">
        <f>IF(ISNUMBER(Volcanic!G3),Volcanic!G3,"")</f>
        <v>6.11E-3</v>
      </c>
      <c r="AO3" s="18">
        <f t="shared" ref="AO3:AO34" si="12">IF(ISNUMBER(AM2),AM2,"")</f>
        <v>2.2844590376147264E-3</v>
      </c>
      <c r="AP3" s="18">
        <f>IF(ISNUMBER(Annual!H3),Annual!H3^2,"")</f>
        <v>6.0393478259390971E-3</v>
      </c>
      <c r="AQ3" s="18">
        <f>IF(ISNUMBER(Annual!E3),Annual!E3,"")</f>
        <v>0.17861133837791365</v>
      </c>
      <c r="AR3" s="18">
        <f t="shared" si="8"/>
        <v>3.1902010197149569E-2</v>
      </c>
      <c r="AS3" s="18">
        <f t="shared" ref="AS3:AS34" si="13">IF(ISNUMBER(AP2),AP2,"")</f>
        <v>2.1055391009101546E-2</v>
      </c>
      <c r="AW3" s="54" t="s">
        <v>2658</v>
      </c>
      <c r="AX3" s="53"/>
      <c r="AY3" s="53"/>
      <c r="AZ3" s="53"/>
      <c r="BA3" s="53"/>
      <c r="BB3" s="53"/>
    </row>
    <row r="4" spans="1:54">
      <c r="A4" s="18" t="str">
        <f>IF(Volcanic!A4="","",Volcanic!A4)</f>
        <v>5/1958</v>
      </c>
      <c r="B4" s="18">
        <f>IF(ISNUMBER(Volcanic!L4),Volcanic!L4,"")</f>
        <v>1958.375</v>
      </c>
      <c r="C4" s="18">
        <f>IF(ISNUMBER(Volcanic!J4),Volcanic!J4,"")</f>
        <v>0.14546664948897267</v>
      </c>
      <c r="D4" s="18">
        <f t="shared" si="0"/>
        <v>2.1160546113547632E-2</v>
      </c>
      <c r="E4" s="18">
        <f>IF(ISNUMBER(Volcanic!C4),Volcanic!C4,"")</f>
        <v>0.18137520321288492</v>
      </c>
      <c r="F4" s="18">
        <f>IF(ISNUMBER(Volcanic!D4),Volcanic!D4,"")</f>
        <v>0</v>
      </c>
      <c r="G4" s="18">
        <f>IF(ISNUMBER(Volcanic!E4),Volcanic!E4,"")</f>
        <v>9.0299999999999998E-3</v>
      </c>
      <c r="H4" s="18">
        <f t="shared" si="1"/>
        <v>3.2896964340515297E-2</v>
      </c>
      <c r="I4" s="18">
        <f t="shared" si="2"/>
        <v>0</v>
      </c>
      <c r="J4" s="18">
        <f t="shared" si="3"/>
        <v>8.154089999999999E-5</v>
      </c>
      <c r="K4" s="18">
        <f t="shared" si="4"/>
        <v>0</v>
      </c>
      <c r="L4" s="18">
        <f t="shared" si="5"/>
        <v>1.6378180850123508E-3</v>
      </c>
      <c r="M4" s="18">
        <f t="shared" si="6"/>
        <v>0</v>
      </c>
      <c r="N4" s="18">
        <f t="shared" si="9"/>
        <v>9.4650447343088313E-3</v>
      </c>
      <c r="O4" s="18">
        <f t="shared" ref="O4:O67" si="14">IF(ISNUMBER(D2),D2,"")</f>
        <v>3.6139362080056088E-2</v>
      </c>
      <c r="AA4" s="18">
        <f t="shared" si="10"/>
        <v>9.6549793188388688E-2</v>
      </c>
      <c r="AB4" s="18">
        <f t="shared" si="11"/>
        <v>9.3218625647206264E-3</v>
      </c>
      <c r="AC4" s="18">
        <f t="shared" ref="AC4:AC67" si="15">IF(ISNUMBER(AB3),AB3,"")</f>
        <v>2.903505835135277E-6</v>
      </c>
      <c r="AJ4" s="18" t="str">
        <f>IF(ISNUMBER(Kernel!M4),Kernel!M4,"")</f>
        <v/>
      </c>
      <c r="AK4" s="18" t="str">
        <f t="shared" si="7"/>
        <v/>
      </c>
      <c r="AM4" s="18">
        <f>IF(ISNUMBER(Forcing!Q4),Forcing!Q4^2,"")</f>
        <v>1.1619141159086511E-2</v>
      </c>
      <c r="AN4" s="18">
        <f>IF(ISNUMBER(Volcanic!G4),Volcanic!G4,"")</f>
        <v>5.8700000000000002E-3</v>
      </c>
      <c r="AO4" s="18">
        <f t="shared" si="12"/>
        <v>1.5440542031747395E-4</v>
      </c>
      <c r="AP4" s="18">
        <f>IF(ISNUMBER(Annual!H4),Annual!H4^2,"")</f>
        <v>2.2558823315898251E-2</v>
      </c>
      <c r="AQ4" s="18">
        <f>IF(ISNUMBER(Annual!E4),Annual!E4,"")</f>
        <v>0.18196022855888627</v>
      </c>
      <c r="AR4" s="18">
        <f t="shared" si="8"/>
        <v>3.310952477720213E-2</v>
      </c>
      <c r="AS4" s="18">
        <f t="shared" si="13"/>
        <v>6.0393478259390971E-3</v>
      </c>
    </row>
    <row r="5" spans="1:54" ht="15.75">
      <c r="A5" s="18" t="str">
        <f>IF(Volcanic!A5="","",Volcanic!A5)</f>
        <v>6/1958</v>
      </c>
      <c r="B5" s="18">
        <f>IF(ISNUMBER(Volcanic!L5),Volcanic!L5,"")</f>
        <v>1958.4583333333333</v>
      </c>
      <c r="C5" s="18" t="str">
        <f>IF(ISNUMBER(Volcanic!J5),Volcanic!J5,"")</f>
        <v/>
      </c>
      <c r="D5" s="18" t="str">
        <f t="shared" si="0"/>
        <v/>
      </c>
      <c r="E5" s="18">
        <f>IF(ISNUMBER(Volcanic!C5),Volcanic!C5,"")</f>
        <v>0.1802842840714132</v>
      </c>
      <c r="F5" s="18" t="str">
        <f>IF(ISNUMBER(Volcanic!D5),Volcanic!D5,"")</f>
        <v/>
      </c>
      <c r="G5" s="18">
        <f>IF(ISNUMBER(Volcanic!E5),Volcanic!E5,"")</f>
        <v>8.43E-3</v>
      </c>
      <c r="H5" s="18">
        <f t="shared" si="1"/>
        <v>3.250242308314201E-2</v>
      </c>
      <c r="I5" s="18" t="str">
        <f t="shared" si="2"/>
        <v/>
      </c>
      <c r="J5" s="18">
        <f t="shared" si="3"/>
        <v>7.1064900000000005E-5</v>
      </c>
      <c r="K5" s="18" t="str">
        <f t="shared" si="4"/>
        <v/>
      </c>
      <c r="L5" s="18">
        <f t="shared" si="5"/>
        <v>1.5197965147220132E-3</v>
      </c>
      <c r="M5" s="18" t="str">
        <f t="shared" si="6"/>
        <v/>
      </c>
      <c r="N5" s="18">
        <f t="shared" si="9"/>
        <v>2.1160546113547632E-2</v>
      </c>
      <c r="O5" s="18">
        <f t="shared" si="14"/>
        <v>9.4650447343088313E-3</v>
      </c>
      <c r="P5" s="18">
        <f t="shared" ref="P5:P68" si="16">IF(ISNUMBER(D2),D2,"")</f>
        <v>3.6139362080056088E-2</v>
      </c>
      <c r="AA5" s="18" t="str">
        <f t="shared" si="10"/>
        <v/>
      </c>
      <c r="AB5" s="18" t="str">
        <f t="shared" si="11"/>
        <v/>
      </c>
      <c r="AC5" s="18">
        <f t="shared" si="15"/>
        <v>9.3218625647206264E-3</v>
      </c>
      <c r="AD5" s="18">
        <f t="shared" ref="AD5:AD68" si="17">IF(ISNUMBER(AB3),AB3,"")</f>
        <v>2.903505835135277E-6</v>
      </c>
      <c r="AJ5" s="18" t="str">
        <f>IF(ISNUMBER(Kernel!M5),Kernel!M5,"")</f>
        <v/>
      </c>
      <c r="AK5" s="18" t="str">
        <f t="shared" si="7"/>
        <v/>
      </c>
      <c r="AM5" s="18">
        <f>IF(ISNUMBER(Forcing!Q5),Forcing!Q5^2,"")</f>
        <v>7.728215886154622E-3</v>
      </c>
      <c r="AN5" s="18">
        <f>IF(ISNUMBER(Volcanic!G5),Volcanic!G5,"")</f>
        <v>5.7000000000000002E-3</v>
      </c>
      <c r="AO5" s="18">
        <f t="shared" si="12"/>
        <v>1.1619141159086511E-2</v>
      </c>
      <c r="AP5" s="18">
        <f>IF(ISNUMBER(Annual!H5),Annual!H5^2,"")</f>
        <v>1.3062461791593202E-2</v>
      </c>
      <c r="AQ5" s="18">
        <f>IF(ISNUMBER(Annual!E5),Annual!E5,"")</f>
        <v>0.18563275308825636</v>
      </c>
      <c r="AR5" s="18">
        <f t="shared" si="8"/>
        <v>3.4459519019125549E-2</v>
      </c>
      <c r="AS5" s="18">
        <f t="shared" si="13"/>
        <v>2.2558823315898251E-2</v>
      </c>
      <c r="AW5" s="4" t="s">
        <v>2659</v>
      </c>
    </row>
    <row r="6" spans="1:54" ht="30" customHeight="1">
      <c r="A6" s="18" t="str">
        <f>IF(Volcanic!A6="","",Volcanic!A6)</f>
        <v>7/1958</v>
      </c>
      <c r="B6" s="18">
        <f>IF(ISNUMBER(Volcanic!L6),Volcanic!L6,"")</f>
        <v>1958.5416666666667</v>
      </c>
      <c r="C6" s="18" t="str">
        <f>IF(ISNUMBER(Volcanic!J6),Volcanic!J6,"")</f>
        <v/>
      </c>
      <c r="D6" s="18" t="str">
        <f t="shared" si="0"/>
        <v/>
      </c>
      <c r="E6" s="18">
        <f>IF(ISNUMBER(Volcanic!C6),Volcanic!C6,"")</f>
        <v>0.17390409533246803</v>
      </c>
      <c r="F6" s="18" t="str">
        <f>IF(ISNUMBER(Volcanic!D6),Volcanic!D6,"")</f>
        <v/>
      </c>
      <c r="G6" s="18">
        <f>IF(ISNUMBER(Volcanic!E6),Volcanic!E6,"")</f>
        <v>7.8499999999999993E-3</v>
      </c>
      <c r="H6" s="18">
        <f t="shared" si="1"/>
        <v>3.0242634373404131E-2</v>
      </c>
      <c r="I6" s="18" t="str">
        <f t="shared" si="2"/>
        <v/>
      </c>
      <c r="J6" s="18">
        <f t="shared" si="3"/>
        <v>6.1622499999999995E-5</v>
      </c>
      <c r="K6" s="18" t="str">
        <f t="shared" si="4"/>
        <v/>
      </c>
      <c r="L6" s="18">
        <f t="shared" si="5"/>
        <v>1.365147148359874E-3</v>
      </c>
      <c r="M6" s="18" t="str">
        <f t="shared" si="6"/>
        <v/>
      </c>
      <c r="N6" s="18" t="str">
        <f t="shared" si="9"/>
        <v/>
      </c>
      <c r="O6" s="18">
        <f t="shared" si="14"/>
        <v>2.1160546113547632E-2</v>
      </c>
      <c r="P6" s="18">
        <f t="shared" si="16"/>
        <v>9.4650447343088313E-3</v>
      </c>
      <c r="Q6" s="18">
        <f t="shared" ref="Q6:Q69" si="18">IF(ISNUMBER(D2),D2,"")</f>
        <v>3.6139362080056088E-2</v>
      </c>
      <c r="AA6" s="18" t="str">
        <f t="shared" si="10"/>
        <v/>
      </c>
      <c r="AB6" s="18" t="str">
        <f t="shared" si="11"/>
        <v/>
      </c>
      <c r="AC6" s="18" t="str">
        <f t="shared" si="15"/>
        <v/>
      </c>
      <c r="AD6" s="18">
        <f t="shared" si="17"/>
        <v>9.3218625647206264E-3</v>
      </c>
      <c r="AE6" s="18">
        <f t="shared" ref="AE6:AE69" si="19">IF(ISNUMBER(AB3),AB3,"")</f>
        <v>2.903505835135277E-6</v>
      </c>
      <c r="AJ6" s="18">
        <f>IF(ISNUMBER(Kernel!M6),Kernel!M6,"")</f>
        <v>7.9769489928209716E-2</v>
      </c>
      <c r="AK6" s="18">
        <f t="shared" si="7"/>
        <v>6.363171523406751E-3</v>
      </c>
      <c r="AM6" s="18">
        <f>IF(ISNUMBER(Forcing!Q6),Forcing!Q6^2,"")</f>
        <v>7.8697446154387049E-3</v>
      </c>
      <c r="AN6" s="18">
        <f>IF(ISNUMBER(Volcanic!G6),Volcanic!G6,"")</f>
        <v>5.5599999999999998E-3</v>
      </c>
      <c r="AO6" s="18">
        <f t="shared" si="12"/>
        <v>7.728215886154622E-3</v>
      </c>
      <c r="AP6" s="18">
        <f>IF(ISNUMBER(Annual!H6),Annual!H6^2,"")</f>
        <v>1.7146601973361715E-2</v>
      </c>
      <c r="AQ6" s="18">
        <f>IF(ISNUMBER(Annual!E6),Annual!E6,"")</f>
        <v>0.18806837681949565</v>
      </c>
      <c r="AR6" s="18">
        <f t="shared" si="8"/>
        <v>3.5369714359519806E-2</v>
      </c>
      <c r="AS6" s="18">
        <f t="shared" si="13"/>
        <v>1.3062461791593202E-2</v>
      </c>
      <c r="AW6" s="2" t="s">
        <v>2660</v>
      </c>
      <c r="AX6" s="2" t="s">
        <v>2661</v>
      </c>
      <c r="AY6" s="2" t="s">
        <v>2662</v>
      </c>
      <c r="AZ6" s="2" t="s">
        <v>2663</v>
      </c>
      <c r="BA6" s="2" t="s">
        <v>2664</v>
      </c>
      <c r="BB6" s="2" t="s">
        <v>2665</v>
      </c>
    </row>
    <row r="7" spans="1:54" ht="18" customHeight="1">
      <c r="A7" s="18" t="str">
        <f>IF(Volcanic!A7="","",Volcanic!A7)</f>
        <v>8/1958</v>
      </c>
      <c r="B7" s="18">
        <f>IF(ISNUMBER(Volcanic!L7),Volcanic!L7,"")</f>
        <v>1958.625</v>
      </c>
      <c r="C7" s="18" t="str">
        <f>IF(ISNUMBER(Volcanic!J7),Volcanic!J7,"")</f>
        <v/>
      </c>
      <c r="D7" s="18" t="str">
        <f t="shared" si="0"/>
        <v/>
      </c>
      <c r="E7" s="18">
        <f>IF(ISNUMBER(Volcanic!C7),Volcanic!C7,"")</f>
        <v>0.16960436691695893</v>
      </c>
      <c r="F7" s="18" t="str">
        <f>IF(ISNUMBER(Volcanic!D7),Volcanic!D7,"")</f>
        <v/>
      </c>
      <c r="G7" s="18">
        <f>IF(ISNUMBER(Volcanic!E7),Volcanic!E7,"")</f>
        <v>7.3299999999999997E-3</v>
      </c>
      <c r="H7" s="18">
        <f t="shared" si="1"/>
        <v>2.8765641277302433E-2</v>
      </c>
      <c r="I7" s="18" t="str">
        <f t="shared" si="2"/>
        <v/>
      </c>
      <c r="J7" s="18">
        <f t="shared" si="3"/>
        <v>5.3728899999999993E-5</v>
      </c>
      <c r="K7" s="18" t="str">
        <f t="shared" si="4"/>
        <v/>
      </c>
      <c r="L7" s="18">
        <f t="shared" si="5"/>
        <v>1.2432000095013089E-3</v>
      </c>
      <c r="M7" s="18" t="str">
        <f t="shared" si="6"/>
        <v/>
      </c>
      <c r="N7" s="18" t="str">
        <f t="shared" si="9"/>
        <v/>
      </c>
      <c r="O7" s="18" t="str">
        <f t="shared" si="14"/>
        <v/>
      </c>
      <c r="P7" s="18">
        <f t="shared" si="16"/>
        <v>2.1160546113547632E-2</v>
      </c>
      <c r="Q7" s="18">
        <f t="shared" si="18"/>
        <v>9.4650447343088313E-3</v>
      </c>
      <c r="R7" s="18">
        <f t="shared" ref="R7:R70" si="20">IF(ISNUMBER(D2),D2,"")</f>
        <v>3.6139362080056088E-2</v>
      </c>
      <c r="AA7" s="18" t="str">
        <f t="shared" si="10"/>
        <v/>
      </c>
      <c r="AB7" s="18" t="str">
        <f t="shared" si="11"/>
        <v/>
      </c>
      <c r="AC7" s="18" t="str">
        <f t="shared" si="15"/>
        <v/>
      </c>
      <c r="AD7" s="18" t="str">
        <f t="shared" si="17"/>
        <v/>
      </c>
      <c r="AE7" s="18">
        <f t="shared" si="19"/>
        <v>9.3218625647206264E-3</v>
      </c>
      <c r="AF7" s="18">
        <f t="shared" ref="AF7:AF70" si="21">IF(ISNUMBER(AB3),AB3,"")</f>
        <v>2.903505835135277E-6</v>
      </c>
      <c r="AJ7" s="18">
        <f>IF(ISNUMBER(Kernel!M7),Kernel!M7,"")</f>
        <v>-6.4256258392497434E-3</v>
      </c>
      <c r="AK7" s="18">
        <f t="shared" si="7"/>
        <v>4.128866742603397E-5</v>
      </c>
      <c r="AM7" s="18">
        <f>IF(ISNUMBER(Forcing!Q7),Forcing!Q7^2,"")</f>
        <v>2.826135383618587E-2</v>
      </c>
      <c r="AN7" s="18">
        <f>IF(ISNUMBER(Volcanic!G7),Volcanic!G7,"")</f>
        <v>5.47E-3</v>
      </c>
      <c r="AO7" s="18">
        <f t="shared" si="12"/>
        <v>7.8697446154387049E-3</v>
      </c>
      <c r="AP7" s="18">
        <f>IF(ISNUMBER(Annual!H7),Annual!H7^2,"")</f>
        <v>1.6944947500838997E-2</v>
      </c>
      <c r="AQ7" s="18">
        <f>IF(ISNUMBER(Annual!E7),Annual!E7,"")</f>
        <v>0.19090694656901711</v>
      </c>
      <c r="AR7" s="18">
        <f t="shared" si="8"/>
        <v>3.6445462248305555E-2</v>
      </c>
      <c r="AS7" s="18">
        <f t="shared" si="13"/>
        <v>1.7146601973361715E-2</v>
      </c>
      <c r="AW7" s="61" t="s">
        <v>2666</v>
      </c>
      <c r="AX7" s="53"/>
      <c r="AY7" s="53"/>
      <c r="AZ7" s="53"/>
      <c r="BA7" s="53"/>
      <c r="BB7" s="53"/>
    </row>
    <row r="8" spans="1:54">
      <c r="A8" s="18" t="str">
        <f>IF(Volcanic!A8="","",Volcanic!A8)</f>
        <v>9/1958</v>
      </c>
      <c r="B8" s="18">
        <f>IF(ISNUMBER(Volcanic!L8),Volcanic!L8,"")</f>
        <v>1958.7083333333333</v>
      </c>
      <c r="C8" s="18" t="str">
        <f>IF(ISNUMBER(Volcanic!J8),Volcanic!J8,"")</f>
        <v/>
      </c>
      <c r="D8" s="18" t="str">
        <f t="shared" si="0"/>
        <v/>
      </c>
      <c r="E8" s="18">
        <f>IF(ISNUMBER(Volcanic!C8),Volcanic!C8,"")</f>
        <v>0.1617034477834195</v>
      </c>
      <c r="F8" s="18" t="str">
        <f>IF(ISNUMBER(Volcanic!D8),Volcanic!D8,"")</f>
        <v/>
      </c>
      <c r="G8" s="18">
        <f>IF(ISNUMBER(Volcanic!E8),Volcanic!E8,"")</f>
        <v>6.8100000000000001E-3</v>
      </c>
      <c r="H8" s="18">
        <f t="shared" si="1"/>
        <v>2.6148005025045076E-2</v>
      </c>
      <c r="I8" s="18" t="str">
        <f t="shared" si="2"/>
        <v/>
      </c>
      <c r="J8" s="18">
        <f t="shared" si="3"/>
        <v>4.6376099999999998E-5</v>
      </c>
      <c r="K8" s="18" t="str">
        <f t="shared" si="4"/>
        <v/>
      </c>
      <c r="L8" s="18">
        <f t="shared" si="5"/>
        <v>1.1012004794050867E-3</v>
      </c>
      <c r="M8" s="18" t="str">
        <f t="shared" si="6"/>
        <v/>
      </c>
      <c r="N8" s="18" t="str">
        <f t="shared" si="9"/>
        <v/>
      </c>
      <c r="O8" s="18" t="str">
        <f t="shared" si="14"/>
        <v/>
      </c>
      <c r="P8" s="18" t="str">
        <f t="shared" si="16"/>
        <v/>
      </c>
      <c r="Q8" s="18">
        <f t="shared" si="18"/>
        <v>2.1160546113547632E-2</v>
      </c>
      <c r="R8" s="18">
        <f t="shared" si="20"/>
        <v>9.4650447343088313E-3</v>
      </c>
      <c r="S8" s="18">
        <f t="shared" ref="S8:S71" si="22">IF(ISNUMBER(D2),D2,"")</f>
        <v>3.6139362080056088E-2</v>
      </c>
      <c r="AA8" s="18" t="str">
        <f t="shared" si="10"/>
        <v/>
      </c>
      <c r="AB8" s="18" t="str">
        <f t="shared" si="11"/>
        <v/>
      </c>
      <c r="AC8" s="18" t="str">
        <f t="shared" si="15"/>
        <v/>
      </c>
      <c r="AD8" s="18" t="str">
        <f t="shared" si="17"/>
        <v/>
      </c>
      <c r="AE8" s="18" t="str">
        <f t="shared" si="19"/>
        <v/>
      </c>
      <c r="AF8" s="18">
        <f t="shared" si="21"/>
        <v>9.3218625647206264E-3</v>
      </c>
      <c r="AG8" s="18">
        <f t="shared" ref="AG8:AG71" si="23">IF(ISNUMBER(AB3),AB3,"")</f>
        <v>2.903505835135277E-6</v>
      </c>
      <c r="AJ8" s="18">
        <f>IF(ISNUMBER(Kernel!M8),Kernel!M8,"")</f>
        <v>3.7604829164572473E-2</v>
      </c>
      <c r="AK8" s="18">
        <f t="shared" si="7"/>
        <v>1.4141231764966805E-3</v>
      </c>
      <c r="AM8" s="18">
        <f>IF(ISNUMBER(Forcing!Q8),Forcing!Q8^2,"")</f>
        <v>7.2679571778471322E-3</v>
      </c>
      <c r="AN8" s="18">
        <f>IF(ISNUMBER(Volcanic!G8),Volcanic!G8,"")</f>
        <v>5.3600000000000002E-3</v>
      </c>
      <c r="AO8" s="18">
        <f t="shared" si="12"/>
        <v>2.826135383618587E-2</v>
      </c>
      <c r="AP8" s="18">
        <f>IF(ISNUMBER(Annual!H8),Annual!H8^2,"")</f>
        <v>1.8355780293662913E-3</v>
      </c>
      <c r="AQ8" s="18">
        <f>IF(ISNUMBER(Annual!E8),Annual!E8,"")</f>
        <v>0.19279248762081727</v>
      </c>
      <c r="AR8" s="18">
        <f t="shared" si="8"/>
        <v>3.7168943283022983E-2</v>
      </c>
      <c r="AS8" s="18">
        <f t="shared" si="13"/>
        <v>1.6944947500838997E-2</v>
      </c>
      <c r="AW8" s="18" t="s">
        <v>2667</v>
      </c>
      <c r="AX8" s="20">
        <f>COUNT($D$9:$D$822)*BA8</f>
        <v>9.1844707294860584</v>
      </c>
      <c r="AY8" s="18">
        <v>3</v>
      </c>
      <c r="AZ8" s="18">
        <f t="shared" ref="AZ8:AZ13" si="24">CHIDIST(AX8,AY8)</f>
        <v>2.6936177477549981E-2</v>
      </c>
      <c r="BA8" s="25">
        <f>INDEX(LINEST($D$9:$D$822,$E$9:$G$822,TRUE(),TRUE()),3,1)</f>
        <v>1.1283133574307198E-2</v>
      </c>
      <c r="BB8" s="6" t="s">
        <v>2668</v>
      </c>
    </row>
    <row r="9" spans="1:54">
      <c r="A9" s="18" t="str">
        <f>IF(Volcanic!A9="","",Volcanic!A9)</f>
        <v>10/1958</v>
      </c>
      <c r="B9" s="18">
        <f>IF(ISNUMBER(Volcanic!L9),Volcanic!L9,"")</f>
        <v>1958.7916666666667</v>
      </c>
      <c r="C9" s="18">
        <f>IF(ISNUMBER(Volcanic!J9),Volcanic!J9,"")</f>
        <v>0.14336839486083414</v>
      </c>
      <c r="D9" s="18">
        <f t="shared" si="0"/>
        <v>2.0554496644972053E-2</v>
      </c>
      <c r="E9" s="18">
        <f>IF(ISNUMBER(Volcanic!C9),Volcanic!C9,"")</f>
        <v>0.1580599853917147</v>
      </c>
      <c r="F9" s="18">
        <f>IF(ISNUMBER(Volcanic!D9),Volcanic!D9,"")</f>
        <v>0.43</v>
      </c>
      <c r="G9" s="18">
        <f>IF(ISNUMBER(Volcanic!E9),Volcanic!E9,"")</f>
        <v>6.4000000000000003E-3</v>
      </c>
      <c r="H9" s="18">
        <f t="shared" si="1"/>
        <v>2.4982958982029065E-2</v>
      </c>
      <c r="I9" s="18">
        <f t="shared" si="2"/>
        <v>0.18489999999999998</v>
      </c>
      <c r="J9" s="18">
        <f t="shared" si="3"/>
        <v>4.0960000000000001E-5</v>
      </c>
      <c r="K9" s="18">
        <f t="shared" si="4"/>
        <v>6.796579371843732E-2</v>
      </c>
      <c r="L9" s="18">
        <f t="shared" si="5"/>
        <v>1.0115839065069742E-3</v>
      </c>
      <c r="M9" s="18">
        <f t="shared" si="6"/>
        <v>2.7520000000000001E-3</v>
      </c>
      <c r="N9" s="18" t="str">
        <f t="shared" si="9"/>
        <v/>
      </c>
      <c r="O9" s="18" t="str">
        <f t="shared" si="14"/>
        <v/>
      </c>
      <c r="P9" s="18" t="str">
        <f t="shared" si="16"/>
        <v/>
      </c>
      <c r="Q9" s="18" t="str">
        <f t="shared" si="18"/>
        <v/>
      </c>
      <c r="R9" s="18">
        <f t="shared" si="20"/>
        <v>2.1160546113547632E-2</v>
      </c>
      <c r="S9" s="18">
        <f t="shared" si="22"/>
        <v>9.4650447343088313E-3</v>
      </c>
      <c r="T9" s="18">
        <f t="shared" ref="T9:T72" si="25">IF(ISNUMBER(D2),D2,"")</f>
        <v>3.6139362080056088E-2</v>
      </c>
      <c r="AA9" s="18" t="str">
        <f t="shared" si="10"/>
        <v/>
      </c>
      <c r="AB9" s="18" t="str">
        <f t="shared" si="11"/>
        <v/>
      </c>
      <c r="AC9" s="18" t="str">
        <f t="shared" si="15"/>
        <v/>
      </c>
      <c r="AD9" s="18" t="str">
        <f t="shared" si="17"/>
        <v/>
      </c>
      <c r="AE9" s="18" t="str">
        <f t="shared" si="19"/>
        <v/>
      </c>
      <c r="AF9" s="18" t="str">
        <f t="shared" si="21"/>
        <v/>
      </c>
      <c r="AG9" s="18">
        <f t="shared" si="23"/>
        <v>9.3218625647206264E-3</v>
      </c>
      <c r="AH9" s="18">
        <f t="shared" ref="AH9:AH72" si="26">IF(ISNUMBER(AB3),AB3,"")</f>
        <v>2.903505835135277E-6</v>
      </c>
      <c r="AJ9" s="18">
        <f>IF(ISNUMBER(Kernel!M9),Kernel!M9,"")</f>
        <v>0.11924487600652456</v>
      </c>
      <c r="AK9" s="18">
        <f t="shared" si="7"/>
        <v>1.4219340453811416E-2</v>
      </c>
      <c r="AM9" s="18">
        <f>IF(ISNUMBER(Forcing!Q9),Forcing!Q9^2,"")</f>
        <v>1.0749663031286268E-2</v>
      </c>
      <c r="AN9" s="18">
        <f>IF(ISNUMBER(Volcanic!G9),Volcanic!G9,"")</f>
        <v>5.2900000000000004E-3</v>
      </c>
      <c r="AO9" s="18">
        <f t="shared" si="12"/>
        <v>7.2679571778471322E-3</v>
      </c>
      <c r="AP9" s="18">
        <f>IF(ISNUMBER(Annual!H9),Annual!H9^2,"")</f>
        <v>1.0152018728553599E-4</v>
      </c>
      <c r="AQ9" s="18">
        <f>IF(ISNUMBER(Annual!E9),Annual!E9,"")</f>
        <v>0.19877221770103162</v>
      </c>
      <c r="AR9" s="18">
        <f t="shared" si="8"/>
        <v>3.9510394529786309E-2</v>
      </c>
      <c r="AS9" s="18">
        <f t="shared" si="13"/>
        <v>1.8355780293662913E-3</v>
      </c>
      <c r="AW9" s="18" t="s">
        <v>2669</v>
      </c>
      <c r="AX9" s="20">
        <f>0.5*BA8*DEVSQ($D$9:$D$822)/AVERAGE($D$9:$D$822)^2</f>
        <v>9.8818334631336526</v>
      </c>
      <c r="AY9" s="18">
        <v>3</v>
      </c>
      <c r="AZ9" s="18">
        <f t="shared" si="24"/>
        <v>1.9597767855153766E-2</v>
      </c>
      <c r="BB9" s="6" t="s">
        <v>2670</v>
      </c>
    </row>
    <row r="10" spans="1:54">
      <c r="A10" s="18" t="str">
        <f>IF(Volcanic!A10="","",Volcanic!A10)</f>
        <v>11/1958</v>
      </c>
      <c r="B10" s="18">
        <f>IF(ISNUMBER(Volcanic!L10),Volcanic!L10,"")</f>
        <v>1958.875</v>
      </c>
      <c r="C10" s="18">
        <f>IF(ISNUMBER(Volcanic!J10),Volcanic!J10,"")</f>
        <v>0.121493204668425</v>
      </c>
      <c r="D10" s="18">
        <f t="shared" si="0"/>
        <v>1.4760598780603807E-2</v>
      </c>
      <c r="E10" s="18">
        <f>IF(ISNUMBER(Volcanic!C10),Volcanic!C10,"")</f>
        <v>0.16225608099765507</v>
      </c>
      <c r="F10" s="18">
        <f>IF(ISNUMBER(Volcanic!D10),Volcanic!D10,"")</f>
        <v>0.32</v>
      </c>
      <c r="G10" s="18">
        <f>IF(ISNUMBER(Volcanic!E10),Volcanic!E10,"")</f>
        <v>6.11E-3</v>
      </c>
      <c r="H10" s="18">
        <f t="shared" si="1"/>
        <v>2.63270358207176E-2</v>
      </c>
      <c r="I10" s="18">
        <f t="shared" si="2"/>
        <v>0.1024</v>
      </c>
      <c r="J10" s="18">
        <f t="shared" si="3"/>
        <v>3.7332100000000001E-5</v>
      </c>
      <c r="K10" s="18">
        <f t="shared" si="4"/>
        <v>5.1921945919249625E-2</v>
      </c>
      <c r="L10" s="18">
        <f t="shared" si="5"/>
        <v>9.9138465489567252E-4</v>
      </c>
      <c r="M10" s="18">
        <f t="shared" si="6"/>
        <v>1.9551999999999998E-3</v>
      </c>
      <c r="N10" s="18">
        <f t="shared" si="9"/>
        <v>2.0554496644972053E-2</v>
      </c>
      <c r="O10" s="18" t="str">
        <f t="shared" si="14"/>
        <v/>
      </c>
      <c r="P10" s="18" t="str">
        <f t="shared" si="16"/>
        <v/>
      </c>
      <c r="Q10" s="18" t="str">
        <f t="shared" si="18"/>
        <v/>
      </c>
      <c r="R10" s="18" t="str">
        <f t="shared" si="20"/>
        <v/>
      </c>
      <c r="S10" s="18">
        <f t="shared" si="22"/>
        <v>2.1160546113547632E-2</v>
      </c>
      <c r="T10" s="18">
        <f t="shared" si="25"/>
        <v>9.4650447343088313E-3</v>
      </c>
      <c r="U10" s="18">
        <f t="shared" ref="U10:U73" si="27">IF(ISNUMBER(D2),D2,"")</f>
        <v>3.6139362080056088E-2</v>
      </c>
      <c r="AA10" s="18">
        <f t="shared" si="10"/>
        <v>4.940725466144065E-2</v>
      </c>
      <c r="AB10" s="18">
        <f t="shared" si="11"/>
        <v>2.4410768131804487E-3</v>
      </c>
      <c r="AC10" s="18" t="str">
        <f t="shared" si="15"/>
        <v/>
      </c>
      <c r="AD10" s="18" t="str">
        <f t="shared" si="17"/>
        <v/>
      </c>
      <c r="AE10" s="18" t="str">
        <f t="shared" si="19"/>
        <v/>
      </c>
      <c r="AF10" s="18" t="str">
        <f t="shared" si="21"/>
        <v/>
      </c>
      <c r="AG10" s="18" t="str">
        <f t="shared" si="23"/>
        <v/>
      </c>
      <c r="AH10" s="18">
        <f t="shared" si="26"/>
        <v>9.3218625647206264E-3</v>
      </c>
      <c r="AJ10" s="18">
        <f>IF(ISNUMBER(Kernel!M10),Kernel!M10,"")</f>
        <v>8.803793371135607E-2</v>
      </c>
      <c r="AK10" s="18">
        <f t="shared" si="7"/>
        <v>7.7506777721651253E-3</v>
      </c>
      <c r="AM10" s="18">
        <f>IF(ISNUMBER(Forcing!Q10),Forcing!Q10^2,"")</f>
        <v>9.792698159242115E-4</v>
      </c>
      <c r="AN10" s="18">
        <f>IF(ISNUMBER(Volcanic!G10),Volcanic!G10,"")</f>
        <v>5.0800000000000003E-3</v>
      </c>
      <c r="AO10" s="18">
        <f t="shared" si="12"/>
        <v>1.0749663031286268E-2</v>
      </c>
      <c r="AP10" s="18">
        <f>IF(ISNUMBER(Annual!H10),Annual!H10^2,"")</f>
        <v>1.7606367851547488E-4</v>
      </c>
      <c r="AQ10" s="18">
        <f>IF(ISNUMBER(Annual!E10),Annual!E10,"")</f>
        <v>0.20241455784943219</v>
      </c>
      <c r="AR10" s="18">
        <f t="shared" si="8"/>
        <v>4.0971653229381129E-2</v>
      </c>
      <c r="AS10" s="18">
        <f t="shared" si="13"/>
        <v>1.0152018728553599E-4</v>
      </c>
      <c r="AW10" s="18" t="s">
        <v>2671</v>
      </c>
      <c r="AX10" s="20">
        <f>COUNT($D$9:$D$822)*BA10</f>
        <v>24.366559068313492</v>
      </c>
      <c r="AY10" s="18">
        <v>9</v>
      </c>
      <c r="AZ10" s="18">
        <f t="shared" si="24"/>
        <v>3.7579006551583852E-3</v>
      </c>
      <c r="BA10" s="25">
        <f>INDEX(LINEST($D$9:$D$822,$E$9:$M$822,TRUE(),TRUE()),3,1)</f>
        <v>2.9934347749770874E-2</v>
      </c>
      <c r="BB10" s="6" t="s">
        <v>2672</v>
      </c>
    </row>
    <row r="11" spans="1:54">
      <c r="A11" s="18" t="str">
        <f>IF(Volcanic!A11="","",Volcanic!A11)</f>
        <v>12/1958</v>
      </c>
      <c r="B11" s="18">
        <f>IF(ISNUMBER(Volcanic!L11),Volcanic!L11,"")</f>
        <v>1958.9583333333333</v>
      </c>
      <c r="C11" s="18">
        <f>IF(ISNUMBER(Volcanic!J11),Volcanic!J11,"")</f>
        <v>9.7884886729469128E-2</v>
      </c>
      <c r="D11" s="18">
        <f t="shared" si="0"/>
        <v>9.5814510500410021E-3</v>
      </c>
      <c r="E11" s="18">
        <f>IF(ISNUMBER(Volcanic!C11),Volcanic!C11,"")</f>
        <v>0.16841281440122227</v>
      </c>
      <c r="F11" s="18">
        <f>IF(ISNUMBER(Volcanic!D11),Volcanic!D11,"")</f>
        <v>0.28000000000000003</v>
      </c>
      <c r="G11" s="18">
        <f>IF(ISNUMBER(Volcanic!E11),Volcanic!E11,"")</f>
        <v>5.8700000000000002E-3</v>
      </c>
      <c r="H11" s="18">
        <f t="shared" si="1"/>
        <v>2.8362876054540541E-2</v>
      </c>
      <c r="I11" s="18">
        <f t="shared" si="2"/>
        <v>7.8400000000000011E-2</v>
      </c>
      <c r="J11" s="18">
        <f t="shared" si="3"/>
        <v>3.4456900000000005E-5</v>
      </c>
      <c r="K11" s="18">
        <f t="shared" si="4"/>
        <v>4.7155588032342238E-2</v>
      </c>
      <c r="L11" s="18">
        <f t="shared" si="5"/>
        <v>9.8858322053517467E-4</v>
      </c>
      <c r="M11" s="18">
        <f t="shared" si="6"/>
        <v>1.6436000000000003E-3</v>
      </c>
      <c r="N11" s="18">
        <f t="shared" si="9"/>
        <v>1.4760598780603807E-2</v>
      </c>
      <c r="O11" s="18">
        <f t="shared" si="14"/>
        <v>2.0554496644972053E-2</v>
      </c>
      <c r="P11" s="18" t="str">
        <f t="shared" si="16"/>
        <v/>
      </c>
      <c r="Q11" s="18" t="str">
        <f t="shared" si="18"/>
        <v/>
      </c>
      <c r="R11" s="18" t="str">
        <f t="shared" si="20"/>
        <v/>
      </c>
      <c r="S11" s="18" t="str">
        <f t="shared" si="22"/>
        <v/>
      </c>
      <c r="T11" s="18">
        <f t="shared" si="25"/>
        <v>2.1160546113547632E-2</v>
      </c>
      <c r="U11" s="18">
        <f t="shared" si="27"/>
        <v>9.4650447343088313E-3</v>
      </c>
      <c r="V11" s="18">
        <f t="shared" ref="V11:V74" si="28">IF(ISNUMBER(D2),D2,"")</f>
        <v>3.6139362080056088E-2</v>
      </c>
      <c r="AA11" s="18">
        <f t="shared" si="10"/>
        <v>3.6797831340325417E-2</v>
      </c>
      <c r="AB11" s="18">
        <f t="shared" si="11"/>
        <v>1.3540803913510355E-3</v>
      </c>
      <c r="AC11" s="18">
        <f t="shared" si="15"/>
        <v>2.4410768131804487E-3</v>
      </c>
      <c r="AD11" s="18" t="str">
        <f t="shared" si="17"/>
        <v/>
      </c>
      <c r="AE11" s="18" t="str">
        <f t="shared" si="19"/>
        <v/>
      </c>
      <c r="AF11" s="18" t="str">
        <f t="shared" si="21"/>
        <v/>
      </c>
      <c r="AG11" s="18" t="str">
        <f t="shared" si="23"/>
        <v/>
      </c>
      <c r="AH11" s="18" t="str">
        <f t="shared" si="26"/>
        <v/>
      </c>
      <c r="AJ11" s="18">
        <f>IF(ISNUMBER(Kernel!M11),Kernel!M11,"")</f>
        <v>5.7093170710359242E-2</v>
      </c>
      <c r="AK11" s="18">
        <f t="shared" si="7"/>
        <v>3.2596301417622225E-3</v>
      </c>
      <c r="AM11" s="18">
        <f>IF(ISNUMBER(Forcing!Q11),Forcing!Q11^2,"")</f>
        <v>1.7015401039279644E-3</v>
      </c>
      <c r="AN11" s="18">
        <f>IF(ISNUMBER(Volcanic!G11),Volcanic!G11,"")</f>
        <v>4.8500000000000001E-3</v>
      </c>
      <c r="AO11" s="18">
        <f t="shared" si="12"/>
        <v>9.792698159242115E-4</v>
      </c>
      <c r="AP11" s="18">
        <f>IF(ISNUMBER(Annual!H11),Annual!H11^2,"")</f>
        <v>3.107576712190795E-3</v>
      </c>
      <c r="AQ11" s="18">
        <f>IF(ISNUMBER(Annual!E11),Annual!E11,"")</f>
        <v>0.20630941394392599</v>
      </c>
      <c r="AR11" s="18">
        <f t="shared" si="8"/>
        <v>4.2563574281886202E-2</v>
      </c>
      <c r="AS11" s="18">
        <f t="shared" si="13"/>
        <v>1.7606367851547488E-4</v>
      </c>
      <c r="AW11" s="18" t="s">
        <v>2673</v>
      </c>
      <c r="AX11" s="20">
        <f>COUNT($D$10:$D$822)*BA11</f>
        <v>42.299587313132676</v>
      </c>
      <c r="AY11" s="18">
        <v>1</v>
      </c>
      <c r="AZ11" s="18">
        <f t="shared" si="24"/>
        <v>7.8309082577065415E-11</v>
      </c>
      <c r="BA11" s="25">
        <f>INDEX(LINEST($D$10:$D$822,$N$10:$N$822,TRUE(),TRUE()),3,1)</f>
        <v>5.2029012685280047E-2</v>
      </c>
      <c r="BB11" s="6" t="s">
        <v>2674</v>
      </c>
    </row>
    <row r="12" spans="1:54">
      <c r="A12" s="18" t="str">
        <f>IF(Volcanic!A12="","",Volcanic!A12)</f>
        <v>1/1959</v>
      </c>
      <c r="B12" s="18">
        <f>IF(ISNUMBER(Volcanic!L12),Volcanic!L12,"")</f>
        <v>1959.0416666666667</v>
      </c>
      <c r="C12" s="18">
        <f>IF(ISNUMBER(Volcanic!J12),Volcanic!J12,"")</f>
        <v>0.15429210118552264</v>
      </c>
      <c r="D12" s="18">
        <f t="shared" si="0"/>
        <v>2.3806052488243558E-2</v>
      </c>
      <c r="E12" s="18">
        <f>IF(ISNUMBER(Volcanic!C12),Volcanic!C12,"")</f>
        <v>0.17257894974287927</v>
      </c>
      <c r="F12" s="18">
        <f>IF(ISNUMBER(Volcanic!D12),Volcanic!D12,"")</f>
        <v>0.3</v>
      </c>
      <c r="G12" s="18">
        <f>IF(ISNUMBER(Volcanic!E12),Volcanic!E12,"")</f>
        <v>5.7000000000000002E-3</v>
      </c>
      <c r="H12" s="18">
        <f t="shared" si="1"/>
        <v>2.9783493894355247E-2</v>
      </c>
      <c r="I12" s="18">
        <f t="shared" si="2"/>
        <v>0.09</v>
      </c>
      <c r="J12" s="18">
        <f t="shared" si="3"/>
        <v>3.2490000000000002E-5</v>
      </c>
      <c r="K12" s="18">
        <f t="shared" si="4"/>
        <v>5.1773684922863779E-2</v>
      </c>
      <c r="L12" s="18">
        <f t="shared" si="5"/>
        <v>9.8370001353441177E-4</v>
      </c>
      <c r="M12" s="18">
        <f t="shared" si="6"/>
        <v>1.7099999999999999E-3</v>
      </c>
      <c r="N12" s="18">
        <f t="shared" si="9"/>
        <v>9.5814510500410021E-3</v>
      </c>
      <c r="O12" s="18">
        <f t="shared" si="14"/>
        <v>1.4760598780603807E-2</v>
      </c>
      <c r="P12" s="18">
        <f t="shared" si="16"/>
        <v>2.0554496644972053E-2</v>
      </c>
      <c r="Q12" s="18" t="str">
        <f t="shared" si="18"/>
        <v/>
      </c>
      <c r="R12" s="18" t="str">
        <f t="shared" si="20"/>
        <v/>
      </c>
      <c r="S12" s="18" t="str">
        <f t="shared" si="22"/>
        <v/>
      </c>
      <c r="T12" s="18" t="str">
        <f t="shared" si="25"/>
        <v/>
      </c>
      <c r="U12" s="18">
        <f t="shared" si="27"/>
        <v>2.1160546113547632E-2</v>
      </c>
      <c r="V12" s="18">
        <f t="shared" si="28"/>
        <v>9.4650447343088313E-3</v>
      </c>
      <c r="W12" s="18">
        <f t="shared" ref="W12:W75" si="29">IF(ISNUMBER(D2),D2,"")</f>
        <v>3.6139362080056088E-2</v>
      </c>
      <c r="AA12" s="18">
        <f t="shared" si="10"/>
        <v>0.10507536092649186</v>
      </c>
      <c r="AB12" s="18">
        <f t="shared" si="11"/>
        <v>1.1040831473832533E-2</v>
      </c>
      <c r="AC12" s="18">
        <f t="shared" si="15"/>
        <v>1.3540803913510355E-3</v>
      </c>
      <c r="AD12" s="18">
        <f t="shared" si="17"/>
        <v>2.4410768131804487E-3</v>
      </c>
      <c r="AE12" s="18" t="str">
        <f t="shared" si="19"/>
        <v/>
      </c>
      <c r="AF12" s="18" t="str">
        <f t="shared" si="21"/>
        <v/>
      </c>
      <c r="AG12" s="18" t="str">
        <f t="shared" si="23"/>
        <v/>
      </c>
      <c r="AH12" s="18" t="str">
        <f t="shared" si="26"/>
        <v/>
      </c>
      <c r="AJ12" s="18">
        <f>IF(ISNUMBER(Kernel!M12),Kernel!M12,"")</f>
        <v>0.11125054174467704</v>
      </c>
      <c r="AK12" s="18">
        <f t="shared" si="7"/>
        <v>1.2376683038484129E-2</v>
      </c>
      <c r="AM12" s="18">
        <f>IF(ISNUMBER(Forcing!Q12),Forcing!Q12^2,"")</f>
        <v>2.9152228597735483E-6</v>
      </c>
      <c r="AN12" s="18">
        <f>IF(ISNUMBER(Volcanic!G12),Volcanic!G12,"")</f>
        <v>4.6600000000000001E-3</v>
      </c>
      <c r="AO12" s="18">
        <f t="shared" si="12"/>
        <v>1.7015401039279644E-3</v>
      </c>
      <c r="AP12" s="18">
        <f>IF(ISNUMBER(Annual!H12),Annual!H12^2,"")</f>
        <v>3.6074195584917994E-3</v>
      </c>
      <c r="AQ12" s="18">
        <f>IF(ISNUMBER(Annual!E12),Annual!E12,"")</f>
        <v>0.21330789689493801</v>
      </c>
      <c r="AR12" s="18">
        <f t="shared" si="8"/>
        <v>4.5500258877741506E-2</v>
      </c>
      <c r="AS12" s="18">
        <f t="shared" si="13"/>
        <v>3.107576712190795E-3</v>
      </c>
      <c r="AW12" s="18" t="s">
        <v>2675</v>
      </c>
      <c r="AX12" s="20">
        <f>COUNT($D$15:$D$822)*BA12</f>
        <v>54.309726265371992</v>
      </c>
      <c r="AY12" s="18">
        <v>6</v>
      </c>
      <c r="AZ12" s="18">
        <f t="shared" si="24"/>
        <v>6.3887685444816323E-10</v>
      </c>
      <c r="BA12" s="25">
        <f>INDEX(LINEST($D$15:$D$822,$N$15:$S$822,TRUE(),TRUE()),3,1)</f>
        <v>6.7215007754173259E-2</v>
      </c>
      <c r="BB12" s="6" t="s">
        <v>2676</v>
      </c>
    </row>
    <row r="13" spans="1:54">
      <c r="A13" s="18" t="str">
        <f>IF(Volcanic!A13="","",Volcanic!A13)</f>
        <v>2/1959</v>
      </c>
      <c r="B13" s="18">
        <f>IF(ISNUMBER(Volcanic!L13),Volcanic!L13,"")</f>
        <v>1959.125</v>
      </c>
      <c r="C13" s="18">
        <f>IF(ISNUMBER(Volcanic!J13),Volcanic!J13,"")</f>
        <v>0.1270862440687453</v>
      </c>
      <c r="D13" s="18">
        <f t="shared" si="0"/>
        <v>1.6150913431500699E-2</v>
      </c>
      <c r="E13" s="18">
        <f>IF(ISNUMBER(Volcanic!C13),Volcanic!C13,"")</f>
        <v>0.17673308898155007</v>
      </c>
      <c r="F13" s="18">
        <f>IF(ISNUMBER(Volcanic!D13),Volcanic!D13,"")</f>
        <v>0.36</v>
      </c>
      <c r="G13" s="18">
        <f>IF(ISNUMBER(Volcanic!E13),Volcanic!E13,"")</f>
        <v>5.5599999999999998E-3</v>
      </c>
      <c r="H13" s="18">
        <f t="shared" si="1"/>
        <v>3.1234584740960497E-2</v>
      </c>
      <c r="I13" s="18">
        <f t="shared" si="2"/>
        <v>0.12959999999999999</v>
      </c>
      <c r="J13" s="18">
        <f t="shared" si="3"/>
        <v>3.0913599999999995E-5</v>
      </c>
      <c r="K13" s="18">
        <f t="shared" si="4"/>
        <v>6.3623912033358029E-2</v>
      </c>
      <c r="L13" s="18">
        <f t="shared" si="5"/>
        <v>9.8263597473741832E-4</v>
      </c>
      <c r="M13" s="18">
        <f t="shared" si="6"/>
        <v>2.0016000000000001E-3</v>
      </c>
      <c r="N13" s="18">
        <f t="shared" si="9"/>
        <v>2.3806052488243558E-2</v>
      </c>
      <c r="O13" s="18">
        <f t="shared" si="14"/>
        <v>9.5814510500410021E-3</v>
      </c>
      <c r="P13" s="18">
        <f t="shared" si="16"/>
        <v>1.4760598780603807E-2</v>
      </c>
      <c r="Q13" s="18">
        <f t="shared" si="18"/>
        <v>2.0554496644972053E-2</v>
      </c>
      <c r="R13" s="18" t="str">
        <f t="shared" si="20"/>
        <v/>
      </c>
      <c r="S13" s="18" t="str">
        <f t="shared" si="22"/>
        <v/>
      </c>
      <c r="T13" s="18" t="str">
        <f t="shared" si="25"/>
        <v/>
      </c>
      <c r="U13" s="18" t="str">
        <f t="shared" si="27"/>
        <v/>
      </c>
      <c r="V13" s="18">
        <f t="shared" si="28"/>
        <v>2.1160546113547632E-2</v>
      </c>
      <c r="W13" s="18">
        <f t="shared" si="29"/>
        <v>9.4650447343088313E-3</v>
      </c>
      <c r="X13" s="18">
        <f t="shared" ref="X13:X76" si="30">IF(ISNUMBER(D2),D2,"")</f>
        <v>3.6139362080056088E-2</v>
      </c>
      <c r="AA13" s="18">
        <f t="shared" si="10"/>
        <v>4.9507830058262578E-2</v>
      </c>
      <c r="AB13" s="18">
        <f t="shared" si="11"/>
        <v>2.4510252370778078E-3</v>
      </c>
      <c r="AC13" s="18">
        <f t="shared" si="15"/>
        <v>1.1040831473832533E-2</v>
      </c>
      <c r="AD13" s="18">
        <f t="shared" si="17"/>
        <v>1.3540803913510355E-3</v>
      </c>
      <c r="AE13" s="18">
        <f t="shared" si="19"/>
        <v>2.4410768131804487E-3</v>
      </c>
      <c r="AF13" s="18" t="str">
        <f t="shared" si="21"/>
        <v/>
      </c>
      <c r="AG13" s="18" t="str">
        <f t="shared" si="23"/>
        <v/>
      </c>
      <c r="AH13" s="18" t="str">
        <f t="shared" si="26"/>
        <v/>
      </c>
      <c r="AJ13" s="18">
        <f>IF(ISNUMBER(Kernel!M13),Kernel!M13,"")</f>
        <v>8.5192513133167336E-2</v>
      </c>
      <c r="AK13" s="18">
        <f t="shared" si="7"/>
        <v>7.2577642939448891E-3</v>
      </c>
      <c r="AM13" s="18">
        <f>IF(ISNUMBER(Forcing!Q13),Forcing!Q13^2,"")</f>
        <v>1.0091444266344075E-3</v>
      </c>
      <c r="AN13" s="18">
        <f>IF(ISNUMBER(Volcanic!G13),Volcanic!G13,"")</f>
        <v>4.4400000000000004E-3</v>
      </c>
      <c r="AO13" s="18">
        <f t="shared" si="12"/>
        <v>2.9152228597735483E-6</v>
      </c>
      <c r="AP13" s="18">
        <f>IF(ISNUMBER(Annual!H13),Annual!H13^2,"")</f>
        <v>4.9071306419256884E-4</v>
      </c>
      <c r="AQ13" s="18">
        <f>IF(ISNUMBER(Annual!E13),Annual!E13,"")</f>
        <v>0.21801538220265768</v>
      </c>
      <c r="AR13" s="18">
        <f t="shared" si="8"/>
        <v>4.7530706876970905E-2</v>
      </c>
      <c r="AS13" s="18">
        <f t="shared" si="13"/>
        <v>3.6074195584917994E-3</v>
      </c>
      <c r="AW13" s="18" t="s">
        <v>2677</v>
      </c>
      <c r="AX13" s="20">
        <f>COUNT($D$21:$D$822)*BA13</f>
        <v>69.260032194135192</v>
      </c>
      <c r="AY13" s="18">
        <v>12</v>
      </c>
      <c r="AZ13" s="18">
        <f t="shared" si="24"/>
        <v>4.4043759263842512E-10</v>
      </c>
      <c r="BA13" s="25">
        <f>INDEX(LINEST($D$21:$D$822,$N$21:$Y$822,TRUE(),TRUE()),3,1)</f>
        <v>8.635914238670224E-2</v>
      </c>
      <c r="BB13" s="6" t="s">
        <v>2678</v>
      </c>
    </row>
    <row r="14" spans="1:54">
      <c r="A14" s="18" t="str">
        <f>IF(Volcanic!A14="","",Volcanic!A14)</f>
        <v>3/1959</v>
      </c>
      <c r="B14" s="18">
        <f>IF(ISNUMBER(Volcanic!L14),Volcanic!L14,"")</f>
        <v>1959.2083333333333</v>
      </c>
      <c r="C14" s="18">
        <f>IF(ISNUMBER(Volcanic!J14),Volcanic!J14,"")</f>
        <v>0.21634047052464189</v>
      </c>
      <c r="D14" s="18">
        <f t="shared" si="0"/>
        <v>4.6803199186823449E-2</v>
      </c>
      <c r="E14" s="18">
        <f>IF(ISNUMBER(Volcanic!C14),Volcanic!C14,"")</f>
        <v>0.17746225223598333</v>
      </c>
      <c r="F14" s="18">
        <f>IF(ISNUMBER(Volcanic!D14),Volcanic!D14,"")</f>
        <v>0.56000000000000005</v>
      </c>
      <c r="G14" s="18">
        <f>IF(ISNUMBER(Volcanic!E14),Volcanic!E14,"")</f>
        <v>5.47E-3</v>
      </c>
      <c r="H14" s="18">
        <f t="shared" si="1"/>
        <v>3.1492850968667774E-2</v>
      </c>
      <c r="I14" s="18">
        <f t="shared" si="2"/>
        <v>0.31360000000000005</v>
      </c>
      <c r="J14" s="18">
        <f t="shared" si="3"/>
        <v>2.99209E-5</v>
      </c>
      <c r="K14" s="18">
        <f t="shared" si="4"/>
        <v>9.9378861252150674E-2</v>
      </c>
      <c r="L14" s="18">
        <f t="shared" si="5"/>
        <v>9.7071851973082888E-4</v>
      </c>
      <c r="M14" s="18">
        <f t="shared" si="6"/>
        <v>3.0632000000000003E-3</v>
      </c>
      <c r="N14" s="18">
        <f t="shared" si="9"/>
        <v>1.6150913431500699E-2</v>
      </c>
      <c r="O14" s="18">
        <f t="shared" si="14"/>
        <v>2.3806052488243558E-2</v>
      </c>
      <c r="P14" s="18">
        <f t="shared" si="16"/>
        <v>9.5814510500410021E-3</v>
      </c>
      <c r="Q14" s="18">
        <f t="shared" si="18"/>
        <v>1.4760598780603807E-2</v>
      </c>
      <c r="R14" s="18">
        <f t="shared" si="20"/>
        <v>2.0554496644972053E-2</v>
      </c>
      <c r="S14" s="18" t="str">
        <f t="shared" si="22"/>
        <v/>
      </c>
      <c r="T14" s="18" t="str">
        <f t="shared" si="25"/>
        <v/>
      </c>
      <c r="U14" s="18" t="str">
        <f t="shared" si="27"/>
        <v/>
      </c>
      <c r="V14" s="18" t="str">
        <f t="shared" si="28"/>
        <v/>
      </c>
      <c r="W14" s="18">
        <f t="shared" si="29"/>
        <v>2.1160546113547632E-2</v>
      </c>
      <c r="X14" s="18">
        <f t="shared" si="30"/>
        <v>9.4650447343088313E-3</v>
      </c>
      <c r="Y14" s="18">
        <f t="shared" ref="Y14:Y77" si="31">IF(ISNUMBER(D2),D2,"")</f>
        <v>3.6139362080056088E-2</v>
      </c>
      <c r="AA14" s="18">
        <f t="shared" si="10"/>
        <v>0.15244122239950539</v>
      </c>
      <c r="AB14" s="18">
        <f t="shared" si="11"/>
        <v>2.3238326286655463E-2</v>
      </c>
      <c r="AC14" s="18">
        <f t="shared" si="15"/>
        <v>2.4510252370778078E-3</v>
      </c>
      <c r="AD14" s="18">
        <f t="shared" si="17"/>
        <v>1.1040831473832533E-2</v>
      </c>
      <c r="AE14" s="18">
        <f t="shared" si="19"/>
        <v>1.3540803913510355E-3</v>
      </c>
      <c r="AF14" s="18">
        <f t="shared" si="21"/>
        <v>2.4410768131804487E-3</v>
      </c>
      <c r="AG14" s="18" t="str">
        <f t="shared" si="23"/>
        <v/>
      </c>
      <c r="AH14" s="18" t="str">
        <f t="shared" si="26"/>
        <v/>
      </c>
      <c r="AJ14" s="18">
        <f>IF(ISNUMBER(Kernel!M14),Kernel!M14,"")</f>
        <v>0.19253859694148084</v>
      </c>
      <c r="AK14" s="18">
        <f t="shared" si="7"/>
        <v>3.7071111312194018E-2</v>
      </c>
      <c r="AM14" s="18">
        <f>IF(ISNUMBER(Forcing!Q14),Forcing!Q14^2,"")</f>
        <v>1.4727946830658207E-4</v>
      </c>
      <c r="AN14" s="18">
        <f>IF(ISNUMBER(Volcanic!G14),Volcanic!G14,"")</f>
        <v>4.3E-3</v>
      </c>
      <c r="AO14" s="18">
        <f t="shared" si="12"/>
        <v>1.0091444266344075E-3</v>
      </c>
      <c r="AP14" s="18">
        <f>IF(ISNUMBER(Annual!H14),Annual!H14^2,"")</f>
        <v>8.5123061737458986E-3</v>
      </c>
      <c r="AQ14" s="18">
        <f>IF(ISNUMBER(Annual!E14),Annual!E14,"")</f>
        <v>0.22084048798225211</v>
      </c>
      <c r="AR14" s="18">
        <f t="shared" si="8"/>
        <v>4.8770521132239238E-2</v>
      </c>
      <c r="AS14" s="18">
        <f t="shared" si="13"/>
        <v>4.9071306419256884E-4</v>
      </c>
    </row>
    <row r="15" spans="1:54" ht="18" customHeight="1">
      <c r="A15" s="18" t="str">
        <f>IF(Volcanic!A15="","",Volcanic!A15)</f>
        <v>4/1959</v>
      </c>
      <c r="B15" s="18">
        <f>IF(ISNUMBER(Volcanic!L15),Volcanic!L15,"")</f>
        <v>1959.2916666666667</v>
      </c>
      <c r="C15" s="18">
        <f>IF(ISNUMBER(Volcanic!J15),Volcanic!J15,"")</f>
        <v>0.17911271577575869</v>
      </c>
      <c r="D15" s="18">
        <f t="shared" si="0"/>
        <v>3.2081364952567713E-2</v>
      </c>
      <c r="E15" s="18">
        <f>IF(ISNUMBER(Volcanic!C15),Volcanic!C15,"")</f>
        <v>0.18232908124013067</v>
      </c>
      <c r="F15" s="18">
        <f>IF(ISNUMBER(Volcanic!D15),Volcanic!D15,"")</f>
        <v>0.6</v>
      </c>
      <c r="G15" s="18">
        <f>IF(ISNUMBER(Volcanic!E15),Volcanic!E15,"")</f>
        <v>5.3600000000000002E-3</v>
      </c>
      <c r="H15" s="18">
        <f t="shared" si="1"/>
        <v>3.3243893865870171E-2</v>
      </c>
      <c r="I15" s="18">
        <f t="shared" si="2"/>
        <v>0.36</v>
      </c>
      <c r="J15" s="18">
        <f t="shared" si="3"/>
        <v>2.8729600000000004E-5</v>
      </c>
      <c r="K15" s="18">
        <f t="shared" si="4"/>
        <v>0.1093974487440784</v>
      </c>
      <c r="L15" s="18">
        <f t="shared" si="5"/>
        <v>9.7728387544710046E-4</v>
      </c>
      <c r="M15" s="18">
        <f t="shared" si="6"/>
        <v>3.2160000000000001E-3</v>
      </c>
      <c r="N15" s="18">
        <f t="shared" si="9"/>
        <v>4.6803199186823449E-2</v>
      </c>
      <c r="O15" s="18">
        <f t="shared" si="14"/>
        <v>1.6150913431500699E-2</v>
      </c>
      <c r="P15" s="18">
        <f t="shared" si="16"/>
        <v>2.3806052488243558E-2</v>
      </c>
      <c r="Q15" s="18">
        <f t="shared" si="18"/>
        <v>9.5814510500410021E-3</v>
      </c>
      <c r="R15" s="18">
        <f t="shared" si="20"/>
        <v>1.4760598780603807E-2</v>
      </c>
      <c r="S15" s="18">
        <f t="shared" si="22"/>
        <v>2.0554496644972053E-2</v>
      </c>
      <c r="T15" s="18" t="str">
        <f t="shared" si="25"/>
        <v/>
      </c>
      <c r="U15" s="18" t="str">
        <f t="shared" si="27"/>
        <v/>
      </c>
      <c r="V15" s="18" t="str">
        <f t="shared" si="28"/>
        <v/>
      </c>
      <c r="W15" s="18" t="str">
        <f t="shared" si="29"/>
        <v/>
      </c>
      <c r="X15" s="18">
        <f t="shared" si="30"/>
        <v>2.1160546113547632E-2</v>
      </c>
      <c r="Y15" s="18">
        <f t="shared" si="31"/>
        <v>9.4650447343088313E-3</v>
      </c>
      <c r="AA15" s="18">
        <f t="shared" si="10"/>
        <v>7.0336242705353047E-2</v>
      </c>
      <c r="AB15" s="18">
        <f t="shared" si="11"/>
        <v>4.9471870379063296E-3</v>
      </c>
      <c r="AC15" s="18">
        <f t="shared" si="15"/>
        <v>2.3238326286655463E-2</v>
      </c>
      <c r="AD15" s="18">
        <f t="shared" si="17"/>
        <v>2.4510252370778078E-3</v>
      </c>
      <c r="AE15" s="18">
        <f t="shared" si="19"/>
        <v>1.1040831473832533E-2</v>
      </c>
      <c r="AF15" s="18">
        <f t="shared" si="21"/>
        <v>1.3540803913510355E-3</v>
      </c>
      <c r="AG15" s="18">
        <f t="shared" si="23"/>
        <v>2.4410768131804487E-3</v>
      </c>
      <c r="AH15" s="18" t="str">
        <f t="shared" si="26"/>
        <v/>
      </c>
      <c r="AJ15" s="18">
        <f>IF(ISNUMBER(Kernel!M15),Kernel!M15,"")</f>
        <v>0.16071209811497808</v>
      </c>
      <c r="AK15" s="18">
        <f t="shared" si="7"/>
        <v>2.5828378480518339E-2</v>
      </c>
      <c r="AM15" s="18">
        <f>IF(ISNUMBER(Forcing!Q15),Forcing!Q15^2,"")</f>
        <v>4.9137029588652221E-5</v>
      </c>
      <c r="AN15" s="18">
        <f>IF(ISNUMBER(Volcanic!G15),Volcanic!G15,"")</f>
        <v>4.2599999999999999E-3</v>
      </c>
      <c r="AO15" s="18">
        <f t="shared" si="12"/>
        <v>1.4727946830658207E-4</v>
      </c>
      <c r="AP15" s="18">
        <f>IF(ISNUMBER(Annual!H15),Annual!H15^2,"")</f>
        <v>3.1313854802500561E-4</v>
      </c>
      <c r="AQ15" s="18">
        <f>IF(ISNUMBER(Annual!E15),Annual!E15,"")</f>
        <v>0.22586052597671843</v>
      </c>
      <c r="AR15" s="18">
        <f t="shared" si="8"/>
        <v>5.1012977194479905E-2</v>
      </c>
      <c r="AS15" s="18">
        <f t="shared" si="13"/>
        <v>8.5123061737458986E-3</v>
      </c>
      <c r="AW15" s="61" t="s">
        <v>2679</v>
      </c>
      <c r="AX15" s="53"/>
      <c r="AY15" s="53"/>
      <c r="AZ15" s="53"/>
      <c r="BA15" s="53"/>
      <c r="BB15" s="53"/>
    </row>
    <row r="16" spans="1:54">
      <c r="A16" s="18" t="str">
        <f>IF(Volcanic!A16="","",Volcanic!A16)</f>
        <v>5/1959</v>
      </c>
      <c r="B16" s="18">
        <f>IF(ISNUMBER(Volcanic!L16),Volcanic!L16,"")</f>
        <v>1959.375</v>
      </c>
      <c r="C16" s="18">
        <f>IF(ISNUMBER(Volcanic!J16),Volcanic!J16,"")</f>
        <v>4.8193977612380534E-2</v>
      </c>
      <c r="D16" s="18">
        <f t="shared" si="0"/>
        <v>2.322659478102636E-3</v>
      </c>
      <c r="E16" s="18">
        <f>IF(ISNUMBER(Volcanic!C16),Volcanic!C16,"")</f>
        <v>0.18491500408245293</v>
      </c>
      <c r="F16" s="18">
        <f>IF(ISNUMBER(Volcanic!D16),Volcanic!D16,"")</f>
        <v>0.64</v>
      </c>
      <c r="G16" s="18">
        <f>IF(ISNUMBER(Volcanic!E16),Volcanic!E16,"")</f>
        <v>5.2900000000000004E-3</v>
      </c>
      <c r="H16" s="18">
        <f t="shared" si="1"/>
        <v>3.4193558734813584E-2</v>
      </c>
      <c r="I16" s="18">
        <f t="shared" si="2"/>
        <v>0.40960000000000002</v>
      </c>
      <c r="J16" s="18">
        <f t="shared" si="3"/>
        <v>2.7984100000000005E-5</v>
      </c>
      <c r="K16" s="18">
        <f t="shared" si="4"/>
        <v>0.11834560261276987</v>
      </c>
      <c r="L16" s="18">
        <f t="shared" si="5"/>
        <v>9.7820037159617617E-4</v>
      </c>
      <c r="M16" s="18">
        <f t="shared" si="6"/>
        <v>3.3856000000000003E-3</v>
      </c>
      <c r="N16" s="18">
        <f t="shared" si="9"/>
        <v>3.2081364952567713E-2</v>
      </c>
      <c r="O16" s="18">
        <f t="shared" si="14"/>
        <v>4.6803199186823449E-2</v>
      </c>
      <c r="P16" s="18">
        <f t="shared" si="16"/>
        <v>1.6150913431500699E-2</v>
      </c>
      <c r="Q16" s="18">
        <f t="shared" si="18"/>
        <v>2.3806052488243558E-2</v>
      </c>
      <c r="R16" s="18">
        <f t="shared" si="20"/>
        <v>9.5814510500410021E-3</v>
      </c>
      <c r="S16" s="18">
        <f t="shared" si="22"/>
        <v>1.4760598780603807E-2</v>
      </c>
      <c r="T16" s="18">
        <f t="shared" si="25"/>
        <v>2.0554496644972053E-2</v>
      </c>
      <c r="U16" s="18" t="str">
        <f t="shared" si="27"/>
        <v/>
      </c>
      <c r="V16" s="18" t="str">
        <f t="shared" si="28"/>
        <v/>
      </c>
      <c r="W16" s="18" t="str">
        <f t="shared" si="29"/>
        <v/>
      </c>
      <c r="X16" s="18" t="str">
        <f t="shared" si="30"/>
        <v/>
      </c>
      <c r="Y16" s="18">
        <f t="shared" si="31"/>
        <v>2.1160546113547632E-2</v>
      </c>
      <c r="AA16" s="18">
        <f t="shared" si="10"/>
        <v>-4.1864296999395478E-2</v>
      </c>
      <c r="AB16" s="18">
        <f t="shared" si="11"/>
        <v>1.7526193632535932E-3</v>
      </c>
      <c r="AC16" s="18">
        <f t="shared" si="15"/>
        <v>4.9471870379063296E-3</v>
      </c>
      <c r="AD16" s="18">
        <f t="shared" si="17"/>
        <v>2.3238326286655463E-2</v>
      </c>
      <c r="AE16" s="18">
        <f t="shared" si="19"/>
        <v>2.4510252370778078E-3</v>
      </c>
      <c r="AF16" s="18">
        <f t="shared" si="21"/>
        <v>1.1040831473832533E-2</v>
      </c>
      <c r="AG16" s="18">
        <f t="shared" si="23"/>
        <v>1.3540803913510355E-3</v>
      </c>
      <c r="AH16" s="18">
        <f t="shared" si="26"/>
        <v>2.4410768131804487E-3</v>
      </c>
      <c r="AJ16" s="18">
        <f>IF(ISNUMBER(Kernel!M16),Kernel!M16,"")</f>
        <v>3.8069800745619803E-2</v>
      </c>
      <c r="AK16" s="18">
        <f t="shared" si="7"/>
        <v>1.4493097288111941E-3</v>
      </c>
      <c r="AM16" s="18">
        <f>IF(ISNUMBER(Forcing!Q16),Forcing!Q16^2,"")</f>
        <v>1.1060337144702717E-2</v>
      </c>
      <c r="AN16" s="18">
        <f>IF(ISNUMBER(Volcanic!G16),Volcanic!G16,"")</f>
        <v>4.2500000000000003E-3</v>
      </c>
      <c r="AO16" s="18">
        <f t="shared" si="12"/>
        <v>4.9137029588652221E-5</v>
      </c>
      <c r="AP16" s="18">
        <f>IF(ISNUMBER(Annual!H16),Annual!H16^2,"")</f>
        <v>1.1488638943118194E-2</v>
      </c>
      <c r="AQ16" s="18">
        <f>IF(ISNUMBER(Annual!E16),Annual!E16,"")</f>
        <v>0.23562787907160213</v>
      </c>
      <c r="AR16" s="18">
        <f t="shared" si="8"/>
        <v>5.5520497395781555E-2</v>
      </c>
      <c r="AS16" s="18">
        <f t="shared" si="13"/>
        <v>3.1313854802500561E-4</v>
      </c>
      <c r="AW16" s="18" t="s">
        <v>2680</v>
      </c>
      <c r="AX16" s="25">
        <f>CORREL($C$9:$C$821,$C$10:$C$822)</f>
        <v>0.50280223948212055</v>
      </c>
      <c r="BB16" s="6" t="s">
        <v>2681</v>
      </c>
    </row>
    <row r="17" spans="1:54">
      <c r="A17" s="18" t="str">
        <f>IF(Volcanic!A17="","",Volcanic!A17)</f>
        <v>6/1959</v>
      </c>
      <c r="B17" s="18">
        <f>IF(ISNUMBER(Volcanic!L17),Volcanic!L17,"")</f>
        <v>1959.4583333333333</v>
      </c>
      <c r="C17" s="18">
        <f>IF(ISNUMBER(Volcanic!J17),Volcanic!J17,"")</f>
        <v>5.4310229689328512E-2</v>
      </c>
      <c r="D17" s="18">
        <f t="shared" si="0"/>
        <v>2.9496010489076202E-3</v>
      </c>
      <c r="E17" s="18">
        <f>IF(ISNUMBER(Volcanic!C17),Volcanic!C17,"")</f>
        <v>0.1842802944193824</v>
      </c>
      <c r="F17" s="18">
        <f>IF(ISNUMBER(Volcanic!D17),Volcanic!D17,"")</f>
        <v>0.48</v>
      </c>
      <c r="G17" s="18">
        <f>IF(ISNUMBER(Volcanic!E17),Volcanic!E17,"")</f>
        <v>5.0800000000000003E-3</v>
      </c>
      <c r="H17" s="18">
        <f t="shared" si="1"/>
        <v>3.3959226911294257E-2</v>
      </c>
      <c r="I17" s="18">
        <f t="shared" si="2"/>
        <v>0.23039999999999999</v>
      </c>
      <c r="J17" s="18">
        <f t="shared" si="3"/>
        <v>2.5806400000000004E-5</v>
      </c>
      <c r="K17" s="18">
        <f t="shared" si="4"/>
        <v>8.8454541321303551E-2</v>
      </c>
      <c r="L17" s="18">
        <f t="shared" si="5"/>
        <v>9.3614389565046261E-4</v>
      </c>
      <c r="M17" s="18">
        <f t="shared" si="6"/>
        <v>2.4383999999999999E-3</v>
      </c>
      <c r="N17" s="18">
        <f t="shared" si="9"/>
        <v>2.322659478102636E-3</v>
      </c>
      <c r="O17" s="18">
        <f t="shared" si="14"/>
        <v>3.2081364952567713E-2</v>
      </c>
      <c r="P17" s="18">
        <f t="shared" si="16"/>
        <v>4.6803199186823449E-2</v>
      </c>
      <c r="Q17" s="18">
        <f t="shared" si="18"/>
        <v>1.6150913431500699E-2</v>
      </c>
      <c r="R17" s="18">
        <f t="shared" si="20"/>
        <v>2.3806052488243558E-2</v>
      </c>
      <c r="S17" s="18">
        <f t="shared" si="22"/>
        <v>9.5814510500410021E-3</v>
      </c>
      <c r="T17" s="18">
        <f t="shared" si="25"/>
        <v>1.4760598780603807E-2</v>
      </c>
      <c r="U17" s="18">
        <f t="shared" si="27"/>
        <v>2.0554496644972053E-2</v>
      </c>
      <c r="V17" s="18" t="str">
        <f t="shared" si="28"/>
        <v/>
      </c>
      <c r="W17" s="18" t="str">
        <f t="shared" si="29"/>
        <v/>
      </c>
      <c r="X17" s="18" t="str">
        <f t="shared" si="30"/>
        <v/>
      </c>
      <c r="Y17" s="18" t="str">
        <f t="shared" si="31"/>
        <v/>
      </c>
      <c r="AA17" s="18">
        <f t="shared" si="10"/>
        <v>3.0078189816272399E-2</v>
      </c>
      <c r="AB17" s="18">
        <f t="shared" si="11"/>
        <v>9.046975026237126E-4</v>
      </c>
      <c r="AC17" s="18">
        <f t="shared" si="15"/>
        <v>1.7526193632535932E-3</v>
      </c>
      <c r="AD17" s="18">
        <f t="shared" si="17"/>
        <v>4.9471870379063296E-3</v>
      </c>
      <c r="AE17" s="18">
        <f t="shared" si="19"/>
        <v>2.3238326286655463E-2</v>
      </c>
      <c r="AF17" s="18">
        <f t="shared" si="21"/>
        <v>2.4510252370778078E-3</v>
      </c>
      <c r="AG17" s="18">
        <f t="shared" si="23"/>
        <v>1.1040831473832533E-2</v>
      </c>
      <c r="AH17" s="18">
        <f t="shared" si="26"/>
        <v>1.3540803913510355E-3</v>
      </c>
      <c r="AJ17" s="18">
        <f>IF(ISNUMBER(Kernel!M17),Kernel!M17,"")</f>
        <v>3.8216376632936921E-2</v>
      </c>
      <c r="AK17" s="18">
        <f t="shared" si="7"/>
        <v>1.4604914429504872E-3</v>
      </c>
      <c r="AM17" s="18">
        <f>IF(ISNUMBER(Forcing!Q17),Forcing!Q17^2,"")</f>
        <v>1.9364621372682992E-5</v>
      </c>
      <c r="AN17" s="18">
        <f>IF(ISNUMBER(Volcanic!G17),Volcanic!G17,"")</f>
        <v>4.2700000000000004E-3</v>
      </c>
      <c r="AO17" s="18">
        <f t="shared" si="12"/>
        <v>1.1060337144702717E-2</v>
      </c>
      <c r="AP17" s="18">
        <f>IF(ISNUMBER(Annual!H17),Annual!H17^2,"")</f>
        <v>1.7275362390629209E-2</v>
      </c>
      <c r="AQ17" s="18">
        <f>IF(ISNUMBER(Annual!E17),Annual!E17,"")</f>
        <v>0.23785981722471297</v>
      </c>
      <c r="AR17" s="18">
        <f t="shared" si="8"/>
        <v>5.657729265017386E-2</v>
      </c>
      <c r="AS17" s="18">
        <f t="shared" si="13"/>
        <v>1.1488638943118194E-2</v>
      </c>
      <c r="AW17" s="18" t="s">
        <v>2682</v>
      </c>
      <c r="AX17" s="20">
        <f>COUNT($AB$10:$AB$822)*BA17</f>
        <v>2.0222910284066788</v>
      </c>
      <c r="AY17" s="18">
        <v>3</v>
      </c>
      <c r="AZ17" s="18">
        <f>CHIDIST(AX17,AY17)</f>
        <v>0.56779303290000316</v>
      </c>
      <c r="BA17" s="25">
        <f>INDEX(LINEST($AB$10:$AB$822,$E$10:$G$822,TRUE(),TRUE()),3,1)</f>
        <v>2.4874428393686088E-3</v>
      </c>
      <c r="BB17" s="6" t="s">
        <v>2683</v>
      </c>
    </row>
    <row r="18" spans="1:54">
      <c r="A18" s="18" t="str">
        <f>IF(Volcanic!A18="","",Volcanic!A18)</f>
        <v>7/1959</v>
      </c>
      <c r="B18" s="18">
        <f>IF(ISNUMBER(Volcanic!L18),Volcanic!L18,"")</f>
        <v>1959.5416666666667</v>
      </c>
      <c r="C18" s="18">
        <f>IF(ISNUMBER(Volcanic!J18),Volcanic!J18,"")</f>
        <v>8.2118554668900112E-2</v>
      </c>
      <c r="D18" s="18">
        <f t="shared" si="0"/>
        <v>6.7434570209091368E-3</v>
      </c>
      <c r="E18" s="18">
        <f>IF(ISNUMBER(Volcanic!C18),Volcanic!C18,"")</f>
        <v>0.17696099208944205</v>
      </c>
      <c r="F18" s="18">
        <f>IF(ISNUMBER(Volcanic!D18),Volcanic!D18,"")</f>
        <v>0.39</v>
      </c>
      <c r="G18" s="18">
        <f>IF(ISNUMBER(Volcanic!E18),Volcanic!E18,"")</f>
        <v>4.8500000000000001E-3</v>
      </c>
      <c r="H18" s="18">
        <f t="shared" si="1"/>
        <v>3.1315192721279569E-2</v>
      </c>
      <c r="I18" s="18">
        <f t="shared" si="2"/>
        <v>0.15210000000000001</v>
      </c>
      <c r="J18" s="18">
        <f t="shared" si="3"/>
        <v>2.3522500000000001E-5</v>
      </c>
      <c r="K18" s="18">
        <f t="shared" si="4"/>
        <v>6.9014786914882401E-2</v>
      </c>
      <c r="L18" s="18">
        <f t="shared" si="5"/>
        <v>8.5826081163379393E-4</v>
      </c>
      <c r="M18" s="18">
        <f t="shared" si="6"/>
        <v>1.8915000000000002E-3</v>
      </c>
      <c r="N18" s="18">
        <f t="shared" si="9"/>
        <v>2.9496010489076202E-3</v>
      </c>
      <c r="O18" s="18">
        <f t="shared" si="14"/>
        <v>2.322659478102636E-3</v>
      </c>
      <c r="P18" s="18">
        <f t="shared" si="16"/>
        <v>3.2081364952567713E-2</v>
      </c>
      <c r="Q18" s="18">
        <f t="shared" si="18"/>
        <v>4.6803199186823449E-2</v>
      </c>
      <c r="R18" s="18">
        <f t="shared" si="20"/>
        <v>1.6150913431500699E-2</v>
      </c>
      <c r="S18" s="18">
        <f t="shared" si="22"/>
        <v>2.3806052488243558E-2</v>
      </c>
      <c r="T18" s="18">
        <f t="shared" si="25"/>
        <v>9.5814510500410021E-3</v>
      </c>
      <c r="U18" s="18">
        <f t="shared" si="27"/>
        <v>1.4760598780603807E-2</v>
      </c>
      <c r="V18" s="18">
        <f t="shared" si="28"/>
        <v>2.0554496644972053E-2</v>
      </c>
      <c r="W18" s="18" t="str">
        <f t="shared" si="29"/>
        <v/>
      </c>
      <c r="X18" s="18" t="str">
        <f t="shared" si="30"/>
        <v/>
      </c>
      <c r="Y18" s="18" t="str">
        <f t="shared" si="31"/>
        <v/>
      </c>
      <c r="AA18" s="18">
        <f t="shared" si="10"/>
        <v>5.4811249554317383E-2</v>
      </c>
      <c r="AB18" s="18">
        <f t="shared" si="11"/>
        <v>3.0042730777056575E-3</v>
      </c>
      <c r="AC18" s="18">
        <f t="shared" si="15"/>
        <v>9.046975026237126E-4</v>
      </c>
      <c r="AD18" s="18">
        <f t="shared" si="17"/>
        <v>1.7526193632535932E-3</v>
      </c>
      <c r="AE18" s="18">
        <f t="shared" si="19"/>
        <v>4.9471870379063296E-3</v>
      </c>
      <c r="AF18" s="18">
        <f t="shared" si="21"/>
        <v>2.3238326286655463E-2</v>
      </c>
      <c r="AG18" s="18">
        <f t="shared" si="23"/>
        <v>2.4510252370778078E-3</v>
      </c>
      <c r="AH18" s="18">
        <f t="shared" si="26"/>
        <v>1.1040831473832533E-2</v>
      </c>
      <c r="AJ18" s="18">
        <f>IF(ISNUMBER(Kernel!M18),Kernel!M18,"")</f>
        <v>6.968376460788811E-2</v>
      </c>
      <c r="AK18" s="18">
        <f t="shared" si="7"/>
        <v>4.8558270499275595E-3</v>
      </c>
      <c r="AM18" s="18">
        <f>IF(ISNUMBER(Forcing!Q18),Forcing!Q18^2,"")</f>
        <v>1.4752469125796263E-4</v>
      </c>
      <c r="AN18" s="18">
        <f>IF(ISNUMBER(Volcanic!G18),Volcanic!G18,"")</f>
        <v>4.3099999999999996E-3</v>
      </c>
      <c r="AO18" s="18">
        <f t="shared" si="12"/>
        <v>1.9364621372682992E-5</v>
      </c>
      <c r="AP18" s="18">
        <f>IF(ISNUMBER(Annual!H18),Annual!H18^2,"")</f>
        <v>7.1047431771555621E-3</v>
      </c>
      <c r="AQ18" s="18">
        <f>IF(ISNUMBER(Annual!E18),Annual!E18,"")</f>
        <v>0.24193918054612207</v>
      </c>
      <c r="AR18" s="18">
        <f t="shared" si="8"/>
        <v>5.8534567083329048E-2</v>
      </c>
      <c r="AS18" s="18">
        <f t="shared" si="13"/>
        <v>1.7275362390629209E-2</v>
      </c>
      <c r="AW18" s="18" t="s">
        <v>2684</v>
      </c>
      <c r="AX18" s="20">
        <f>COUNT($AB$11:$AB$822)*BA18</f>
        <v>0.63370328346016103</v>
      </c>
      <c r="AY18" s="18">
        <v>1</v>
      </c>
      <c r="AZ18" s="18">
        <f>CHIDIST(AX18,AY18)</f>
        <v>0.42600017021119191</v>
      </c>
      <c r="BA18" s="25">
        <f>INDEX(LINEST($AB$11:$AB$822,$AC$11:$AC$822,TRUE(),TRUE()),3,1)</f>
        <v>7.804227628819717E-4</v>
      </c>
      <c r="BB18" s="6" t="s">
        <v>2685</v>
      </c>
    </row>
    <row r="19" spans="1:54">
      <c r="A19" s="18" t="str">
        <f>IF(Volcanic!A19="","",Volcanic!A19)</f>
        <v>8/1959</v>
      </c>
      <c r="B19" s="18">
        <f>IF(ISNUMBER(Volcanic!L19),Volcanic!L19,"")</f>
        <v>1959.625</v>
      </c>
      <c r="C19" s="18">
        <f>IF(ISNUMBER(Volcanic!J19),Volcanic!J19,"")</f>
        <v>7.7308990025542118E-2</v>
      </c>
      <c r="D19" s="18">
        <f t="shared" si="0"/>
        <v>5.9766799387693708E-3</v>
      </c>
      <c r="E19" s="18">
        <f>IF(ISNUMBER(Volcanic!C19),Volcanic!C19,"")</f>
        <v>0.16900871367515766</v>
      </c>
      <c r="F19" s="18">
        <f>IF(ISNUMBER(Volcanic!D19),Volcanic!D19,"")</f>
        <v>0.24</v>
      </c>
      <c r="G19" s="18">
        <f>IF(ISNUMBER(Volcanic!E19),Volcanic!E19,"")</f>
        <v>4.6600000000000001E-3</v>
      </c>
      <c r="H19" s="18">
        <f t="shared" si="1"/>
        <v>2.8563945298131423E-2</v>
      </c>
      <c r="I19" s="18">
        <f t="shared" si="2"/>
        <v>5.7599999999999998E-2</v>
      </c>
      <c r="J19" s="18">
        <f t="shared" si="3"/>
        <v>2.1715599999999999E-5</v>
      </c>
      <c r="K19" s="18">
        <f t="shared" si="4"/>
        <v>4.0562091282037839E-2</v>
      </c>
      <c r="L19" s="18">
        <f t="shared" si="5"/>
        <v>7.8758060572623465E-4</v>
      </c>
      <c r="M19" s="18">
        <f t="shared" si="6"/>
        <v>1.1184000000000001E-3</v>
      </c>
      <c r="N19" s="18">
        <f t="shared" si="9"/>
        <v>6.7434570209091368E-3</v>
      </c>
      <c r="O19" s="18">
        <f t="shared" si="14"/>
        <v>2.9496010489076202E-3</v>
      </c>
      <c r="P19" s="18">
        <f t="shared" si="16"/>
        <v>2.322659478102636E-3</v>
      </c>
      <c r="Q19" s="18">
        <f t="shared" si="18"/>
        <v>3.2081364952567713E-2</v>
      </c>
      <c r="R19" s="18">
        <f t="shared" si="20"/>
        <v>4.6803199186823449E-2</v>
      </c>
      <c r="S19" s="18">
        <f t="shared" si="22"/>
        <v>1.6150913431500699E-2</v>
      </c>
      <c r="T19" s="18">
        <f t="shared" si="25"/>
        <v>2.3806052488243558E-2</v>
      </c>
      <c r="U19" s="18">
        <f t="shared" si="27"/>
        <v>9.5814510500410021E-3</v>
      </c>
      <c r="V19" s="18">
        <f t="shared" si="28"/>
        <v>1.4760598780603807E-2</v>
      </c>
      <c r="W19" s="18">
        <f t="shared" si="29"/>
        <v>2.0554496644972053E-2</v>
      </c>
      <c r="X19" s="18" t="str">
        <f t="shared" si="30"/>
        <v/>
      </c>
      <c r="Y19" s="18" t="str">
        <f t="shared" si="31"/>
        <v/>
      </c>
      <c r="AA19" s="18">
        <f t="shared" si="10"/>
        <v>3.6019596834984194E-2</v>
      </c>
      <c r="AB19" s="18">
        <f t="shared" si="11"/>
        <v>1.2974113561548034E-3</v>
      </c>
      <c r="AC19" s="18">
        <f t="shared" si="15"/>
        <v>3.0042730777056575E-3</v>
      </c>
      <c r="AD19" s="18">
        <f t="shared" si="17"/>
        <v>9.046975026237126E-4</v>
      </c>
      <c r="AE19" s="18">
        <f t="shared" si="19"/>
        <v>1.7526193632535932E-3</v>
      </c>
      <c r="AF19" s="18">
        <f t="shared" si="21"/>
        <v>4.9471870379063296E-3</v>
      </c>
      <c r="AG19" s="18">
        <f t="shared" si="23"/>
        <v>2.3238326286655463E-2</v>
      </c>
      <c r="AH19" s="18">
        <f t="shared" si="26"/>
        <v>2.4510252370778078E-3</v>
      </c>
      <c r="AJ19" s="18">
        <f>IF(ISNUMBER(Kernel!M19),Kernel!M19,"")</f>
        <v>6.1934218532624291E-2</v>
      </c>
      <c r="AK19" s="18">
        <f t="shared" si="7"/>
        <v>3.8358474252468623E-3</v>
      </c>
      <c r="AM19" s="18">
        <f>IF(ISNUMBER(Forcing!Q19),Forcing!Q19^2,"")</f>
        <v>7.8368981804299142E-3</v>
      </c>
      <c r="AN19" s="18">
        <f>IF(ISNUMBER(Volcanic!G19),Volcanic!G19,"")</f>
        <v>4.3699999999999998E-3</v>
      </c>
      <c r="AO19" s="18">
        <f t="shared" si="12"/>
        <v>1.4752469125796263E-4</v>
      </c>
      <c r="AP19" s="18">
        <f>IF(ISNUMBER(Annual!H19),Annual!H19^2,"")</f>
        <v>3.2098636259392271E-2</v>
      </c>
      <c r="AQ19" s="18">
        <f>IF(ISNUMBER(Annual!E19),Annual!E19,"")</f>
        <v>0.24584257261243991</v>
      </c>
      <c r="AR19" s="18">
        <f t="shared" si="8"/>
        <v>6.0438570508702792E-2</v>
      </c>
      <c r="AS19" s="18">
        <f t="shared" si="13"/>
        <v>7.1047431771555621E-3</v>
      </c>
      <c r="AW19" s="18" t="s">
        <v>2686</v>
      </c>
      <c r="AX19" s="20">
        <f>COUNT($AB$16:$AB$822)*BA19</f>
        <v>9.7268011939689814</v>
      </c>
      <c r="AY19" s="18">
        <v>6</v>
      </c>
      <c r="AZ19" s="18">
        <f>CHIDIST(AX19,AY19)</f>
        <v>0.13663854924491226</v>
      </c>
      <c r="BA19" s="25">
        <f>INDEX(LINEST($AB$16:$AB$822,$AC$16:$AH$822,TRUE(),TRUE()),3,1)</f>
        <v>1.2053037415079283E-2</v>
      </c>
      <c r="BB19" s="6" t="s">
        <v>2687</v>
      </c>
    </row>
    <row r="20" spans="1:54">
      <c r="A20" s="18" t="str">
        <f>IF(Volcanic!A20="","",Volcanic!A20)</f>
        <v>9/1959</v>
      </c>
      <c r="B20" s="18">
        <f>IF(ISNUMBER(Volcanic!L20),Volcanic!L20,"")</f>
        <v>1959.7083333333333</v>
      </c>
      <c r="C20" s="18">
        <f>IF(ISNUMBER(Volcanic!J20),Volcanic!J20,"")</f>
        <v>5.9257673473222555E-2</v>
      </c>
      <c r="D20" s="18">
        <f t="shared" si="0"/>
        <v>3.5114718654590642E-3</v>
      </c>
      <c r="E20" s="18">
        <f>IF(ISNUMBER(Volcanic!C20),Volcanic!C20,"")</f>
        <v>0.16460241335740428</v>
      </c>
      <c r="F20" s="18">
        <f>IF(ISNUMBER(Volcanic!D20),Volcanic!D20,"")</f>
        <v>0.02</v>
      </c>
      <c r="G20" s="18">
        <f>IF(ISNUMBER(Volcanic!E20),Volcanic!E20,"")</f>
        <v>4.4400000000000004E-3</v>
      </c>
      <c r="H20" s="18">
        <f t="shared" si="1"/>
        <v>2.7093954483081783E-2</v>
      </c>
      <c r="I20" s="18">
        <f t="shared" si="2"/>
        <v>4.0000000000000002E-4</v>
      </c>
      <c r="J20" s="18">
        <f t="shared" si="3"/>
        <v>1.9713600000000004E-5</v>
      </c>
      <c r="K20" s="18">
        <f t="shared" si="4"/>
        <v>3.2920482671480854E-3</v>
      </c>
      <c r="L20" s="18">
        <f t="shared" si="5"/>
        <v>7.3083471530687501E-4</v>
      </c>
      <c r="M20" s="18">
        <f t="shared" si="6"/>
        <v>8.8800000000000004E-5</v>
      </c>
      <c r="N20" s="18">
        <f t="shared" si="9"/>
        <v>5.9766799387693708E-3</v>
      </c>
      <c r="O20" s="18">
        <f t="shared" si="14"/>
        <v>6.7434570209091368E-3</v>
      </c>
      <c r="P20" s="18">
        <f t="shared" si="16"/>
        <v>2.9496010489076202E-3</v>
      </c>
      <c r="Q20" s="18">
        <f t="shared" si="18"/>
        <v>2.322659478102636E-3</v>
      </c>
      <c r="R20" s="18">
        <f t="shared" si="20"/>
        <v>3.2081364952567713E-2</v>
      </c>
      <c r="S20" s="18">
        <f t="shared" si="22"/>
        <v>4.6803199186823449E-2</v>
      </c>
      <c r="T20" s="18">
        <f t="shared" si="25"/>
        <v>1.6150913431500699E-2</v>
      </c>
      <c r="U20" s="18">
        <f t="shared" si="27"/>
        <v>2.3806052488243558E-2</v>
      </c>
      <c r="V20" s="18">
        <f t="shared" si="28"/>
        <v>9.5814510500410021E-3</v>
      </c>
      <c r="W20" s="18">
        <f t="shared" si="29"/>
        <v>1.4760598780603807E-2</v>
      </c>
      <c r="X20" s="18">
        <f t="shared" si="30"/>
        <v>2.0554496644972053E-2</v>
      </c>
      <c r="Y20" s="18" t="str">
        <f t="shared" si="31"/>
        <v/>
      </c>
      <c r="AA20" s="18">
        <f t="shared" si="10"/>
        <v>2.0386540156279061E-2</v>
      </c>
      <c r="AB20" s="18">
        <f t="shared" si="11"/>
        <v>4.1561101954357864E-4</v>
      </c>
      <c r="AC20" s="18">
        <f t="shared" si="15"/>
        <v>1.2974113561548034E-3</v>
      </c>
      <c r="AD20" s="18">
        <f t="shared" si="17"/>
        <v>3.0042730777056575E-3</v>
      </c>
      <c r="AE20" s="18">
        <f t="shared" si="19"/>
        <v>9.046975026237126E-4</v>
      </c>
      <c r="AF20" s="18">
        <f t="shared" si="21"/>
        <v>1.7526193632535932E-3</v>
      </c>
      <c r="AG20" s="18">
        <f t="shared" si="23"/>
        <v>4.9471870379063296E-3</v>
      </c>
      <c r="AH20" s="18">
        <f t="shared" si="26"/>
        <v>2.3238326286655463E-2</v>
      </c>
      <c r="AJ20" s="18">
        <f>IF(ISNUMBER(Kernel!M20),Kernel!M20,"")</f>
        <v>2.8824115543458442E-2</v>
      </c>
      <c r="AK20" s="18">
        <f t="shared" si="7"/>
        <v>8.3082963686264253E-4</v>
      </c>
      <c r="AM20" s="18">
        <f>IF(ISNUMBER(Forcing!Q20),Forcing!Q20^2,"")</f>
        <v>2.819667779289302E-3</v>
      </c>
      <c r="AN20" s="18">
        <f>IF(ISNUMBER(Volcanic!G20),Volcanic!G20,"")</f>
        <v>4.4099999999999999E-3</v>
      </c>
      <c r="AO20" s="18">
        <f t="shared" si="12"/>
        <v>7.8368981804299142E-3</v>
      </c>
      <c r="AP20" s="18">
        <f>IF(ISNUMBER(Annual!H20),Annual!H20^2,"")</f>
        <v>5.6330056548259348E-3</v>
      </c>
      <c r="AQ20" s="18">
        <f>IF(ISNUMBER(Annual!E20),Annual!E20,"")</f>
        <v>0.25372586794152979</v>
      </c>
      <c r="AR20" s="18">
        <f t="shared" si="8"/>
        <v>6.4376816062682612E-2</v>
      </c>
      <c r="AS20" s="18">
        <f t="shared" si="13"/>
        <v>3.2098636259392271E-2</v>
      </c>
    </row>
    <row r="21" spans="1:54" ht="18" customHeight="1">
      <c r="A21" s="18" t="str">
        <f>IF(Volcanic!A21="","",Volcanic!A21)</f>
        <v>10/1959</v>
      </c>
      <c r="B21" s="18">
        <f>IF(ISNUMBER(Volcanic!L21),Volcanic!L21,"")</f>
        <v>1959.7916666666667</v>
      </c>
      <c r="C21" s="18">
        <f>IF(ISNUMBER(Volcanic!J21),Volcanic!J21,"")</f>
        <v>7.4836025025030839E-2</v>
      </c>
      <c r="D21" s="18">
        <f t="shared" si="0"/>
        <v>5.600430641547042E-3</v>
      </c>
      <c r="E21" s="18">
        <f>IF(ISNUMBER(Volcanic!C21),Volcanic!C21,"")</f>
        <v>0.16225608099765507</v>
      </c>
      <c r="F21" s="18">
        <f>IF(ISNUMBER(Volcanic!D21),Volcanic!D21,"")</f>
        <v>-0.19</v>
      </c>
      <c r="G21" s="18">
        <f>IF(ISNUMBER(Volcanic!E21),Volcanic!E21,"")</f>
        <v>4.3E-3</v>
      </c>
      <c r="H21" s="18">
        <f t="shared" si="1"/>
        <v>2.63270358207176E-2</v>
      </c>
      <c r="I21" s="18">
        <f t="shared" si="2"/>
        <v>3.61E-2</v>
      </c>
      <c r="J21" s="18">
        <f t="shared" si="3"/>
        <v>1.8490000000000001E-5</v>
      </c>
      <c r="K21" s="18">
        <f t="shared" si="4"/>
        <v>-3.0828655389554462E-2</v>
      </c>
      <c r="L21" s="18">
        <f t="shared" si="5"/>
        <v>6.9770114828991681E-4</v>
      </c>
      <c r="M21" s="18">
        <f t="shared" si="6"/>
        <v>-8.1700000000000002E-4</v>
      </c>
      <c r="N21" s="18">
        <f t="shared" si="9"/>
        <v>3.5114718654590642E-3</v>
      </c>
      <c r="O21" s="18">
        <f t="shared" si="14"/>
        <v>5.9766799387693708E-3</v>
      </c>
      <c r="P21" s="18">
        <f t="shared" si="16"/>
        <v>6.7434570209091368E-3</v>
      </c>
      <c r="Q21" s="18">
        <f t="shared" si="18"/>
        <v>2.9496010489076202E-3</v>
      </c>
      <c r="R21" s="18">
        <f t="shared" si="20"/>
        <v>2.322659478102636E-3</v>
      </c>
      <c r="S21" s="18">
        <f t="shared" si="22"/>
        <v>3.2081364952567713E-2</v>
      </c>
      <c r="T21" s="18">
        <f t="shared" si="25"/>
        <v>4.6803199186823449E-2</v>
      </c>
      <c r="U21" s="18">
        <f t="shared" si="27"/>
        <v>1.6150913431500699E-2</v>
      </c>
      <c r="V21" s="18">
        <f t="shared" si="28"/>
        <v>2.3806052488243558E-2</v>
      </c>
      <c r="W21" s="18">
        <f t="shared" si="29"/>
        <v>9.5814510500410021E-3</v>
      </c>
      <c r="X21" s="18">
        <f t="shared" si="30"/>
        <v>1.4760598780603807E-2</v>
      </c>
      <c r="Y21" s="18">
        <f t="shared" si="31"/>
        <v>2.0554496644972053E-2</v>
      </c>
      <c r="AA21" s="18">
        <f t="shared" si="10"/>
        <v>4.5041134096194285E-2</v>
      </c>
      <c r="AB21" s="18">
        <f t="shared" si="11"/>
        <v>2.0287037606713555E-3</v>
      </c>
      <c r="AC21" s="18">
        <f t="shared" si="15"/>
        <v>4.1561101954357864E-4</v>
      </c>
      <c r="AD21" s="18">
        <f t="shared" si="17"/>
        <v>1.2974113561548034E-3</v>
      </c>
      <c r="AE21" s="18">
        <f t="shared" si="19"/>
        <v>3.0042730777056575E-3</v>
      </c>
      <c r="AF21" s="18">
        <f t="shared" si="21"/>
        <v>9.046975026237126E-4</v>
      </c>
      <c r="AG21" s="18">
        <f t="shared" si="23"/>
        <v>1.7526193632535932E-3</v>
      </c>
      <c r="AH21" s="18">
        <f t="shared" si="26"/>
        <v>4.9471870379063296E-3</v>
      </c>
      <c r="AJ21" s="18">
        <f>IF(ISNUMBER(Kernel!M21),Kernel!M21,"")</f>
        <v>2.6126633925403903E-2</v>
      </c>
      <c r="AK21" s="18">
        <f t="shared" si="7"/>
        <v>6.8260100027206613E-4</v>
      </c>
      <c r="AM21" s="18">
        <f>IF(ISNUMBER(Forcing!Q21),Forcing!Q21^2,"")</f>
        <v>1.5247451127800072E-3</v>
      </c>
      <c r="AN21" s="18">
        <f>IF(ISNUMBER(Volcanic!G21),Volcanic!G21,"")</f>
        <v>4.45E-3</v>
      </c>
      <c r="AO21" s="18">
        <f t="shared" si="12"/>
        <v>2.819667779289302E-3</v>
      </c>
      <c r="AP21" s="18">
        <f>IF(ISNUMBER(Annual!H21),Annual!H21^2,"")</f>
        <v>3.0450891764033615E-3</v>
      </c>
      <c r="AQ21" s="18">
        <f>IF(ISNUMBER(Annual!E21),Annual!E21,"")</f>
        <v>0.26049697715420922</v>
      </c>
      <c r="AR21" s="18">
        <f t="shared" si="8"/>
        <v>6.7858675106480595E-2</v>
      </c>
      <c r="AS21" s="18">
        <f t="shared" si="13"/>
        <v>5.6330056548259348E-3</v>
      </c>
      <c r="AW21" s="61" t="s">
        <v>2688</v>
      </c>
      <c r="AX21" s="53"/>
      <c r="AY21" s="53"/>
      <c r="AZ21" s="53"/>
      <c r="BA21" s="53"/>
      <c r="BB21" s="53"/>
    </row>
    <row r="22" spans="1:54">
      <c r="A22" s="18" t="str">
        <f>IF(Volcanic!A22="","",Volcanic!A22)</f>
        <v>11/1959</v>
      </c>
      <c r="B22" s="18">
        <f>IF(ISNUMBER(Volcanic!L22),Volcanic!L22,"")</f>
        <v>1959.875</v>
      </c>
      <c r="C22" s="18">
        <f>IF(ISNUMBER(Volcanic!J22),Volcanic!J22,"")</f>
        <v>4.9917513382267104E-2</v>
      </c>
      <c r="D22" s="18">
        <f t="shared" si="0"/>
        <v>2.4917581422688154E-3</v>
      </c>
      <c r="E22" s="18">
        <f>IF(ISNUMBER(Volcanic!C22),Volcanic!C22,"")</f>
        <v>0.16905454188757499</v>
      </c>
      <c r="F22" s="18">
        <f>IF(ISNUMBER(Volcanic!D22),Volcanic!D22,"")</f>
        <v>-0.23</v>
      </c>
      <c r="G22" s="18">
        <f>IF(ISNUMBER(Volcanic!E22),Volcanic!E22,"")</f>
        <v>4.2599999999999999E-3</v>
      </c>
      <c r="H22" s="18">
        <f t="shared" si="1"/>
        <v>2.8579438132817846E-2</v>
      </c>
      <c r="I22" s="18">
        <f t="shared" si="2"/>
        <v>5.2900000000000003E-2</v>
      </c>
      <c r="J22" s="18">
        <f t="shared" si="3"/>
        <v>1.8147599999999999E-5</v>
      </c>
      <c r="K22" s="18">
        <f t="shared" si="4"/>
        <v>-3.8882544634142251E-2</v>
      </c>
      <c r="L22" s="18">
        <f t="shared" si="5"/>
        <v>7.2017234844106944E-4</v>
      </c>
      <c r="M22" s="18">
        <f t="shared" si="6"/>
        <v>-9.7980000000000007E-4</v>
      </c>
      <c r="N22" s="18">
        <f t="shared" si="9"/>
        <v>5.600430641547042E-3</v>
      </c>
      <c r="O22" s="18">
        <f t="shared" si="14"/>
        <v>3.5114718654590642E-3</v>
      </c>
      <c r="P22" s="18">
        <f t="shared" si="16"/>
        <v>5.9766799387693708E-3</v>
      </c>
      <c r="Q22" s="18">
        <f t="shared" si="18"/>
        <v>6.7434570209091368E-3</v>
      </c>
      <c r="R22" s="18">
        <f t="shared" si="20"/>
        <v>2.9496010489076202E-3</v>
      </c>
      <c r="S22" s="18">
        <f t="shared" si="22"/>
        <v>2.322659478102636E-3</v>
      </c>
      <c r="T22" s="18">
        <f t="shared" si="25"/>
        <v>3.2081364952567713E-2</v>
      </c>
      <c r="U22" s="18">
        <f t="shared" si="27"/>
        <v>4.6803199186823449E-2</v>
      </c>
      <c r="V22" s="18">
        <f t="shared" si="28"/>
        <v>1.6150913431500699E-2</v>
      </c>
      <c r="W22" s="18">
        <f t="shared" si="29"/>
        <v>2.3806052488243558E-2</v>
      </c>
      <c r="X22" s="18">
        <f t="shared" si="30"/>
        <v>9.5814510500410021E-3</v>
      </c>
      <c r="Y22" s="18">
        <f t="shared" si="31"/>
        <v>1.4760598780603807E-2</v>
      </c>
      <c r="AA22" s="18">
        <f t="shared" si="10"/>
        <v>1.228979240574158E-2</v>
      </c>
      <c r="AB22" s="18">
        <f t="shared" si="11"/>
        <v>1.510389973762234E-4</v>
      </c>
      <c r="AC22" s="18">
        <f t="shared" si="15"/>
        <v>2.0287037606713555E-3</v>
      </c>
      <c r="AD22" s="18">
        <f t="shared" si="17"/>
        <v>4.1561101954357864E-4</v>
      </c>
      <c r="AE22" s="18">
        <f t="shared" si="19"/>
        <v>1.2974113561548034E-3</v>
      </c>
      <c r="AF22" s="18">
        <f t="shared" si="21"/>
        <v>3.0042730777056575E-3</v>
      </c>
      <c r="AG22" s="18">
        <f t="shared" si="23"/>
        <v>9.046975026237126E-4</v>
      </c>
      <c r="AH22" s="18">
        <f t="shared" si="26"/>
        <v>1.7526193632535932E-3</v>
      </c>
      <c r="AJ22" s="18">
        <f>IF(ISNUMBER(Kernel!M22),Kernel!M22,"")</f>
        <v>-4.0862530666180008E-3</v>
      </c>
      <c r="AK22" s="18">
        <f t="shared" si="7"/>
        <v>1.6697464124445016E-5</v>
      </c>
      <c r="AM22" s="18">
        <f>IF(ISNUMBER(Forcing!Q22),Forcing!Q22^2,"")</f>
        <v>2.0723687714899342E-3</v>
      </c>
      <c r="AN22" s="18">
        <f>IF(ISNUMBER(Volcanic!G22),Volcanic!G22,"")</f>
        <v>4.3499999999999997E-3</v>
      </c>
      <c r="AO22" s="18">
        <f t="shared" si="12"/>
        <v>1.5247451127800072E-3</v>
      </c>
      <c r="AP22" s="18">
        <f>IF(ISNUMBER(Annual!H22),Annual!H22^2,"")</f>
        <v>6.5500414517727661E-4</v>
      </c>
      <c r="AQ22" s="18">
        <f>IF(ISNUMBER(Annual!E22),Annual!E22,"")</f>
        <v>0.26659553851729739</v>
      </c>
      <c r="AR22" s="18">
        <f t="shared" si="8"/>
        <v>7.1073181157327803E-2</v>
      </c>
      <c r="AS22" s="18">
        <f t="shared" si="13"/>
        <v>3.0450891764033615E-3</v>
      </c>
      <c r="AW22" s="18" t="s">
        <v>2689</v>
      </c>
      <c r="AX22" s="20">
        <f>COUNT($AK$9:$AK$815)*BA22</f>
        <v>12.458284942697565</v>
      </c>
      <c r="AY22" s="18">
        <v>3</v>
      </c>
      <c r="AZ22" s="18">
        <f t="shared" ref="AZ22:AZ27" si="32">CHIDIST(AX22,AY22)</f>
        <v>5.9673433328156977E-3</v>
      </c>
      <c r="BA22" s="25">
        <f>INDEX(LINEST($AK$9:$AK$815,Kernel!$H$9:$J$815,TRUE(),TRUE()),3,1)</f>
        <v>1.5437775641508755E-2</v>
      </c>
      <c r="BB22" s="6" t="s">
        <v>2690</v>
      </c>
    </row>
    <row r="23" spans="1:54">
      <c r="A23" s="18" t="str">
        <f>IF(Volcanic!A23="","",Volcanic!A23)</f>
        <v>12/1959</v>
      </c>
      <c r="B23" s="18">
        <f>IF(ISNUMBER(Volcanic!L23),Volcanic!L23,"")</f>
        <v>1959.9583333333333</v>
      </c>
      <c r="C23" s="18">
        <f>IF(ISNUMBER(Volcanic!J23),Volcanic!J23,"")</f>
        <v>0.10265189570869468</v>
      </c>
      <c r="D23" s="18">
        <f t="shared" si="0"/>
        <v>1.0537411692588729E-2</v>
      </c>
      <c r="E23" s="18">
        <f>IF(ISNUMBER(Volcanic!C23),Volcanic!C23,"")</f>
        <v>0.17257894974287927</v>
      </c>
      <c r="F23" s="18">
        <f>IF(ISNUMBER(Volcanic!D23),Volcanic!D23,"")</f>
        <v>-0.04</v>
      </c>
      <c r="G23" s="18">
        <f>IF(ISNUMBER(Volcanic!E23),Volcanic!E23,"")</f>
        <v>4.2500000000000003E-3</v>
      </c>
      <c r="H23" s="18">
        <f t="shared" si="1"/>
        <v>2.9783493894355247E-2</v>
      </c>
      <c r="I23" s="18">
        <f t="shared" si="2"/>
        <v>1.6000000000000001E-3</v>
      </c>
      <c r="J23" s="18">
        <f t="shared" si="3"/>
        <v>1.8062500000000002E-5</v>
      </c>
      <c r="K23" s="18">
        <f t="shared" si="4"/>
        <v>-6.903157989715171E-3</v>
      </c>
      <c r="L23" s="18">
        <f t="shared" si="5"/>
        <v>7.3346053640723689E-4</v>
      </c>
      <c r="M23" s="18">
        <f t="shared" si="6"/>
        <v>-1.7000000000000001E-4</v>
      </c>
      <c r="N23" s="18">
        <f t="shared" si="9"/>
        <v>2.4917581422688154E-3</v>
      </c>
      <c r="O23" s="18">
        <f t="shared" si="14"/>
        <v>5.600430641547042E-3</v>
      </c>
      <c r="P23" s="18">
        <f t="shared" si="16"/>
        <v>3.5114718654590642E-3</v>
      </c>
      <c r="Q23" s="18">
        <f t="shared" si="18"/>
        <v>5.9766799387693708E-3</v>
      </c>
      <c r="R23" s="18">
        <f t="shared" si="20"/>
        <v>6.7434570209091368E-3</v>
      </c>
      <c r="S23" s="18">
        <f t="shared" si="22"/>
        <v>2.9496010489076202E-3</v>
      </c>
      <c r="T23" s="18">
        <f t="shared" si="25"/>
        <v>2.322659478102636E-3</v>
      </c>
      <c r="U23" s="18">
        <f t="shared" si="27"/>
        <v>3.2081364952567713E-2</v>
      </c>
      <c r="V23" s="18">
        <f t="shared" si="28"/>
        <v>4.6803199186823449E-2</v>
      </c>
      <c r="W23" s="18">
        <f t="shared" si="29"/>
        <v>1.6150913431500699E-2</v>
      </c>
      <c r="X23" s="18">
        <f t="shared" si="30"/>
        <v>2.3806052488243558E-2</v>
      </c>
      <c r="Y23" s="18">
        <f t="shared" si="31"/>
        <v>9.5814510500410021E-3</v>
      </c>
      <c r="AA23" s="18">
        <f t="shared" si="10"/>
        <v>7.7553258190712057E-2</v>
      </c>
      <c r="AB23" s="18">
        <f t="shared" si="11"/>
        <v>6.0145078559952466E-3</v>
      </c>
      <c r="AC23" s="18">
        <f t="shared" si="15"/>
        <v>1.510389973762234E-4</v>
      </c>
      <c r="AD23" s="18">
        <f t="shared" si="17"/>
        <v>2.0287037606713555E-3</v>
      </c>
      <c r="AE23" s="18">
        <f t="shared" si="19"/>
        <v>4.1561101954357864E-4</v>
      </c>
      <c r="AF23" s="18">
        <f t="shared" si="21"/>
        <v>1.2974113561548034E-3</v>
      </c>
      <c r="AG23" s="18">
        <f t="shared" si="23"/>
        <v>3.0042730777056575E-3</v>
      </c>
      <c r="AH23" s="18">
        <f t="shared" si="26"/>
        <v>9.046975026237126E-4</v>
      </c>
      <c r="AJ23" s="18">
        <f>IF(ISNUMBER(Kernel!M23),Kernel!M23,"")</f>
        <v>6.673635743567817E-2</v>
      </c>
      <c r="AK23" s="18">
        <f t="shared" si="7"/>
        <v>4.4537414037825974E-3</v>
      </c>
      <c r="AM23" s="18">
        <f>IF(ISNUMBER(Forcing!Q23),Forcing!Q23^2,"")</f>
        <v>8.6881518404112023E-3</v>
      </c>
      <c r="AN23" s="18">
        <f>IF(ISNUMBER(Volcanic!G23),Volcanic!G23,"")</f>
        <v>4.2199999999999998E-3</v>
      </c>
      <c r="AO23" s="18">
        <f t="shared" si="12"/>
        <v>2.0723687714899342E-3</v>
      </c>
      <c r="AP23" s="18">
        <f>IF(ISNUMBER(Annual!H23),Annual!H23^2,"")</f>
        <v>8.9653123295266157E-3</v>
      </c>
      <c r="AQ23" s="18">
        <f>IF(ISNUMBER(Annual!E23),Annual!E23,"")</f>
        <v>0.27482718847371568</v>
      </c>
      <c r="AR23" s="18">
        <f t="shared" si="8"/>
        <v>7.5529983524367239E-2</v>
      </c>
      <c r="AS23" s="18">
        <f t="shared" si="13"/>
        <v>6.5500414517727661E-4</v>
      </c>
      <c r="AW23" s="18" t="s">
        <v>2691</v>
      </c>
      <c r="AX23" s="20">
        <f>COUNT($AM$2:$AM$68)*BA23</f>
        <v>2.5115353871919028</v>
      </c>
      <c r="AY23" s="18">
        <v>2</v>
      </c>
      <c r="AZ23" s="18">
        <f t="shared" si="32"/>
        <v>0.28485708130513698</v>
      </c>
      <c r="BA23" s="25">
        <f>INDEX(LINEST($AM$2:$AM$68,Forcing!$AN$2:$AO$68,TRUE(),TRUE()),3,1)</f>
        <v>3.7485602793909001E-2</v>
      </c>
      <c r="BB23" s="6" t="s">
        <v>2692</v>
      </c>
    </row>
    <row r="24" spans="1:54">
      <c r="A24" s="18" t="str">
        <f>IF(Volcanic!A24="","",Volcanic!A24)</f>
        <v>1/1960</v>
      </c>
      <c r="B24" s="18">
        <f>IF(ISNUMBER(Volcanic!L24),Volcanic!L24,"")</f>
        <v>1960.0416666666667</v>
      </c>
      <c r="C24" s="18">
        <f>IF(ISNUMBER(Volcanic!J24),Volcanic!J24,"")</f>
        <v>7.8192579791383762E-2</v>
      </c>
      <c r="D24" s="18">
        <f t="shared" si="0"/>
        <v>6.114079534431916E-3</v>
      </c>
      <c r="E24" s="18">
        <f>IF(ISNUMBER(Volcanic!C24),Volcanic!C24,"")</f>
        <v>0.17645955772100325</v>
      </c>
      <c r="F24" s="18">
        <f>IF(ISNUMBER(Volcanic!D24),Volcanic!D24,"")</f>
        <v>0.11</v>
      </c>
      <c r="G24" s="18">
        <f>IF(ISNUMBER(Volcanic!E24),Volcanic!E24,"")</f>
        <v>4.2700000000000004E-3</v>
      </c>
      <c r="H24" s="18">
        <f t="shared" si="1"/>
        <v>3.1137975511092077E-2</v>
      </c>
      <c r="I24" s="18">
        <f t="shared" si="2"/>
        <v>1.21E-2</v>
      </c>
      <c r="J24" s="18">
        <f t="shared" si="3"/>
        <v>1.8232900000000003E-5</v>
      </c>
      <c r="K24" s="18">
        <f t="shared" si="4"/>
        <v>1.9410551349310357E-2</v>
      </c>
      <c r="L24" s="18">
        <f t="shared" si="5"/>
        <v>7.5348231146868394E-4</v>
      </c>
      <c r="M24" s="18">
        <f t="shared" si="6"/>
        <v>4.6970000000000003E-4</v>
      </c>
      <c r="N24" s="18">
        <f t="shared" si="9"/>
        <v>1.0537411692588729E-2</v>
      </c>
      <c r="O24" s="18">
        <f t="shared" si="14"/>
        <v>2.4917581422688154E-3</v>
      </c>
      <c r="P24" s="18">
        <f t="shared" si="16"/>
        <v>5.600430641547042E-3</v>
      </c>
      <c r="Q24" s="18">
        <f t="shared" si="18"/>
        <v>3.5114718654590642E-3</v>
      </c>
      <c r="R24" s="18">
        <f t="shared" si="20"/>
        <v>5.9766799387693708E-3</v>
      </c>
      <c r="S24" s="18">
        <f t="shared" si="22"/>
        <v>6.7434570209091368E-3</v>
      </c>
      <c r="T24" s="18">
        <f t="shared" si="25"/>
        <v>2.9496010489076202E-3</v>
      </c>
      <c r="U24" s="18">
        <f t="shared" si="27"/>
        <v>2.322659478102636E-3</v>
      </c>
      <c r="V24" s="18">
        <f t="shared" si="28"/>
        <v>3.2081364952567713E-2</v>
      </c>
      <c r="W24" s="18">
        <f t="shared" si="29"/>
        <v>4.6803199186823449E-2</v>
      </c>
      <c r="X24" s="18">
        <f t="shared" si="30"/>
        <v>1.6150913431500699E-2</v>
      </c>
      <c r="Y24" s="18">
        <f t="shared" si="31"/>
        <v>2.3806052488243558E-2</v>
      </c>
      <c r="AA24" s="18">
        <f t="shared" si="10"/>
        <v>2.6578976741966999E-2</v>
      </c>
      <c r="AB24" s="18">
        <f t="shared" si="11"/>
        <v>7.0644200465002271E-4</v>
      </c>
      <c r="AC24" s="18">
        <f t="shared" si="15"/>
        <v>6.0145078559952466E-3</v>
      </c>
      <c r="AD24" s="18">
        <f t="shared" si="17"/>
        <v>1.510389973762234E-4</v>
      </c>
      <c r="AE24" s="18">
        <f t="shared" si="19"/>
        <v>2.0287037606713555E-3</v>
      </c>
      <c r="AF24" s="18">
        <f t="shared" si="21"/>
        <v>4.1561101954357864E-4</v>
      </c>
      <c r="AG24" s="18">
        <f t="shared" si="23"/>
        <v>1.2974113561548034E-3</v>
      </c>
      <c r="AH24" s="18">
        <f t="shared" si="26"/>
        <v>3.0042730777056575E-3</v>
      </c>
      <c r="AJ24" s="18">
        <f>IF(ISNUMBER(Kernel!M24),Kernel!M24,"")</f>
        <v>5.9096511545621795E-2</v>
      </c>
      <c r="AK24" s="18">
        <f t="shared" si="7"/>
        <v>3.49239767686181E-3</v>
      </c>
      <c r="AM24" s="18">
        <f>IF(ISNUMBER(Forcing!Q24),Forcing!Q24^2,"")</f>
        <v>3.4764800944440601E-2</v>
      </c>
      <c r="AN24" s="18">
        <f>IF(ISNUMBER(Volcanic!G24),Volcanic!G24,"")</f>
        <v>4.1099999999999999E-3</v>
      </c>
      <c r="AO24" s="18">
        <f t="shared" si="12"/>
        <v>8.6881518404112023E-3</v>
      </c>
      <c r="AP24" s="18">
        <f>IF(ISNUMBER(Annual!H24),Annual!H24^2,"")</f>
        <v>2.142619407009163E-2</v>
      </c>
      <c r="AQ24" s="18">
        <f>IF(ISNUMBER(Annual!E24),Annual!E24,"")</f>
        <v>0.28059166813261399</v>
      </c>
      <c r="AR24" s="18">
        <f t="shared" si="8"/>
        <v>7.873168422544298E-2</v>
      </c>
      <c r="AS24" s="18">
        <f t="shared" si="13"/>
        <v>8.9653123295266157E-3</v>
      </c>
      <c r="AW24" s="18" t="s">
        <v>2693</v>
      </c>
      <c r="AX24" s="20">
        <f>COUNT($AM$3:$AM$68)*BA24</f>
        <v>7.1525299467987962</v>
      </c>
      <c r="AY24" s="18">
        <v>1</v>
      </c>
      <c r="AZ24" s="18">
        <f t="shared" si="32"/>
        <v>7.4858316598655468E-3</v>
      </c>
      <c r="BA24" s="25">
        <f>INDEX(LINEST($AM$3:$AM$68,$AO$3:$AO$68,TRUE(),TRUE()),3,1)</f>
        <v>0.10837166586058782</v>
      </c>
      <c r="BB24" s="6" t="s">
        <v>2694</v>
      </c>
    </row>
    <row r="25" spans="1:54">
      <c r="A25" s="18" t="str">
        <f>IF(Volcanic!A25="","",Volcanic!A25)</f>
        <v>2/1960</v>
      </c>
      <c r="B25" s="18">
        <f>IF(ISNUMBER(Volcanic!L25),Volcanic!L25,"")</f>
        <v>1960.125</v>
      </c>
      <c r="C25" s="18">
        <f>IF(ISNUMBER(Volcanic!J25),Volcanic!J25,"")</f>
        <v>0.19031181512126344</v>
      </c>
      <c r="D25" s="18">
        <f t="shared" si="0"/>
        <v>3.6218586974749958E-2</v>
      </c>
      <c r="E25" s="18">
        <f>IF(ISNUMBER(Volcanic!C25),Volcanic!C25,"")</f>
        <v>0.17896498855382964</v>
      </c>
      <c r="F25" s="18">
        <f>IF(ISNUMBER(Volcanic!D25),Volcanic!D25,"")</f>
        <v>0.23</v>
      </c>
      <c r="G25" s="18">
        <f>IF(ISNUMBER(Volcanic!E25),Volcanic!E25,"")</f>
        <v>4.3099999999999996E-3</v>
      </c>
      <c r="H25" s="18">
        <f t="shared" si="1"/>
        <v>3.2028467128072377E-2</v>
      </c>
      <c r="I25" s="18">
        <f t="shared" si="2"/>
        <v>5.2900000000000003E-2</v>
      </c>
      <c r="J25" s="18">
        <f t="shared" si="3"/>
        <v>1.8576099999999997E-5</v>
      </c>
      <c r="K25" s="18">
        <f t="shared" si="4"/>
        <v>4.1161947367380818E-2</v>
      </c>
      <c r="L25" s="18">
        <f t="shared" si="5"/>
        <v>7.7133910066700566E-4</v>
      </c>
      <c r="M25" s="18">
        <f t="shared" si="6"/>
        <v>9.9129999999999986E-4</v>
      </c>
      <c r="N25" s="18">
        <f t="shared" si="9"/>
        <v>6.114079534431916E-3</v>
      </c>
      <c r="O25" s="18">
        <f t="shared" si="14"/>
        <v>1.0537411692588729E-2</v>
      </c>
      <c r="P25" s="18">
        <f t="shared" si="16"/>
        <v>2.4917581422688154E-3</v>
      </c>
      <c r="Q25" s="18">
        <f t="shared" si="18"/>
        <v>5.600430641547042E-3</v>
      </c>
      <c r="R25" s="18">
        <f t="shared" si="20"/>
        <v>3.5114718654590642E-3</v>
      </c>
      <c r="S25" s="18">
        <f t="shared" si="22"/>
        <v>5.9766799387693708E-3</v>
      </c>
      <c r="T25" s="18">
        <f t="shared" si="25"/>
        <v>6.7434570209091368E-3</v>
      </c>
      <c r="U25" s="18">
        <f t="shared" si="27"/>
        <v>2.9496010489076202E-3</v>
      </c>
      <c r="V25" s="18">
        <f t="shared" si="28"/>
        <v>2.322659478102636E-3</v>
      </c>
      <c r="W25" s="18">
        <f t="shared" si="29"/>
        <v>3.2081364952567713E-2</v>
      </c>
      <c r="X25" s="18">
        <f t="shared" si="30"/>
        <v>4.6803199186823449E-2</v>
      </c>
      <c r="Y25" s="18">
        <f t="shared" si="31"/>
        <v>1.6150913431500699E-2</v>
      </c>
      <c r="AA25" s="18">
        <f t="shared" si="10"/>
        <v>0.15099641089127128</v>
      </c>
      <c r="AB25" s="18">
        <f t="shared" si="11"/>
        <v>2.2799916102045625E-2</v>
      </c>
      <c r="AC25" s="18">
        <f t="shared" si="15"/>
        <v>7.0644200465002271E-4</v>
      </c>
      <c r="AD25" s="18">
        <f t="shared" si="17"/>
        <v>6.0145078559952466E-3</v>
      </c>
      <c r="AE25" s="18">
        <f t="shared" si="19"/>
        <v>1.510389973762234E-4</v>
      </c>
      <c r="AF25" s="18">
        <f t="shared" si="21"/>
        <v>2.0287037606713555E-3</v>
      </c>
      <c r="AG25" s="18">
        <f t="shared" si="23"/>
        <v>4.1561101954357864E-4</v>
      </c>
      <c r="AH25" s="18">
        <f t="shared" si="26"/>
        <v>1.2974113561548034E-3</v>
      </c>
      <c r="AJ25" s="18">
        <f>IF(ISNUMBER(Kernel!M25),Kernel!M25,"")</f>
        <v>0.18446669751566228</v>
      </c>
      <c r="AK25" s="18">
        <f t="shared" si="7"/>
        <v>3.4027962492334841E-2</v>
      </c>
      <c r="AM25" s="18">
        <f>IF(ISNUMBER(Forcing!Q25),Forcing!Q25^2,"")</f>
        <v>3.8648835927624099E-3</v>
      </c>
      <c r="AN25" s="18">
        <f>IF(ISNUMBER(Volcanic!G25),Volcanic!G25,"")</f>
        <v>3.9699999999999996E-3</v>
      </c>
      <c r="AO25" s="18">
        <f t="shared" si="12"/>
        <v>3.4764800944440601E-2</v>
      </c>
      <c r="AP25" s="18">
        <f>IF(ISNUMBER(Annual!H25),Annual!H25^2,"")</f>
        <v>2.8682985832020418E-3</v>
      </c>
      <c r="AQ25" s="18">
        <f>IF(ISNUMBER(Annual!E25),Annual!E25,"")</f>
        <v>0.2863409347995432</v>
      </c>
      <c r="AR25" s="18">
        <f t="shared" si="8"/>
        <v>8.1991130941876253E-2</v>
      </c>
      <c r="AS25" s="18">
        <f t="shared" si="13"/>
        <v>2.142619407009163E-2</v>
      </c>
      <c r="AW25" s="18" t="s">
        <v>2695</v>
      </c>
      <c r="AX25" s="20">
        <f>COUNT($AP$2:$AP$68)*BA25</f>
        <v>0.71657322578660287</v>
      </c>
      <c r="AY25" s="18">
        <v>1</v>
      </c>
      <c r="AZ25" s="18">
        <f t="shared" si="32"/>
        <v>0.39727025878941807</v>
      </c>
      <c r="BA25" s="25">
        <f>INDEX(LINEST($AP$2:$AP$68,$AQ$2:$AQ$68,TRUE(),TRUE()),3,1)</f>
        <v>1.0695122772934371E-2</v>
      </c>
      <c r="BB25" s="6" t="s">
        <v>2696</v>
      </c>
    </row>
    <row r="26" spans="1:54">
      <c r="A26" s="18" t="str">
        <f>IF(Volcanic!A26="","",Volcanic!A26)</f>
        <v>3/1960</v>
      </c>
      <c r="B26" s="18">
        <f>IF(ISNUMBER(Volcanic!L26),Volcanic!L26,"")</f>
        <v>1960.2083333333333</v>
      </c>
      <c r="C26" s="18">
        <f>IF(ISNUMBER(Volcanic!J26),Volcanic!J26,"")</f>
        <v>-0.28864569586124755</v>
      </c>
      <c r="D26" s="18">
        <f t="shared" si="0"/>
        <v>8.3316337739223825E-2</v>
      </c>
      <c r="E26" s="18">
        <f>IF(ISNUMBER(Volcanic!C26),Volcanic!C26,"")</f>
        <v>0.1816932326363403</v>
      </c>
      <c r="F26" s="18">
        <f>IF(ISNUMBER(Volcanic!D26),Volcanic!D26,"")</f>
        <v>0.14000000000000001</v>
      </c>
      <c r="G26" s="18">
        <f>IF(ISNUMBER(Volcanic!E26),Volcanic!E26,"")</f>
        <v>4.3699999999999998E-3</v>
      </c>
      <c r="H26" s="18">
        <f t="shared" si="1"/>
        <v>3.3012430785843275E-2</v>
      </c>
      <c r="I26" s="18">
        <f t="shared" si="2"/>
        <v>1.9600000000000003E-2</v>
      </c>
      <c r="J26" s="18">
        <f t="shared" si="3"/>
        <v>1.9096899999999997E-5</v>
      </c>
      <c r="K26" s="18">
        <f t="shared" si="4"/>
        <v>2.5437052569087643E-2</v>
      </c>
      <c r="L26" s="18">
        <f t="shared" si="5"/>
        <v>7.9399942662080703E-4</v>
      </c>
      <c r="M26" s="18">
        <f t="shared" si="6"/>
        <v>6.1180000000000002E-4</v>
      </c>
      <c r="N26" s="18">
        <f t="shared" si="9"/>
        <v>3.6218586974749958E-2</v>
      </c>
      <c r="O26" s="18">
        <f t="shared" si="14"/>
        <v>6.114079534431916E-3</v>
      </c>
      <c r="P26" s="18">
        <f t="shared" si="16"/>
        <v>1.0537411692588729E-2</v>
      </c>
      <c r="Q26" s="18">
        <f t="shared" si="18"/>
        <v>2.4917581422688154E-3</v>
      </c>
      <c r="R26" s="18">
        <f t="shared" si="20"/>
        <v>5.600430641547042E-3</v>
      </c>
      <c r="S26" s="18">
        <f t="shared" si="22"/>
        <v>3.5114718654590642E-3</v>
      </c>
      <c r="T26" s="18">
        <f t="shared" si="25"/>
        <v>5.9766799387693708E-3</v>
      </c>
      <c r="U26" s="18">
        <f t="shared" si="27"/>
        <v>6.7434570209091368E-3</v>
      </c>
      <c r="V26" s="18">
        <f t="shared" si="28"/>
        <v>2.9496010489076202E-3</v>
      </c>
      <c r="W26" s="18">
        <f t="shared" si="29"/>
        <v>2.322659478102636E-3</v>
      </c>
      <c r="X26" s="18">
        <f t="shared" si="30"/>
        <v>3.2081364952567713E-2</v>
      </c>
      <c r="Y26" s="18">
        <f t="shared" si="31"/>
        <v>4.6803199186823449E-2</v>
      </c>
      <c r="AA26" s="18">
        <f t="shared" si="10"/>
        <v>-0.38433490270412612</v>
      </c>
      <c r="AB26" s="18">
        <f t="shared" si="11"/>
        <v>0.14771331743659011</v>
      </c>
      <c r="AC26" s="18">
        <f t="shared" si="15"/>
        <v>2.2799916102045625E-2</v>
      </c>
      <c r="AD26" s="18">
        <f t="shared" si="17"/>
        <v>7.0644200465002271E-4</v>
      </c>
      <c r="AE26" s="18">
        <f t="shared" si="19"/>
        <v>6.0145078559952466E-3</v>
      </c>
      <c r="AF26" s="18">
        <f t="shared" si="21"/>
        <v>1.510389973762234E-4</v>
      </c>
      <c r="AG26" s="18">
        <f t="shared" si="23"/>
        <v>2.0287037606713555E-3</v>
      </c>
      <c r="AH26" s="18">
        <f t="shared" si="26"/>
        <v>4.1561101954357864E-4</v>
      </c>
      <c r="AJ26" s="18">
        <f>IF(ISNUMBER(Kernel!M26),Kernel!M26,"")</f>
        <v>-0.30178407101336352</v>
      </c>
      <c r="AK26" s="18">
        <f t="shared" si="7"/>
        <v>9.1073625517398837E-2</v>
      </c>
      <c r="AM26" s="18">
        <f>IF(ISNUMBER(Forcing!Q26),Forcing!Q26^2,"")</f>
        <v>1.5914744579259617E-4</v>
      </c>
      <c r="AN26" s="18">
        <f>IF(ISNUMBER(Volcanic!G26),Volcanic!G26,"")</f>
        <v>3.8899999999999998E-3</v>
      </c>
      <c r="AO26" s="18">
        <f t="shared" si="12"/>
        <v>3.8648835927624099E-3</v>
      </c>
      <c r="AP26" s="18">
        <f>IF(ISNUMBER(Annual!H26),Annual!H26^2,"")</f>
        <v>1.0591011237912902E-2</v>
      </c>
      <c r="AQ26" s="18">
        <f>IF(ISNUMBER(Annual!E26),Annual!E26,"")</f>
        <v>0.29340200418028634</v>
      </c>
      <c r="AR26" s="18">
        <f t="shared" si="8"/>
        <v>8.6084736057008754E-2</v>
      </c>
      <c r="AS26" s="18">
        <f t="shared" si="13"/>
        <v>2.8682985832020418E-3</v>
      </c>
      <c r="AW26" s="18" t="s">
        <v>2697</v>
      </c>
      <c r="AX26" s="20">
        <f>COUNT($AP$2:$AP$68)*BA26</f>
        <v>6.7270706322348435</v>
      </c>
      <c r="AY26" s="18">
        <v>2</v>
      </c>
      <c r="AZ26" s="18">
        <f t="shared" si="32"/>
        <v>3.4612675636995389E-2</v>
      </c>
      <c r="BA26" s="25">
        <f>INDEX(LINEST($AP$2:$AP$68,$AQ$2:$AR$68,TRUE(),TRUE()),3,1)</f>
        <v>0.10040403928708722</v>
      </c>
      <c r="BB26" s="6" t="s">
        <v>2698</v>
      </c>
    </row>
    <row r="27" spans="1:54">
      <c r="A27" s="18" t="str">
        <f>IF(Volcanic!A27="","",Volcanic!A27)</f>
        <v>4/1960</v>
      </c>
      <c r="B27" s="18">
        <f>IF(ISNUMBER(Volcanic!L27),Volcanic!L27,"")</f>
        <v>1960.2916666666667</v>
      </c>
      <c r="C27" s="18">
        <f>IF(ISNUMBER(Volcanic!J27),Volcanic!J27,"")</f>
        <v>-9.5347016757842712E-2</v>
      </c>
      <c r="D27" s="18">
        <f t="shared" si="0"/>
        <v>9.0910536046203382E-3</v>
      </c>
      <c r="E27" s="18">
        <f>IF(ISNUMBER(Volcanic!C27),Volcanic!C27,"")</f>
        <v>0.18826526709013644</v>
      </c>
      <c r="F27" s="18">
        <f>IF(ISNUMBER(Volcanic!D27),Volcanic!D27,"")</f>
        <v>0.02</v>
      </c>
      <c r="G27" s="18">
        <f>IF(ISNUMBER(Volcanic!E27),Volcanic!E27,"")</f>
        <v>4.4099999999999999E-3</v>
      </c>
      <c r="H27" s="18">
        <f t="shared" si="1"/>
        <v>3.544381079252041E-2</v>
      </c>
      <c r="I27" s="18">
        <f t="shared" si="2"/>
        <v>4.0000000000000002E-4</v>
      </c>
      <c r="J27" s="18">
        <f t="shared" si="3"/>
        <v>1.9448099999999998E-5</v>
      </c>
      <c r="K27" s="18">
        <f t="shared" si="4"/>
        <v>3.765305341802729E-3</v>
      </c>
      <c r="L27" s="18">
        <f t="shared" si="5"/>
        <v>8.3024982786750168E-4</v>
      </c>
      <c r="M27" s="18">
        <f t="shared" si="6"/>
        <v>8.8200000000000003E-5</v>
      </c>
      <c r="N27" s="18">
        <f t="shared" si="9"/>
        <v>8.3316337739223825E-2</v>
      </c>
      <c r="O27" s="18">
        <f t="shared" si="14"/>
        <v>3.6218586974749958E-2</v>
      </c>
      <c r="P27" s="18">
        <f t="shared" si="16"/>
        <v>6.114079534431916E-3</v>
      </c>
      <c r="Q27" s="18">
        <f t="shared" si="18"/>
        <v>1.0537411692588729E-2</v>
      </c>
      <c r="R27" s="18">
        <f t="shared" si="20"/>
        <v>2.4917581422688154E-3</v>
      </c>
      <c r="S27" s="18">
        <f t="shared" si="22"/>
        <v>5.600430641547042E-3</v>
      </c>
      <c r="T27" s="18">
        <f t="shared" si="25"/>
        <v>3.5114718654590642E-3</v>
      </c>
      <c r="U27" s="18">
        <f t="shared" si="27"/>
        <v>5.9766799387693708E-3</v>
      </c>
      <c r="V27" s="18">
        <f t="shared" si="28"/>
        <v>6.7434570209091368E-3</v>
      </c>
      <c r="W27" s="18">
        <f t="shared" si="29"/>
        <v>2.9496010489076202E-3</v>
      </c>
      <c r="X27" s="18">
        <f t="shared" si="30"/>
        <v>2.322659478102636E-3</v>
      </c>
      <c r="Y27" s="18">
        <f t="shared" si="31"/>
        <v>3.2081364952567713E-2</v>
      </c>
      <c r="AA27" s="18">
        <f t="shared" si="10"/>
        <v>4.9784685538067613E-2</v>
      </c>
      <c r="AB27" s="18">
        <f t="shared" si="11"/>
        <v>2.4785149141242787E-3</v>
      </c>
      <c r="AC27" s="18">
        <f t="shared" si="15"/>
        <v>0.14771331743659011</v>
      </c>
      <c r="AD27" s="18">
        <f t="shared" si="17"/>
        <v>2.2799916102045625E-2</v>
      </c>
      <c r="AE27" s="18">
        <f t="shared" si="19"/>
        <v>7.0644200465002271E-4</v>
      </c>
      <c r="AF27" s="18">
        <f t="shared" si="21"/>
        <v>6.0145078559952466E-3</v>
      </c>
      <c r="AG27" s="18">
        <f t="shared" si="23"/>
        <v>1.510389973762234E-4</v>
      </c>
      <c r="AH27" s="18">
        <f t="shared" si="26"/>
        <v>2.0287037606713555E-3</v>
      </c>
      <c r="AJ27" s="18">
        <f>IF(ISNUMBER(Kernel!M27),Kernel!M27,"")</f>
        <v>-0.12099744795541437</v>
      </c>
      <c r="AK27" s="18">
        <f t="shared" si="7"/>
        <v>1.4640382411723208E-2</v>
      </c>
      <c r="AM27" s="18">
        <f>IF(ISNUMBER(Forcing!Q27),Forcing!Q27^2,"")</f>
        <v>8.2475147932309129E-5</v>
      </c>
      <c r="AN27" s="18">
        <f>IF(ISNUMBER(Volcanic!G27),Volcanic!G27,"")</f>
        <v>3.9100000000000003E-3</v>
      </c>
      <c r="AO27" s="18">
        <f t="shared" si="12"/>
        <v>1.5914744579259617E-4</v>
      </c>
      <c r="AP27" s="18">
        <f>IF(ISNUMBER(Annual!H27),Annual!H27^2,"")</f>
        <v>5.8977241456905742E-3</v>
      </c>
      <c r="AQ27" s="18">
        <f>IF(ISNUMBER(Annual!E27),Annual!E27,"")</f>
        <v>0.3005889072552464</v>
      </c>
      <c r="AR27" s="18">
        <f t="shared" si="8"/>
        <v>9.0353691164903119E-2</v>
      </c>
      <c r="AS27" s="18">
        <f t="shared" si="13"/>
        <v>1.0591011237912902E-2</v>
      </c>
      <c r="AW27" s="18" t="s">
        <v>2699</v>
      </c>
      <c r="AX27" s="20">
        <f>COUNT($AP$3:$AP$68)*BA27</f>
        <v>1.8063726307852375</v>
      </c>
      <c r="AY27" s="18">
        <v>1</v>
      </c>
      <c r="AZ27" s="18">
        <f t="shared" si="32"/>
        <v>0.17894398023857655</v>
      </c>
      <c r="BA27" s="25">
        <f>INDEX(LINEST($AP$3:$AP$68,$AS$3:$AS$68,TRUE(),TRUE()),3,1)</f>
        <v>2.7369282284624812E-2</v>
      </c>
      <c r="BB27" s="6" t="s">
        <v>2700</v>
      </c>
    </row>
    <row r="28" spans="1:54">
      <c r="A28" s="18" t="str">
        <f>IF(Volcanic!A28="","",Volcanic!A28)</f>
        <v>5/1960</v>
      </c>
      <c r="B28" s="18">
        <f>IF(ISNUMBER(Volcanic!L28),Volcanic!L28,"")</f>
        <v>1960.375</v>
      </c>
      <c r="C28" s="18">
        <f>IF(ISNUMBER(Volcanic!J28),Volcanic!J28,"")</f>
        <v>-3.8501436605663519E-2</v>
      </c>
      <c r="D28" s="18">
        <f t="shared" si="0"/>
        <v>1.4823606206999268E-3</v>
      </c>
      <c r="E28" s="18">
        <f>IF(ISNUMBER(Volcanic!C28),Volcanic!C28,"")</f>
        <v>0.19278032426290692</v>
      </c>
      <c r="F28" s="18">
        <f>IF(ISNUMBER(Volcanic!D28),Volcanic!D28,"")</f>
        <v>0.03</v>
      </c>
      <c r="G28" s="18">
        <f>IF(ISNUMBER(Volcanic!E28),Volcanic!E28,"")</f>
        <v>4.45E-3</v>
      </c>
      <c r="H28" s="18">
        <f t="shared" si="1"/>
        <v>3.716425342291154E-2</v>
      </c>
      <c r="I28" s="18">
        <f t="shared" si="2"/>
        <v>8.9999999999999998E-4</v>
      </c>
      <c r="J28" s="18">
        <f t="shared" si="3"/>
        <v>1.9802499999999999E-5</v>
      </c>
      <c r="K28" s="18">
        <f t="shared" si="4"/>
        <v>5.7834097278872077E-3</v>
      </c>
      <c r="L28" s="18">
        <f t="shared" si="5"/>
        <v>8.5787244296993577E-4</v>
      </c>
      <c r="M28" s="18">
        <f t="shared" si="6"/>
        <v>1.3349999999999999E-4</v>
      </c>
      <c r="N28" s="18">
        <f t="shared" si="9"/>
        <v>9.0910536046203382E-3</v>
      </c>
      <c r="O28" s="18">
        <f t="shared" si="14"/>
        <v>8.3316337739223825E-2</v>
      </c>
      <c r="P28" s="18">
        <f t="shared" si="16"/>
        <v>3.6218586974749958E-2</v>
      </c>
      <c r="Q28" s="18">
        <f t="shared" si="18"/>
        <v>6.114079534431916E-3</v>
      </c>
      <c r="R28" s="18">
        <f t="shared" si="20"/>
        <v>1.0537411692588729E-2</v>
      </c>
      <c r="S28" s="18">
        <f t="shared" si="22"/>
        <v>2.4917581422688154E-3</v>
      </c>
      <c r="T28" s="18">
        <f t="shared" si="25"/>
        <v>5.600430641547042E-3</v>
      </c>
      <c r="U28" s="18">
        <f t="shared" si="27"/>
        <v>3.5114718654590642E-3</v>
      </c>
      <c r="V28" s="18">
        <f t="shared" si="28"/>
        <v>5.9766799387693708E-3</v>
      </c>
      <c r="W28" s="18">
        <f t="shared" si="29"/>
        <v>6.7434570209091368E-3</v>
      </c>
      <c r="X28" s="18">
        <f t="shared" si="30"/>
        <v>2.9496010489076202E-3</v>
      </c>
      <c r="Y28" s="18">
        <f t="shared" si="31"/>
        <v>2.322659478102636E-3</v>
      </c>
      <c r="AA28" s="18">
        <f t="shared" si="10"/>
        <v>9.4392569481190763E-3</v>
      </c>
      <c r="AB28" s="18">
        <f t="shared" si="11"/>
        <v>8.9099571732614263E-5</v>
      </c>
      <c r="AC28" s="18">
        <f t="shared" si="15"/>
        <v>2.4785149141242787E-3</v>
      </c>
      <c r="AD28" s="18">
        <f t="shared" si="17"/>
        <v>0.14771331743659011</v>
      </c>
      <c r="AE28" s="18">
        <f t="shared" si="19"/>
        <v>2.2799916102045625E-2</v>
      </c>
      <c r="AF28" s="18">
        <f t="shared" si="21"/>
        <v>7.0644200465002271E-4</v>
      </c>
      <c r="AG28" s="18">
        <f t="shared" si="23"/>
        <v>6.0145078559952466E-3</v>
      </c>
      <c r="AH28" s="18">
        <f t="shared" si="26"/>
        <v>1.510389973762234E-4</v>
      </c>
      <c r="AJ28" s="18">
        <f>IF(ISNUMBER(Kernel!M28),Kernel!M28,"")</f>
        <v>-6.1618407155453511E-2</v>
      </c>
      <c r="AK28" s="18">
        <f t="shared" si="7"/>
        <v>3.7968281003752445E-3</v>
      </c>
      <c r="AM28" s="18">
        <f>IF(ISNUMBER(Forcing!Q28),Forcing!Q28^2,"")</f>
        <v>1.8965264986844403E-3</v>
      </c>
      <c r="AN28" s="18">
        <f>IF(ISNUMBER(Volcanic!G28),Volcanic!G28,"")</f>
        <v>3.9399999999999999E-3</v>
      </c>
      <c r="AO28" s="18">
        <f t="shared" si="12"/>
        <v>8.2475147932309129E-5</v>
      </c>
      <c r="AP28" s="18">
        <f>IF(ISNUMBER(Annual!H28),Annual!H28^2,"")</f>
        <v>1.7021332813318225E-2</v>
      </c>
      <c r="AQ28" s="18">
        <f>IF(ISNUMBER(Annual!E28),Annual!E28,"")</f>
        <v>0.30678880266607567</v>
      </c>
      <c r="AR28" s="18">
        <f t="shared" si="8"/>
        <v>9.4119369441284309E-2</v>
      </c>
      <c r="AS28" s="18">
        <f t="shared" si="13"/>
        <v>5.8977241456905742E-3</v>
      </c>
    </row>
    <row r="29" spans="1:54" ht="15.75">
      <c r="A29" s="18" t="str">
        <f>IF(Volcanic!A29="","",Volcanic!A29)</f>
        <v>6/1960</v>
      </c>
      <c r="B29" s="18">
        <f>IF(ISNUMBER(Volcanic!L29),Volcanic!L29,"")</f>
        <v>1960.4583333333333</v>
      </c>
      <c r="C29" s="18">
        <f>IF(ISNUMBER(Volcanic!J29),Volcanic!J29,"")</f>
        <v>4.0314266535564219E-3</v>
      </c>
      <c r="D29" s="18">
        <f t="shared" si="0"/>
        <v>1.625240086300513E-5</v>
      </c>
      <c r="E29" s="18">
        <f>IF(ISNUMBER(Volcanic!C29),Volcanic!C29,"")</f>
        <v>0.19075029697903845</v>
      </c>
      <c r="F29" s="18">
        <f>IF(ISNUMBER(Volcanic!D29),Volcanic!D29,"")</f>
        <v>0.06</v>
      </c>
      <c r="G29" s="18">
        <f>IF(ISNUMBER(Volcanic!E29),Volcanic!E29,"")</f>
        <v>4.3499999999999997E-3</v>
      </c>
      <c r="H29" s="18">
        <f t="shared" si="1"/>
        <v>3.6385675797591367E-2</v>
      </c>
      <c r="I29" s="18">
        <f t="shared" si="2"/>
        <v>3.5999999999999999E-3</v>
      </c>
      <c r="J29" s="18">
        <f t="shared" si="3"/>
        <v>1.8922499999999997E-5</v>
      </c>
      <c r="K29" s="18">
        <f t="shared" si="4"/>
        <v>1.1445017818742307E-2</v>
      </c>
      <c r="L29" s="18">
        <f t="shared" si="5"/>
        <v>8.297637918588172E-4</v>
      </c>
      <c r="M29" s="18">
        <f t="shared" si="6"/>
        <v>2.6099999999999995E-4</v>
      </c>
      <c r="N29" s="18">
        <f t="shared" si="9"/>
        <v>1.4823606206999268E-3</v>
      </c>
      <c r="O29" s="18">
        <f t="shared" si="14"/>
        <v>9.0910536046203382E-3</v>
      </c>
      <c r="P29" s="18">
        <f t="shared" si="16"/>
        <v>8.3316337739223825E-2</v>
      </c>
      <c r="Q29" s="18">
        <f t="shared" si="18"/>
        <v>3.6218586974749958E-2</v>
      </c>
      <c r="R29" s="18">
        <f t="shared" si="20"/>
        <v>6.114079534431916E-3</v>
      </c>
      <c r="S29" s="18">
        <f t="shared" si="22"/>
        <v>1.0537411692588729E-2</v>
      </c>
      <c r="T29" s="18">
        <f t="shared" si="25"/>
        <v>2.4917581422688154E-3</v>
      </c>
      <c r="U29" s="18">
        <f t="shared" si="27"/>
        <v>5.600430641547042E-3</v>
      </c>
      <c r="V29" s="18">
        <f t="shared" si="28"/>
        <v>3.5114718654590642E-3</v>
      </c>
      <c r="W29" s="18">
        <f t="shared" si="29"/>
        <v>5.9766799387693708E-3</v>
      </c>
      <c r="X29" s="18">
        <f t="shared" si="30"/>
        <v>6.7434570209091368E-3</v>
      </c>
      <c r="Y29" s="18">
        <f t="shared" si="31"/>
        <v>2.9496010489076202E-3</v>
      </c>
      <c r="AA29" s="18">
        <f t="shared" si="10"/>
        <v>2.3390035202162932E-2</v>
      </c>
      <c r="AB29" s="18">
        <f t="shared" si="11"/>
        <v>5.4709374675842117E-4</v>
      </c>
      <c r="AC29" s="18">
        <f t="shared" si="15"/>
        <v>8.9099571732614263E-5</v>
      </c>
      <c r="AD29" s="18">
        <f t="shared" si="17"/>
        <v>2.4785149141242787E-3</v>
      </c>
      <c r="AE29" s="18">
        <f t="shared" si="19"/>
        <v>0.14771331743659011</v>
      </c>
      <c r="AF29" s="18">
        <f t="shared" si="21"/>
        <v>2.2799916102045625E-2</v>
      </c>
      <c r="AG29" s="18">
        <f t="shared" si="23"/>
        <v>7.0644200465002271E-4</v>
      </c>
      <c r="AH29" s="18">
        <f t="shared" si="26"/>
        <v>6.0145078559952466E-3</v>
      </c>
      <c r="AJ29" s="18">
        <f>IF(ISNUMBER(Kernel!M29),Kernel!M29,"")</f>
        <v>-1.3915301707758634E-2</v>
      </c>
      <c r="AK29" s="18">
        <f t="shared" si="7"/>
        <v>1.9363562161795036E-4</v>
      </c>
      <c r="AM29" s="18">
        <f>IF(ISNUMBER(Forcing!Q29),Forcing!Q29^2,"")</f>
        <v>4.7112461969572254E-3</v>
      </c>
      <c r="AN29" s="18">
        <f>IF(ISNUMBER(Volcanic!G29),Volcanic!G29,"")</f>
        <v>4.0000000000000001E-3</v>
      </c>
      <c r="AO29" s="18">
        <f t="shared" si="12"/>
        <v>1.8965264986844403E-3</v>
      </c>
      <c r="AP29" s="18">
        <f>IF(ISNUMBER(Annual!H29),Annual!H29^2,"")</f>
        <v>6.9103687712661187E-3</v>
      </c>
      <c r="AQ29" s="18">
        <f>IF(ISNUMBER(Annual!E29),Annual!E29,"")</f>
        <v>0.31201397935412778</v>
      </c>
      <c r="AR29" s="18">
        <f t="shared" si="8"/>
        <v>9.7352723312398082E-2</v>
      </c>
      <c r="AS29" s="18">
        <f t="shared" si="13"/>
        <v>1.7021332813318225E-2</v>
      </c>
      <c r="AW29" s="4" t="s">
        <v>2701</v>
      </c>
    </row>
    <row r="30" spans="1:54" ht="30" customHeight="1">
      <c r="A30" s="18" t="str">
        <f>IF(Volcanic!A30="","",Volcanic!A30)</f>
        <v>7/1960</v>
      </c>
      <c r="B30" s="18">
        <f>IF(ISNUMBER(Volcanic!L30),Volcanic!L30,"")</f>
        <v>1960.5416666666667</v>
      </c>
      <c r="C30" s="18">
        <f>IF(ISNUMBER(Volcanic!J30),Volcanic!J30,"")</f>
        <v>1.0813362405622938E-2</v>
      </c>
      <c r="D30" s="18">
        <f t="shared" si="0"/>
        <v>1.1692880651533949E-4</v>
      </c>
      <c r="E30" s="18">
        <f>IF(ISNUMBER(Volcanic!C30),Volcanic!C30,"")</f>
        <v>0.1844163271422109</v>
      </c>
      <c r="F30" s="18">
        <f>IF(ISNUMBER(Volcanic!D30),Volcanic!D30,"")</f>
        <v>0.17</v>
      </c>
      <c r="G30" s="18">
        <f>IF(ISNUMBER(Volcanic!E30),Volcanic!E30,"")</f>
        <v>4.2199999999999998E-3</v>
      </c>
      <c r="H30" s="18">
        <f t="shared" si="1"/>
        <v>3.4009381716622954E-2</v>
      </c>
      <c r="I30" s="18">
        <f t="shared" si="2"/>
        <v>2.8900000000000006E-2</v>
      </c>
      <c r="J30" s="18">
        <f t="shared" si="3"/>
        <v>1.7808399999999997E-5</v>
      </c>
      <c r="K30" s="18">
        <f t="shared" si="4"/>
        <v>3.1350775614175853E-2</v>
      </c>
      <c r="L30" s="18">
        <f t="shared" si="5"/>
        <v>7.7823690054012996E-4</v>
      </c>
      <c r="M30" s="18">
        <f t="shared" si="6"/>
        <v>7.1739999999999998E-4</v>
      </c>
      <c r="N30" s="18">
        <f t="shared" si="9"/>
        <v>1.625240086300513E-5</v>
      </c>
      <c r="O30" s="18">
        <f t="shared" si="14"/>
        <v>1.4823606206999268E-3</v>
      </c>
      <c r="P30" s="18">
        <f t="shared" si="16"/>
        <v>9.0910536046203382E-3</v>
      </c>
      <c r="Q30" s="18">
        <f t="shared" si="18"/>
        <v>8.3316337739223825E-2</v>
      </c>
      <c r="R30" s="18">
        <f t="shared" si="20"/>
        <v>3.6218586974749958E-2</v>
      </c>
      <c r="S30" s="18">
        <f t="shared" si="22"/>
        <v>6.114079534431916E-3</v>
      </c>
      <c r="T30" s="18">
        <f t="shared" si="25"/>
        <v>1.0537411692588729E-2</v>
      </c>
      <c r="U30" s="18">
        <f t="shared" si="27"/>
        <v>2.4917581422688154E-3</v>
      </c>
      <c r="V30" s="18">
        <f t="shared" si="28"/>
        <v>5.600430641547042E-3</v>
      </c>
      <c r="W30" s="18">
        <f t="shared" si="29"/>
        <v>3.5114718654590642E-3</v>
      </c>
      <c r="X30" s="18">
        <f t="shared" si="30"/>
        <v>5.9766799387693708E-3</v>
      </c>
      <c r="Y30" s="18">
        <f t="shared" si="31"/>
        <v>6.7434570209091368E-3</v>
      </c>
      <c r="AA30" s="18">
        <f t="shared" si="10"/>
        <v>8.786352055906858E-3</v>
      </c>
      <c r="AB30" s="18">
        <f t="shared" si="11"/>
        <v>7.719998245033867E-5</v>
      </c>
      <c r="AC30" s="18">
        <f t="shared" si="15"/>
        <v>5.4709374675842117E-4</v>
      </c>
      <c r="AD30" s="18">
        <f t="shared" si="17"/>
        <v>8.9099571732614263E-5</v>
      </c>
      <c r="AE30" s="18">
        <f t="shared" si="19"/>
        <v>2.4785149141242787E-3</v>
      </c>
      <c r="AF30" s="18">
        <f t="shared" si="21"/>
        <v>0.14771331743659011</v>
      </c>
      <c r="AG30" s="18">
        <f t="shared" si="23"/>
        <v>2.2799916102045625E-2</v>
      </c>
      <c r="AH30" s="18">
        <f t="shared" si="26"/>
        <v>7.0644200465002271E-4</v>
      </c>
      <c r="AJ30" s="18">
        <f>IF(ISNUMBER(Kernel!M30),Kernel!M30,"")</f>
        <v>4.8799858898478446E-3</v>
      </c>
      <c r="AK30" s="18">
        <f t="shared" si="7"/>
        <v>2.3814262285114061E-5</v>
      </c>
      <c r="AM30" s="18">
        <f>IF(ISNUMBER(Forcing!Q30),Forcing!Q30^2,"")</f>
        <v>3.2016492406819271E-3</v>
      </c>
      <c r="AN30" s="18">
        <f>IF(ISNUMBER(Volcanic!G30),Volcanic!G30,"")</f>
        <v>4.0800000000000003E-3</v>
      </c>
      <c r="AO30" s="18">
        <f t="shared" si="12"/>
        <v>4.7112461969572254E-3</v>
      </c>
      <c r="AP30" s="18">
        <f>IF(ISNUMBER(Annual!H30),Annual!H30^2,"")</f>
        <v>1.535575833594523E-3</v>
      </c>
      <c r="AQ30" s="18">
        <f>IF(ISNUMBER(Annual!E30),Annual!E30,"")</f>
        <v>0.31907046120568344</v>
      </c>
      <c r="AR30" s="18">
        <f t="shared" si="8"/>
        <v>0.10180595921400755</v>
      </c>
      <c r="AS30" s="18">
        <f t="shared" si="13"/>
        <v>6.9103687712661187E-3</v>
      </c>
      <c r="AW30" s="2" t="s">
        <v>2702</v>
      </c>
      <c r="AX30" s="2" t="s">
        <v>2703</v>
      </c>
      <c r="AY30" s="2" t="s">
        <v>2704</v>
      </c>
      <c r="AZ30" s="2" t="s">
        <v>2705</v>
      </c>
      <c r="BA30" s="2" t="s">
        <v>2706</v>
      </c>
      <c r="BB30" s="2" t="s">
        <v>2259</v>
      </c>
    </row>
    <row r="31" spans="1:54">
      <c r="A31" s="18" t="str">
        <f>IF(Volcanic!A31="","",Volcanic!A31)</f>
        <v>8/1960</v>
      </c>
      <c r="B31" s="18">
        <f>IF(ISNUMBER(Volcanic!L31),Volcanic!L31,"")</f>
        <v>1960.625</v>
      </c>
      <c r="C31" s="18">
        <f>IF(ISNUMBER(Volcanic!J31),Volcanic!J31,"")</f>
        <v>0.11093231165642449</v>
      </c>
      <c r="D31" s="18">
        <f t="shared" si="0"/>
        <v>1.2305977769438092E-2</v>
      </c>
      <c r="E31" s="18">
        <f>IF(ISNUMBER(Volcanic!C31),Volcanic!C31,"")</f>
        <v>0.17404110991454413</v>
      </c>
      <c r="F31" s="18">
        <f>IF(ISNUMBER(Volcanic!D31),Volcanic!D31,"")</f>
        <v>0.04</v>
      </c>
      <c r="G31" s="18">
        <f>IF(ISNUMBER(Volcanic!E31),Volcanic!E31,"")</f>
        <v>4.1099999999999999E-3</v>
      </c>
      <c r="H31" s="18">
        <f t="shared" si="1"/>
        <v>3.0290307940286431E-2</v>
      </c>
      <c r="I31" s="18">
        <f t="shared" si="2"/>
        <v>1.6000000000000001E-3</v>
      </c>
      <c r="J31" s="18">
        <f t="shared" si="3"/>
        <v>1.68921E-5</v>
      </c>
      <c r="K31" s="18">
        <f t="shared" si="4"/>
        <v>6.9616443965817652E-3</v>
      </c>
      <c r="L31" s="18">
        <f t="shared" si="5"/>
        <v>7.1530896174877643E-4</v>
      </c>
      <c r="M31" s="18">
        <f t="shared" si="6"/>
        <v>1.6440000000000001E-4</v>
      </c>
      <c r="N31" s="18">
        <f t="shared" si="9"/>
        <v>1.1692880651533949E-4</v>
      </c>
      <c r="O31" s="18">
        <f t="shared" si="14"/>
        <v>1.625240086300513E-5</v>
      </c>
      <c r="P31" s="18">
        <f t="shared" si="16"/>
        <v>1.4823606206999268E-3</v>
      </c>
      <c r="Q31" s="18">
        <f t="shared" si="18"/>
        <v>9.0910536046203382E-3</v>
      </c>
      <c r="R31" s="18">
        <f t="shared" si="20"/>
        <v>8.3316337739223825E-2</v>
      </c>
      <c r="S31" s="18">
        <f t="shared" si="22"/>
        <v>3.6218586974749958E-2</v>
      </c>
      <c r="T31" s="18">
        <f t="shared" si="25"/>
        <v>6.114079534431916E-3</v>
      </c>
      <c r="U31" s="18">
        <f t="shared" si="27"/>
        <v>1.0537411692588729E-2</v>
      </c>
      <c r="V31" s="18">
        <f t="shared" si="28"/>
        <v>2.4917581422688154E-3</v>
      </c>
      <c r="W31" s="18">
        <f t="shared" si="29"/>
        <v>5.600430641547042E-3</v>
      </c>
      <c r="X31" s="18">
        <f t="shared" si="30"/>
        <v>3.5114718654590642E-3</v>
      </c>
      <c r="Y31" s="18">
        <f t="shared" si="31"/>
        <v>5.9766799387693708E-3</v>
      </c>
      <c r="AA31" s="18">
        <f t="shared" si="10"/>
        <v>0.1054953288225455</v>
      </c>
      <c r="AB31" s="18">
        <f t="shared" si="11"/>
        <v>1.1129264403377E-2</v>
      </c>
      <c r="AC31" s="18">
        <f t="shared" si="15"/>
        <v>7.719998245033867E-5</v>
      </c>
      <c r="AD31" s="18">
        <f t="shared" si="17"/>
        <v>5.4709374675842117E-4</v>
      </c>
      <c r="AE31" s="18">
        <f t="shared" si="19"/>
        <v>8.9099571732614263E-5</v>
      </c>
      <c r="AF31" s="18">
        <f t="shared" si="21"/>
        <v>2.4785149141242787E-3</v>
      </c>
      <c r="AG31" s="18">
        <f t="shared" si="23"/>
        <v>0.14771331743659011</v>
      </c>
      <c r="AH31" s="18">
        <f t="shared" si="26"/>
        <v>2.2799916102045625E-2</v>
      </c>
      <c r="AJ31" s="18">
        <f>IF(ISNUMBER(Kernel!M31),Kernel!M31,"")</f>
        <v>9.133251761471807E-2</v>
      </c>
      <c r="AK31" s="18">
        <f t="shared" si="7"/>
        <v>8.341628773842787E-3</v>
      </c>
      <c r="AM31" s="18">
        <f>IF(ISNUMBER(Forcing!Q31),Forcing!Q31^2,"")</f>
        <v>1.357653893149622E-2</v>
      </c>
      <c r="AN31" s="18">
        <f>IF(ISNUMBER(Volcanic!G31),Volcanic!G31,"")</f>
        <v>4.1799999999999997E-3</v>
      </c>
      <c r="AO31" s="18">
        <f t="shared" si="12"/>
        <v>3.2016492406819271E-3</v>
      </c>
      <c r="AP31" s="18">
        <f>IF(ISNUMBER(Annual!H31),Annual!H31^2,"")</f>
        <v>6.5079091454552287E-3</v>
      </c>
      <c r="AQ31" s="18">
        <f>IF(ISNUMBER(Annual!E31),Annual!E31,"")</f>
        <v>0.32886051990619497</v>
      </c>
      <c r="AR31" s="18">
        <f t="shared" si="8"/>
        <v>0.10814924155297286</v>
      </c>
      <c r="AS31" s="18">
        <f t="shared" si="13"/>
        <v>1.535575833594523E-3</v>
      </c>
      <c r="AW31" s="18" t="s">
        <v>2707</v>
      </c>
      <c r="AX31" s="25">
        <f>Annual!K17</f>
        <v>9.2661047855178563E-2</v>
      </c>
      <c r="AY31" s="33">
        <v>0.109305</v>
      </c>
      <c r="AZ31" s="33">
        <v>0.120238</v>
      </c>
      <c r="BA31" s="25">
        <f>Annual!K19</f>
        <v>0.12008136881886522</v>
      </c>
      <c r="BB31" s="6" t="s">
        <v>2708</v>
      </c>
    </row>
    <row r="32" spans="1:54">
      <c r="A32" s="18" t="str">
        <f>IF(Volcanic!A32="","",Volcanic!A32)</f>
        <v>9/1960</v>
      </c>
      <c r="B32" s="18">
        <f>IF(ISNUMBER(Volcanic!L32),Volcanic!L32,"")</f>
        <v>1960.7083333333333</v>
      </c>
      <c r="C32" s="18">
        <f>IF(ISNUMBER(Volcanic!J32),Volcanic!J32,"")</f>
        <v>0.18594412830798021</v>
      </c>
      <c r="D32" s="18">
        <f t="shared" si="0"/>
        <v>3.4575218852214609E-2</v>
      </c>
      <c r="E32" s="18">
        <f>IF(ISNUMBER(Volcanic!C32),Volcanic!C32,"")</f>
        <v>0.16611859751788685</v>
      </c>
      <c r="F32" s="18">
        <f>IF(ISNUMBER(Volcanic!D32),Volcanic!D32,"")</f>
        <v>0</v>
      </c>
      <c r="G32" s="18">
        <f>IF(ISNUMBER(Volcanic!E32),Volcanic!E32,"")</f>
        <v>3.9699999999999996E-3</v>
      </c>
      <c r="H32" s="18">
        <f t="shared" si="1"/>
        <v>2.7595388441309685E-2</v>
      </c>
      <c r="I32" s="18">
        <f t="shared" si="2"/>
        <v>0</v>
      </c>
      <c r="J32" s="18">
        <f t="shared" si="3"/>
        <v>1.5760899999999997E-5</v>
      </c>
      <c r="K32" s="18">
        <f t="shared" si="4"/>
        <v>0</v>
      </c>
      <c r="L32" s="18">
        <f t="shared" si="5"/>
        <v>6.5949083214601073E-4</v>
      </c>
      <c r="M32" s="18">
        <f t="shared" si="6"/>
        <v>0</v>
      </c>
      <c r="N32" s="18">
        <f t="shared" si="9"/>
        <v>1.2305977769438092E-2</v>
      </c>
      <c r="O32" s="18">
        <f t="shared" si="14"/>
        <v>1.1692880651533949E-4</v>
      </c>
      <c r="P32" s="18">
        <f t="shared" si="16"/>
        <v>1.625240086300513E-5</v>
      </c>
      <c r="Q32" s="18">
        <f t="shared" si="18"/>
        <v>1.4823606206999268E-3</v>
      </c>
      <c r="R32" s="18">
        <f t="shared" si="20"/>
        <v>9.0910536046203382E-3</v>
      </c>
      <c r="S32" s="18">
        <f t="shared" si="22"/>
        <v>8.3316337739223825E-2</v>
      </c>
      <c r="T32" s="18">
        <f t="shared" si="25"/>
        <v>3.6218586974749958E-2</v>
      </c>
      <c r="U32" s="18">
        <f t="shared" si="27"/>
        <v>6.114079534431916E-3</v>
      </c>
      <c r="V32" s="18">
        <f t="shared" si="28"/>
        <v>1.0537411692588729E-2</v>
      </c>
      <c r="W32" s="18">
        <f t="shared" si="29"/>
        <v>2.4917581422688154E-3</v>
      </c>
      <c r="X32" s="18">
        <f t="shared" si="30"/>
        <v>5.600430641547042E-3</v>
      </c>
      <c r="Y32" s="18">
        <f t="shared" si="31"/>
        <v>3.5114718654590642E-3</v>
      </c>
      <c r="AA32" s="18">
        <f t="shared" si="10"/>
        <v>0.13016711357620142</v>
      </c>
      <c r="AB32" s="18">
        <f t="shared" si="11"/>
        <v>1.6943477456759719E-2</v>
      </c>
      <c r="AC32" s="18">
        <f t="shared" si="15"/>
        <v>1.1129264403377E-2</v>
      </c>
      <c r="AD32" s="18">
        <f t="shared" si="17"/>
        <v>7.719998245033867E-5</v>
      </c>
      <c r="AE32" s="18">
        <f t="shared" si="19"/>
        <v>5.4709374675842117E-4</v>
      </c>
      <c r="AF32" s="18">
        <f t="shared" si="21"/>
        <v>8.9099571732614263E-5</v>
      </c>
      <c r="AG32" s="18">
        <f t="shared" si="23"/>
        <v>2.4785149141242787E-3</v>
      </c>
      <c r="AH32" s="18">
        <f t="shared" si="26"/>
        <v>0.14771331743659011</v>
      </c>
      <c r="AJ32" s="18">
        <f>IF(ISNUMBER(Kernel!M32),Kernel!M32,"")</f>
        <v>0.16054201456442535</v>
      </c>
      <c r="AK32" s="18">
        <f t="shared" si="7"/>
        <v>2.5773738440404162E-2</v>
      </c>
      <c r="AM32" s="18">
        <f>IF(ISNUMBER(Forcing!Q32),Forcing!Q32^2,"")</f>
        <v>3.6282343592419037E-3</v>
      </c>
      <c r="AN32" s="18">
        <f>IF(ISNUMBER(Volcanic!G32),Volcanic!G32,"")</f>
        <v>4.2399999999999998E-3</v>
      </c>
      <c r="AO32" s="18">
        <f t="shared" si="12"/>
        <v>1.357653893149622E-2</v>
      </c>
      <c r="AP32" s="18">
        <f>IF(ISNUMBER(Annual!H32),Annual!H32^2,"")</f>
        <v>2.7204680792841719E-3</v>
      </c>
      <c r="AQ32" s="18">
        <f>IF(ISNUMBER(Annual!E32),Annual!E32,"")</f>
        <v>0.3350581779738751</v>
      </c>
      <c r="AR32" s="18">
        <f t="shared" si="8"/>
        <v>0.11226398262717296</v>
      </c>
      <c r="AS32" s="18">
        <f t="shared" si="13"/>
        <v>6.5079091454552287E-3</v>
      </c>
      <c r="AW32" s="18" t="s">
        <v>2709</v>
      </c>
      <c r="AX32" s="25">
        <f>Forcing!T19</f>
        <v>1.1472147526369443E-2</v>
      </c>
      <c r="AY32" s="33">
        <v>1.1976000000000001E-2</v>
      </c>
      <c r="AZ32" s="33">
        <v>1.2475E-2</v>
      </c>
      <c r="BA32" s="25">
        <f>Forcing!U19</f>
        <v>1.6674528737347687E-2</v>
      </c>
      <c r="BB32" s="6" t="s">
        <v>2710</v>
      </c>
    </row>
    <row r="33" spans="1:54">
      <c r="A33" s="18" t="str">
        <f>IF(Volcanic!A33="","",Volcanic!A33)</f>
        <v>10/1960</v>
      </c>
      <c r="B33" s="18">
        <f>IF(ISNUMBER(Volcanic!L33),Volcanic!L33,"")</f>
        <v>1960.7916666666667</v>
      </c>
      <c r="C33" s="18">
        <f>IF(ISNUMBER(Volcanic!J33),Volcanic!J33,"")</f>
        <v>0.17910080927096766</v>
      </c>
      <c r="D33" s="18">
        <f t="shared" si="0"/>
        <v>3.2077099881515539E-2</v>
      </c>
      <c r="E33" s="18">
        <f>IF(ISNUMBER(Volcanic!C33),Volcanic!C33,"")</f>
        <v>0.16455644349932552</v>
      </c>
      <c r="F33" s="18">
        <f>IF(ISNUMBER(Volcanic!D33),Volcanic!D33,"")</f>
        <v>0.01</v>
      </c>
      <c r="G33" s="18">
        <f>IF(ISNUMBER(Volcanic!E33),Volcanic!E33,"")</f>
        <v>3.8899999999999998E-3</v>
      </c>
      <c r="H33" s="18">
        <f t="shared" si="1"/>
        <v>2.7078823097146713E-2</v>
      </c>
      <c r="I33" s="18">
        <f t="shared" si="2"/>
        <v>1E-4</v>
      </c>
      <c r="J33" s="18">
        <f t="shared" si="3"/>
        <v>1.5132099999999999E-5</v>
      </c>
      <c r="K33" s="18">
        <f t="shared" si="4"/>
        <v>1.6455644349932554E-3</v>
      </c>
      <c r="L33" s="18">
        <f t="shared" si="5"/>
        <v>6.401245652123762E-4</v>
      </c>
      <c r="M33" s="18">
        <f t="shared" si="6"/>
        <v>3.8899999999999997E-5</v>
      </c>
      <c r="N33" s="18">
        <f t="shared" si="9"/>
        <v>3.4575218852214609E-2</v>
      </c>
      <c r="O33" s="18">
        <f t="shared" si="14"/>
        <v>1.2305977769438092E-2</v>
      </c>
      <c r="P33" s="18">
        <f t="shared" si="16"/>
        <v>1.1692880651533949E-4</v>
      </c>
      <c r="Q33" s="18">
        <f t="shared" si="18"/>
        <v>1.625240086300513E-5</v>
      </c>
      <c r="R33" s="18">
        <f t="shared" si="20"/>
        <v>1.4823606206999268E-3</v>
      </c>
      <c r="S33" s="18">
        <f t="shared" si="22"/>
        <v>9.0910536046203382E-3</v>
      </c>
      <c r="T33" s="18">
        <f t="shared" si="25"/>
        <v>8.3316337739223825E-2</v>
      </c>
      <c r="U33" s="18">
        <f t="shared" si="27"/>
        <v>3.6218586974749958E-2</v>
      </c>
      <c r="V33" s="18">
        <f t="shared" si="28"/>
        <v>6.114079534431916E-3</v>
      </c>
      <c r="W33" s="18">
        <f t="shared" si="29"/>
        <v>1.0537411692588729E-2</v>
      </c>
      <c r="X33" s="18">
        <f t="shared" si="30"/>
        <v>2.4917581422688154E-3</v>
      </c>
      <c r="Y33" s="18">
        <f t="shared" si="31"/>
        <v>5.600430641547042E-3</v>
      </c>
      <c r="AA33" s="18">
        <f t="shared" si="10"/>
        <v>8.5607685139164447E-2</v>
      </c>
      <c r="AB33" s="18">
        <f t="shared" si="11"/>
        <v>7.3286757548863173E-3</v>
      </c>
      <c r="AC33" s="18">
        <f t="shared" si="15"/>
        <v>1.6943477456759719E-2</v>
      </c>
      <c r="AD33" s="18">
        <f t="shared" si="17"/>
        <v>1.1129264403377E-2</v>
      </c>
      <c r="AE33" s="18">
        <f t="shared" si="19"/>
        <v>7.719998245033867E-5</v>
      </c>
      <c r="AF33" s="18">
        <f t="shared" si="21"/>
        <v>5.4709374675842117E-4</v>
      </c>
      <c r="AG33" s="18">
        <f t="shared" si="23"/>
        <v>8.9099571732614263E-5</v>
      </c>
      <c r="AH33" s="18">
        <f t="shared" si="26"/>
        <v>2.4785149141242787E-3</v>
      </c>
      <c r="AJ33" s="18">
        <f>IF(ISNUMBER(Kernel!M33),Kernel!M33,"")</f>
        <v>0.15528934277069245</v>
      </c>
      <c r="AK33" s="18">
        <f t="shared" si="7"/>
        <v>2.4114779978153613E-2</v>
      </c>
      <c r="AM33" s="18">
        <f>IF(ISNUMBER(Forcing!Q33),Forcing!Q33^2,"")</f>
        <v>1.0870794465562406E-2</v>
      </c>
      <c r="AN33" s="18">
        <f>IF(ISNUMBER(Volcanic!G33),Volcanic!G33,"")</f>
        <v>4.3099999999999996E-3</v>
      </c>
      <c r="AO33" s="18">
        <f t="shared" si="12"/>
        <v>3.6282343592419037E-3</v>
      </c>
      <c r="AP33" s="18">
        <f>IF(ISNUMBER(Annual!H33),Annual!H33^2,"")</f>
        <v>1.1856476592935431E-2</v>
      </c>
      <c r="AQ33" s="18">
        <f>IF(ISNUMBER(Annual!E33),Annual!E33,"")</f>
        <v>0.34014660517272827</v>
      </c>
      <c r="AR33" s="18">
        <f t="shared" si="8"/>
        <v>0.11569971301053189</v>
      </c>
      <c r="AS33" s="18">
        <f t="shared" si="13"/>
        <v>2.7204680792841719E-3</v>
      </c>
      <c r="AW33" s="18" t="s">
        <v>2711</v>
      </c>
      <c r="AX33" s="25">
        <f>INDEX(LINEST(Volcanic!$B$9:$B$822,Volcanic!$C$9:$E$822,TRUE(),TRUE()),2,3)</f>
        <v>3.2729675227090235E-2</v>
      </c>
      <c r="AY33" s="33">
        <v>3.5714000000000003E-2</v>
      </c>
      <c r="AZ33" s="33">
        <v>8.0876000000000003E-2</v>
      </c>
      <c r="BA33" s="25">
        <f>AX33*SQRT((1+$AX$16)/(1-$AX$16))</f>
        <v>5.6902065437781271E-2</v>
      </c>
      <c r="BB33" s="6" t="s">
        <v>2712</v>
      </c>
    </row>
    <row r="34" spans="1:54" ht="60" customHeight="1">
      <c r="A34" s="18" t="str">
        <f>IF(Volcanic!A34="","",Volcanic!A34)</f>
        <v>11/1960</v>
      </c>
      <c r="B34" s="18">
        <f>IF(ISNUMBER(Volcanic!L34),Volcanic!L34,"")</f>
        <v>1960.875</v>
      </c>
      <c r="C34" s="18">
        <f>IF(ISNUMBER(Volcanic!J34),Volcanic!J34,"")</f>
        <v>-1.8488829733007875E-2</v>
      </c>
      <c r="D34" s="18">
        <f t="shared" si="0"/>
        <v>3.4183682489615603E-4</v>
      </c>
      <c r="E34" s="18">
        <f>IF(ISNUMBER(Volcanic!C34),Volcanic!C34,"")</f>
        <v>0.16992500144231237</v>
      </c>
      <c r="F34" s="18">
        <f>IF(ISNUMBER(Volcanic!D34),Volcanic!D34,"")</f>
        <v>0.15</v>
      </c>
      <c r="G34" s="18">
        <f>IF(ISNUMBER(Volcanic!E34),Volcanic!E34,"")</f>
        <v>3.9100000000000003E-3</v>
      </c>
      <c r="H34" s="18">
        <f t="shared" si="1"/>
        <v>2.8874506115169861E-2</v>
      </c>
      <c r="I34" s="18">
        <f t="shared" si="2"/>
        <v>2.2499999999999999E-2</v>
      </c>
      <c r="J34" s="18">
        <f t="shared" si="3"/>
        <v>1.5288100000000004E-5</v>
      </c>
      <c r="K34" s="18">
        <f t="shared" si="4"/>
        <v>2.5488750216346855E-2</v>
      </c>
      <c r="L34" s="18">
        <f t="shared" si="5"/>
        <v>6.6440675563944141E-4</v>
      </c>
      <c r="M34" s="18">
        <f t="shared" si="6"/>
        <v>5.865E-4</v>
      </c>
      <c r="N34" s="18">
        <f t="shared" si="9"/>
        <v>3.2077099881515539E-2</v>
      </c>
      <c r="O34" s="18">
        <f t="shared" si="14"/>
        <v>3.4575218852214609E-2</v>
      </c>
      <c r="P34" s="18">
        <f t="shared" si="16"/>
        <v>1.2305977769438092E-2</v>
      </c>
      <c r="Q34" s="18">
        <f t="shared" si="18"/>
        <v>1.1692880651533949E-4</v>
      </c>
      <c r="R34" s="18">
        <f t="shared" si="20"/>
        <v>1.625240086300513E-5</v>
      </c>
      <c r="S34" s="18">
        <f t="shared" si="22"/>
        <v>1.4823606206999268E-3</v>
      </c>
      <c r="T34" s="18">
        <f t="shared" si="25"/>
        <v>9.0910536046203382E-3</v>
      </c>
      <c r="U34" s="18">
        <f t="shared" si="27"/>
        <v>8.3316337739223825E-2</v>
      </c>
      <c r="V34" s="18">
        <f t="shared" si="28"/>
        <v>3.6218586974749958E-2</v>
      </c>
      <c r="W34" s="18">
        <f t="shared" si="29"/>
        <v>6.114079534431916E-3</v>
      </c>
      <c r="X34" s="18">
        <f t="shared" si="30"/>
        <v>1.0537411692588729E-2</v>
      </c>
      <c r="Y34" s="18">
        <f t="shared" si="31"/>
        <v>2.4917581422688154E-3</v>
      </c>
      <c r="AA34" s="18">
        <f t="shared" si="10"/>
        <v>-0.10854111772751056</v>
      </c>
      <c r="AB34" s="18">
        <f t="shared" si="11"/>
        <v>1.1781174237537306E-2</v>
      </c>
      <c r="AC34" s="18">
        <f t="shared" si="15"/>
        <v>7.3286757548863173E-3</v>
      </c>
      <c r="AD34" s="18">
        <f t="shared" si="17"/>
        <v>1.6943477456759719E-2</v>
      </c>
      <c r="AE34" s="18">
        <f t="shared" si="19"/>
        <v>1.1129264403377E-2</v>
      </c>
      <c r="AF34" s="18">
        <f t="shared" si="21"/>
        <v>7.719998245033867E-5</v>
      </c>
      <c r="AG34" s="18">
        <f t="shared" si="23"/>
        <v>5.4709374675842117E-4</v>
      </c>
      <c r="AH34" s="18">
        <f t="shared" si="26"/>
        <v>8.9099571732614263E-5</v>
      </c>
      <c r="AJ34" s="18">
        <f>IF(ISNUMBER(Kernel!M34),Kernel!M34,"")</f>
        <v>-2.5560393689021743E-2</v>
      </c>
      <c r="AK34" s="18">
        <f t="shared" si="7"/>
        <v>6.533337255377826E-4</v>
      </c>
      <c r="AM34" s="18">
        <f>IF(ISNUMBER(Forcing!Q34),Forcing!Q34^2,"")</f>
        <v>1.6266727191559601E-3</v>
      </c>
      <c r="AN34" s="18">
        <f>IF(ISNUMBER(Volcanic!G34),Volcanic!G34,"")</f>
        <v>4.2300000000000003E-3</v>
      </c>
      <c r="AO34" s="18">
        <f t="shared" si="12"/>
        <v>1.0870794465562406E-2</v>
      </c>
      <c r="AP34" s="18">
        <f>IF(ISNUMBER(Annual!H34),Annual!H34^2,"")</f>
        <v>2.8410074343763023E-3</v>
      </c>
      <c r="AQ34" s="18">
        <f>IF(ISNUMBER(Annual!E34),Annual!E34,"")</f>
        <v>0.34522235607120461</v>
      </c>
      <c r="AR34" s="18">
        <f t="shared" ref="AR34:AR65" si="33">IF(ISNUMBER(AQ34),AQ34^2,"")</f>
        <v>0.11917847513135357</v>
      </c>
      <c r="AS34" s="18">
        <f t="shared" si="13"/>
        <v>1.1856476592935431E-2</v>
      </c>
      <c r="AW34" s="52" t="s">
        <v>2713</v>
      </c>
      <c r="AX34" s="53"/>
      <c r="AY34" s="53"/>
      <c r="AZ34" s="53"/>
      <c r="BA34" s="53"/>
      <c r="BB34" s="53"/>
    </row>
    <row r="35" spans="1:54">
      <c r="A35" s="18" t="str">
        <f>IF(Volcanic!A35="","",Volcanic!A35)</f>
        <v>12/1960</v>
      </c>
      <c r="B35" s="18">
        <f>IF(ISNUMBER(Volcanic!L35),Volcanic!L35,"")</f>
        <v>1960.9583333333333</v>
      </c>
      <c r="C35" s="18">
        <f>IF(ISNUMBER(Volcanic!J35),Volcanic!J35,"")</f>
        <v>0.2630284225305537</v>
      </c>
      <c r="D35" s="18">
        <f t="shared" si="0"/>
        <v>6.918395105891148E-2</v>
      </c>
      <c r="E35" s="18">
        <f>IF(ISNUMBER(Volcanic!C35),Volcanic!C35,"")</f>
        <v>0.17536491377542907</v>
      </c>
      <c r="F35" s="18">
        <f>IF(ISNUMBER(Volcanic!D35),Volcanic!D35,"")</f>
        <v>0.19</v>
      </c>
      <c r="G35" s="18">
        <f>IF(ISNUMBER(Volcanic!E35),Volcanic!E35,"")</f>
        <v>3.9399999999999999E-3</v>
      </c>
      <c r="H35" s="18">
        <f t="shared" si="1"/>
        <v>3.0752852983463672E-2</v>
      </c>
      <c r="I35" s="18">
        <f t="shared" si="2"/>
        <v>3.61E-2</v>
      </c>
      <c r="J35" s="18">
        <f t="shared" si="3"/>
        <v>1.5523599999999998E-5</v>
      </c>
      <c r="K35" s="18">
        <f t="shared" si="4"/>
        <v>3.3319333617331526E-2</v>
      </c>
      <c r="L35" s="18">
        <f t="shared" si="5"/>
        <v>6.9093776027519054E-4</v>
      </c>
      <c r="M35" s="18">
        <f t="shared" si="6"/>
        <v>7.4859999999999998E-4</v>
      </c>
      <c r="N35" s="18">
        <f t="shared" si="9"/>
        <v>3.4183682489615603E-4</v>
      </c>
      <c r="O35" s="18">
        <f t="shared" si="14"/>
        <v>3.2077099881515539E-2</v>
      </c>
      <c r="P35" s="18">
        <f t="shared" si="16"/>
        <v>3.4575218852214609E-2</v>
      </c>
      <c r="Q35" s="18">
        <f t="shared" si="18"/>
        <v>1.2305977769438092E-2</v>
      </c>
      <c r="R35" s="18">
        <f t="shared" si="20"/>
        <v>1.1692880651533949E-4</v>
      </c>
      <c r="S35" s="18">
        <f t="shared" si="22"/>
        <v>1.625240086300513E-5</v>
      </c>
      <c r="T35" s="18">
        <f t="shared" si="25"/>
        <v>1.4823606206999268E-3</v>
      </c>
      <c r="U35" s="18">
        <f t="shared" si="27"/>
        <v>9.0910536046203382E-3</v>
      </c>
      <c r="V35" s="18">
        <f t="shared" si="28"/>
        <v>8.3316337739223825E-2</v>
      </c>
      <c r="W35" s="18">
        <f t="shared" si="29"/>
        <v>3.6218586974749958E-2</v>
      </c>
      <c r="X35" s="18">
        <f t="shared" si="30"/>
        <v>6.114079534431916E-3</v>
      </c>
      <c r="Y35" s="18">
        <f t="shared" si="31"/>
        <v>1.0537411692588729E-2</v>
      </c>
      <c r="AA35" s="18">
        <f t="shared" si="10"/>
        <v>0.27232464752571367</v>
      </c>
      <c r="AB35" s="18">
        <f t="shared" si="11"/>
        <v>7.4160713650004192E-2</v>
      </c>
      <c r="AC35" s="18">
        <f t="shared" si="15"/>
        <v>1.1781174237537306E-2</v>
      </c>
      <c r="AD35" s="18">
        <f t="shared" si="17"/>
        <v>7.3286757548863173E-3</v>
      </c>
      <c r="AE35" s="18">
        <f t="shared" si="19"/>
        <v>1.6943477456759719E-2</v>
      </c>
      <c r="AF35" s="18">
        <f t="shared" si="21"/>
        <v>1.1129264403377E-2</v>
      </c>
      <c r="AG35" s="18">
        <f t="shared" si="23"/>
        <v>7.719998245033867E-5</v>
      </c>
      <c r="AH35" s="18">
        <f t="shared" si="26"/>
        <v>5.4709374675842117E-4</v>
      </c>
      <c r="AJ35" s="18">
        <f>IF(ISNUMBER(Kernel!M35),Kernel!M35,"")</f>
        <v>0.26279972214808039</v>
      </c>
      <c r="AK35" s="18">
        <f t="shared" si="7"/>
        <v>6.9063693961108258E-2</v>
      </c>
      <c r="AM35" s="18">
        <f>IF(ISNUMBER(Forcing!Q35),Forcing!Q35^2,"")</f>
        <v>6.4443214654222467E-2</v>
      </c>
      <c r="AN35" s="18">
        <f>IF(ISNUMBER(Volcanic!G35),Volcanic!G35,"")</f>
        <v>4.1200000000000004E-3</v>
      </c>
      <c r="AO35" s="18">
        <f t="shared" ref="AO35:AO68" si="34">IF(ISNUMBER(AM34),AM34,"")</f>
        <v>1.6266727191559601E-3</v>
      </c>
      <c r="AP35" s="18">
        <f>IF(ISNUMBER(Annual!H35),Annual!H35^2,"")</f>
        <v>1.9425784209936073E-2</v>
      </c>
      <c r="AQ35" s="18">
        <f>IF(ISNUMBER(Annual!E35),Annual!E35,"")</f>
        <v>0.34862967062131672</v>
      </c>
      <c r="AR35" s="18">
        <f t="shared" si="33"/>
        <v>0.12154264723752779</v>
      </c>
      <c r="AS35" s="18">
        <f t="shared" ref="AS35:AS68" si="35">IF(ISNUMBER(AP34),AP34,"")</f>
        <v>2.8410074343763023E-3</v>
      </c>
    </row>
    <row r="36" spans="1:54" ht="15.75">
      <c r="A36" s="18" t="str">
        <f>IF(Volcanic!A36="","",Volcanic!A36)</f>
        <v>1/1961</v>
      </c>
      <c r="B36" s="18">
        <f>IF(ISNUMBER(Volcanic!L36),Volcanic!L36,"")</f>
        <v>1961.0416666666667</v>
      </c>
      <c r="C36" s="18">
        <f>IF(ISNUMBER(Volcanic!J36),Volcanic!J36,"")</f>
        <v>0.14466633545849389</v>
      </c>
      <c r="D36" s="18">
        <f t="shared" si="0"/>
        <v>2.0928348614989486E-2</v>
      </c>
      <c r="E36" s="18">
        <f>IF(ISNUMBER(Volcanic!C36),Volcanic!C36,"")</f>
        <v>0.17855530658575247</v>
      </c>
      <c r="F36" s="18">
        <f>IF(ISNUMBER(Volcanic!D36),Volcanic!D36,"")</f>
        <v>0.08</v>
      </c>
      <c r="G36" s="18">
        <f>IF(ISNUMBER(Volcanic!E36),Volcanic!E36,"")</f>
        <v>4.0000000000000001E-3</v>
      </c>
      <c r="H36" s="18">
        <f t="shared" si="1"/>
        <v>3.1881997509932057E-2</v>
      </c>
      <c r="I36" s="18">
        <f t="shared" si="2"/>
        <v>6.4000000000000003E-3</v>
      </c>
      <c r="J36" s="18">
        <f t="shared" si="3"/>
        <v>1.5999999999999999E-5</v>
      </c>
      <c r="K36" s="18">
        <f t="shared" si="4"/>
        <v>1.4284424526860198E-2</v>
      </c>
      <c r="L36" s="18">
        <f t="shared" si="5"/>
        <v>7.1422122634300989E-4</v>
      </c>
      <c r="M36" s="18">
        <f t="shared" si="6"/>
        <v>3.2000000000000003E-4</v>
      </c>
      <c r="N36" s="18">
        <f t="shared" si="9"/>
        <v>6.918395105891148E-2</v>
      </c>
      <c r="O36" s="18">
        <f t="shared" si="14"/>
        <v>3.4183682489615603E-4</v>
      </c>
      <c r="P36" s="18">
        <f t="shared" si="16"/>
        <v>3.2077099881515539E-2</v>
      </c>
      <c r="Q36" s="18">
        <f t="shared" si="18"/>
        <v>3.4575218852214609E-2</v>
      </c>
      <c r="R36" s="18">
        <f t="shared" si="20"/>
        <v>1.2305977769438092E-2</v>
      </c>
      <c r="S36" s="18">
        <f t="shared" si="22"/>
        <v>1.1692880651533949E-4</v>
      </c>
      <c r="T36" s="18">
        <f t="shared" si="25"/>
        <v>1.625240086300513E-5</v>
      </c>
      <c r="U36" s="18">
        <f t="shared" si="27"/>
        <v>1.4823606206999268E-3</v>
      </c>
      <c r="V36" s="18">
        <f t="shared" si="28"/>
        <v>9.0910536046203382E-3</v>
      </c>
      <c r="W36" s="18">
        <f t="shared" si="29"/>
        <v>8.3316337739223825E-2</v>
      </c>
      <c r="X36" s="18">
        <f t="shared" si="30"/>
        <v>3.6218586974749958E-2</v>
      </c>
      <c r="Y36" s="18">
        <f t="shared" si="31"/>
        <v>6.114079534431916E-3</v>
      </c>
      <c r="AA36" s="18">
        <f t="shared" si="10"/>
        <v>1.2415055562682048E-2</v>
      </c>
      <c r="AB36" s="18">
        <f t="shared" si="11"/>
        <v>1.5413360462448246E-4</v>
      </c>
      <c r="AC36" s="18">
        <f t="shared" si="15"/>
        <v>7.4160713650004192E-2</v>
      </c>
      <c r="AD36" s="18">
        <f t="shared" si="17"/>
        <v>1.1781174237537306E-2</v>
      </c>
      <c r="AE36" s="18">
        <f t="shared" si="19"/>
        <v>7.3286757548863173E-3</v>
      </c>
      <c r="AF36" s="18">
        <f t="shared" si="21"/>
        <v>1.6943477456759719E-2</v>
      </c>
      <c r="AG36" s="18">
        <f t="shared" si="23"/>
        <v>1.1129264403377E-2</v>
      </c>
      <c r="AH36" s="18">
        <f t="shared" si="26"/>
        <v>7.719998245033867E-5</v>
      </c>
      <c r="AJ36" s="18">
        <f>IF(ISNUMBER(Kernel!M36),Kernel!M36,"")</f>
        <v>0.13522175193098115</v>
      </c>
      <c r="AK36" s="18">
        <f t="shared" si="7"/>
        <v>1.8284922195283805E-2</v>
      </c>
      <c r="AM36" s="18">
        <f>IF(ISNUMBER(Forcing!Q36),Forcing!Q36^2,"")</f>
        <v>3.4283538494450434E-2</v>
      </c>
      <c r="AN36" s="18">
        <f>IF(ISNUMBER(Volcanic!G36),Volcanic!G36,"")</f>
        <v>4.0200000000000001E-3</v>
      </c>
      <c r="AO36" s="18">
        <f t="shared" si="34"/>
        <v>6.4443214654222467E-2</v>
      </c>
      <c r="AP36" s="18">
        <f>IF(ISNUMBER(Annual!H36),Annual!H36^2,"")</f>
        <v>1.8948786166187156E-2</v>
      </c>
      <c r="AQ36" s="18">
        <f>IF(ISNUMBER(Annual!E36),Annual!E36,"")</f>
        <v>0.35134440078007922</v>
      </c>
      <c r="AR36" s="18">
        <f t="shared" si="33"/>
        <v>0.12344288795951293</v>
      </c>
      <c r="AS36" s="18">
        <f t="shared" si="35"/>
        <v>1.9425784209936073E-2</v>
      </c>
      <c r="AW36" s="4" t="s">
        <v>2714</v>
      </c>
    </row>
    <row r="37" spans="1:54" ht="30" customHeight="1">
      <c r="A37" s="18" t="str">
        <f>IF(Volcanic!A37="","",Volcanic!A37)</f>
        <v>2/1961</v>
      </c>
      <c r="B37" s="18">
        <f>IF(ISNUMBER(Volcanic!L37),Volcanic!L37,"")</f>
        <v>1961.125</v>
      </c>
      <c r="C37" s="18">
        <f>IF(ISNUMBER(Volcanic!J37),Volcanic!J37,"")</f>
        <v>0.26871662565685928</v>
      </c>
      <c r="D37" s="18">
        <f t="shared" si="0"/>
        <v>7.2208624904408644E-2</v>
      </c>
      <c r="E37" s="18">
        <f>IF(ISNUMBER(Volcanic!C37),Volcanic!C37,"")</f>
        <v>0.18223826288116377</v>
      </c>
      <c r="F37" s="18">
        <f>IF(ISNUMBER(Volcanic!D37),Volcanic!D37,"")</f>
        <v>-7.0000000000000007E-2</v>
      </c>
      <c r="G37" s="18">
        <f>IF(ISNUMBER(Volcanic!E37),Volcanic!E37,"")</f>
        <v>4.0800000000000003E-3</v>
      </c>
      <c r="H37" s="18">
        <f t="shared" si="1"/>
        <v>3.3210784457944148E-2</v>
      </c>
      <c r="I37" s="18">
        <f t="shared" si="2"/>
        <v>4.9000000000000007E-3</v>
      </c>
      <c r="J37" s="18">
        <f t="shared" si="3"/>
        <v>1.6646400000000004E-5</v>
      </c>
      <c r="K37" s="18">
        <f t="shared" si="4"/>
        <v>-1.2756678401681465E-2</v>
      </c>
      <c r="L37" s="18">
        <f t="shared" si="5"/>
        <v>7.4353211255514823E-4</v>
      </c>
      <c r="M37" s="18">
        <f t="shared" si="6"/>
        <v>-2.8560000000000006E-4</v>
      </c>
      <c r="N37" s="18">
        <f t="shared" si="9"/>
        <v>2.0928348614989486E-2</v>
      </c>
      <c r="O37" s="18">
        <f t="shared" si="14"/>
        <v>6.918395105891148E-2</v>
      </c>
      <c r="P37" s="18">
        <f t="shared" si="16"/>
        <v>3.4183682489615603E-4</v>
      </c>
      <c r="Q37" s="18">
        <f t="shared" si="18"/>
        <v>3.2077099881515539E-2</v>
      </c>
      <c r="R37" s="18">
        <f t="shared" si="20"/>
        <v>3.4575218852214609E-2</v>
      </c>
      <c r="S37" s="18">
        <f t="shared" si="22"/>
        <v>1.2305977769438092E-2</v>
      </c>
      <c r="T37" s="18">
        <f t="shared" si="25"/>
        <v>1.1692880651533949E-4</v>
      </c>
      <c r="U37" s="18">
        <f t="shared" si="27"/>
        <v>1.625240086300513E-5</v>
      </c>
      <c r="V37" s="18">
        <f t="shared" si="28"/>
        <v>1.4823606206999268E-3</v>
      </c>
      <c r="W37" s="18">
        <f t="shared" si="29"/>
        <v>9.0910536046203382E-3</v>
      </c>
      <c r="X37" s="18">
        <f t="shared" si="30"/>
        <v>8.3316337739223825E-2</v>
      </c>
      <c r="Y37" s="18">
        <f t="shared" si="31"/>
        <v>3.6218586974749958E-2</v>
      </c>
      <c r="AA37" s="18">
        <f t="shared" si="10"/>
        <v>0.19597806821065683</v>
      </c>
      <c r="AB37" s="18">
        <f t="shared" si="11"/>
        <v>3.840740321958086E-2</v>
      </c>
      <c r="AC37" s="18">
        <f t="shared" si="15"/>
        <v>1.5413360462448246E-4</v>
      </c>
      <c r="AD37" s="18">
        <f t="shared" si="17"/>
        <v>7.4160713650004192E-2</v>
      </c>
      <c r="AE37" s="18">
        <f t="shared" si="19"/>
        <v>1.1781174237537306E-2</v>
      </c>
      <c r="AF37" s="18">
        <f t="shared" si="21"/>
        <v>7.3286757548863173E-3</v>
      </c>
      <c r="AG37" s="18">
        <f t="shared" si="23"/>
        <v>1.6943477456759719E-2</v>
      </c>
      <c r="AH37" s="18">
        <f t="shared" si="26"/>
        <v>1.1129264403377E-2</v>
      </c>
      <c r="AJ37" s="18">
        <f>IF(ISNUMBER(Kernel!M37),Kernel!M37,"")</f>
        <v>0.24545785818003693</v>
      </c>
      <c r="AK37" s="18">
        <f t="shared" si="7"/>
        <v>6.024956014233112E-2</v>
      </c>
      <c r="AM37" s="18">
        <f>IF(ISNUMBER(Forcing!Q37),Forcing!Q37^2,"")</f>
        <v>9.247797189546568E-3</v>
      </c>
      <c r="AN37" s="18">
        <f>IF(ISNUMBER(Volcanic!G37),Volcanic!G37,"")</f>
        <v>3.8899999999999998E-3</v>
      </c>
      <c r="AO37" s="18">
        <f t="shared" si="34"/>
        <v>3.4283538494450434E-2</v>
      </c>
      <c r="AP37" s="18">
        <f>IF(ISNUMBER(Annual!H37),Annual!H37^2,"")</f>
        <v>5.5402155611570447E-3</v>
      </c>
      <c r="AQ37" s="18">
        <f>IF(ISNUMBER(Annual!E37),Annual!E37,"")</f>
        <v>0.35837405183815102</v>
      </c>
      <c r="AR37" s="18">
        <f t="shared" si="33"/>
        <v>0.12843196103089374</v>
      </c>
      <c r="AS37" s="18">
        <f t="shared" si="35"/>
        <v>1.8948786166187156E-2</v>
      </c>
      <c r="AW37" s="2" t="s">
        <v>2715</v>
      </c>
      <c r="AX37" s="2" t="s">
        <v>2716</v>
      </c>
      <c r="AY37" s="2" t="s">
        <v>2717</v>
      </c>
      <c r="AZ37" s="2" t="s">
        <v>2718</v>
      </c>
      <c r="BA37" s="2" t="s">
        <v>2719</v>
      </c>
      <c r="BB37" s="2" t="s">
        <v>2259</v>
      </c>
    </row>
    <row r="38" spans="1:54">
      <c r="A38" s="18" t="str">
        <f>IF(Volcanic!A38="","",Volcanic!A38)</f>
        <v>3/1961</v>
      </c>
      <c r="B38" s="18">
        <f>IF(ISNUMBER(Volcanic!L38),Volcanic!L38,"")</f>
        <v>1961.2083333333333</v>
      </c>
      <c r="C38" s="18">
        <f>IF(ISNUMBER(Volcanic!J38),Volcanic!J38,"")</f>
        <v>0.15854664860618314</v>
      </c>
      <c r="D38" s="18">
        <f t="shared" si="0"/>
        <v>2.5137039784252517E-2</v>
      </c>
      <c r="E38" s="18">
        <f>IF(ISNUMBER(Volcanic!C38),Volcanic!C38,"")</f>
        <v>0.18604772012519621</v>
      </c>
      <c r="F38" s="18">
        <f>IF(ISNUMBER(Volcanic!D38),Volcanic!D38,"")</f>
        <v>-7.0000000000000007E-2</v>
      </c>
      <c r="G38" s="18">
        <f>IF(ISNUMBER(Volcanic!E38),Volcanic!E38,"")</f>
        <v>4.1799999999999997E-3</v>
      </c>
      <c r="H38" s="18">
        <f t="shared" si="1"/>
        <v>3.4613754163783338E-2</v>
      </c>
      <c r="I38" s="18">
        <f t="shared" si="2"/>
        <v>4.9000000000000007E-3</v>
      </c>
      <c r="J38" s="18">
        <f t="shared" si="3"/>
        <v>1.7472399999999999E-5</v>
      </c>
      <c r="K38" s="18">
        <f t="shared" si="4"/>
        <v>-1.3023340408763736E-2</v>
      </c>
      <c r="L38" s="18">
        <f t="shared" si="5"/>
        <v>7.7767947012332013E-4</v>
      </c>
      <c r="M38" s="18">
        <f t="shared" si="6"/>
        <v>-2.9260000000000001E-4</v>
      </c>
      <c r="N38" s="18">
        <f t="shared" si="9"/>
        <v>7.2208624904408644E-2</v>
      </c>
      <c r="O38" s="18">
        <f t="shared" si="14"/>
        <v>2.0928348614989486E-2</v>
      </c>
      <c r="P38" s="18">
        <f t="shared" si="16"/>
        <v>6.918395105891148E-2</v>
      </c>
      <c r="Q38" s="18">
        <f t="shared" si="18"/>
        <v>3.4183682489615603E-4</v>
      </c>
      <c r="R38" s="18">
        <f t="shared" si="20"/>
        <v>3.2077099881515539E-2</v>
      </c>
      <c r="S38" s="18">
        <f t="shared" si="22"/>
        <v>3.4575218852214609E-2</v>
      </c>
      <c r="T38" s="18">
        <f t="shared" si="25"/>
        <v>1.2305977769438092E-2</v>
      </c>
      <c r="U38" s="18">
        <f t="shared" si="27"/>
        <v>1.1692880651533949E-4</v>
      </c>
      <c r="V38" s="18">
        <f t="shared" si="28"/>
        <v>1.625240086300513E-5</v>
      </c>
      <c r="W38" s="18">
        <f t="shared" si="29"/>
        <v>1.4823606206999268E-3</v>
      </c>
      <c r="X38" s="18">
        <f t="shared" si="30"/>
        <v>9.0910536046203382E-3</v>
      </c>
      <c r="Y38" s="18">
        <f t="shared" si="31"/>
        <v>8.3316337739223825E-2</v>
      </c>
      <c r="AA38" s="18">
        <f t="shared" si="10"/>
        <v>2.3435327439835646E-2</v>
      </c>
      <c r="AB38" s="18">
        <f t="shared" si="11"/>
        <v>5.4921457221231357E-4</v>
      </c>
      <c r="AC38" s="18">
        <f t="shared" si="15"/>
        <v>3.840740321958086E-2</v>
      </c>
      <c r="AD38" s="18">
        <f t="shared" si="17"/>
        <v>1.5413360462448246E-4</v>
      </c>
      <c r="AE38" s="18">
        <f t="shared" si="19"/>
        <v>7.4160713650004192E-2</v>
      </c>
      <c r="AF38" s="18">
        <f t="shared" si="21"/>
        <v>1.1781174237537306E-2</v>
      </c>
      <c r="AG38" s="18">
        <f t="shared" si="23"/>
        <v>7.3286757548863173E-3</v>
      </c>
      <c r="AH38" s="18">
        <f t="shared" si="26"/>
        <v>1.6943477456759719E-2</v>
      </c>
      <c r="AJ38" s="18">
        <f>IF(ISNUMBER(Kernel!M38),Kernel!M38,"")</f>
        <v>0.13572655799142608</v>
      </c>
      <c r="AK38" s="18">
        <f t="shared" si="7"/>
        <v>1.8421698544199946E-2</v>
      </c>
      <c r="AM38" s="18">
        <f>IF(ISNUMBER(Forcing!Q38),Forcing!Q38^2,"")</f>
        <v>1.2576053230837833E-4</v>
      </c>
      <c r="AN38" s="18">
        <f>IF(ISNUMBER(Volcanic!G38),Volcanic!G38,"")</f>
        <v>3.82E-3</v>
      </c>
      <c r="AO38" s="18">
        <f t="shared" si="34"/>
        <v>9.247797189546568E-3</v>
      </c>
      <c r="AP38" s="18">
        <f>IF(ISNUMBER(Annual!H38),Annual!H38^2,"")</f>
        <v>1.2356797580822974E-3</v>
      </c>
      <c r="AQ38" s="18">
        <f>IF(ISNUMBER(Annual!E38),Annual!E38,"")</f>
        <v>0.36642608584109237</v>
      </c>
      <c r="AR38" s="18">
        <f t="shared" si="33"/>
        <v>0.1342680763848236</v>
      </c>
      <c r="AS38" s="18">
        <f t="shared" si="35"/>
        <v>5.5402155611570447E-3</v>
      </c>
      <c r="AW38" s="18" t="s">
        <v>2720</v>
      </c>
      <c r="AX38" s="18">
        <f>SUMPRODUCT(($B$9:$B$822&gt;=1958)*($B$9:$B$822&lt;1971))</f>
        <v>147</v>
      </c>
      <c r="AY38" s="25">
        <f>SUMPRODUCT(($B$9:$B$822&gt;=1958)*($B$9:$B$822&lt;1971)*$C$9:$C$822)/AX38</f>
        <v>2.8236848857975509E-2</v>
      </c>
      <c r="AZ38" s="25">
        <f>SQRT((SUMPRODUCT(($B$9:$B$822&gt;=1958)*($B$9:$B$822&lt;1971)*$D$9:$D$822)-AX38*AY38^2)/(AX38-1))</f>
        <v>0.1205808300972874</v>
      </c>
      <c r="BA38" s="20">
        <f t="shared" ref="BA38:BA49" si="36">AZ38/$AZ$43</f>
        <v>0.98768031877731022</v>
      </c>
    </row>
    <row r="39" spans="1:54">
      <c r="A39" s="18" t="str">
        <f>IF(Volcanic!A39="","",Volcanic!A39)</f>
        <v>4/1961</v>
      </c>
      <c r="B39" s="18">
        <f>IF(ISNUMBER(Volcanic!L39),Volcanic!L39,"")</f>
        <v>1961.2916666666667</v>
      </c>
      <c r="C39" s="18">
        <f>IF(ISNUMBER(Volcanic!J39),Volcanic!J39,"")</f>
        <v>0.18058853622223997</v>
      </c>
      <c r="D39" s="18">
        <f t="shared" si="0"/>
        <v>3.2612219414891279E-2</v>
      </c>
      <c r="E39" s="18">
        <f>IF(ISNUMBER(Volcanic!C39),Volcanic!C39,"")</f>
        <v>0.19029879162659466</v>
      </c>
      <c r="F39" s="18">
        <f>IF(ISNUMBER(Volcanic!D39),Volcanic!D39,"")</f>
        <v>0</v>
      </c>
      <c r="G39" s="18">
        <f>IF(ISNUMBER(Volcanic!E39),Volcanic!E39,"")</f>
        <v>4.2399999999999998E-3</v>
      </c>
      <c r="H39" s="18">
        <f t="shared" si="1"/>
        <v>3.6213630094542093E-2</v>
      </c>
      <c r="I39" s="18">
        <f t="shared" si="2"/>
        <v>0</v>
      </c>
      <c r="J39" s="18">
        <f t="shared" si="3"/>
        <v>1.7977599999999999E-5</v>
      </c>
      <c r="K39" s="18">
        <f t="shared" si="4"/>
        <v>0</v>
      </c>
      <c r="L39" s="18">
        <f t="shared" si="5"/>
        <v>8.0686687649676129E-4</v>
      </c>
      <c r="M39" s="18">
        <f t="shared" si="6"/>
        <v>0</v>
      </c>
      <c r="N39" s="18">
        <f t="shared" si="9"/>
        <v>2.5137039784252517E-2</v>
      </c>
      <c r="O39" s="18">
        <f t="shared" si="14"/>
        <v>7.2208624904408644E-2</v>
      </c>
      <c r="P39" s="18">
        <f t="shared" si="16"/>
        <v>2.0928348614989486E-2</v>
      </c>
      <c r="Q39" s="18">
        <f t="shared" si="18"/>
        <v>6.918395105891148E-2</v>
      </c>
      <c r="R39" s="18">
        <f t="shared" si="20"/>
        <v>3.4183682489615603E-4</v>
      </c>
      <c r="S39" s="18">
        <f t="shared" si="22"/>
        <v>3.2077099881515539E-2</v>
      </c>
      <c r="T39" s="18">
        <f t="shared" si="25"/>
        <v>3.4575218852214609E-2</v>
      </c>
      <c r="U39" s="18">
        <f t="shared" si="27"/>
        <v>1.2305977769438092E-2</v>
      </c>
      <c r="V39" s="18">
        <f t="shared" si="28"/>
        <v>1.1692880651533949E-4</v>
      </c>
      <c r="W39" s="18">
        <f t="shared" si="29"/>
        <v>1.625240086300513E-5</v>
      </c>
      <c r="X39" s="18">
        <f t="shared" si="30"/>
        <v>1.4823606206999268E-3</v>
      </c>
      <c r="Y39" s="18">
        <f t="shared" si="31"/>
        <v>9.0910536046203382E-3</v>
      </c>
      <c r="AA39" s="18">
        <f t="shared" si="10"/>
        <v>0.10087092624066626</v>
      </c>
      <c r="AB39" s="18">
        <f t="shared" si="11"/>
        <v>1.0174943760649934E-2</v>
      </c>
      <c r="AC39" s="18">
        <f t="shared" si="15"/>
        <v>5.4921457221231357E-4</v>
      </c>
      <c r="AD39" s="18">
        <f t="shared" si="17"/>
        <v>3.840740321958086E-2</v>
      </c>
      <c r="AE39" s="18">
        <f t="shared" si="19"/>
        <v>1.5413360462448246E-4</v>
      </c>
      <c r="AF39" s="18">
        <f t="shared" si="21"/>
        <v>7.4160713650004192E-2</v>
      </c>
      <c r="AG39" s="18">
        <f t="shared" si="23"/>
        <v>1.1781174237537306E-2</v>
      </c>
      <c r="AH39" s="18">
        <f t="shared" si="26"/>
        <v>7.3286757548863173E-3</v>
      </c>
      <c r="AJ39" s="18">
        <f>IF(ISNUMBER(Kernel!M39),Kernel!M39,"")</f>
        <v>0.16384482873641726</v>
      </c>
      <c r="AK39" s="18">
        <f t="shared" si="7"/>
        <v>2.6845127903665902E-2</v>
      </c>
      <c r="AM39" s="18">
        <f>IF(ISNUMBER(Forcing!Q39),Forcing!Q39^2,"")</f>
        <v>5.0057806779677952E-3</v>
      </c>
      <c r="AN39" s="18">
        <f>IF(ISNUMBER(Volcanic!G39),Volcanic!G39,"")</f>
        <v>3.8500000000000001E-3</v>
      </c>
      <c r="AO39" s="18">
        <f t="shared" si="34"/>
        <v>1.2576053230837833E-4</v>
      </c>
      <c r="AP39" s="18">
        <f>IF(ISNUMBER(Annual!H39),Annual!H39^2,"")</f>
        <v>9.5235283477470151E-3</v>
      </c>
      <c r="AQ39" s="18">
        <f>IF(ISNUMBER(Annual!E39),Annual!E39,"")</f>
        <v>0.37350293517077987</v>
      </c>
      <c r="AR39" s="18">
        <f t="shared" si="33"/>
        <v>0.1395044425811878</v>
      </c>
      <c r="AS39" s="18">
        <f t="shared" si="35"/>
        <v>1.2356797580822974E-3</v>
      </c>
      <c r="AW39" s="18" t="s">
        <v>2721</v>
      </c>
      <c r="AX39" s="18">
        <f>SUMPRODUCT(($B$9:$B$822&gt;=1971)*($B$9:$B$822&lt;1986))</f>
        <v>180</v>
      </c>
      <c r="AY39" s="25">
        <f>SUMPRODUCT(($B$9:$B$822&gt;=1971)*($B$9:$B$822&lt;1986)*$C$9:$C$822)/AX39</f>
        <v>-1.0926297732496419E-2</v>
      </c>
      <c r="AZ39" s="25">
        <f>SQRT((SUMPRODUCT(($B$9:$B$822&gt;=1971)*($B$9:$B$822&lt;1986)*$D$9:$D$822)-AX39*AY39^2)/(AX39-1))</f>
        <v>0.1157785330041939</v>
      </c>
      <c r="BA39" s="20">
        <f t="shared" si="36"/>
        <v>0.94834459418540717</v>
      </c>
    </row>
    <row r="40" spans="1:54">
      <c r="A40" s="18" t="str">
        <f>IF(Volcanic!A40="","",Volcanic!A40)</f>
        <v>5/1961</v>
      </c>
      <c r="B40" s="18">
        <f>IF(ISNUMBER(Volcanic!L40),Volcanic!L40,"")</f>
        <v>1961.375</v>
      </c>
      <c r="C40" s="18">
        <f>IF(ISNUMBER(Volcanic!J40),Volcanic!J40,"")</f>
        <v>0.15443393951112516</v>
      </c>
      <c r="D40" s="18">
        <f t="shared" si="0"/>
        <v>2.3849841672925864E-2</v>
      </c>
      <c r="E40" s="18">
        <f>IF(ISNUMBER(Volcanic!C40),Volcanic!C40,"")</f>
        <v>0.1952575958242399</v>
      </c>
      <c r="F40" s="18">
        <f>IF(ISNUMBER(Volcanic!D40),Volcanic!D40,"")</f>
        <v>0.03</v>
      </c>
      <c r="G40" s="18">
        <f>IF(ISNUMBER(Volcanic!E40),Volcanic!E40,"")</f>
        <v>4.3099999999999996E-3</v>
      </c>
      <c r="H40" s="18">
        <f t="shared" si="1"/>
        <v>3.8125528727062229E-2</v>
      </c>
      <c r="I40" s="18">
        <f t="shared" si="2"/>
        <v>8.9999999999999998E-4</v>
      </c>
      <c r="J40" s="18">
        <f t="shared" si="3"/>
        <v>1.8576099999999997E-5</v>
      </c>
      <c r="K40" s="18">
        <f t="shared" si="4"/>
        <v>5.857727874727197E-3</v>
      </c>
      <c r="L40" s="18">
        <f t="shared" si="5"/>
        <v>8.4156023800247394E-4</v>
      </c>
      <c r="M40" s="18">
        <f t="shared" si="6"/>
        <v>1.2929999999999997E-4</v>
      </c>
      <c r="N40" s="18">
        <f t="shared" si="9"/>
        <v>3.2612219414891279E-2</v>
      </c>
      <c r="O40" s="18">
        <f t="shared" si="14"/>
        <v>2.5137039784252517E-2</v>
      </c>
      <c r="P40" s="18">
        <f t="shared" si="16"/>
        <v>7.2208624904408644E-2</v>
      </c>
      <c r="Q40" s="18">
        <f t="shared" si="18"/>
        <v>2.0928348614989486E-2</v>
      </c>
      <c r="R40" s="18">
        <f t="shared" si="20"/>
        <v>6.918395105891148E-2</v>
      </c>
      <c r="S40" s="18">
        <f t="shared" si="22"/>
        <v>3.4183682489615603E-4</v>
      </c>
      <c r="T40" s="18">
        <f t="shared" si="25"/>
        <v>3.2077099881515539E-2</v>
      </c>
      <c r="U40" s="18">
        <f t="shared" si="27"/>
        <v>3.4575218852214609E-2</v>
      </c>
      <c r="V40" s="18">
        <f t="shared" si="28"/>
        <v>1.2305977769438092E-2</v>
      </c>
      <c r="W40" s="18">
        <f t="shared" si="29"/>
        <v>1.1692880651533949E-4</v>
      </c>
      <c r="X40" s="18">
        <f t="shared" si="30"/>
        <v>1.625240086300513E-5</v>
      </c>
      <c r="Y40" s="18">
        <f t="shared" si="31"/>
        <v>1.4823606206999268E-3</v>
      </c>
      <c r="AA40" s="18">
        <f t="shared" si="10"/>
        <v>6.3633619073784856E-2</v>
      </c>
      <c r="AB40" s="18">
        <f t="shared" si="11"/>
        <v>4.0492374764275561E-3</v>
      </c>
      <c r="AC40" s="18">
        <f t="shared" si="15"/>
        <v>1.0174943760649934E-2</v>
      </c>
      <c r="AD40" s="18">
        <f t="shared" si="17"/>
        <v>5.4921457221231357E-4</v>
      </c>
      <c r="AE40" s="18">
        <f t="shared" si="19"/>
        <v>3.840740321958086E-2</v>
      </c>
      <c r="AF40" s="18">
        <f t="shared" si="21"/>
        <v>1.5413360462448246E-4</v>
      </c>
      <c r="AG40" s="18">
        <f t="shared" si="23"/>
        <v>7.4160713650004192E-2</v>
      </c>
      <c r="AH40" s="18">
        <f t="shared" si="26"/>
        <v>1.1781174237537306E-2</v>
      </c>
      <c r="AJ40" s="18">
        <f>IF(ISNUMBER(Kernel!M40),Kernel!M40,"")</f>
        <v>0.13642756459420635</v>
      </c>
      <c r="AK40" s="18">
        <f t="shared" si="7"/>
        <v>1.8612480381106345E-2</v>
      </c>
      <c r="AM40" s="18">
        <f>IF(ISNUMBER(Forcing!Q40),Forcing!Q40^2,"")</f>
        <v>2.126474566102344E-4</v>
      </c>
      <c r="AN40" s="18">
        <f>IF(ISNUMBER(Volcanic!G40),Volcanic!G40,"")</f>
        <v>3.8899999999999998E-3</v>
      </c>
      <c r="AO40" s="18">
        <f t="shared" si="34"/>
        <v>5.0057806779677952E-3</v>
      </c>
      <c r="AP40" s="18">
        <f>IF(ISNUMBER(Annual!H40),Annual!H40^2,"")</f>
        <v>5.4780098330707799E-4</v>
      </c>
      <c r="AQ40" s="18">
        <f>IF(ISNUMBER(Annual!E40),Annual!E40,"")</f>
        <v>0.37800252302471615</v>
      </c>
      <c r="AR40" s="18">
        <f t="shared" si="33"/>
        <v>0.14288590741305107</v>
      </c>
      <c r="AS40" s="18">
        <f t="shared" si="35"/>
        <v>9.5235283477470151E-3</v>
      </c>
      <c r="AW40" s="18" t="s">
        <v>2722</v>
      </c>
      <c r="AX40" s="18">
        <f>SUMPRODUCT(($B$9:$B$822&gt;=1986)*($B$9:$B$822&lt;2001))</f>
        <v>180</v>
      </c>
      <c r="AY40" s="25">
        <f>SUMPRODUCT(($B$9:$B$822&gt;=1986)*($B$9:$B$822&lt;2001)*$C$9:$C$822)/AX40</f>
        <v>-1.2488293591468433E-2</v>
      </c>
      <c r="AZ40" s="25">
        <f>SQRT((SUMPRODUCT(($B$9:$B$822&gt;=1986)*($B$9:$B$822&lt;2001)*$D$9:$D$822)-AX40*AY40^2)/(AX40-1))</f>
        <v>0.11517493185057971</v>
      </c>
      <c r="BA40" s="20">
        <f t="shared" si="36"/>
        <v>0.94340048342306626</v>
      </c>
    </row>
    <row r="41" spans="1:54">
      <c r="A41" s="18" t="str">
        <f>IF(Volcanic!A41="","",Volcanic!A41)</f>
        <v>6/1961</v>
      </c>
      <c r="B41" s="18">
        <f>IF(ISNUMBER(Volcanic!L41),Volcanic!L41,"")</f>
        <v>1961.4583333333333</v>
      </c>
      <c r="C41" s="18">
        <f>IF(ISNUMBER(Volcanic!J41),Volcanic!J41,"")</f>
        <v>0.15606844636030207</v>
      </c>
      <c r="D41" s="18">
        <f t="shared" si="0"/>
        <v>2.4357359949318483E-2</v>
      </c>
      <c r="E41" s="18">
        <f>IF(ISNUMBER(Volcanic!C41),Volcanic!C41,"")</f>
        <v>0.19160776805384336</v>
      </c>
      <c r="F41" s="18">
        <f>IF(ISNUMBER(Volcanic!D41),Volcanic!D41,"")</f>
        <v>0.01</v>
      </c>
      <c r="G41" s="18">
        <f>IF(ISNUMBER(Volcanic!E41),Volcanic!E41,"")</f>
        <v>4.2300000000000003E-3</v>
      </c>
      <c r="H41" s="18">
        <f t="shared" si="1"/>
        <v>3.6713536778575438E-2</v>
      </c>
      <c r="I41" s="18">
        <f t="shared" si="2"/>
        <v>1E-4</v>
      </c>
      <c r="J41" s="18">
        <f t="shared" si="3"/>
        <v>1.7892900000000003E-5</v>
      </c>
      <c r="K41" s="18">
        <f t="shared" si="4"/>
        <v>1.9160776805384335E-3</v>
      </c>
      <c r="L41" s="18">
        <f t="shared" si="5"/>
        <v>8.1050085886775743E-4</v>
      </c>
      <c r="M41" s="18">
        <f t="shared" si="6"/>
        <v>4.2300000000000005E-5</v>
      </c>
      <c r="N41" s="18">
        <f t="shared" si="9"/>
        <v>2.3849841672925864E-2</v>
      </c>
      <c r="O41" s="18">
        <f t="shared" si="14"/>
        <v>3.2612219414891279E-2</v>
      </c>
      <c r="P41" s="18">
        <f t="shared" si="16"/>
        <v>2.5137039784252517E-2</v>
      </c>
      <c r="Q41" s="18">
        <f t="shared" si="18"/>
        <v>7.2208624904408644E-2</v>
      </c>
      <c r="R41" s="18">
        <f t="shared" si="20"/>
        <v>2.0928348614989486E-2</v>
      </c>
      <c r="S41" s="18">
        <f t="shared" si="22"/>
        <v>6.918395105891148E-2</v>
      </c>
      <c r="T41" s="18">
        <f t="shared" si="25"/>
        <v>3.4183682489615603E-4</v>
      </c>
      <c r="U41" s="18">
        <f t="shared" si="27"/>
        <v>3.2077099881515539E-2</v>
      </c>
      <c r="V41" s="18">
        <f t="shared" si="28"/>
        <v>3.4575218852214609E-2</v>
      </c>
      <c r="W41" s="18">
        <f t="shared" si="29"/>
        <v>1.2305977769438092E-2</v>
      </c>
      <c r="X41" s="18">
        <f t="shared" si="30"/>
        <v>1.1692880651533949E-4</v>
      </c>
      <c r="Y41" s="18">
        <f t="shared" si="31"/>
        <v>1.625240086300513E-5</v>
      </c>
      <c r="AA41" s="18">
        <f t="shared" si="10"/>
        <v>7.8418715722061993E-2</v>
      </c>
      <c r="AB41" s="18">
        <f t="shared" si="11"/>
        <v>6.1494949754975726E-3</v>
      </c>
      <c r="AC41" s="18">
        <f t="shared" si="15"/>
        <v>4.0492374764275561E-3</v>
      </c>
      <c r="AD41" s="18">
        <f t="shared" si="17"/>
        <v>1.0174943760649934E-2</v>
      </c>
      <c r="AE41" s="18">
        <f t="shared" si="19"/>
        <v>5.4921457221231357E-4</v>
      </c>
      <c r="AF41" s="18">
        <f t="shared" si="21"/>
        <v>3.840740321958086E-2</v>
      </c>
      <c r="AG41" s="18">
        <f t="shared" si="23"/>
        <v>1.5413360462448246E-4</v>
      </c>
      <c r="AH41" s="18">
        <f t="shared" si="26"/>
        <v>7.4160713650004192E-2</v>
      </c>
      <c r="AJ41" s="18">
        <f>IF(ISNUMBER(Kernel!M41),Kernel!M41,"")</f>
        <v>0.13291646582689873</v>
      </c>
      <c r="AK41" s="18">
        <f t="shared" si="7"/>
        <v>1.7666786887913136E-2</v>
      </c>
      <c r="AM41" s="18">
        <f>IF(ISNUMBER(Forcing!Q41),Forcing!Q41^2,"")</f>
        <v>2.7265613237578766E-3</v>
      </c>
      <c r="AN41" s="18">
        <f>IF(ISNUMBER(Volcanic!G41),Volcanic!G41,"")</f>
        <v>3.96E-3</v>
      </c>
      <c r="AO41" s="18">
        <f t="shared" si="34"/>
        <v>2.126474566102344E-4</v>
      </c>
      <c r="AP41" s="18">
        <f>IF(ISNUMBER(Annual!H41),Annual!H41^2,"")</f>
        <v>1.7680968877796098E-2</v>
      </c>
      <c r="AQ41" s="18">
        <f>IF(ISNUMBER(Annual!E41),Annual!E41,"")</f>
        <v>0.3897083812206969</v>
      </c>
      <c r="AR41" s="18">
        <f t="shared" si="33"/>
        <v>0.15187262239365601</v>
      </c>
      <c r="AS41" s="18">
        <f t="shared" si="35"/>
        <v>5.4780098330707799E-4</v>
      </c>
      <c r="AW41" s="18" t="s">
        <v>2723</v>
      </c>
      <c r="AX41" s="18">
        <f>SUMPRODUCT(($B$9:$B$822&gt;=2001)*($B$9:$B$822&lt;2016))</f>
        <v>180</v>
      </c>
      <c r="AY41" s="25">
        <f>SUMPRODUCT(($B$9:$B$822&gt;=2001)*($B$9:$B$822&lt;2016)*$C$9:$C$822)/AX41</f>
        <v>-3.0619724088058888E-2</v>
      </c>
      <c r="AZ41" s="25">
        <f>SQRT((SUMPRODUCT(($B$9:$B$822&gt;=2001)*($B$9:$B$822&lt;2016)*$D$9:$D$822)-AX41*AY41^2)/(AX41-1))</f>
        <v>0.11121253680831546</v>
      </c>
      <c r="BA41" s="20">
        <f t="shared" si="36"/>
        <v>0.9109444156110631</v>
      </c>
    </row>
    <row r="42" spans="1:54">
      <c r="A42" s="18" t="str">
        <f>IF(Volcanic!A42="","",Volcanic!A42)</f>
        <v>7/1961</v>
      </c>
      <c r="B42" s="18">
        <f>IF(ISNUMBER(Volcanic!L42),Volcanic!L42,"")</f>
        <v>1961.5416666666667</v>
      </c>
      <c r="C42" s="18">
        <f>IF(ISNUMBER(Volcanic!J42),Volcanic!J42,"")</f>
        <v>6.7032178435184664E-2</v>
      </c>
      <c r="D42" s="18">
        <f t="shared" si="0"/>
        <v>4.4933129457664358E-3</v>
      </c>
      <c r="E42" s="18">
        <f>IF(ISNUMBER(Volcanic!C42),Volcanic!C42,"")</f>
        <v>0.18613829900081141</v>
      </c>
      <c r="F42" s="18">
        <f>IF(ISNUMBER(Volcanic!D42),Volcanic!D42,"")</f>
        <v>0.05</v>
      </c>
      <c r="G42" s="18">
        <f>IF(ISNUMBER(Volcanic!E42),Volcanic!E42,"")</f>
        <v>4.1200000000000004E-3</v>
      </c>
      <c r="H42" s="18">
        <f t="shared" si="1"/>
        <v>3.4647466354915474E-2</v>
      </c>
      <c r="I42" s="18">
        <f t="shared" si="2"/>
        <v>2.5000000000000005E-3</v>
      </c>
      <c r="J42" s="18">
        <f t="shared" si="3"/>
        <v>1.6974400000000005E-5</v>
      </c>
      <c r="K42" s="18">
        <f t="shared" si="4"/>
        <v>9.3069149500405717E-3</v>
      </c>
      <c r="L42" s="18">
        <f t="shared" si="5"/>
        <v>7.6688979188334306E-4</v>
      </c>
      <c r="M42" s="18">
        <f t="shared" si="6"/>
        <v>2.0600000000000002E-4</v>
      </c>
      <c r="N42" s="18">
        <f t="shared" si="9"/>
        <v>2.4357359949318483E-2</v>
      </c>
      <c r="O42" s="18">
        <f t="shared" si="14"/>
        <v>2.3849841672925864E-2</v>
      </c>
      <c r="P42" s="18">
        <f t="shared" si="16"/>
        <v>3.2612219414891279E-2</v>
      </c>
      <c r="Q42" s="18">
        <f t="shared" si="18"/>
        <v>2.5137039784252517E-2</v>
      </c>
      <c r="R42" s="18">
        <f t="shared" si="20"/>
        <v>7.2208624904408644E-2</v>
      </c>
      <c r="S42" s="18">
        <f t="shared" si="22"/>
        <v>2.0928348614989486E-2</v>
      </c>
      <c r="T42" s="18">
        <f t="shared" si="25"/>
        <v>6.918395105891148E-2</v>
      </c>
      <c r="U42" s="18">
        <f t="shared" si="27"/>
        <v>3.4183682489615603E-4</v>
      </c>
      <c r="V42" s="18">
        <f t="shared" si="28"/>
        <v>3.2077099881515539E-2</v>
      </c>
      <c r="W42" s="18">
        <f t="shared" si="29"/>
        <v>3.4575218852214609E-2</v>
      </c>
      <c r="X42" s="18">
        <f t="shared" si="30"/>
        <v>1.2305977769438092E-2</v>
      </c>
      <c r="Y42" s="18">
        <f t="shared" si="31"/>
        <v>1.1692880651533949E-4</v>
      </c>
      <c r="AA42" s="18">
        <f t="shared" si="10"/>
        <v>-1.1439385907270422E-2</v>
      </c>
      <c r="AB42" s="18">
        <f t="shared" si="11"/>
        <v>1.3085954993545713E-4</v>
      </c>
      <c r="AC42" s="18">
        <f t="shared" si="15"/>
        <v>6.1494949754975726E-3</v>
      </c>
      <c r="AD42" s="18">
        <f t="shared" si="17"/>
        <v>4.0492374764275561E-3</v>
      </c>
      <c r="AE42" s="18">
        <f t="shared" si="19"/>
        <v>1.0174943760649934E-2</v>
      </c>
      <c r="AF42" s="18">
        <f t="shared" si="21"/>
        <v>5.4921457221231357E-4</v>
      </c>
      <c r="AG42" s="18">
        <f t="shared" si="23"/>
        <v>3.840740321958086E-2</v>
      </c>
      <c r="AH42" s="18">
        <f t="shared" si="26"/>
        <v>1.5413360462448246E-4</v>
      </c>
      <c r="AJ42" s="18">
        <f>IF(ISNUMBER(Kernel!M42),Kernel!M42,"")</f>
        <v>4.789713423127178E-2</v>
      </c>
      <c r="AK42" s="18">
        <f t="shared" si="7"/>
        <v>2.2941354675684671E-3</v>
      </c>
      <c r="AM42" s="18">
        <f>IF(ISNUMBER(Forcing!Q42),Forcing!Q42^2,"")</f>
        <v>1.1287606279477237E-3</v>
      </c>
      <c r="AN42" s="18">
        <f>IF(ISNUMBER(Volcanic!G42),Volcanic!G42,"")</f>
        <v>4.0499999999999998E-3</v>
      </c>
      <c r="AO42" s="18">
        <f t="shared" si="34"/>
        <v>2.7265613237578766E-3</v>
      </c>
      <c r="AP42" s="18">
        <f>IF(ISNUMBER(Annual!H42),Annual!H42^2,"")</f>
        <v>1.2538315972472789E-2</v>
      </c>
      <c r="AQ42" s="18">
        <f>IF(ISNUMBER(Annual!E42),Annual!E42,"")</f>
        <v>0.3963732865394658</v>
      </c>
      <c r="AR42" s="18">
        <f t="shared" si="33"/>
        <v>0.15711178228209746</v>
      </c>
      <c r="AS42" s="18">
        <f t="shared" si="35"/>
        <v>1.7680968877796098E-2</v>
      </c>
      <c r="AW42" s="18" t="s">
        <v>2724</v>
      </c>
      <c r="AX42" s="18">
        <f>SUMPRODUCT(--($B$9:$B$822&gt;=2016))</f>
        <v>127</v>
      </c>
      <c r="AY42" s="25">
        <f>SUMPRODUCT(($B$9:$B$822&gt;=2016)*$C$9:$C$822)/AX42</f>
        <v>4.390047237827753E-2</v>
      </c>
      <c r="AZ42" s="25">
        <f>SQRT((SUMPRODUCT(($B$9:$B$822&gt;=2016)*$D$9:$D$822)-AX42*AY42^2)/(AX42-1))</f>
        <v>0.13877616950535984</v>
      </c>
      <c r="BA42" s="20">
        <f t="shared" si="36"/>
        <v>1.1367187572449073</v>
      </c>
      <c r="BB42" s="6" t="s">
        <v>2725</v>
      </c>
    </row>
    <row r="43" spans="1:54">
      <c r="A43" s="18" t="str">
        <f>IF(Volcanic!A43="","",Volcanic!A43)</f>
        <v>8/1961</v>
      </c>
      <c r="B43" s="18">
        <f>IF(ISNUMBER(Volcanic!L43),Volcanic!L43,"")</f>
        <v>1961.625</v>
      </c>
      <c r="C43" s="18">
        <f>IF(ISNUMBER(Volcanic!J43),Volcanic!J43,"")</f>
        <v>7.2960942808108248E-2</v>
      </c>
      <c r="D43" s="18">
        <f t="shared" si="0"/>
        <v>5.3232991754480425E-3</v>
      </c>
      <c r="E43" s="18">
        <f>IF(ISNUMBER(Volcanic!C43),Volcanic!C43,"")</f>
        <v>0.17809996791233229</v>
      </c>
      <c r="F43" s="18">
        <f>IF(ISNUMBER(Volcanic!D43),Volcanic!D43,"")</f>
        <v>0.22</v>
      </c>
      <c r="G43" s="18">
        <f>IF(ISNUMBER(Volcanic!E43),Volcanic!E43,"")</f>
        <v>4.0200000000000001E-3</v>
      </c>
      <c r="H43" s="18">
        <f t="shared" si="1"/>
        <v>3.1719598570373791E-2</v>
      </c>
      <c r="I43" s="18">
        <f t="shared" si="2"/>
        <v>4.8399999999999999E-2</v>
      </c>
      <c r="J43" s="18">
        <f t="shared" si="3"/>
        <v>1.6160400000000002E-5</v>
      </c>
      <c r="K43" s="18">
        <f t="shared" si="4"/>
        <v>3.9181992940713103E-2</v>
      </c>
      <c r="L43" s="18">
        <f t="shared" si="5"/>
        <v>7.1596187100757584E-4</v>
      </c>
      <c r="M43" s="18">
        <f t="shared" si="6"/>
        <v>8.8440000000000003E-4</v>
      </c>
      <c r="N43" s="18">
        <f t="shared" si="9"/>
        <v>4.4933129457664358E-3</v>
      </c>
      <c r="O43" s="18">
        <f t="shared" si="14"/>
        <v>2.4357359949318483E-2</v>
      </c>
      <c r="P43" s="18">
        <f t="shared" si="16"/>
        <v>2.3849841672925864E-2</v>
      </c>
      <c r="Q43" s="18">
        <f t="shared" si="18"/>
        <v>3.2612219414891279E-2</v>
      </c>
      <c r="R43" s="18">
        <f t="shared" si="20"/>
        <v>2.5137039784252517E-2</v>
      </c>
      <c r="S43" s="18">
        <f t="shared" si="22"/>
        <v>7.2208624904408644E-2</v>
      </c>
      <c r="T43" s="18">
        <f t="shared" si="25"/>
        <v>2.0928348614989486E-2</v>
      </c>
      <c r="U43" s="18">
        <f t="shared" si="27"/>
        <v>6.918395105891148E-2</v>
      </c>
      <c r="V43" s="18">
        <f t="shared" si="28"/>
        <v>3.4183682489615603E-4</v>
      </c>
      <c r="W43" s="18">
        <f t="shared" si="29"/>
        <v>3.2077099881515539E-2</v>
      </c>
      <c r="X43" s="18">
        <f t="shared" si="30"/>
        <v>3.4575218852214609E-2</v>
      </c>
      <c r="Y43" s="18">
        <f t="shared" si="31"/>
        <v>1.2305977769438092E-2</v>
      </c>
      <c r="AA43" s="18">
        <f t="shared" si="10"/>
        <v>3.9257013373532289E-2</v>
      </c>
      <c r="AB43" s="18">
        <f t="shared" si="11"/>
        <v>1.541113099009693E-3</v>
      </c>
      <c r="AC43" s="18">
        <f t="shared" si="15"/>
        <v>1.3085954993545713E-4</v>
      </c>
      <c r="AD43" s="18">
        <f t="shared" si="17"/>
        <v>6.1494949754975726E-3</v>
      </c>
      <c r="AE43" s="18">
        <f t="shared" si="19"/>
        <v>4.0492374764275561E-3</v>
      </c>
      <c r="AF43" s="18">
        <f t="shared" si="21"/>
        <v>1.0174943760649934E-2</v>
      </c>
      <c r="AG43" s="18">
        <f t="shared" si="23"/>
        <v>5.4921457221231357E-4</v>
      </c>
      <c r="AH43" s="18">
        <f t="shared" si="26"/>
        <v>3.840740321958086E-2</v>
      </c>
      <c r="AJ43" s="18">
        <f>IF(ISNUMBER(Kernel!M43),Kernel!M43,"")</f>
        <v>7.5885344249896597E-2</v>
      </c>
      <c r="AK43" s="18">
        <f t="shared" si="7"/>
        <v>5.7585854719253149E-3</v>
      </c>
      <c r="AM43" s="18">
        <f>IF(ISNUMBER(Forcing!Q43),Forcing!Q43^2,"")</f>
        <v>4.0561588921691847E-3</v>
      </c>
      <c r="AN43" s="18">
        <f>IF(ISNUMBER(Volcanic!G43),Volcanic!G43,"")</f>
        <v>4.15E-3</v>
      </c>
      <c r="AO43" s="18">
        <f t="shared" si="34"/>
        <v>1.1287606279477237E-3</v>
      </c>
      <c r="AP43" s="18">
        <f>IF(ISNUMBER(Annual!H43),Annual!H43^2,"")</f>
        <v>1.2921946426305283E-2</v>
      </c>
      <c r="AQ43" s="18">
        <f>IF(ISNUMBER(Annual!E43),Annual!E43,"")</f>
        <v>0.400943554731721</v>
      </c>
      <c r="AR43" s="18">
        <f t="shared" si="33"/>
        <v>0.16075573408090854</v>
      </c>
      <c r="AS43" s="18">
        <f t="shared" si="35"/>
        <v>1.2538315972472789E-2</v>
      </c>
      <c r="AW43" s="17" t="s">
        <v>2726</v>
      </c>
      <c r="AX43" s="18">
        <f>COUNT($C$9:$C$822)</f>
        <v>814</v>
      </c>
      <c r="AY43" s="25">
        <f>AVERAGE($C$9:$C$822)</f>
        <v>-7.7088212962916273E-16</v>
      </c>
      <c r="AZ43" s="25">
        <f>SQRT((SUM($D$9:$D$822)-AX43*AY43^2)/(AX43-1))</f>
        <v>0.1220848768623428</v>
      </c>
      <c r="BA43" s="20">
        <f t="shared" si="36"/>
        <v>1</v>
      </c>
    </row>
    <row r="44" spans="1:54">
      <c r="A44" s="18" t="str">
        <f>IF(Volcanic!A44="","",Volcanic!A44)</f>
        <v>9/1961</v>
      </c>
      <c r="B44" s="18">
        <f>IF(ISNUMBER(Volcanic!L44),Volcanic!L44,"")</f>
        <v>1961.7083333333333</v>
      </c>
      <c r="C44" s="18">
        <f>IF(ISNUMBER(Volcanic!J44),Volcanic!J44,"")</f>
        <v>0.16509642979198558</v>
      </c>
      <c r="D44" s="18">
        <f t="shared" si="0"/>
        <v>2.7256831130060024E-2</v>
      </c>
      <c r="E44" s="18">
        <f>IF(ISNUMBER(Volcanic!C44),Volcanic!C44,"")</f>
        <v>0.16987920087274735</v>
      </c>
      <c r="F44" s="18">
        <f>IF(ISNUMBER(Volcanic!D44),Volcanic!D44,"")</f>
        <v>0.22</v>
      </c>
      <c r="G44" s="18">
        <f>IF(ISNUMBER(Volcanic!E44),Volcanic!E44,"")</f>
        <v>3.8899999999999998E-3</v>
      </c>
      <c r="H44" s="18">
        <f t="shared" si="1"/>
        <v>2.8858942889163245E-2</v>
      </c>
      <c r="I44" s="18">
        <f t="shared" si="2"/>
        <v>4.8399999999999999E-2</v>
      </c>
      <c r="J44" s="18">
        <f t="shared" si="3"/>
        <v>1.5132099999999999E-5</v>
      </c>
      <c r="K44" s="18">
        <f t="shared" si="4"/>
        <v>3.7373424192004422E-2</v>
      </c>
      <c r="L44" s="18">
        <f t="shared" si="5"/>
        <v>6.6083009139498723E-4</v>
      </c>
      <c r="M44" s="18">
        <f t="shared" si="6"/>
        <v>8.5579999999999999E-4</v>
      </c>
      <c r="N44" s="18">
        <f t="shared" si="9"/>
        <v>5.3232991754480425E-3</v>
      </c>
      <c r="O44" s="18">
        <f t="shared" si="14"/>
        <v>4.4933129457664358E-3</v>
      </c>
      <c r="P44" s="18">
        <f t="shared" si="16"/>
        <v>2.4357359949318483E-2</v>
      </c>
      <c r="Q44" s="18">
        <f t="shared" si="18"/>
        <v>2.3849841672925864E-2</v>
      </c>
      <c r="R44" s="18">
        <f t="shared" si="20"/>
        <v>3.2612219414891279E-2</v>
      </c>
      <c r="S44" s="18">
        <f t="shared" si="22"/>
        <v>2.5137039784252517E-2</v>
      </c>
      <c r="T44" s="18">
        <f t="shared" si="25"/>
        <v>7.2208624904408644E-2</v>
      </c>
      <c r="U44" s="18">
        <f t="shared" si="27"/>
        <v>2.0928348614989486E-2</v>
      </c>
      <c r="V44" s="18">
        <f t="shared" si="28"/>
        <v>6.918395105891148E-2</v>
      </c>
      <c r="W44" s="18">
        <f t="shared" si="29"/>
        <v>3.4183682489615603E-4</v>
      </c>
      <c r="X44" s="18">
        <f t="shared" si="30"/>
        <v>3.2077099881515539E-2</v>
      </c>
      <c r="Y44" s="18">
        <f t="shared" si="31"/>
        <v>3.4575218852214609E-2</v>
      </c>
      <c r="AA44" s="18">
        <f t="shared" si="10"/>
        <v>0.12841150435334184</v>
      </c>
      <c r="AB44" s="18">
        <f t="shared" si="11"/>
        <v>1.6489514450288331E-2</v>
      </c>
      <c r="AC44" s="18">
        <f t="shared" si="15"/>
        <v>1.541113099009693E-3</v>
      </c>
      <c r="AD44" s="18">
        <f t="shared" si="17"/>
        <v>1.3085954993545713E-4</v>
      </c>
      <c r="AE44" s="18">
        <f t="shared" si="19"/>
        <v>6.1494949754975726E-3</v>
      </c>
      <c r="AF44" s="18">
        <f t="shared" si="21"/>
        <v>4.0492374764275561E-3</v>
      </c>
      <c r="AG44" s="18">
        <f t="shared" si="23"/>
        <v>1.0174943760649934E-2</v>
      </c>
      <c r="AH44" s="18">
        <f t="shared" si="26"/>
        <v>5.4921457221231357E-4</v>
      </c>
      <c r="AJ44" s="18">
        <f>IF(ISNUMBER(Kernel!M44),Kernel!M44,"")</f>
        <v>0.17602509098985059</v>
      </c>
      <c r="AK44" s="18">
        <f t="shared" si="7"/>
        <v>3.0984832657985177E-2</v>
      </c>
      <c r="AM44" s="18">
        <f>IF(ISNUMBER(Forcing!Q44),Forcing!Q44^2,"")</f>
        <v>8.0130942563663262E-5</v>
      </c>
      <c r="AN44" s="18">
        <f>IF(ISNUMBER(Volcanic!G44),Volcanic!G44,"")</f>
        <v>4.2199999999999998E-3</v>
      </c>
      <c r="AO44" s="18">
        <f t="shared" si="34"/>
        <v>4.0561588921691847E-3</v>
      </c>
      <c r="AP44" s="18">
        <f>IF(ISNUMBER(Annual!H44),Annual!H44^2,"")</f>
        <v>8.3255816866710994E-5</v>
      </c>
      <c r="AQ44" s="18">
        <f>IF(ISNUMBER(Annual!E44),Annual!E44,"")</f>
        <v>0.40721575059890908</v>
      </c>
      <c r="AR44" s="18">
        <f t="shared" si="33"/>
        <v>0.16582466753583291</v>
      </c>
      <c r="AS44" s="18">
        <f t="shared" si="35"/>
        <v>1.2921946426305283E-2</v>
      </c>
      <c r="AW44" s="18" t="s">
        <v>2727</v>
      </c>
      <c r="AX44" s="18">
        <f>SUMPRODUCT(ISNUMBER($AN$9:$AN$822)*($AN$9:$AN$822&gt;0.01))</f>
        <v>227</v>
      </c>
      <c r="AY44" s="25">
        <f>SUMPRODUCT(ISNUMBER($AN$9:$AN$822)*($AN$9:$AN$822&gt;0.01)*$C$9:$C$822)/AX44</f>
        <v>1.222891546953042E-2</v>
      </c>
      <c r="AZ44" s="25">
        <f>SQRT((SUMPRODUCT(ISNUMBER($AN$9:$AN$822)*($AN$9:$AN$822&gt;0.01)*$D$9:$D$822)-AX44*AY44^2)/(AX44-1))</f>
        <v>0.13253438755382224</v>
      </c>
      <c r="BA44" s="20">
        <f t="shared" si="36"/>
        <v>1.0855921794741359</v>
      </c>
    </row>
    <row r="45" spans="1:54">
      <c r="A45" s="18" t="str">
        <f>IF(Volcanic!A45="","",Volcanic!A45)</f>
        <v>10/1961</v>
      </c>
      <c r="B45" s="18">
        <f>IF(ISNUMBER(Volcanic!L45),Volcanic!L45,"")</f>
        <v>1961.7916666666667</v>
      </c>
      <c r="C45" s="18">
        <f>IF(ISNUMBER(Volcanic!J45),Volcanic!J45,"")</f>
        <v>9.3938307910192337E-2</v>
      </c>
      <c r="D45" s="18">
        <f t="shared" si="0"/>
        <v>8.8244056930301042E-3</v>
      </c>
      <c r="E45" s="18">
        <f>IF(ISNUMBER(Volcanic!C45),Volcanic!C45,"")</f>
        <v>0.17134409839059492</v>
      </c>
      <c r="F45" s="18">
        <f>IF(ISNUMBER(Volcanic!D45),Volcanic!D45,"")</f>
        <v>0.08</v>
      </c>
      <c r="G45" s="18">
        <f>IF(ISNUMBER(Volcanic!E45),Volcanic!E45,"")</f>
        <v>3.82E-3</v>
      </c>
      <c r="H45" s="18">
        <f t="shared" si="1"/>
        <v>2.9358800053285873E-2</v>
      </c>
      <c r="I45" s="18">
        <f t="shared" si="2"/>
        <v>6.4000000000000003E-3</v>
      </c>
      <c r="J45" s="18">
        <f t="shared" si="3"/>
        <v>1.4592400000000001E-5</v>
      </c>
      <c r="K45" s="18">
        <f t="shared" si="4"/>
        <v>1.3707527871247594E-2</v>
      </c>
      <c r="L45" s="18">
        <f t="shared" si="5"/>
        <v>6.5453445585207258E-4</v>
      </c>
      <c r="M45" s="18">
        <f t="shared" si="6"/>
        <v>3.056E-4</v>
      </c>
      <c r="N45" s="18">
        <f t="shared" si="9"/>
        <v>2.7256831130060024E-2</v>
      </c>
      <c r="O45" s="18">
        <f t="shared" si="14"/>
        <v>5.3232991754480425E-3</v>
      </c>
      <c r="P45" s="18">
        <f t="shared" si="16"/>
        <v>4.4933129457664358E-3</v>
      </c>
      <c r="Q45" s="18">
        <f t="shared" si="18"/>
        <v>2.4357359949318483E-2</v>
      </c>
      <c r="R45" s="18">
        <f t="shared" si="20"/>
        <v>2.3849841672925864E-2</v>
      </c>
      <c r="S45" s="18">
        <f t="shared" si="22"/>
        <v>3.2612219414891279E-2</v>
      </c>
      <c r="T45" s="18">
        <f t="shared" si="25"/>
        <v>2.5137039784252517E-2</v>
      </c>
      <c r="U45" s="18">
        <f t="shared" si="27"/>
        <v>7.2208624904408644E-2</v>
      </c>
      <c r="V45" s="18">
        <f t="shared" si="28"/>
        <v>2.0928348614989486E-2</v>
      </c>
      <c r="W45" s="18">
        <f t="shared" si="29"/>
        <v>6.918395105891148E-2</v>
      </c>
      <c r="X45" s="18">
        <f t="shared" si="30"/>
        <v>3.4183682489615603E-4</v>
      </c>
      <c r="Y45" s="18">
        <f t="shared" si="31"/>
        <v>3.2077099881515539E-2</v>
      </c>
      <c r="AA45" s="18">
        <f t="shared" si="10"/>
        <v>1.0927453280279303E-2</v>
      </c>
      <c r="AB45" s="18">
        <f t="shared" si="11"/>
        <v>1.1940923519268691E-4</v>
      </c>
      <c r="AC45" s="18">
        <f t="shared" si="15"/>
        <v>1.6489514450288331E-2</v>
      </c>
      <c r="AD45" s="18">
        <f t="shared" si="17"/>
        <v>1.541113099009693E-3</v>
      </c>
      <c r="AE45" s="18">
        <f t="shared" si="19"/>
        <v>1.3085954993545713E-4</v>
      </c>
      <c r="AF45" s="18">
        <f t="shared" si="21"/>
        <v>6.1494949754975726E-3</v>
      </c>
      <c r="AG45" s="18">
        <f t="shared" si="23"/>
        <v>4.0492374764275561E-3</v>
      </c>
      <c r="AH45" s="18">
        <f t="shared" si="26"/>
        <v>1.0174943760649934E-2</v>
      </c>
      <c r="AJ45" s="18">
        <f>IF(ISNUMBER(Kernel!M45),Kernel!M45,"")</f>
        <v>9.6614706845572662E-2</v>
      </c>
      <c r="AK45" s="18">
        <f t="shared" si="7"/>
        <v>9.3344015788559449E-3</v>
      </c>
      <c r="AM45" s="18">
        <f>IF(ISNUMBER(Forcing!Q45),Forcing!Q45^2,"")</f>
        <v>3.489291012713551E-3</v>
      </c>
      <c r="AN45" s="18">
        <f>IF(ISNUMBER(Volcanic!G45),Volcanic!G45,"")</f>
        <v>4.3E-3</v>
      </c>
      <c r="AO45" s="18">
        <f t="shared" si="34"/>
        <v>8.0130942563663262E-5</v>
      </c>
      <c r="AP45" s="18">
        <f>IF(ISNUMBER(Annual!H45),Annual!H45^2,"")</f>
        <v>6.4991577718073327E-3</v>
      </c>
      <c r="AQ45" s="18">
        <f>IF(ISNUMBER(Annual!E45),Annual!E45,"")</f>
        <v>0.41548364377270341</v>
      </c>
      <c r="AR45" s="18">
        <f t="shared" si="33"/>
        <v>0.1726266582426427</v>
      </c>
      <c r="AS45" s="18">
        <f t="shared" si="35"/>
        <v>8.3255816866710994E-5</v>
      </c>
      <c r="AW45" s="18" t="s">
        <v>2728</v>
      </c>
      <c r="AX45" s="18">
        <f>SUMPRODUCT(ISNUMBER($AN$9:$AN$822)*($AN$9:$AN$822&lt;=0.01))</f>
        <v>580</v>
      </c>
      <c r="AY45" s="25">
        <f>SUMPRODUCT(ISNUMBER($AN$9:$AN$822)*($AN$9:$AN$822&lt;=0.01)*$C$9:$C$822)/AX45</f>
        <v>-6.2294560819330432E-3</v>
      </c>
      <c r="AZ45" s="25">
        <f>SQRT((SUMPRODUCT(ISNUMBER($AN$9:$AN$822)*($AN$9:$AN$822&lt;=0.01)*$D$9:$D$822)-AX45*AY45^2)/(AX45-1))</f>
        <v>0.11710856355534807</v>
      </c>
      <c r="BA45" s="20">
        <f t="shared" si="36"/>
        <v>0.95923890464659445</v>
      </c>
    </row>
    <row r="46" spans="1:54">
      <c r="A46" s="18" t="str">
        <f>IF(Volcanic!A46="","",Volcanic!A46)</f>
        <v>11/1961</v>
      </c>
      <c r="B46" s="18">
        <f>IF(ISNUMBER(Volcanic!L46),Volcanic!L46,"")</f>
        <v>1961.875</v>
      </c>
      <c r="C46" s="18">
        <f>IF(ISNUMBER(Volcanic!J46),Volcanic!J46,"")</f>
        <v>0.14014061625771956</v>
      </c>
      <c r="D46" s="18">
        <f t="shared" si="0"/>
        <v>1.9639392325093413E-2</v>
      </c>
      <c r="E46" s="18">
        <f>IF(ISNUMBER(Volcanic!C46),Volcanic!C46,"")</f>
        <v>0.17495420807216977</v>
      </c>
      <c r="F46" s="18">
        <f>IF(ISNUMBER(Volcanic!D46),Volcanic!D46,"")</f>
        <v>-0.2</v>
      </c>
      <c r="G46" s="18">
        <f>IF(ISNUMBER(Volcanic!E46),Volcanic!E46,"")</f>
        <v>3.8500000000000001E-3</v>
      </c>
      <c r="H46" s="18">
        <f t="shared" si="1"/>
        <v>3.0608974922160075E-2</v>
      </c>
      <c r="I46" s="18">
        <f t="shared" si="2"/>
        <v>4.0000000000000008E-2</v>
      </c>
      <c r="J46" s="18">
        <f t="shared" si="3"/>
        <v>1.4822500000000001E-5</v>
      </c>
      <c r="K46" s="18">
        <f t="shared" si="4"/>
        <v>-3.4990841614433957E-2</v>
      </c>
      <c r="L46" s="18">
        <f t="shared" si="5"/>
        <v>6.7357370107785366E-4</v>
      </c>
      <c r="M46" s="18">
        <f t="shared" si="6"/>
        <v>-7.7000000000000007E-4</v>
      </c>
      <c r="N46" s="18">
        <f t="shared" si="9"/>
        <v>8.8244056930301042E-3</v>
      </c>
      <c r="O46" s="18">
        <f t="shared" si="14"/>
        <v>2.7256831130060024E-2</v>
      </c>
      <c r="P46" s="18">
        <f t="shared" si="16"/>
        <v>5.3232991754480425E-3</v>
      </c>
      <c r="Q46" s="18">
        <f t="shared" si="18"/>
        <v>4.4933129457664358E-3</v>
      </c>
      <c r="R46" s="18">
        <f t="shared" si="20"/>
        <v>2.4357359949318483E-2</v>
      </c>
      <c r="S46" s="18">
        <f t="shared" si="22"/>
        <v>2.3849841672925864E-2</v>
      </c>
      <c r="T46" s="18">
        <f t="shared" si="25"/>
        <v>3.2612219414891279E-2</v>
      </c>
      <c r="U46" s="18">
        <f t="shared" si="27"/>
        <v>2.5137039784252517E-2</v>
      </c>
      <c r="V46" s="18">
        <f t="shared" si="28"/>
        <v>7.2208624904408644E-2</v>
      </c>
      <c r="W46" s="18">
        <f t="shared" si="29"/>
        <v>2.0928348614989486E-2</v>
      </c>
      <c r="X46" s="18">
        <f t="shared" si="30"/>
        <v>6.918395105891148E-2</v>
      </c>
      <c r="Y46" s="18">
        <f t="shared" si="31"/>
        <v>3.4183682489615603E-4</v>
      </c>
      <c r="AA46" s="18">
        <f t="shared" si="10"/>
        <v>9.2908224667313855E-2</v>
      </c>
      <c r="AB46" s="18">
        <f t="shared" si="11"/>
        <v>8.6319382108320658E-3</v>
      </c>
      <c r="AC46" s="18">
        <f t="shared" si="15"/>
        <v>1.1940923519268691E-4</v>
      </c>
      <c r="AD46" s="18">
        <f t="shared" si="17"/>
        <v>1.6489514450288331E-2</v>
      </c>
      <c r="AE46" s="18">
        <f t="shared" si="19"/>
        <v>1.541113099009693E-3</v>
      </c>
      <c r="AF46" s="18">
        <f t="shared" si="21"/>
        <v>1.3085954993545713E-4</v>
      </c>
      <c r="AG46" s="18">
        <f t="shared" si="23"/>
        <v>6.1494949754975726E-3</v>
      </c>
      <c r="AH46" s="18">
        <f t="shared" si="26"/>
        <v>4.0492374764275561E-3</v>
      </c>
      <c r="AJ46" s="18">
        <f>IF(ISNUMBER(Kernel!M46),Kernel!M46,"")</f>
        <v>0.11830196838607804</v>
      </c>
      <c r="AK46" s="18">
        <f t="shared" si="7"/>
        <v>1.3995355724020608E-2</v>
      </c>
      <c r="AM46" s="18">
        <f>IF(ISNUMBER(Forcing!Q46),Forcing!Q46^2,"")</f>
        <v>2.894945977766337E-4</v>
      </c>
      <c r="AN46" s="18">
        <f>IF(ISNUMBER(Volcanic!G46),Volcanic!G46,"")</f>
        <v>4.2199999999999998E-3</v>
      </c>
      <c r="AO46" s="18">
        <f t="shared" si="34"/>
        <v>3.489291012713551E-3</v>
      </c>
      <c r="AP46" s="18">
        <f>IF(ISNUMBER(Annual!H46),Annual!H46^2,"")</f>
        <v>1.8547319432949151E-3</v>
      </c>
      <c r="AQ46" s="18">
        <f>IF(ISNUMBER(Annual!E46),Annual!E46,"")</f>
        <v>0.42522603502993445</v>
      </c>
      <c r="AR46" s="18">
        <f t="shared" si="33"/>
        <v>0.18081718086727905</v>
      </c>
      <c r="AS46" s="18">
        <f t="shared" si="35"/>
        <v>6.4991577718073327E-3</v>
      </c>
      <c r="AW46" s="18" t="s">
        <v>2729</v>
      </c>
      <c r="AX46" s="18">
        <f>SUMPRODUCT(--(ABS($F$9:$F$822)&gt;=1))</f>
        <v>152</v>
      </c>
      <c r="AY46" s="25">
        <f>SUMPRODUCT((ABS($F$9:$F$822)&gt;=1)*$C$9:$C$822)/AX46</f>
        <v>-1.3178675938508008E-2</v>
      </c>
      <c r="AZ46" s="25">
        <f>SQRT((SUMPRODUCT((ABS($F$9:$F$822)&gt;=1)*$D$9:$D$822)-AX46*AY46^2)/(AX46-1))</f>
        <v>0.12415177667943432</v>
      </c>
      <c r="BA46" s="20">
        <f t="shared" si="36"/>
        <v>1.0169300233592573</v>
      </c>
    </row>
    <row r="47" spans="1:54">
      <c r="A47" s="18" t="str">
        <f>IF(Volcanic!A47="","",Volcanic!A47)</f>
        <v>12/1961</v>
      </c>
      <c r="B47" s="18">
        <f>IF(ISNUMBER(Volcanic!L47),Volcanic!L47,"")</f>
        <v>1961.9583333333333</v>
      </c>
      <c r="C47" s="18">
        <f>IF(ISNUMBER(Volcanic!J47),Volcanic!J47,"")</f>
        <v>-4.9947462837315965E-2</v>
      </c>
      <c r="D47" s="18">
        <f t="shared" si="0"/>
        <v>2.4947490438850593E-3</v>
      </c>
      <c r="E47" s="18">
        <f>IF(ISNUMBER(Volcanic!C47),Volcanic!C47,"")</f>
        <v>0.17910152336118931</v>
      </c>
      <c r="F47" s="18">
        <f>IF(ISNUMBER(Volcanic!D47),Volcanic!D47,"")</f>
        <v>-0.32</v>
      </c>
      <c r="G47" s="18">
        <f>IF(ISNUMBER(Volcanic!E47),Volcanic!E47,"")</f>
        <v>3.8899999999999998E-3</v>
      </c>
      <c r="H47" s="18">
        <f t="shared" si="1"/>
        <v>3.2077355670298638E-2</v>
      </c>
      <c r="I47" s="18">
        <f t="shared" si="2"/>
        <v>0.1024</v>
      </c>
      <c r="J47" s="18">
        <f t="shared" si="3"/>
        <v>1.5132099999999999E-5</v>
      </c>
      <c r="K47" s="18">
        <f t="shared" si="4"/>
        <v>-5.7312487475580584E-2</v>
      </c>
      <c r="L47" s="18">
        <f t="shared" si="5"/>
        <v>6.9670492587502642E-4</v>
      </c>
      <c r="M47" s="18">
        <f t="shared" si="6"/>
        <v>-1.2447999999999999E-3</v>
      </c>
      <c r="N47" s="18">
        <f t="shared" si="9"/>
        <v>1.9639392325093413E-2</v>
      </c>
      <c r="O47" s="18">
        <f t="shared" si="14"/>
        <v>8.8244056930301042E-3</v>
      </c>
      <c r="P47" s="18">
        <f t="shared" si="16"/>
        <v>2.7256831130060024E-2</v>
      </c>
      <c r="Q47" s="18">
        <f t="shared" si="18"/>
        <v>5.3232991754480425E-3</v>
      </c>
      <c r="R47" s="18">
        <f t="shared" si="20"/>
        <v>4.4933129457664358E-3</v>
      </c>
      <c r="S47" s="18">
        <f t="shared" si="22"/>
        <v>2.4357359949318483E-2</v>
      </c>
      <c r="T47" s="18">
        <f t="shared" si="25"/>
        <v>2.3849841672925864E-2</v>
      </c>
      <c r="U47" s="18">
        <f t="shared" si="27"/>
        <v>3.2612219414891279E-2</v>
      </c>
      <c r="V47" s="18">
        <f t="shared" si="28"/>
        <v>2.5137039784252517E-2</v>
      </c>
      <c r="W47" s="18">
        <f t="shared" si="29"/>
        <v>7.2208624904408644E-2</v>
      </c>
      <c r="X47" s="18">
        <f t="shared" si="30"/>
        <v>2.0928348614989486E-2</v>
      </c>
      <c r="Y47" s="18">
        <f t="shared" si="31"/>
        <v>6.918395105891148E-2</v>
      </c>
      <c r="AA47" s="18">
        <f t="shared" si="10"/>
        <v>-0.12041047853410183</v>
      </c>
      <c r="AB47" s="18">
        <f t="shared" si="11"/>
        <v>1.4498683340811398E-2</v>
      </c>
      <c r="AC47" s="18">
        <f t="shared" si="15"/>
        <v>8.6319382108320658E-3</v>
      </c>
      <c r="AD47" s="18">
        <f t="shared" si="17"/>
        <v>1.1940923519268691E-4</v>
      </c>
      <c r="AE47" s="18">
        <f t="shared" si="19"/>
        <v>1.6489514450288331E-2</v>
      </c>
      <c r="AF47" s="18">
        <f t="shared" si="21"/>
        <v>1.541113099009693E-3</v>
      </c>
      <c r="AG47" s="18">
        <f t="shared" si="23"/>
        <v>1.3085954993545713E-4</v>
      </c>
      <c r="AH47" s="18">
        <f t="shared" si="26"/>
        <v>6.1494949754975726E-3</v>
      </c>
      <c r="AJ47" s="18">
        <f>IF(ISNUMBER(Kernel!M47),Kernel!M47,"")</f>
        <v>-8.3015356396144727E-2</v>
      </c>
      <c r="AK47" s="18">
        <f t="shared" si="7"/>
        <v>6.8915493975789275E-3</v>
      </c>
      <c r="AM47" s="18">
        <f>IF(ISNUMBER(Forcing!Q47),Forcing!Q47^2,"")</f>
        <v>4.6723067393814443E-3</v>
      </c>
      <c r="AN47" s="18">
        <f>IF(ISNUMBER(Volcanic!G47),Volcanic!G47,"")</f>
        <v>4.1099999999999999E-3</v>
      </c>
      <c r="AO47" s="18">
        <f t="shared" si="34"/>
        <v>2.894945977766337E-4</v>
      </c>
      <c r="AP47" s="18">
        <f>IF(ISNUMBER(Annual!H47),Annual!H47^2,"")</f>
        <v>3.297742756398082E-3</v>
      </c>
      <c r="AQ47" s="18">
        <f>IF(ISNUMBER(Annual!E47),Annual!E47,"")</f>
        <v>0.43178694907654275</v>
      </c>
      <c r="AR47" s="18">
        <f t="shared" si="33"/>
        <v>0.18643996939282892</v>
      </c>
      <c r="AS47" s="18">
        <f t="shared" si="35"/>
        <v>1.8547319432949151E-3</v>
      </c>
      <c r="AW47" s="18" t="s">
        <v>2730</v>
      </c>
      <c r="AX47" s="18">
        <f>SUMPRODUCT(--(ABS($F$9:$F$822)&lt;0.5))</f>
        <v>412</v>
      </c>
      <c r="AY47" s="25">
        <f>SUMPRODUCT((ABS($F$9:$F$822)&lt;0.5)*$C$9:$C$822)/AX47</f>
        <v>1.2880306876598488E-2</v>
      </c>
      <c r="AZ47" s="25">
        <f>SQRT((SUMPRODUCT((ABS($F$9:$F$822)&lt;0.5)*$D$9:$D$822)-AX47*AY47^2)/(AX47-1))</f>
        <v>0.12710928680666142</v>
      </c>
      <c r="BA47" s="20">
        <f t="shared" si="36"/>
        <v>1.0411550560024228</v>
      </c>
    </row>
    <row r="48" spans="1:54">
      <c r="A48" s="18" t="str">
        <f>IF(Volcanic!A48="","",Volcanic!A48)</f>
        <v>1/1962</v>
      </c>
      <c r="B48" s="18">
        <f>IF(ISNUMBER(Volcanic!L48),Volcanic!L48,"")</f>
        <v>1962.0416666666667</v>
      </c>
      <c r="C48" s="18">
        <f>IF(ISNUMBER(Volcanic!J48),Volcanic!J48,"")</f>
        <v>0.13940046024042213</v>
      </c>
      <c r="D48" s="18">
        <f t="shared" si="0"/>
        <v>1.9432488315241511E-2</v>
      </c>
      <c r="E48" s="18">
        <f>IF(ISNUMBER(Volcanic!C48),Volcanic!C48,"")</f>
        <v>0.18332770604480075</v>
      </c>
      <c r="F48" s="18">
        <f>IF(ISNUMBER(Volcanic!D48),Volcanic!D48,"")</f>
        <v>-0.22</v>
      </c>
      <c r="G48" s="18">
        <f>IF(ISNUMBER(Volcanic!E48),Volcanic!E48,"")</f>
        <v>3.96E-3</v>
      </c>
      <c r="H48" s="18">
        <f t="shared" si="1"/>
        <v>3.3609047803648873E-2</v>
      </c>
      <c r="I48" s="18">
        <f t="shared" si="2"/>
        <v>4.8399999999999999E-2</v>
      </c>
      <c r="J48" s="18">
        <f t="shared" si="3"/>
        <v>1.5681599999999999E-5</v>
      </c>
      <c r="K48" s="18">
        <f t="shared" si="4"/>
        <v>-4.0332095329856169E-2</v>
      </c>
      <c r="L48" s="18">
        <f t="shared" si="5"/>
        <v>7.2597771593741096E-4</v>
      </c>
      <c r="M48" s="18">
        <f t="shared" si="6"/>
        <v>-8.7120000000000003E-4</v>
      </c>
      <c r="N48" s="18">
        <f t="shared" si="9"/>
        <v>2.4947490438850593E-3</v>
      </c>
      <c r="O48" s="18">
        <f t="shared" si="14"/>
        <v>1.9639392325093413E-2</v>
      </c>
      <c r="P48" s="18">
        <f t="shared" si="16"/>
        <v>8.8244056930301042E-3</v>
      </c>
      <c r="Q48" s="18">
        <f t="shared" si="18"/>
        <v>2.7256831130060024E-2</v>
      </c>
      <c r="R48" s="18">
        <f t="shared" si="20"/>
        <v>5.3232991754480425E-3</v>
      </c>
      <c r="S48" s="18">
        <f t="shared" si="22"/>
        <v>4.4933129457664358E-3</v>
      </c>
      <c r="T48" s="18">
        <f t="shared" si="25"/>
        <v>2.4357359949318483E-2</v>
      </c>
      <c r="U48" s="18">
        <f t="shared" si="27"/>
        <v>2.3849841672925864E-2</v>
      </c>
      <c r="V48" s="18">
        <f t="shared" si="28"/>
        <v>3.2612219414891279E-2</v>
      </c>
      <c r="W48" s="18">
        <f t="shared" si="29"/>
        <v>2.5137039784252517E-2</v>
      </c>
      <c r="X48" s="18">
        <f t="shared" si="30"/>
        <v>7.2208624904408644E-2</v>
      </c>
      <c r="Y48" s="18">
        <f t="shared" si="31"/>
        <v>2.0928348614989486E-2</v>
      </c>
      <c r="AA48" s="18">
        <f t="shared" si="10"/>
        <v>0.1645141564114746</v>
      </c>
      <c r="AB48" s="18">
        <f t="shared" si="11"/>
        <v>2.706490765977913E-2</v>
      </c>
      <c r="AC48" s="18">
        <f t="shared" si="15"/>
        <v>1.4498683340811398E-2</v>
      </c>
      <c r="AD48" s="18">
        <f t="shared" si="17"/>
        <v>8.6319382108320658E-3</v>
      </c>
      <c r="AE48" s="18">
        <f t="shared" si="19"/>
        <v>1.1940923519268691E-4</v>
      </c>
      <c r="AF48" s="18">
        <f t="shared" si="21"/>
        <v>1.6489514450288331E-2</v>
      </c>
      <c r="AG48" s="18">
        <f t="shared" si="23"/>
        <v>1.541113099009693E-3</v>
      </c>
      <c r="AH48" s="18">
        <f t="shared" si="26"/>
        <v>1.3085954993545713E-4</v>
      </c>
      <c r="AJ48" s="18">
        <f>IF(ISNUMBER(Kernel!M48),Kernel!M48,"")</f>
        <v>0.11782388031199978</v>
      </c>
      <c r="AK48" s="18">
        <f t="shared" si="7"/>
        <v>1.388246677177645E-2</v>
      </c>
      <c r="AM48" s="18">
        <f>IF(ISNUMBER(Forcing!Q48),Forcing!Q48^2,"")</f>
        <v>5.4103604101381078E-3</v>
      </c>
      <c r="AN48" s="18">
        <f>IF(ISNUMBER(Volcanic!G48),Volcanic!G48,"")</f>
        <v>4.0099999999999997E-3</v>
      </c>
      <c r="AO48" s="18">
        <f t="shared" si="34"/>
        <v>4.6723067393814443E-3</v>
      </c>
      <c r="AP48" s="18">
        <f>IF(ISNUMBER(Annual!H48),Annual!H48^2,"")</f>
        <v>4.058143342786944E-3</v>
      </c>
      <c r="AQ48" s="18">
        <f>IF(ISNUMBER(Annual!E48),Annual!E48,"")</f>
        <v>0.44049121010051245</v>
      </c>
      <c r="AR48" s="18">
        <f t="shared" si="33"/>
        <v>0.1940325061758138</v>
      </c>
      <c r="AS48" s="18">
        <f t="shared" si="35"/>
        <v>3.297742756398082E-3</v>
      </c>
      <c r="AW48" s="18" t="s">
        <v>2731</v>
      </c>
      <c r="AX48" s="18">
        <f>SUMPRODUCT(--($B$9:$B$822&lt;1992))</f>
        <v>399</v>
      </c>
      <c r="AY48" s="25">
        <f>SUMPRODUCT(($B$9:$B$822&lt;1992)*$C$9:$C$822)/AX48</f>
        <v>7.101984234660832E-3</v>
      </c>
      <c r="AZ48" s="25">
        <f>SQRT((SUMPRODUCT(($B$9:$B$822&lt;1992)*$D$9:$D$822)-AX48*AY48^2)/(AX48-1))</f>
        <v>0.11881393791851173</v>
      </c>
      <c r="BA48" s="20">
        <f t="shared" si="36"/>
        <v>0.9732076647993082</v>
      </c>
    </row>
    <row r="49" spans="1:54">
      <c r="A49" s="18" t="str">
        <f>IF(Volcanic!A49="","",Volcanic!A49)</f>
        <v>2/1962</v>
      </c>
      <c r="B49" s="18">
        <f>IF(ISNUMBER(Volcanic!L49),Volcanic!L49,"")</f>
        <v>1962.125</v>
      </c>
      <c r="C49" s="18">
        <f>IF(ISNUMBER(Volcanic!J49),Volcanic!J49,"")</f>
        <v>0.2218488779119871</v>
      </c>
      <c r="D49" s="18">
        <f t="shared" si="0"/>
        <v>4.9216924630807755E-2</v>
      </c>
      <c r="E49" s="18">
        <f>IF(ISNUMBER(Volcanic!C49),Volcanic!C49,"")</f>
        <v>0.18609301027387254</v>
      </c>
      <c r="F49" s="18">
        <f>IF(ISNUMBER(Volcanic!D49),Volcanic!D49,"")</f>
        <v>-0.11</v>
      </c>
      <c r="G49" s="18">
        <f>IF(ISNUMBER(Volcanic!E49),Volcanic!E49,"")</f>
        <v>4.0499999999999998E-3</v>
      </c>
      <c r="H49" s="18">
        <f t="shared" si="1"/>
        <v>3.4630608472791632E-2</v>
      </c>
      <c r="I49" s="18">
        <f t="shared" si="2"/>
        <v>1.21E-2</v>
      </c>
      <c r="J49" s="18">
        <f t="shared" si="3"/>
        <v>1.6402499999999998E-5</v>
      </c>
      <c r="K49" s="18">
        <f t="shared" si="4"/>
        <v>-2.0470231130125978E-2</v>
      </c>
      <c r="L49" s="18">
        <f t="shared" si="5"/>
        <v>7.5367669160918377E-4</v>
      </c>
      <c r="M49" s="18">
        <f t="shared" si="6"/>
        <v>-4.4549999999999999E-4</v>
      </c>
      <c r="N49" s="18">
        <f t="shared" si="9"/>
        <v>1.9432488315241511E-2</v>
      </c>
      <c r="O49" s="18">
        <f t="shared" si="14"/>
        <v>2.4947490438850593E-3</v>
      </c>
      <c r="P49" s="18">
        <f t="shared" si="16"/>
        <v>1.9639392325093413E-2</v>
      </c>
      <c r="Q49" s="18">
        <f t="shared" si="18"/>
        <v>8.8244056930301042E-3</v>
      </c>
      <c r="R49" s="18">
        <f t="shared" si="20"/>
        <v>2.7256831130060024E-2</v>
      </c>
      <c r="S49" s="18">
        <f t="shared" si="22"/>
        <v>5.3232991754480425E-3</v>
      </c>
      <c r="T49" s="18">
        <f t="shared" si="25"/>
        <v>4.4933129457664358E-3</v>
      </c>
      <c r="U49" s="18">
        <f t="shared" si="27"/>
        <v>2.4357359949318483E-2</v>
      </c>
      <c r="V49" s="18">
        <f t="shared" si="28"/>
        <v>2.3849841672925864E-2</v>
      </c>
      <c r="W49" s="18">
        <f t="shared" si="29"/>
        <v>3.2612219414891279E-2</v>
      </c>
      <c r="X49" s="18">
        <f t="shared" si="30"/>
        <v>2.5137039784252517E-2</v>
      </c>
      <c r="Y49" s="18">
        <f t="shared" si="31"/>
        <v>7.2208624904408644E-2</v>
      </c>
      <c r="AA49" s="18">
        <f t="shared" si="10"/>
        <v>0.15175801431826455</v>
      </c>
      <c r="AB49" s="18">
        <f t="shared" si="11"/>
        <v>2.3030494909822587E-2</v>
      </c>
      <c r="AC49" s="18">
        <f t="shared" si="15"/>
        <v>2.706490765977913E-2</v>
      </c>
      <c r="AD49" s="18">
        <f t="shared" si="17"/>
        <v>1.4498683340811398E-2</v>
      </c>
      <c r="AE49" s="18">
        <f t="shared" si="19"/>
        <v>8.6319382108320658E-3</v>
      </c>
      <c r="AF49" s="18">
        <f t="shared" si="21"/>
        <v>1.1940923519268691E-4</v>
      </c>
      <c r="AG49" s="18">
        <f t="shared" si="23"/>
        <v>1.6489514450288331E-2</v>
      </c>
      <c r="AH49" s="18">
        <f t="shared" si="26"/>
        <v>1.541113099009693E-3</v>
      </c>
      <c r="AJ49" s="18">
        <f>IF(ISNUMBER(Kernel!M49),Kernel!M49,"")</f>
        <v>0.21244586977060462</v>
      </c>
      <c r="AK49" s="18">
        <f t="shared" si="7"/>
        <v>4.5133247582588694E-2</v>
      </c>
      <c r="AM49" s="18">
        <f>IF(ISNUMBER(Forcing!Q49),Forcing!Q49^2,"")</f>
        <v>8.2802808239602795E-3</v>
      </c>
      <c r="AN49" s="18">
        <f>IF(ISNUMBER(Volcanic!G49),Volcanic!G49,"")</f>
        <v>3.8899999999999998E-3</v>
      </c>
      <c r="AO49" s="18">
        <f t="shared" si="34"/>
        <v>5.4103604101381078E-3</v>
      </c>
      <c r="AP49" s="18">
        <f>IF(ISNUMBER(Annual!H49),Annual!H49^2,"")</f>
        <v>1.2171066204046171E-5</v>
      </c>
      <c r="AQ49" s="18">
        <f>IF(ISNUMBER(Annual!E49),Annual!E49,"")</f>
        <v>0.44847021068533954</v>
      </c>
      <c r="AR49" s="18">
        <f t="shared" si="33"/>
        <v>0.20112552987215285</v>
      </c>
      <c r="AS49" s="18">
        <f t="shared" si="35"/>
        <v>4.058143342786944E-3</v>
      </c>
      <c r="AW49" s="18" t="s">
        <v>2732</v>
      </c>
      <c r="AX49" s="18">
        <f>SUMPRODUCT(--($B$9:$B$822&gt;=1992))</f>
        <v>415</v>
      </c>
      <c r="AY49" s="25">
        <f>SUMPRODUCT(($B$9:$B$822&gt;=1992)*$C$9:$C$822)/AX49</f>
        <v>-6.8281727942898756E-3</v>
      </c>
      <c r="AZ49" s="25">
        <f>SQRT((SUMPRODUCT(($B$9:$B$822&gt;=1992)*$D$9:$D$822)-AX49*AY49^2)/(AX49-1))</f>
        <v>0.12491150534699988</v>
      </c>
      <c r="BA49" s="20">
        <f t="shared" si="36"/>
        <v>1.0231529781354021</v>
      </c>
    </row>
    <row r="50" spans="1:54">
      <c r="A50" s="18" t="str">
        <f>IF(Volcanic!A50="","",Volcanic!A50)</f>
        <v>3/1962</v>
      </c>
      <c r="B50" s="18">
        <f>IF(ISNUMBER(Volcanic!L50),Volcanic!L50,"")</f>
        <v>1962.2083333333333</v>
      </c>
      <c r="C50" s="18">
        <f>IF(ISNUMBER(Volcanic!J50),Volcanic!J50,"")</f>
        <v>0.15256774580367188</v>
      </c>
      <c r="D50" s="18">
        <f t="shared" si="0"/>
        <v>2.3276917059613839E-2</v>
      </c>
      <c r="E50" s="18">
        <f>IF(ISNUMBER(Volcanic!C50),Volcanic!C50,"")</f>
        <v>0.19120166107272715</v>
      </c>
      <c r="F50" s="18">
        <f>IF(ISNUMBER(Volcanic!D50),Volcanic!D50,"")</f>
        <v>-0.05</v>
      </c>
      <c r="G50" s="18">
        <f>IF(ISNUMBER(Volcanic!E50),Volcanic!E50,"")</f>
        <v>4.15E-3</v>
      </c>
      <c r="H50" s="18">
        <f t="shared" si="1"/>
        <v>3.6558075196970026E-2</v>
      </c>
      <c r="I50" s="18">
        <f t="shared" si="2"/>
        <v>2.5000000000000005E-3</v>
      </c>
      <c r="J50" s="18">
        <f t="shared" si="3"/>
        <v>1.72225E-5</v>
      </c>
      <c r="K50" s="18">
        <f t="shared" si="4"/>
        <v>-9.560083053636358E-3</v>
      </c>
      <c r="L50" s="18">
        <f t="shared" si="5"/>
        <v>7.9348689345181767E-4</v>
      </c>
      <c r="M50" s="18">
        <f t="shared" si="6"/>
        <v>-2.075E-4</v>
      </c>
      <c r="N50" s="18">
        <f t="shared" si="9"/>
        <v>4.9216924630807755E-2</v>
      </c>
      <c r="O50" s="18">
        <f t="shared" si="14"/>
        <v>1.9432488315241511E-2</v>
      </c>
      <c r="P50" s="18">
        <f t="shared" si="16"/>
        <v>2.4947490438850593E-3</v>
      </c>
      <c r="Q50" s="18">
        <f t="shared" si="18"/>
        <v>1.9639392325093413E-2</v>
      </c>
      <c r="R50" s="18">
        <f t="shared" si="20"/>
        <v>8.8244056930301042E-3</v>
      </c>
      <c r="S50" s="18">
        <f t="shared" si="22"/>
        <v>2.7256831130060024E-2</v>
      </c>
      <c r="T50" s="18">
        <f t="shared" si="25"/>
        <v>5.3232991754480425E-3</v>
      </c>
      <c r="U50" s="18">
        <f t="shared" si="27"/>
        <v>4.4933129457664358E-3</v>
      </c>
      <c r="V50" s="18">
        <f t="shared" si="28"/>
        <v>2.4357359949318483E-2</v>
      </c>
      <c r="W50" s="18">
        <f t="shared" si="29"/>
        <v>2.3849841672925864E-2</v>
      </c>
      <c r="X50" s="18">
        <f t="shared" si="30"/>
        <v>3.2612219414891279E-2</v>
      </c>
      <c r="Y50" s="18">
        <f t="shared" si="31"/>
        <v>2.5137039784252517E-2</v>
      </c>
      <c r="AA50" s="18">
        <f t="shared" si="10"/>
        <v>4.1021633162929227E-2</v>
      </c>
      <c r="AB50" s="18">
        <f t="shared" si="11"/>
        <v>1.6827743873539349E-3</v>
      </c>
      <c r="AC50" s="18">
        <f t="shared" si="15"/>
        <v>2.3030494909822587E-2</v>
      </c>
      <c r="AD50" s="18">
        <f t="shared" si="17"/>
        <v>2.706490765977913E-2</v>
      </c>
      <c r="AE50" s="18">
        <f t="shared" si="19"/>
        <v>1.4498683340811398E-2</v>
      </c>
      <c r="AF50" s="18">
        <f t="shared" si="21"/>
        <v>8.6319382108320658E-3</v>
      </c>
      <c r="AG50" s="18">
        <f t="shared" si="23"/>
        <v>1.1940923519268691E-4</v>
      </c>
      <c r="AH50" s="18">
        <f t="shared" si="26"/>
        <v>1.6489514450288331E-2</v>
      </c>
      <c r="AJ50" s="18">
        <f>IF(ISNUMBER(Kernel!M50),Kernel!M50,"")</f>
        <v>0.14995059735448132</v>
      </c>
      <c r="AK50" s="18">
        <f t="shared" si="7"/>
        <v>2.2485181646965783E-2</v>
      </c>
      <c r="AM50" s="18">
        <f>IF(ISNUMBER(Forcing!Q50),Forcing!Q50^2,"")</f>
        <v>3.1407254757190584E-3</v>
      </c>
      <c r="AN50" s="18">
        <f>IF(ISNUMBER(Volcanic!G50),Volcanic!G50,"")</f>
        <v>3.82E-3</v>
      </c>
      <c r="AO50" s="18">
        <f t="shared" si="34"/>
        <v>8.2802808239602795E-3</v>
      </c>
      <c r="AP50" s="18">
        <f>IF(ISNUMBER(Annual!H50),Annual!H50^2,"")</f>
        <v>4.6799305040858042E-5</v>
      </c>
      <c r="AQ50" s="18">
        <f>IF(ISNUMBER(Annual!E50),Annual!E50,"")</f>
        <v>0.45575620866675709</v>
      </c>
      <c r="AR50" s="18">
        <f t="shared" si="33"/>
        <v>0.20771372173829664</v>
      </c>
      <c r="AS50" s="18">
        <f t="shared" si="35"/>
        <v>1.2171066204046171E-5</v>
      </c>
      <c r="AW50" s="18" t="s">
        <v>2733</v>
      </c>
      <c r="AX50" s="20">
        <f>AZ44^2/AZ45^2</f>
        <v>1.2807956476092535</v>
      </c>
      <c r="AZ50" s="18">
        <f>2*MIN(FDIST(AX50,AX44-1,AX45-1),1-FDIST(AX50,AX44-1,AX45-1))</f>
        <v>2.2347227154643982E-2</v>
      </c>
      <c r="BB50" s="6" t="s">
        <v>2734</v>
      </c>
    </row>
    <row r="51" spans="1:54">
      <c r="A51" s="18" t="str">
        <f>IF(Volcanic!A51="","",Volcanic!A51)</f>
        <v>4/1962</v>
      </c>
      <c r="B51" s="18">
        <f>IF(ISNUMBER(Volcanic!L51),Volcanic!L51,"")</f>
        <v>1962.2916666666667</v>
      </c>
      <c r="C51" s="18">
        <f>IF(ISNUMBER(Volcanic!J51),Volcanic!J51,"")</f>
        <v>0.10198970407767288</v>
      </c>
      <c r="D51" s="18">
        <f t="shared" si="0"/>
        <v>1.0401899737851284E-2</v>
      </c>
      <c r="E51" s="18">
        <f>IF(ISNUMBER(Volcanic!C51),Volcanic!C51,"")</f>
        <v>0.19521259246961153</v>
      </c>
      <c r="F51" s="18">
        <f>IF(ISNUMBER(Volcanic!D51),Volcanic!D51,"")</f>
        <v>-0.16</v>
      </c>
      <c r="G51" s="18">
        <f>IF(ISNUMBER(Volcanic!E51),Volcanic!E51,"")</f>
        <v>4.2199999999999998E-3</v>
      </c>
      <c r="H51" s="18">
        <f t="shared" si="1"/>
        <v>3.8107956258706631E-2</v>
      </c>
      <c r="I51" s="18">
        <f t="shared" si="2"/>
        <v>2.5600000000000001E-2</v>
      </c>
      <c r="J51" s="18">
        <f t="shared" si="3"/>
        <v>1.7808399999999997E-5</v>
      </c>
      <c r="K51" s="18">
        <f t="shared" si="4"/>
        <v>-3.1234014795137845E-2</v>
      </c>
      <c r="L51" s="18">
        <f t="shared" si="5"/>
        <v>8.2379714022176066E-4</v>
      </c>
      <c r="M51" s="18">
        <f t="shared" si="6"/>
        <v>-6.7519999999999993E-4</v>
      </c>
      <c r="N51" s="18">
        <f t="shared" si="9"/>
        <v>2.3276917059613839E-2</v>
      </c>
      <c r="O51" s="18">
        <f t="shared" si="14"/>
        <v>4.9216924630807755E-2</v>
      </c>
      <c r="P51" s="18">
        <f t="shared" si="16"/>
        <v>1.9432488315241511E-2</v>
      </c>
      <c r="Q51" s="18">
        <f t="shared" si="18"/>
        <v>2.4947490438850593E-3</v>
      </c>
      <c r="R51" s="18">
        <f t="shared" si="20"/>
        <v>1.9639392325093413E-2</v>
      </c>
      <c r="S51" s="18">
        <f t="shared" si="22"/>
        <v>8.8244056930301042E-3</v>
      </c>
      <c r="T51" s="18">
        <f t="shared" si="25"/>
        <v>2.7256831130060024E-2</v>
      </c>
      <c r="U51" s="18">
        <f t="shared" si="27"/>
        <v>5.3232991754480425E-3</v>
      </c>
      <c r="V51" s="18">
        <f t="shared" si="28"/>
        <v>4.4933129457664358E-3</v>
      </c>
      <c r="W51" s="18">
        <f t="shared" si="29"/>
        <v>2.4357359949318483E-2</v>
      </c>
      <c r="X51" s="18">
        <f t="shared" si="30"/>
        <v>2.3849841672925864E-2</v>
      </c>
      <c r="Y51" s="18">
        <f t="shared" si="31"/>
        <v>3.2612219414891279E-2</v>
      </c>
      <c r="AA51" s="18">
        <f t="shared" si="10"/>
        <v>2.5278299814847763E-2</v>
      </c>
      <c r="AB51" s="18">
        <f t="shared" si="11"/>
        <v>6.3899244152933242E-4</v>
      </c>
      <c r="AC51" s="18">
        <f t="shared" si="15"/>
        <v>1.6827743873539349E-3</v>
      </c>
      <c r="AD51" s="18">
        <f t="shared" si="17"/>
        <v>2.3030494909822587E-2</v>
      </c>
      <c r="AE51" s="18">
        <f t="shared" si="19"/>
        <v>2.706490765977913E-2</v>
      </c>
      <c r="AF51" s="18">
        <f t="shared" si="21"/>
        <v>1.4498683340811398E-2</v>
      </c>
      <c r="AG51" s="18">
        <f t="shared" si="23"/>
        <v>8.6319382108320658E-3</v>
      </c>
      <c r="AH51" s="18">
        <f t="shared" si="26"/>
        <v>1.1940923519268691E-4</v>
      </c>
      <c r="AJ51" s="18">
        <f>IF(ISNUMBER(Kernel!M51),Kernel!M51,"")</f>
        <v>9.1305833029408409E-2</v>
      </c>
      <c r="AK51" s="18">
        <f t="shared" si="7"/>
        <v>8.3367551451942069E-3</v>
      </c>
      <c r="AM51" s="18">
        <f>IF(ISNUMBER(Forcing!Q51),Forcing!Q51^2,"")</f>
        <v>2.0187698050400582E-5</v>
      </c>
      <c r="AN51" s="18">
        <f>IF(ISNUMBER(Volcanic!G51),Volcanic!G51,"")</f>
        <v>3.8500000000000001E-3</v>
      </c>
      <c r="AO51" s="18">
        <f t="shared" si="34"/>
        <v>3.1407254757190584E-3</v>
      </c>
      <c r="AP51" s="18">
        <f>IF(ISNUMBER(Annual!H51),Annual!H51^2,"")</f>
        <v>1.7577609429415667E-2</v>
      </c>
      <c r="AQ51" s="18">
        <f>IF(ISNUMBER(Annual!E51),Annual!E51,"")</f>
        <v>0.46253433128659666</v>
      </c>
      <c r="AR51" s="18">
        <f t="shared" si="33"/>
        <v>0.21393800761873916</v>
      </c>
      <c r="AS51" s="18">
        <f t="shared" si="35"/>
        <v>4.6799305040858042E-5</v>
      </c>
      <c r="AW51" s="18" t="s">
        <v>2735</v>
      </c>
      <c r="AX51" s="20">
        <f>AZ48^2/AZ49^2</f>
        <v>0.90475271697572235</v>
      </c>
      <c r="AZ51" s="18">
        <f>2*MIN(FDIST(AX51,AX48-1,AX49-1),1-FDIST(AX51,AX48-1,AX49-1))</f>
        <v>0.31422048188286422</v>
      </c>
      <c r="BB51" s="6" t="s">
        <v>2734</v>
      </c>
    </row>
    <row r="52" spans="1:54">
      <c r="A52" s="18" t="str">
        <f>IF(Volcanic!A52="","",Volcanic!A52)</f>
        <v>5/1962</v>
      </c>
      <c r="B52" s="18">
        <f>IF(ISNUMBER(Volcanic!L52),Volcanic!L52,"")</f>
        <v>1962.375</v>
      </c>
      <c r="C52" s="18">
        <f>IF(ISNUMBER(Volcanic!J52),Volcanic!J52,"")</f>
        <v>-1.242597966514894E-2</v>
      </c>
      <c r="D52" s="18">
        <f t="shared" si="0"/>
        <v>1.5440497063869496E-4</v>
      </c>
      <c r="E52" s="18">
        <f>IF(ISNUMBER(Volcanic!C52),Volcanic!C52,"")</f>
        <v>0.19723635491870628</v>
      </c>
      <c r="F52" s="18">
        <f>IF(ISNUMBER(Volcanic!D52),Volcanic!D52,"")</f>
        <v>-0.17</v>
      </c>
      <c r="G52" s="18">
        <f>IF(ISNUMBER(Volcanic!E52),Volcanic!E52,"")</f>
        <v>4.3E-3</v>
      </c>
      <c r="H52" s="18">
        <f t="shared" si="1"/>
        <v>3.890217970161787E-2</v>
      </c>
      <c r="I52" s="18">
        <f t="shared" si="2"/>
        <v>2.8900000000000006E-2</v>
      </c>
      <c r="J52" s="18">
        <f t="shared" si="3"/>
        <v>1.8490000000000001E-5</v>
      </c>
      <c r="K52" s="18">
        <f t="shared" si="4"/>
        <v>-3.353018033618007E-2</v>
      </c>
      <c r="L52" s="18">
        <f t="shared" si="5"/>
        <v>8.4811632615043706E-4</v>
      </c>
      <c r="M52" s="18">
        <f t="shared" si="6"/>
        <v>-7.310000000000001E-4</v>
      </c>
      <c r="N52" s="18">
        <f t="shared" si="9"/>
        <v>1.0401899737851284E-2</v>
      </c>
      <c r="O52" s="18">
        <f t="shared" si="14"/>
        <v>2.3276917059613839E-2</v>
      </c>
      <c r="P52" s="18">
        <f t="shared" si="16"/>
        <v>4.9216924630807755E-2</v>
      </c>
      <c r="Q52" s="18">
        <f t="shared" si="18"/>
        <v>1.9432488315241511E-2</v>
      </c>
      <c r="R52" s="18">
        <f t="shared" si="20"/>
        <v>2.4947490438850593E-3</v>
      </c>
      <c r="S52" s="18">
        <f t="shared" si="22"/>
        <v>1.9639392325093413E-2</v>
      </c>
      <c r="T52" s="18">
        <f t="shared" si="25"/>
        <v>8.8244056930301042E-3</v>
      </c>
      <c r="U52" s="18">
        <f t="shared" si="27"/>
        <v>2.7256831130060024E-2</v>
      </c>
      <c r="V52" s="18">
        <f t="shared" si="28"/>
        <v>5.3232991754480425E-3</v>
      </c>
      <c r="W52" s="18">
        <f t="shared" si="29"/>
        <v>4.4933129457664358E-3</v>
      </c>
      <c r="X52" s="18">
        <f t="shared" si="30"/>
        <v>2.4357359949318483E-2</v>
      </c>
      <c r="Y52" s="18">
        <f t="shared" si="31"/>
        <v>2.3849841672925864E-2</v>
      </c>
      <c r="AA52" s="18">
        <f t="shared" si="10"/>
        <v>-6.3706631279521628E-2</v>
      </c>
      <c r="AB52" s="18">
        <f t="shared" si="11"/>
        <v>4.0585348689849239E-3</v>
      </c>
      <c r="AC52" s="18">
        <f t="shared" si="15"/>
        <v>6.3899244152933242E-4</v>
      </c>
      <c r="AD52" s="18">
        <f t="shared" si="17"/>
        <v>1.6827743873539349E-3</v>
      </c>
      <c r="AE52" s="18">
        <f t="shared" si="19"/>
        <v>2.3030494909822587E-2</v>
      </c>
      <c r="AF52" s="18">
        <f t="shared" si="21"/>
        <v>2.706490765977913E-2</v>
      </c>
      <c r="AG52" s="18">
        <f t="shared" si="23"/>
        <v>1.4498683340811398E-2</v>
      </c>
      <c r="AH52" s="18">
        <f t="shared" si="26"/>
        <v>8.6319382108320658E-3</v>
      </c>
      <c r="AJ52" s="18">
        <f>IF(ISNUMBER(Kernel!M52),Kernel!M52,"")</f>
        <v>-2.251464253440548E-2</v>
      </c>
      <c r="AK52" s="18">
        <f t="shared" si="7"/>
        <v>5.0690912845206034E-4</v>
      </c>
      <c r="AM52" s="18">
        <f>IF(ISNUMBER(Forcing!Q52),Forcing!Q52^2,"")</f>
        <v>6.7933419740263327E-5</v>
      </c>
      <c r="AN52" s="18">
        <f>IF(ISNUMBER(Volcanic!G52),Volcanic!G52,"")</f>
        <v>3.8899999999999998E-3</v>
      </c>
      <c r="AO52" s="18">
        <f t="shared" si="34"/>
        <v>2.0187698050400582E-5</v>
      </c>
      <c r="AP52" s="18">
        <f>IF(ISNUMBER(Annual!H52),Annual!H52^2,"")</f>
        <v>1.4893390936273608E-3</v>
      </c>
      <c r="AQ52" s="18">
        <f>IF(ISNUMBER(Annual!E52),Annual!E52,"")</f>
        <v>0.46928442493460149</v>
      </c>
      <c r="AR52" s="18">
        <f t="shared" si="33"/>
        <v>0.22022787148619963</v>
      </c>
      <c r="AS52" s="18">
        <f t="shared" si="35"/>
        <v>1.7577609429415667E-2</v>
      </c>
      <c r="AW52" s="18" t="s">
        <v>2736</v>
      </c>
      <c r="AX52" s="18">
        <f>SUMPRODUCT(($B$9:$B$822&gt;=2016)*($B$9:$B$822&lt;2023))+SUMPRODUCT(--($B$9:$B$822&gt;=2023))</f>
        <v>127</v>
      </c>
      <c r="AZ52" s="25">
        <f>SQRT(((SUMPRODUCT(($B$9:$B$822&gt;=2016)*($B$9:$B$822&lt;2023)*$D$9:$D$822)-SUMPRODUCT(($B$9:$B$822&gt;=2016)*($B$9:$B$822&lt;2023))*(SUMPRODUCT(($B$9:$B$822&gt;=2016)*($B$9:$B$822&lt;2023)*$C$9:$C$822)/SUMPRODUCT(($B$9:$B$822&gt;=2016)*($B$9:$B$822&lt;2023)))^2)+(SUMPRODUCT(($B$9:$B$822&gt;=2023)*$D$9:$D$822)-SUMPRODUCT(--($B$9:$B$822&gt;=2023))*(SUMPRODUCT(($B$9:$B$822&gt;=2023)*$C$9:$C$822)/SUMPRODUCT(--($B$9:$B$822&gt;=2023)))^2))/(SUMPRODUCT(($B$9:$B$822&gt;=2016)*($B$9:$B$822&lt;2023))+SUMPRODUCT(--($B$9:$B$822&gt;=2023))-2))</f>
        <v>0.11822323968327525</v>
      </c>
      <c r="BA52" s="20">
        <f>AZ52/$AZ$43</f>
        <v>0.96836924213453768</v>
      </c>
      <c r="BB52" s="6" t="s">
        <v>2737</v>
      </c>
    </row>
    <row r="53" spans="1:54" ht="15.75">
      <c r="A53" s="18" t="str">
        <f>IF(Volcanic!A53="","",Volcanic!A53)</f>
        <v>6/1962</v>
      </c>
      <c r="B53" s="18">
        <f>IF(ISNUMBER(Volcanic!L53),Volcanic!L53,"")</f>
        <v>1962.4583333333333</v>
      </c>
      <c r="C53" s="18">
        <f>IF(ISNUMBER(Volcanic!J53),Volcanic!J53,"")</f>
        <v>8.0448075636551458E-2</v>
      </c>
      <c r="D53" s="18">
        <f t="shared" si="0"/>
        <v>6.4718928736243039E-3</v>
      </c>
      <c r="E53" s="18">
        <f>IF(ISNUMBER(Volcanic!C53),Volcanic!C53,"")</f>
        <v>0.19543759520574477</v>
      </c>
      <c r="F53" s="18">
        <f>IF(ISNUMBER(Volcanic!D53),Volcanic!D53,"")</f>
        <v>-0.15</v>
      </c>
      <c r="G53" s="18">
        <f>IF(ISNUMBER(Volcanic!E53),Volcanic!E53,"")</f>
        <v>4.2199999999999998E-3</v>
      </c>
      <c r="H53" s="18">
        <f t="shared" si="1"/>
        <v>3.819585361980455E-2</v>
      </c>
      <c r="I53" s="18">
        <f t="shared" si="2"/>
        <v>2.2499999999999999E-2</v>
      </c>
      <c r="J53" s="18">
        <f t="shared" si="3"/>
        <v>1.7808399999999997E-5</v>
      </c>
      <c r="K53" s="18">
        <f t="shared" si="4"/>
        <v>-2.9315639280861713E-2</v>
      </c>
      <c r="L53" s="18">
        <f t="shared" si="5"/>
        <v>8.247466517682429E-4</v>
      </c>
      <c r="M53" s="18">
        <f t="shared" si="6"/>
        <v>-6.3299999999999999E-4</v>
      </c>
      <c r="N53" s="18">
        <f t="shared" si="9"/>
        <v>1.5440497063869496E-4</v>
      </c>
      <c r="O53" s="18">
        <f t="shared" si="14"/>
        <v>1.0401899737851284E-2</v>
      </c>
      <c r="P53" s="18">
        <f t="shared" si="16"/>
        <v>2.3276917059613839E-2</v>
      </c>
      <c r="Q53" s="18">
        <f t="shared" si="18"/>
        <v>4.9216924630807755E-2</v>
      </c>
      <c r="R53" s="18">
        <f t="shared" si="20"/>
        <v>1.9432488315241511E-2</v>
      </c>
      <c r="S53" s="18">
        <f t="shared" si="22"/>
        <v>2.4947490438850593E-3</v>
      </c>
      <c r="T53" s="18">
        <f t="shared" si="25"/>
        <v>1.9639392325093413E-2</v>
      </c>
      <c r="U53" s="18">
        <f t="shared" si="27"/>
        <v>8.8244056930301042E-3</v>
      </c>
      <c r="V53" s="18">
        <f t="shared" si="28"/>
        <v>2.7256831130060024E-2</v>
      </c>
      <c r="W53" s="18">
        <f t="shared" si="29"/>
        <v>5.3232991754480425E-3</v>
      </c>
      <c r="X53" s="18">
        <f t="shared" si="30"/>
        <v>4.4933129457664358E-3</v>
      </c>
      <c r="Y53" s="18">
        <f t="shared" si="31"/>
        <v>2.4357359949318483E-2</v>
      </c>
      <c r="AA53" s="18">
        <f t="shared" si="10"/>
        <v>8.6695886039947628E-2</v>
      </c>
      <c r="AB53" s="18">
        <f t="shared" si="11"/>
        <v>7.5161766562515863E-3</v>
      </c>
      <c r="AC53" s="18">
        <f t="shared" si="15"/>
        <v>4.0585348689849239E-3</v>
      </c>
      <c r="AD53" s="18">
        <f t="shared" si="17"/>
        <v>6.3899244152933242E-4</v>
      </c>
      <c r="AE53" s="18">
        <f t="shared" si="19"/>
        <v>1.6827743873539349E-3</v>
      </c>
      <c r="AF53" s="18">
        <f t="shared" si="21"/>
        <v>2.3030494909822587E-2</v>
      </c>
      <c r="AG53" s="18">
        <f t="shared" si="23"/>
        <v>2.706490765977913E-2</v>
      </c>
      <c r="AH53" s="18">
        <f t="shared" si="26"/>
        <v>1.4498683340811398E-2</v>
      </c>
      <c r="AJ53" s="18">
        <f>IF(ISNUMBER(Kernel!M53),Kernel!M53,"")</f>
        <v>7.2465484779147174E-2</v>
      </c>
      <c r="AK53" s="18">
        <f t="shared" si="7"/>
        <v>5.2512464842768107E-3</v>
      </c>
      <c r="AM53" s="18">
        <f>IF(ISNUMBER(Forcing!Q53),Forcing!Q53^2,"")</f>
        <v>1.5802679126286635E-5</v>
      </c>
      <c r="AN53" s="18">
        <f>IF(ISNUMBER(Volcanic!G53),Volcanic!G53,"")</f>
        <v>3.9699999999999996E-3</v>
      </c>
      <c r="AO53" s="18">
        <f t="shared" si="34"/>
        <v>6.7933419740263327E-5</v>
      </c>
      <c r="AP53" s="18">
        <f>IF(ISNUMBER(Annual!H53),Annual!H53^2,"")</f>
        <v>2.2353035684438431E-5</v>
      </c>
      <c r="AQ53" s="18">
        <f>IF(ISNUMBER(Annual!E53),Annual!E53,"")</f>
        <v>0.47840548027096802</v>
      </c>
      <c r="AR53" s="18">
        <f t="shared" si="33"/>
        <v>0.22887180355329556</v>
      </c>
      <c r="AS53" s="18">
        <f t="shared" si="35"/>
        <v>1.4893390936273608E-3</v>
      </c>
      <c r="AW53" s="4" t="s">
        <v>2738</v>
      </c>
    </row>
    <row r="54" spans="1:54" ht="60" customHeight="1">
      <c r="A54" s="18" t="str">
        <f>IF(Volcanic!A54="","",Volcanic!A54)</f>
        <v>7/1962</v>
      </c>
      <c r="B54" s="18">
        <f>IF(ISNUMBER(Volcanic!L54),Volcanic!L54,"")</f>
        <v>1962.5416666666667</v>
      </c>
      <c r="C54" s="18">
        <f>IF(ISNUMBER(Volcanic!J54),Volcanic!J54,"")</f>
        <v>8.7260687081182189E-2</v>
      </c>
      <c r="D54" s="18">
        <f t="shared" si="0"/>
        <v>7.6144275098799959E-3</v>
      </c>
      <c r="E54" s="18">
        <f>IF(ISNUMBER(Volcanic!C54),Volcanic!C54,"")</f>
        <v>0.19088572103529255</v>
      </c>
      <c r="F54" s="18">
        <f>IF(ISNUMBER(Volcanic!D54),Volcanic!D54,"")</f>
        <v>-0.2</v>
      </c>
      <c r="G54" s="18">
        <f>IF(ISNUMBER(Volcanic!E54),Volcanic!E54,"")</f>
        <v>4.1099999999999999E-3</v>
      </c>
      <c r="H54" s="18">
        <f t="shared" si="1"/>
        <v>3.6437358495163531E-2</v>
      </c>
      <c r="I54" s="18">
        <f t="shared" si="2"/>
        <v>4.0000000000000008E-2</v>
      </c>
      <c r="J54" s="18">
        <f t="shared" si="3"/>
        <v>1.68921E-5</v>
      </c>
      <c r="K54" s="18">
        <f t="shared" si="4"/>
        <v>-3.8177144207058512E-2</v>
      </c>
      <c r="L54" s="18">
        <f t="shared" si="5"/>
        <v>7.8454031345505241E-4</v>
      </c>
      <c r="M54" s="18">
        <f t="shared" si="6"/>
        <v>-8.2200000000000003E-4</v>
      </c>
      <c r="N54" s="18">
        <f t="shared" si="9"/>
        <v>6.4718928736243039E-3</v>
      </c>
      <c r="O54" s="18">
        <f t="shared" si="14"/>
        <v>1.5440497063869496E-4</v>
      </c>
      <c r="P54" s="18">
        <f t="shared" si="16"/>
        <v>1.0401899737851284E-2</v>
      </c>
      <c r="Q54" s="18">
        <f t="shared" si="18"/>
        <v>2.3276917059613839E-2</v>
      </c>
      <c r="R54" s="18">
        <f t="shared" si="20"/>
        <v>4.9216924630807755E-2</v>
      </c>
      <c r="S54" s="18">
        <f t="shared" si="22"/>
        <v>1.9432488315241511E-2</v>
      </c>
      <c r="T54" s="18">
        <f t="shared" si="25"/>
        <v>2.4947490438850593E-3</v>
      </c>
      <c r="U54" s="18">
        <f t="shared" si="27"/>
        <v>1.9639392325093413E-2</v>
      </c>
      <c r="V54" s="18">
        <f t="shared" si="28"/>
        <v>8.8244056930301042E-3</v>
      </c>
      <c r="W54" s="18">
        <f t="shared" si="29"/>
        <v>2.7256831130060024E-2</v>
      </c>
      <c r="X54" s="18">
        <f t="shared" si="30"/>
        <v>5.3232991754480425E-3</v>
      </c>
      <c r="Y54" s="18">
        <f t="shared" si="31"/>
        <v>4.4933129457664358E-3</v>
      </c>
      <c r="AA54" s="18">
        <f t="shared" si="10"/>
        <v>4.6811214489097093E-2</v>
      </c>
      <c r="AB54" s="18">
        <f t="shared" si="11"/>
        <v>2.1912898019442535E-3</v>
      </c>
      <c r="AC54" s="18">
        <f t="shared" si="15"/>
        <v>7.5161766562515863E-3</v>
      </c>
      <c r="AD54" s="18">
        <f t="shared" si="17"/>
        <v>4.0585348689849239E-3</v>
      </c>
      <c r="AE54" s="18">
        <f t="shared" si="19"/>
        <v>6.3899244152933242E-4</v>
      </c>
      <c r="AF54" s="18">
        <f t="shared" si="21"/>
        <v>1.6827743873539349E-3</v>
      </c>
      <c r="AG54" s="18">
        <f t="shared" si="23"/>
        <v>2.3030494909822587E-2</v>
      </c>
      <c r="AH54" s="18">
        <f t="shared" si="26"/>
        <v>2.706490765977913E-2</v>
      </c>
      <c r="AJ54" s="18">
        <f>IF(ISNUMBER(Kernel!M54),Kernel!M54,"")</f>
        <v>7.2075598084161641E-2</v>
      </c>
      <c r="AK54" s="18">
        <f t="shared" si="7"/>
        <v>5.1948918391896051E-3</v>
      </c>
      <c r="AM54" s="18">
        <f>IF(ISNUMBER(Forcing!Q54),Forcing!Q54^2,"")</f>
        <v>4.4397323152274793E-4</v>
      </c>
      <c r="AN54" s="18">
        <f>IF(ISNUMBER(Volcanic!G54),Volcanic!G54,"")</f>
        <v>4.0499999999999998E-3</v>
      </c>
      <c r="AO54" s="18">
        <f t="shared" si="34"/>
        <v>1.5802679126286635E-5</v>
      </c>
      <c r="AP54" s="18">
        <f>IF(ISNUMBER(Annual!H54),Annual!H54^2,"")</f>
        <v>1.6809776168368925E-2</v>
      </c>
      <c r="AQ54" s="18">
        <f>IF(ISNUMBER(Annual!E54),Annual!E54,"")</f>
        <v>0.48486472333529007</v>
      </c>
      <c r="AR54" s="18">
        <f t="shared" si="33"/>
        <v>0.2350937999350074</v>
      </c>
      <c r="AS54" s="18">
        <f t="shared" si="35"/>
        <v>2.2353035684438431E-5</v>
      </c>
      <c r="AW54" s="54" t="s">
        <v>2739</v>
      </c>
      <c r="AX54" s="53"/>
      <c r="AY54" s="53"/>
      <c r="AZ54" s="53"/>
      <c r="BA54" s="53"/>
      <c r="BB54" s="53"/>
    </row>
    <row r="55" spans="1:54" ht="60" customHeight="1">
      <c r="A55" s="18" t="str">
        <f>IF(Volcanic!A55="","",Volcanic!A55)</f>
        <v>8/1962</v>
      </c>
      <c r="B55" s="18">
        <f>IF(ISNUMBER(Volcanic!L55),Volcanic!L55,"")</f>
        <v>1962.625</v>
      </c>
      <c r="C55" s="18">
        <f>IF(ISNUMBER(Volcanic!J55),Volcanic!J55,"")</f>
        <v>8.3415380365873981E-2</v>
      </c>
      <c r="D55" s="18">
        <f t="shared" si="0"/>
        <v>6.9581256815834346E-3</v>
      </c>
      <c r="E55" s="18">
        <f>IF(ISNUMBER(Volcanic!C55),Volcanic!C55,"")</f>
        <v>0.18087530100285296</v>
      </c>
      <c r="F55" s="18">
        <f>IF(ISNUMBER(Volcanic!D55),Volcanic!D55,"")</f>
        <v>-0.19</v>
      </c>
      <c r="G55" s="18">
        <f>IF(ISNUMBER(Volcanic!E55),Volcanic!E55,"")</f>
        <v>4.0099999999999997E-3</v>
      </c>
      <c r="H55" s="18">
        <f t="shared" si="1"/>
        <v>3.271587451287266E-2</v>
      </c>
      <c r="I55" s="18">
        <f t="shared" si="2"/>
        <v>3.61E-2</v>
      </c>
      <c r="J55" s="18">
        <f t="shared" si="3"/>
        <v>1.6080099999999999E-5</v>
      </c>
      <c r="K55" s="18">
        <f t="shared" si="4"/>
        <v>-3.436630719054206E-2</v>
      </c>
      <c r="L55" s="18">
        <f t="shared" si="5"/>
        <v>7.2530995702144033E-4</v>
      </c>
      <c r="M55" s="18">
        <f t="shared" si="6"/>
        <v>-7.6189999999999993E-4</v>
      </c>
      <c r="N55" s="18">
        <f t="shared" si="9"/>
        <v>7.6144275098799959E-3</v>
      </c>
      <c r="O55" s="18">
        <f t="shared" si="14"/>
        <v>6.4718928736243039E-3</v>
      </c>
      <c r="P55" s="18">
        <f t="shared" si="16"/>
        <v>1.5440497063869496E-4</v>
      </c>
      <c r="Q55" s="18">
        <f t="shared" si="18"/>
        <v>1.0401899737851284E-2</v>
      </c>
      <c r="R55" s="18">
        <f t="shared" si="20"/>
        <v>2.3276917059613839E-2</v>
      </c>
      <c r="S55" s="18">
        <f t="shared" si="22"/>
        <v>4.9216924630807755E-2</v>
      </c>
      <c r="T55" s="18">
        <f t="shared" si="25"/>
        <v>1.9432488315241511E-2</v>
      </c>
      <c r="U55" s="18">
        <f t="shared" si="27"/>
        <v>2.4947490438850593E-3</v>
      </c>
      <c r="V55" s="18">
        <f t="shared" si="28"/>
        <v>1.9639392325093413E-2</v>
      </c>
      <c r="W55" s="18">
        <f t="shared" si="29"/>
        <v>8.8244056930301042E-3</v>
      </c>
      <c r="X55" s="18">
        <f t="shared" si="30"/>
        <v>2.7256831130060024E-2</v>
      </c>
      <c r="Y55" s="18">
        <f t="shared" si="31"/>
        <v>5.3232991754480425E-3</v>
      </c>
      <c r="AA55" s="18">
        <f t="shared" si="10"/>
        <v>3.9540511482707034E-2</v>
      </c>
      <c r="AB55" s="18">
        <f t="shared" si="11"/>
        <v>1.5634520483140868E-3</v>
      </c>
      <c r="AC55" s="18">
        <f t="shared" si="15"/>
        <v>2.1912898019442535E-3</v>
      </c>
      <c r="AD55" s="18">
        <f t="shared" si="17"/>
        <v>7.5161766562515863E-3</v>
      </c>
      <c r="AE55" s="18">
        <f t="shared" si="19"/>
        <v>4.0585348689849239E-3</v>
      </c>
      <c r="AF55" s="18">
        <f t="shared" si="21"/>
        <v>6.3899244152933242E-4</v>
      </c>
      <c r="AG55" s="18">
        <f t="shared" si="23"/>
        <v>1.6827743873539349E-3</v>
      </c>
      <c r="AH55" s="18">
        <f t="shared" si="26"/>
        <v>2.3030494909822587E-2</v>
      </c>
      <c r="AJ55" s="18">
        <f>IF(ISNUMBER(Kernel!M55),Kernel!M55,"")</f>
        <v>6.9056590419184341E-2</v>
      </c>
      <c r="AK55" s="18">
        <f t="shared" si="7"/>
        <v>4.7688126803229827E-3</v>
      </c>
      <c r="AM55" s="18">
        <f>IF(ISNUMBER(Forcing!Q55),Forcing!Q55^2,"")</f>
        <v>2.4592198633125893E-3</v>
      </c>
      <c r="AN55" s="18">
        <f>IF(ISNUMBER(Volcanic!G55),Volcanic!G55,"")</f>
        <v>4.1599999999999996E-3</v>
      </c>
      <c r="AO55" s="18">
        <f t="shared" si="34"/>
        <v>4.4397323152274793E-4</v>
      </c>
      <c r="AP55" s="18">
        <f>IF(ISNUMBER(Annual!H55),Annual!H55^2,"")</f>
        <v>1.2697612312007837E-2</v>
      </c>
      <c r="AQ55" s="18">
        <f>IF(ISNUMBER(Annual!E55),Annual!E55,"")</f>
        <v>0.49295906457010003</v>
      </c>
      <c r="AR55" s="18">
        <f t="shared" si="33"/>
        <v>0.24300863934182804</v>
      </c>
      <c r="AS55" s="18">
        <f t="shared" si="35"/>
        <v>1.6809776168368925E-2</v>
      </c>
      <c r="AW55" s="54" t="s">
        <v>2740</v>
      </c>
      <c r="AX55" s="53"/>
      <c r="AY55" s="53"/>
      <c r="AZ55" s="53"/>
      <c r="BA55" s="53"/>
      <c r="BB55" s="53"/>
    </row>
    <row r="56" spans="1:54" ht="60" customHeight="1">
      <c r="A56" s="18" t="str">
        <f>IF(Volcanic!A56="","",Volcanic!A56)</f>
        <v>9/1962</v>
      </c>
      <c r="B56" s="18">
        <f>IF(ISNUMBER(Volcanic!L56),Volcanic!L56,"")</f>
        <v>1962.7083333333333</v>
      </c>
      <c r="C56" s="18">
        <f>IF(ISNUMBER(Volcanic!J56),Volcanic!J56,"")</f>
        <v>0.10199063134563333</v>
      </c>
      <c r="D56" s="18">
        <f t="shared" si="0"/>
        <v>1.0402088882280882E-2</v>
      </c>
      <c r="E56" s="18">
        <f>IF(ISNUMBER(Volcanic!C56),Volcanic!C56,"")</f>
        <v>0.17559303309992255</v>
      </c>
      <c r="F56" s="18">
        <f>IF(ISNUMBER(Volcanic!D56),Volcanic!D56,"")</f>
        <v>-0.13</v>
      </c>
      <c r="G56" s="18">
        <f>IF(ISNUMBER(Volcanic!E56),Volcanic!E56,"")</f>
        <v>3.8899999999999998E-3</v>
      </c>
      <c r="H56" s="18">
        <f t="shared" si="1"/>
        <v>3.0832913273230497E-2</v>
      </c>
      <c r="I56" s="18">
        <f t="shared" si="2"/>
        <v>1.6900000000000002E-2</v>
      </c>
      <c r="J56" s="18">
        <f t="shared" si="3"/>
        <v>1.5132099999999999E-5</v>
      </c>
      <c r="K56" s="18">
        <f t="shared" si="4"/>
        <v>-2.2827094302989931E-2</v>
      </c>
      <c r="L56" s="18">
        <f t="shared" si="5"/>
        <v>6.8305689875869868E-4</v>
      </c>
      <c r="M56" s="18">
        <f t="shared" si="6"/>
        <v>-5.0569999999999999E-4</v>
      </c>
      <c r="N56" s="18">
        <f t="shared" si="9"/>
        <v>6.9581256815834346E-3</v>
      </c>
      <c r="O56" s="18">
        <f t="shared" si="14"/>
        <v>7.6144275098799959E-3</v>
      </c>
      <c r="P56" s="18">
        <f t="shared" si="16"/>
        <v>6.4718928736243039E-3</v>
      </c>
      <c r="Q56" s="18">
        <f t="shared" si="18"/>
        <v>1.5440497063869496E-4</v>
      </c>
      <c r="R56" s="18">
        <f t="shared" si="20"/>
        <v>1.0401899737851284E-2</v>
      </c>
      <c r="S56" s="18">
        <f t="shared" si="22"/>
        <v>2.3276917059613839E-2</v>
      </c>
      <c r="T56" s="18">
        <f t="shared" si="25"/>
        <v>4.9216924630807755E-2</v>
      </c>
      <c r="U56" s="18">
        <f t="shared" si="27"/>
        <v>1.9432488315241511E-2</v>
      </c>
      <c r="V56" s="18">
        <f t="shared" si="28"/>
        <v>2.4947490438850593E-3</v>
      </c>
      <c r="W56" s="18">
        <f t="shared" si="29"/>
        <v>1.9639392325093413E-2</v>
      </c>
      <c r="X56" s="18">
        <f t="shared" si="30"/>
        <v>8.8244056930301042E-3</v>
      </c>
      <c r="Y56" s="18">
        <f t="shared" si="31"/>
        <v>2.7256831130060024E-2</v>
      </c>
      <c r="AA56" s="18">
        <f t="shared" si="10"/>
        <v>6.0049191290418982E-2</v>
      </c>
      <c r="AB56" s="18">
        <f t="shared" si="11"/>
        <v>3.6059053746333308E-3</v>
      </c>
      <c r="AC56" s="18">
        <f t="shared" si="15"/>
        <v>1.5634520483140868E-3</v>
      </c>
      <c r="AD56" s="18">
        <f t="shared" si="17"/>
        <v>2.1912898019442535E-3</v>
      </c>
      <c r="AE56" s="18">
        <f t="shared" si="19"/>
        <v>7.5161766562515863E-3</v>
      </c>
      <c r="AF56" s="18">
        <f t="shared" si="21"/>
        <v>4.0585348689849239E-3</v>
      </c>
      <c r="AG56" s="18">
        <f t="shared" si="23"/>
        <v>6.3899244152933242E-4</v>
      </c>
      <c r="AH56" s="18">
        <f t="shared" si="26"/>
        <v>1.6827743873539349E-3</v>
      </c>
      <c r="AJ56" s="18">
        <f>IF(ISNUMBER(Kernel!M56),Kernel!M56,"")</f>
        <v>9.4585980965877808E-2</v>
      </c>
      <c r="AK56" s="18">
        <f t="shared" si="7"/>
        <v>8.9465077952773989E-3</v>
      </c>
      <c r="AM56" s="18">
        <f>IF(ISNUMBER(Forcing!Q56),Forcing!Q56^2,"")</f>
        <v>6.5253532474465045E-3</v>
      </c>
      <c r="AN56" s="18">
        <f>IF(ISNUMBER(Volcanic!G56),Volcanic!G56,"")</f>
        <v>4.2300000000000003E-3</v>
      </c>
      <c r="AO56" s="18">
        <f t="shared" si="34"/>
        <v>2.4592198633125893E-3</v>
      </c>
      <c r="AP56" s="18">
        <f>IF(ISNUMBER(Annual!H56),Annual!H56^2,"")</f>
        <v>1.1992859492774588E-2</v>
      </c>
      <c r="AQ56" s="18">
        <f>IF(ISNUMBER(Annual!E56),Annual!E56,"")</f>
        <v>0.50274186240145013</v>
      </c>
      <c r="AR56" s="18">
        <f t="shared" si="33"/>
        <v>0.25274938021087862</v>
      </c>
      <c r="AS56" s="18">
        <f t="shared" si="35"/>
        <v>1.2697612312007837E-2</v>
      </c>
      <c r="AW56" s="54" t="s">
        <v>2741</v>
      </c>
      <c r="AX56" s="53"/>
      <c r="AY56" s="53"/>
      <c r="AZ56" s="53"/>
      <c r="BA56" s="53"/>
      <c r="BB56" s="53"/>
    </row>
    <row r="57" spans="1:54" ht="60" customHeight="1">
      <c r="A57" s="18" t="str">
        <f>IF(Volcanic!A57="","",Volcanic!A57)</f>
        <v>10/1962</v>
      </c>
      <c r="B57" s="18">
        <f>IF(ISNUMBER(Volcanic!L57),Volcanic!L57,"")</f>
        <v>1962.7916666666667</v>
      </c>
      <c r="C57" s="18">
        <f>IF(ISNUMBER(Volcanic!J57),Volcanic!J57,"")</f>
        <v>0.1099894270418508</v>
      </c>
      <c r="D57" s="18">
        <f t="shared" si="0"/>
        <v>1.209767406099462E-2</v>
      </c>
      <c r="E57" s="18">
        <f>IF(ISNUMBER(Volcanic!C57),Volcanic!C57,"")</f>
        <v>0.17184731357334099</v>
      </c>
      <c r="F57" s="18">
        <f>IF(ISNUMBER(Volcanic!D57),Volcanic!D57,"")</f>
        <v>0</v>
      </c>
      <c r="G57" s="18">
        <f>IF(ISNUMBER(Volcanic!E57),Volcanic!E57,"")</f>
        <v>3.82E-3</v>
      </c>
      <c r="H57" s="18">
        <f t="shared" si="1"/>
        <v>2.9531499182374184E-2</v>
      </c>
      <c r="I57" s="18">
        <f t="shared" si="2"/>
        <v>0</v>
      </c>
      <c r="J57" s="18">
        <f t="shared" si="3"/>
        <v>1.4592400000000001E-5</v>
      </c>
      <c r="K57" s="18">
        <f t="shared" si="4"/>
        <v>0</v>
      </c>
      <c r="L57" s="18">
        <f t="shared" si="5"/>
        <v>6.5645673785016262E-4</v>
      </c>
      <c r="M57" s="18">
        <f t="shared" si="6"/>
        <v>0</v>
      </c>
      <c r="N57" s="18">
        <f t="shared" si="9"/>
        <v>1.0402088882280882E-2</v>
      </c>
      <c r="O57" s="18">
        <f t="shared" si="14"/>
        <v>6.9581256815834346E-3</v>
      </c>
      <c r="P57" s="18">
        <f t="shared" si="16"/>
        <v>7.6144275098799959E-3</v>
      </c>
      <c r="Q57" s="18">
        <f t="shared" si="18"/>
        <v>6.4718928736243039E-3</v>
      </c>
      <c r="R57" s="18">
        <f t="shared" si="20"/>
        <v>1.5440497063869496E-4</v>
      </c>
      <c r="S57" s="18">
        <f t="shared" si="22"/>
        <v>1.0401899737851284E-2</v>
      </c>
      <c r="T57" s="18">
        <f t="shared" si="25"/>
        <v>2.3276917059613839E-2</v>
      </c>
      <c r="U57" s="18">
        <f t="shared" si="27"/>
        <v>4.9216924630807755E-2</v>
      </c>
      <c r="V57" s="18">
        <f t="shared" si="28"/>
        <v>1.9432488315241511E-2</v>
      </c>
      <c r="W57" s="18">
        <f t="shared" si="29"/>
        <v>2.4947490438850593E-3</v>
      </c>
      <c r="X57" s="18">
        <f t="shared" si="30"/>
        <v>1.9639392325093413E-2</v>
      </c>
      <c r="Y57" s="18">
        <f t="shared" si="31"/>
        <v>8.8244056930301042E-3</v>
      </c>
      <c r="AA57" s="18">
        <f t="shared" si="10"/>
        <v>5.8708309195071001E-2</v>
      </c>
      <c r="AB57" s="18">
        <f t="shared" si="11"/>
        <v>3.4466655685440584E-3</v>
      </c>
      <c r="AC57" s="18">
        <f t="shared" si="15"/>
        <v>3.6059053746333308E-3</v>
      </c>
      <c r="AD57" s="18">
        <f t="shared" si="17"/>
        <v>1.5634520483140868E-3</v>
      </c>
      <c r="AE57" s="18">
        <f t="shared" si="19"/>
        <v>2.1912898019442535E-3</v>
      </c>
      <c r="AF57" s="18">
        <f t="shared" si="21"/>
        <v>7.5161766562515863E-3</v>
      </c>
      <c r="AG57" s="18">
        <f t="shared" si="23"/>
        <v>4.0585348689849239E-3</v>
      </c>
      <c r="AH57" s="18">
        <f t="shared" si="26"/>
        <v>6.3899244152933242E-4</v>
      </c>
      <c r="AJ57" s="18">
        <f>IF(ISNUMBER(Kernel!M57),Kernel!M57,"")</f>
        <v>0.11774081211223589</v>
      </c>
      <c r="AK57" s="18">
        <f t="shared" si="7"/>
        <v>1.3862898836848834E-2</v>
      </c>
      <c r="AM57" s="18">
        <f>IF(ISNUMBER(Forcing!Q57),Forcing!Q57^2,"")</f>
        <v>2.2674663216546371E-3</v>
      </c>
      <c r="AN57" s="18">
        <f>IF(ISNUMBER(Volcanic!G57),Volcanic!G57,"")</f>
        <v>4.3E-3</v>
      </c>
      <c r="AO57" s="18">
        <f t="shared" si="34"/>
        <v>6.5253532474465045E-3</v>
      </c>
      <c r="AP57" s="18">
        <f>IF(ISNUMBER(Annual!H57),Annual!H57^2,"")</f>
        <v>3.3228607184458089E-3</v>
      </c>
      <c r="AQ57" s="18">
        <f>IF(ISNUMBER(Annual!E57),Annual!E57,"")</f>
        <v>0.51026535704843223</v>
      </c>
      <c r="AR57" s="18">
        <f t="shared" si="33"/>
        <v>0.26037073460376403</v>
      </c>
      <c r="AS57" s="18">
        <f t="shared" si="35"/>
        <v>1.1992859492774588E-2</v>
      </c>
      <c r="AW57" s="54" t="s">
        <v>2742</v>
      </c>
      <c r="AX57" s="53"/>
      <c r="AY57" s="53"/>
      <c r="AZ57" s="53"/>
      <c r="BA57" s="53"/>
      <c r="BB57" s="53"/>
    </row>
    <row r="58" spans="1:54" ht="60" customHeight="1">
      <c r="A58" s="18" t="str">
        <f>IF(Volcanic!A58="","",Volcanic!A58)</f>
        <v>11/1962</v>
      </c>
      <c r="B58" s="18">
        <f>IF(ISNUMBER(Volcanic!L58),Volcanic!L58,"")</f>
        <v>1962.875</v>
      </c>
      <c r="C58" s="18">
        <f>IF(ISNUMBER(Volcanic!J58),Volcanic!J58,"")</f>
        <v>0.15352358247327852</v>
      </c>
      <c r="D58" s="18">
        <f t="shared" si="0"/>
        <v>2.3569490375429551E-2</v>
      </c>
      <c r="E58" s="18">
        <f>IF(ISNUMBER(Volcanic!C58),Volcanic!C58,"")</f>
        <v>0.17764448548104073</v>
      </c>
      <c r="F58" s="18">
        <f>IF(ISNUMBER(Volcanic!D58),Volcanic!D58,"")</f>
        <v>-0.1</v>
      </c>
      <c r="G58" s="18">
        <f>IF(ISNUMBER(Volcanic!E58),Volcanic!E58,"")</f>
        <v>3.8500000000000001E-3</v>
      </c>
      <c r="H58" s="18">
        <f t="shared" si="1"/>
        <v>3.1557563221823688E-2</v>
      </c>
      <c r="I58" s="18">
        <f t="shared" si="2"/>
        <v>1.0000000000000002E-2</v>
      </c>
      <c r="J58" s="18">
        <f t="shared" si="3"/>
        <v>1.4822500000000001E-5</v>
      </c>
      <c r="K58" s="18">
        <f t="shared" si="4"/>
        <v>-1.7764448548104075E-2</v>
      </c>
      <c r="L58" s="18">
        <f t="shared" si="5"/>
        <v>6.8393126910200677E-4</v>
      </c>
      <c r="M58" s="18">
        <f t="shared" si="6"/>
        <v>-3.8500000000000003E-4</v>
      </c>
      <c r="N58" s="18">
        <f t="shared" si="9"/>
        <v>1.209767406099462E-2</v>
      </c>
      <c r="O58" s="18">
        <f t="shared" si="14"/>
        <v>1.0402088882280882E-2</v>
      </c>
      <c r="P58" s="18">
        <f t="shared" si="16"/>
        <v>6.9581256815834346E-3</v>
      </c>
      <c r="Q58" s="18">
        <f t="shared" si="18"/>
        <v>7.6144275098799959E-3</v>
      </c>
      <c r="R58" s="18">
        <f t="shared" si="20"/>
        <v>6.4718928736243039E-3</v>
      </c>
      <c r="S58" s="18">
        <f t="shared" si="22"/>
        <v>1.5440497063869496E-4</v>
      </c>
      <c r="T58" s="18">
        <f t="shared" si="25"/>
        <v>1.0401899737851284E-2</v>
      </c>
      <c r="U58" s="18">
        <f t="shared" si="27"/>
        <v>2.3276917059613839E-2</v>
      </c>
      <c r="V58" s="18">
        <f t="shared" si="28"/>
        <v>4.9216924630807755E-2</v>
      </c>
      <c r="W58" s="18">
        <f t="shared" si="29"/>
        <v>1.9432488315241511E-2</v>
      </c>
      <c r="X58" s="18">
        <f t="shared" si="30"/>
        <v>2.4947490438850593E-3</v>
      </c>
      <c r="Y58" s="18">
        <f t="shared" si="31"/>
        <v>1.9639392325093413E-2</v>
      </c>
      <c r="AA58" s="18">
        <f t="shared" si="10"/>
        <v>9.8220652237280631E-2</v>
      </c>
      <c r="AB58" s="18">
        <f t="shared" si="11"/>
        <v>9.6472965259168202E-3</v>
      </c>
      <c r="AC58" s="18">
        <f t="shared" si="15"/>
        <v>3.4466655685440584E-3</v>
      </c>
      <c r="AD58" s="18">
        <f t="shared" si="17"/>
        <v>3.6059053746333308E-3</v>
      </c>
      <c r="AE58" s="18">
        <f t="shared" si="19"/>
        <v>1.5634520483140868E-3</v>
      </c>
      <c r="AF58" s="18">
        <f t="shared" si="21"/>
        <v>2.1912898019442535E-3</v>
      </c>
      <c r="AG58" s="18">
        <f t="shared" si="23"/>
        <v>7.5161766562515863E-3</v>
      </c>
      <c r="AH58" s="18">
        <f t="shared" si="26"/>
        <v>4.0585348689849239E-3</v>
      </c>
      <c r="AJ58" s="18">
        <f>IF(ISNUMBER(Kernel!M58),Kernel!M58,"")</f>
        <v>0.15461056821122715</v>
      </c>
      <c r="AK58" s="18">
        <f t="shared" si="7"/>
        <v>2.3904427802598525E-2</v>
      </c>
      <c r="AM58" s="18">
        <f>IF(ISNUMBER(Forcing!Q58),Forcing!Q58^2,"")</f>
        <v>7.5089051471317143E-4</v>
      </c>
      <c r="AN58" s="18">
        <f>IF(ISNUMBER(Volcanic!G58),Volcanic!G58,"")</f>
        <v>4.2300000000000003E-3</v>
      </c>
      <c r="AO58" s="18">
        <f t="shared" si="34"/>
        <v>2.2674663216546371E-3</v>
      </c>
      <c r="AP58" s="18">
        <f>IF(ISNUMBER(Annual!H58),Annual!H58^2,"")</f>
        <v>4.8651069124505458E-3</v>
      </c>
      <c r="AQ58" s="18">
        <f>IF(ISNUMBER(Annual!E58),Annual!E58,"")</f>
        <v>0.5182044540111318</v>
      </c>
      <c r="AR58" s="18">
        <f t="shared" si="33"/>
        <v>0.26853585615697523</v>
      </c>
      <c r="AS58" s="18">
        <f t="shared" si="35"/>
        <v>3.3228607184458089E-3</v>
      </c>
      <c r="AW58" s="54" t="s">
        <v>2743</v>
      </c>
      <c r="AX58" s="53"/>
      <c r="AY58" s="53"/>
      <c r="AZ58" s="53"/>
      <c r="BA58" s="53"/>
      <c r="BB58" s="53"/>
    </row>
    <row r="59" spans="1:54" ht="60" customHeight="1">
      <c r="A59" s="18" t="str">
        <f>IF(Volcanic!A59="","",Volcanic!A59)</f>
        <v>12/1962</v>
      </c>
      <c r="B59" s="18">
        <f>IF(ISNUMBER(Volcanic!L59),Volcanic!L59,"")</f>
        <v>1962.9583333333333</v>
      </c>
      <c r="C59" s="18">
        <f>IF(ISNUMBER(Volcanic!J59),Volcanic!J59,"")</f>
        <v>5.6650110128826286E-2</v>
      </c>
      <c r="D59" s="18">
        <f t="shared" si="0"/>
        <v>3.2092349776081468E-3</v>
      </c>
      <c r="E59" s="18">
        <f>IF(ISNUMBER(Volcanic!C59),Volcanic!C59,"")</f>
        <v>0.18223826288116377</v>
      </c>
      <c r="F59" s="18">
        <f>IF(ISNUMBER(Volcanic!D59),Volcanic!D59,"")</f>
        <v>-0.16</v>
      </c>
      <c r="G59" s="18">
        <f>IF(ISNUMBER(Volcanic!E59),Volcanic!E59,"")</f>
        <v>3.8899999999999998E-3</v>
      </c>
      <c r="H59" s="18">
        <f t="shared" si="1"/>
        <v>3.3210784457944148E-2</v>
      </c>
      <c r="I59" s="18">
        <f t="shared" si="2"/>
        <v>2.5600000000000001E-2</v>
      </c>
      <c r="J59" s="18">
        <f t="shared" si="3"/>
        <v>1.5132099999999999E-5</v>
      </c>
      <c r="K59" s="18">
        <f t="shared" si="4"/>
        <v>-2.9158122060986204E-2</v>
      </c>
      <c r="L59" s="18">
        <f t="shared" si="5"/>
        <v>7.0890684260772701E-4</v>
      </c>
      <c r="M59" s="18">
        <f t="shared" si="6"/>
        <v>-6.2239999999999995E-4</v>
      </c>
      <c r="N59" s="18">
        <f t="shared" si="9"/>
        <v>2.3569490375429551E-2</v>
      </c>
      <c r="O59" s="18">
        <f t="shared" si="14"/>
        <v>1.209767406099462E-2</v>
      </c>
      <c r="P59" s="18">
        <f t="shared" si="16"/>
        <v>1.0402088882280882E-2</v>
      </c>
      <c r="Q59" s="18">
        <f t="shared" si="18"/>
        <v>6.9581256815834346E-3</v>
      </c>
      <c r="R59" s="18">
        <f t="shared" si="20"/>
        <v>7.6144275098799959E-3</v>
      </c>
      <c r="S59" s="18">
        <f t="shared" si="22"/>
        <v>6.4718928736243039E-3</v>
      </c>
      <c r="T59" s="18">
        <f t="shared" si="25"/>
        <v>1.5440497063869496E-4</v>
      </c>
      <c r="U59" s="18">
        <f t="shared" si="27"/>
        <v>1.0401899737851284E-2</v>
      </c>
      <c r="V59" s="18">
        <f t="shared" si="28"/>
        <v>2.3276917059613839E-2</v>
      </c>
      <c r="W59" s="18">
        <f t="shared" si="29"/>
        <v>4.9216924630807755E-2</v>
      </c>
      <c r="X59" s="18">
        <f t="shared" si="30"/>
        <v>1.9432488315241511E-2</v>
      </c>
      <c r="Y59" s="18">
        <f t="shared" si="31"/>
        <v>2.4947490438850593E-3</v>
      </c>
      <c r="AA59" s="18">
        <f t="shared" si="10"/>
        <v>-2.0541890952056191E-2</v>
      </c>
      <c r="AB59" s="18">
        <f t="shared" si="11"/>
        <v>4.21969283886168E-4</v>
      </c>
      <c r="AC59" s="18">
        <f t="shared" si="15"/>
        <v>9.6472965259168202E-3</v>
      </c>
      <c r="AD59" s="18">
        <f t="shared" si="17"/>
        <v>3.4466655685440584E-3</v>
      </c>
      <c r="AE59" s="18">
        <f t="shared" si="19"/>
        <v>3.6059053746333308E-3</v>
      </c>
      <c r="AF59" s="18">
        <f t="shared" si="21"/>
        <v>1.5634520483140868E-3</v>
      </c>
      <c r="AG59" s="18">
        <f t="shared" si="23"/>
        <v>2.1912898019442535E-3</v>
      </c>
      <c r="AH59" s="18">
        <f t="shared" si="26"/>
        <v>7.5161766562515863E-3</v>
      </c>
      <c r="AJ59" s="18">
        <f>IF(ISNUMBER(Kernel!M59),Kernel!M59,"")</f>
        <v>5.5829920388542786E-2</v>
      </c>
      <c r="AK59" s="18">
        <f t="shared" si="7"/>
        <v>3.1169800105910256E-3</v>
      </c>
      <c r="AM59" s="18">
        <f>IF(ISNUMBER(Forcing!Q59),Forcing!Q59^2,"")</f>
        <v>1.6443760196226055E-4</v>
      </c>
      <c r="AN59" s="18">
        <f>IF(ISNUMBER(Volcanic!G59),Volcanic!G59,"")</f>
        <v>4.1099999999999999E-3</v>
      </c>
      <c r="AO59" s="18">
        <f t="shared" si="34"/>
        <v>7.5089051471317143E-4</v>
      </c>
      <c r="AP59" s="18">
        <f>IF(ISNUMBER(Annual!H59),Annual!H59^2,"")</f>
        <v>2.2657477595010307E-2</v>
      </c>
      <c r="AQ59" s="18">
        <f>IF(ISNUMBER(Annual!E59),Annual!E59,"")</f>
        <v>0.53038105662294244</v>
      </c>
      <c r="AR59" s="18">
        <f t="shared" si="33"/>
        <v>0.28130406522446888</v>
      </c>
      <c r="AS59" s="18">
        <f t="shared" si="35"/>
        <v>4.8651069124505458E-3</v>
      </c>
      <c r="AW59" s="54" t="s">
        <v>2744</v>
      </c>
      <c r="AX59" s="53"/>
      <c r="AY59" s="53"/>
      <c r="AZ59" s="53"/>
      <c r="BA59" s="53"/>
      <c r="BB59" s="53"/>
    </row>
    <row r="60" spans="1:54" ht="60" customHeight="1">
      <c r="A60" s="18" t="str">
        <f>IF(Volcanic!A60="","",Volcanic!A60)</f>
        <v>1/1963</v>
      </c>
      <c r="B60" s="18">
        <f>IF(ISNUMBER(Volcanic!L60),Volcanic!L60,"")</f>
        <v>1963.0416666666667</v>
      </c>
      <c r="C60" s="18">
        <f>IF(ISNUMBER(Volcanic!J60),Volcanic!J60,"")</f>
        <v>5.2317903443103941E-2</v>
      </c>
      <c r="D60" s="18">
        <f t="shared" si="0"/>
        <v>2.7371630206819474E-3</v>
      </c>
      <c r="E60" s="18">
        <f>IF(ISNUMBER(Volcanic!C60),Volcanic!C60,"")</f>
        <v>0.18695325307037156</v>
      </c>
      <c r="F60" s="18">
        <f>IF(ISNUMBER(Volcanic!D60),Volcanic!D60,"")</f>
        <v>-0.25</v>
      </c>
      <c r="G60" s="18">
        <f>IF(ISNUMBER(Volcanic!E60),Volcanic!E60,"")</f>
        <v>3.9699999999999996E-3</v>
      </c>
      <c r="H60" s="18">
        <f t="shared" si="1"/>
        <v>3.4951518833594389E-2</v>
      </c>
      <c r="I60" s="18">
        <f t="shared" si="2"/>
        <v>6.25E-2</v>
      </c>
      <c r="J60" s="18">
        <f t="shared" si="3"/>
        <v>1.5760899999999997E-5</v>
      </c>
      <c r="K60" s="18">
        <f t="shared" si="4"/>
        <v>-4.6738313267592889E-2</v>
      </c>
      <c r="L60" s="18">
        <f t="shared" si="5"/>
        <v>7.4220441468937496E-4</v>
      </c>
      <c r="M60" s="18">
        <f t="shared" si="6"/>
        <v>-9.9249999999999989E-4</v>
      </c>
      <c r="N60" s="18">
        <f t="shared" si="9"/>
        <v>3.2092349776081468E-3</v>
      </c>
      <c r="O60" s="18">
        <f t="shared" si="14"/>
        <v>2.3569490375429551E-2</v>
      </c>
      <c r="P60" s="18">
        <f t="shared" si="16"/>
        <v>1.209767406099462E-2</v>
      </c>
      <c r="Q60" s="18">
        <f t="shared" si="18"/>
        <v>1.0402088882280882E-2</v>
      </c>
      <c r="R60" s="18">
        <f t="shared" si="20"/>
        <v>6.9581256815834346E-3</v>
      </c>
      <c r="S60" s="18">
        <f t="shared" si="22"/>
        <v>7.6144275098799959E-3</v>
      </c>
      <c r="T60" s="18">
        <f t="shared" si="25"/>
        <v>6.4718928736243039E-3</v>
      </c>
      <c r="U60" s="18">
        <f t="shared" si="27"/>
        <v>1.5440497063869496E-4</v>
      </c>
      <c r="V60" s="18">
        <f t="shared" si="28"/>
        <v>1.0401899737851284E-2</v>
      </c>
      <c r="W60" s="18">
        <f t="shared" si="29"/>
        <v>2.3276917059613839E-2</v>
      </c>
      <c r="X60" s="18">
        <f t="shared" si="30"/>
        <v>4.9216924630807755E-2</v>
      </c>
      <c r="Y60" s="18">
        <f t="shared" si="31"/>
        <v>1.9432488315241511E-2</v>
      </c>
      <c r="AA60" s="18">
        <f t="shared" si="10"/>
        <v>2.3834101203421325E-2</v>
      </c>
      <c r="AB60" s="18">
        <f t="shared" si="11"/>
        <v>5.680643801749298E-4</v>
      </c>
      <c r="AC60" s="18">
        <f t="shared" si="15"/>
        <v>4.21969283886168E-4</v>
      </c>
      <c r="AD60" s="18">
        <f t="shared" si="17"/>
        <v>9.6472965259168202E-3</v>
      </c>
      <c r="AE60" s="18">
        <f t="shared" si="19"/>
        <v>3.4466655685440584E-3</v>
      </c>
      <c r="AF60" s="18">
        <f t="shared" si="21"/>
        <v>3.6059053746333308E-3</v>
      </c>
      <c r="AG60" s="18">
        <f t="shared" si="23"/>
        <v>1.5634520483140868E-3</v>
      </c>
      <c r="AH60" s="18">
        <f t="shared" si="26"/>
        <v>2.1912898019442535E-3</v>
      </c>
      <c r="AJ60" s="18">
        <f>IF(ISNUMBER(Kernel!M60),Kernel!M60,"")</f>
        <v>4.635441191344325E-2</v>
      </c>
      <c r="AK60" s="18">
        <f t="shared" si="7"/>
        <v>2.1487315038411694E-3</v>
      </c>
      <c r="AM60" s="18">
        <f>IF(ISNUMBER(Forcing!Q60),Forcing!Q60^2,"")</f>
        <v>1.7934122681224286E-4</v>
      </c>
      <c r="AN60" s="18">
        <f>IF(ISNUMBER(Volcanic!G60),Volcanic!G60,"")</f>
        <v>4.0200000000000001E-3</v>
      </c>
      <c r="AO60" s="18">
        <f t="shared" si="34"/>
        <v>1.6443760196226055E-4</v>
      </c>
      <c r="AP60" s="18">
        <f>IF(ISNUMBER(Annual!H60),Annual!H60^2,"")</f>
        <v>9.0792850336849772E-4</v>
      </c>
      <c r="AQ60" s="18">
        <f>IF(ISNUMBER(Annual!E60),Annual!E60,"")</f>
        <v>0.53872858215798958</v>
      </c>
      <c r="AR60" s="18">
        <f t="shared" si="33"/>
        <v>0.29022848523395772</v>
      </c>
      <c r="AS60" s="18">
        <f t="shared" si="35"/>
        <v>2.2657477595010307E-2</v>
      </c>
      <c r="AW60" s="54" t="s">
        <v>2745</v>
      </c>
      <c r="AX60" s="53"/>
      <c r="AY60" s="53"/>
      <c r="AZ60" s="53"/>
      <c r="BA60" s="53"/>
      <c r="BB60" s="53"/>
    </row>
    <row r="61" spans="1:54">
      <c r="A61" s="18" t="str">
        <f>IF(Volcanic!A61="","",Volcanic!A61)</f>
        <v>2/1963</v>
      </c>
      <c r="B61" s="18">
        <f>IF(ISNUMBER(Volcanic!L61),Volcanic!L61,"")</f>
        <v>1963.125</v>
      </c>
      <c r="C61" s="18">
        <f>IF(ISNUMBER(Volcanic!J61),Volcanic!J61,"")</f>
        <v>0.25842219061253557</v>
      </c>
      <c r="D61" s="18">
        <f t="shared" si="0"/>
        <v>6.6782028600981674E-2</v>
      </c>
      <c r="E61" s="18">
        <f>IF(ISNUMBER(Volcanic!C61),Volcanic!C61,"")</f>
        <v>0.18844614093972484</v>
      </c>
      <c r="F61" s="18">
        <f>IF(ISNUMBER(Volcanic!D61),Volcanic!D61,"")</f>
        <v>-0.25</v>
      </c>
      <c r="G61" s="18">
        <f>IF(ISNUMBER(Volcanic!E61),Volcanic!E61,"")</f>
        <v>4.0499999999999998E-3</v>
      </c>
      <c r="H61" s="18">
        <f t="shared" si="1"/>
        <v>3.5511948035074639E-2</v>
      </c>
      <c r="I61" s="18">
        <f t="shared" si="2"/>
        <v>6.25E-2</v>
      </c>
      <c r="J61" s="18">
        <f t="shared" si="3"/>
        <v>1.6402499999999998E-5</v>
      </c>
      <c r="K61" s="18">
        <f t="shared" si="4"/>
        <v>-4.7111535234931209E-2</v>
      </c>
      <c r="L61" s="18">
        <f t="shared" si="5"/>
        <v>7.6320687080588551E-4</v>
      </c>
      <c r="M61" s="18">
        <f t="shared" si="6"/>
        <v>-1.0124999999999999E-3</v>
      </c>
      <c r="N61" s="18">
        <f t="shared" si="9"/>
        <v>2.7371630206819474E-3</v>
      </c>
      <c r="O61" s="18">
        <f t="shared" si="14"/>
        <v>3.2092349776081468E-3</v>
      </c>
      <c r="P61" s="18">
        <f t="shared" si="16"/>
        <v>2.3569490375429551E-2</v>
      </c>
      <c r="Q61" s="18">
        <f t="shared" si="18"/>
        <v>1.209767406099462E-2</v>
      </c>
      <c r="R61" s="18">
        <f t="shared" si="20"/>
        <v>1.0402088882280882E-2</v>
      </c>
      <c r="S61" s="18">
        <f t="shared" si="22"/>
        <v>6.9581256815834346E-3</v>
      </c>
      <c r="T61" s="18">
        <f t="shared" si="25"/>
        <v>7.6144275098799959E-3</v>
      </c>
      <c r="U61" s="18">
        <f t="shared" si="27"/>
        <v>6.4718928736243039E-3</v>
      </c>
      <c r="V61" s="18">
        <f t="shared" si="28"/>
        <v>1.5440497063869496E-4</v>
      </c>
      <c r="W61" s="18">
        <f t="shared" si="29"/>
        <v>1.0401899737851284E-2</v>
      </c>
      <c r="X61" s="18">
        <f t="shared" si="30"/>
        <v>2.3276917059613839E-2</v>
      </c>
      <c r="Y61" s="18">
        <f t="shared" si="31"/>
        <v>4.9216924630807755E-2</v>
      </c>
      <c r="AA61" s="18">
        <f t="shared" si="10"/>
        <v>0.23211663159633356</v>
      </c>
      <c r="AB61" s="18">
        <f t="shared" si="11"/>
        <v>5.3878130663628031E-2</v>
      </c>
      <c r="AC61" s="18">
        <f t="shared" si="15"/>
        <v>5.680643801749298E-4</v>
      </c>
      <c r="AD61" s="18">
        <f t="shared" si="17"/>
        <v>4.21969283886168E-4</v>
      </c>
      <c r="AE61" s="18">
        <f t="shared" si="19"/>
        <v>9.6472965259168202E-3</v>
      </c>
      <c r="AF61" s="18">
        <f t="shared" si="21"/>
        <v>3.4466655685440584E-3</v>
      </c>
      <c r="AG61" s="18">
        <f t="shared" si="23"/>
        <v>3.6059053746333308E-3</v>
      </c>
      <c r="AH61" s="18">
        <f t="shared" si="26"/>
        <v>1.5634520483140868E-3</v>
      </c>
      <c r="AJ61" s="18">
        <f>IF(ISNUMBER(Kernel!M61),Kernel!M61,"")</f>
        <v>0.25158568578536561</v>
      </c>
      <c r="AK61" s="18">
        <f t="shared" si="7"/>
        <v>6.3295357292092722E-2</v>
      </c>
      <c r="AM61" s="18">
        <f>IF(ISNUMBER(Forcing!Q61),Forcing!Q61^2,"")</f>
        <v>2.7068997739206793E-3</v>
      </c>
      <c r="AN61" s="18">
        <f>IF(ISNUMBER(Volcanic!G61),Volcanic!G61,"")</f>
        <v>3.8899999999999998E-3</v>
      </c>
      <c r="AO61" s="18">
        <f t="shared" si="34"/>
        <v>1.7934122681224286E-4</v>
      </c>
      <c r="AP61" s="18">
        <f>IF(ISNUMBER(Annual!H61),Annual!H61^2,"")</f>
        <v>2.81235970345069E-3</v>
      </c>
      <c r="AQ61" s="18">
        <f>IF(ISNUMBER(Annual!E61),Annual!E61,"")</f>
        <v>0.54565570832238308</v>
      </c>
      <c r="AR61" s="18">
        <f t="shared" si="33"/>
        <v>0.29774015202480159</v>
      </c>
      <c r="AS61" s="18">
        <f t="shared" si="35"/>
        <v>9.0792850336849772E-4</v>
      </c>
    </row>
    <row r="62" spans="1:54" ht="15.75">
      <c r="A62" s="18" t="str">
        <f>IF(Volcanic!A62="","",Volcanic!A62)</f>
        <v>3/1963</v>
      </c>
      <c r="B62" s="18">
        <f>IF(ISNUMBER(Volcanic!L62),Volcanic!L62,"")</f>
        <v>1963.2083333333333</v>
      </c>
      <c r="C62" s="18">
        <f>IF(ISNUMBER(Volcanic!J62),Volcanic!J62,"")</f>
        <v>-6.4570538154882742E-2</v>
      </c>
      <c r="D62" s="18">
        <f t="shared" si="0"/>
        <v>4.1693543976111681E-3</v>
      </c>
      <c r="E62" s="18">
        <f>IF(ISNUMBER(Volcanic!C62),Volcanic!C62,"")</f>
        <v>0.19201376075129936</v>
      </c>
      <c r="F62" s="18">
        <f>IF(ISNUMBER(Volcanic!D62),Volcanic!D62,"")</f>
        <v>-0.32</v>
      </c>
      <c r="G62" s="18">
        <f>IF(ISNUMBER(Volcanic!E62),Volcanic!E62,"")</f>
        <v>4.1599999999999996E-3</v>
      </c>
      <c r="H62" s="18">
        <f t="shared" si="1"/>
        <v>3.6869284317857229E-2</v>
      </c>
      <c r="I62" s="18">
        <f t="shared" si="2"/>
        <v>0.1024</v>
      </c>
      <c r="J62" s="18">
        <f t="shared" si="3"/>
        <v>1.7305599999999996E-5</v>
      </c>
      <c r="K62" s="18">
        <f t="shared" si="4"/>
        <v>-6.1444403440415796E-2</v>
      </c>
      <c r="L62" s="18">
        <f t="shared" si="5"/>
        <v>7.9877724472540528E-4</v>
      </c>
      <c r="M62" s="18">
        <f t="shared" si="6"/>
        <v>-1.3311999999999998E-3</v>
      </c>
      <c r="N62" s="18">
        <f t="shared" si="9"/>
        <v>6.6782028600981674E-2</v>
      </c>
      <c r="O62" s="18">
        <f t="shared" si="14"/>
        <v>2.7371630206819474E-3</v>
      </c>
      <c r="P62" s="18">
        <f t="shared" si="16"/>
        <v>3.2092349776081468E-3</v>
      </c>
      <c r="Q62" s="18">
        <f t="shared" si="18"/>
        <v>2.3569490375429551E-2</v>
      </c>
      <c r="R62" s="18">
        <f t="shared" si="20"/>
        <v>1.209767406099462E-2</v>
      </c>
      <c r="S62" s="18">
        <f t="shared" si="22"/>
        <v>1.0402088882280882E-2</v>
      </c>
      <c r="T62" s="18">
        <f t="shared" si="25"/>
        <v>6.9581256815834346E-3</v>
      </c>
      <c r="U62" s="18">
        <f t="shared" si="27"/>
        <v>7.6144275098799959E-3</v>
      </c>
      <c r="V62" s="18">
        <f t="shared" si="28"/>
        <v>6.4718928736243039E-3</v>
      </c>
      <c r="W62" s="18">
        <f t="shared" si="29"/>
        <v>1.5440497063869496E-4</v>
      </c>
      <c r="X62" s="18">
        <f t="shared" si="30"/>
        <v>1.0401899737851284E-2</v>
      </c>
      <c r="Y62" s="18">
        <f t="shared" si="31"/>
        <v>2.3276917059613839E-2</v>
      </c>
      <c r="AA62" s="18">
        <f t="shared" si="10"/>
        <v>-0.19450579432674103</v>
      </c>
      <c r="AB62" s="18">
        <f t="shared" si="11"/>
        <v>3.7832504026676483E-2</v>
      </c>
      <c r="AC62" s="18">
        <f t="shared" si="15"/>
        <v>5.3878130663628031E-2</v>
      </c>
      <c r="AD62" s="18">
        <f t="shared" si="17"/>
        <v>5.680643801749298E-4</v>
      </c>
      <c r="AE62" s="18">
        <f t="shared" si="19"/>
        <v>4.21969283886168E-4</v>
      </c>
      <c r="AF62" s="18">
        <f t="shared" si="21"/>
        <v>9.6472965259168202E-3</v>
      </c>
      <c r="AG62" s="18">
        <f t="shared" si="23"/>
        <v>3.4466655685440584E-3</v>
      </c>
      <c r="AH62" s="18">
        <f t="shared" si="26"/>
        <v>3.6059053746333308E-3</v>
      </c>
      <c r="AJ62" s="18">
        <f>IF(ISNUMBER(Kernel!M62),Kernel!M62,"")</f>
        <v>-8.2267886333435541E-2</v>
      </c>
      <c r="AK62" s="18">
        <f t="shared" si="7"/>
        <v>6.7680051217710703E-3</v>
      </c>
      <c r="AM62" s="18">
        <f>IF(ISNUMBER(Forcing!Q62),Forcing!Q62^2,"")</f>
        <v>5.7481724620128617E-4</v>
      </c>
      <c r="AN62" s="18">
        <f>IF(ISNUMBER(Volcanic!G62),Volcanic!G62,"")</f>
        <v>5.0600000000000003E-3</v>
      </c>
      <c r="AO62" s="18">
        <f t="shared" si="34"/>
        <v>2.7068997739206793E-3</v>
      </c>
      <c r="AP62" s="18">
        <f>IF(ISNUMBER(Annual!H62),Annual!H62^2,"")</f>
        <v>2.2885575663397894E-3</v>
      </c>
      <c r="AQ62" s="18">
        <f>IF(ISNUMBER(Annual!E62),Annual!E62,"")</f>
        <v>0.55597376133382259</v>
      </c>
      <c r="AR62" s="18">
        <f t="shared" si="33"/>
        <v>0.30910682329167832</v>
      </c>
      <c r="AS62" s="18">
        <f t="shared" si="35"/>
        <v>2.81235970345069E-3</v>
      </c>
      <c r="AW62" s="4" t="s">
        <v>2746</v>
      </c>
    </row>
    <row r="63" spans="1:54" ht="60" customHeight="1">
      <c r="A63" s="18" t="str">
        <f>IF(Volcanic!A63="","",Volcanic!A63)</f>
        <v>4/1963</v>
      </c>
      <c r="B63" s="18">
        <f>IF(ISNUMBER(Volcanic!L63),Volcanic!L63,"")</f>
        <v>1963.2916666666667</v>
      </c>
      <c r="C63" s="18">
        <f>IF(ISNUMBER(Volcanic!J63),Volcanic!J63,"")</f>
        <v>-1.2142963456856087E-2</v>
      </c>
      <c r="D63" s="18">
        <f t="shared" si="0"/>
        <v>1.4745156151454235E-4</v>
      </c>
      <c r="E63" s="18">
        <f>IF(ISNUMBER(Volcanic!C63),Volcanic!C63,"")</f>
        <v>0.198853323377887</v>
      </c>
      <c r="F63" s="18">
        <f>IF(ISNUMBER(Volcanic!D63),Volcanic!D63,"")</f>
        <v>-0.33</v>
      </c>
      <c r="G63" s="18">
        <f>IF(ISNUMBER(Volcanic!E63),Volcanic!E63,"")</f>
        <v>4.2300000000000003E-3</v>
      </c>
      <c r="H63" s="18">
        <f t="shared" si="1"/>
        <v>3.9542644218430498E-2</v>
      </c>
      <c r="I63" s="18">
        <f t="shared" si="2"/>
        <v>0.10890000000000001</v>
      </c>
      <c r="J63" s="18">
        <f t="shared" si="3"/>
        <v>1.7892900000000003E-5</v>
      </c>
      <c r="K63" s="18">
        <f t="shared" si="4"/>
        <v>-6.5621596714702718E-2</v>
      </c>
      <c r="L63" s="18">
        <f t="shared" si="5"/>
        <v>8.4114955788846201E-4</v>
      </c>
      <c r="M63" s="18">
        <f t="shared" si="6"/>
        <v>-1.3959E-3</v>
      </c>
      <c r="N63" s="18">
        <f t="shared" si="9"/>
        <v>4.1693543976111681E-3</v>
      </c>
      <c r="O63" s="18">
        <f t="shared" si="14"/>
        <v>6.6782028600981674E-2</v>
      </c>
      <c r="P63" s="18">
        <f t="shared" si="16"/>
        <v>2.7371630206819474E-3</v>
      </c>
      <c r="Q63" s="18">
        <f t="shared" si="18"/>
        <v>3.2092349776081468E-3</v>
      </c>
      <c r="R63" s="18">
        <f t="shared" si="20"/>
        <v>2.3569490375429551E-2</v>
      </c>
      <c r="S63" s="18">
        <f t="shared" si="22"/>
        <v>1.209767406099462E-2</v>
      </c>
      <c r="T63" s="18">
        <f t="shared" si="25"/>
        <v>1.0402088882280882E-2</v>
      </c>
      <c r="U63" s="18">
        <f t="shared" si="27"/>
        <v>6.9581256815834346E-3</v>
      </c>
      <c r="V63" s="18">
        <f t="shared" si="28"/>
        <v>7.6144275098799959E-3</v>
      </c>
      <c r="W63" s="18">
        <f t="shared" si="29"/>
        <v>6.4718928736243039E-3</v>
      </c>
      <c r="X63" s="18">
        <f t="shared" si="30"/>
        <v>1.5440497063869496E-4</v>
      </c>
      <c r="Y63" s="18">
        <f t="shared" si="31"/>
        <v>1.0401899737851284E-2</v>
      </c>
      <c r="AA63" s="18">
        <f t="shared" si="10"/>
        <v>2.032324773198467E-2</v>
      </c>
      <c r="AB63" s="18">
        <f t="shared" si="11"/>
        <v>4.1303439837562004E-4</v>
      </c>
      <c r="AC63" s="18">
        <f t="shared" si="15"/>
        <v>3.7832504026676483E-2</v>
      </c>
      <c r="AD63" s="18">
        <f t="shared" si="17"/>
        <v>5.3878130663628031E-2</v>
      </c>
      <c r="AE63" s="18">
        <f t="shared" si="19"/>
        <v>5.680643801749298E-4</v>
      </c>
      <c r="AF63" s="18">
        <f t="shared" si="21"/>
        <v>4.21969283886168E-4</v>
      </c>
      <c r="AG63" s="18">
        <f t="shared" si="23"/>
        <v>9.6472965259168202E-3</v>
      </c>
      <c r="AH63" s="18">
        <f t="shared" si="26"/>
        <v>3.4466655685440584E-3</v>
      </c>
      <c r="AJ63" s="18">
        <f>IF(ISNUMBER(Kernel!M63),Kernel!M63,"")</f>
        <v>-3.2759614468938332E-2</v>
      </c>
      <c r="AK63" s="18">
        <f t="shared" si="7"/>
        <v>1.0731923401534737E-3</v>
      </c>
      <c r="AM63" s="18">
        <f>IF(ISNUMBER(Forcing!Q63),Forcing!Q63^2,"")</f>
        <v>1.5135037729538674E-5</v>
      </c>
      <c r="AN63" s="18">
        <f>IF(ISNUMBER(Volcanic!G63),Volcanic!G63,"")</f>
        <v>2.034E-2</v>
      </c>
      <c r="AO63" s="18">
        <f t="shared" si="34"/>
        <v>5.7481724620128617E-4</v>
      </c>
      <c r="AP63" s="18">
        <f>IF(ISNUMBER(Annual!H63),Annual!H63^2,"")</f>
        <v>2.5773492008530135E-3</v>
      </c>
      <c r="AQ63" s="18">
        <f>IF(ISNUMBER(Annual!E63),Annual!E63,"")</f>
        <v>0.56493356806233885</v>
      </c>
      <c r="AR63" s="18">
        <f t="shared" si="33"/>
        <v>0.31914993632364524</v>
      </c>
      <c r="AS63" s="18">
        <f t="shared" si="35"/>
        <v>2.2885575663397894E-3</v>
      </c>
      <c r="AW63" s="54" t="s">
        <v>2747</v>
      </c>
      <c r="AX63" s="53"/>
      <c r="AY63" s="53"/>
      <c r="AZ63" s="53"/>
      <c r="BA63" s="53"/>
      <c r="BB63" s="53"/>
    </row>
    <row r="64" spans="1:54" ht="60" customHeight="1">
      <c r="A64" s="18" t="str">
        <f>IF(Volcanic!A64="","",Volcanic!A64)</f>
        <v>5/1963</v>
      </c>
      <c r="B64" s="18">
        <f>IF(ISNUMBER(Volcanic!L64),Volcanic!L64,"")</f>
        <v>1963.375</v>
      </c>
      <c r="C64" s="18">
        <f>IF(ISNUMBER(Volcanic!J64),Volcanic!J64,"")</f>
        <v>-2.7351562419750924E-2</v>
      </c>
      <c r="D64" s="18">
        <f t="shared" si="0"/>
        <v>7.48107966801531E-4</v>
      </c>
      <c r="E64" s="18">
        <f>IF(ISNUMBER(Volcanic!C64),Volcanic!C64,"")</f>
        <v>0.20270876128709345</v>
      </c>
      <c r="F64" s="18">
        <f>IF(ISNUMBER(Volcanic!D64),Volcanic!D64,"")</f>
        <v>-0.17</v>
      </c>
      <c r="G64" s="18">
        <f>IF(ISNUMBER(Volcanic!E64),Volcanic!E64,"")</f>
        <v>4.3E-3</v>
      </c>
      <c r="H64" s="18">
        <f t="shared" si="1"/>
        <v>4.1090841902547838E-2</v>
      </c>
      <c r="I64" s="18">
        <f t="shared" si="2"/>
        <v>2.8900000000000006E-2</v>
      </c>
      <c r="J64" s="18">
        <f t="shared" si="3"/>
        <v>1.8490000000000001E-5</v>
      </c>
      <c r="K64" s="18">
        <f t="shared" si="4"/>
        <v>-3.446048941880589E-2</v>
      </c>
      <c r="L64" s="18">
        <f t="shared" si="5"/>
        <v>8.7164767353450185E-4</v>
      </c>
      <c r="M64" s="18">
        <f t="shared" si="6"/>
        <v>-7.310000000000001E-4</v>
      </c>
      <c r="N64" s="18">
        <f t="shared" si="9"/>
        <v>1.4745156151454235E-4</v>
      </c>
      <c r="O64" s="18">
        <f t="shared" si="14"/>
        <v>4.1693543976111681E-3</v>
      </c>
      <c r="P64" s="18">
        <f t="shared" si="16"/>
        <v>6.6782028600981674E-2</v>
      </c>
      <c r="Q64" s="18">
        <f t="shared" si="18"/>
        <v>2.7371630206819474E-3</v>
      </c>
      <c r="R64" s="18">
        <f t="shared" si="20"/>
        <v>3.2092349776081468E-3</v>
      </c>
      <c r="S64" s="18">
        <f t="shared" si="22"/>
        <v>2.3569490375429551E-2</v>
      </c>
      <c r="T64" s="18">
        <f t="shared" si="25"/>
        <v>1.209767406099462E-2</v>
      </c>
      <c r="U64" s="18">
        <f t="shared" si="27"/>
        <v>1.0402088882280882E-2</v>
      </c>
      <c r="V64" s="18">
        <f t="shared" si="28"/>
        <v>6.9581256815834346E-3</v>
      </c>
      <c r="W64" s="18">
        <f t="shared" si="29"/>
        <v>7.6144275098799959E-3</v>
      </c>
      <c r="X64" s="18">
        <f t="shared" si="30"/>
        <v>6.4718928736243039E-3</v>
      </c>
      <c r="Y64" s="18">
        <f t="shared" si="31"/>
        <v>1.5440497063869496E-4</v>
      </c>
      <c r="AA64" s="18">
        <f t="shared" si="10"/>
        <v>-2.124605319969413E-2</v>
      </c>
      <c r="AB64" s="18">
        <f t="shared" si="11"/>
        <v>4.513947765642332E-4</v>
      </c>
      <c r="AC64" s="18">
        <f t="shared" si="15"/>
        <v>4.1303439837562004E-4</v>
      </c>
      <c r="AD64" s="18">
        <f t="shared" si="17"/>
        <v>3.7832504026676483E-2</v>
      </c>
      <c r="AE64" s="18">
        <f t="shared" si="19"/>
        <v>5.3878130663628031E-2</v>
      </c>
      <c r="AF64" s="18">
        <f t="shared" si="21"/>
        <v>5.680643801749298E-4</v>
      </c>
      <c r="AG64" s="18">
        <f t="shared" si="23"/>
        <v>4.21969283886168E-4</v>
      </c>
      <c r="AH64" s="18">
        <f t="shared" si="26"/>
        <v>9.6472965259168202E-3</v>
      </c>
      <c r="AJ64" s="18">
        <f>IF(ISNUMBER(Kernel!M64),Kernel!M64,"")</f>
        <v>-3.1140829888959394E-2</v>
      </c>
      <c r="AK64" s="18">
        <f t="shared" si="7"/>
        <v>9.6975128617310673E-4</v>
      </c>
      <c r="AM64" s="18">
        <f>IF(ISNUMBER(Forcing!Q64),Forcing!Q64^2,"")</f>
        <v>3.9064667732671438E-3</v>
      </c>
      <c r="AN64" s="18">
        <f>IF(ISNUMBER(Volcanic!G64),Volcanic!G64,"")</f>
        <v>3.2120000000000003E-2</v>
      </c>
      <c r="AO64" s="18">
        <f t="shared" si="34"/>
        <v>1.5135037729538674E-5</v>
      </c>
      <c r="AP64" s="18">
        <f>IF(ISNUMBER(Annual!H64),Annual!H64^2,"")</f>
        <v>1.651893278398563E-2</v>
      </c>
      <c r="AQ64" s="18">
        <f>IF(ISNUMBER(Annual!E64),Annual!E64,"")</f>
        <v>0.57257663795460223</v>
      </c>
      <c r="AR64" s="18">
        <f t="shared" si="33"/>
        <v>0.32784400633139565</v>
      </c>
      <c r="AS64" s="18">
        <f t="shared" si="35"/>
        <v>2.5773492008530135E-3</v>
      </c>
      <c r="AW64" s="54" t="s">
        <v>2748</v>
      </c>
      <c r="AX64" s="53"/>
      <c r="AY64" s="53"/>
      <c r="AZ64" s="53"/>
      <c r="BA64" s="53"/>
      <c r="BB64" s="53"/>
    </row>
    <row r="65" spans="1:54" ht="60" customHeight="1">
      <c r="A65" s="18" t="str">
        <f>IF(Volcanic!A65="","",Volcanic!A65)</f>
        <v>6/1963</v>
      </c>
      <c r="B65" s="18">
        <f>IF(ISNUMBER(Volcanic!L65),Volcanic!L65,"")</f>
        <v>1963.4583333333333</v>
      </c>
      <c r="C65" s="18">
        <f>IF(ISNUMBER(Volcanic!J65),Volcanic!J65,"")</f>
        <v>7.4960167186851306E-2</v>
      </c>
      <c r="D65" s="18">
        <f t="shared" si="0"/>
        <v>5.6190266646806994E-3</v>
      </c>
      <c r="E65" s="18">
        <f>IF(ISNUMBER(Volcanic!C65),Volcanic!C65,"")</f>
        <v>0.19934703581133892</v>
      </c>
      <c r="F65" s="18">
        <f>IF(ISNUMBER(Volcanic!D65),Volcanic!D65,"")</f>
        <v>0.01</v>
      </c>
      <c r="G65" s="18">
        <f>IF(ISNUMBER(Volcanic!E65),Volcanic!E65,"")</f>
        <v>4.2300000000000003E-3</v>
      </c>
      <c r="H65" s="18">
        <f t="shared" si="1"/>
        <v>3.9739240686767242E-2</v>
      </c>
      <c r="I65" s="18">
        <f t="shared" si="2"/>
        <v>1E-4</v>
      </c>
      <c r="J65" s="18">
        <f t="shared" si="3"/>
        <v>1.7892900000000003E-5</v>
      </c>
      <c r="K65" s="18">
        <f t="shared" si="4"/>
        <v>1.9934703581133894E-3</v>
      </c>
      <c r="L65" s="18">
        <f t="shared" si="5"/>
        <v>8.4323796148196364E-4</v>
      </c>
      <c r="M65" s="18">
        <f t="shared" si="6"/>
        <v>4.2300000000000005E-5</v>
      </c>
      <c r="N65" s="18">
        <f t="shared" si="9"/>
        <v>7.48107966801531E-4</v>
      </c>
      <c r="O65" s="18">
        <f t="shared" si="14"/>
        <v>1.4745156151454235E-4</v>
      </c>
      <c r="P65" s="18">
        <f t="shared" si="16"/>
        <v>4.1693543976111681E-3</v>
      </c>
      <c r="Q65" s="18">
        <f t="shared" si="18"/>
        <v>6.6782028600981674E-2</v>
      </c>
      <c r="R65" s="18">
        <f t="shared" si="20"/>
        <v>2.7371630206819474E-3</v>
      </c>
      <c r="S65" s="18">
        <f t="shared" si="22"/>
        <v>3.2092349776081468E-3</v>
      </c>
      <c r="T65" s="18">
        <f t="shared" si="25"/>
        <v>2.3569490375429551E-2</v>
      </c>
      <c r="U65" s="18">
        <f t="shared" si="27"/>
        <v>1.209767406099462E-2</v>
      </c>
      <c r="V65" s="18">
        <f t="shared" si="28"/>
        <v>1.0402088882280882E-2</v>
      </c>
      <c r="W65" s="18">
        <f t="shared" si="29"/>
        <v>6.9581256815834346E-3</v>
      </c>
      <c r="X65" s="18">
        <f t="shared" si="30"/>
        <v>7.6144275098799959E-3</v>
      </c>
      <c r="Y65" s="18">
        <f t="shared" si="31"/>
        <v>6.4718928736243039E-3</v>
      </c>
      <c r="AA65" s="18">
        <f t="shared" si="10"/>
        <v>8.8712594024837083E-2</v>
      </c>
      <c r="AB65" s="18">
        <f t="shared" si="11"/>
        <v>7.8699243386155596E-3</v>
      </c>
      <c r="AC65" s="18">
        <f t="shared" si="15"/>
        <v>4.513947765642332E-4</v>
      </c>
      <c r="AD65" s="18">
        <f t="shared" si="17"/>
        <v>4.1303439837562004E-4</v>
      </c>
      <c r="AE65" s="18">
        <f t="shared" si="19"/>
        <v>3.7832504026676483E-2</v>
      </c>
      <c r="AF65" s="18">
        <f t="shared" si="21"/>
        <v>5.3878130663628031E-2</v>
      </c>
      <c r="AG65" s="18">
        <f t="shared" si="23"/>
        <v>5.680643801749298E-4</v>
      </c>
      <c r="AH65" s="18">
        <f t="shared" si="26"/>
        <v>4.21969283886168E-4</v>
      </c>
      <c r="AJ65" s="18">
        <f>IF(ISNUMBER(Kernel!M65),Kernel!M65,"")</f>
        <v>8.934496599727812E-2</v>
      </c>
      <c r="AK65" s="18">
        <f t="shared" si="7"/>
        <v>7.9825229490547833E-3</v>
      </c>
      <c r="AM65" s="18">
        <f>IF(ISNUMBER(Forcing!Q65),Forcing!Q65^2,"")</f>
        <v>5.4057167808085884E-3</v>
      </c>
      <c r="AN65" s="18">
        <f>IF(ISNUMBER(Volcanic!G65),Volcanic!G65,"")</f>
        <v>5.5280000000000003E-2</v>
      </c>
      <c r="AO65" s="18">
        <f t="shared" si="34"/>
        <v>3.9064667732671438E-3</v>
      </c>
      <c r="AP65" s="18">
        <f>IF(ISNUMBER(Annual!H65),Annual!H65^2,"")</f>
        <v>1.1075600734915075E-2</v>
      </c>
      <c r="AQ65" s="18">
        <f>IF(ISNUMBER(Annual!E65),Annual!E65,"")</f>
        <v>0.579887058389435</v>
      </c>
      <c r="AR65" s="18">
        <f t="shared" si="33"/>
        <v>0.33626900048755198</v>
      </c>
      <c r="AS65" s="18">
        <f t="shared" si="35"/>
        <v>1.651893278398563E-2</v>
      </c>
      <c r="AW65" s="54" t="s">
        <v>2749</v>
      </c>
      <c r="AX65" s="53"/>
      <c r="AY65" s="53"/>
      <c r="AZ65" s="53"/>
      <c r="BA65" s="53"/>
      <c r="BB65" s="53"/>
    </row>
    <row r="66" spans="1:54">
      <c r="A66" s="18" t="str">
        <f>IF(Volcanic!A66="","",Volcanic!A66)</f>
        <v>7/1963</v>
      </c>
      <c r="B66" s="18">
        <f>IF(ISNUMBER(Volcanic!L66),Volcanic!L66,"")</f>
        <v>1963.5416666666667</v>
      </c>
      <c r="C66" s="18">
        <f>IF(ISNUMBER(Volcanic!J66),Volcanic!J66,"")</f>
        <v>9.5038176478480674E-2</v>
      </c>
      <c r="D66" s="18">
        <f t="shared" ref="D66:D129" si="37">IF(ISNUMBER(C66),C66^2,"")</f>
        <v>9.0322549883548372E-3</v>
      </c>
      <c r="E66" s="18">
        <f>IF(ISNUMBER(Volcanic!C66),Volcanic!C66,"")</f>
        <v>0.19147241176149948</v>
      </c>
      <c r="F66" s="18">
        <f>IF(ISNUMBER(Volcanic!D66),Volcanic!D66,"")</f>
        <v>0.13</v>
      </c>
      <c r="G66" s="18">
        <f>IF(ISNUMBER(Volcanic!E66),Volcanic!E66,"")</f>
        <v>4.1099999999999999E-3</v>
      </c>
      <c r="H66" s="18">
        <f t="shared" ref="H66:H129" si="38">IF(ISNUMBER(E66),E66^2,"")</f>
        <v>3.6661684465765204E-2</v>
      </c>
      <c r="I66" s="18">
        <f t="shared" ref="I66:I129" si="39">IF(ISNUMBER(F66),F66^2,"")</f>
        <v>1.6900000000000002E-2</v>
      </c>
      <c r="J66" s="18">
        <f t="shared" ref="J66:J129" si="40">IF(ISNUMBER(G66),G66^2,"")</f>
        <v>1.68921E-5</v>
      </c>
      <c r="K66" s="18">
        <f t="shared" ref="K66:K129" si="41">IF(AND(ISNUMBER(E66),ISNUMBER(F66)),E66*F66,"")</f>
        <v>2.4891413528994932E-2</v>
      </c>
      <c r="L66" s="18">
        <f t="shared" ref="L66:L129" si="42">IF(AND(ISNUMBER(E66),ISNUMBER(G66)),E66*G66,"")</f>
        <v>7.8695161233976291E-4</v>
      </c>
      <c r="M66" s="18">
        <f t="shared" ref="M66:M129" si="43">IF(AND(ISNUMBER(F66),ISNUMBER(G66)),F66*G66,"")</f>
        <v>5.3430000000000003E-4</v>
      </c>
      <c r="N66" s="18">
        <f t="shared" si="9"/>
        <v>5.6190266646806994E-3</v>
      </c>
      <c r="O66" s="18">
        <f t="shared" si="14"/>
        <v>7.48107966801531E-4</v>
      </c>
      <c r="P66" s="18">
        <f t="shared" si="16"/>
        <v>1.4745156151454235E-4</v>
      </c>
      <c r="Q66" s="18">
        <f t="shared" si="18"/>
        <v>4.1693543976111681E-3</v>
      </c>
      <c r="R66" s="18">
        <f t="shared" si="20"/>
        <v>6.6782028600981674E-2</v>
      </c>
      <c r="S66" s="18">
        <f t="shared" si="22"/>
        <v>2.7371630206819474E-3</v>
      </c>
      <c r="T66" s="18">
        <f t="shared" si="25"/>
        <v>3.2092349776081468E-3</v>
      </c>
      <c r="U66" s="18">
        <f t="shared" si="27"/>
        <v>2.3569490375429551E-2</v>
      </c>
      <c r="V66" s="18">
        <f t="shared" si="28"/>
        <v>1.209767406099462E-2</v>
      </c>
      <c r="W66" s="18">
        <f t="shared" si="29"/>
        <v>1.0402088882280882E-2</v>
      </c>
      <c r="X66" s="18">
        <f t="shared" si="30"/>
        <v>6.9581256815834346E-3</v>
      </c>
      <c r="Y66" s="18">
        <f t="shared" si="31"/>
        <v>7.6144275098799959E-3</v>
      </c>
      <c r="AA66" s="18">
        <f t="shared" si="10"/>
        <v>5.7348036544977665E-2</v>
      </c>
      <c r="AB66" s="18">
        <f t="shared" si="11"/>
        <v>3.288797295564094E-3</v>
      </c>
      <c r="AC66" s="18">
        <f t="shared" si="15"/>
        <v>7.8699243386155596E-3</v>
      </c>
      <c r="AD66" s="18">
        <f t="shared" si="17"/>
        <v>4.513947765642332E-4</v>
      </c>
      <c r="AE66" s="18">
        <f t="shared" si="19"/>
        <v>4.1303439837562004E-4</v>
      </c>
      <c r="AF66" s="18">
        <f t="shared" si="21"/>
        <v>3.7832504026676483E-2</v>
      </c>
      <c r="AG66" s="18">
        <f t="shared" si="23"/>
        <v>5.3878130663628031E-2</v>
      </c>
      <c r="AH66" s="18">
        <f t="shared" si="26"/>
        <v>5.680643801749298E-4</v>
      </c>
      <c r="AJ66" s="18">
        <f>IF(ISNUMBER(Kernel!M66),Kernel!M66,"")</f>
        <v>0.11998319682762826</v>
      </c>
      <c r="AK66" s="18">
        <f t="shared" ref="AK66:AK129" si="44">IF(ISNUMBER(AJ66),AJ66^2,"")</f>
        <v>1.4395967520977384E-2</v>
      </c>
      <c r="AM66" s="18">
        <f>IF(ISNUMBER(Forcing!Q66),Forcing!Q66^2,"")</f>
        <v>2.4779572968209457E-2</v>
      </c>
      <c r="AN66" s="18">
        <f>IF(ISNUMBER(Volcanic!G66),Volcanic!G66,"")</f>
        <v>6.9760000000000003E-2</v>
      </c>
      <c r="AO66" s="18">
        <f t="shared" si="34"/>
        <v>5.4057167808085884E-3</v>
      </c>
      <c r="AP66" s="18">
        <f>IF(ISNUMBER(Annual!H66),Annual!H66^2,"")</f>
        <v>2.2715308549327205E-2</v>
      </c>
      <c r="AQ66" s="18">
        <f>IF(ISNUMBER(Annual!E66),Annual!E66,"")</f>
        <v>0.58865435505823871</v>
      </c>
      <c r="AR66" s="18">
        <f t="shared" ref="AR66:AR68" si="45">IF(ISNUMBER(AQ66),AQ66^2,"")</f>
        <v>0.34651394972903099</v>
      </c>
      <c r="AS66" s="18">
        <f t="shared" si="35"/>
        <v>1.1075600734915075E-2</v>
      </c>
    </row>
    <row r="67" spans="1:54">
      <c r="A67" s="18" t="str">
        <f>IF(Volcanic!A67="","",Volcanic!A67)</f>
        <v>8/1963</v>
      </c>
      <c r="B67" s="18">
        <f>IF(ISNUMBER(Volcanic!L67),Volcanic!L67,"")</f>
        <v>1963.625</v>
      </c>
      <c r="C67" s="18">
        <f>IF(ISNUMBER(Volcanic!J67),Volcanic!J67,"")</f>
        <v>0.28008666857767128</v>
      </c>
      <c r="D67" s="18">
        <f t="shared" si="37"/>
        <v>7.8448541914938275E-2</v>
      </c>
      <c r="E67" s="18">
        <f>IF(ISNUMBER(Volcanic!C67),Volcanic!C67,"")</f>
        <v>0.18255610212855772</v>
      </c>
      <c r="F67" s="18">
        <f>IF(ISNUMBER(Volcanic!D67),Volcanic!D67,"")</f>
        <v>0.12</v>
      </c>
      <c r="G67" s="18">
        <f>IF(ISNUMBER(Volcanic!E67),Volcanic!E67,"")</f>
        <v>4.0200000000000001E-3</v>
      </c>
      <c r="H67" s="18">
        <f t="shared" si="38"/>
        <v>3.3326730424372397E-2</v>
      </c>
      <c r="I67" s="18">
        <f t="shared" si="39"/>
        <v>1.44E-2</v>
      </c>
      <c r="J67" s="18">
        <f t="shared" si="40"/>
        <v>1.6160400000000002E-5</v>
      </c>
      <c r="K67" s="18">
        <f t="shared" si="41"/>
        <v>2.1906732255426924E-2</v>
      </c>
      <c r="L67" s="18">
        <f t="shared" si="42"/>
        <v>7.3387553055680209E-4</v>
      </c>
      <c r="M67" s="18">
        <f t="shared" si="43"/>
        <v>4.8240000000000002E-4</v>
      </c>
      <c r="N67" s="18">
        <f t="shared" ref="N67:N130" si="46">IF(ISNUMBER(D66),D66,"")</f>
        <v>9.0322549883548372E-3</v>
      </c>
      <c r="O67" s="18">
        <f t="shared" si="14"/>
        <v>5.6190266646806994E-3</v>
      </c>
      <c r="P67" s="18">
        <f t="shared" si="16"/>
        <v>7.48107966801531E-4</v>
      </c>
      <c r="Q67" s="18">
        <f t="shared" si="18"/>
        <v>1.4745156151454235E-4</v>
      </c>
      <c r="R67" s="18">
        <f t="shared" si="20"/>
        <v>4.1693543976111681E-3</v>
      </c>
      <c r="S67" s="18">
        <f t="shared" si="22"/>
        <v>6.6782028600981674E-2</v>
      </c>
      <c r="T67" s="18">
        <f t="shared" si="25"/>
        <v>2.7371630206819474E-3</v>
      </c>
      <c r="U67" s="18">
        <f t="shared" si="27"/>
        <v>3.2092349776081468E-3</v>
      </c>
      <c r="V67" s="18">
        <f t="shared" si="28"/>
        <v>2.3569490375429551E-2</v>
      </c>
      <c r="W67" s="18">
        <f t="shared" si="29"/>
        <v>1.209767406099462E-2</v>
      </c>
      <c r="X67" s="18">
        <f t="shared" si="30"/>
        <v>1.0402088882280882E-2</v>
      </c>
      <c r="Y67" s="18">
        <f t="shared" si="31"/>
        <v>6.9581256815834346E-3</v>
      </c>
      <c r="AA67" s="18">
        <f t="shared" ref="AA67:AA130" si="47">IF(AND(ISNUMBER(C67),ISNUMBER(C66)),C67-$AX$16*C66,"")</f>
        <v>0.23230126060799422</v>
      </c>
      <c r="AB67" s="18">
        <f t="shared" ref="AB67:AB130" si="48">IF(ISNUMBER(AA67),AA67^2,"")</f>
        <v>5.396387568006325E-2</v>
      </c>
      <c r="AC67" s="18">
        <f t="shared" si="15"/>
        <v>3.288797295564094E-3</v>
      </c>
      <c r="AD67" s="18">
        <f t="shared" si="17"/>
        <v>7.8699243386155596E-3</v>
      </c>
      <c r="AE67" s="18">
        <f t="shared" si="19"/>
        <v>4.513947765642332E-4</v>
      </c>
      <c r="AF67" s="18">
        <f t="shared" si="21"/>
        <v>4.1303439837562004E-4</v>
      </c>
      <c r="AG67" s="18">
        <f t="shared" si="23"/>
        <v>3.7832504026676483E-2</v>
      </c>
      <c r="AH67" s="18">
        <f t="shared" si="26"/>
        <v>5.3878130663628031E-2</v>
      </c>
      <c r="AJ67" s="18">
        <f>IF(ISNUMBER(Kernel!M67),Kernel!M67,"")</f>
        <v>0.29971036045663624</v>
      </c>
      <c r="AK67" s="18">
        <f t="shared" si="44"/>
        <v>8.9826300165046821E-2</v>
      </c>
      <c r="AM67" s="18">
        <f>IF(ISNUMBER(Forcing!Q67),Forcing!Q67^2,"")</f>
        <v>1.9026533864594096E-2</v>
      </c>
      <c r="AN67" s="18">
        <f>IF(ISNUMBER(Volcanic!G67),Volcanic!G67,"")</f>
        <v>7.7710000000000001E-2</v>
      </c>
      <c r="AO67" s="18">
        <f t="shared" si="34"/>
        <v>2.4779572968209457E-2</v>
      </c>
      <c r="AP67" s="18">
        <f>IF(ISNUMBER(Annual!H67),Annual!H67^2,"")</f>
        <v>5.3393188387254105E-2</v>
      </c>
      <c r="AQ67" s="18">
        <f>IF(ISNUMBER(Annual!E67),Annual!E67,"")</f>
        <v>0.6006802435656321</v>
      </c>
      <c r="AR67" s="18">
        <f t="shared" si="45"/>
        <v>0.3608167550100671</v>
      </c>
      <c r="AS67" s="18">
        <f t="shared" si="35"/>
        <v>2.2715308549327205E-2</v>
      </c>
    </row>
    <row r="68" spans="1:54">
      <c r="A68" s="18" t="str">
        <f>IF(Volcanic!A68="","",Volcanic!A68)</f>
        <v>9/1963</v>
      </c>
      <c r="B68" s="18">
        <f>IF(ISNUMBER(Volcanic!L68),Volcanic!L68,"")</f>
        <v>1963.7083333333333</v>
      </c>
      <c r="C68" s="18">
        <f>IF(ISNUMBER(Volcanic!J68),Volcanic!J68,"")</f>
        <v>0.21854281764881681</v>
      </c>
      <c r="D68" s="18">
        <f t="shared" si="37"/>
        <v>4.7760963145883996E-2</v>
      </c>
      <c r="E68" s="18">
        <f>IF(ISNUMBER(Volcanic!C68),Volcanic!C68,"")</f>
        <v>0.17545616583370666</v>
      </c>
      <c r="F68" s="18">
        <f>IF(ISNUMBER(Volcanic!D68),Volcanic!D68,"")</f>
        <v>0.45</v>
      </c>
      <c r="G68" s="18">
        <f>IF(ISNUMBER(Volcanic!E68),Volcanic!E68,"")</f>
        <v>3.8899999999999998E-3</v>
      </c>
      <c r="H68" s="18">
        <f t="shared" si="38"/>
        <v>3.0784866129065173E-2</v>
      </c>
      <c r="I68" s="18">
        <f t="shared" si="39"/>
        <v>0.20250000000000001</v>
      </c>
      <c r="J68" s="18">
        <f t="shared" si="40"/>
        <v>1.5132099999999999E-5</v>
      </c>
      <c r="K68" s="18">
        <f t="shared" si="41"/>
        <v>7.8955274625167993E-2</v>
      </c>
      <c r="L68" s="18">
        <f t="shared" si="42"/>
        <v>6.8252448509311889E-4</v>
      </c>
      <c r="M68" s="18">
        <f t="shared" si="43"/>
        <v>1.7504999999999999E-3</v>
      </c>
      <c r="N68" s="18">
        <f t="shared" si="46"/>
        <v>7.8448541914938275E-2</v>
      </c>
      <c r="O68" s="18">
        <f t="shared" ref="O68:O131" si="49">IF(ISNUMBER(D66),D66,"")</f>
        <v>9.0322549883548372E-3</v>
      </c>
      <c r="P68" s="18">
        <f t="shared" si="16"/>
        <v>5.6190266646806994E-3</v>
      </c>
      <c r="Q68" s="18">
        <f t="shared" si="18"/>
        <v>7.48107966801531E-4</v>
      </c>
      <c r="R68" s="18">
        <f t="shared" si="20"/>
        <v>1.4745156151454235E-4</v>
      </c>
      <c r="S68" s="18">
        <f t="shared" si="22"/>
        <v>4.1693543976111681E-3</v>
      </c>
      <c r="T68" s="18">
        <f t="shared" si="25"/>
        <v>6.6782028600981674E-2</v>
      </c>
      <c r="U68" s="18">
        <f t="shared" si="27"/>
        <v>2.7371630206819474E-3</v>
      </c>
      <c r="V68" s="18">
        <f t="shared" si="28"/>
        <v>3.2092349776081468E-3</v>
      </c>
      <c r="W68" s="18">
        <f t="shared" si="29"/>
        <v>2.3569490375429551E-2</v>
      </c>
      <c r="X68" s="18">
        <f t="shared" si="30"/>
        <v>1.209767406099462E-2</v>
      </c>
      <c r="Y68" s="18">
        <f t="shared" si="31"/>
        <v>1.0402088882280882E-2</v>
      </c>
      <c r="AA68" s="18">
        <f t="shared" si="47"/>
        <v>7.77146134388772E-2</v>
      </c>
      <c r="AB68" s="18">
        <f t="shared" si="48"/>
        <v>6.0395611419541131E-3</v>
      </c>
      <c r="AC68" s="18">
        <f t="shared" ref="AC68:AC131" si="50">IF(ISNUMBER(AB67),AB67,"")</f>
        <v>5.396387568006325E-2</v>
      </c>
      <c r="AD68" s="18">
        <f t="shared" si="17"/>
        <v>3.288797295564094E-3</v>
      </c>
      <c r="AE68" s="18">
        <f t="shared" si="19"/>
        <v>7.8699243386155596E-3</v>
      </c>
      <c r="AF68" s="18">
        <f t="shared" si="21"/>
        <v>4.513947765642332E-4</v>
      </c>
      <c r="AG68" s="18">
        <f t="shared" si="23"/>
        <v>4.1303439837562004E-4</v>
      </c>
      <c r="AH68" s="18">
        <f t="shared" si="26"/>
        <v>3.7832504026676483E-2</v>
      </c>
      <c r="AJ68" s="18">
        <f>IF(ISNUMBER(Kernel!M68),Kernel!M68,"")</f>
        <v>0.26728571177383942</v>
      </c>
      <c r="AK68" s="18">
        <f t="shared" si="44"/>
        <v>7.1441651718447963E-2</v>
      </c>
      <c r="AM68" s="18">
        <f>IF(ISNUMBER(Forcing!Q68),Forcing!Q68^2,"")</f>
        <v>1.3018248022677169E-2</v>
      </c>
      <c r="AN68" s="18">
        <f>IF(ISNUMBER(Volcanic!G68),Volcanic!G68,"")</f>
        <v>8.0869999999999997E-2</v>
      </c>
      <c r="AO68" s="18">
        <f t="shared" si="34"/>
        <v>1.9026533864594096E-2</v>
      </c>
      <c r="AP68" s="18">
        <f>IF(ISNUMBER(Annual!H68),Annual!H68^2,"")</f>
        <v>1.2787083404098004E-2</v>
      </c>
      <c r="AQ68" s="18">
        <f>IF(ISNUMBER(Annual!E68),Annual!E68,"")</f>
        <v>0.60997494216523618</v>
      </c>
      <c r="AR68" s="18">
        <f t="shared" si="45"/>
        <v>0.37206943006948323</v>
      </c>
      <c r="AS68" s="18">
        <f t="shared" si="35"/>
        <v>5.3393188387254105E-2</v>
      </c>
    </row>
    <row r="69" spans="1:54">
      <c r="A69" s="18" t="str">
        <f>IF(Volcanic!A69="","",Volcanic!A69)</f>
        <v>10/1963</v>
      </c>
      <c r="B69" s="18">
        <f>IF(ISNUMBER(Volcanic!L69),Volcanic!L69,"")</f>
        <v>1963.7916666666667</v>
      </c>
      <c r="C69" s="18">
        <f>IF(ISNUMBER(Volcanic!J69),Volcanic!J69,"")</f>
        <v>0.17508935664175773</v>
      </c>
      <c r="D69" s="18">
        <f t="shared" si="37"/>
        <v>3.0656282809224632E-2</v>
      </c>
      <c r="E69" s="18">
        <f>IF(ISNUMBER(Volcanic!C69),Volcanic!C69,"")</f>
        <v>0.17445207560337639</v>
      </c>
      <c r="F69" s="18">
        <f>IF(ISNUMBER(Volcanic!D69),Volcanic!D69,"")</f>
        <v>0.76</v>
      </c>
      <c r="G69" s="18">
        <f>IF(ISNUMBER(Volcanic!E69),Volcanic!E69,"")</f>
        <v>5.0600000000000003E-3</v>
      </c>
      <c r="H69" s="18">
        <f t="shared" si="38"/>
        <v>3.0433526682326153E-2</v>
      </c>
      <c r="I69" s="18">
        <f t="shared" si="39"/>
        <v>0.5776</v>
      </c>
      <c r="J69" s="18">
        <f t="shared" si="40"/>
        <v>2.5603600000000003E-5</v>
      </c>
      <c r="K69" s="18">
        <f t="shared" si="41"/>
        <v>0.13258357745856605</v>
      </c>
      <c r="L69" s="18">
        <f t="shared" si="42"/>
        <v>8.8272750255308458E-4</v>
      </c>
      <c r="M69" s="18">
        <f t="shared" si="43"/>
        <v>3.8456000000000002E-3</v>
      </c>
      <c r="N69" s="18">
        <f t="shared" si="46"/>
        <v>4.7760963145883996E-2</v>
      </c>
      <c r="O69" s="18">
        <f t="shared" si="49"/>
        <v>7.8448541914938275E-2</v>
      </c>
      <c r="P69" s="18">
        <f t="shared" ref="P69:P132" si="51">IF(ISNUMBER(D66),D66,"")</f>
        <v>9.0322549883548372E-3</v>
      </c>
      <c r="Q69" s="18">
        <f t="shared" si="18"/>
        <v>5.6190266646806994E-3</v>
      </c>
      <c r="R69" s="18">
        <f t="shared" si="20"/>
        <v>7.48107966801531E-4</v>
      </c>
      <c r="S69" s="18">
        <f t="shared" si="22"/>
        <v>1.4745156151454235E-4</v>
      </c>
      <c r="T69" s="18">
        <f t="shared" si="25"/>
        <v>4.1693543976111681E-3</v>
      </c>
      <c r="U69" s="18">
        <f t="shared" si="27"/>
        <v>6.6782028600981674E-2</v>
      </c>
      <c r="V69" s="18">
        <f t="shared" si="28"/>
        <v>2.7371630206819474E-3</v>
      </c>
      <c r="W69" s="18">
        <f t="shared" si="29"/>
        <v>3.2092349776081468E-3</v>
      </c>
      <c r="X69" s="18">
        <f t="shared" si="30"/>
        <v>2.3569490375429551E-2</v>
      </c>
      <c r="Y69" s="18">
        <f t="shared" si="31"/>
        <v>1.209767406099462E-2</v>
      </c>
      <c r="AA69" s="18">
        <f t="shared" si="47"/>
        <v>6.5205538505199945E-2</v>
      </c>
      <c r="AB69" s="18">
        <f t="shared" si="48"/>
        <v>4.2517622517531124E-3</v>
      </c>
      <c r="AC69" s="18">
        <f t="shared" si="50"/>
        <v>6.0395611419541131E-3</v>
      </c>
      <c r="AD69" s="18">
        <f t="shared" ref="AD69:AD132" si="52">IF(ISNUMBER(AB67),AB67,"")</f>
        <v>5.396387568006325E-2</v>
      </c>
      <c r="AE69" s="18">
        <f t="shared" si="19"/>
        <v>3.288797295564094E-3</v>
      </c>
      <c r="AF69" s="18">
        <f t="shared" si="21"/>
        <v>7.8699243386155596E-3</v>
      </c>
      <c r="AG69" s="18">
        <f t="shared" si="23"/>
        <v>4.513947765642332E-4</v>
      </c>
      <c r="AH69" s="18">
        <f t="shared" si="26"/>
        <v>4.1303439837562004E-4</v>
      </c>
      <c r="AJ69" s="18">
        <f>IF(ISNUMBER(Kernel!M69),Kernel!M69,"")</f>
        <v>0.24889987473823877</v>
      </c>
      <c r="AK69" s="18">
        <f t="shared" si="44"/>
        <v>6.1951147644710949E-2</v>
      </c>
      <c r="AN69" s="18">
        <f>IF(ISNUMBER(Volcanic!G69),Volcanic!G69,"")</f>
        <v>8.0670000000000006E-2</v>
      </c>
    </row>
    <row r="70" spans="1:54">
      <c r="A70" s="18" t="str">
        <f>IF(Volcanic!A70="","",Volcanic!A70)</f>
        <v>11/1963</v>
      </c>
      <c r="B70" s="18">
        <f>IF(ISNUMBER(Volcanic!L70),Volcanic!L70,"")</f>
        <v>1963.875</v>
      </c>
      <c r="C70" s="18">
        <f>IF(ISNUMBER(Volcanic!J70),Volcanic!J70,"")</f>
        <v>0.16466268834862521</v>
      </c>
      <c r="D70" s="18">
        <f t="shared" si="37"/>
        <v>2.7113800934196474E-2</v>
      </c>
      <c r="E70" s="18">
        <f>IF(ISNUMBER(Volcanic!C70),Volcanic!C70,"")</f>
        <v>0.179374554217585</v>
      </c>
      <c r="F70" s="18">
        <f>IF(ISNUMBER(Volcanic!D70),Volcanic!D70,"")</f>
        <v>1.0900000000000001</v>
      </c>
      <c r="G70" s="18">
        <f>IF(ISNUMBER(Volcanic!E70),Volcanic!E70,"")</f>
        <v>2.034E-2</v>
      </c>
      <c r="H70" s="18">
        <f t="shared" si="38"/>
        <v>3.217523070075734E-2</v>
      </c>
      <c r="I70" s="18">
        <f t="shared" si="39"/>
        <v>1.1881000000000002</v>
      </c>
      <c r="J70" s="18">
        <f t="shared" si="40"/>
        <v>4.1371560000000003E-4</v>
      </c>
      <c r="K70" s="18">
        <f t="shared" si="41"/>
        <v>0.19551826409716766</v>
      </c>
      <c r="L70" s="18">
        <f t="shared" si="42"/>
        <v>3.648478432785679E-3</v>
      </c>
      <c r="M70" s="18">
        <f t="shared" si="43"/>
        <v>2.2170600000000002E-2</v>
      </c>
      <c r="N70" s="18">
        <f t="shared" si="46"/>
        <v>3.0656282809224632E-2</v>
      </c>
      <c r="O70" s="18">
        <f t="shared" si="49"/>
        <v>4.7760963145883996E-2</v>
      </c>
      <c r="P70" s="18">
        <f t="shared" si="51"/>
        <v>7.8448541914938275E-2</v>
      </c>
      <c r="Q70" s="18">
        <f t="shared" ref="Q70:Q133" si="53">IF(ISNUMBER(D66),D66,"")</f>
        <v>9.0322549883548372E-3</v>
      </c>
      <c r="R70" s="18">
        <f t="shared" si="20"/>
        <v>5.6190266646806994E-3</v>
      </c>
      <c r="S70" s="18">
        <f t="shared" si="22"/>
        <v>7.48107966801531E-4</v>
      </c>
      <c r="T70" s="18">
        <f t="shared" si="25"/>
        <v>1.4745156151454235E-4</v>
      </c>
      <c r="U70" s="18">
        <f t="shared" si="27"/>
        <v>4.1693543976111681E-3</v>
      </c>
      <c r="V70" s="18">
        <f t="shared" si="28"/>
        <v>6.6782028600981674E-2</v>
      </c>
      <c r="W70" s="18">
        <f t="shared" si="29"/>
        <v>2.7371630206819474E-3</v>
      </c>
      <c r="X70" s="18">
        <f t="shared" si="30"/>
        <v>3.2092349776081468E-3</v>
      </c>
      <c r="Y70" s="18">
        <f t="shared" si="31"/>
        <v>2.3569490375429551E-2</v>
      </c>
      <c r="AA70" s="18">
        <f t="shared" si="47"/>
        <v>7.6627367719665732E-2</v>
      </c>
      <c r="AB70" s="18">
        <f t="shared" si="48"/>
        <v>5.8717534836448702E-3</v>
      </c>
      <c r="AC70" s="18">
        <f t="shared" si="50"/>
        <v>4.2517622517531124E-3</v>
      </c>
      <c r="AD70" s="18">
        <f t="shared" si="52"/>
        <v>6.0395611419541131E-3</v>
      </c>
      <c r="AE70" s="18">
        <f t="shared" ref="AE70:AE133" si="54">IF(ISNUMBER(AB67),AB67,"")</f>
        <v>5.396387568006325E-2</v>
      </c>
      <c r="AF70" s="18">
        <f t="shared" si="21"/>
        <v>3.288797295564094E-3</v>
      </c>
      <c r="AG70" s="18">
        <f t="shared" si="23"/>
        <v>7.8699243386155596E-3</v>
      </c>
      <c r="AH70" s="18">
        <f t="shared" si="26"/>
        <v>4.513947765642332E-4</v>
      </c>
      <c r="AJ70" s="18">
        <f>IF(ISNUMBER(Kernel!M70),Kernel!M70,"")</f>
        <v>0.23373840197766127</v>
      </c>
      <c r="AK70" s="18">
        <f t="shared" si="44"/>
        <v>5.4633640559070766E-2</v>
      </c>
      <c r="AN70" s="18">
        <f>IF(ISNUMBER(Volcanic!G70),Volcanic!G70,"")</f>
        <v>7.8039999999999998E-2</v>
      </c>
    </row>
    <row r="71" spans="1:54">
      <c r="A71" s="18" t="str">
        <f>IF(Volcanic!A71="","",Volcanic!A71)</f>
        <v>12/1963</v>
      </c>
      <c r="B71" s="18">
        <f>IF(ISNUMBER(Volcanic!L71),Volcanic!L71,"")</f>
        <v>1963.9583333333333</v>
      </c>
      <c r="C71" s="18">
        <f>IF(ISNUMBER(Volcanic!J71),Volcanic!J71,"")</f>
        <v>-5.2700054922431988E-3</v>
      </c>
      <c r="D71" s="18">
        <f t="shared" si="37"/>
        <v>2.7772957888273479E-5</v>
      </c>
      <c r="E71" s="18">
        <f>IF(ISNUMBER(Volcanic!C71),Volcanic!C71,"")</f>
        <v>0.18518693705150802</v>
      </c>
      <c r="F71" s="18">
        <f>IF(ISNUMBER(Volcanic!D71),Volcanic!D71,"")</f>
        <v>1.0900000000000001</v>
      </c>
      <c r="G71" s="18">
        <f>IF(ISNUMBER(Volcanic!E71),Volcanic!E71,"")</f>
        <v>3.2120000000000003E-2</v>
      </c>
      <c r="H71" s="18">
        <f t="shared" si="38"/>
        <v>3.4294201654519192E-2</v>
      </c>
      <c r="I71" s="18">
        <f t="shared" si="39"/>
        <v>1.1881000000000002</v>
      </c>
      <c r="J71" s="18">
        <f t="shared" si="40"/>
        <v>1.0316944000000002E-3</v>
      </c>
      <c r="K71" s="18">
        <f t="shared" si="41"/>
        <v>0.20185376138614375</v>
      </c>
      <c r="L71" s="18">
        <f t="shared" si="42"/>
        <v>5.9482044180944379E-3</v>
      </c>
      <c r="M71" s="18">
        <f t="shared" si="43"/>
        <v>3.5010800000000009E-2</v>
      </c>
      <c r="N71" s="18">
        <f t="shared" si="46"/>
        <v>2.7113800934196474E-2</v>
      </c>
      <c r="O71" s="18">
        <f t="shared" si="49"/>
        <v>3.0656282809224632E-2</v>
      </c>
      <c r="P71" s="18">
        <f t="shared" si="51"/>
        <v>4.7760963145883996E-2</v>
      </c>
      <c r="Q71" s="18">
        <f t="shared" si="53"/>
        <v>7.8448541914938275E-2</v>
      </c>
      <c r="R71" s="18">
        <f t="shared" ref="R71:R134" si="55">IF(ISNUMBER(D66),D66,"")</f>
        <v>9.0322549883548372E-3</v>
      </c>
      <c r="S71" s="18">
        <f t="shared" si="22"/>
        <v>5.6190266646806994E-3</v>
      </c>
      <c r="T71" s="18">
        <f t="shared" si="25"/>
        <v>7.48107966801531E-4</v>
      </c>
      <c r="U71" s="18">
        <f t="shared" si="27"/>
        <v>1.4745156151454235E-4</v>
      </c>
      <c r="V71" s="18">
        <f t="shared" si="28"/>
        <v>4.1693543976111681E-3</v>
      </c>
      <c r="W71" s="18">
        <f t="shared" si="29"/>
        <v>6.6782028600981674E-2</v>
      </c>
      <c r="X71" s="18">
        <f t="shared" si="30"/>
        <v>2.7371630206819474E-3</v>
      </c>
      <c r="Y71" s="18">
        <f t="shared" si="31"/>
        <v>3.2092349776081468E-3</v>
      </c>
      <c r="AA71" s="18">
        <f t="shared" si="47"/>
        <v>-8.8062773953078433E-2</v>
      </c>
      <c r="AB71" s="18">
        <f t="shared" si="48"/>
        <v>7.7550521563109895E-3</v>
      </c>
      <c r="AC71" s="18">
        <f t="shared" si="50"/>
        <v>5.8717534836448702E-3</v>
      </c>
      <c r="AD71" s="18">
        <f t="shared" si="52"/>
        <v>4.2517622517531124E-3</v>
      </c>
      <c r="AE71" s="18">
        <f t="shared" si="54"/>
        <v>6.0395611419541131E-3</v>
      </c>
      <c r="AF71" s="18">
        <f t="shared" ref="AF71:AF134" si="56">IF(ISNUMBER(AB67),AB67,"")</f>
        <v>5.396387568006325E-2</v>
      </c>
      <c r="AG71" s="18">
        <f t="shared" si="23"/>
        <v>3.288797295564094E-3</v>
      </c>
      <c r="AH71" s="18">
        <f t="shared" si="26"/>
        <v>7.8699243386155596E-3</v>
      </c>
      <c r="AJ71" s="18">
        <f>IF(ISNUMBER(Kernel!M71),Kernel!M71,"")</f>
        <v>3.7589188016860411E-2</v>
      </c>
      <c r="AK71" s="18">
        <f t="shared" si="44"/>
        <v>1.4129470557668823E-3</v>
      </c>
      <c r="AN71" s="18">
        <f>IF(ISNUMBER(Volcanic!G71),Volcanic!G71,"")</f>
        <v>7.3910000000000003E-2</v>
      </c>
    </row>
    <row r="72" spans="1:54">
      <c r="A72" s="18" t="str">
        <f>IF(Volcanic!A72="","",Volcanic!A72)</f>
        <v>1/1964</v>
      </c>
      <c r="B72" s="18">
        <f>IF(ISNUMBER(Volcanic!L72),Volcanic!L72,"")</f>
        <v>1964.0416666666667</v>
      </c>
      <c r="C72" s="18">
        <f>IF(ISNUMBER(Volcanic!J72),Volcanic!J72,"")</f>
        <v>-3.3072172414847265E-2</v>
      </c>
      <c r="D72" s="18">
        <f t="shared" si="37"/>
        <v>1.0937685882373843E-3</v>
      </c>
      <c r="E72" s="18">
        <f>IF(ISNUMBER(Volcanic!C72),Volcanic!C72,"")</f>
        <v>0.1907051528018969</v>
      </c>
      <c r="F72" s="18">
        <f>IF(ISNUMBER(Volcanic!D72),Volcanic!D72,"")</f>
        <v>1.1299999999999999</v>
      </c>
      <c r="G72" s="18">
        <f>IF(ISNUMBER(Volcanic!E72),Volcanic!E72,"")</f>
        <v>5.5280000000000003E-2</v>
      </c>
      <c r="H72" s="18">
        <f t="shared" si="38"/>
        <v>3.6368455305194843E-2</v>
      </c>
      <c r="I72" s="18">
        <f t="shared" si="39"/>
        <v>1.2768999999999997</v>
      </c>
      <c r="J72" s="18">
        <f t="shared" si="40"/>
        <v>3.0558784000000003E-3</v>
      </c>
      <c r="K72" s="18">
        <f t="shared" si="41"/>
        <v>0.21549682266614348</v>
      </c>
      <c r="L72" s="18">
        <f t="shared" si="42"/>
        <v>1.0542180846888861E-2</v>
      </c>
      <c r="M72" s="18">
        <f t="shared" si="43"/>
        <v>6.2466399999999998E-2</v>
      </c>
      <c r="N72" s="18">
        <f t="shared" si="46"/>
        <v>2.7772957888273479E-5</v>
      </c>
      <c r="O72" s="18">
        <f t="shared" si="49"/>
        <v>2.7113800934196474E-2</v>
      </c>
      <c r="P72" s="18">
        <f t="shared" si="51"/>
        <v>3.0656282809224632E-2</v>
      </c>
      <c r="Q72" s="18">
        <f t="shared" si="53"/>
        <v>4.7760963145883996E-2</v>
      </c>
      <c r="R72" s="18">
        <f t="shared" si="55"/>
        <v>7.8448541914938275E-2</v>
      </c>
      <c r="S72" s="18">
        <f t="shared" ref="S72:S135" si="57">IF(ISNUMBER(D66),D66,"")</f>
        <v>9.0322549883548372E-3</v>
      </c>
      <c r="T72" s="18">
        <f t="shared" si="25"/>
        <v>5.6190266646806994E-3</v>
      </c>
      <c r="U72" s="18">
        <f t="shared" si="27"/>
        <v>7.48107966801531E-4</v>
      </c>
      <c r="V72" s="18">
        <f t="shared" si="28"/>
        <v>1.4745156151454235E-4</v>
      </c>
      <c r="W72" s="18">
        <f t="shared" si="29"/>
        <v>4.1693543976111681E-3</v>
      </c>
      <c r="X72" s="18">
        <f t="shared" si="30"/>
        <v>6.6782028600981674E-2</v>
      </c>
      <c r="Y72" s="18">
        <f t="shared" si="31"/>
        <v>2.7371630206819474E-3</v>
      </c>
      <c r="AA72" s="18">
        <f t="shared" si="47"/>
        <v>-3.0422401851264311E-2</v>
      </c>
      <c r="AB72" s="18">
        <f t="shared" si="48"/>
        <v>9.2552253439981012E-4</v>
      </c>
      <c r="AC72" s="18">
        <f t="shared" si="50"/>
        <v>7.7550521563109895E-3</v>
      </c>
      <c r="AD72" s="18">
        <f t="shared" si="52"/>
        <v>5.8717534836448702E-3</v>
      </c>
      <c r="AE72" s="18">
        <f t="shared" si="54"/>
        <v>4.2517622517531124E-3</v>
      </c>
      <c r="AF72" s="18">
        <f t="shared" si="56"/>
        <v>6.0395611419541131E-3</v>
      </c>
      <c r="AG72" s="18">
        <f t="shared" ref="AG72:AG135" si="58">IF(ISNUMBER(AB67),AB67,"")</f>
        <v>5.396387568006325E-2</v>
      </c>
      <c r="AH72" s="18">
        <f t="shared" si="26"/>
        <v>3.288797295564094E-3</v>
      </c>
      <c r="AJ72" s="18">
        <f>IF(ISNUMBER(Kernel!M72),Kernel!M72,"")</f>
        <v>-3.4353191572719266E-2</v>
      </c>
      <c r="AK72" s="18">
        <f t="shared" si="44"/>
        <v>1.1801417712319501E-3</v>
      </c>
      <c r="AN72" s="18">
        <f>IF(ISNUMBER(Volcanic!G72),Volcanic!G72,"")</f>
        <v>6.8930000000000005E-2</v>
      </c>
    </row>
    <row r="73" spans="1:54">
      <c r="A73" s="18" t="str">
        <f>IF(Volcanic!A73="","",Volcanic!A73)</f>
        <v>2/1964</v>
      </c>
      <c r="B73" s="18">
        <f>IF(ISNUMBER(Volcanic!L73),Volcanic!L73,"")</f>
        <v>1964.125</v>
      </c>
      <c r="C73" s="18">
        <f>IF(ISNUMBER(Volcanic!J73),Volcanic!J73,"")</f>
        <v>-2.2561599513015798E-2</v>
      </c>
      <c r="D73" s="18">
        <f t="shared" si="37"/>
        <v>5.0902577258571467E-4</v>
      </c>
      <c r="E73" s="18">
        <f>IF(ISNUMBER(Volcanic!C73),Volcanic!C73,"")</f>
        <v>0.19282540355239119</v>
      </c>
      <c r="F73" s="18">
        <f>IF(ISNUMBER(Volcanic!D73),Volcanic!D73,"")</f>
        <v>1.19</v>
      </c>
      <c r="G73" s="18">
        <f>IF(ISNUMBER(Volcanic!E73),Volcanic!E73,"")</f>
        <v>6.9760000000000003E-2</v>
      </c>
      <c r="H73" s="18">
        <f t="shared" si="38"/>
        <v>3.7181636255142515E-2</v>
      </c>
      <c r="I73" s="18">
        <f t="shared" si="39"/>
        <v>1.4160999999999999</v>
      </c>
      <c r="J73" s="18">
        <f t="shared" si="40"/>
        <v>4.8664576000000005E-3</v>
      </c>
      <c r="K73" s="18">
        <f t="shared" si="41"/>
        <v>0.22946223022734552</v>
      </c>
      <c r="L73" s="18">
        <f t="shared" si="42"/>
        <v>1.3451500151814811E-2</v>
      </c>
      <c r="M73" s="18">
        <f t="shared" si="43"/>
        <v>8.3014400000000002E-2</v>
      </c>
      <c r="N73" s="18">
        <f t="shared" si="46"/>
        <v>1.0937685882373843E-3</v>
      </c>
      <c r="O73" s="18">
        <f t="shared" si="49"/>
        <v>2.7772957888273479E-5</v>
      </c>
      <c r="P73" s="18">
        <f t="shared" si="51"/>
        <v>2.7113800934196474E-2</v>
      </c>
      <c r="Q73" s="18">
        <f t="shared" si="53"/>
        <v>3.0656282809224632E-2</v>
      </c>
      <c r="R73" s="18">
        <f t="shared" si="55"/>
        <v>4.7760963145883996E-2</v>
      </c>
      <c r="S73" s="18">
        <f t="shared" si="57"/>
        <v>7.8448541914938275E-2</v>
      </c>
      <c r="T73" s="18">
        <f t="shared" ref="T73:T136" si="59">IF(ISNUMBER(D66),D66,"")</f>
        <v>9.0322549883548372E-3</v>
      </c>
      <c r="U73" s="18">
        <f t="shared" si="27"/>
        <v>5.6190266646806994E-3</v>
      </c>
      <c r="V73" s="18">
        <f t="shared" si="28"/>
        <v>7.48107966801531E-4</v>
      </c>
      <c r="W73" s="18">
        <f t="shared" si="29"/>
        <v>1.4745156151454235E-4</v>
      </c>
      <c r="X73" s="18">
        <f t="shared" si="30"/>
        <v>4.1693543976111681E-3</v>
      </c>
      <c r="Y73" s="18">
        <f t="shared" si="31"/>
        <v>6.6782028600981674E-2</v>
      </c>
      <c r="AA73" s="18">
        <f t="shared" si="47"/>
        <v>-5.9328371582917823E-3</v>
      </c>
      <c r="AB73" s="18">
        <f t="shared" si="48"/>
        <v>3.5198556746807711E-5</v>
      </c>
      <c r="AC73" s="18">
        <f t="shared" si="50"/>
        <v>9.2552253439981012E-4</v>
      </c>
      <c r="AD73" s="18">
        <f t="shared" si="52"/>
        <v>7.7550521563109895E-3</v>
      </c>
      <c r="AE73" s="18">
        <f t="shared" si="54"/>
        <v>5.8717534836448702E-3</v>
      </c>
      <c r="AF73" s="18">
        <f t="shared" si="56"/>
        <v>4.2517622517531124E-3</v>
      </c>
      <c r="AG73" s="18">
        <f t="shared" si="58"/>
        <v>6.0395611419541131E-3</v>
      </c>
      <c r="AH73" s="18">
        <f t="shared" ref="AH73:AH136" si="60">IF(ISNUMBER(AB67),AB67,"")</f>
        <v>5.396387568006325E-2</v>
      </c>
      <c r="AJ73" s="18">
        <f>IF(ISNUMBER(Kernel!M73),Kernel!M73,"")</f>
        <v>-3.9096296270250464E-2</v>
      </c>
      <c r="AK73" s="18">
        <f t="shared" si="44"/>
        <v>1.5285203820512004E-3</v>
      </c>
      <c r="AN73" s="18">
        <f>IF(ISNUMBER(Volcanic!G73),Volcanic!G73,"")</f>
        <v>6.3469999999999999E-2</v>
      </c>
    </row>
    <row r="74" spans="1:54">
      <c r="A74" s="18" t="str">
        <f>IF(Volcanic!A74="","",Volcanic!A74)</f>
        <v>3/1964</v>
      </c>
      <c r="B74" s="18">
        <f>IF(ISNUMBER(Volcanic!L74),Volcanic!L74,"")</f>
        <v>1964.2083333333333</v>
      </c>
      <c r="C74" s="18">
        <f>IF(ISNUMBER(Volcanic!J74),Volcanic!J74,"")</f>
        <v>-0.11822077306535481</v>
      </c>
      <c r="D74" s="18">
        <f t="shared" si="37"/>
        <v>1.3976151184170121E-2</v>
      </c>
      <c r="E74" s="18">
        <f>IF(ISNUMBER(Volcanic!C74),Volcanic!C74,"")</f>
        <v>0.19602243814471609</v>
      </c>
      <c r="F74" s="18">
        <f>IF(ISNUMBER(Volcanic!D74),Volcanic!D74,"")</f>
        <v>1.1299999999999999</v>
      </c>
      <c r="G74" s="18">
        <f>IF(ISNUMBER(Volcanic!E74),Volcanic!E74,"")</f>
        <v>7.7710000000000001E-2</v>
      </c>
      <c r="H74" s="18">
        <f t="shared" si="38"/>
        <v>3.8424796256199045E-2</v>
      </c>
      <c r="I74" s="18">
        <f t="shared" si="39"/>
        <v>1.2768999999999997</v>
      </c>
      <c r="J74" s="18">
        <f t="shared" si="40"/>
        <v>6.0388441000000003E-3</v>
      </c>
      <c r="K74" s="18">
        <f t="shared" si="41"/>
        <v>0.22150535510352917</v>
      </c>
      <c r="L74" s="18">
        <f t="shared" si="42"/>
        <v>1.5232903668225889E-2</v>
      </c>
      <c r="M74" s="18">
        <f t="shared" si="43"/>
        <v>8.7812299999999996E-2</v>
      </c>
      <c r="N74" s="18">
        <f t="shared" si="46"/>
        <v>5.0902577258571467E-4</v>
      </c>
      <c r="O74" s="18">
        <f t="shared" si="49"/>
        <v>1.0937685882373843E-3</v>
      </c>
      <c r="P74" s="18">
        <f t="shared" si="51"/>
        <v>2.7772957888273479E-5</v>
      </c>
      <c r="Q74" s="18">
        <f t="shared" si="53"/>
        <v>2.7113800934196474E-2</v>
      </c>
      <c r="R74" s="18">
        <f t="shared" si="55"/>
        <v>3.0656282809224632E-2</v>
      </c>
      <c r="S74" s="18">
        <f t="shared" si="57"/>
        <v>4.7760963145883996E-2</v>
      </c>
      <c r="T74" s="18">
        <f t="shared" si="59"/>
        <v>7.8448541914938275E-2</v>
      </c>
      <c r="U74" s="18">
        <f t="shared" ref="U74:U137" si="61">IF(ISNUMBER(D66),D66,"")</f>
        <v>9.0322549883548372E-3</v>
      </c>
      <c r="V74" s="18">
        <f t="shared" si="28"/>
        <v>5.6190266646806994E-3</v>
      </c>
      <c r="W74" s="18">
        <f t="shared" si="29"/>
        <v>7.48107966801531E-4</v>
      </c>
      <c r="X74" s="18">
        <f t="shared" si="30"/>
        <v>1.4745156151454235E-4</v>
      </c>
      <c r="Y74" s="18">
        <f t="shared" si="31"/>
        <v>4.1693543976111681E-3</v>
      </c>
      <c r="AA74" s="18">
        <f t="shared" si="47"/>
        <v>-0.10687675030391175</v>
      </c>
      <c r="AB74" s="18">
        <f t="shared" si="48"/>
        <v>1.14226397555247E-2</v>
      </c>
      <c r="AC74" s="18">
        <f t="shared" si="50"/>
        <v>3.5198556746807711E-5</v>
      </c>
      <c r="AD74" s="18">
        <f t="shared" si="52"/>
        <v>9.2552253439981012E-4</v>
      </c>
      <c r="AE74" s="18">
        <f t="shared" si="54"/>
        <v>7.7550521563109895E-3</v>
      </c>
      <c r="AF74" s="18">
        <f t="shared" si="56"/>
        <v>5.8717534836448702E-3</v>
      </c>
      <c r="AG74" s="18">
        <f t="shared" si="58"/>
        <v>4.2517622517531124E-3</v>
      </c>
      <c r="AH74" s="18">
        <f t="shared" si="60"/>
        <v>6.0395611419541131E-3</v>
      </c>
      <c r="AJ74" s="18">
        <f>IF(ISNUMBER(Kernel!M74),Kernel!M74,"")</f>
        <v>-0.13949630479254749</v>
      </c>
      <c r="AK74" s="18">
        <f t="shared" si="44"/>
        <v>1.9459219050775307E-2</v>
      </c>
      <c r="AN74" s="18">
        <f>IF(ISNUMBER(Volcanic!G74),Volcanic!G74,"")</f>
        <v>5.7950000000000002E-2</v>
      </c>
    </row>
    <row r="75" spans="1:54">
      <c r="A75" s="18" t="str">
        <f>IF(Volcanic!A75="","",Volcanic!A75)</f>
        <v>4/1964</v>
      </c>
      <c r="B75" s="18">
        <f>IF(ISNUMBER(Volcanic!L75),Volcanic!L75,"")</f>
        <v>1964.2916666666667</v>
      </c>
      <c r="C75" s="18">
        <f>IF(ISNUMBER(Volcanic!J75),Volcanic!J75,"")</f>
        <v>-0.21791360972267754</v>
      </c>
      <c r="D75" s="18">
        <f t="shared" si="37"/>
        <v>4.7486341302367424E-2</v>
      </c>
      <c r="E75" s="18">
        <f>IF(ISNUMBER(Volcanic!C75),Volcanic!C75,"")</f>
        <v>0.20091681590593874</v>
      </c>
      <c r="F75" s="18">
        <f>IF(ISNUMBER(Volcanic!D75),Volcanic!D75,"")</f>
        <v>0.95</v>
      </c>
      <c r="G75" s="18">
        <f>IF(ISNUMBER(Volcanic!E75),Volcanic!E75,"")</f>
        <v>8.0869999999999997E-2</v>
      </c>
      <c r="H75" s="18">
        <f t="shared" si="38"/>
        <v>4.0367566913780878E-2</v>
      </c>
      <c r="I75" s="18">
        <f t="shared" si="39"/>
        <v>0.90249999999999997</v>
      </c>
      <c r="J75" s="18">
        <f t="shared" si="40"/>
        <v>6.5399568999999994E-3</v>
      </c>
      <c r="K75" s="18">
        <f t="shared" si="41"/>
        <v>0.1908709751106418</v>
      </c>
      <c r="L75" s="18">
        <f t="shared" si="42"/>
        <v>1.6248142902313266E-2</v>
      </c>
      <c r="M75" s="18">
        <f t="shared" si="43"/>
        <v>7.6826499999999992E-2</v>
      </c>
      <c r="N75" s="18">
        <f t="shared" si="46"/>
        <v>1.3976151184170121E-2</v>
      </c>
      <c r="O75" s="18">
        <f t="shared" si="49"/>
        <v>5.0902577258571467E-4</v>
      </c>
      <c r="P75" s="18">
        <f t="shared" si="51"/>
        <v>1.0937685882373843E-3</v>
      </c>
      <c r="Q75" s="18">
        <f t="shared" si="53"/>
        <v>2.7772957888273479E-5</v>
      </c>
      <c r="R75" s="18">
        <f t="shared" si="55"/>
        <v>2.7113800934196474E-2</v>
      </c>
      <c r="S75" s="18">
        <f t="shared" si="57"/>
        <v>3.0656282809224632E-2</v>
      </c>
      <c r="T75" s="18">
        <f t="shared" si="59"/>
        <v>4.7760963145883996E-2</v>
      </c>
      <c r="U75" s="18">
        <f t="shared" si="61"/>
        <v>7.8448541914938275E-2</v>
      </c>
      <c r="V75" s="18">
        <f t="shared" ref="V75:V138" si="62">IF(ISNUMBER(D66),D66,"")</f>
        <v>9.0322549883548372E-3</v>
      </c>
      <c r="W75" s="18">
        <f t="shared" si="29"/>
        <v>5.6190266646806994E-3</v>
      </c>
      <c r="X75" s="18">
        <f t="shared" si="30"/>
        <v>7.48107966801531E-4</v>
      </c>
      <c r="Y75" s="18">
        <f t="shared" si="31"/>
        <v>1.4745156151454235E-4</v>
      </c>
      <c r="AA75" s="18">
        <f t="shared" si="47"/>
        <v>-0.15847194027210959</v>
      </c>
      <c r="AB75" s="18">
        <f t="shared" si="48"/>
        <v>2.5113355853607071E-2</v>
      </c>
      <c r="AC75" s="18">
        <f t="shared" si="50"/>
        <v>1.14226397555247E-2</v>
      </c>
      <c r="AD75" s="18">
        <f t="shared" si="52"/>
        <v>3.5198556746807711E-5</v>
      </c>
      <c r="AE75" s="18">
        <f t="shared" si="54"/>
        <v>9.2552253439981012E-4</v>
      </c>
      <c r="AF75" s="18">
        <f t="shared" si="56"/>
        <v>7.7550521563109895E-3</v>
      </c>
      <c r="AG75" s="18">
        <f t="shared" si="58"/>
        <v>5.8717534836448702E-3</v>
      </c>
      <c r="AH75" s="18">
        <f t="shared" si="60"/>
        <v>4.2517622517531124E-3</v>
      </c>
      <c r="AJ75" s="18">
        <f>IF(ISNUMBER(Kernel!M75),Kernel!M75,"")</f>
        <v>-0.23952478675235586</v>
      </c>
      <c r="AK75" s="18">
        <f t="shared" si="44"/>
        <v>5.7372123468761548E-2</v>
      </c>
      <c r="AN75" s="18">
        <f>IF(ISNUMBER(Volcanic!G75),Volcanic!G75,"")</f>
        <v>5.262E-2</v>
      </c>
    </row>
    <row r="76" spans="1:54">
      <c r="A76" s="18" t="str">
        <f>IF(Volcanic!A76="","",Volcanic!A76)</f>
        <v>5/1964</v>
      </c>
      <c r="B76" s="18">
        <f>IF(ISNUMBER(Volcanic!L76),Volcanic!L76,"")</f>
        <v>1964.375</v>
      </c>
      <c r="C76" s="18">
        <f>IF(ISNUMBER(Volcanic!J76),Volcanic!J76,"")</f>
        <v>-0.11346132890323085</v>
      </c>
      <c r="D76" s="18">
        <f t="shared" si="37"/>
        <v>1.2873473156487129E-2</v>
      </c>
      <c r="E76" s="18">
        <f>IF(ISNUMBER(Volcanic!C76),Volcanic!C76,"")</f>
        <v>0.20275353141668456</v>
      </c>
      <c r="F76" s="18">
        <f>IF(ISNUMBER(Volcanic!D76),Volcanic!D76,"")</f>
        <v>0.52</v>
      </c>
      <c r="G76" s="18">
        <f>IF(ISNUMBER(Volcanic!E76),Volcanic!E76,"")</f>
        <v>8.0670000000000006E-2</v>
      </c>
      <c r="H76" s="18">
        <f t="shared" si="38"/>
        <v>4.1108994501936495E-2</v>
      </c>
      <c r="I76" s="18">
        <f t="shared" si="39"/>
        <v>0.27040000000000003</v>
      </c>
      <c r="J76" s="18">
        <f t="shared" si="40"/>
        <v>6.5076489000000012E-3</v>
      </c>
      <c r="K76" s="18">
        <f t="shared" si="41"/>
        <v>0.10543183633667598</v>
      </c>
      <c r="L76" s="18">
        <f t="shared" si="42"/>
        <v>1.6356127379383946E-2</v>
      </c>
      <c r="M76" s="18">
        <f t="shared" si="43"/>
        <v>4.1948400000000004E-2</v>
      </c>
      <c r="N76" s="18">
        <f t="shared" si="46"/>
        <v>4.7486341302367424E-2</v>
      </c>
      <c r="O76" s="18">
        <f t="shared" si="49"/>
        <v>1.3976151184170121E-2</v>
      </c>
      <c r="P76" s="18">
        <f t="shared" si="51"/>
        <v>5.0902577258571467E-4</v>
      </c>
      <c r="Q76" s="18">
        <f t="shared" si="53"/>
        <v>1.0937685882373843E-3</v>
      </c>
      <c r="R76" s="18">
        <f t="shared" si="55"/>
        <v>2.7772957888273479E-5</v>
      </c>
      <c r="S76" s="18">
        <f t="shared" si="57"/>
        <v>2.7113800934196474E-2</v>
      </c>
      <c r="T76" s="18">
        <f t="shared" si="59"/>
        <v>3.0656282809224632E-2</v>
      </c>
      <c r="U76" s="18">
        <f t="shared" si="61"/>
        <v>4.7760963145883996E-2</v>
      </c>
      <c r="V76" s="18">
        <f t="shared" si="62"/>
        <v>7.8448541914938275E-2</v>
      </c>
      <c r="W76" s="18">
        <f t="shared" ref="W76:W139" si="63">IF(ISNUMBER(D66),D66,"")</f>
        <v>9.0322549883548372E-3</v>
      </c>
      <c r="X76" s="18">
        <f t="shared" si="30"/>
        <v>5.6190266646806994E-3</v>
      </c>
      <c r="Y76" s="18">
        <f t="shared" si="31"/>
        <v>7.48107966801531E-4</v>
      </c>
      <c r="AA76" s="18">
        <f t="shared" si="47"/>
        <v>-3.8938779210357932E-3</v>
      </c>
      <c r="AB76" s="18">
        <f t="shared" si="48"/>
        <v>1.5162285263930031E-5</v>
      </c>
      <c r="AC76" s="18">
        <f t="shared" si="50"/>
        <v>2.5113355853607071E-2</v>
      </c>
      <c r="AD76" s="18">
        <f t="shared" si="52"/>
        <v>1.14226397555247E-2</v>
      </c>
      <c r="AE76" s="18">
        <f t="shared" si="54"/>
        <v>3.5198556746807711E-5</v>
      </c>
      <c r="AF76" s="18">
        <f t="shared" si="56"/>
        <v>9.2552253439981012E-4</v>
      </c>
      <c r="AG76" s="18">
        <f t="shared" si="58"/>
        <v>7.7550521563109895E-3</v>
      </c>
      <c r="AH76" s="18">
        <f t="shared" si="60"/>
        <v>5.8717534836448702E-3</v>
      </c>
      <c r="AJ76" s="18">
        <f>IF(ISNUMBER(Kernel!M76),Kernel!M76,"")</f>
        <v>-0.15062410883740482</v>
      </c>
      <c r="AK76" s="18">
        <f t="shared" si="44"/>
        <v>2.2687622163062374E-2</v>
      </c>
      <c r="AN76" s="18">
        <f>IF(ISNUMBER(Volcanic!G76),Volcanic!G76,"")</f>
        <v>4.7509999999999997E-2</v>
      </c>
    </row>
    <row r="77" spans="1:54">
      <c r="A77" s="18" t="str">
        <f>IF(Volcanic!A77="","",Volcanic!A77)</f>
        <v>6/1964</v>
      </c>
      <c r="B77" s="18">
        <f>IF(ISNUMBER(Volcanic!L77),Volcanic!L77,"")</f>
        <v>1964.4583333333333</v>
      </c>
      <c r="C77" s="18">
        <f>IF(ISNUMBER(Volcanic!J77),Volcanic!J77,"")</f>
        <v>0.13783570038520301</v>
      </c>
      <c r="D77" s="18">
        <f t="shared" si="37"/>
        <v>1.8998680300679454E-2</v>
      </c>
      <c r="E77" s="18">
        <f>IF(ISNUMBER(Volcanic!C77),Volcanic!C77,"")</f>
        <v>0.20114093083670029</v>
      </c>
      <c r="F77" s="18">
        <f>IF(ISNUMBER(Volcanic!D77),Volcanic!D77,"")</f>
        <v>0.06</v>
      </c>
      <c r="G77" s="18">
        <f>IF(ISNUMBER(Volcanic!E77),Volcanic!E77,"")</f>
        <v>7.8039999999999998E-2</v>
      </c>
      <c r="H77" s="18">
        <f t="shared" si="38"/>
        <v>4.0457674057854248E-2</v>
      </c>
      <c r="I77" s="18">
        <f t="shared" si="39"/>
        <v>3.5999999999999999E-3</v>
      </c>
      <c r="J77" s="18">
        <f t="shared" si="40"/>
        <v>6.0902415999999999E-3</v>
      </c>
      <c r="K77" s="18">
        <f t="shared" si="41"/>
        <v>1.2068455850202017E-2</v>
      </c>
      <c r="L77" s="18">
        <f t="shared" si="42"/>
        <v>1.5697038242496089E-2</v>
      </c>
      <c r="M77" s="18">
        <f t="shared" si="43"/>
        <v>4.6823999999999998E-3</v>
      </c>
      <c r="N77" s="18">
        <f t="shared" si="46"/>
        <v>1.2873473156487129E-2</v>
      </c>
      <c r="O77" s="18">
        <f t="shared" si="49"/>
        <v>4.7486341302367424E-2</v>
      </c>
      <c r="P77" s="18">
        <f t="shared" si="51"/>
        <v>1.3976151184170121E-2</v>
      </c>
      <c r="Q77" s="18">
        <f t="shared" si="53"/>
        <v>5.0902577258571467E-4</v>
      </c>
      <c r="R77" s="18">
        <f t="shared" si="55"/>
        <v>1.0937685882373843E-3</v>
      </c>
      <c r="S77" s="18">
        <f t="shared" si="57"/>
        <v>2.7772957888273479E-5</v>
      </c>
      <c r="T77" s="18">
        <f t="shared" si="59"/>
        <v>2.7113800934196474E-2</v>
      </c>
      <c r="U77" s="18">
        <f t="shared" si="61"/>
        <v>3.0656282809224632E-2</v>
      </c>
      <c r="V77" s="18">
        <f t="shared" si="62"/>
        <v>4.7760963145883996E-2</v>
      </c>
      <c r="W77" s="18">
        <f t="shared" si="63"/>
        <v>7.8448541914938275E-2</v>
      </c>
      <c r="X77" s="18">
        <f t="shared" ref="X77:X140" si="64">IF(ISNUMBER(D66),D66,"")</f>
        <v>9.0322549883548372E-3</v>
      </c>
      <c r="Y77" s="18">
        <f t="shared" si="31"/>
        <v>5.6190266646806994E-3</v>
      </c>
      <c r="AA77" s="18">
        <f t="shared" si="47"/>
        <v>0.19488431065236494</v>
      </c>
      <c r="AB77" s="18">
        <f t="shared" si="48"/>
        <v>3.7979894538447488E-2</v>
      </c>
      <c r="AC77" s="18">
        <f t="shared" si="50"/>
        <v>1.5162285263930031E-5</v>
      </c>
      <c r="AD77" s="18">
        <f t="shared" si="52"/>
        <v>2.5113355853607071E-2</v>
      </c>
      <c r="AE77" s="18">
        <f t="shared" si="54"/>
        <v>1.14226397555247E-2</v>
      </c>
      <c r="AF77" s="18">
        <f t="shared" si="56"/>
        <v>3.5198556746807711E-5</v>
      </c>
      <c r="AG77" s="18">
        <f t="shared" si="58"/>
        <v>9.2552253439981012E-4</v>
      </c>
      <c r="AH77" s="18">
        <f t="shared" si="60"/>
        <v>7.7550521563109895E-3</v>
      </c>
      <c r="AJ77" s="18">
        <f>IF(ISNUMBER(Kernel!M77),Kernel!M77,"")</f>
        <v>8.4027349722209904E-2</v>
      </c>
      <c r="AK77" s="18">
        <f t="shared" si="44"/>
        <v>7.060595501338569E-3</v>
      </c>
      <c r="AN77" s="18">
        <f>IF(ISNUMBER(Volcanic!G77),Volcanic!G77,"")</f>
        <v>4.2759999999999999E-2</v>
      </c>
    </row>
    <row r="78" spans="1:54">
      <c r="A78" s="18" t="str">
        <f>IF(Volcanic!A78="","",Volcanic!A78)</f>
        <v>7/1964</v>
      </c>
      <c r="B78" s="18">
        <f>IF(ISNUMBER(Volcanic!L78),Volcanic!L78,"")</f>
        <v>1964.5416666666667</v>
      </c>
      <c r="C78" s="18">
        <f>IF(ISNUMBER(Volcanic!J78),Volcanic!J78,"")</f>
        <v>0.18455931705636561</v>
      </c>
      <c r="D78" s="18">
        <f t="shared" si="37"/>
        <v>3.4062141512312086E-2</v>
      </c>
      <c r="E78" s="18">
        <f>IF(ISNUMBER(Volcanic!C78),Volcanic!C78,"")</f>
        <v>0.19462742107482237</v>
      </c>
      <c r="F78" s="18">
        <f>IF(ISNUMBER(Volcanic!D78),Volcanic!D78,"")</f>
        <v>-0.35</v>
      </c>
      <c r="G78" s="18">
        <f>IF(ISNUMBER(Volcanic!E78),Volcanic!E78,"")</f>
        <v>7.3910000000000003E-2</v>
      </c>
      <c r="H78" s="18">
        <f t="shared" si="38"/>
        <v>3.7879833034236206E-2</v>
      </c>
      <c r="I78" s="18">
        <f t="shared" si="39"/>
        <v>0.12249999999999998</v>
      </c>
      <c r="J78" s="18">
        <f t="shared" si="40"/>
        <v>5.4626881000000007E-3</v>
      </c>
      <c r="K78" s="18">
        <f t="shared" si="41"/>
        <v>-6.8119597376187821E-2</v>
      </c>
      <c r="L78" s="18">
        <f t="shared" si="42"/>
        <v>1.4384912691640122E-2</v>
      </c>
      <c r="M78" s="18">
        <f t="shared" si="43"/>
        <v>-2.5868499999999999E-2</v>
      </c>
      <c r="N78" s="18">
        <f t="shared" si="46"/>
        <v>1.8998680300679454E-2</v>
      </c>
      <c r="O78" s="18">
        <f t="shared" si="49"/>
        <v>1.2873473156487129E-2</v>
      </c>
      <c r="P78" s="18">
        <f t="shared" si="51"/>
        <v>4.7486341302367424E-2</v>
      </c>
      <c r="Q78" s="18">
        <f t="shared" si="53"/>
        <v>1.3976151184170121E-2</v>
      </c>
      <c r="R78" s="18">
        <f t="shared" si="55"/>
        <v>5.0902577258571467E-4</v>
      </c>
      <c r="S78" s="18">
        <f t="shared" si="57"/>
        <v>1.0937685882373843E-3</v>
      </c>
      <c r="T78" s="18">
        <f t="shared" si="59"/>
        <v>2.7772957888273479E-5</v>
      </c>
      <c r="U78" s="18">
        <f t="shared" si="61"/>
        <v>2.7113800934196474E-2</v>
      </c>
      <c r="V78" s="18">
        <f t="shared" si="62"/>
        <v>3.0656282809224632E-2</v>
      </c>
      <c r="W78" s="18">
        <f t="shared" si="63"/>
        <v>4.7760963145883996E-2</v>
      </c>
      <c r="X78" s="18">
        <f t="shared" si="64"/>
        <v>7.8448541914938275E-2</v>
      </c>
      <c r="Y78" s="18">
        <f t="shared" ref="Y78:Y141" si="65">IF(ISNUMBER(D66),D66,"")</f>
        <v>9.0322549883548372E-3</v>
      </c>
      <c r="AA78" s="18">
        <f t="shared" si="47"/>
        <v>0.11525521822209894</v>
      </c>
      <c r="AB78" s="18">
        <f t="shared" si="48"/>
        <v>1.3283765327423648E-2</v>
      </c>
      <c r="AC78" s="18">
        <f t="shared" si="50"/>
        <v>3.7979894538447488E-2</v>
      </c>
      <c r="AD78" s="18">
        <f t="shared" si="52"/>
        <v>1.5162285263930031E-5</v>
      </c>
      <c r="AE78" s="18">
        <f t="shared" si="54"/>
        <v>2.5113355853607071E-2</v>
      </c>
      <c r="AF78" s="18">
        <f t="shared" si="56"/>
        <v>1.14226397555247E-2</v>
      </c>
      <c r="AG78" s="18">
        <f t="shared" si="58"/>
        <v>3.5198556746807711E-5</v>
      </c>
      <c r="AH78" s="18">
        <f t="shared" si="60"/>
        <v>9.2552253439981012E-4</v>
      </c>
      <c r="AJ78" s="18">
        <f>IF(ISNUMBER(Kernel!M78),Kernel!M78,"")</f>
        <v>0.11782033440241524</v>
      </c>
      <c r="AK78" s="18">
        <f t="shared" si="44"/>
        <v>1.3881631198696951E-2</v>
      </c>
      <c r="AN78" s="18">
        <f>IF(ISNUMBER(Volcanic!G78),Volcanic!G78,"")</f>
        <v>3.8379999999999997E-2</v>
      </c>
    </row>
    <row r="79" spans="1:54">
      <c r="A79" s="18" t="str">
        <f>IF(Volcanic!A79="","",Volcanic!A79)</f>
        <v>8/1964</v>
      </c>
      <c r="B79" s="18">
        <f>IF(ISNUMBER(Volcanic!L79),Volcanic!L79,"")</f>
        <v>1964.625</v>
      </c>
      <c r="C79" s="18">
        <f>IF(ISNUMBER(Volcanic!J79),Volcanic!J79,"")</f>
        <v>3.8348339335342152E-2</v>
      </c>
      <c r="D79" s="18">
        <f t="shared" si="37"/>
        <v>1.4705951297785502E-3</v>
      </c>
      <c r="E79" s="18">
        <f>IF(ISNUMBER(Volcanic!C79),Volcanic!C79,"")</f>
        <v>0.18672692311353747</v>
      </c>
      <c r="F79" s="18">
        <f>IF(ISNUMBER(Volcanic!D79),Volcanic!D79,"")</f>
        <v>-0.6</v>
      </c>
      <c r="G79" s="18">
        <f>IF(ISNUMBER(Volcanic!E79),Volcanic!E79,"")</f>
        <v>6.8930000000000005E-2</v>
      </c>
      <c r="H79" s="18">
        <f t="shared" si="38"/>
        <v>3.4866943815448935E-2</v>
      </c>
      <c r="I79" s="18">
        <f t="shared" si="39"/>
        <v>0.36</v>
      </c>
      <c r="J79" s="18">
        <f t="shared" si="40"/>
        <v>4.751344900000001E-3</v>
      </c>
      <c r="K79" s="18">
        <f t="shared" si="41"/>
        <v>-0.11203615386812248</v>
      </c>
      <c r="L79" s="18">
        <f t="shared" si="42"/>
        <v>1.2871086810216139E-2</v>
      </c>
      <c r="M79" s="18">
        <f t="shared" si="43"/>
        <v>-4.1357999999999999E-2</v>
      </c>
      <c r="N79" s="18">
        <f t="shared" si="46"/>
        <v>3.4062141512312086E-2</v>
      </c>
      <c r="O79" s="18">
        <f t="shared" si="49"/>
        <v>1.8998680300679454E-2</v>
      </c>
      <c r="P79" s="18">
        <f t="shared" si="51"/>
        <v>1.2873473156487129E-2</v>
      </c>
      <c r="Q79" s="18">
        <f t="shared" si="53"/>
        <v>4.7486341302367424E-2</v>
      </c>
      <c r="R79" s="18">
        <f t="shared" si="55"/>
        <v>1.3976151184170121E-2</v>
      </c>
      <c r="S79" s="18">
        <f t="shared" si="57"/>
        <v>5.0902577258571467E-4</v>
      </c>
      <c r="T79" s="18">
        <f t="shared" si="59"/>
        <v>1.0937685882373843E-3</v>
      </c>
      <c r="U79" s="18">
        <f t="shared" si="61"/>
        <v>2.7772957888273479E-5</v>
      </c>
      <c r="V79" s="18">
        <f t="shared" si="62"/>
        <v>2.7113800934196474E-2</v>
      </c>
      <c r="W79" s="18">
        <f t="shared" si="63"/>
        <v>3.0656282809224632E-2</v>
      </c>
      <c r="X79" s="18">
        <f t="shared" si="64"/>
        <v>4.7760963145883996E-2</v>
      </c>
      <c r="Y79" s="18">
        <f t="shared" si="65"/>
        <v>7.8448541914938275E-2</v>
      </c>
      <c r="AA79" s="18">
        <f t="shared" si="47"/>
        <v>-5.4448498597889208E-2</v>
      </c>
      <c r="AB79" s="18">
        <f t="shared" si="48"/>
        <v>2.9646389995643431E-3</v>
      </c>
      <c r="AC79" s="18">
        <f t="shared" si="50"/>
        <v>1.3283765327423648E-2</v>
      </c>
      <c r="AD79" s="18">
        <f t="shared" si="52"/>
        <v>3.7979894538447488E-2</v>
      </c>
      <c r="AE79" s="18">
        <f t="shared" si="54"/>
        <v>1.5162285263930031E-5</v>
      </c>
      <c r="AF79" s="18">
        <f t="shared" si="56"/>
        <v>2.5113355853607071E-2</v>
      </c>
      <c r="AG79" s="18">
        <f t="shared" si="58"/>
        <v>1.14226397555247E-2</v>
      </c>
      <c r="AH79" s="18">
        <f t="shared" si="60"/>
        <v>3.5198556746807711E-5</v>
      </c>
      <c r="AJ79" s="18">
        <f>IF(ISNUMBER(Kernel!M79),Kernel!M79,"")</f>
        <v>-2.7659842034925053E-2</v>
      </c>
      <c r="AK79" s="18">
        <f t="shared" si="44"/>
        <v>7.650668613970069E-4</v>
      </c>
      <c r="AN79" s="18">
        <f>IF(ISNUMBER(Volcanic!G79),Volcanic!G79,"")</f>
        <v>3.44E-2</v>
      </c>
    </row>
    <row r="80" spans="1:54">
      <c r="A80" s="18" t="str">
        <f>IF(Volcanic!A80="","",Volcanic!A80)</f>
        <v>9/1964</v>
      </c>
      <c r="B80" s="18">
        <f>IF(ISNUMBER(Volcanic!L80),Volcanic!L80,"")</f>
        <v>1964.7083333333333</v>
      </c>
      <c r="C80" s="18">
        <f>IF(ISNUMBER(Volcanic!J80),Volcanic!J80,"")</f>
        <v>-2.3574697866985461E-2</v>
      </c>
      <c r="D80" s="18">
        <f t="shared" si="37"/>
        <v>5.5576637951964885E-4</v>
      </c>
      <c r="E80" s="18">
        <f>IF(ISNUMBER(Volcanic!C80),Volcanic!C80,"")</f>
        <v>0.17773559347228587</v>
      </c>
      <c r="F80" s="18">
        <f>IF(ISNUMBER(Volcanic!D80),Volcanic!D80,"")</f>
        <v>-0.66</v>
      </c>
      <c r="G80" s="18">
        <f>IF(ISNUMBER(Volcanic!E80),Volcanic!E80,"")</f>
        <v>6.3469999999999999E-2</v>
      </c>
      <c r="H80" s="18">
        <f t="shared" si="38"/>
        <v>3.1589941186945671E-2</v>
      </c>
      <c r="I80" s="18">
        <f t="shared" si="39"/>
        <v>0.43560000000000004</v>
      </c>
      <c r="J80" s="18">
        <f t="shared" si="40"/>
        <v>4.0284409000000002E-3</v>
      </c>
      <c r="K80" s="18">
        <f t="shared" si="41"/>
        <v>-0.11730549169170869</v>
      </c>
      <c r="L80" s="18">
        <f t="shared" si="42"/>
        <v>1.1280878117685984E-2</v>
      </c>
      <c r="M80" s="18">
        <f t="shared" si="43"/>
        <v>-4.1890200000000002E-2</v>
      </c>
      <c r="N80" s="18">
        <f t="shared" si="46"/>
        <v>1.4705951297785502E-3</v>
      </c>
      <c r="O80" s="18">
        <f t="shared" si="49"/>
        <v>3.4062141512312086E-2</v>
      </c>
      <c r="P80" s="18">
        <f t="shared" si="51"/>
        <v>1.8998680300679454E-2</v>
      </c>
      <c r="Q80" s="18">
        <f t="shared" si="53"/>
        <v>1.2873473156487129E-2</v>
      </c>
      <c r="R80" s="18">
        <f t="shared" si="55"/>
        <v>4.7486341302367424E-2</v>
      </c>
      <c r="S80" s="18">
        <f t="shared" si="57"/>
        <v>1.3976151184170121E-2</v>
      </c>
      <c r="T80" s="18">
        <f t="shared" si="59"/>
        <v>5.0902577258571467E-4</v>
      </c>
      <c r="U80" s="18">
        <f t="shared" si="61"/>
        <v>1.0937685882373843E-3</v>
      </c>
      <c r="V80" s="18">
        <f t="shared" si="62"/>
        <v>2.7772957888273479E-5</v>
      </c>
      <c r="W80" s="18">
        <f t="shared" si="63"/>
        <v>2.7113800934196474E-2</v>
      </c>
      <c r="X80" s="18">
        <f t="shared" si="64"/>
        <v>3.0656282809224632E-2</v>
      </c>
      <c r="Y80" s="18">
        <f t="shared" si="65"/>
        <v>4.7760963145883996E-2</v>
      </c>
      <c r="AA80" s="18">
        <f t="shared" si="47"/>
        <v>-4.2856328765215793E-2</v>
      </c>
      <c r="AB80" s="18">
        <f t="shared" si="48"/>
        <v>1.8366649152322626E-3</v>
      </c>
      <c r="AC80" s="18">
        <f t="shared" si="50"/>
        <v>2.9646389995643431E-3</v>
      </c>
      <c r="AD80" s="18">
        <f t="shared" si="52"/>
        <v>1.3283765327423648E-2</v>
      </c>
      <c r="AE80" s="18">
        <f t="shared" si="54"/>
        <v>3.7979894538447488E-2</v>
      </c>
      <c r="AF80" s="18">
        <f t="shared" si="56"/>
        <v>1.5162285263930031E-5</v>
      </c>
      <c r="AG80" s="18">
        <f t="shared" si="58"/>
        <v>2.5113355853607071E-2</v>
      </c>
      <c r="AH80" s="18">
        <f t="shared" si="60"/>
        <v>1.14226397555247E-2</v>
      </c>
      <c r="AJ80" s="18">
        <f>IF(ISNUMBER(Kernel!M80),Kernel!M80,"")</f>
        <v>-7.2942125641364486E-2</v>
      </c>
      <c r="AK80" s="18">
        <f t="shared" si="44"/>
        <v>5.320553693080602E-3</v>
      </c>
      <c r="AN80" s="18">
        <f>IF(ISNUMBER(Volcanic!G80),Volcanic!G80,"")</f>
        <v>3.0769999999999999E-2</v>
      </c>
    </row>
    <row r="81" spans="1:40">
      <c r="A81" s="18" t="str">
        <f>IF(Volcanic!A81="","",Volcanic!A81)</f>
        <v>10/1964</v>
      </c>
      <c r="B81" s="18">
        <f>IF(ISNUMBER(Volcanic!L81),Volcanic!L81,"")</f>
        <v>1964.7916666666667</v>
      </c>
      <c r="C81" s="18">
        <f>IF(ISNUMBER(Volcanic!J81),Volcanic!J81,"")</f>
        <v>-4.6780049759158726E-2</v>
      </c>
      <c r="D81" s="18">
        <f t="shared" si="37"/>
        <v>2.1883730554693665E-3</v>
      </c>
      <c r="E81" s="18">
        <f>IF(ISNUMBER(Volcanic!C81),Volcanic!C81,"")</f>
        <v>0.17846425034734256</v>
      </c>
      <c r="F81" s="18">
        <f>IF(ISNUMBER(Volcanic!D81),Volcanic!D81,"")</f>
        <v>-0.67</v>
      </c>
      <c r="G81" s="18">
        <f>IF(ISNUMBER(Volcanic!E81),Volcanic!E81,"")</f>
        <v>5.7950000000000002E-2</v>
      </c>
      <c r="H81" s="18">
        <f t="shared" si="38"/>
        <v>3.184948865203896E-2</v>
      </c>
      <c r="I81" s="18">
        <f t="shared" si="39"/>
        <v>0.44890000000000008</v>
      </c>
      <c r="J81" s="18">
        <f t="shared" si="40"/>
        <v>3.3582025E-3</v>
      </c>
      <c r="K81" s="18">
        <f t="shared" si="41"/>
        <v>-0.11957104773271952</v>
      </c>
      <c r="L81" s="18">
        <f t="shared" si="42"/>
        <v>1.0342003307628501E-2</v>
      </c>
      <c r="M81" s="18">
        <f t="shared" si="43"/>
        <v>-3.88265E-2</v>
      </c>
      <c r="N81" s="18">
        <f t="shared" si="46"/>
        <v>5.5576637951964885E-4</v>
      </c>
      <c r="O81" s="18">
        <f t="shared" si="49"/>
        <v>1.4705951297785502E-3</v>
      </c>
      <c r="P81" s="18">
        <f t="shared" si="51"/>
        <v>3.4062141512312086E-2</v>
      </c>
      <c r="Q81" s="18">
        <f t="shared" si="53"/>
        <v>1.8998680300679454E-2</v>
      </c>
      <c r="R81" s="18">
        <f t="shared" si="55"/>
        <v>1.2873473156487129E-2</v>
      </c>
      <c r="S81" s="18">
        <f t="shared" si="57"/>
        <v>4.7486341302367424E-2</v>
      </c>
      <c r="T81" s="18">
        <f t="shared" si="59"/>
        <v>1.3976151184170121E-2</v>
      </c>
      <c r="U81" s="18">
        <f t="shared" si="61"/>
        <v>5.0902577258571467E-4</v>
      </c>
      <c r="V81" s="18">
        <f t="shared" si="62"/>
        <v>1.0937685882373843E-3</v>
      </c>
      <c r="W81" s="18">
        <f t="shared" si="63"/>
        <v>2.7772957888273479E-5</v>
      </c>
      <c r="X81" s="18">
        <f t="shared" si="64"/>
        <v>2.7113800934196474E-2</v>
      </c>
      <c r="Y81" s="18">
        <f t="shared" si="65"/>
        <v>3.0656282809224632E-2</v>
      </c>
      <c r="AA81" s="18">
        <f t="shared" si="47"/>
        <v>-3.4926638876524065E-2</v>
      </c>
      <c r="AB81" s="18">
        <f t="shared" si="48"/>
        <v>1.2198701032111222E-3</v>
      </c>
      <c r="AC81" s="18">
        <f t="shared" si="50"/>
        <v>1.8366649152322626E-3</v>
      </c>
      <c r="AD81" s="18">
        <f t="shared" si="52"/>
        <v>2.9646389995643431E-3</v>
      </c>
      <c r="AE81" s="18">
        <f t="shared" si="54"/>
        <v>1.3283765327423648E-2</v>
      </c>
      <c r="AF81" s="18">
        <f t="shared" si="56"/>
        <v>3.7979894538447488E-2</v>
      </c>
      <c r="AG81" s="18">
        <f t="shared" si="58"/>
        <v>1.5162285263930031E-5</v>
      </c>
      <c r="AH81" s="18">
        <f t="shared" si="60"/>
        <v>2.5113355853607071E-2</v>
      </c>
      <c r="AJ81" s="18">
        <f>IF(ISNUMBER(Kernel!M81),Kernel!M81,"")</f>
        <v>-7.5490678046297832E-2</v>
      </c>
      <c r="AK81" s="18">
        <f t="shared" si="44"/>
        <v>5.6988424718897937E-3</v>
      </c>
      <c r="AN81" s="18">
        <f>IF(ISNUMBER(Volcanic!G81),Volcanic!G81,"")</f>
        <v>2.7529999999999999E-2</v>
      </c>
    </row>
    <row r="82" spans="1:40">
      <c r="A82" s="18" t="str">
        <f>IF(Volcanic!A82="","",Volcanic!A82)</f>
        <v>11/1964</v>
      </c>
      <c r="B82" s="18">
        <f>IF(ISNUMBER(Volcanic!L82),Volcanic!L82,"")</f>
        <v>1964.875</v>
      </c>
      <c r="C82" s="18">
        <f>IF(ISNUMBER(Volcanic!J82),Volcanic!J82,"")</f>
        <v>3.4230299686715121E-2</v>
      </c>
      <c r="D82" s="18">
        <f t="shared" si="37"/>
        <v>1.1717134166423294E-3</v>
      </c>
      <c r="E82" s="18">
        <f>IF(ISNUMBER(Volcanic!C82),Volcanic!C82,"")</f>
        <v>0.18214743880477707</v>
      </c>
      <c r="F82" s="18">
        <f>IF(ISNUMBER(Volcanic!D82),Volcanic!D82,"")</f>
        <v>-0.7</v>
      </c>
      <c r="G82" s="18">
        <f>IF(ISNUMBER(Volcanic!E82),Volcanic!E82,"")</f>
        <v>5.262E-2</v>
      </c>
      <c r="H82" s="18">
        <f t="shared" si="38"/>
        <v>3.3177689463140009E-2</v>
      </c>
      <c r="I82" s="18">
        <f t="shared" si="39"/>
        <v>0.48999999999999994</v>
      </c>
      <c r="J82" s="18">
        <f t="shared" si="40"/>
        <v>2.7688643999999999E-3</v>
      </c>
      <c r="K82" s="18">
        <f t="shared" si="41"/>
        <v>-0.12750320716334396</v>
      </c>
      <c r="L82" s="18">
        <f t="shared" si="42"/>
        <v>9.5845982299073689E-3</v>
      </c>
      <c r="M82" s="18">
        <f t="shared" si="43"/>
        <v>-3.6833999999999999E-2</v>
      </c>
      <c r="N82" s="18">
        <f t="shared" si="46"/>
        <v>2.1883730554693665E-3</v>
      </c>
      <c r="O82" s="18">
        <f t="shared" si="49"/>
        <v>5.5576637951964885E-4</v>
      </c>
      <c r="P82" s="18">
        <f t="shared" si="51"/>
        <v>1.4705951297785502E-3</v>
      </c>
      <c r="Q82" s="18">
        <f t="shared" si="53"/>
        <v>3.4062141512312086E-2</v>
      </c>
      <c r="R82" s="18">
        <f t="shared" si="55"/>
        <v>1.8998680300679454E-2</v>
      </c>
      <c r="S82" s="18">
        <f t="shared" si="57"/>
        <v>1.2873473156487129E-2</v>
      </c>
      <c r="T82" s="18">
        <f t="shared" si="59"/>
        <v>4.7486341302367424E-2</v>
      </c>
      <c r="U82" s="18">
        <f t="shared" si="61"/>
        <v>1.3976151184170121E-2</v>
      </c>
      <c r="V82" s="18">
        <f t="shared" si="62"/>
        <v>5.0902577258571467E-4</v>
      </c>
      <c r="W82" s="18">
        <f t="shared" si="63"/>
        <v>1.0937685882373843E-3</v>
      </c>
      <c r="X82" s="18">
        <f t="shared" si="64"/>
        <v>2.7772957888273479E-5</v>
      </c>
      <c r="Y82" s="18">
        <f t="shared" si="65"/>
        <v>2.7113800934196474E-2</v>
      </c>
      <c r="AA82" s="18">
        <f t="shared" si="47"/>
        <v>5.7751413468705159E-2</v>
      </c>
      <c r="AB82" s="18">
        <f t="shared" si="48"/>
        <v>3.3352257576333396E-3</v>
      </c>
      <c r="AC82" s="18">
        <f t="shared" si="50"/>
        <v>1.2198701032111222E-3</v>
      </c>
      <c r="AD82" s="18">
        <f t="shared" si="52"/>
        <v>1.8366649152322626E-3</v>
      </c>
      <c r="AE82" s="18">
        <f t="shared" si="54"/>
        <v>2.9646389995643431E-3</v>
      </c>
      <c r="AF82" s="18">
        <f t="shared" si="56"/>
        <v>1.3283765327423648E-2</v>
      </c>
      <c r="AG82" s="18">
        <f t="shared" si="58"/>
        <v>3.7979894538447488E-2</v>
      </c>
      <c r="AH82" s="18">
        <f t="shared" si="60"/>
        <v>1.5162285263930031E-5</v>
      </c>
      <c r="AJ82" s="18">
        <f>IF(ISNUMBER(Kernel!M82),Kernel!M82,"")</f>
        <v>2.1234329779717648E-2</v>
      </c>
      <c r="AK82" s="18">
        <f t="shared" si="44"/>
        <v>4.5089676119380374E-4</v>
      </c>
      <c r="AN82" s="18">
        <f>IF(ISNUMBER(Volcanic!G82),Volcanic!G82,"")</f>
        <v>2.462E-2</v>
      </c>
    </row>
    <row r="83" spans="1:40">
      <c r="A83" s="18" t="str">
        <f>IF(Volcanic!A83="","",Volcanic!A83)</f>
        <v>12/1964</v>
      </c>
      <c r="B83" s="18">
        <f>IF(ISNUMBER(Volcanic!L83),Volcanic!L83,"")</f>
        <v>1964.9583333333333</v>
      </c>
      <c r="C83" s="18">
        <f>IF(ISNUMBER(Volcanic!J83),Volcanic!J83,"")</f>
        <v>-7.7894734922357961E-2</v>
      </c>
      <c r="D83" s="18">
        <f t="shared" si="37"/>
        <v>6.0675897286244125E-3</v>
      </c>
      <c r="E83" s="18">
        <f>IF(ISNUMBER(Volcanic!C83),Volcanic!C83,"")</f>
        <v>0.18681745935711205</v>
      </c>
      <c r="F83" s="18">
        <f>IF(ISNUMBER(Volcanic!D83),Volcanic!D83,"")</f>
        <v>-0.72</v>
      </c>
      <c r="G83" s="18">
        <f>IF(ISNUMBER(Volcanic!E83),Volcanic!E83,"")</f>
        <v>4.7509999999999997E-2</v>
      </c>
      <c r="H83" s="18">
        <f t="shared" si="38"/>
        <v>3.4900763120646217E-2</v>
      </c>
      <c r="I83" s="18">
        <f t="shared" si="39"/>
        <v>0.51839999999999997</v>
      </c>
      <c r="J83" s="18">
        <f t="shared" si="40"/>
        <v>2.2572000999999996E-3</v>
      </c>
      <c r="K83" s="18">
        <f t="shared" si="41"/>
        <v>-0.13450857073712066</v>
      </c>
      <c r="L83" s="18">
        <f t="shared" si="42"/>
        <v>8.8756974940563931E-3</v>
      </c>
      <c r="M83" s="18">
        <f t="shared" si="43"/>
        <v>-3.4207199999999993E-2</v>
      </c>
      <c r="N83" s="18">
        <f t="shared" si="46"/>
        <v>1.1717134166423294E-3</v>
      </c>
      <c r="O83" s="18">
        <f t="shared" si="49"/>
        <v>2.1883730554693665E-3</v>
      </c>
      <c r="P83" s="18">
        <f t="shared" si="51"/>
        <v>5.5576637951964885E-4</v>
      </c>
      <c r="Q83" s="18">
        <f t="shared" si="53"/>
        <v>1.4705951297785502E-3</v>
      </c>
      <c r="R83" s="18">
        <f t="shared" si="55"/>
        <v>3.4062141512312086E-2</v>
      </c>
      <c r="S83" s="18">
        <f t="shared" si="57"/>
        <v>1.8998680300679454E-2</v>
      </c>
      <c r="T83" s="18">
        <f t="shared" si="59"/>
        <v>1.2873473156487129E-2</v>
      </c>
      <c r="U83" s="18">
        <f t="shared" si="61"/>
        <v>4.7486341302367424E-2</v>
      </c>
      <c r="V83" s="18">
        <f t="shared" si="62"/>
        <v>1.3976151184170121E-2</v>
      </c>
      <c r="W83" s="18">
        <f t="shared" si="63"/>
        <v>5.0902577258571467E-4</v>
      </c>
      <c r="X83" s="18">
        <f t="shared" si="64"/>
        <v>1.0937685882373843E-3</v>
      </c>
      <c r="Y83" s="18">
        <f t="shared" si="65"/>
        <v>2.7772957888273479E-5</v>
      </c>
      <c r="AA83" s="18">
        <f t="shared" si="47"/>
        <v>-9.5105806262982456E-2</v>
      </c>
      <c r="AB83" s="18">
        <f t="shared" si="48"/>
        <v>9.0451143849319526E-3</v>
      </c>
      <c r="AC83" s="18">
        <f t="shared" si="50"/>
        <v>3.3352257576333396E-3</v>
      </c>
      <c r="AD83" s="18">
        <f t="shared" si="52"/>
        <v>1.2198701032111222E-3</v>
      </c>
      <c r="AE83" s="18">
        <f t="shared" si="54"/>
        <v>1.8366649152322626E-3</v>
      </c>
      <c r="AF83" s="18">
        <f t="shared" si="56"/>
        <v>2.9646389995643431E-3</v>
      </c>
      <c r="AG83" s="18">
        <f t="shared" si="58"/>
        <v>1.3283765327423648E-2</v>
      </c>
      <c r="AH83" s="18">
        <f t="shared" si="60"/>
        <v>3.7979894538447488E-2</v>
      </c>
      <c r="AJ83" s="18">
        <f>IF(ISNUMBER(Kernel!M83),Kernel!M83,"")</f>
        <v>-7.7518616810429347E-2</v>
      </c>
      <c r="AK83" s="18">
        <f t="shared" si="44"/>
        <v>6.0091359522021796E-3</v>
      </c>
      <c r="AN83" s="18">
        <f>IF(ISNUMBER(Volcanic!G83),Volcanic!G83,"")</f>
        <v>2.2419999999999999E-2</v>
      </c>
    </row>
    <row r="84" spans="1:40">
      <c r="A84" s="18" t="str">
        <f>IF(Volcanic!A84="","",Volcanic!A84)</f>
        <v>1/1965</v>
      </c>
      <c r="B84" s="18">
        <f>IF(ISNUMBER(Volcanic!L84),Volcanic!L84,"")</f>
        <v>1965.0416666666667</v>
      </c>
      <c r="C84" s="18">
        <f>IF(ISNUMBER(Volcanic!J84),Volcanic!J84,"")</f>
        <v>0.13007480428184626</v>
      </c>
      <c r="D84" s="18">
        <f t="shared" si="37"/>
        <v>1.6919454708960609E-2</v>
      </c>
      <c r="E84" s="18">
        <f>IF(ISNUMBER(Volcanic!C84),Volcanic!C84,"")</f>
        <v>0.19011814991335674</v>
      </c>
      <c r="F84" s="18">
        <f>IF(ISNUMBER(Volcanic!D84),Volcanic!D84,"")</f>
        <v>-0.8</v>
      </c>
      <c r="G84" s="18">
        <f>IF(ISNUMBER(Volcanic!E84),Volcanic!E84,"")</f>
        <v>4.2759999999999999E-2</v>
      </c>
      <c r="H84" s="18">
        <f t="shared" si="38"/>
        <v>3.6144910926477584E-2</v>
      </c>
      <c r="I84" s="18">
        <f t="shared" si="39"/>
        <v>0.64000000000000012</v>
      </c>
      <c r="J84" s="18">
        <f t="shared" si="40"/>
        <v>1.8284175999999999E-3</v>
      </c>
      <c r="K84" s="18">
        <f t="shared" si="41"/>
        <v>-0.1520945199306854</v>
      </c>
      <c r="L84" s="18">
        <f t="shared" si="42"/>
        <v>8.1294520902951348E-3</v>
      </c>
      <c r="M84" s="18">
        <f t="shared" si="43"/>
        <v>-3.4208000000000002E-2</v>
      </c>
      <c r="N84" s="18">
        <f t="shared" si="46"/>
        <v>6.0675897286244125E-3</v>
      </c>
      <c r="O84" s="18">
        <f t="shared" si="49"/>
        <v>1.1717134166423294E-3</v>
      </c>
      <c r="P84" s="18">
        <f t="shared" si="51"/>
        <v>2.1883730554693665E-3</v>
      </c>
      <c r="Q84" s="18">
        <f t="shared" si="53"/>
        <v>5.5576637951964885E-4</v>
      </c>
      <c r="R84" s="18">
        <f t="shared" si="55"/>
        <v>1.4705951297785502E-3</v>
      </c>
      <c r="S84" s="18">
        <f t="shared" si="57"/>
        <v>3.4062141512312086E-2</v>
      </c>
      <c r="T84" s="18">
        <f t="shared" si="59"/>
        <v>1.8998680300679454E-2</v>
      </c>
      <c r="U84" s="18">
        <f t="shared" si="61"/>
        <v>1.2873473156487129E-2</v>
      </c>
      <c r="V84" s="18">
        <f t="shared" si="62"/>
        <v>4.7486341302367424E-2</v>
      </c>
      <c r="W84" s="18">
        <f t="shared" si="63"/>
        <v>1.3976151184170121E-2</v>
      </c>
      <c r="X84" s="18">
        <f t="shared" si="64"/>
        <v>5.0902577258571467E-4</v>
      </c>
      <c r="Y84" s="18">
        <f t="shared" si="65"/>
        <v>1.0937685882373843E-3</v>
      </c>
      <c r="AA84" s="18">
        <f t="shared" si="47"/>
        <v>0.16924045144467398</v>
      </c>
      <c r="AB84" s="18">
        <f t="shared" si="48"/>
        <v>2.864233040519705E-2</v>
      </c>
      <c r="AC84" s="18">
        <f t="shared" si="50"/>
        <v>9.0451143849319526E-3</v>
      </c>
      <c r="AD84" s="18">
        <f t="shared" si="52"/>
        <v>3.3352257576333396E-3</v>
      </c>
      <c r="AE84" s="18">
        <f t="shared" si="54"/>
        <v>1.2198701032111222E-3</v>
      </c>
      <c r="AF84" s="18">
        <f t="shared" si="56"/>
        <v>1.8366649152322626E-3</v>
      </c>
      <c r="AG84" s="18">
        <f t="shared" si="58"/>
        <v>2.9646389995643431E-3</v>
      </c>
      <c r="AH84" s="18">
        <f t="shared" si="60"/>
        <v>1.3283765327423648E-2</v>
      </c>
      <c r="AJ84" s="18">
        <f>IF(ISNUMBER(Kernel!M84),Kernel!M84,"")</f>
        <v>0.13066944189124191</v>
      </c>
      <c r="AK84" s="18">
        <f t="shared" si="44"/>
        <v>1.7074503044168646E-2</v>
      </c>
      <c r="AN84" s="18">
        <f>IF(ISNUMBER(Volcanic!G84),Volcanic!G84,"")</f>
        <v>2.01E-2</v>
      </c>
    </row>
    <row r="85" spans="1:40">
      <c r="A85" s="18" t="str">
        <f>IF(Volcanic!A85="","",Volcanic!A85)</f>
        <v>2/1965</v>
      </c>
      <c r="B85" s="18">
        <f>IF(ISNUMBER(Volcanic!L85),Volcanic!L85,"")</f>
        <v>1965.125</v>
      </c>
      <c r="C85" s="18">
        <f>IF(ISNUMBER(Volcanic!J85),Volcanic!J85,"")</f>
        <v>1.7210608398729843E-2</v>
      </c>
      <c r="D85" s="18">
        <f t="shared" si="37"/>
        <v>2.9620504145443023E-4</v>
      </c>
      <c r="E85" s="18">
        <f>IF(ISNUMBER(Volcanic!C85),Volcanic!C85,"")</f>
        <v>0.19462742107482237</v>
      </c>
      <c r="F85" s="18">
        <f>IF(ISNUMBER(Volcanic!D85),Volcanic!D85,"")</f>
        <v>-0.79</v>
      </c>
      <c r="G85" s="18">
        <f>IF(ISNUMBER(Volcanic!E85),Volcanic!E85,"")</f>
        <v>3.8379999999999997E-2</v>
      </c>
      <c r="H85" s="18">
        <f t="shared" si="38"/>
        <v>3.7879833034236206E-2</v>
      </c>
      <c r="I85" s="18">
        <f t="shared" si="39"/>
        <v>0.6241000000000001</v>
      </c>
      <c r="J85" s="18">
        <f t="shared" si="40"/>
        <v>1.4730243999999998E-3</v>
      </c>
      <c r="K85" s="18">
        <f t="shared" si="41"/>
        <v>-0.15375566264910967</v>
      </c>
      <c r="L85" s="18">
        <f t="shared" si="42"/>
        <v>7.469800420851682E-3</v>
      </c>
      <c r="M85" s="18">
        <f t="shared" si="43"/>
        <v>-3.0320199999999999E-2</v>
      </c>
      <c r="N85" s="18">
        <f t="shared" si="46"/>
        <v>1.6919454708960609E-2</v>
      </c>
      <c r="O85" s="18">
        <f t="shared" si="49"/>
        <v>6.0675897286244125E-3</v>
      </c>
      <c r="P85" s="18">
        <f t="shared" si="51"/>
        <v>1.1717134166423294E-3</v>
      </c>
      <c r="Q85" s="18">
        <f t="shared" si="53"/>
        <v>2.1883730554693665E-3</v>
      </c>
      <c r="R85" s="18">
        <f t="shared" si="55"/>
        <v>5.5576637951964885E-4</v>
      </c>
      <c r="S85" s="18">
        <f t="shared" si="57"/>
        <v>1.4705951297785502E-3</v>
      </c>
      <c r="T85" s="18">
        <f t="shared" si="59"/>
        <v>3.4062141512312086E-2</v>
      </c>
      <c r="U85" s="18">
        <f t="shared" si="61"/>
        <v>1.8998680300679454E-2</v>
      </c>
      <c r="V85" s="18">
        <f t="shared" si="62"/>
        <v>1.2873473156487129E-2</v>
      </c>
      <c r="W85" s="18">
        <f t="shared" si="63"/>
        <v>4.7486341302367424E-2</v>
      </c>
      <c r="X85" s="18">
        <f t="shared" si="64"/>
        <v>1.3976151184170121E-2</v>
      </c>
      <c r="Y85" s="18">
        <f t="shared" si="65"/>
        <v>5.0902577258571467E-4</v>
      </c>
      <c r="AA85" s="18">
        <f t="shared" si="47"/>
        <v>-4.8191294494380976E-2</v>
      </c>
      <c r="AB85" s="18">
        <f t="shared" si="48"/>
        <v>2.322400865044154E-3</v>
      </c>
      <c r="AC85" s="18">
        <f t="shared" si="50"/>
        <v>2.864233040519705E-2</v>
      </c>
      <c r="AD85" s="18">
        <f t="shared" si="52"/>
        <v>9.0451143849319526E-3</v>
      </c>
      <c r="AE85" s="18">
        <f t="shared" si="54"/>
        <v>3.3352257576333396E-3</v>
      </c>
      <c r="AF85" s="18">
        <f t="shared" si="56"/>
        <v>1.2198701032111222E-3</v>
      </c>
      <c r="AG85" s="18">
        <f t="shared" si="58"/>
        <v>1.8366649152322626E-3</v>
      </c>
      <c r="AH85" s="18">
        <f t="shared" si="60"/>
        <v>2.9646389995643431E-3</v>
      </c>
      <c r="AJ85" s="18">
        <f>IF(ISNUMBER(Kernel!M85),Kernel!M85,"")</f>
        <v>1.9442750415432974E-2</v>
      </c>
      <c r="AK85" s="18">
        <f t="shared" si="44"/>
        <v>3.7802054371681909E-4</v>
      </c>
      <c r="AN85" s="18">
        <f>IF(ISNUMBER(Volcanic!G85),Volcanic!G85,"")</f>
        <v>1.789E-2</v>
      </c>
    </row>
    <row r="86" spans="1:40">
      <c r="A86" s="18" t="str">
        <f>IF(Volcanic!A86="","",Volcanic!A86)</f>
        <v>3/1965</v>
      </c>
      <c r="B86" s="18">
        <f>IF(ISNUMBER(Volcanic!L86),Volcanic!L86,"")</f>
        <v>1965.2083333333333</v>
      </c>
      <c r="C86" s="18">
        <f>IF(ISNUMBER(Volcanic!J86),Volcanic!J86,"")</f>
        <v>3.9219506023356471E-2</v>
      </c>
      <c r="D86" s="18">
        <f t="shared" si="37"/>
        <v>1.5381696527160945E-3</v>
      </c>
      <c r="E86" s="18">
        <f>IF(ISNUMBER(Volcanic!C86),Volcanic!C86,"")</f>
        <v>0.19665200397268703</v>
      </c>
      <c r="F86" s="18">
        <f>IF(ISNUMBER(Volcanic!D86),Volcanic!D86,"")</f>
        <v>-0.75</v>
      </c>
      <c r="G86" s="18">
        <f>IF(ISNUMBER(Volcanic!E86),Volcanic!E86,"")</f>
        <v>3.44E-2</v>
      </c>
      <c r="H86" s="18">
        <f t="shared" si="38"/>
        <v>3.8672010666473716E-2</v>
      </c>
      <c r="I86" s="18">
        <f t="shared" si="39"/>
        <v>0.5625</v>
      </c>
      <c r="J86" s="18">
        <f t="shared" si="40"/>
        <v>1.1833600000000001E-3</v>
      </c>
      <c r="K86" s="18">
        <f t="shared" si="41"/>
        <v>-0.14748900297951528</v>
      </c>
      <c r="L86" s="18">
        <f t="shared" si="42"/>
        <v>6.7648289366604338E-3</v>
      </c>
      <c r="M86" s="18">
        <f t="shared" si="43"/>
        <v>-2.58E-2</v>
      </c>
      <c r="N86" s="18">
        <f t="shared" si="46"/>
        <v>2.9620504145443023E-4</v>
      </c>
      <c r="O86" s="18">
        <f t="shared" si="49"/>
        <v>1.6919454708960609E-2</v>
      </c>
      <c r="P86" s="18">
        <f t="shared" si="51"/>
        <v>6.0675897286244125E-3</v>
      </c>
      <c r="Q86" s="18">
        <f t="shared" si="53"/>
        <v>1.1717134166423294E-3</v>
      </c>
      <c r="R86" s="18">
        <f t="shared" si="55"/>
        <v>2.1883730554693665E-3</v>
      </c>
      <c r="S86" s="18">
        <f t="shared" si="57"/>
        <v>5.5576637951964885E-4</v>
      </c>
      <c r="T86" s="18">
        <f t="shared" si="59"/>
        <v>1.4705951297785502E-3</v>
      </c>
      <c r="U86" s="18">
        <f t="shared" si="61"/>
        <v>3.4062141512312086E-2</v>
      </c>
      <c r="V86" s="18">
        <f t="shared" si="62"/>
        <v>1.8998680300679454E-2</v>
      </c>
      <c r="W86" s="18">
        <f t="shared" si="63"/>
        <v>1.2873473156487129E-2</v>
      </c>
      <c r="X86" s="18">
        <f t="shared" si="64"/>
        <v>4.7486341302367424E-2</v>
      </c>
      <c r="Y86" s="18">
        <f t="shared" si="65"/>
        <v>1.3976151184170121E-2</v>
      </c>
      <c r="AA86" s="18">
        <f t="shared" si="47"/>
        <v>3.0565973577625312E-2</v>
      </c>
      <c r="AB86" s="18">
        <f t="shared" si="48"/>
        <v>9.3427874074808871E-4</v>
      </c>
      <c r="AC86" s="18">
        <f t="shared" si="50"/>
        <v>2.322400865044154E-3</v>
      </c>
      <c r="AD86" s="18">
        <f t="shared" si="52"/>
        <v>2.864233040519705E-2</v>
      </c>
      <c r="AE86" s="18">
        <f t="shared" si="54"/>
        <v>9.0451143849319526E-3</v>
      </c>
      <c r="AF86" s="18">
        <f t="shared" si="56"/>
        <v>3.3352257576333396E-3</v>
      </c>
      <c r="AG86" s="18">
        <f t="shared" si="58"/>
        <v>1.2198701032111222E-3</v>
      </c>
      <c r="AH86" s="18">
        <f t="shared" si="60"/>
        <v>1.8366649152322626E-3</v>
      </c>
      <c r="AJ86" s="18">
        <f>IF(ISNUMBER(Kernel!M86),Kernel!M86,"")</f>
        <v>4.0873102230745612E-2</v>
      </c>
      <c r="AK86" s="18">
        <f t="shared" si="44"/>
        <v>1.6706104859649819E-3</v>
      </c>
      <c r="AN86" s="18">
        <f>IF(ISNUMBER(Volcanic!G86),Volcanic!G86,"")</f>
        <v>1.5949999999999999E-2</v>
      </c>
    </row>
    <row r="87" spans="1:40">
      <c r="A87" s="18" t="str">
        <f>IF(Volcanic!A87="","",Volcanic!A87)</f>
        <v>4/1965</v>
      </c>
      <c r="B87" s="18">
        <f>IF(ISNUMBER(Volcanic!L87),Volcanic!L87,"")</f>
        <v>1965.2916666666667</v>
      </c>
      <c r="C87" s="18">
        <f>IF(ISNUMBER(Volcanic!J87),Volcanic!J87,"")</f>
        <v>-6.6336652474730792E-2</v>
      </c>
      <c r="D87" s="18">
        <f t="shared" si="37"/>
        <v>4.4005514615532071E-3</v>
      </c>
      <c r="E87" s="18">
        <f>IF(ISNUMBER(Volcanic!C87),Volcanic!C87,"")</f>
        <v>0.20226098356200239</v>
      </c>
      <c r="F87" s="18">
        <f>IF(ISNUMBER(Volcanic!D87),Volcanic!D87,"")</f>
        <v>-0.51</v>
      </c>
      <c r="G87" s="18">
        <f>IF(ISNUMBER(Volcanic!E87),Volcanic!E87,"")</f>
        <v>3.0769999999999999E-2</v>
      </c>
      <c r="H87" s="18">
        <f t="shared" si="38"/>
        <v>4.0909505471468606E-2</v>
      </c>
      <c r="I87" s="18">
        <f t="shared" si="39"/>
        <v>0.2601</v>
      </c>
      <c r="J87" s="18">
        <f t="shared" si="40"/>
        <v>9.4679289999999988E-4</v>
      </c>
      <c r="K87" s="18">
        <f t="shared" si="41"/>
        <v>-0.10315310161662122</v>
      </c>
      <c r="L87" s="18">
        <f t="shared" si="42"/>
        <v>6.2235704642028137E-3</v>
      </c>
      <c r="M87" s="18">
        <f t="shared" si="43"/>
        <v>-1.56927E-2</v>
      </c>
      <c r="N87" s="18">
        <f t="shared" si="46"/>
        <v>1.5381696527160945E-3</v>
      </c>
      <c r="O87" s="18">
        <f t="shared" si="49"/>
        <v>2.9620504145443023E-4</v>
      </c>
      <c r="P87" s="18">
        <f t="shared" si="51"/>
        <v>1.6919454708960609E-2</v>
      </c>
      <c r="Q87" s="18">
        <f t="shared" si="53"/>
        <v>6.0675897286244125E-3</v>
      </c>
      <c r="R87" s="18">
        <f t="shared" si="55"/>
        <v>1.1717134166423294E-3</v>
      </c>
      <c r="S87" s="18">
        <f t="shared" si="57"/>
        <v>2.1883730554693665E-3</v>
      </c>
      <c r="T87" s="18">
        <f t="shared" si="59"/>
        <v>5.5576637951964885E-4</v>
      </c>
      <c r="U87" s="18">
        <f t="shared" si="61"/>
        <v>1.4705951297785502E-3</v>
      </c>
      <c r="V87" s="18">
        <f t="shared" si="62"/>
        <v>3.4062141512312086E-2</v>
      </c>
      <c r="W87" s="18">
        <f t="shared" si="63"/>
        <v>1.8998680300679454E-2</v>
      </c>
      <c r="X87" s="18">
        <f t="shared" si="64"/>
        <v>1.2873473156487129E-2</v>
      </c>
      <c r="Y87" s="18">
        <f t="shared" si="65"/>
        <v>4.7486341302367424E-2</v>
      </c>
      <c r="AA87" s="18">
        <f t="shared" si="47"/>
        <v>-8.6056307934656934E-2</v>
      </c>
      <c r="AB87" s="18">
        <f t="shared" si="48"/>
        <v>7.4056881353444983E-3</v>
      </c>
      <c r="AC87" s="18">
        <f t="shared" si="50"/>
        <v>9.3427874074808871E-4</v>
      </c>
      <c r="AD87" s="18">
        <f t="shared" si="52"/>
        <v>2.322400865044154E-3</v>
      </c>
      <c r="AE87" s="18">
        <f t="shared" si="54"/>
        <v>2.864233040519705E-2</v>
      </c>
      <c r="AF87" s="18">
        <f t="shared" si="56"/>
        <v>9.0451143849319526E-3</v>
      </c>
      <c r="AG87" s="18">
        <f t="shared" si="58"/>
        <v>3.3352257576333396E-3</v>
      </c>
      <c r="AH87" s="18">
        <f t="shared" si="60"/>
        <v>1.2198701032111222E-3</v>
      </c>
      <c r="AJ87" s="18">
        <f>IF(ISNUMBER(Kernel!M87),Kernel!M87,"")</f>
        <v>-5.0533224697472512E-2</v>
      </c>
      <c r="AK87" s="18">
        <f t="shared" si="44"/>
        <v>2.5536067983252457E-3</v>
      </c>
      <c r="AN87" s="18">
        <f>IF(ISNUMBER(Volcanic!G87),Volcanic!G87,"")</f>
        <v>1.4330000000000001E-2</v>
      </c>
    </row>
    <row r="88" spans="1:40">
      <c r="A88" s="18" t="str">
        <f>IF(Volcanic!A88="","",Volcanic!A88)</f>
        <v>5/1965</v>
      </c>
      <c r="B88" s="18">
        <f>IF(ISNUMBER(Volcanic!L88),Volcanic!L88,"")</f>
        <v>1965.375</v>
      </c>
      <c r="C88" s="18">
        <f>IF(ISNUMBER(Volcanic!J88),Volcanic!J88,"")</f>
        <v>-2.7958921783165641E-2</v>
      </c>
      <c r="D88" s="18">
        <f t="shared" si="37"/>
        <v>7.8170130727717418E-4</v>
      </c>
      <c r="E88" s="18">
        <f>IF(ISNUMBER(Volcanic!C88),Volcanic!C88,"")</f>
        <v>0.20239533147297081</v>
      </c>
      <c r="F88" s="18">
        <f>IF(ISNUMBER(Volcanic!D88),Volcanic!D88,"")</f>
        <v>-0.25</v>
      </c>
      <c r="G88" s="18">
        <f>IF(ISNUMBER(Volcanic!E88),Volcanic!E88,"")</f>
        <v>2.7529999999999999E-2</v>
      </c>
      <c r="H88" s="18">
        <f t="shared" si="38"/>
        <v>4.0963870202053727E-2</v>
      </c>
      <c r="I88" s="18">
        <f t="shared" si="39"/>
        <v>6.25E-2</v>
      </c>
      <c r="J88" s="18">
        <f t="shared" si="40"/>
        <v>7.5790089999999992E-4</v>
      </c>
      <c r="K88" s="18">
        <f t="shared" si="41"/>
        <v>-5.0598832868242703E-2</v>
      </c>
      <c r="L88" s="18">
        <f t="shared" si="42"/>
        <v>5.5719434754508863E-3</v>
      </c>
      <c r="M88" s="18">
        <f t="shared" si="43"/>
        <v>-6.8824999999999997E-3</v>
      </c>
      <c r="N88" s="18">
        <f t="shared" si="46"/>
        <v>4.4005514615532071E-3</v>
      </c>
      <c r="O88" s="18">
        <f t="shared" si="49"/>
        <v>1.5381696527160945E-3</v>
      </c>
      <c r="P88" s="18">
        <f t="shared" si="51"/>
        <v>2.9620504145443023E-4</v>
      </c>
      <c r="Q88" s="18">
        <f t="shared" si="53"/>
        <v>1.6919454708960609E-2</v>
      </c>
      <c r="R88" s="18">
        <f t="shared" si="55"/>
        <v>6.0675897286244125E-3</v>
      </c>
      <c r="S88" s="18">
        <f t="shared" si="57"/>
        <v>1.1717134166423294E-3</v>
      </c>
      <c r="T88" s="18">
        <f t="shared" si="59"/>
        <v>2.1883730554693665E-3</v>
      </c>
      <c r="U88" s="18">
        <f t="shared" si="61"/>
        <v>5.5576637951964885E-4</v>
      </c>
      <c r="V88" s="18">
        <f t="shared" si="62"/>
        <v>1.4705951297785502E-3</v>
      </c>
      <c r="W88" s="18">
        <f t="shared" si="63"/>
        <v>3.4062141512312086E-2</v>
      </c>
      <c r="X88" s="18">
        <f t="shared" si="64"/>
        <v>1.8998680300679454E-2</v>
      </c>
      <c r="Y88" s="18">
        <f t="shared" si="65"/>
        <v>1.2873473156487129E-2</v>
      </c>
      <c r="AA88" s="18">
        <f t="shared" si="47"/>
        <v>5.3952956408761521E-3</v>
      </c>
      <c r="AB88" s="18">
        <f t="shared" si="48"/>
        <v>2.9109215052457208E-5</v>
      </c>
      <c r="AC88" s="18">
        <f t="shared" si="50"/>
        <v>7.4056881353444983E-3</v>
      </c>
      <c r="AD88" s="18">
        <f t="shared" si="52"/>
        <v>9.3427874074808871E-4</v>
      </c>
      <c r="AE88" s="18">
        <f t="shared" si="54"/>
        <v>2.322400865044154E-3</v>
      </c>
      <c r="AF88" s="18">
        <f t="shared" si="56"/>
        <v>2.864233040519705E-2</v>
      </c>
      <c r="AG88" s="18">
        <f t="shared" si="58"/>
        <v>9.0451143849319526E-3</v>
      </c>
      <c r="AH88" s="18">
        <f t="shared" si="60"/>
        <v>3.3352257576333396E-3</v>
      </c>
      <c r="AJ88" s="18">
        <f>IF(ISNUMBER(Kernel!M88),Kernel!M88,"")</f>
        <v>-2.1162144146809059E-3</v>
      </c>
      <c r="AK88" s="18">
        <f t="shared" si="44"/>
        <v>4.4783634489032494E-6</v>
      </c>
      <c r="AN88" s="18">
        <f>IF(ISNUMBER(Volcanic!G88),Volcanic!G88,"")</f>
        <v>1.295E-2</v>
      </c>
    </row>
    <row r="89" spans="1:40">
      <c r="A89" s="18" t="str">
        <f>IF(Volcanic!A89="","",Volcanic!A89)</f>
        <v>6/1965</v>
      </c>
      <c r="B89" s="18">
        <f>IF(ISNUMBER(Volcanic!L89),Volcanic!L89,"")</f>
        <v>1965.4583333333333</v>
      </c>
      <c r="C89" s="18">
        <f>IF(ISNUMBER(Volcanic!J89),Volcanic!J89,"")</f>
        <v>-1.0183123992103735E-2</v>
      </c>
      <c r="D89" s="18">
        <f t="shared" si="37"/>
        <v>1.036960142385587E-4</v>
      </c>
      <c r="E89" s="18">
        <f>IF(ISNUMBER(Volcanic!C89),Volcanic!C89,"")</f>
        <v>0.20105128904215877</v>
      </c>
      <c r="F89" s="18">
        <f>IF(ISNUMBER(Volcanic!D89),Volcanic!D89,"")</f>
        <v>-0.04</v>
      </c>
      <c r="G89" s="18">
        <f>IF(ISNUMBER(Volcanic!E89),Volcanic!E89,"")</f>
        <v>2.462E-2</v>
      </c>
      <c r="H89" s="18">
        <f t="shared" si="38"/>
        <v>4.042162082551367E-2</v>
      </c>
      <c r="I89" s="18">
        <f t="shared" si="39"/>
        <v>1.6000000000000001E-3</v>
      </c>
      <c r="J89" s="18">
        <f t="shared" si="40"/>
        <v>6.061444E-4</v>
      </c>
      <c r="K89" s="18">
        <f t="shared" si="41"/>
        <v>-8.0420515616863517E-3</v>
      </c>
      <c r="L89" s="18">
        <f t="shared" si="42"/>
        <v>4.9498827362179487E-3</v>
      </c>
      <c r="M89" s="18">
        <f t="shared" si="43"/>
        <v>-9.8480000000000009E-4</v>
      </c>
      <c r="N89" s="18">
        <f t="shared" si="46"/>
        <v>7.8170130727717418E-4</v>
      </c>
      <c r="O89" s="18">
        <f t="shared" si="49"/>
        <v>4.4005514615532071E-3</v>
      </c>
      <c r="P89" s="18">
        <f t="shared" si="51"/>
        <v>1.5381696527160945E-3</v>
      </c>
      <c r="Q89" s="18">
        <f t="shared" si="53"/>
        <v>2.9620504145443023E-4</v>
      </c>
      <c r="R89" s="18">
        <f t="shared" si="55"/>
        <v>1.6919454708960609E-2</v>
      </c>
      <c r="S89" s="18">
        <f t="shared" si="57"/>
        <v>6.0675897286244125E-3</v>
      </c>
      <c r="T89" s="18">
        <f t="shared" si="59"/>
        <v>1.1717134166423294E-3</v>
      </c>
      <c r="U89" s="18">
        <f t="shared" si="61"/>
        <v>2.1883730554693665E-3</v>
      </c>
      <c r="V89" s="18">
        <f t="shared" si="62"/>
        <v>5.5576637951964885E-4</v>
      </c>
      <c r="W89" s="18">
        <f t="shared" si="63"/>
        <v>1.4705951297785502E-3</v>
      </c>
      <c r="X89" s="18">
        <f t="shared" si="64"/>
        <v>3.4062141512312086E-2</v>
      </c>
      <c r="Y89" s="18">
        <f t="shared" si="65"/>
        <v>1.8998680300679454E-2</v>
      </c>
      <c r="AA89" s="18">
        <f t="shared" si="47"/>
        <v>3.8746844939773935E-3</v>
      </c>
      <c r="AB89" s="18">
        <f t="shared" si="48"/>
        <v>1.501317992786885E-5</v>
      </c>
      <c r="AC89" s="18">
        <f t="shared" si="50"/>
        <v>2.9109215052457208E-5</v>
      </c>
      <c r="AD89" s="18">
        <f t="shared" si="52"/>
        <v>7.4056881353444983E-3</v>
      </c>
      <c r="AE89" s="18">
        <f t="shared" si="54"/>
        <v>9.3427874074808871E-4</v>
      </c>
      <c r="AF89" s="18">
        <f t="shared" si="56"/>
        <v>2.322400865044154E-3</v>
      </c>
      <c r="AG89" s="18">
        <f t="shared" si="58"/>
        <v>2.864233040519705E-2</v>
      </c>
      <c r="AH89" s="18">
        <f t="shared" si="60"/>
        <v>9.0451143849319526E-3</v>
      </c>
      <c r="AJ89" s="18">
        <f>IF(ISNUMBER(Kernel!M89),Kernel!M89,"")</f>
        <v>1.5933865468653802E-2</v>
      </c>
      <c r="AK89" s="18">
        <f t="shared" si="44"/>
        <v>2.5388806877315803E-4</v>
      </c>
      <c r="AN89" s="18">
        <f>IF(ISNUMBER(Volcanic!G89),Volcanic!G89,"")</f>
        <v>1.1809999999999999E-2</v>
      </c>
    </row>
    <row r="90" spans="1:40">
      <c r="A90" s="18" t="str">
        <f>IF(Volcanic!A90="","",Volcanic!A90)</f>
        <v>7/1965</v>
      </c>
      <c r="B90" s="18">
        <f>IF(ISNUMBER(Volcanic!L90),Volcanic!L90,"")</f>
        <v>1965.5416666666667</v>
      </c>
      <c r="C90" s="18">
        <f>IF(ISNUMBER(Volcanic!J90),Volcanic!J90,"")</f>
        <v>-7.5506153240914475E-2</v>
      </c>
      <c r="D90" s="18">
        <f t="shared" si="37"/>
        <v>5.70117917724046E-3</v>
      </c>
      <c r="E90" s="18">
        <f>IF(ISNUMBER(Volcanic!C90),Volcanic!C90,"")</f>
        <v>0.19808998077164383</v>
      </c>
      <c r="F90" s="18">
        <f>IF(ISNUMBER(Volcanic!D90),Volcanic!D90,"")</f>
        <v>0.16</v>
      </c>
      <c r="G90" s="18">
        <f>IF(ISNUMBER(Volcanic!E90),Volcanic!E90,"")</f>
        <v>2.2419999999999999E-2</v>
      </c>
      <c r="H90" s="18">
        <f t="shared" si="38"/>
        <v>3.9239640482110226E-2</v>
      </c>
      <c r="I90" s="18">
        <f t="shared" si="39"/>
        <v>2.5600000000000001E-2</v>
      </c>
      <c r="J90" s="18">
        <f t="shared" si="40"/>
        <v>5.026563999999999E-4</v>
      </c>
      <c r="K90" s="18">
        <f t="shared" si="41"/>
        <v>3.1694396923463014E-2</v>
      </c>
      <c r="L90" s="18">
        <f t="shared" si="42"/>
        <v>4.4411773689002542E-3</v>
      </c>
      <c r="M90" s="18">
        <f t="shared" si="43"/>
        <v>3.5872E-3</v>
      </c>
      <c r="N90" s="18">
        <f t="shared" si="46"/>
        <v>1.036960142385587E-4</v>
      </c>
      <c r="O90" s="18">
        <f t="shared" si="49"/>
        <v>7.8170130727717418E-4</v>
      </c>
      <c r="P90" s="18">
        <f t="shared" si="51"/>
        <v>4.4005514615532071E-3</v>
      </c>
      <c r="Q90" s="18">
        <f t="shared" si="53"/>
        <v>1.5381696527160945E-3</v>
      </c>
      <c r="R90" s="18">
        <f t="shared" si="55"/>
        <v>2.9620504145443023E-4</v>
      </c>
      <c r="S90" s="18">
        <f t="shared" si="57"/>
        <v>1.6919454708960609E-2</v>
      </c>
      <c r="T90" s="18">
        <f t="shared" si="59"/>
        <v>6.0675897286244125E-3</v>
      </c>
      <c r="U90" s="18">
        <f t="shared" si="61"/>
        <v>1.1717134166423294E-3</v>
      </c>
      <c r="V90" s="18">
        <f t="shared" si="62"/>
        <v>2.1883730554693665E-3</v>
      </c>
      <c r="W90" s="18">
        <f t="shared" si="63"/>
        <v>5.5576637951964885E-4</v>
      </c>
      <c r="X90" s="18">
        <f t="shared" si="64"/>
        <v>1.4705951297785502E-3</v>
      </c>
      <c r="Y90" s="18">
        <f t="shared" si="65"/>
        <v>3.4062141512312086E-2</v>
      </c>
      <c r="AA90" s="18">
        <f t="shared" si="47"/>
        <v>-7.0386055692760602E-2</v>
      </c>
      <c r="AB90" s="18">
        <f t="shared" si="48"/>
        <v>4.9541968359843973E-3</v>
      </c>
      <c r="AC90" s="18">
        <f t="shared" si="50"/>
        <v>1.501317992786885E-5</v>
      </c>
      <c r="AD90" s="18">
        <f t="shared" si="52"/>
        <v>2.9109215052457208E-5</v>
      </c>
      <c r="AE90" s="18">
        <f t="shared" si="54"/>
        <v>7.4056881353444983E-3</v>
      </c>
      <c r="AF90" s="18">
        <f t="shared" si="56"/>
        <v>9.3427874074808871E-4</v>
      </c>
      <c r="AG90" s="18">
        <f t="shared" si="58"/>
        <v>2.322400865044154E-3</v>
      </c>
      <c r="AH90" s="18">
        <f t="shared" si="60"/>
        <v>2.864233040519705E-2</v>
      </c>
      <c r="AJ90" s="18">
        <f>IF(ISNUMBER(Kernel!M90),Kernel!M90,"")</f>
        <v>-5.5069653341597399E-2</v>
      </c>
      <c r="AK90" s="18">
        <f t="shared" si="44"/>
        <v>3.0326667191637098E-3</v>
      </c>
      <c r="AN90" s="18">
        <f>IF(ISNUMBER(Volcanic!G90),Volcanic!G90,"")</f>
        <v>1.0829999999999999E-2</v>
      </c>
    </row>
    <row r="91" spans="1:40">
      <c r="A91" s="18" t="str">
        <f>IF(Volcanic!A91="","",Volcanic!A91)</f>
        <v>8/1965</v>
      </c>
      <c r="B91" s="18">
        <f>IF(ISNUMBER(Volcanic!L91),Volcanic!L91,"")</f>
        <v>1965.625</v>
      </c>
      <c r="C91" s="18">
        <f>IF(ISNUMBER(Volcanic!J91),Volcanic!J91,"")</f>
        <v>9.3926518639416562E-3</v>
      </c>
      <c r="D91" s="18">
        <f t="shared" si="37"/>
        <v>8.8221909037206669E-5</v>
      </c>
      <c r="E91" s="18">
        <f>IF(ISNUMBER(Volcanic!C91),Volcanic!C91,"")</f>
        <v>0.18754154484093474</v>
      </c>
      <c r="F91" s="18">
        <f>IF(ISNUMBER(Volcanic!D91),Volcanic!D91,"")</f>
        <v>0.47</v>
      </c>
      <c r="G91" s="18">
        <f>IF(ISNUMBER(Volcanic!E91),Volcanic!E91,"")</f>
        <v>2.01E-2</v>
      </c>
      <c r="H91" s="18">
        <f t="shared" si="38"/>
        <v>3.5171831041324333E-2</v>
      </c>
      <c r="I91" s="18">
        <f t="shared" si="39"/>
        <v>0.22089999999999999</v>
      </c>
      <c r="J91" s="18">
        <f t="shared" si="40"/>
        <v>4.0401E-4</v>
      </c>
      <c r="K91" s="18">
        <f t="shared" si="41"/>
        <v>8.8144526075239329E-2</v>
      </c>
      <c r="L91" s="18">
        <f t="shared" si="42"/>
        <v>3.7695850513027882E-3</v>
      </c>
      <c r="M91" s="18">
        <f t="shared" si="43"/>
        <v>9.4469999999999988E-3</v>
      </c>
      <c r="N91" s="18">
        <f t="shared" si="46"/>
        <v>5.70117917724046E-3</v>
      </c>
      <c r="O91" s="18">
        <f t="shared" si="49"/>
        <v>1.036960142385587E-4</v>
      </c>
      <c r="P91" s="18">
        <f t="shared" si="51"/>
        <v>7.8170130727717418E-4</v>
      </c>
      <c r="Q91" s="18">
        <f t="shared" si="53"/>
        <v>4.4005514615532071E-3</v>
      </c>
      <c r="R91" s="18">
        <f t="shared" si="55"/>
        <v>1.5381696527160945E-3</v>
      </c>
      <c r="S91" s="18">
        <f t="shared" si="57"/>
        <v>2.9620504145443023E-4</v>
      </c>
      <c r="T91" s="18">
        <f t="shared" si="59"/>
        <v>1.6919454708960609E-2</v>
      </c>
      <c r="U91" s="18">
        <f t="shared" si="61"/>
        <v>6.0675897286244125E-3</v>
      </c>
      <c r="V91" s="18">
        <f t="shared" si="62"/>
        <v>1.1717134166423294E-3</v>
      </c>
      <c r="W91" s="18">
        <f t="shared" si="63"/>
        <v>2.1883730554693665E-3</v>
      </c>
      <c r="X91" s="18">
        <f t="shared" si="64"/>
        <v>5.5576637951964885E-4</v>
      </c>
      <c r="Y91" s="18">
        <f t="shared" si="65"/>
        <v>1.4705951297785502E-3</v>
      </c>
      <c r="AA91" s="18">
        <f t="shared" si="47"/>
        <v>4.7357314808153632E-2</v>
      </c>
      <c r="AB91" s="18">
        <f t="shared" si="48"/>
        <v>2.2427152658385675E-3</v>
      </c>
      <c r="AC91" s="18">
        <f t="shared" si="50"/>
        <v>4.9541968359843973E-3</v>
      </c>
      <c r="AD91" s="18">
        <f t="shared" si="52"/>
        <v>1.501317992786885E-5</v>
      </c>
      <c r="AE91" s="18">
        <f t="shared" si="54"/>
        <v>2.9109215052457208E-5</v>
      </c>
      <c r="AF91" s="18">
        <f t="shared" si="56"/>
        <v>7.4056881353444983E-3</v>
      </c>
      <c r="AG91" s="18">
        <f t="shared" si="58"/>
        <v>9.3427874074808871E-4</v>
      </c>
      <c r="AH91" s="18">
        <f t="shared" si="60"/>
        <v>2.322400865044154E-3</v>
      </c>
      <c r="AJ91" s="18">
        <f>IF(ISNUMBER(Kernel!M91),Kernel!M91,"")</f>
        <v>3.4629577937548589E-2</v>
      </c>
      <c r="AK91" s="18">
        <f t="shared" si="44"/>
        <v>1.1992076681327519E-3</v>
      </c>
      <c r="AN91" s="18">
        <f>IF(ISNUMBER(Volcanic!G91),Volcanic!G91,"")</f>
        <v>1.001E-2</v>
      </c>
    </row>
    <row r="92" spans="1:40">
      <c r="A92" s="18" t="str">
        <f>IF(Volcanic!A92="","",Volcanic!A92)</f>
        <v>9/1965</v>
      </c>
      <c r="B92" s="18">
        <f>IF(ISNUMBER(Volcanic!L92),Volcanic!L92,"")</f>
        <v>1965.7083333333333</v>
      </c>
      <c r="C92" s="18">
        <f>IF(ISNUMBER(Volcanic!J92),Volcanic!J92,"")</f>
        <v>-0.12218619134039332</v>
      </c>
      <c r="D92" s="18">
        <f t="shared" si="37"/>
        <v>1.4929465354271209E-2</v>
      </c>
      <c r="E92" s="18">
        <f>IF(ISNUMBER(Volcanic!C92),Volcanic!C92,"")</f>
        <v>0.18278308729885059</v>
      </c>
      <c r="F92" s="18">
        <f>IF(ISNUMBER(Volcanic!D92),Volcanic!D92,"")</f>
        <v>0.79</v>
      </c>
      <c r="G92" s="18">
        <f>IF(ISNUMBER(Volcanic!E92),Volcanic!E92,"")</f>
        <v>1.789E-2</v>
      </c>
      <c r="H92" s="18">
        <f t="shared" si="38"/>
        <v>3.3409657002499239E-2</v>
      </c>
      <c r="I92" s="18">
        <f t="shared" si="39"/>
        <v>0.6241000000000001</v>
      </c>
      <c r="J92" s="18">
        <f t="shared" si="40"/>
        <v>3.2005210000000001E-4</v>
      </c>
      <c r="K92" s="18">
        <f t="shared" si="41"/>
        <v>0.14439863896609198</v>
      </c>
      <c r="L92" s="18">
        <f t="shared" si="42"/>
        <v>3.2699894317764371E-3</v>
      </c>
      <c r="M92" s="18">
        <f t="shared" si="43"/>
        <v>1.4133100000000001E-2</v>
      </c>
      <c r="N92" s="18">
        <f t="shared" si="46"/>
        <v>8.8221909037206669E-5</v>
      </c>
      <c r="O92" s="18">
        <f t="shared" si="49"/>
        <v>5.70117917724046E-3</v>
      </c>
      <c r="P92" s="18">
        <f t="shared" si="51"/>
        <v>1.036960142385587E-4</v>
      </c>
      <c r="Q92" s="18">
        <f t="shared" si="53"/>
        <v>7.8170130727717418E-4</v>
      </c>
      <c r="R92" s="18">
        <f t="shared" si="55"/>
        <v>4.4005514615532071E-3</v>
      </c>
      <c r="S92" s="18">
        <f t="shared" si="57"/>
        <v>1.5381696527160945E-3</v>
      </c>
      <c r="T92" s="18">
        <f t="shared" si="59"/>
        <v>2.9620504145443023E-4</v>
      </c>
      <c r="U92" s="18">
        <f t="shared" si="61"/>
        <v>1.6919454708960609E-2</v>
      </c>
      <c r="V92" s="18">
        <f t="shared" si="62"/>
        <v>6.0675897286244125E-3</v>
      </c>
      <c r="W92" s="18">
        <f t="shared" si="63"/>
        <v>1.1717134166423294E-3</v>
      </c>
      <c r="X92" s="18">
        <f t="shared" si="64"/>
        <v>2.1883730554693665E-3</v>
      </c>
      <c r="Y92" s="18">
        <f t="shared" si="65"/>
        <v>5.5576637951964885E-4</v>
      </c>
      <c r="AA92" s="18">
        <f t="shared" si="47"/>
        <v>-0.12690883773225911</v>
      </c>
      <c r="AB92" s="18">
        <f t="shared" si="48"/>
        <v>1.6105853094552872E-2</v>
      </c>
      <c r="AC92" s="18">
        <f t="shared" si="50"/>
        <v>2.2427152658385675E-3</v>
      </c>
      <c r="AD92" s="18">
        <f t="shared" si="52"/>
        <v>4.9541968359843973E-3</v>
      </c>
      <c r="AE92" s="18">
        <f t="shared" si="54"/>
        <v>1.501317992786885E-5</v>
      </c>
      <c r="AF92" s="18">
        <f t="shared" si="56"/>
        <v>2.9109215052457208E-5</v>
      </c>
      <c r="AG92" s="18">
        <f t="shared" si="58"/>
        <v>7.4056881353444983E-3</v>
      </c>
      <c r="AH92" s="18">
        <f t="shared" si="60"/>
        <v>9.3427874074808871E-4</v>
      </c>
      <c r="AJ92" s="18">
        <f>IF(ISNUMBER(Kernel!M92),Kernel!M92,"")</f>
        <v>-9.3517066400650856E-2</v>
      </c>
      <c r="AK92" s="18">
        <f t="shared" si="44"/>
        <v>8.7454417081837404E-3</v>
      </c>
      <c r="AN92" s="18">
        <f>IF(ISNUMBER(Volcanic!G92),Volcanic!G92,"")</f>
        <v>9.2800000000000001E-3</v>
      </c>
    </row>
    <row r="93" spans="1:40">
      <c r="A93" s="18" t="str">
        <f>IF(Volcanic!A93="","",Volcanic!A93)</f>
        <v>10/1965</v>
      </c>
      <c r="B93" s="18">
        <f>IF(ISNUMBER(Volcanic!L93),Volcanic!L93,"")</f>
        <v>1965.7916666666667</v>
      </c>
      <c r="C93" s="18">
        <f>IF(ISNUMBER(Volcanic!J93),Volcanic!J93,"")</f>
        <v>-4.8778077140885563E-2</v>
      </c>
      <c r="D93" s="18">
        <f t="shared" si="37"/>
        <v>2.3793008095621829E-3</v>
      </c>
      <c r="E93" s="18">
        <f>IF(ISNUMBER(Volcanic!C93),Volcanic!C93,"")</f>
        <v>0.18042069408530895</v>
      </c>
      <c r="F93" s="18">
        <f>IF(ISNUMBER(Volcanic!D93),Volcanic!D93,"")</f>
        <v>1.1000000000000001</v>
      </c>
      <c r="G93" s="18">
        <f>IF(ISNUMBER(Volcanic!E93),Volcanic!E93,"")</f>
        <v>1.5949999999999999E-2</v>
      </c>
      <c r="H93" s="18">
        <f t="shared" si="38"/>
        <v>3.2551626854224636E-2</v>
      </c>
      <c r="I93" s="18">
        <f t="shared" si="39"/>
        <v>1.2100000000000002</v>
      </c>
      <c r="J93" s="18">
        <f t="shared" si="40"/>
        <v>2.5440249999999999E-4</v>
      </c>
      <c r="K93" s="18">
        <f t="shared" si="41"/>
        <v>0.19846276349383984</v>
      </c>
      <c r="L93" s="18">
        <f t="shared" si="42"/>
        <v>2.8777100706606773E-3</v>
      </c>
      <c r="M93" s="18">
        <f t="shared" si="43"/>
        <v>1.7545000000000002E-2</v>
      </c>
      <c r="N93" s="18">
        <f t="shared" si="46"/>
        <v>1.4929465354271209E-2</v>
      </c>
      <c r="O93" s="18">
        <f t="shared" si="49"/>
        <v>8.8221909037206669E-5</v>
      </c>
      <c r="P93" s="18">
        <f t="shared" si="51"/>
        <v>5.70117917724046E-3</v>
      </c>
      <c r="Q93" s="18">
        <f t="shared" si="53"/>
        <v>1.036960142385587E-4</v>
      </c>
      <c r="R93" s="18">
        <f t="shared" si="55"/>
        <v>7.8170130727717418E-4</v>
      </c>
      <c r="S93" s="18">
        <f t="shared" si="57"/>
        <v>4.4005514615532071E-3</v>
      </c>
      <c r="T93" s="18">
        <f t="shared" si="59"/>
        <v>1.5381696527160945E-3</v>
      </c>
      <c r="U93" s="18">
        <f t="shared" si="61"/>
        <v>2.9620504145443023E-4</v>
      </c>
      <c r="V93" s="18">
        <f t="shared" si="62"/>
        <v>1.6919454708960609E-2</v>
      </c>
      <c r="W93" s="18">
        <f t="shared" si="63"/>
        <v>6.0675897286244125E-3</v>
      </c>
      <c r="X93" s="18">
        <f t="shared" si="64"/>
        <v>1.1717134166423294E-3</v>
      </c>
      <c r="Y93" s="18">
        <f t="shared" si="65"/>
        <v>2.1883730554693665E-3</v>
      </c>
      <c r="AA93" s="18">
        <f t="shared" si="47"/>
        <v>1.2657413498855088E-2</v>
      </c>
      <c r="AB93" s="18">
        <f t="shared" si="48"/>
        <v>1.6021011648099901E-4</v>
      </c>
      <c r="AC93" s="18">
        <f t="shared" si="50"/>
        <v>1.6105853094552872E-2</v>
      </c>
      <c r="AD93" s="18">
        <f t="shared" si="52"/>
        <v>2.2427152658385675E-3</v>
      </c>
      <c r="AE93" s="18">
        <f t="shared" si="54"/>
        <v>4.9541968359843973E-3</v>
      </c>
      <c r="AF93" s="18">
        <f t="shared" si="56"/>
        <v>1.501317992786885E-5</v>
      </c>
      <c r="AG93" s="18">
        <f t="shared" si="58"/>
        <v>2.9109215052457208E-5</v>
      </c>
      <c r="AH93" s="18">
        <f t="shared" si="60"/>
        <v>7.4056881353444983E-3</v>
      </c>
      <c r="AJ93" s="18">
        <f>IF(ISNUMBER(Kernel!M93),Kernel!M93,"")</f>
        <v>-1.7005989184043696E-2</v>
      </c>
      <c r="AK93" s="18">
        <f t="shared" si="44"/>
        <v>2.8920366812781119E-4</v>
      </c>
      <c r="AN93" s="18">
        <f>IF(ISNUMBER(Volcanic!G93),Volcanic!G93,"")</f>
        <v>9.1400000000000006E-3</v>
      </c>
    </row>
    <row r="94" spans="1:40">
      <c r="A94" s="18" t="str">
        <f>IF(Volcanic!A94="","",Volcanic!A94)</f>
        <v>11/1965</v>
      </c>
      <c r="B94" s="18">
        <f>IF(ISNUMBER(Volcanic!L94),Volcanic!L94,"")</f>
        <v>1965.875</v>
      </c>
      <c r="C94" s="18">
        <f>IF(ISNUMBER(Volcanic!J94),Volcanic!J94,"")</f>
        <v>-9.7539393070555661E-2</v>
      </c>
      <c r="D94" s="18">
        <f t="shared" si="37"/>
        <v>9.5139332005723613E-3</v>
      </c>
      <c r="E94" s="18">
        <f>IF(ISNUMBER(Volcanic!C94),Volcanic!C94,"")</f>
        <v>0.18754154484093474</v>
      </c>
      <c r="F94" s="18">
        <f>IF(ISNUMBER(Volcanic!D94),Volcanic!D94,"")</f>
        <v>1.27</v>
      </c>
      <c r="G94" s="18">
        <f>IF(ISNUMBER(Volcanic!E94),Volcanic!E94,"")</f>
        <v>1.4330000000000001E-2</v>
      </c>
      <c r="H94" s="18">
        <f t="shared" si="38"/>
        <v>3.5171831041324333E-2</v>
      </c>
      <c r="I94" s="18">
        <f t="shared" si="39"/>
        <v>1.6129</v>
      </c>
      <c r="J94" s="18">
        <f t="shared" si="40"/>
        <v>2.0534890000000001E-4</v>
      </c>
      <c r="K94" s="18">
        <f t="shared" si="41"/>
        <v>0.23817776194798712</v>
      </c>
      <c r="L94" s="18">
        <f t="shared" si="42"/>
        <v>2.6874703375705951E-3</v>
      </c>
      <c r="M94" s="18">
        <f t="shared" si="43"/>
        <v>1.8199100000000003E-2</v>
      </c>
      <c r="N94" s="18">
        <f t="shared" si="46"/>
        <v>2.3793008095621829E-3</v>
      </c>
      <c r="O94" s="18">
        <f t="shared" si="49"/>
        <v>1.4929465354271209E-2</v>
      </c>
      <c r="P94" s="18">
        <f t="shared" si="51"/>
        <v>8.8221909037206669E-5</v>
      </c>
      <c r="Q94" s="18">
        <f t="shared" si="53"/>
        <v>5.70117917724046E-3</v>
      </c>
      <c r="R94" s="18">
        <f t="shared" si="55"/>
        <v>1.036960142385587E-4</v>
      </c>
      <c r="S94" s="18">
        <f t="shared" si="57"/>
        <v>7.8170130727717418E-4</v>
      </c>
      <c r="T94" s="18">
        <f t="shared" si="59"/>
        <v>4.4005514615532071E-3</v>
      </c>
      <c r="U94" s="18">
        <f t="shared" si="61"/>
        <v>1.5381696527160945E-3</v>
      </c>
      <c r="V94" s="18">
        <f t="shared" si="62"/>
        <v>2.9620504145443023E-4</v>
      </c>
      <c r="W94" s="18">
        <f t="shared" si="63"/>
        <v>1.6919454708960609E-2</v>
      </c>
      <c r="X94" s="18">
        <f t="shared" si="64"/>
        <v>6.0675897286244125E-3</v>
      </c>
      <c r="Y94" s="18">
        <f t="shared" si="65"/>
        <v>1.1717134166423294E-3</v>
      </c>
      <c r="AA94" s="18">
        <f t="shared" si="47"/>
        <v>-7.3013666646486772E-2</v>
      </c>
      <c r="AB94" s="18">
        <f t="shared" si="48"/>
        <v>5.3309955171642947E-3</v>
      </c>
      <c r="AC94" s="18">
        <f t="shared" si="50"/>
        <v>1.6021011648099901E-4</v>
      </c>
      <c r="AD94" s="18">
        <f t="shared" si="52"/>
        <v>1.6105853094552872E-2</v>
      </c>
      <c r="AE94" s="18">
        <f t="shared" si="54"/>
        <v>2.2427152658385675E-3</v>
      </c>
      <c r="AF94" s="18">
        <f t="shared" si="56"/>
        <v>4.9541968359843973E-3</v>
      </c>
      <c r="AG94" s="18">
        <f t="shared" si="58"/>
        <v>1.501317992786885E-5</v>
      </c>
      <c r="AH94" s="18">
        <f t="shared" si="60"/>
        <v>2.9109215052457208E-5</v>
      </c>
      <c r="AJ94" s="18">
        <f>IF(ISNUMBER(Kernel!M94),Kernel!M94,"")</f>
        <v>-7.4575905683034668E-2</v>
      </c>
      <c r="AK94" s="18">
        <f t="shared" si="44"/>
        <v>5.5615657084448827E-3</v>
      </c>
      <c r="AN94" s="18">
        <f>IF(ISNUMBER(Volcanic!G94),Volcanic!G94,"")</f>
        <v>8.7299999999999999E-3</v>
      </c>
    </row>
    <row r="95" spans="1:40">
      <c r="A95" s="18" t="str">
        <f>IF(Volcanic!A95="","",Volcanic!A95)</f>
        <v>12/1965</v>
      </c>
      <c r="B95" s="18">
        <f>IF(ISNUMBER(Volcanic!L95),Volcanic!L95,"")</f>
        <v>1965.9583333333333</v>
      </c>
      <c r="C95" s="18">
        <f>IF(ISNUMBER(Volcanic!J95),Volcanic!J95,"")</f>
        <v>-0.15333961631206425</v>
      </c>
      <c r="D95" s="18">
        <f t="shared" si="37"/>
        <v>2.351303793073108E-2</v>
      </c>
      <c r="E95" s="18">
        <f>IF(ISNUMBER(Volcanic!C95),Volcanic!C95,"")</f>
        <v>0.19002782057413631</v>
      </c>
      <c r="F95" s="18">
        <f>IF(ISNUMBER(Volcanic!D95),Volcanic!D95,"")</f>
        <v>1.55</v>
      </c>
      <c r="G95" s="18">
        <f>IF(ISNUMBER(Volcanic!E95),Volcanic!E95,"")</f>
        <v>1.295E-2</v>
      </c>
      <c r="H95" s="18">
        <f t="shared" si="38"/>
        <v>3.6110572592156144E-2</v>
      </c>
      <c r="I95" s="18">
        <f t="shared" si="39"/>
        <v>2.4025000000000003</v>
      </c>
      <c r="J95" s="18">
        <f t="shared" si="40"/>
        <v>1.677025E-4</v>
      </c>
      <c r="K95" s="18">
        <f t="shared" si="41"/>
        <v>0.29454312188991127</v>
      </c>
      <c r="L95" s="18">
        <f t="shared" si="42"/>
        <v>2.460860276435065E-3</v>
      </c>
      <c r="M95" s="18">
        <f t="shared" si="43"/>
        <v>2.00725E-2</v>
      </c>
      <c r="N95" s="18">
        <f t="shared" si="46"/>
        <v>9.5139332005723613E-3</v>
      </c>
      <c r="O95" s="18">
        <f t="shared" si="49"/>
        <v>2.3793008095621829E-3</v>
      </c>
      <c r="P95" s="18">
        <f t="shared" si="51"/>
        <v>1.4929465354271209E-2</v>
      </c>
      <c r="Q95" s="18">
        <f t="shared" si="53"/>
        <v>8.8221909037206669E-5</v>
      </c>
      <c r="R95" s="18">
        <f t="shared" si="55"/>
        <v>5.70117917724046E-3</v>
      </c>
      <c r="S95" s="18">
        <f t="shared" si="57"/>
        <v>1.036960142385587E-4</v>
      </c>
      <c r="T95" s="18">
        <f t="shared" si="59"/>
        <v>7.8170130727717418E-4</v>
      </c>
      <c r="U95" s="18">
        <f t="shared" si="61"/>
        <v>4.4005514615532071E-3</v>
      </c>
      <c r="V95" s="18">
        <f t="shared" si="62"/>
        <v>1.5381696527160945E-3</v>
      </c>
      <c r="W95" s="18">
        <f t="shared" si="63"/>
        <v>2.9620504145443023E-4</v>
      </c>
      <c r="X95" s="18">
        <f t="shared" si="64"/>
        <v>1.6919454708960609E-2</v>
      </c>
      <c r="Y95" s="18">
        <f t="shared" si="65"/>
        <v>6.0675897286244125E-3</v>
      </c>
      <c r="AA95" s="18">
        <f t="shared" si="47"/>
        <v>-0.10429659103846203</v>
      </c>
      <c r="AB95" s="18">
        <f t="shared" si="48"/>
        <v>1.0877778902244199E-2</v>
      </c>
      <c r="AC95" s="18">
        <f t="shared" si="50"/>
        <v>5.3309955171642947E-3</v>
      </c>
      <c r="AD95" s="18">
        <f t="shared" si="52"/>
        <v>1.6021011648099901E-4</v>
      </c>
      <c r="AE95" s="18">
        <f t="shared" si="54"/>
        <v>1.6105853094552872E-2</v>
      </c>
      <c r="AF95" s="18">
        <f t="shared" si="56"/>
        <v>2.2427152658385675E-3</v>
      </c>
      <c r="AG95" s="18">
        <f t="shared" si="58"/>
        <v>4.9541968359843973E-3</v>
      </c>
      <c r="AH95" s="18">
        <f t="shared" si="60"/>
        <v>1.501317992786885E-5</v>
      </c>
      <c r="AJ95" s="18">
        <f>IF(ISNUMBER(Kernel!M95),Kernel!M95,"")</f>
        <v>-0.1209558257991519</v>
      </c>
      <c r="AK95" s="18">
        <f t="shared" si="44"/>
        <v>1.4630311794754781E-2</v>
      </c>
      <c r="AN95" s="18">
        <f>IF(ISNUMBER(Volcanic!G95),Volcanic!G95,"")</f>
        <v>8.1399999999999997E-3</v>
      </c>
    </row>
    <row r="96" spans="1:40">
      <c r="A96" s="18" t="str">
        <f>IF(Volcanic!A96="","",Volcanic!A96)</f>
        <v>1/1966</v>
      </c>
      <c r="B96" s="18">
        <f>IF(ISNUMBER(Volcanic!L96),Volcanic!L96,"")</f>
        <v>1966.0416666666667</v>
      </c>
      <c r="C96" s="18">
        <f>IF(ISNUMBER(Volcanic!J96),Volcanic!J96,"")</f>
        <v>-0.29452202954671214</v>
      </c>
      <c r="D96" s="18">
        <f t="shared" si="37"/>
        <v>8.6743225888314374E-2</v>
      </c>
      <c r="E96" s="18">
        <f>IF(ISNUMBER(Volcanic!C96),Volcanic!C96,"")</f>
        <v>0.19543759520574477</v>
      </c>
      <c r="F96" s="18">
        <f>IF(ISNUMBER(Volcanic!D96),Volcanic!D96,"")</f>
        <v>1.7</v>
      </c>
      <c r="G96" s="18">
        <f>IF(ISNUMBER(Volcanic!E96),Volcanic!E96,"")</f>
        <v>1.1809999999999999E-2</v>
      </c>
      <c r="H96" s="18">
        <f t="shared" si="38"/>
        <v>3.819585361980455E-2</v>
      </c>
      <c r="I96" s="18">
        <f t="shared" si="39"/>
        <v>2.8899999999999997</v>
      </c>
      <c r="J96" s="18">
        <f t="shared" si="40"/>
        <v>1.3947609999999998E-4</v>
      </c>
      <c r="K96" s="18">
        <f t="shared" si="41"/>
        <v>0.33224391184976609</v>
      </c>
      <c r="L96" s="18">
        <f t="shared" si="42"/>
        <v>2.3081179993798455E-3</v>
      </c>
      <c r="M96" s="18">
        <f t="shared" si="43"/>
        <v>2.0076999999999998E-2</v>
      </c>
      <c r="N96" s="18">
        <f t="shared" si="46"/>
        <v>2.351303793073108E-2</v>
      </c>
      <c r="O96" s="18">
        <f t="shared" si="49"/>
        <v>9.5139332005723613E-3</v>
      </c>
      <c r="P96" s="18">
        <f t="shared" si="51"/>
        <v>2.3793008095621829E-3</v>
      </c>
      <c r="Q96" s="18">
        <f t="shared" si="53"/>
        <v>1.4929465354271209E-2</v>
      </c>
      <c r="R96" s="18">
        <f t="shared" si="55"/>
        <v>8.8221909037206669E-5</v>
      </c>
      <c r="S96" s="18">
        <f t="shared" si="57"/>
        <v>5.70117917724046E-3</v>
      </c>
      <c r="T96" s="18">
        <f t="shared" si="59"/>
        <v>1.036960142385587E-4</v>
      </c>
      <c r="U96" s="18">
        <f t="shared" si="61"/>
        <v>7.8170130727717418E-4</v>
      </c>
      <c r="V96" s="18">
        <f t="shared" si="62"/>
        <v>4.4005514615532071E-3</v>
      </c>
      <c r="W96" s="18">
        <f t="shared" si="63"/>
        <v>1.5381696527160945E-3</v>
      </c>
      <c r="X96" s="18">
        <f t="shared" si="64"/>
        <v>2.9620504145443023E-4</v>
      </c>
      <c r="Y96" s="18">
        <f t="shared" si="65"/>
        <v>1.6919454708960609E-2</v>
      </c>
      <c r="AA96" s="18">
        <f t="shared" si="47"/>
        <v>-0.21742252706367715</v>
      </c>
      <c r="AB96" s="18">
        <f t="shared" si="48"/>
        <v>4.7272555274755421E-2</v>
      </c>
      <c r="AC96" s="18">
        <f t="shared" si="50"/>
        <v>1.0877778902244199E-2</v>
      </c>
      <c r="AD96" s="18">
        <f t="shared" si="52"/>
        <v>5.3309955171642947E-3</v>
      </c>
      <c r="AE96" s="18">
        <f t="shared" si="54"/>
        <v>1.6021011648099901E-4</v>
      </c>
      <c r="AF96" s="18">
        <f t="shared" si="56"/>
        <v>1.6105853094552872E-2</v>
      </c>
      <c r="AG96" s="18">
        <f t="shared" si="58"/>
        <v>2.2427152658385675E-3</v>
      </c>
      <c r="AH96" s="18">
        <f t="shared" si="60"/>
        <v>4.9541968359843973E-3</v>
      </c>
      <c r="AJ96" s="18">
        <f>IF(ISNUMBER(Kernel!M96),Kernel!M96,"")</f>
        <v>-0.25485738751996356</v>
      </c>
      <c r="AK96" s="18">
        <f t="shared" si="44"/>
        <v>6.4952287973500875E-2</v>
      </c>
      <c r="AN96" s="18">
        <f>IF(ISNUMBER(Volcanic!G96),Volcanic!G96,"")</f>
        <v>7.5900000000000004E-3</v>
      </c>
    </row>
    <row r="97" spans="1:40">
      <c r="A97" s="18" t="str">
        <f>IF(Volcanic!A97="","",Volcanic!A97)</f>
        <v>2/1966</v>
      </c>
      <c r="B97" s="18">
        <f>IF(ISNUMBER(Volcanic!L97),Volcanic!L97,"")</f>
        <v>1966.125</v>
      </c>
      <c r="C97" s="18">
        <f>IF(ISNUMBER(Volcanic!J97),Volcanic!J97,"")</f>
        <v>-0.16982258951436605</v>
      </c>
      <c r="D97" s="18">
        <f t="shared" si="37"/>
        <v>2.8839711909364869E-2</v>
      </c>
      <c r="E97" s="18">
        <f>IF(ISNUMBER(Volcanic!C97),Volcanic!C97,"")</f>
        <v>0.19984057934659985</v>
      </c>
      <c r="F97" s="18">
        <f>IF(ISNUMBER(Volcanic!D97),Volcanic!D97,"")</f>
        <v>1.82</v>
      </c>
      <c r="G97" s="18">
        <f>IF(ISNUMBER(Volcanic!E97),Volcanic!E97,"")</f>
        <v>1.0829999999999999E-2</v>
      </c>
      <c r="H97" s="18">
        <f t="shared" si="38"/>
        <v>3.9936257153584669E-2</v>
      </c>
      <c r="I97" s="18">
        <f t="shared" si="39"/>
        <v>3.3124000000000002</v>
      </c>
      <c r="J97" s="18">
        <f t="shared" si="40"/>
        <v>1.1728889999999999E-4</v>
      </c>
      <c r="K97" s="18">
        <f t="shared" si="41"/>
        <v>0.36370985441081172</v>
      </c>
      <c r="L97" s="18">
        <f t="shared" si="42"/>
        <v>2.1642734743236762E-3</v>
      </c>
      <c r="M97" s="18">
        <f t="shared" si="43"/>
        <v>1.9710599999999998E-2</v>
      </c>
      <c r="N97" s="18">
        <f t="shared" si="46"/>
        <v>8.6743225888314374E-2</v>
      </c>
      <c r="O97" s="18">
        <f t="shared" si="49"/>
        <v>2.351303793073108E-2</v>
      </c>
      <c r="P97" s="18">
        <f t="shared" si="51"/>
        <v>9.5139332005723613E-3</v>
      </c>
      <c r="Q97" s="18">
        <f t="shared" si="53"/>
        <v>2.3793008095621829E-3</v>
      </c>
      <c r="R97" s="18">
        <f t="shared" si="55"/>
        <v>1.4929465354271209E-2</v>
      </c>
      <c r="S97" s="18">
        <f t="shared" si="57"/>
        <v>8.8221909037206669E-5</v>
      </c>
      <c r="T97" s="18">
        <f t="shared" si="59"/>
        <v>5.70117917724046E-3</v>
      </c>
      <c r="U97" s="18">
        <f t="shared" si="61"/>
        <v>1.036960142385587E-4</v>
      </c>
      <c r="V97" s="18">
        <f t="shared" si="62"/>
        <v>7.8170130727717418E-4</v>
      </c>
      <c r="W97" s="18">
        <f t="shared" si="63"/>
        <v>4.4005514615532071E-3</v>
      </c>
      <c r="X97" s="18">
        <f t="shared" si="64"/>
        <v>1.5381696527160945E-3</v>
      </c>
      <c r="Y97" s="18">
        <f t="shared" si="65"/>
        <v>2.9620504145443023E-4</v>
      </c>
      <c r="AA97" s="18">
        <f t="shared" si="47"/>
        <v>-2.1736253481459911E-2</v>
      </c>
      <c r="AB97" s="18">
        <f t="shared" si="48"/>
        <v>4.7246471541027808E-4</v>
      </c>
      <c r="AC97" s="18">
        <f t="shared" si="50"/>
        <v>4.7272555274755421E-2</v>
      </c>
      <c r="AD97" s="18">
        <f t="shared" si="52"/>
        <v>1.0877778902244199E-2</v>
      </c>
      <c r="AE97" s="18">
        <f t="shared" si="54"/>
        <v>5.3309955171642947E-3</v>
      </c>
      <c r="AF97" s="18">
        <f t="shared" si="56"/>
        <v>1.6021011648099901E-4</v>
      </c>
      <c r="AG97" s="18">
        <f t="shared" si="58"/>
        <v>1.6105853094552872E-2</v>
      </c>
      <c r="AH97" s="18">
        <f t="shared" si="60"/>
        <v>2.2427152658385675E-3</v>
      </c>
      <c r="AJ97" s="18">
        <f>IF(ISNUMBER(Kernel!M97),Kernel!M97,"")</f>
        <v>-0.11875406576906766</v>
      </c>
      <c r="AK97" s="18">
        <f t="shared" si="44"/>
        <v>1.4102528136684047E-2</v>
      </c>
      <c r="AN97" s="18">
        <f>IF(ISNUMBER(Volcanic!G97),Volcanic!G97,"")</f>
        <v>7.0299999999999998E-3</v>
      </c>
    </row>
    <row r="98" spans="1:40">
      <c r="A98" s="18" t="str">
        <f>IF(Volcanic!A98="","",Volcanic!A98)</f>
        <v>3/1966</v>
      </c>
      <c r="B98" s="18">
        <f>IF(ISNUMBER(Volcanic!L98),Volcanic!L98,"")</f>
        <v>1966.2083333333333</v>
      </c>
      <c r="C98" s="18">
        <f>IF(ISNUMBER(Volcanic!J98),Volcanic!J98,"")</f>
        <v>-9.0865938989635617E-2</v>
      </c>
      <c r="D98" s="18">
        <f t="shared" si="37"/>
        <v>8.2566188684681813E-3</v>
      </c>
      <c r="E98" s="18">
        <f>IF(ISNUMBER(Volcanic!C98),Volcanic!C98,"")</f>
        <v>0.20338016739614553</v>
      </c>
      <c r="F98" s="18">
        <f>IF(ISNUMBER(Volcanic!D98),Volcanic!D98,"")</f>
        <v>1.6</v>
      </c>
      <c r="G98" s="18">
        <f>IF(ISNUMBER(Volcanic!E98),Volcanic!E98,"")</f>
        <v>1.001E-2</v>
      </c>
      <c r="H98" s="18">
        <f t="shared" si="38"/>
        <v>4.1363492490084176E-2</v>
      </c>
      <c r="I98" s="18">
        <f t="shared" si="39"/>
        <v>2.5600000000000005</v>
      </c>
      <c r="J98" s="18">
        <f t="shared" si="40"/>
        <v>1.0020009999999999E-4</v>
      </c>
      <c r="K98" s="18">
        <f t="shared" si="41"/>
        <v>0.32540826783383286</v>
      </c>
      <c r="L98" s="18">
        <f t="shared" si="42"/>
        <v>2.0358354756354166E-3</v>
      </c>
      <c r="M98" s="18">
        <f t="shared" si="43"/>
        <v>1.6015999999999999E-2</v>
      </c>
      <c r="N98" s="18">
        <f t="shared" si="46"/>
        <v>2.8839711909364869E-2</v>
      </c>
      <c r="O98" s="18">
        <f t="shared" si="49"/>
        <v>8.6743225888314374E-2</v>
      </c>
      <c r="P98" s="18">
        <f t="shared" si="51"/>
        <v>2.351303793073108E-2</v>
      </c>
      <c r="Q98" s="18">
        <f t="shared" si="53"/>
        <v>9.5139332005723613E-3</v>
      </c>
      <c r="R98" s="18">
        <f t="shared" si="55"/>
        <v>2.3793008095621829E-3</v>
      </c>
      <c r="S98" s="18">
        <f t="shared" si="57"/>
        <v>1.4929465354271209E-2</v>
      </c>
      <c r="T98" s="18">
        <f t="shared" si="59"/>
        <v>8.8221909037206669E-5</v>
      </c>
      <c r="U98" s="18">
        <f t="shared" si="61"/>
        <v>5.70117917724046E-3</v>
      </c>
      <c r="V98" s="18">
        <f t="shared" si="62"/>
        <v>1.036960142385587E-4</v>
      </c>
      <c r="W98" s="18">
        <f t="shared" si="63"/>
        <v>7.8170130727717418E-4</v>
      </c>
      <c r="X98" s="18">
        <f t="shared" si="64"/>
        <v>4.4005514615532071E-3</v>
      </c>
      <c r="Y98" s="18">
        <f t="shared" si="65"/>
        <v>1.5381696527160945E-3</v>
      </c>
      <c r="AA98" s="18">
        <f t="shared" si="47"/>
        <v>-5.4787606671594796E-3</v>
      </c>
      <c r="AB98" s="18">
        <f t="shared" si="48"/>
        <v>3.0016818448013787E-5</v>
      </c>
      <c r="AC98" s="18">
        <f t="shared" si="50"/>
        <v>4.7246471541027808E-4</v>
      </c>
      <c r="AD98" s="18">
        <f t="shared" si="52"/>
        <v>4.7272555274755421E-2</v>
      </c>
      <c r="AE98" s="18">
        <f t="shared" si="54"/>
        <v>1.0877778902244199E-2</v>
      </c>
      <c r="AF98" s="18">
        <f t="shared" si="56"/>
        <v>5.3309955171642947E-3</v>
      </c>
      <c r="AG98" s="18">
        <f t="shared" si="58"/>
        <v>1.6021011648099901E-4</v>
      </c>
      <c r="AH98" s="18">
        <f t="shared" si="60"/>
        <v>1.6105853094552872E-2</v>
      </c>
      <c r="AJ98" s="18">
        <f>IF(ISNUMBER(Kernel!M98),Kernel!M98,"")</f>
        <v>-5.6274937701317307E-2</v>
      </c>
      <c r="AK98" s="18">
        <f t="shared" si="44"/>
        <v>3.1668686132871439E-3</v>
      </c>
      <c r="AN98" s="18">
        <f>IF(ISNUMBER(Volcanic!G98),Volcanic!G98,"")</f>
        <v>6.5900000000000004E-3</v>
      </c>
    </row>
    <row r="99" spans="1:40">
      <c r="A99" s="18" t="str">
        <f>IF(Volcanic!A99="","",Volcanic!A99)</f>
        <v>4/1966</v>
      </c>
      <c r="B99" s="18">
        <f>IF(ISNUMBER(Volcanic!L99),Volcanic!L99,"")</f>
        <v>1966.2916666666667</v>
      </c>
      <c r="C99" s="18">
        <f>IF(ISNUMBER(Volcanic!J99),Volcanic!J99,"")</f>
        <v>-0.23502244375413195</v>
      </c>
      <c r="D99" s="18">
        <f t="shared" si="37"/>
        <v>5.5235549068164115E-2</v>
      </c>
      <c r="E99" s="18">
        <f>IF(ISNUMBER(Volcanic!C99),Volcanic!C99,"")</f>
        <v>0.20923053837684438</v>
      </c>
      <c r="F99" s="18">
        <f>IF(ISNUMBER(Volcanic!D99),Volcanic!D99,"")</f>
        <v>1.24</v>
      </c>
      <c r="G99" s="18">
        <f>IF(ISNUMBER(Volcanic!E99),Volcanic!E99,"")</f>
        <v>9.2800000000000001E-3</v>
      </c>
      <c r="H99" s="18">
        <f t="shared" si="38"/>
        <v>4.3777418189464151E-2</v>
      </c>
      <c r="I99" s="18">
        <f t="shared" si="39"/>
        <v>1.5376000000000001</v>
      </c>
      <c r="J99" s="18">
        <f t="shared" si="40"/>
        <v>8.6118400000000005E-5</v>
      </c>
      <c r="K99" s="18">
        <f t="shared" si="41"/>
        <v>0.25944586758728705</v>
      </c>
      <c r="L99" s="18">
        <f t="shared" si="42"/>
        <v>1.9416593961371158E-3</v>
      </c>
      <c r="M99" s="18">
        <f t="shared" si="43"/>
        <v>1.15072E-2</v>
      </c>
      <c r="N99" s="18">
        <f t="shared" si="46"/>
        <v>8.2566188684681813E-3</v>
      </c>
      <c r="O99" s="18">
        <f t="shared" si="49"/>
        <v>2.8839711909364869E-2</v>
      </c>
      <c r="P99" s="18">
        <f t="shared" si="51"/>
        <v>8.6743225888314374E-2</v>
      </c>
      <c r="Q99" s="18">
        <f t="shared" si="53"/>
        <v>2.351303793073108E-2</v>
      </c>
      <c r="R99" s="18">
        <f t="shared" si="55"/>
        <v>9.5139332005723613E-3</v>
      </c>
      <c r="S99" s="18">
        <f t="shared" si="57"/>
        <v>2.3793008095621829E-3</v>
      </c>
      <c r="T99" s="18">
        <f t="shared" si="59"/>
        <v>1.4929465354271209E-2</v>
      </c>
      <c r="U99" s="18">
        <f t="shared" si="61"/>
        <v>8.8221909037206669E-5</v>
      </c>
      <c r="V99" s="18">
        <f t="shared" si="62"/>
        <v>5.70117917724046E-3</v>
      </c>
      <c r="W99" s="18">
        <f t="shared" si="63"/>
        <v>1.036960142385587E-4</v>
      </c>
      <c r="X99" s="18">
        <f t="shared" si="64"/>
        <v>7.8170130727717418E-4</v>
      </c>
      <c r="Y99" s="18">
        <f t="shared" si="65"/>
        <v>4.4005514615532071E-3</v>
      </c>
      <c r="AA99" s="18">
        <f t="shared" si="47"/>
        <v>-0.18933484613749743</v>
      </c>
      <c r="AB99" s="18">
        <f t="shared" si="48"/>
        <v>3.5847683961909828E-2</v>
      </c>
      <c r="AC99" s="18">
        <f t="shared" si="50"/>
        <v>3.0016818448013787E-5</v>
      </c>
      <c r="AD99" s="18">
        <f t="shared" si="52"/>
        <v>4.7246471541027808E-4</v>
      </c>
      <c r="AE99" s="18">
        <f t="shared" si="54"/>
        <v>4.7272555274755421E-2</v>
      </c>
      <c r="AF99" s="18">
        <f t="shared" si="56"/>
        <v>1.0877778902244199E-2</v>
      </c>
      <c r="AG99" s="18">
        <f t="shared" si="58"/>
        <v>5.3309955171642947E-3</v>
      </c>
      <c r="AH99" s="18">
        <f t="shared" si="60"/>
        <v>1.6021011648099901E-4</v>
      </c>
      <c r="AJ99" s="18">
        <f>IF(ISNUMBER(Kernel!M99),Kernel!M99,"")</f>
        <v>-0.2235434715283704</v>
      </c>
      <c r="AK99" s="18">
        <f t="shared" si="44"/>
        <v>4.9971683662955346E-2</v>
      </c>
      <c r="AN99" s="18">
        <f>IF(ISNUMBER(Volcanic!G99),Volcanic!G99,"")</f>
        <v>6.28E-3</v>
      </c>
    </row>
    <row r="100" spans="1:40">
      <c r="A100" s="18" t="str">
        <f>IF(Volcanic!A100="","",Volcanic!A100)</f>
        <v>5/1966</v>
      </c>
      <c r="B100" s="18">
        <f>IF(ISNUMBER(Volcanic!L100),Volcanic!L100,"")</f>
        <v>1966.375</v>
      </c>
      <c r="C100" s="18">
        <f>IF(ISNUMBER(Volcanic!J100),Volcanic!J100,"")</f>
        <v>-0.20303644667044601</v>
      </c>
      <c r="D100" s="18">
        <f t="shared" si="37"/>
        <v>4.1223798676560869E-2</v>
      </c>
      <c r="E100" s="18">
        <f>IF(ISNUMBER(Volcanic!C100),Volcanic!C100,"")</f>
        <v>0.21092316296674554</v>
      </c>
      <c r="F100" s="18">
        <f>IF(ISNUMBER(Volcanic!D100),Volcanic!D100,"")</f>
        <v>0.95</v>
      </c>
      <c r="G100" s="18">
        <f>IF(ISNUMBER(Volcanic!E100),Volcanic!E100,"")</f>
        <v>9.1400000000000006E-3</v>
      </c>
      <c r="H100" s="18">
        <f t="shared" si="38"/>
        <v>4.4488580675896297E-2</v>
      </c>
      <c r="I100" s="18">
        <f t="shared" si="39"/>
        <v>0.90249999999999997</v>
      </c>
      <c r="J100" s="18">
        <f t="shared" si="40"/>
        <v>8.3539600000000016E-5</v>
      </c>
      <c r="K100" s="18">
        <f t="shared" si="41"/>
        <v>0.20037700481840826</v>
      </c>
      <c r="L100" s="18">
        <f t="shared" si="42"/>
        <v>1.9278377095160544E-3</v>
      </c>
      <c r="M100" s="18">
        <f t="shared" si="43"/>
        <v>8.6829999999999997E-3</v>
      </c>
      <c r="N100" s="18">
        <f t="shared" si="46"/>
        <v>5.5235549068164115E-2</v>
      </c>
      <c r="O100" s="18">
        <f t="shared" si="49"/>
        <v>8.2566188684681813E-3</v>
      </c>
      <c r="P100" s="18">
        <f t="shared" si="51"/>
        <v>2.8839711909364869E-2</v>
      </c>
      <c r="Q100" s="18">
        <f t="shared" si="53"/>
        <v>8.6743225888314374E-2</v>
      </c>
      <c r="R100" s="18">
        <f t="shared" si="55"/>
        <v>2.351303793073108E-2</v>
      </c>
      <c r="S100" s="18">
        <f t="shared" si="57"/>
        <v>9.5139332005723613E-3</v>
      </c>
      <c r="T100" s="18">
        <f t="shared" si="59"/>
        <v>2.3793008095621829E-3</v>
      </c>
      <c r="U100" s="18">
        <f t="shared" si="61"/>
        <v>1.4929465354271209E-2</v>
      </c>
      <c r="V100" s="18">
        <f t="shared" si="62"/>
        <v>8.8221909037206669E-5</v>
      </c>
      <c r="W100" s="18">
        <f t="shared" si="63"/>
        <v>5.70117917724046E-3</v>
      </c>
      <c r="X100" s="18">
        <f t="shared" si="64"/>
        <v>1.036960142385587E-4</v>
      </c>
      <c r="Y100" s="18">
        <f t="shared" si="65"/>
        <v>7.8170130727717418E-4</v>
      </c>
      <c r="AA100" s="18">
        <f t="shared" si="47"/>
        <v>-8.4866635622307757E-2</v>
      </c>
      <c r="AB100" s="18">
        <f t="shared" si="48"/>
        <v>7.202345841849556E-3</v>
      </c>
      <c r="AC100" s="18">
        <f t="shared" si="50"/>
        <v>3.5847683961909828E-2</v>
      </c>
      <c r="AD100" s="18">
        <f t="shared" si="52"/>
        <v>3.0016818448013787E-5</v>
      </c>
      <c r="AE100" s="18">
        <f t="shared" si="54"/>
        <v>4.7246471541027808E-4</v>
      </c>
      <c r="AF100" s="18">
        <f t="shared" si="56"/>
        <v>4.7272555274755421E-2</v>
      </c>
      <c r="AG100" s="18">
        <f t="shared" si="58"/>
        <v>1.0877778902244199E-2</v>
      </c>
      <c r="AH100" s="18">
        <f t="shared" si="60"/>
        <v>5.3309955171642947E-3</v>
      </c>
      <c r="AJ100" s="18">
        <f>IF(ISNUMBER(Kernel!M100),Kernel!M100,"")</f>
        <v>-0.20691952158713312</v>
      </c>
      <c r="AK100" s="18">
        <f t="shared" si="44"/>
        <v>4.2815688413848051E-2</v>
      </c>
      <c r="AN100" s="18">
        <f>IF(ISNUMBER(Volcanic!G100),Volcanic!G100,"")</f>
        <v>6.5799999999999999E-3</v>
      </c>
    </row>
    <row r="101" spans="1:40">
      <c r="A101" s="18" t="str">
        <f>IF(Volcanic!A101="","",Volcanic!A101)</f>
        <v>6/1966</v>
      </c>
      <c r="B101" s="18">
        <f>IF(ISNUMBER(Volcanic!L101),Volcanic!L101,"")</f>
        <v>1966.4583333333333</v>
      </c>
      <c r="C101" s="18">
        <f>IF(ISNUMBER(Volcanic!J101),Volcanic!J101,"")</f>
        <v>-5.2298774841181866E-2</v>
      </c>
      <c r="D101" s="18">
        <f t="shared" si="37"/>
        <v>2.7351618498886372E-3</v>
      </c>
      <c r="E101" s="18">
        <f>IF(ISNUMBER(Volcanic!C101),Volcanic!C101,"")</f>
        <v>0.20945336562894978</v>
      </c>
      <c r="F101" s="18">
        <f>IF(ISNUMBER(Volcanic!D101),Volcanic!D101,"")</f>
        <v>0.76</v>
      </c>
      <c r="G101" s="18">
        <f>IF(ISNUMBER(Volcanic!E101),Volcanic!E101,"")</f>
        <v>8.7299999999999999E-3</v>
      </c>
      <c r="H101" s="18">
        <f t="shared" si="38"/>
        <v>4.387071237329452E-2</v>
      </c>
      <c r="I101" s="18">
        <f t="shared" si="39"/>
        <v>0.5776</v>
      </c>
      <c r="J101" s="18">
        <f t="shared" si="40"/>
        <v>7.6212900000000003E-5</v>
      </c>
      <c r="K101" s="18">
        <f t="shared" si="41"/>
        <v>0.15918455787800184</v>
      </c>
      <c r="L101" s="18">
        <f t="shared" si="42"/>
        <v>1.8285278819407315E-3</v>
      </c>
      <c r="M101" s="18">
        <f t="shared" si="43"/>
        <v>6.6347999999999997E-3</v>
      </c>
      <c r="N101" s="18">
        <f t="shared" si="46"/>
        <v>4.1223798676560869E-2</v>
      </c>
      <c r="O101" s="18">
        <f t="shared" si="49"/>
        <v>5.5235549068164115E-2</v>
      </c>
      <c r="P101" s="18">
        <f t="shared" si="51"/>
        <v>8.2566188684681813E-3</v>
      </c>
      <c r="Q101" s="18">
        <f t="shared" si="53"/>
        <v>2.8839711909364869E-2</v>
      </c>
      <c r="R101" s="18">
        <f t="shared" si="55"/>
        <v>8.6743225888314374E-2</v>
      </c>
      <c r="S101" s="18">
        <f t="shared" si="57"/>
        <v>2.351303793073108E-2</v>
      </c>
      <c r="T101" s="18">
        <f t="shared" si="59"/>
        <v>9.5139332005723613E-3</v>
      </c>
      <c r="U101" s="18">
        <f t="shared" si="61"/>
        <v>2.3793008095621829E-3</v>
      </c>
      <c r="V101" s="18">
        <f t="shared" si="62"/>
        <v>1.4929465354271209E-2</v>
      </c>
      <c r="W101" s="18">
        <f t="shared" si="63"/>
        <v>8.8221909037206669E-5</v>
      </c>
      <c r="X101" s="18">
        <f t="shared" si="64"/>
        <v>5.70117917724046E-3</v>
      </c>
      <c r="Y101" s="18">
        <f t="shared" si="65"/>
        <v>1.036960142385587E-4</v>
      </c>
      <c r="AA101" s="18">
        <f t="shared" si="47"/>
        <v>4.9788405241210532E-2</v>
      </c>
      <c r="AB101" s="18">
        <f t="shared" si="48"/>
        <v>2.4788852964630005E-3</v>
      </c>
      <c r="AC101" s="18">
        <f t="shared" si="50"/>
        <v>7.202345841849556E-3</v>
      </c>
      <c r="AD101" s="18">
        <f t="shared" si="52"/>
        <v>3.5847683961909828E-2</v>
      </c>
      <c r="AE101" s="18">
        <f t="shared" si="54"/>
        <v>3.0016818448013787E-5</v>
      </c>
      <c r="AF101" s="18">
        <f t="shared" si="56"/>
        <v>4.7246471541027808E-4</v>
      </c>
      <c r="AG101" s="18">
        <f t="shared" si="58"/>
        <v>4.7272555274755421E-2</v>
      </c>
      <c r="AH101" s="18">
        <f t="shared" si="60"/>
        <v>1.0877778902244199E-2</v>
      </c>
      <c r="AJ101" s="18">
        <f>IF(ISNUMBER(Kernel!M101),Kernel!M101,"")</f>
        <v>-6.2368851552493498E-2</v>
      </c>
      <c r="AK101" s="18">
        <f t="shared" si="44"/>
        <v>3.8898736439769706E-3</v>
      </c>
      <c r="AN101" s="18">
        <f>IF(ISNUMBER(Volcanic!G101),Volcanic!G101,"")</f>
        <v>6.6E-3</v>
      </c>
    </row>
    <row r="102" spans="1:40">
      <c r="A102" s="18" t="str">
        <f>IF(Volcanic!A102="","",Volcanic!A102)</f>
        <v>7/1966</v>
      </c>
      <c r="B102" s="18">
        <f>IF(ISNUMBER(Volcanic!L102),Volcanic!L102,"")</f>
        <v>1966.5416666666667</v>
      </c>
      <c r="C102" s="18">
        <f>IF(ISNUMBER(Volcanic!J102),Volcanic!J102,"")</f>
        <v>6.3833682649836312E-2</v>
      </c>
      <c r="D102" s="18">
        <f t="shared" si="37"/>
        <v>4.0747390406400139E-3</v>
      </c>
      <c r="E102" s="18">
        <f>IF(ISNUMBER(Volcanic!C102),Volcanic!C102,"")</f>
        <v>0.20329066463286302</v>
      </c>
      <c r="F102" s="18">
        <f>IF(ISNUMBER(Volcanic!D102),Volcanic!D102,"")</f>
        <v>0.43</v>
      </c>
      <c r="G102" s="18">
        <f>IF(ISNUMBER(Volcanic!E102),Volcanic!E102,"")</f>
        <v>8.1399999999999997E-3</v>
      </c>
      <c r="H102" s="18">
        <f t="shared" si="38"/>
        <v>4.1327094326871185E-2</v>
      </c>
      <c r="I102" s="18">
        <f t="shared" si="39"/>
        <v>0.18489999999999998</v>
      </c>
      <c r="J102" s="18">
        <f t="shared" si="40"/>
        <v>6.6259599999999992E-5</v>
      </c>
      <c r="K102" s="18">
        <f t="shared" si="41"/>
        <v>8.7414985792131097E-2</v>
      </c>
      <c r="L102" s="18">
        <f t="shared" si="42"/>
        <v>1.6547860101115048E-3</v>
      </c>
      <c r="M102" s="18">
        <f t="shared" si="43"/>
        <v>3.5001999999999998E-3</v>
      </c>
      <c r="N102" s="18">
        <f t="shared" si="46"/>
        <v>2.7351618498886372E-3</v>
      </c>
      <c r="O102" s="18">
        <f t="shared" si="49"/>
        <v>4.1223798676560869E-2</v>
      </c>
      <c r="P102" s="18">
        <f t="shared" si="51"/>
        <v>5.5235549068164115E-2</v>
      </c>
      <c r="Q102" s="18">
        <f t="shared" si="53"/>
        <v>8.2566188684681813E-3</v>
      </c>
      <c r="R102" s="18">
        <f t="shared" si="55"/>
        <v>2.8839711909364869E-2</v>
      </c>
      <c r="S102" s="18">
        <f t="shared" si="57"/>
        <v>8.6743225888314374E-2</v>
      </c>
      <c r="T102" s="18">
        <f t="shared" si="59"/>
        <v>2.351303793073108E-2</v>
      </c>
      <c r="U102" s="18">
        <f t="shared" si="61"/>
        <v>9.5139332005723613E-3</v>
      </c>
      <c r="V102" s="18">
        <f t="shared" si="62"/>
        <v>2.3793008095621829E-3</v>
      </c>
      <c r="W102" s="18">
        <f t="shared" si="63"/>
        <v>1.4929465354271209E-2</v>
      </c>
      <c r="X102" s="18">
        <f t="shared" si="64"/>
        <v>8.8221909037206669E-5</v>
      </c>
      <c r="Y102" s="18">
        <f t="shared" si="65"/>
        <v>5.70117917724046E-3</v>
      </c>
      <c r="AA102" s="18">
        <f t="shared" si="47"/>
        <v>9.0129623762153735E-2</v>
      </c>
      <c r="AB102" s="18">
        <f t="shared" si="48"/>
        <v>8.123349079507387E-3</v>
      </c>
      <c r="AC102" s="18">
        <f t="shared" si="50"/>
        <v>2.4788852964630005E-3</v>
      </c>
      <c r="AD102" s="18">
        <f t="shared" si="52"/>
        <v>7.202345841849556E-3</v>
      </c>
      <c r="AE102" s="18">
        <f t="shared" si="54"/>
        <v>3.5847683961909828E-2</v>
      </c>
      <c r="AF102" s="18">
        <f t="shared" si="56"/>
        <v>3.0016818448013787E-5</v>
      </c>
      <c r="AG102" s="18">
        <f t="shared" si="58"/>
        <v>4.7246471541027808E-4</v>
      </c>
      <c r="AH102" s="18">
        <f t="shared" si="60"/>
        <v>4.7272555274755421E-2</v>
      </c>
      <c r="AJ102" s="18">
        <f>IF(ISNUMBER(Kernel!M102),Kernel!M102,"")</f>
        <v>3.1506050970241645E-2</v>
      </c>
      <c r="AK102" s="18">
        <f t="shared" si="44"/>
        <v>9.9263124773946447E-4</v>
      </c>
      <c r="AN102" s="18">
        <f>IF(ISNUMBER(Volcanic!G102),Volcanic!G102,"")</f>
        <v>6.4799999999999996E-3</v>
      </c>
    </row>
    <row r="103" spans="1:40">
      <c r="A103" s="18" t="str">
        <f>IF(Volcanic!A103="","",Volcanic!A103)</f>
        <v>8/1966</v>
      </c>
      <c r="B103" s="18">
        <f>IF(ISNUMBER(Volcanic!L103),Volcanic!L103,"")</f>
        <v>1966.625</v>
      </c>
      <c r="C103" s="18">
        <f>IF(ISNUMBER(Volcanic!J103),Volcanic!J103,"")</f>
        <v>-6.5134620599802365E-2</v>
      </c>
      <c r="D103" s="18">
        <f t="shared" si="37"/>
        <v>4.2425188006801982E-3</v>
      </c>
      <c r="E103" s="18">
        <f>IF(ISNUMBER(Volcanic!C103),Volcanic!C103,"")</f>
        <v>0.19426719759207978</v>
      </c>
      <c r="F103" s="18">
        <f>IF(ISNUMBER(Volcanic!D103),Volcanic!D103,"")</f>
        <v>0.24</v>
      </c>
      <c r="G103" s="18">
        <f>IF(ISNUMBER(Volcanic!E103),Volcanic!E103,"")</f>
        <v>7.5900000000000004E-3</v>
      </c>
      <c r="H103" s="18">
        <f t="shared" si="38"/>
        <v>3.7739744060280168E-2</v>
      </c>
      <c r="I103" s="18">
        <f t="shared" si="39"/>
        <v>5.7599999999999998E-2</v>
      </c>
      <c r="J103" s="18">
        <f t="shared" si="40"/>
        <v>5.7608100000000008E-5</v>
      </c>
      <c r="K103" s="18">
        <f t="shared" si="41"/>
        <v>4.6624127422099142E-2</v>
      </c>
      <c r="L103" s="18">
        <f t="shared" si="42"/>
        <v>1.4744880297238856E-3</v>
      </c>
      <c r="M103" s="18">
        <f t="shared" si="43"/>
        <v>1.8216E-3</v>
      </c>
      <c r="N103" s="18">
        <f t="shared" si="46"/>
        <v>4.0747390406400139E-3</v>
      </c>
      <c r="O103" s="18">
        <f t="shared" si="49"/>
        <v>2.7351618498886372E-3</v>
      </c>
      <c r="P103" s="18">
        <f t="shared" si="51"/>
        <v>4.1223798676560869E-2</v>
      </c>
      <c r="Q103" s="18">
        <f t="shared" si="53"/>
        <v>5.5235549068164115E-2</v>
      </c>
      <c r="R103" s="18">
        <f t="shared" si="55"/>
        <v>8.2566188684681813E-3</v>
      </c>
      <c r="S103" s="18">
        <f t="shared" si="57"/>
        <v>2.8839711909364869E-2</v>
      </c>
      <c r="T103" s="18">
        <f t="shared" si="59"/>
        <v>8.6743225888314374E-2</v>
      </c>
      <c r="U103" s="18">
        <f t="shared" si="61"/>
        <v>2.351303793073108E-2</v>
      </c>
      <c r="V103" s="18">
        <f t="shared" si="62"/>
        <v>9.5139332005723613E-3</v>
      </c>
      <c r="W103" s="18">
        <f t="shared" si="63"/>
        <v>2.3793008095621829E-3</v>
      </c>
      <c r="X103" s="18">
        <f t="shared" si="64"/>
        <v>1.4929465354271209E-2</v>
      </c>
      <c r="Y103" s="18">
        <f t="shared" si="65"/>
        <v>8.8221909037206669E-5</v>
      </c>
      <c r="AA103" s="18">
        <f t="shared" si="47"/>
        <v>-9.7230339190531048E-2</v>
      </c>
      <c r="AB103" s="18">
        <f t="shared" si="48"/>
        <v>9.4537388591057186E-3</v>
      </c>
      <c r="AC103" s="18">
        <f t="shared" si="50"/>
        <v>8.123349079507387E-3</v>
      </c>
      <c r="AD103" s="18">
        <f t="shared" si="52"/>
        <v>2.4788852964630005E-3</v>
      </c>
      <c r="AE103" s="18">
        <f t="shared" si="54"/>
        <v>7.202345841849556E-3</v>
      </c>
      <c r="AF103" s="18">
        <f t="shared" si="56"/>
        <v>3.5847683961909828E-2</v>
      </c>
      <c r="AG103" s="18">
        <f t="shared" si="58"/>
        <v>3.0016818448013787E-5</v>
      </c>
      <c r="AH103" s="18">
        <f t="shared" si="60"/>
        <v>4.7246471541027808E-4</v>
      </c>
      <c r="AJ103" s="18">
        <f>IF(ISNUMBER(Kernel!M103),Kernel!M103,"")</f>
        <v>-0.10555156454798054</v>
      </c>
      <c r="AK103" s="18">
        <f t="shared" si="44"/>
        <v>1.1141132778526502E-2</v>
      </c>
      <c r="AN103" s="18">
        <f>IF(ISNUMBER(Volcanic!G103),Volcanic!G103,"")</f>
        <v>6.5500000000000003E-3</v>
      </c>
    </row>
    <row r="104" spans="1:40">
      <c r="A104" s="18" t="str">
        <f>IF(Volcanic!A104="","",Volcanic!A104)</f>
        <v>9/1966</v>
      </c>
      <c r="B104" s="18">
        <f>IF(ISNUMBER(Volcanic!L104),Volcanic!L104,"")</f>
        <v>1966.7083333333333</v>
      </c>
      <c r="C104" s="18">
        <f>IF(ISNUMBER(Volcanic!J104),Volcanic!J104,"")</f>
        <v>2.0383817865562287E-2</v>
      </c>
      <c r="D104" s="18">
        <f t="shared" si="37"/>
        <v>4.1550003077641626E-4</v>
      </c>
      <c r="E104" s="18">
        <f>IF(ISNUMBER(Volcanic!C104),Volcanic!C104,"")</f>
        <v>0.18650055764449477</v>
      </c>
      <c r="F104" s="18">
        <f>IF(ISNUMBER(Volcanic!D104),Volcanic!D104,"")</f>
        <v>0.18</v>
      </c>
      <c r="G104" s="18">
        <f>IF(ISNUMBER(Volcanic!E104),Volcanic!E104,"")</f>
        <v>7.0299999999999998E-3</v>
      </c>
      <c r="H104" s="18">
        <f t="shared" si="38"/>
        <v>3.4782458001707518E-2</v>
      </c>
      <c r="I104" s="18">
        <f t="shared" si="39"/>
        <v>3.2399999999999998E-2</v>
      </c>
      <c r="J104" s="18">
        <f t="shared" si="40"/>
        <v>4.94209E-5</v>
      </c>
      <c r="K104" s="18">
        <f t="shared" si="41"/>
        <v>3.3570100376009056E-2</v>
      </c>
      <c r="L104" s="18">
        <f t="shared" si="42"/>
        <v>1.3110989202407982E-3</v>
      </c>
      <c r="M104" s="18">
        <f t="shared" si="43"/>
        <v>1.2653999999999999E-3</v>
      </c>
      <c r="N104" s="18">
        <f t="shared" si="46"/>
        <v>4.2425188006801982E-3</v>
      </c>
      <c r="O104" s="18">
        <f t="shared" si="49"/>
        <v>4.0747390406400139E-3</v>
      </c>
      <c r="P104" s="18">
        <f t="shared" si="51"/>
        <v>2.7351618498886372E-3</v>
      </c>
      <c r="Q104" s="18">
        <f t="shared" si="53"/>
        <v>4.1223798676560869E-2</v>
      </c>
      <c r="R104" s="18">
        <f t="shared" si="55"/>
        <v>5.5235549068164115E-2</v>
      </c>
      <c r="S104" s="18">
        <f t="shared" si="57"/>
        <v>8.2566188684681813E-3</v>
      </c>
      <c r="T104" s="18">
        <f t="shared" si="59"/>
        <v>2.8839711909364869E-2</v>
      </c>
      <c r="U104" s="18">
        <f t="shared" si="61"/>
        <v>8.6743225888314374E-2</v>
      </c>
      <c r="V104" s="18">
        <f t="shared" si="62"/>
        <v>2.351303793073108E-2</v>
      </c>
      <c r="W104" s="18">
        <f t="shared" si="63"/>
        <v>9.5139332005723613E-3</v>
      </c>
      <c r="X104" s="18">
        <f t="shared" si="64"/>
        <v>2.3793008095621829E-3</v>
      </c>
      <c r="Y104" s="18">
        <f t="shared" si="65"/>
        <v>1.4929465354271209E-2</v>
      </c>
      <c r="AA104" s="18">
        <f t="shared" si="47"/>
        <v>5.3133650970961177E-2</v>
      </c>
      <c r="AB104" s="18">
        <f t="shared" si="48"/>
        <v>2.8231848655039236E-3</v>
      </c>
      <c r="AC104" s="18">
        <f t="shared" si="50"/>
        <v>9.4537388591057186E-3</v>
      </c>
      <c r="AD104" s="18">
        <f t="shared" si="52"/>
        <v>8.123349079507387E-3</v>
      </c>
      <c r="AE104" s="18">
        <f t="shared" si="54"/>
        <v>2.4788852964630005E-3</v>
      </c>
      <c r="AF104" s="18">
        <f t="shared" si="56"/>
        <v>7.202345841849556E-3</v>
      </c>
      <c r="AG104" s="18">
        <f t="shared" si="58"/>
        <v>3.5847683961909828E-2</v>
      </c>
      <c r="AH104" s="18">
        <f t="shared" si="60"/>
        <v>3.0016818448013787E-5</v>
      </c>
      <c r="AJ104" s="18">
        <f>IF(ISNUMBER(Kernel!M104),Kernel!M104,"")</f>
        <v>-1.2619844823394399E-2</v>
      </c>
      <c r="AK104" s="18">
        <f t="shared" si="44"/>
        <v>1.5926048336655443E-4</v>
      </c>
      <c r="AN104" s="18">
        <f>IF(ISNUMBER(Volcanic!G104),Volcanic!G104,"")</f>
        <v>6.9100000000000003E-3</v>
      </c>
    </row>
    <row r="105" spans="1:40">
      <c r="A105" s="18" t="str">
        <f>IF(Volcanic!A105="","",Volcanic!A105)</f>
        <v>10/1966</v>
      </c>
      <c r="B105" s="18">
        <f>IF(ISNUMBER(Volcanic!L105),Volcanic!L105,"")</f>
        <v>1966.7916666666667</v>
      </c>
      <c r="C105" s="18">
        <f>IF(ISNUMBER(Volcanic!J105),Volcanic!J105,"")</f>
        <v>-0.12040594180014817</v>
      </c>
      <c r="D105" s="18">
        <f t="shared" si="37"/>
        <v>1.4497590820780669E-2</v>
      </c>
      <c r="E105" s="18">
        <f>IF(ISNUMBER(Volcanic!C105),Volcanic!C105,"")</f>
        <v>0.18405354470718463</v>
      </c>
      <c r="F105" s="18">
        <f>IF(ISNUMBER(Volcanic!D105),Volcanic!D105,"")</f>
        <v>0.25</v>
      </c>
      <c r="G105" s="18">
        <f>IF(ISNUMBER(Volcanic!E105),Volcanic!E105,"")</f>
        <v>6.5900000000000004E-3</v>
      </c>
      <c r="H105" s="18">
        <f t="shared" si="38"/>
        <v>3.3875707319279615E-2</v>
      </c>
      <c r="I105" s="18">
        <f t="shared" si="39"/>
        <v>6.25E-2</v>
      </c>
      <c r="J105" s="18">
        <f t="shared" si="40"/>
        <v>4.3428100000000005E-5</v>
      </c>
      <c r="K105" s="18">
        <f t="shared" si="41"/>
        <v>4.6013386176796157E-2</v>
      </c>
      <c r="L105" s="18">
        <f t="shared" si="42"/>
        <v>1.2129128596203467E-3</v>
      </c>
      <c r="M105" s="18">
        <f t="shared" si="43"/>
        <v>1.6475000000000001E-3</v>
      </c>
      <c r="N105" s="18">
        <f t="shared" si="46"/>
        <v>4.1550003077641626E-4</v>
      </c>
      <c r="O105" s="18">
        <f t="shared" si="49"/>
        <v>4.2425188006801982E-3</v>
      </c>
      <c r="P105" s="18">
        <f t="shared" si="51"/>
        <v>4.0747390406400139E-3</v>
      </c>
      <c r="Q105" s="18">
        <f t="shared" si="53"/>
        <v>2.7351618498886372E-3</v>
      </c>
      <c r="R105" s="18">
        <f t="shared" si="55"/>
        <v>4.1223798676560869E-2</v>
      </c>
      <c r="S105" s="18">
        <f t="shared" si="57"/>
        <v>5.5235549068164115E-2</v>
      </c>
      <c r="T105" s="18">
        <f t="shared" si="59"/>
        <v>8.2566188684681813E-3</v>
      </c>
      <c r="U105" s="18">
        <f t="shared" si="61"/>
        <v>2.8839711909364869E-2</v>
      </c>
      <c r="V105" s="18">
        <f t="shared" si="62"/>
        <v>8.6743225888314374E-2</v>
      </c>
      <c r="W105" s="18">
        <f t="shared" si="63"/>
        <v>2.351303793073108E-2</v>
      </c>
      <c r="X105" s="18">
        <f t="shared" si="64"/>
        <v>9.5139332005723613E-3</v>
      </c>
      <c r="Y105" s="18">
        <f t="shared" si="65"/>
        <v>2.3793008095621829E-3</v>
      </c>
      <c r="AA105" s="18">
        <f t="shared" si="47"/>
        <v>-0.13065497107214855</v>
      </c>
      <c r="AB105" s="18">
        <f t="shared" si="48"/>
        <v>1.7070721465863973E-2</v>
      </c>
      <c r="AC105" s="18">
        <f t="shared" si="50"/>
        <v>2.8231848655039236E-3</v>
      </c>
      <c r="AD105" s="18">
        <f t="shared" si="52"/>
        <v>9.4537388591057186E-3</v>
      </c>
      <c r="AE105" s="18">
        <f t="shared" si="54"/>
        <v>8.123349079507387E-3</v>
      </c>
      <c r="AF105" s="18">
        <f t="shared" si="56"/>
        <v>2.4788852964630005E-3</v>
      </c>
      <c r="AG105" s="18">
        <f t="shared" si="58"/>
        <v>7.202345841849556E-3</v>
      </c>
      <c r="AH105" s="18">
        <f t="shared" si="60"/>
        <v>3.5847683961909828E-2</v>
      </c>
      <c r="AJ105" s="18">
        <f>IF(ISNUMBER(Kernel!M105),Kernel!M105,"")</f>
        <v>-0.13540715267734546</v>
      </c>
      <c r="AK105" s="18">
        <f t="shared" si="44"/>
        <v>1.8335096996185945E-2</v>
      </c>
      <c r="AN105" s="18">
        <f>IF(ISNUMBER(Volcanic!G105),Volcanic!G105,"")</f>
        <v>6.8799999999999998E-3</v>
      </c>
    </row>
    <row r="106" spans="1:40">
      <c r="A106" s="18" t="str">
        <f>IF(Volcanic!A106="","",Volcanic!A106)</f>
        <v>11/1966</v>
      </c>
      <c r="B106" s="18">
        <f>IF(ISNUMBER(Volcanic!L106),Volcanic!L106,"")</f>
        <v>1966.875</v>
      </c>
      <c r="C106" s="18">
        <f>IF(ISNUMBER(Volcanic!J106),Volcanic!J106,"")</f>
        <v>2.9320716221514359E-2</v>
      </c>
      <c r="D106" s="18">
        <f t="shared" si="37"/>
        <v>8.5970439974257528E-4</v>
      </c>
      <c r="E106" s="18">
        <f>IF(ISNUMBER(Volcanic!C106),Volcanic!C106,"")</f>
        <v>0.19165288399602148</v>
      </c>
      <c r="F106" s="18">
        <f>IF(ISNUMBER(Volcanic!D106),Volcanic!D106,"")</f>
        <v>0.13</v>
      </c>
      <c r="G106" s="18">
        <f>IF(ISNUMBER(Volcanic!E106),Volcanic!E106,"")</f>
        <v>6.28E-3</v>
      </c>
      <c r="H106" s="18">
        <f t="shared" si="38"/>
        <v>3.6730827943992468E-2</v>
      </c>
      <c r="I106" s="18">
        <f t="shared" si="39"/>
        <v>1.6900000000000002E-2</v>
      </c>
      <c r="J106" s="18">
        <f t="shared" si="40"/>
        <v>3.9438399999999998E-5</v>
      </c>
      <c r="K106" s="18">
        <f t="shared" si="41"/>
        <v>2.4914874919482792E-2</v>
      </c>
      <c r="L106" s="18">
        <f t="shared" si="42"/>
        <v>1.2035801114950149E-3</v>
      </c>
      <c r="M106" s="18">
        <f t="shared" si="43"/>
        <v>8.164E-4</v>
      </c>
      <c r="N106" s="18">
        <f t="shared" si="46"/>
        <v>1.4497590820780669E-2</v>
      </c>
      <c r="O106" s="18">
        <f t="shared" si="49"/>
        <v>4.1550003077641626E-4</v>
      </c>
      <c r="P106" s="18">
        <f t="shared" si="51"/>
        <v>4.2425188006801982E-3</v>
      </c>
      <c r="Q106" s="18">
        <f t="shared" si="53"/>
        <v>4.0747390406400139E-3</v>
      </c>
      <c r="R106" s="18">
        <f t="shared" si="55"/>
        <v>2.7351618498886372E-3</v>
      </c>
      <c r="S106" s="18">
        <f t="shared" si="57"/>
        <v>4.1223798676560869E-2</v>
      </c>
      <c r="T106" s="18">
        <f t="shared" si="59"/>
        <v>5.5235549068164115E-2</v>
      </c>
      <c r="U106" s="18">
        <f t="shared" si="61"/>
        <v>8.2566188684681813E-3</v>
      </c>
      <c r="V106" s="18">
        <f t="shared" si="62"/>
        <v>2.8839711909364869E-2</v>
      </c>
      <c r="W106" s="18">
        <f t="shared" si="63"/>
        <v>8.6743225888314374E-2</v>
      </c>
      <c r="X106" s="18">
        <f t="shared" si="64"/>
        <v>2.351303793073108E-2</v>
      </c>
      <c r="Y106" s="18">
        <f t="shared" si="65"/>
        <v>9.5139332005723613E-3</v>
      </c>
      <c r="AA106" s="18">
        <f t="shared" si="47"/>
        <v>8.9861093405582737E-2</v>
      </c>
      <c r="AB106" s="18">
        <f t="shared" si="48"/>
        <v>8.0750161080468657E-3</v>
      </c>
      <c r="AC106" s="18">
        <f t="shared" si="50"/>
        <v>1.7070721465863973E-2</v>
      </c>
      <c r="AD106" s="18">
        <f t="shared" si="52"/>
        <v>2.8231848655039236E-3</v>
      </c>
      <c r="AE106" s="18">
        <f t="shared" si="54"/>
        <v>9.4537388591057186E-3</v>
      </c>
      <c r="AF106" s="18">
        <f t="shared" si="56"/>
        <v>8.123349079507387E-3</v>
      </c>
      <c r="AG106" s="18">
        <f t="shared" si="58"/>
        <v>2.4788852964630005E-3</v>
      </c>
      <c r="AH106" s="18">
        <f t="shared" si="60"/>
        <v>7.202345841849556E-3</v>
      </c>
      <c r="AJ106" s="18">
        <f>IF(ISNUMBER(Kernel!M106),Kernel!M106,"")</f>
        <v>1.5188401898732579E-2</v>
      </c>
      <c r="AK106" s="18">
        <f t="shared" si="44"/>
        <v>2.3068755223742339E-4</v>
      </c>
      <c r="AN106" s="18">
        <f>IF(ISNUMBER(Volcanic!G106),Volcanic!G106,"")</f>
        <v>6.6100000000000004E-3</v>
      </c>
    </row>
    <row r="107" spans="1:40">
      <c r="A107" s="18" t="str">
        <f>IF(Volcanic!A107="","",Volcanic!A107)</f>
        <v>12/1966</v>
      </c>
      <c r="B107" s="18">
        <f>IF(ISNUMBER(Volcanic!L107),Volcanic!L107,"")</f>
        <v>1966.9583333333333</v>
      </c>
      <c r="C107" s="18">
        <f>IF(ISNUMBER(Volcanic!J107),Volcanic!J107,"")</f>
        <v>1.5167222224357457E-2</v>
      </c>
      <c r="D107" s="18">
        <f t="shared" si="37"/>
        <v>2.3004463000304278E-4</v>
      </c>
      <c r="E107" s="18">
        <f>IF(ISNUMBER(Volcanic!C107),Volcanic!C107,"")</f>
        <v>0.19723635491870628</v>
      </c>
      <c r="F107" s="18">
        <f>IF(ISNUMBER(Volcanic!D107),Volcanic!D107,"")</f>
        <v>-0.09</v>
      </c>
      <c r="G107" s="18">
        <f>IF(ISNUMBER(Volcanic!E107),Volcanic!E107,"")</f>
        <v>6.5799999999999999E-3</v>
      </c>
      <c r="H107" s="18">
        <f t="shared" si="38"/>
        <v>3.890217970161787E-2</v>
      </c>
      <c r="I107" s="18">
        <f t="shared" si="39"/>
        <v>8.0999999999999996E-3</v>
      </c>
      <c r="J107" s="18">
        <f t="shared" si="40"/>
        <v>4.3296400000000001E-5</v>
      </c>
      <c r="K107" s="18">
        <f t="shared" si="41"/>
        <v>-1.7751271942683566E-2</v>
      </c>
      <c r="L107" s="18">
        <f t="shared" si="42"/>
        <v>1.2978152153650872E-3</v>
      </c>
      <c r="M107" s="18">
        <f t="shared" si="43"/>
        <v>-5.9219999999999997E-4</v>
      </c>
      <c r="N107" s="18">
        <f t="shared" si="46"/>
        <v>8.5970439974257528E-4</v>
      </c>
      <c r="O107" s="18">
        <f t="shared" si="49"/>
        <v>1.4497590820780669E-2</v>
      </c>
      <c r="P107" s="18">
        <f t="shared" si="51"/>
        <v>4.1550003077641626E-4</v>
      </c>
      <c r="Q107" s="18">
        <f t="shared" si="53"/>
        <v>4.2425188006801982E-3</v>
      </c>
      <c r="R107" s="18">
        <f t="shared" si="55"/>
        <v>4.0747390406400139E-3</v>
      </c>
      <c r="S107" s="18">
        <f t="shared" si="57"/>
        <v>2.7351618498886372E-3</v>
      </c>
      <c r="T107" s="18">
        <f t="shared" si="59"/>
        <v>4.1223798676560869E-2</v>
      </c>
      <c r="U107" s="18">
        <f t="shared" si="61"/>
        <v>5.5235549068164115E-2</v>
      </c>
      <c r="V107" s="18">
        <f t="shared" si="62"/>
        <v>8.2566188684681813E-3</v>
      </c>
      <c r="W107" s="18">
        <f t="shared" si="63"/>
        <v>2.8839711909364869E-2</v>
      </c>
      <c r="X107" s="18">
        <f t="shared" si="64"/>
        <v>8.6743225888314374E-2</v>
      </c>
      <c r="Y107" s="18">
        <f t="shared" si="65"/>
        <v>2.351303793073108E-2</v>
      </c>
      <c r="AA107" s="18">
        <f t="shared" si="47"/>
        <v>4.2470044496029785E-4</v>
      </c>
      <c r="AB107" s="18">
        <f t="shared" si="48"/>
        <v>1.8037046794947498E-7</v>
      </c>
      <c r="AC107" s="18">
        <f t="shared" si="50"/>
        <v>8.0750161080468657E-3</v>
      </c>
      <c r="AD107" s="18">
        <f t="shared" si="52"/>
        <v>1.7070721465863973E-2</v>
      </c>
      <c r="AE107" s="18">
        <f t="shared" si="54"/>
        <v>2.8231848655039236E-3</v>
      </c>
      <c r="AF107" s="18">
        <f t="shared" si="56"/>
        <v>9.4537388591057186E-3</v>
      </c>
      <c r="AG107" s="18">
        <f t="shared" si="58"/>
        <v>8.123349079507387E-3</v>
      </c>
      <c r="AH107" s="18">
        <f t="shared" si="60"/>
        <v>2.4788852964630005E-3</v>
      </c>
      <c r="AJ107" s="18">
        <f>IF(ISNUMBER(Kernel!M107),Kernel!M107,"")</f>
        <v>-8.0881957693166272E-3</v>
      </c>
      <c r="AK107" s="18">
        <f t="shared" si="44"/>
        <v>6.5418910802791385E-5</v>
      </c>
      <c r="AN107" s="18">
        <f>IF(ISNUMBER(Volcanic!G107),Volcanic!G107,"")</f>
        <v>6.3E-3</v>
      </c>
    </row>
    <row r="108" spans="1:40">
      <c r="A108" s="18" t="str">
        <f>IF(Volcanic!A108="","",Volcanic!A108)</f>
        <v>1/1967</v>
      </c>
      <c r="B108" s="18">
        <f>IF(ISNUMBER(Volcanic!L108),Volcanic!L108,"")</f>
        <v>1967.0416666666667</v>
      </c>
      <c r="C108" s="18">
        <f>IF(ISNUMBER(Volcanic!J108),Volcanic!J108,"")</f>
        <v>-4.8029331519865534E-2</v>
      </c>
      <c r="D108" s="18">
        <f t="shared" si="37"/>
        <v>2.306816686245149E-3</v>
      </c>
      <c r="E108" s="18">
        <f>IF(ISNUMBER(Volcanic!C108),Volcanic!C108,"")</f>
        <v>0.20311164244670007</v>
      </c>
      <c r="F108" s="18">
        <f>IF(ISNUMBER(Volcanic!D108),Volcanic!D108,"")</f>
        <v>-0.12</v>
      </c>
      <c r="G108" s="18">
        <f>IF(ISNUMBER(Volcanic!E108),Volcanic!E108,"")</f>
        <v>6.6E-3</v>
      </c>
      <c r="H108" s="18">
        <f t="shared" si="38"/>
        <v>4.1254339297396136E-2</v>
      </c>
      <c r="I108" s="18">
        <f t="shared" si="39"/>
        <v>1.44E-2</v>
      </c>
      <c r="J108" s="18">
        <f t="shared" si="40"/>
        <v>4.3559999999999996E-5</v>
      </c>
      <c r="K108" s="18">
        <f t="shared" si="41"/>
        <v>-2.4373397093604008E-2</v>
      </c>
      <c r="L108" s="18">
        <f t="shared" si="42"/>
        <v>1.3405368401482206E-3</v>
      </c>
      <c r="M108" s="18">
        <f t="shared" si="43"/>
        <v>-7.9199999999999995E-4</v>
      </c>
      <c r="N108" s="18">
        <f t="shared" si="46"/>
        <v>2.3004463000304278E-4</v>
      </c>
      <c r="O108" s="18">
        <f t="shared" si="49"/>
        <v>8.5970439974257528E-4</v>
      </c>
      <c r="P108" s="18">
        <f t="shared" si="51"/>
        <v>1.4497590820780669E-2</v>
      </c>
      <c r="Q108" s="18">
        <f t="shared" si="53"/>
        <v>4.1550003077641626E-4</v>
      </c>
      <c r="R108" s="18">
        <f t="shared" si="55"/>
        <v>4.2425188006801982E-3</v>
      </c>
      <c r="S108" s="18">
        <f t="shared" si="57"/>
        <v>4.0747390406400139E-3</v>
      </c>
      <c r="T108" s="18">
        <f t="shared" si="59"/>
        <v>2.7351618498886372E-3</v>
      </c>
      <c r="U108" s="18">
        <f t="shared" si="61"/>
        <v>4.1223798676560869E-2</v>
      </c>
      <c r="V108" s="18">
        <f t="shared" si="62"/>
        <v>5.5235549068164115E-2</v>
      </c>
      <c r="W108" s="18">
        <f t="shared" si="63"/>
        <v>8.2566188684681813E-3</v>
      </c>
      <c r="X108" s="18">
        <f t="shared" si="64"/>
        <v>2.8839711909364869E-2</v>
      </c>
      <c r="Y108" s="18">
        <f t="shared" si="65"/>
        <v>8.6743225888314374E-2</v>
      </c>
      <c r="AA108" s="18">
        <f t="shared" si="47"/>
        <v>-5.5655444820995451E-2</v>
      </c>
      <c r="AB108" s="18">
        <f t="shared" si="48"/>
        <v>3.0975285382228695E-3</v>
      </c>
      <c r="AC108" s="18">
        <f t="shared" si="50"/>
        <v>1.8037046794947498E-7</v>
      </c>
      <c r="AD108" s="18">
        <f t="shared" si="52"/>
        <v>8.0750161080468657E-3</v>
      </c>
      <c r="AE108" s="18">
        <f t="shared" si="54"/>
        <v>1.7070721465863973E-2</v>
      </c>
      <c r="AF108" s="18">
        <f t="shared" si="56"/>
        <v>2.8231848655039236E-3</v>
      </c>
      <c r="AG108" s="18">
        <f t="shared" si="58"/>
        <v>9.4537388591057186E-3</v>
      </c>
      <c r="AH108" s="18">
        <f t="shared" si="60"/>
        <v>8.123349079507387E-3</v>
      </c>
      <c r="AJ108" s="18">
        <f>IF(ISNUMBER(Kernel!M108),Kernel!M108,"")</f>
        <v>-6.1791077469258292E-2</v>
      </c>
      <c r="AK108" s="18">
        <f t="shared" si="44"/>
        <v>3.8181372548118796E-3</v>
      </c>
      <c r="AN108" s="18">
        <f>IF(ISNUMBER(Volcanic!G108),Volcanic!G108,"")</f>
        <v>6.0000000000000001E-3</v>
      </c>
    </row>
    <row r="109" spans="1:40">
      <c r="A109" s="18" t="str">
        <f>IF(Volcanic!A109="","",Volcanic!A109)</f>
        <v>2/1967</v>
      </c>
      <c r="B109" s="18">
        <f>IF(ISNUMBER(Volcanic!L109),Volcanic!L109,"")</f>
        <v>1967.125</v>
      </c>
      <c r="C109" s="18">
        <f>IF(ISNUMBER(Volcanic!J109),Volcanic!J109,"")</f>
        <v>-0.1701606501781846</v>
      </c>
      <c r="D109" s="18">
        <f t="shared" si="37"/>
        <v>2.8954646869062517E-2</v>
      </c>
      <c r="E109" s="18">
        <f>IF(ISNUMBER(Volcanic!C109),Volcanic!C109,"")</f>
        <v>0.20387233336564989</v>
      </c>
      <c r="F109" s="18">
        <f>IF(ISNUMBER(Volcanic!D109),Volcanic!D109,"")</f>
        <v>-0.23</v>
      </c>
      <c r="G109" s="18">
        <f>IF(ISNUMBER(Volcanic!E109),Volcanic!E109,"")</f>
        <v>6.4799999999999996E-3</v>
      </c>
      <c r="H109" s="18">
        <f t="shared" si="38"/>
        <v>4.1563928311954677E-2</v>
      </c>
      <c r="I109" s="18">
        <f t="shared" si="39"/>
        <v>5.2900000000000003E-2</v>
      </c>
      <c r="J109" s="18">
        <f t="shared" si="40"/>
        <v>4.1990399999999997E-5</v>
      </c>
      <c r="K109" s="18">
        <f t="shared" si="41"/>
        <v>-4.6890636674099477E-2</v>
      </c>
      <c r="L109" s="18">
        <f t="shared" si="42"/>
        <v>1.3210927202094113E-3</v>
      </c>
      <c r="M109" s="18">
        <f t="shared" si="43"/>
        <v>-1.4904E-3</v>
      </c>
      <c r="N109" s="18">
        <f t="shared" si="46"/>
        <v>2.306816686245149E-3</v>
      </c>
      <c r="O109" s="18">
        <f t="shared" si="49"/>
        <v>2.3004463000304278E-4</v>
      </c>
      <c r="P109" s="18">
        <f t="shared" si="51"/>
        <v>8.5970439974257528E-4</v>
      </c>
      <c r="Q109" s="18">
        <f t="shared" si="53"/>
        <v>1.4497590820780669E-2</v>
      </c>
      <c r="R109" s="18">
        <f t="shared" si="55"/>
        <v>4.1550003077641626E-4</v>
      </c>
      <c r="S109" s="18">
        <f t="shared" si="57"/>
        <v>4.2425188006801982E-3</v>
      </c>
      <c r="T109" s="18">
        <f t="shared" si="59"/>
        <v>4.0747390406400139E-3</v>
      </c>
      <c r="U109" s="18">
        <f t="shared" si="61"/>
        <v>2.7351618498886372E-3</v>
      </c>
      <c r="V109" s="18">
        <f t="shared" si="62"/>
        <v>4.1223798676560869E-2</v>
      </c>
      <c r="W109" s="18">
        <f t="shared" si="63"/>
        <v>5.5235549068164115E-2</v>
      </c>
      <c r="X109" s="18">
        <f t="shared" si="64"/>
        <v>8.2566188684681813E-3</v>
      </c>
      <c r="Y109" s="18">
        <f t="shared" si="65"/>
        <v>2.8839711909364869E-2</v>
      </c>
      <c r="AA109" s="18">
        <f t="shared" si="47"/>
        <v>-0.14601139472916702</v>
      </c>
      <c r="AB109" s="18">
        <f t="shared" si="48"/>
        <v>2.1319327390756624E-2</v>
      </c>
      <c r="AC109" s="18">
        <f t="shared" si="50"/>
        <v>3.0975285382228695E-3</v>
      </c>
      <c r="AD109" s="18">
        <f t="shared" si="52"/>
        <v>1.8037046794947498E-7</v>
      </c>
      <c r="AE109" s="18">
        <f t="shared" si="54"/>
        <v>8.0750161080468657E-3</v>
      </c>
      <c r="AF109" s="18">
        <f t="shared" si="56"/>
        <v>1.7070721465863973E-2</v>
      </c>
      <c r="AG109" s="18">
        <f t="shared" si="58"/>
        <v>2.8231848655039236E-3</v>
      </c>
      <c r="AH109" s="18">
        <f t="shared" si="60"/>
        <v>9.4537388591057186E-3</v>
      </c>
      <c r="AJ109" s="18">
        <f>IF(ISNUMBER(Kernel!M109),Kernel!M109,"")</f>
        <v>-0.18330737873088379</v>
      </c>
      <c r="AK109" s="18">
        <f t="shared" si="44"/>
        <v>3.3601595097187666E-2</v>
      </c>
      <c r="AN109" s="18">
        <f>IF(ISNUMBER(Volcanic!G109),Volcanic!G109,"")</f>
        <v>5.6800000000000002E-3</v>
      </c>
    </row>
    <row r="110" spans="1:40">
      <c r="A110" s="18" t="str">
        <f>IF(Volcanic!A110="","",Volcanic!A110)</f>
        <v>3/1967</v>
      </c>
      <c r="B110" s="18">
        <f>IF(ISNUMBER(Volcanic!L110),Volcanic!L110,"")</f>
        <v>1967.2083333333333</v>
      </c>
      <c r="C110" s="18">
        <f>IF(ISNUMBER(Volcanic!J110),Volcanic!J110,"")</f>
        <v>9.4667519152434917E-2</v>
      </c>
      <c r="D110" s="18">
        <f t="shared" si="37"/>
        <v>8.9619391824766314E-3</v>
      </c>
      <c r="E110" s="18">
        <f>IF(ISNUMBER(Volcanic!C110),Volcanic!C110,"")</f>
        <v>0.20624132797002478</v>
      </c>
      <c r="F110" s="18">
        <f>IF(ISNUMBER(Volcanic!D110),Volcanic!D110,"")</f>
        <v>-0.35</v>
      </c>
      <c r="G110" s="18">
        <f>IF(ISNUMBER(Volcanic!E110),Volcanic!E110,"")</f>
        <v>6.5500000000000003E-3</v>
      </c>
      <c r="H110" s="18">
        <f t="shared" si="38"/>
        <v>4.2535485362839326E-2</v>
      </c>
      <c r="I110" s="18">
        <f t="shared" si="39"/>
        <v>0.12249999999999998</v>
      </c>
      <c r="J110" s="18">
        <f t="shared" si="40"/>
        <v>4.2902500000000005E-5</v>
      </c>
      <c r="K110" s="18">
        <f t="shared" si="41"/>
        <v>-7.2184464789508671E-2</v>
      </c>
      <c r="L110" s="18">
        <f t="shared" si="42"/>
        <v>1.3508806982036625E-3</v>
      </c>
      <c r="M110" s="18">
        <f t="shared" si="43"/>
        <v>-2.2924999999999998E-3</v>
      </c>
      <c r="N110" s="18">
        <f t="shared" si="46"/>
        <v>2.8954646869062517E-2</v>
      </c>
      <c r="O110" s="18">
        <f t="shared" si="49"/>
        <v>2.306816686245149E-3</v>
      </c>
      <c r="P110" s="18">
        <f t="shared" si="51"/>
        <v>2.3004463000304278E-4</v>
      </c>
      <c r="Q110" s="18">
        <f t="shared" si="53"/>
        <v>8.5970439974257528E-4</v>
      </c>
      <c r="R110" s="18">
        <f t="shared" si="55"/>
        <v>1.4497590820780669E-2</v>
      </c>
      <c r="S110" s="18">
        <f t="shared" si="57"/>
        <v>4.1550003077641626E-4</v>
      </c>
      <c r="T110" s="18">
        <f t="shared" si="59"/>
        <v>4.2425188006801982E-3</v>
      </c>
      <c r="U110" s="18">
        <f t="shared" si="61"/>
        <v>4.0747390406400139E-3</v>
      </c>
      <c r="V110" s="18">
        <f t="shared" si="62"/>
        <v>2.7351618498886372E-3</v>
      </c>
      <c r="W110" s="18">
        <f t="shared" si="63"/>
        <v>4.1223798676560869E-2</v>
      </c>
      <c r="X110" s="18">
        <f t="shared" si="64"/>
        <v>5.5235549068164115E-2</v>
      </c>
      <c r="Y110" s="18">
        <f t="shared" si="65"/>
        <v>8.2566188684681813E-3</v>
      </c>
      <c r="AA110" s="18">
        <f t="shared" si="47"/>
        <v>0.18022467513375984</v>
      </c>
      <c r="AB110" s="18">
        <f t="shared" si="48"/>
        <v>3.2480933527069274E-2</v>
      </c>
      <c r="AC110" s="18">
        <f t="shared" si="50"/>
        <v>2.1319327390756624E-2</v>
      </c>
      <c r="AD110" s="18">
        <f t="shared" si="52"/>
        <v>3.0975285382228695E-3</v>
      </c>
      <c r="AE110" s="18">
        <f t="shared" si="54"/>
        <v>1.8037046794947498E-7</v>
      </c>
      <c r="AF110" s="18">
        <f t="shared" si="56"/>
        <v>8.0750161080468657E-3</v>
      </c>
      <c r="AG110" s="18">
        <f t="shared" si="58"/>
        <v>1.7070721465863973E-2</v>
      </c>
      <c r="AH110" s="18">
        <f t="shared" si="60"/>
        <v>2.8231848655039236E-3</v>
      </c>
      <c r="AJ110" s="18">
        <f>IF(ISNUMBER(Kernel!M110),Kernel!M110,"")</f>
        <v>7.9457621780814031E-2</v>
      </c>
      <c r="AK110" s="18">
        <f t="shared" si="44"/>
        <v>6.3135136590628926E-3</v>
      </c>
      <c r="AN110" s="18">
        <f>IF(ISNUMBER(Volcanic!G110),Volcanic!G110,"")</f>
        <v>5.4299999999999999E-3</v>
      </c>
    </row>
    <row r="111" spans="1:40">
      <c r="A111" s="18" t="str">
        <f>IF(Volcanic!A111="","",Volcanic!A111)</f>
        <v>4/1967</v>
      </c>
      <c r="B111" s="18">
        <f>IF(ISNUMBER(Volcanic!L111),Volcanic!L111,"")</f>
        <v>1967.2916666666667</v>
      </c>
      <c r="C111" s="18">
        <f>IF(ISNUMBER(Volcanic!J111),Volcanic!J111,"")</f>
        <v>-1.110694364383516E-2</v>
      </c>
      <c r="D111" s="18">
        <f t="shared" si="37"/>
        <v>1.2336419710733026E-4</v>
      </c>
      <c r="E111" s="18">
        <f>IF(ISNUMBER(Volcanic!C111),Volcanic!C111,"")</f>
        <v>0.21239146441962328</v>
      </c>
      <c r="F111" s="18">
        <f>IF(ISNUMBER(Volcanic!D111),Volcanic!D111,"")</f>
        <v>-0.46</v>
      </c>
      <c r="G111" s="18">
        <f>IF(ISNUMBER(Volcanic!E111),Volcanic!E111,"")</f>
        <v>6.9100000000000003E-3</v>
      </c>
      <c r="H111" s="18">
        <f t="shared" si="38"/>
        <v>4.5110134158312103E-2</v>
      </c>
      <c r="I111" s="18">
        <f t="shared" si="39"/>
        <v>0.21160000000000001</v>
      </c>
      <c r="J111" s="18">
        <f t="shared" si="40"/>
        <v>4.7748100000000005E-5</v>
      </c>
      <c r="K111" s="18">
        <f t="shared" si="41"/>
        <v>-9.7700073633026713E-2</v>
      </c>
      <c r="L111" s="18">
        <f t="shared" si="42"/>
        <v>1.467625019139597E-3</v>
      </c>
      <c r="M111" s="18">
        <f t="shared" si="43"/>
        <v>-3.1786000000000002E-3</v>
      </c>
      <c r="N111" s="18">
        <f t="shared" si="46"/>
        <v>8.9619391824766314E-3</v>
      </c>
      <c r="O111" s="18">
        <f t="shared" si="49"/>
        <v>2.8954646869062517E-2</v>
      </c>
      <c r="P111" s="18">
        <f t="shared" si="51"/>
        <v>2.306816686245149E-3</v>
      </c>
      <c r="Q111" s="18">
        <f t="shared" si="53"/>
        <v>2.3004463000304278E-4</v>
      </c>
      <c r="R111" s="18">
        <f t="shared" si="55"/>
        <v>8.5970439974257528E-4</v>
      </c>
      <c r="S111" s="18">
        <f t="shared" si="57"/>
        <v>1.4497590820780669E-2</v>
      </c>
      <c r="T111" s="18">
        <f t="shared" si="59"/>
        <v>4.1550003077641626E-4</v>
      </c>
      <c r="U111" s="18">
        <f t="shared" si="61"/>
        <v>4.2425188006801982E-3</v>
      </c>
      <c r="V111" s="18">
        <f t="shared" si="62"/>
        <v>4.0747390406400139E-3</v>
      </c>
      <c r="W111" s="18">
        <f t="shared" si="63"/>
        <v>2.7351618498886372E-3</v>
      </c>
      <c r="X111" s="18">
        <f t="shared" si="64"/>
        <v>4.1223798676560869E-2</v>
      </c>
      <c r="Y111" s="18">
        <f t="shared" si="65"/>
        <v>5.5235549068164115E-2</v>
      </c>
      <c r="AA111" s="18">
        <f t="shared" si="47"/>
        <v>-5.8705984279895977E-2</v>
      </c>
      <c r="AB111" s="18">
        <f t="shared" si="48"/>
        <v>3.4463925902713938E-3</v>
      </c>
      <c r="AC111" s="18">
        <f t="shared" si="50"/>
        <v>3.2480933527069274E-2</v>
      </c>
      <c r="AD111" s="18">
        <f t="shared" si="52"/>
        <v>2.1319327390756624E-2</v>
      </c>
      <c r="AE111" s="18">
        <f t="shared" si="54"/>
        <v>3.0975285382228695E-3</v>
      </c>
      <c r="AF111" s="18">
        <f t="shared" si="56"/>
        <v>1.8037046794947498E-7</v>
      </c>
      <c r="AG111" s="18">
        <f t="shared" si="58"/>
        <v>8.0750161080468657E-3</v>
      </c>
      <c r="AH111" s="18">
        <f t="shared" si="60"/>
        <v>1.7070721465863973E-2</v>
      </c>
      <c r="AJ111" s="18">
        <f>IF(ISNUMBER(Kernel!M111),Kernel!M111,"")</f>
        <v>-3.2377061285388531E-2</v>
      </c>
      <c r="AK111" s="18">
        <f t="shared" si="44"/>
        <v>1.0482740974778048E-3</v>
      </c>
      <c r="AN111" s="18">
        <f>IF(ISNUMBER(Volcanic!G111),Volcanic!G111,"")</f>
        <v>5.2900000000000004E-3</v>
      </c>
    </row>
    <row r="112" spans="1:40">
      <c r="A112" s="18" t="str">
        <f>IF(Volcanic!A112="","",Volcanic!A112)</f>
        <v>5/1967</v>
      </c>
      <c r="B112" s="18">
        <f>IF(ISNUMBER(Volcanic!L112),Volcanic!L112,"")</f>
        <v>1967.375</v>
      </c>
      <c r="C112" s="18">
        <f>IF(ISNUMBER(Volcanic!J112),Volcanic!J112,"")</f>
        <v>0.15353319948153799</v>
      </c>
      <c r="D112" s="18">
        <f t="shared" si="37"/>
        <v>2.3572443343037736E-2</v>
      </c>
      <c r="E112" s="18">
        <f>IF(ISNUMBER(Volcanic!C112),Volcanic!C112,"")</f>
        <v>0.21501289097085052</v>
      </c>
      <c r="F112" s="18">
        <f>IF(ISNUMBER(Volcanic!D112),Volcanic!D112,"")</f>
        <v>-0.48</v>
      </c>
      <c r="G112" s="18">
        <f>IF(ISNUMBER(Volcanic!E112),Volcanic!E112,"")</f>
        <v>6.8799999999999998E-3</v>
      </c>
      <c r="H112" s="18">
        <f t="shared" si="38"/>
        <v>4.6230543283642851E-2</v>
      </c>
      <c r="I112" s="18">
        <f t="shared" si="39"/>
        <v>0.23039999999999999</v>
      </c>
      <c r="J112" s="18">
        <f t="shared" si="40"/>
        <v>4.7334399999999999E-5</v>
      </c>
      <c r="K112" s="18">
        <f t="shared" si="41"/>
        <v>-0.10320618766600825</v>
      </c>
      <c r="L112" s="18">
        <f t="shared" si="42"/>
        <v>1.4792886898794516E-3</v>
      </c>
      <c r="M112" s="18">
        <f t="shared" si="43"/>
        <v>-3.3023999999999996E-3</v>
      </c>
      <c r="N112" s="18">
        <f t="shared" si="46"/>
        <v>1.2336419710733026E-4</v>
      </c>
      <c r="O112" s="18">
        <f t="shared" si="49"/>
        <v>8.9619391824766314E-3</v>
      </c>
      <c r="P112" s="18">
        <f t="shared" si="51"/>
        <v>2.8954646869062517E-2</v>
      </c>
      <c r="Q112" s="18">
        <f t="shared" si="53"/>
        <v>2.306816686245149E-3</v>
      </c>
      <c r="R112" s="18">
        <f t="shared" si="55"/>
        <v>2.3004463000304278E-4</v>
      </c>
      <c r="S112" s="18">
        <f t="shared" si="57"/>
        <v>8.5970439974257528E-4</v>
      </c>
      <c r="T112" s="18">
        <f t="shared" si="59"/>
        <v>1.4497590820780669E-2</v>
      </c>
      <c r="U112" s="18">
        <f t="shared" si="61"/>
        <v>4.1550003077641626E-4</v>
      </c>
      <c r="V112" s="18">
        <f t="shared" si="62"/>
        <v>4.2425188006801982E-3</v>
      </c>
      <c r="W112" s="18">
        <f t="shared" si="63"/>
        <v>4.0747390406400139E-3</v>
      </c>
      <c r="X112" s="18">
        <f t="shared" si="64"/>
        <v>2.7351618498886372E-3</v>
      </c>
      <c r="Y112" s="18">
        <f t="shared" si="65"/>
        <v>4.1223798676560869E-2</v>
      </c>
      <c r="AA112" s="18">
        <f t="shared" si="47"/>
        <v>0.15911779561946002</v>
      </c>
      <c r="AB112" s="18">
        <f t="shared" si="48"/>
        <v>2.5318472882796251E-2</v>
      </c>
      <c r="AC112" s="18">
        <f t="shared" si="50"/>
        <v>3.4463925902713938E-3</v>
      </c>
      <c r="AD112" s="18">
        <f t="shared" si="52"/>
        <v>3.2480933527069274E-2</v>
      </c>
      <c r="AE112" s="18">
        <f t="shared" si="54"/>
        <v>2.1319327390756624E-2</v>
      </c>
      <c r="AF112" s="18">
        <f t="shared" si="56"/>
        <v>3.0975285382228695E-3</v>
      </c>
      <c r="AG112" s="18">
        <f t="shared" si="58"/>
        <v>1.8037046794947498E-7</v>
      </c>
      <c r="AH112" s="18">
        <f t="shared" si="60"/>
        <v>8.0750161080468657E-3</v>
      </c>
      <c r="AJ112" s="18">
        <f>IF(ISNUMBER(Kernel!M112),Kernel!M112,"")</f>
        <v>0.12969181755134063</v>
      </c>
      <c r="AK112" s="18">
        <f t="shared" si="44"/>
        <v>1.6819967539770223E-2</v>
      </c>
      <c r="AN112" s="18">
        <f>IF(ISNUMBER(Volcanic!G112),Volcanic!G112,"")</f>
        <v>5.1799999999999997E-3</v>
      </c>
    </row>
    <row r="113" spans="1:40">
      <c r="A113" s="18" t="str">
        <f>IF(Volcanic!A113="","",Volcanic!A113)</f>
        <v>6/1967</v>
      </c>
      <c r="B113" s="18">
        <f>IF(ISNUMBER(Volcanic!L113),Volcanic!L113,"")</f>
        <v>1967.4583333333333</v>
      </c>
      <c r="C113" s="18">
        <f>IF(ISNUMBER(Volcanic!J113),Volcanic!J113,"")</f>
        <v>-3.4171979258711703E-2</v>
      </c>
      <c r="D113" s="18">
        <f t="shared" si="37"/>
        <v>1.1677241664578228E-3</v>
      </c>
      <c r="E113" s="18">
        <f>IF(ISNUMBER(Volcanic!C113),Volcanic!C113,"")</f>
        <v>0.21096767891290158</v>
      </c>
      <c r="F113" s="18">
        <f>IF(ISNUMBER(Volcanic!D113),Volcanic!D113,"")</f>
        <v>-0.5</v>
      </c>
      <c r="G113" s="18">
        <f>IF(ISNUMBER(Volcanic!E113),Volcanic!E113,"")</f>
        <v>6.6100000000000004E-3</v>
      </c>
      <c r="H113" s="18">
        <f t="shared" si="38"/>
        <v>4.4507361545897135E-2</v>
      </c>
      <c r="I113" s="18">
        <f t="shared" si="39"/>
        <v>0.25</v>
      </c>
      <c r="J113" s="18">
        <f t="shared" si="40"/>
        <v>4.3692100000000008E-5</v>
      </c>
      <c r="K113" s="18">
        <f t="shared" si="41"/>
        <v>-0.10548383945645079</v>
      </c>
      <c r="L113" s="18">
        <f t="shared" si="42"/>
        <v>1.3944963576142796E-3</v>
      </c>
      <c r="M113" s="18">
        <f t="shared" si="43"/>
        <v>-3.3050000000000002E-3</v>
      </c>
      <c r="N113" s="18">
        <f t="shared" si="46"/>
        <v>2.3572443343037736E-2</v>
      </c>
      <c r="O113" s="18">
        <f t="shared" si="49"/>
        <v>1.2336419710733026E-4</v>
      </c>
      <c r="P113" s="18">
        <f t="shared" si="51"/>
        <v>8.9619391824766314E-3</v>
      </c>
      <c r="Q113" s="18">
        <f t="shared" si="53"/>
        <v>2.8954646869062517E-2</v>
      </c>
      <c r="R113" s="18">
        <f t="shared" si="55"/>
        <v>2.306816686245149E-3</v>
      </c>
      <c r="S113" s="18">
        <f t="shared" si="57"/>
        <v>2.3004463000304278E-4</v>
      </c>
      <c r="T113" s="18">
        <f t="shared" si="59"/>
        <v>8.5970439974257528E-4</v>
      </c>
      <c r="U113" s="18">
        <f t="shared" si="61"/>
        <v>1.4497590820780669E-2</v>
      </c>
      <c r="V113" s="18">
        <f t="shared" si="62"/>
        <v>4.1550003077641626E-4</v>
      </c>
      <c r="W113" s="18">
        <f t="shared" si="63"/>
        <v>4.2425188006801982E-3</v>
      </c>
      <c r="X113" s="18">
        <f t="shared" si="64"/>
        <v>4.0747390406400139E-3</v>
      </c>
      <c r="Y113" s="18">
        <f t="shared" si="65"/>
        <v>2.7351618498886372E-3</v>
      </c>
      <c r="AA113" s="18">
        <f t="shared" si="47"/>
        <v>-0.11136881579288416</v>
      </c>
      <c r="AB113" s="18">
        <f t="shared" si="48"/>
        <v>1.2403013131109364E-2</v>
      </c>
      <c r="AC113" s="18">
        <f t="shared" si="50"/>
        <v>2.5318472882796251E-2</v>
      </c>
      <c r="AD113" s="18">
        <f t="shared" si="52"/>
        <v>3.4463925902713938E-3</v>
      </c>
      <c r="AE113" s="18">
        <f t="shared" si="54"/>
        <v>3.2480933527069274E-2</v>
      </c>
      <c r="AF113" s="18">
        <f t="shared" si="56"/>
        <v>2.1319327390756624E-2</v>
      </c>
      <c r="AG113" s="18">
        <f t="shared" si="58"/>
        <v>3.0975285382228695E-3</v>
      </c>
      <c r="AH113" s="18">
        <f t="shared" si="60"/>
        <v>1.8037046794947498E-7</v>
      </c>
      <c r="AJ113" s="18">
        <f>IF(ISNUMBER(Kernel!M113),Kernel!M113,"")</f>
        <v>-6.4534148924028645E-2</v>
      </c>
      <c r="AK113" s="18">
        <f t="shared" si="44"/>
        <v>4.1646563773487079E-3</v>
      </c>
      <c r="AN113" s="18">
        <f>IF(ISNUMBER(Volcanic!G113),Volcanic!G113,"")</f>
        <v>5.11E-3</v>
      </c>
    </row>
    <row r="114" spans="1:40">
      <c r="A114" s="18" t="str">
        <f>IF(Volcanic!A114="","",Volcanic!A114)</f>
        <v>7/1967</v>
      </c>
      <c r="B114" s="18">
        <f>IF(ISNUMBER(Volcanic!L114),Volcanic!L114,"")</f>
        <v>1967.5416666666667</v>
      </c>
      <c r="C114" s="18">
        <f>IF(ISNUMBER(Volcanic!J114),Volcanic!J114,"")</f>
        <v>7.1946576216876584E-2</v>
      </c>
      <c r="D114" s="18">
        <f t="shared" si="37"/>
        <v>5.176309829330831E-3</v>
      </c>
      <c r="E114" s="18">
        <f>IF(ISNUMBER(Volcanic!C114),Volcanic!C114,"")</f>
        <v>0.20405126118938038</v>
      </c>
      <c r="F114" s="18">
        <f>IF(ISNUMBER(Volcanic!D114),Volcanic!D114,"")</f>
        <v>-0.37</v>
      </c>
      <c r="G114" s="18">
        <f>IF(ISNUMBER(Volcanic!E114),Volcanic!E114,"")</f>
        <v>6.3E-3</v>
      </c>
      <c r="H114" s="18">
        <f t="shared" si="38"/>
        <v>4.1636917192976734E-2</v>
      </c>
      <c r="I114" s="18">
        <f t="shared" si="39"/>
        <v>0.13689999999999999</v>
      </c>
      <c r="J114" s="18">
        <f t="shared" si="40"/>
        <v>3.9690000000000001E-5</v>
      </c>
      <c r="K114" s="18">
        <f t="shared" si="41"/>
        <v>-7.5498966640070747E-2</v>
      </c>
      <c r="L114" s="18">
        <f t="shared" si="42"/>
        <v>1.2855229454930965E-3</v>
      </c>
      <c r="M114" s="18">
        <f t="shared" si="43"/>
        <v>-2.3310000000000002E-3</v>
      </c>
      <c r="N114" s="18">
        <f t="shared" si="46"/>
        <v>1.1677241664578228E-3</v>
      </c>
      <c r="O114" s="18">
        <f t="shared" si="49"/>
        <v>2.3572443343037736E-2</v>
      </c>
      <c r="P114" s="18">
        <f t="shared" si="51"/>
        <v>1.2336419710733026E-4</v>
      </c>
      <c r="Q114" s="18">
        <f t="shared" si="53"/>
        <v>8.9619391824766314E-3</v>
      </c>
      <c r="R114" s="18">
        <f t="shared" si="55"/>
        <v>2.8954646869062517E-2</v>
      </c>
      <c r="S114" s="18">
        <f t="shared" si="57"/>
        <v>2.306816686245149E-3</v>
      </c>
      <c r="T114" s="18">
        <f t="shared" si="59"/>
        <v>2.3004463000304278E-4</v>
      </c>
      <c r="U114" s="18">
        <f t="shared" si="61"/>
        <v>8.5970439974257528E-4</v>
      </c>
      <c r="V114" s="18">
        <f t="shared" si="62"/>
        <v>1.4497590820780669E-2</v>
      </c>
      <c r="W114" s="18">
        <f t="shared" si="63"/>
        <v>4.1550003077641626E-4</v>
      </c>
      <c r="X114" s="18">
        <f t="shared" si="64"/>
        <v>4.2425188006801982E-3</v>
      </c>
      <c r="Y114" s="18">
        <f t="shared" si="65"/>
        <v>4.0747390406400139E-3</v>
      </c>
      <c r="AA114" s="18">
        <f t="shared" si="47"/>
        <v>8.9128323915693405E-2</v>
      </c>
      <c r="AB114" s="18">
        <f t="shared" si="48"/>
        <v>7.9438581240207657E-3</v>
      </c>
      <c r="AC114" s="18">
        <f t="shared" si="50"/>
        <v>1.2403013131109364E-2</v>
      </c>
      <c r="AD114" s="18">
        <f t="shared" si="52"/>
        <v>2.5318472882796251E-2</v>
      </c>
      <c r="AE114" s="18">
        <f t="shared" si="54"/>
        <v>3.4463925902713938E-3</v>
      </c>
      <c r="AF114" s="18">
        <f t="shared" si="56"/>
        <v>3.2480933527069274E-2</v>
      </c>
      <c r="AG114" s="18">
        <f t="shared" si="58"/>
        <v>2.1319327390756624E-2</v>
      </c>
      <c r="AH114" s="18">
        <f t="shared" si="60"/>
        <v>3.0975285382228695E-3</v>
      </c>
      <c r="AJ114" s="18">
        <f>IF(ISNUMBER(Kernel!M114),Kernel!M114,"")</f>
        <v>5.1206603995435133E-2</v>
      </c>
      <c r="AK114" s="18">
        <f t="shared" si="44"/>
        <v>2.6221162927453135E-3</v>
      </c>
      <c r="AN114" s="18">
        <f>IF(ISNUMBER(Volcanic!G114),Volcanic!G114,"")</f>
        <v>5.0600000000000003E-3</v>
      </c>
    </row>
    <row r="115" spans="1:40">
      <c r="A115" s="18" t="str">
        <f>IF(Volcanic!A115="","",Volcanic!A115)</f>
        <v>8/1967</v>
      </c>
      <c r="B115" s="18">
        <f>IF(ISNUMBER(Volcanic!L115),Volcanic!L115,"")</f>
        <v>1967.625</v>
      </c>
      <c r="C115" s="18">
        <f>IF(ISNUMBER(Volcanic!J115),Volcanic!J115,"")</f>
        <v>6.0684641468403723E-2</v>
      </c>
      <c r="D115" s="18">
        <f t="shared" si="37"/>
        <v>3.6826257101487047E-3</v>
      </c>
      <c r="E115" s="18">
        <f>IF(ISNUMBER(Volcanic!C115),Volcanic!C115,"")</f>
        <v>0.1967868752001786</v>
      </c>
      <c r="F115" s="18">
        <f>IF(ISNUMBER(Volcanic!D115),Volcanic!D115,"")</f>
        <v>-0.15</v>
      </c>
      <c r="G115" s="18">
        <f>IF(ISNUMBER(Volcanic!E115),Volcanic!E115,"")</f>
        <v>6.0000000000000001E-3</v>
      </c>
      <c r="H115" s="18">
        <f t="shared" si="38"/>
        <v>3.8725074251050665E-2</v>
      </c>
      <c r="I115" s="18">
        <f t="shared" si="39"/>
        <v>2.2499999999999999E-2</v>
      </c>
      <c r="J115" s="18">
        <f t="shared" si="40"/>
        <v>3.6000000000000001E-5</v>
      </c>
      <c r="K115" s="18">
        <f t="shared" si="41"/>
        <v>-2.9518031280026787E-2</v>
      </c>
      <c r="L115" s="18">
        <f t="shared" si="42"/>
        <v>1.1807212512010717E-3</v>
      </c>
      <c r="M115" s="18">
        <f t="shared" si="43"/>
        <v>-8.9999999999999998E-4</v>
      </c>
      <c r="N115" s="18">
        <f t="shared" si="46"/>
        <v>5.176309829330831E-3</v>
      </c>
      <c r="O115" s="18">
        <f t="shared" si="49"/>
        <v>1.1677241664578228E-3</v>
      </c>
      <c r="P115" s="18">
        <f t="shared" si="51"/>
        <v>2.3572443343037736E-2</v>
      </c>
      <c r="Q115" s="18">
        <f t="shared" si="53"/>
        <v>1.2336419710733026E-4</v>
      </c>
      <c r="R115" s="18">
        <f t="shared" si="55"/>
        <v>8.9619391824766314E-3</v>
      </c>
      <c r="S115" s="18">
        <f t="shared" si="57"/>
        <v>2.8954646869062517E-2</v>
      </c>
      <c r="T115" s="18">
        <f t="shared" si="59"/>
        <v>2.306816686245149E-3</v>
      </c>
      <c r="U115" s="18">
        <f t="shared" si="61"/>
        <v>2.3004463000304278E-4</v>
      </c>
      <c r="V115" s="18">
        <f t="shared" si="62"/>
        <v>8.5970439974257528E-4</v>
      </c>
      <c r="W115" s="18">
        <f t="shared" si="63"/>
        <v>1.4497590820780669E-2</v>
      </c>
      <c r="X115" s="18">
        <f t="shared" si="64"/>
        <v>4.1550003077641626E-4</v>
      </c>
      <c r="Y115" s="18">
        <f t="shared" si="65"/>
        <v>4.2425188006801982E-3</v>
      </c>
      <c r="AA115" s="18">
        <f t="shared" si="47"/>
        <v>2.4509741823487106E-2</v>
      </c>
      <c r="AB115" s="18">
        <f t="shared" si="48"/>
        <v>6.0072744425399309E-4</v>
      </c>
      <c r="AC115" s="18">
        <f t="shared" si="50"/>
        <v>7.9438581240207657E-3</v>
      </c>
      <c r="AD115" s="18">
        <f t="shared" si="52"/>
        <v>1.2403013131109364E-2</v>
      </c>
      <c r="AE115" s="18">
        <f t="shared" si="54"/>
        <v>2.5318472882796251E-2</v>
      </c>
      <c r="AF115" s="18">
        <f t="shared" si="56"/>
        <v>3.4463925902713938E-3</v>
      </c>
      <c r="AG115" s="18">
        <f t="shared" si="58"/>
        <v>3.2480933527069274E-2</v>
      </c>
      <c r="AH115" s="18">
        <f t="shared" si="60"/>
        <v>2.1319327390756624E-2</v>
      </c>
      <c r="AJ115" s="18">
        <f>IF(ISNUMBER(Kernel!M115),Kernel!M115,"")</f>
        <v>6.3452992126152366E-2</v>
      </c>
      <c r="AK115" s="18">
        <f t="shared" si="44"/>
        <v>4.0262822097615544E-3</v>
      </c>
      <c r="AN115" s="18">
        <f>IF(ISNUMBER(Volcanic!G115),Volcanic!G115,"")</f>
        <v>5.0499999999999998E-3</v>
      </c>
    </row>
    <row r="116" spans="1:40">
      <c r="A116" s="18" t="str">
        <f>IF(Volcanic!A116="","",Volcanic!A116)</f>
        <v>9/1967</v>
      </c>
      <c r="B116" s="18">
        <f>IF(ISNUMBER(Volcanic!L116),Volcanic!L116,"")</f>
        <v>1967.7083333333333</v>
      </c>
      <c r="C116" s="18">
        <f>IF(ISNUMBER(Volcanic!J116),Volcanic!J116,"")</f>
        <v>-8.0489149089652684E-3</v>
      </c>
      <c r="D116" s="18">
        <f t="shared" si="37"/>
        <v>6.4785031211763369E-5</v>
      </c>
      <c r="E116" s="18">
        <f>IF(ISNUMBER(Volcanic!C116),Volcanic!C116,"")</f>
        <v>0.18925979275775742</v>
      </c>
      <c r="F116" s="18">
        <f>IF(ISNUMBER(Volcanic!D116),Volcanic!D116,"")</f>
        <v>0.05</v>
      </c>
      <c r="G116" s="18">
        <f>IF(ISNUMBER(Volcanic!E116),Volcanic!E116,"")</f>
        <v>5.6800000000000002E-3</v>
      </c>
      <c r="H116" s="18">
        <f t="shared" si="38"/>
        <v>3.5819269154709288E-2</v>
      </c>
      <c r="I116" s="18">
        <f t="shared" si="39"/>
        <v>2.5000000000000005E-3</v>
      </c>
      <c r="J116" s="18">
        <f t="shared" si="40"/>
        <v>3.2262400000000005E-5</v>
      </c>
      <c r="K116" s="18">
        <f t="shared" si="41"/>
        <v>9.4629896378878725E-3</v>
      </c>
      <c r="L116" s="18">
        <f t="shared" si="42"/>
        <v>1.0749956228640622E-3</v>
      </c>
      <c r="M116" s="18">
        <f t="shared" si="43"/>
        <v>2.8400000000000002E-4</v>
      </c>
      <c r="N116" s="18">
        <f t="shared" si="46"/>
        <v>3.6826257101487047E-3</v>
      </c>
      <c r="O116" s="18">
        <f t="shared" si="49"/>
        <v>5.176309829330831E-3</v>
      </c>
      <c r="P116" s="18">
        <f t="shared" si="51"/>
        <v>1.1677241664578228E-3</v>
      </c>
      <c r="Q116" s="18">
        <f t="shared" si="53"/>
        <v>2.3572443343037736E-2</v>
      </c>
      <c r="R116" s="18">
        <f t="shared" si="55"/>
        <v>1.2336419710733026E-4</v>
      </c>
      <c r="S116" s="18">
        <f t="shared" si="57"/>
        <v>8.9619391824766314E-3</v>
      </c>
      <c r="T116" s="18">
        <f t="shared" si="59"/>
        <v>2.8954646869062517E-2</v>
      </c>
      <c r="U116" s="18">
        <f t="shared" si="61"/>
        <v>2.306816686245149E-3</v>
      </c>
      <c r="V116" s="18">
        <f t="shared" si="62"/>
        <v>2.3004463000304278E-4</v>
      </c>
      <c r="W116" s="18">
        <f t="shared" si="63"/>
        <v>8.5970439974257528E-4</v>
      </c>
      <c r="X116" s="18">
        <f t="shared" si="64"/>
        <v>1.4497590820780669E-2</v>
      </c>
      <c r="Y116" s="18">
        <f t="shared" si="65"/>
        <v>4.1550003077641626E-4</v>
      </c>
      <c r="AA116" s="18">
        <f t="shared" si="47"/>
        <v>-3.8561288541448219E-2</v>
      </c>
      <c r="AB116" s="18">
        <f t="shared" si="48"/>
        <v>1.4869729739768257E-3</v>
      </c>
      <c r="AC116" s="18">
        <f t="shared" si="50"/>
        <v>6.0072744425399309E-4</v>
      </c>
      <c r="AD116" s="18">
        <f t="shared" si="52"/>
        <v>7.9438581240207657E-3</v>
      </c>
      <c r="AE116" s="18">
        <f t="shared" si="54"/>
        <v>1.2403013131109364E-2</v>
      </c>
      <c r="AF116" s="18">
        <f t="shared" si="56"/>
        <v>2.5318472882796251E-2</v>
      </c>
      <c r="AG116" s="18">
        <f t="shared" si="58"/>
        <v>3.4463925902713938E-3</v>
      </c>
      <c r="AH116" s="18">
        <f t="shared" si="60"/>
        <v>3.2480933527069274E-2</v>
      </c>
      <c r="AJ116" s="18">
        <f>IF(ISNUMBER(Kernel!M116),Kernel!M116,"")</f>
        <v>1.895500820097254E-2</v>
      </c>
      <c r="AK116" s="18">
        <f t="shared" si="44"/>
        <v>3.5929233589893626E-4</v>
      </c>
      <c r="AN116" s="18">
        <f>IF(ISNUMBER(Volcanic!G116),Volcanic!G116,"")</f>
        <v>5.0200000000000002E-3</v>
      </c>
    </row>
    <row r="117" spans="1:40">
      <c r="A117" s="18" t="str">
        <f>IF(Volcanic!A117="","",Volcanic!A117)</f>
        <v>10/1967</v>
      </c>
      <c r="B117" s="18">
        <f>IF(ISNUMBER(Volcanic!L117),Volcanic!L117,"")</f>
        <v>1967.7916666666667</v>
      </c>
      <c r="C117" s="18">
        <f>IF(ISNUMBER(Volcanic!J117),Volcanic!J117,"")</f>
        <v>0.14617148796522422</v>
      </c>
      <c r="D117" s="18">
        <f t="shared" si="37"/>
        <v>2.1366103893967689E-2</v>
      </c>
      <c r="E117" s="18">
        <f>IF(ISNUMBER(Volcanic!C117),Volcanic!C117,"")</f>
        <v>0.18989231596006176</v>
      </c>
      <c r="F117" s="18">
        <f>IF(ISNUMBER(Volcanic!D117),Volcanic!D117,"")</f>
        <v>-0.02</v>
      </c>
      <c r="G117" s="18">
        <f>IF(ISNUMBER(Volcanic!E117),Volcanic!E117,"")</f>
        <v>5.4299999999999999E-3</v>
      </c>
      <c r="H117" s="18">
        <f t="shared" si="38"/>
        <v>3.6059091660675925E-2</v>
      </c>
      <c r="I117" s="18">
        <f t="shared" si="39"/>
        <v>4.0000000000000002E-4</v>
      </c>
      <c r="J117" s="18">
        <f t="shared" si="40"/>
        <v>2.94849E-5</v>
      </c>
      <c r="K117" s="18">
        <f t="shared" si="41"/>
        <v>-3.7978463192012354E-3</v>
      </c>
      <c r="L117" s="18">
        <f t="shared" si="42"/>
        <v>1.0311152756631353E-3</v>
      </c>
      <c r="M117" s="18">
        <f t="shared" si="43"/>
        <v>-1.086E-4</v>
      </c>
      <c r="N117" s="18">
        <f t="shared" si="46"/>
        <v>6.4785031211763369E-5</v>
      </c>
      <c r="O117" s="18">
        <f t="shared" si="49"/>
        <v>3.6826257101487047E-3</v>
      </c>
      <c r="P117" s="18">
        <f t="shared" si="51"/>
        <v>5.176309829330831E-3</v>
      </c>
      <c r="Q117" s="18">
        <f t="shared" si="53"/>
        <v>1.1677241664578228E-3</v>
      </c>
      <c r="R117" s="18">
        <f t="shared" si="55"/>
        <v>2.3572443343037736E-2</v>
      </c>
      <c r="S117" s="18">
        <f t="shared" si="57"/>
        <v>1.2336419710733026E-4</v>
      </c>
      <c r="T117" s="18">
        <f t="shared" si="59"/>
        <v>8.9619391824766314E-3</v>
      </c>
      <c r="U117" s="18">
        <f t="shared" si="61"/>
        <v>2.8954646869062517E-2</v>
      </c>
      <c r="V117" s="18">
        <f t="shared" si="62"/>
        <v>2.306816686245149E-3</v>
      </c>
      <c r="W117" s="18">
        <f t="shared" si="63"/>
        <v>2.3004463000304278E-4</v>
      </c>
      <c r="X117" s="18">
        <f t="shared" si="64"/>
        <v>8.5970439974257528E-4</v>
      </c>
      <c r="Y117" s="18">
        <f t="shared" si="65"/>
        <v>1.4497590820780669E-2</v>
      </c>
      <c r="AA117" s="18">
        <f t="shared" si="47"/>
        <v>0.150218500406853</v>
      </c>
      <c r="AB117" s="18">
        <f t="shared" si="48"/>
        <v>2.2565597864483696E-2</v>
      </c>
      <c r="AC117" s="18">
        <f t="shared" si="50"/>
        <v>1.4869729739768257E-3</v>
      </c>
      <c r="AD117" s="18">
        <f t="shared" si="52"/>
        <v>6.0072744425399309E-4</v>
      </c>
      <c r="AE117" s="18">
        <f t="shared" si="54"/>
        <v>7.9438581240207657E-3</v>
      </c>
      <c r="AF117" s="18">
        <f t="shared" si="56"/>
        <v>1.2403013131109364E-2</v>
      </c>
      <c r="AG117" s="18">
        <f t="shared" si="58"/>
        <v>2.5318472882796251E-2</v>
      </c>
      <c r="AH117" s="18">
        <f t="shared" si="60"/>
        <v>3.4463925902713938E-3</v>
      </c>
      <c r="AJ117" s="18">
        <f>IF(ISNUMBER(Kernel!M117),Kernel!M117,"")</f>
        <v>0.17152201289455099</v>
      </c>
      <c r="AK117" s="18">
        <f t="shared" si="44"/>
        <v>2.9419800907398517E-2</v>
      </c>
      <c r="AN117" s="18">
        <f>IF(ISNUMBER(Volcanic!G117),Volcanic!G117,"")</f>
        <v>5.0000000000000001E-3</v>
      </c>
    </row>
    <row r="118" spans="1:40">
      <c r="A118" s="18" t="str">
        <f>IF(Volcanic!A118="","",Volcanic!A118)</f>
        <v>11/1967</v>
      </c>
      <c r="B118" s="18">
        <f>IF(ISNUMBER(Volcanic!L118),Volcanic!L118,"")</f>
        <v>1967.875</v>
      </c>
      <c r="C118" s="18">
        <f>IF(ISNUMBER(Volcanic!J118),Volcanic!J118,"")</f>
        <v>1.1660148830466954E-2</v>
      </c>
      <c r="D118" s="18">
        <f t="shared" si="37"/>
        <v>1.3595907074863989E-4</v>
      </c>
      <c r="E118" s="18">
        <f>IF(ISNUMBER(Volcanic!C118),Volcanic!C118,"")</f>
        <v>0.19593247773807179</v>
      </c>
      <c r="F118" s="18">
        <f>IF(ISNUMBER(Volcanic!D118),Volcanic!D118,"")</f>
        <v>-0.26</v>
      </c>
      <c r="G118" s="18">
        <f>IF(ISNUMBER(Volcanic!E118),Volcanic!E118,"")</f>
        <v>5.2900000000000004E-3</v>
      </c>
      <c r="H118" s="18">
        <f t="shared" si="38"/>
        <v>3.838953583258E-2</v>
      </c>
      <c r="I118" s="18">
        <f t="shared" si="39"/>
        <v>6.7600000000000007E-2</v>
      </c>
      <c r="J118" s="18">
        <f t="shared" si="40"/>
        <v>2.7984100000000005E-5</v>
      </c>
      <c r="K118" s="18">
        <f t="shared" si="41"/>
        <v>-5.0942444211898669E-2</v>
      </c>
      <c r="L118" s="18">
        <f t="shared" si="42"/>
        <v>1.0364828072343998E-3</v>
      </c>
      <c r="M118" s="18">
        <f t="shared" si="43"/>
        <v>-1.3754000000000001E-3</v>
      </c>
      <c r="N118" s="18">
        <f t="shared" si="46"/>
        <v>2.1366103893967689E-2</v>
      </c>
      <c r="O118" s="18">
        <f t="shared" si="49"/>
        <v>6.4785031211763369E-5</v>
      </c>
      <c r="P118" s="18">
        <f t="shared" si="51"/>
        <v>3.6826257101487047E-3</v>
      </c>
      <c r="Q118" s="18">
        <f t="shared" si="53"/>
        <v>5.176309829330831E-3</v>
      </c>
      <c r="R118" s="18">
        <f t="shared" si="55"/>
        <v>1.1677241664578228E-3</v>
      </c>
      <c r="S118" s="18">
        <f t="shared" si="57"/>
        <v>2.3572443343037736E-2</v>
      </c>
      <c r="T118" s="18">
        <f t="shared" si="59"/>
        <v>1.2336419710733026E-4</v>
      </c>
      <c r="U118" s="18">
        <f t="shared" si="61"/>
        <v>8.9619391824766314E-3</v>
      </c>
      <c r="V118" s="18">
        <f t="shared" si="62"/>
        <v>2.8954646869062517E-2</v>
      </c>
      <c r="W118" s="18">
        <f t="shared" si="63"/>
        <v>2.306816686245149E-3</v>
      </c>
      <c r="X118" s="18">
        <f t="shared" si="64"/>
        <v>2.3004463000304278E-4</v>
      </c>
      <c r="Y118" s="18">
        <f t="shared" si="65"/>
        <v>8.5970439974257528E-4</v>
      </c>
      <c r="AA118" s="18">
        <f t="shared" si="47"/>
        <v>-6.1835202666881611E-2</v>
      </c>
      <c r="AB118" s="18">
        <f t="shared" si="48"/>
        <v>3.8235922888543226E-3</v>
      </c>
      <c r="AC118" s="18">
        <f t="shared" si="50"/>
        <v>2.2565597864483696E-2</v>
      </c>
      <c r="AD118" s="18">
        <f t="shared" si="52"/>
        <v>1.4869729739768257E-3</v>
      </c>
      <c r="AE118" s="18">
        <f t="shared" si="54"/>
        <v>6.0072744425399309E-4</v>
      </c>
      <c r="AF118" s="18">
        <f t="shared" si="56"/>
        <v>7.9438581240207657E-3</v>
      </c>
      <c r="AG118" s="18">
        <f t="shared" si="58"/>
        <v>1.2403013131109364E-2</v>
      </c>
      <c r="AH118" s="18">
        <f t="shared" si="60"/>
        <v>2.5318472882796251E-2</v>
      </c>
      <c r="AJ118" s="18">
        <f>IF(ISNUMBER(Kernel!M118),Kernel!M118,"")</f>
        <v>1.7830354686845087E-2</v>
      </c>
      <c r="AK118" s="18">
        <f t="shared" si="44"/>
        <v>3.1792154825869857E-4</v>
      </c>
      <c r="AN118" s="18">
        <f>IF(ISNUMBER(Volcanic!G118),Volcanic!G118,"")</f>
        <v>4.8399999999999997E-3</v>
      </c>
    </row>
    <row r="119" spans="1:40">
      <c r="A119" s="18" t="str">
        <f>IF(Volcanic!A119="","",Volcanic!A119)</f>
        <v>12/1967</v>
      </c>
      <c r="B119" s="18">
        <f>IF(ISNUMBER(Volcanic!L119),Volcanic!L119,"")</f>
        <v>1967.9583333333333</v>
      </c>
      <c r="C119" s="18">
        <f>IF(ISNUMBER(Volcanic!J119),Volcanic!J119,"")</f>
        <v>9.3481423713316983E-3</v>
      </c>
      <c r="D119" s="18">
        <f t="shared" si="37"/>
        <v>8.7387765794687031E-5</v>
      </c>
      <c r="E119" s="18">
        <f>IF(ISNUMBER(Volcanic!C119),Volcanic!C119,"")</f>
        <v>0.20145463326198595</v>
      </c>
      <c r="F119" s="18">
        <f>IF(ISNUMBER(Volcanic!D119),Volcanic!D119,"")</f>
        <v>-0.4</v>
      </c>
      <c r="G119" s="18">
        <f>IF(ISNUMBER(Volcanic!E119),Volcanic!E119,"")</f>
        <v>5.1799999999999997E-3</v>
      </c>
      <c r="H119" s="18">
        <f t="shared" si="38"/>
        <v>4.0583969262721259E-2</v>
      </c>
      <c r="I119" s="18">
        <f t="shared" si="39"/>
        <v>0.16000000000000003</v>
      </c>
      <c r="J119" s="18">
        <f t="shared" si="40"/>
        <v>2.6832399999999997E-5</v>
      </c>
      <c r="K119" s="18">
        <f t="shared" si="41"/>
        <v>-8.0581853304794393E-2</v>
      </c>
      <c r="L119" s="18">
        <f t="shared" si="42"/>
        <v>1.0435350002970872E-3</v>
      </c>
      <c r="M119" s="18">
        <f t="shared" si="43"/>
        <v>-2.0720000000000001E-3</v>
      </c>
      <c r="N119" s="18">
        <f t="shared" si="46"/>
        <v>1.3595907074863989E-4</v>
      </c>
      <c r="O119" s="18">
        <f t="shared" si="49"/>
        <v>2.1366103893967689E-2</v>
      </c>
      <c r="P119" s="18">
        <f t="shared" si="51"/>
        <v>6.4785031211763369E-5</v>
      </c>
      <c r="Q119" s="18">
        <f t="shared" si="53"/>
        <v>3.6826257101487047E-3</v>
      </c>
      <c r="R119" s="18">
        <f t="shared" si="55"/>
        <v>5.176309829330831E-3</v>
      </c>
      <c r="S119" s="18">
        <f t="shared" si="57"/>
        <v>1.1677241664578228E-3</v>
      </c>
      <c r="T119" s="18">
        <f t="shared" si="59"/>
        <v>2.3572443343037736E-2</v>
      </c>
      <c r="U119" s="18">
        <f t="shared" si="61"/>
        <v>1.2336419710733026E-4</v>
      </c>
      <c r="V119" s="18">
        <f t="shared" si="62"/>
        <v>8.9619391824766314E-3</v>
      </c>
      <c r="W119" s="18">
        <f t="shared" si="63"/>
        <v>2.8954646869062517E-2</v>
      </c>
      <c r="X119" s="18">
        <f t="shared" si="64"/>
        <v>2.306816686245149E-3</v>
      </c>
      <c r="Y119" s="18">
        <f t="shared" si="65"/>
        <v>2.3004463000304278E-4</v>
      </c>
      <c r="AA119" s="18">
        <f t="shared" si="47"/>
        <v>3.485393426678085E-3</v>
      </c>
      <c r="AB119" s="18">
        <f t="shared" si="48"/>
        <v>1.2147967338730804E-5</v>
      </c>
      <c r="AC119" s="18">
        <f t="shared" si="50"/>
        <v>3.8235922888543226E-3</v>
      </c>
      <c r="AD119" s="18">
        <f t="shared" si="52"/>
        <v>2.2565597864483696E-2</v>
      </c>
      <c r="AE119" s="18">
        <f t="shared" si="54"/>
        <v>1.4869729739768257E-3</v>
      </c>
      <c r="AF119" s="18">
        <f t="shared" si="56"/>
        <v>6.0072744425399309E-4</v>
      </c>
      <c r="AG119" s="18">
        <f t="shared" si="58"/>
        <v>7.9438581240207657E-3</v>
      </c>
      <c r="AH119" s="18">
        <f t="shared" si="60"/>
        <v>1.2403013131109364E-2</v>
      </c>
      <c r="AJ119" s="18">
        <f>IF(ISNUMBER(Kernel!M119),Kernel!M119,"")</f>
        <v>6.315719562848772E-3</v>
      </c>
      <c r="AK119" s="18">
        <f t="shared" si="44"/>
        <v>3.9888313596550686E-5</v>
      </c>
      <c r="AN119" s="18">
        <f>IF(ISNUMBER(Volcanic!G119),Volcanic!G119,"")</f>
        <v>4.6499999999999996E-3</v>
      </c>
    </row>
    <row r="120" spans="1:40">
      <c r="A120" s="18" t="str">
        <f>IF(Volcanic!A120="","",Volcanic!A120)</f>
        <v>1/1968</v>
      </c>
      <c r="B120" s="18">
        <f>IF(ISNUMBER(Volcanic!L120),Volcanic!L120,"")</f>
        <v>1968.0416666666667</v>
      </c>
      <c r="C120" s="18">
        <f>IF(ISNUMBER(Volcanic!J120),Volcanic!J120,"")</f>
        <v>-0.20825396206343333</v>
      </c>
      <c r="D120" s="18">
        <f t="shared" si="37"/>
        <v>4.3369712715117928E-2</v>
      </c>
      <c r="E120" s="18">
        <f>IF(ISNUMBER(Volcanic!C120),Volcanic!C120,"")</f>
        <v>0.20418544249569365</v>
      </c>
      <c r="F120" s="18">
        <f>IF(ISNUMBER(Volcanic!D120),Volcanic!D120,"")</f>
        <v>-0.4</v>
      </c>
      <c r="G120" s="18">
        <f>IF(ISNUMBER(Volcanic!E120),Volcanic!E120,"")</f>
        <v>5.11E-3</v>
      </c>
      <c r="H120" s="18">
        <f t="shared" si="38"/>
        <v>4.1691694927162216E-2</v>
      </c>
      <c r="I120" s="18">
        <f t="shared" si="39"/>
        <v>0.16000000000000003</v>
      </c>
      <c r="J120" s="18">
        <f t="shared" si="40"/>
        <v>2.61121E-5</v>
      </c>
      <c r="K120" s="18">
        <f t="shared" si="41"/>
        <v>-8.1674176998277462E-2</v>
      </c>
      <c r="L120" s="18">
        <f t="shared" si="42"/>
        <v>1.0433876111529945E-3</v>
      </c>
      <c r="M120" s="18">
        <f t="shared" si="43"/>
        <v>-2.0440000000000002E-3</v>
      </c>
      <c r="N120" s="18">
        <f t="shared" si="46"/>
        <v>8.7387765794687031E-5</v>
      </c>
      <c r="O120" s="18">
        <f t="shared" si="49"/>
        <v>1.3595907074863989E-4</v>
      </c>
      <c r="P120" s="18">
        <f t="shared" si="51"/>
        <v>2.1366103893967689E-2</v>
      </c>
      <c r="Q120" s="18">
        <f t="shared" si="53"/>
        <v>6.4785031211763369E-5</v>
      </c>
      <c r="R120" s="18">
        <f t="shared" si="55"/>
        <v>3.6826257101487047E-3</v>
      </c>
      <c r="S120" s="18">
        <f t="shared" si="57"/>
        <v>5.176309829330831E-3</v>
      </c>
      <c r="T120" s="18">
        <f t="shared" si="59"/>
        <v>1.1677241664578228E-3</v>
      </c>
      <c r="U120" s="18">
        <f t="shared" si="61"/>
        <v>2.3572443343037736E-2</v>
      </c>
      <c r="V120" s="18">
        <f t="shared" si="62"/>
        <v>1.2336419710733026E-4</v>
      </c>
      <c r="W120" s="18">
        <f t="shared" si="63"/>
        <v>8.9619391824766314E-3</v>
      </c>
      <c r="X120" s="18">
        <f t="shared" si="64"/>
        <v>2.8954646869062517E-2</v>
      </c>
      <c r="Y120" s="18">
        <f t="shared" si="65"/>
        <v>2.306816686245149E-3</v>
      </c>
      <c r="AA120" s="18">
        <f t="shared" si="47"/>
        <v>-0.21295422898273661</v>
      </c>
      <c r="AB120" s="18">
        <f t="shared" si="48"/>
        <v>4.5349503641631816E-2</v>
      </c>
      <c r="AC120" s="18">
        <f t="shared" si="50"/>
        <v>1.2147967338730804E-5</v>
      </c>
      <c r="AD120" s="18">
        <f t="shared" si="52"/>
        <v>3.8235922888543226E-3</v>
      </c>
      <c r="AE120" s="18">
        <f t="shared" si="54"/>
        <v>2.2565597864483696E-2</v>
      </c>
      <c r="AF120" s="18">
        <f t="shared" si="56"/>
        <v>1.4869729739768257E-3</v>
      </c>
      <c r="AG120" s="18">
        <f t="shared" si="58"/>
        <v>6.0072744425399309E-4</v>
      </c>
      <c r="AH120" s="18">
        <f t="shared" si="60"/>
        <v>7.9438581240207657E-3</v>
      </c>
      <c r="AJ120" s="18">
        <f>IF(ISNUMBER(Kernel!M120),Kernel!M120,"")</f>
        <v>-0.20394812635456136</v>
      </c>
      <c r="AK120" s="18">
        <f t="shared" si="44"/>
        <v>4.1594838243536124E-2</v>
      </c>
      <c r="AN120" s="18">
        <f>IF(ISNUMBER(Volcanic!G120),Volcanic!G120,"")</f>
        <v>4.4999999999999997E-3</v>
      </c>
    </row>
    <row r="121" spans="1:40">
      <c r="A121" s="18" t="str">
        <f>IF(Volcanic!A121="","",Volcanic!A121)</f>
        <v>2/1968</v>
      </c>
      <c r="B121" s="18">
        <f>IF(ISNUMBER(Volcanic!L121),Volcanic!L121,"")</f>
        <v>1968.125</v>
      </c>
      <c r="C121" s="18">
        <f>IF(ISNUMBER(Volcanic!J121),Volcanic!J121,"")</f>
        <v>-9.9144509817909371E-2</v>
      </c>
      <c r="D121" s="18">
        <f t="shared" si="37"/>
        <v>9.8296338270335275E-3</v>
      </c>
      <c r="E121" s="18">
        <f>IF(ISNUMBER(Volcanic!C121),Volcanic!C121,"")</f>
        <v>0.20677716444561006</v>
      </c>
      <c r="F121" s="18">
        <f>IF(ISNUMBER(Volcanic!D121),Volcanic!D121,"")</f>
        <v>-0.36</v>
      </c>
      <c r="G121" s="18">
        <f>IF(ISNUMBER(Volcanic!E121),Volcanic!E121,"")</f>
        <v>5.0600000000000003E-3</v>
      </c>
      <c r="H121" s="18">
        <f t="shared" si="38"/>
        <v>4.2756795736166864E-2</v>
      </c>
      <c r="I121" s="18">
        <f t="shared" si="39"/>
        <v>0.12959999999999999</v>
      </c>
      <c r="J121" s="18">
        <f t="shared" si="40"/>
        <v>2.5603600000000003E-5</v>
      </c>
      <c r="K121" s="18">
        <f t="shared" si="41"/>
        <v>-7.4439779200419623E-2</v>
      </c>
      <c r="L121" s="18">
        <f t="shared" si="42"/>
        <v>1.0462924520947871E-3</v>
      </c>
      <c r="M121" s="18">
        <f t="shared" si="43"/>
        <v>-1.8216E-3</v>
      </c>
      <c r="N121" s="18">
        <f t="shared" si="46"/>
        <v>4.3369712715117928E-2</v>
      </c>
      <c r="O121" s="18">
        <f t="shared" si="49"/>
        <v>8.7387765794687031E-5</v>
      </c>
      <c r="P121" s="18">
        <f t="shared" si="51"/>
        <v>1.3595907074863989E-4</v>
      </c>
      <c r="Q121" s="18">
        <f t="shared" si="53"/>
        <v>2.1366103893967689E-2</v>
      </c>
      <c r="R121" s="18">
        <f t="shared" si="55"/>
        <v>6.4785031211763369E-5</v>
      </c>
      <c r="S121" s="18">
        <f t="shared" si="57"/>
        <v>3.6826257101487047E-3</v>
      </c>
      <c r="T121" s="18">
        <f t="shared" si="59"/>
        <v>5.176309829330831E-3</v>
      </c>
      <c r="U121" s="18">
        <f t="shared" si="61"/>
        <v>1.1677241664578228E-3</v>
      </c>
      <c r="V121" s="18">
        <f t="shared" si="62"/>
        <v>2.3572443343037736E-2</v>
      </c>
      <c r="W121" s="18">
        <f t="shared" si="63"/>
        <v>1.2336419710733026E-4</v>
      </c>
      <c r="X121" s="18">
        <f t="shared" si="64"/>
        <v>8.9619391824766314E-3</v>
      </c>
      <c r="Y121" s="18">
        <f t="shared" si="65"/>
        <v>2.8954646869062517E-2</v>
      </c>
      <c r="AA121" s="18">
        <f t="shared" si="47"/>
        <v>5.566048688609479E-3</v>
      </c>
      <c r="AB121" s="18">
        <f t="shared" si="48"/>
        <v>3.0980898003971298E-5</v>
      </c>
      <c r="AC121" s="18">
        <f t="shared" si="50"/>
        <v>4.5349503641631816E-2</v>
      </c>
      <c r="AD121" s="18">
        <f t="shared" si="52"/>
        <v>1.2147967338730804E-5</v>
      </c>
      <c r="AE121" s="18">
        <f t="shared" si="54"/>
        <v>3.8235922888543226E-3</v>
      </c>
      <c r="AF121" s="18">
        <f t="shared" si="56"/>
        <v>2.2565597864483696E-2</v>
      </c>
      <c r="AG121" s="18">
        <f t="shared" si="58"/>
        <v>1.4869729739768257E-3</v>
      </c>
      <c r="AH121" s="18">
        <f t="shared" si="60"/>
        <v>6.0072744425399309E-4</v>
      </c>
      <c r="AJ121" s="18">
        <f>IF(ISNUMBER(Kernel!M121),Kernel!M121,"")</f>
        <v>-8.2660220233256101E-2</v>
      </c>
      <c r="AK121" s="18">
        <f t="shared" si="44"/>
        <v>6.8327120090104013E-3</v>
      </c>
      <c r="AN121" s="18">
        <f>IF(ISNUMBER(Volcanic!G121),Volcanic!G121,"")</f>
        <v>4.3099999999999996E-3</v>
      </c>
    </row>
    <row r="122" spans="1:40">
      <c r="A122" s="18" t="str">
        <f>IF(Volcanic!A122="","",Volcanic!A122)</f>
        <v>3/1968</v>
      </c>
      <c r="B122" s="18">
        <f>IF(ISNUMBER(Volcanic!L122),Volcanic!L122,"")</f>
        <v>1968.2083333333333</v>
      </c>
      <c r="C122" s="18">
        <f>IF(ISNUMBER(Volcanic!J122),Volcanic!J122,"")</f>
        <v>0.23740086095105251</v>
      </c>
      <c r="D122" s="18">
        <f t="shared" si="37"/>
        <v>5.6359168780300964E-2</v>
      </c>
      <c r="E122" s="18">
        <f>IF(ISNUMBER(Volcanic!C122),Volcanic!C122,"")</f>
        <v>0.21007709890320869</v>
      </c>
      <c r="F122" s="18">
        <f>IF(ISNUMBER(Volcanic!D122),Volcanic!D122,"")</f>
        <v>-0.42</v>
      </c>
      <c r="G122" s="18">
        <f>IF(ISNUMBER(Volcanic!E122),Volcanic!E122,"")</f>
        <v>5.0499999999999998E-3</v>
      </c>
      <c r="H122" s="18">
        <f t="shared" si="38"/>
        <v>4.4132387483588525E-2</v>
      </c>
      <c r="I122" s="18">
        <f t="shared" si="39"/>
        <v>0.17639999999999997</v>
      </c>
      <c r="J122" s="18">
        <f t="shared" si="40"/>
        <v>2.5502499999999999E-5</v>
      </c>
      <c r="K122" s="18">
        <f t="shared" si="41"/>
        <v>-8.8232381539347648E-2</v>
      </c>
      <c r="L122" s="18">
        <f t="shared" si="42"/>
        <v>1.0608893494612039E-3</v>
      </c>
      <c r="M122" s="18">
        <f t="shared" si="43"/>
        <v>-2.1209999999999996E-3</v>
      </c>
      <c r="N122" s="18">
        <f t="shared" si="46"/>
        <v>9.8296338270335275E-3</v>
      </c>
      <c r="O122" s="18">
        <f t="shared" si="49"/>
        <v>4.3369712715117928E-2</v>
      </c>
      <c r="P122" s="18">
        <f t="shared" si="51"/>
        <v>8.7387765794687031E-5</v>
      </c>
      <c r="Q122" s="18">
        <f t="shared" si="53"/>
        <v>1.3595907074863989E-4</v>
      </c>
      <c r="R122" s="18">
        <f t="shared" si="55"/>
        <v>2.1366103893967689E-2</v>
      </c>
      <c r="S122" s="18">
        <f t="shared" si="57"/>
        <v>6.4785031211763369E-5</v>
      </c>
      <c r="T122" s="18">
        <f t="shared" si="59"/>
        <v>3.6826257101487047E-3</v>
      </c>
      <c r="U122" s="18">
        <f t="shared" si="61"/>
        <v>5.176309829330831E-3</v>
      </c>
      <c r="V122" s="18">
        <f t="shared" si="62"/>
        <v>1.1677241664578228E-3</v>
      </c>
      <c r="W122" s="18">
        <f t="shared" si="63"/>
        <v>2.3572443343037736E-2</v>
      </c>
      <c r="X122" s="18">
        <f t="shared" si="64"/>
        <v>1.2336419710733026E-4</v>
      </c>
      <c r="Y122" s="18">
        <f t="shared" si="65"/>
        <v>8.9619391824766314E-3</v>
      </c>
      <c r="AA122" s="18">
        <f t="shared" si="47"/>
        <v>0.28725094251985445</v>
      </c>
      <c r="AB122" s="18">
        <f t="shared" si="48"/>
        <v>8.2513103978544722E-2</v>
      </c>
      <c r="AC122" s="18">
        <f t="shared" si="50"/>
        <v>3.0980898003971298E-5</v>
      </c>
      <c r="AD122" s="18">
        <f t="shared" si="52"/>
        <v>4.5349503641631816E-2</v>
      </c>
      <c r="AE122" s="18">
        <f t="shared" si="54"/>
        <v>1.2147967338730804E-5</v>
      </c>
      <c r="AF122" s="18">
        <f t="shared" si="56"/>
        <v>3.8235922888543226E-3</v>
      </c>
      <c r="AG122" s="18">
        <f t="shared" si="58"/>
        <v>2.2565597864483696E-2</v>
      </c>
      <c r="AH122" s="18">
        <f t="shared" si="60"/>
        <v>1.4869729739768257E-3</v>
      </c>
      <c r="AJ122" s="18">
        <f>IF(ISNUMBER(Kernel!M122),Kernel!M122,"")</f>
        <v>0.25317834906752928</v>
      </c>
      <c r="AK122" s="18">
        <f t="shared" si="44"/>
        <v>6.4099276436559702E-2</v>
      </c>
      <c r="AN122" s="18">
        <f>IF(ISNUMBER(Volcanic!G122),Volcanic!G122,"")</f>
        <v>4.1900000000000001E-3</v>
      </c>
    </row>
    <row r="123" spans="1:40">
      <c r="A123" s="18" t="str">
        <f>IF(Volcanic!A123="","",Volcanic!A123)</f>
        <v>4/1968</v>
      </c>
      <c r="B123" s="18">
        <f>IF(ISNUMBER(Volcanic!L123),Volcanic!L123,"")</f>
        <v>1968.2916666666667</v>
      </c>
      <c r="C123" s="18">
        <f>IF(ISNUMBER(Volcanic!J123),Volcanic!J123,"")</f>
        <v>-1.7810290312114604E-2</v>
      </c>
      <c r="D123" s="18">
        <f t="shared" si="37"/>
        <v>3.1720644100180332E-4</v>
      </c>
      <c r="E123" s="18">
        <f>IF(ISNUMBER(Volcanic!C123),Volcanic!C123,"")</f>
        <v>0.21510166947251774</v>
      </c>
      <c r="F123" s="18">
        <f>IF(ISNUMBER(Volcanic!D123),Volcanic!D123,"")</f>
        <v>-0.62</v>
      </c>
      <c r="G123" s="18">
        <f>IF(ISNUMBER(Volcanic!E123),Volcanic!E123,"")</f>
        <v>5.0200000000000002E-3</v>
      </c>
      <c r="H123" s="18">
        <f t="shared" si="38"/>
        <v>4.6268728209864274E-2</v>
      </c>
      <c r="I123" s="18">
        <f t="shared" si="39"/>
        <v>0.38440000000000002</v>
      </c>
      <c r="J123" s="18">
        <f t="shared" si="40"/>
        <v>2.52004E-5</v>
      </c>
      <c r="K123" s="18">
        <f t="shared" si="41"/>
        <v>-0.13336303507296099</v>
      </c>
      <c r="L123" s="18">
        <f t="shared" si="42"/>
        <v>1.0798103807520391E-3</v>
      </c>
      <c r="M123" s="18">
        <f t="shared" si="43"/>
        <v>-3.1124E-3</v>
      </c>
      <c r="N123" s="18">
        <f t="shared" si="46"/>
        <v>5.6359168780300964E-2</v>
      </c>
      <c r="O123" s="18">
        <f t="shared" si="49"/>
        <v>9.8296338270335275E-3</v>
      </c>
      <c r="P123" s="18">
        <f t="shared" si="51"/>
        <v>4.3369712715117928E-2</v>
      </c>
      <c r="Q123" s="18">
        <f t="shared" si="53"/>
        <v>8.7387765794687031E-5</v>
      </c>
      <c r="R123" s="18">
        <f t="shared" si="55"/>
        <v>1.3595907074863989E-4</v>
      </c>
      <c r="S123" s="18">
        <f t="shared" si="57"/>
        <v>2.1366103893967689E-2</v>
      </c>
      <c r="T123" s="18">
        <f t="shared" si="59"/>
        <v>6.4785031211763369E-5</v>
      </c>
      <c r="U123" s="18">
        <f t="shared" si="61"/>
        <v>3.6826257101487047E-3</v>
      </c>
      <c r="V123" s="18">
        <f t="shared" si="62"/>
        <v>5.176309829330831E-3</v>
      </c>
      <c r="W123" s="18">
        <f t="shared" si="63"/>
        <v>1.1677241664578228E-3</v>
      </c>
      <c r="X123" s="18">
        <f t="shared" si="64"/>
        <v>2.3572443343037736E-2</v>
      </c>
      <c r="Y123" s="18">
        <f t="shared" si="65"/>
        <v>1.2336419710733026E-4</v>
      </c>
      <c r="AA123" s="18">
        <f t="shared" si="47"/>
        <v>-0.13717597485328731</v>
      </c>
      <c r="AB123" s="18">
        <f t="shared" si="48"/>
        <v>1.8817248076949712E-2</v>
      </c>
      <c r="AC123" s="18">
        <f t="shared" si="50"/>
        <v>8.2513103978544722E-2</v>
      </c>
      <c r="AD123" s="18">
        <f t="shared" si="52"/>
        <v>3.0980898003971298E-5</v>
      </c>
      <c r="AE123" s="18">
        <f t="shared" si="54"/>
        <v>4.5349503641631816E-2</v>
      </c>
      <c r="AF123" s="18">
        <f t="shared" si="56"/>
        <v>1.2147967338730804E-5</v>
      </c>
      <c r="AG123" s="18">
        <f t="shared" si="58"/>
        <v>3.8235922888543226E-3</v>
      </c>
      <c r="AH123" s="18">
        <f t="shared" si="60"/>
        <v>2.2565597864483696E-2</v>
      </c>
      <c r="AJ123" s="18">
        <f>IF(ISNUMBER(Kernel!M123),Kernel!M123,"")</f>
        <v>-1.968930865604393E-2</v>
      </c>
      <c r="AK123" s="18">
        <f t="shared" si="44"/>
        <v>3.8766887535296641E-4</v>
      </c>
      <c r="AN123" s="18">
        <f>IF(ISNUMBER(Volcanic!G123),Volcanic!G123,"")</f>
        <v>4.1799999999999997E-3</v>
      </c>
    </row>
    <row r="124" spans="1:40">
      <c r="A124" s="18" t="str">
        <f>IF(Volcanic!A124="","",Volcanic!A124)</f>
        <v>5/1968</v>
      </c>
      <c r="B124" s="18">
        <f>IF(ISNUMBER(Volcanic!L124),Volcanic!L124,"")</f>
        <v>1968.375</v>
      </c>
      <c r="C124" s="18">
        <f>IF(ISNUMBER(Volcanic!J124),Volcanic!J124,"")</f>
        <v>-9.4299774836139855E-2</v>
      </c>
      <c r="D124" s="18">
        <f t="shared" si="37"/>
        <v>8.892447534146676E-3</v>
      </c>
      <c r="E124" s="18">
        <f>IF(ISNUMBER(Volcanic!C124),Volcanic!C124,"")</f>
        <v>0.21754093986252426</v>
      </c>
      <c r="F124" s="18">
        <f>IF(ISNUMBER(Volcanic!D124),Volcanic!D124,"")</f>
        <v>-0.73</v>
      </c>
      <c r="G124" s="18">
        <f>IF(ISNUMBER(Volcanic!E124),Volcanic!E124,"")</f>
        <v>5.0000000000000001E-3</v>
      </c>
      <c r="H124" s="18">
        <f t="shared" si="38"/>
        <v>4.7324060516270396E-2</v>
      </c>
      <c r="I124" s="18">
        <f t="shared" si="39"/>
        <v>0.53289999999999993</v>
      </c>
      <c r="J124" s="18">
        <f t="shared" si="40"/>
        <v>2.5000000000000001E-5</v>
      </c>
      <c r="K124" s="18">
        <f t="shared" si="41"/>
        <v>-0.15880488609964272</v>
      </c>
      <c r="L124" s="18">
        <f t="shared" si="42"/>
        <v>1.0877046993126214E-3</v>
      </c>
      <c r="M124" s="18">
        <f t="shared" si="43"/>
        <v>-3.65E-3</v>
      </c>
      <c r="N124" s="18">
        <f t="shared" si="46"/>
        <v>3.1720644100180332E-4</v>
      </c>
      <c r="O124" s="18">
        <f t="shared" si="49"/>
        <v>5.6359168780300964E-2</v>
      </c>
      <c r="P124" s="18">
        <f t="shared" si="51"/>
        <v>9.8296338270335275E-3</v>
      </c>
      <c r="Q124" s="18">
        <f t="shared" si="53"/>
        <v>4.3369712715117928E-2</v>
      </c>
      <c r="R124" s="18">
        <f t="shared" si="55"/>
        <v>8.7387765794687031E-5</v>
      </c>
      <c r="S124" s="18">
        <f t="shared" si="57"/>
        <v>1.3595907074863989E-4</v>
      </c>
      <c r="T124" s="18">
        <f t="shared" si="59"/>
        <v>2.1366103893967689E-2</v>
      </c>
      <c r="U124" s="18">
        <f t="shared" si="61"/>
        <v>6.4785031211763369E-5</v>
      </c>
      <c r="V124" s="18">
        <f t="shared" si="62"/>
        <v>3.6826257101487047E-3</v>
      </c>
      <c r="W124" s="18">
        <f t="shared" si="63"/>
        <v>5.176309829330831E-3</v>
      </c>
      <c r="X124" s="18">
        <f t="shared" si="64"/>
        <v>1.1677241664578228E-3</v>
      </c>
      <c r="Y124" s="18">
        <f t="shared" si="65"/>
        <v>2.3572443343037736E-2</v>
      </c>
      <c r="AA124" s="18">
        <f t="shared" si="47"/>
        <v>-8.5344720981381919E-2</v>
      </c>
      <c r="AB124" s="18">
        <f t="shared" si="48"/>
        <v>7.2837213993899308E-3</v>
      </c>
      <c r="AC124" s="18">
        <f t="shared" si="50"/>
        <v>1.8817248076949712E-2</v>
      </c>
      <c r="AD124" s="18">
        <f t="shared" si="52"/>
        <v>8.2513103978544722E-2</v>
      </c>
      <c r="AE124" s="18">
        <f t="shared" si="54"/>
        <v>3.0980898003971298E-5</v>
      </c>
      <c r="AF124" s="18">
        <f t="shared" si="56"/>
        <v>4.5349503641631816E-2</v>
      </c>
      <c r="AG124" s="18">
        <f t="shared" si="58"/>
        <v>1.2147967338730804E-5</v>
      </c>
      <c r="AH124" s="18">
        <f t="shared" si="60"/>
        <v>3.8235922888543226E-3</v>
      </c>
      <c r="AJ124" s="18">
        <f>IF(ISNUMBER(Kernel!M124),Kernel!M124,"")</f>
        <v>-0.11396070145741419</v>
      </c>
      <c r="AK124" s="18">
        <f t="shared" si="44"/>
        <v>1.2987041476665883E-2</v>
      </c>
      <c r="AN124" s="18">
        <f>IF(ISNUMBER(Volcanic!G124),Volcanic!G124,"")</f>
        <v>4.1900000000000001E-3</v>
      </c>
    </row>
    <row r="125" spans="1:40">
      <c r="A125" s="18" t="str">
        <f>IF(Volcanic!A125="","",Volcanic!A125)</f>
        <v>6/1968</v>
      </c>
      <c r="B125" s="18">
        <f>IF(ISNUMBER(Volcanic!L125),Volcanic!L125,"")</f>
        <v>1968.4583333333333</v>
      </c>
      <c r="C125" s="18">
        <f>IF(ISNUMBER(Volcanic!J125),Volcanic!J125,"")</f>
        <v>-5.1392450767931454E-2</v>
      </c>
      <c r="D125" s="18">
        <f t="shared" si="37"/>
        <v>2.6411839959342583E-3</v>
      </c>
      <c r="E125" s="18">
        <f>IF(ISNUMBER(Volcanic!C125),Volcanic!C125,"")</f>
        <v>0.21661006874244201</v>
      </c>
      <c r="F125" s="18">
        <f>IF(ISNUMBER(Volcanic!D125),Volcanic!D125,"")</f>
        <v>-0.63</v>
      </c>
      <c r="G125" s="18">
        <f>IF(ISNUMBER(Volcanic!E125),Volcanic!E125,"")</f>
        <v>4.8399999999999997E-3</v>
      </c>
      <c r="H125" s="18">
        <f t="shared" si="38"/>
        <v>4.6919921880605453E-2</v>
      </c>
      <c r="I125" s="18">
        <f t="shared" si="39"/>
        <v>0.39690000000000003</v>
      </c>
      <c r="J125" s="18">
        <f t="shared" si="40"/>
        <v>2.3425599999999998E-5</v>
      </c>
      <c r="K125" s="18">
        <f t="shared" si="41"/>
        <v>-0.13646434330773846</v>
      </c>
      <c r="L125" s="18">
        <f t="shared" si="42"/>
        <v>1.0483927327134192E-3</v>
      </c>
      <c r="M125" s="18">
        <f t="shared" si="43"/>
        <v>-3.0491999999999997E-3</v>
      </c>
      <c r="N125" s="18">
        <f t="shared" si="46"/>
        <v>8.892447534146676E-3</v>
      </c>
      <c r="O125" s="18">
        <f t="shared" si="49"/>
        <v>3.1720644100180332E-4</v>
      </c>
      <c r="P125" s="18">
        <f t="shared" si="51"/>
        <v>5.6359168780300964E-2</v>
      </c>
      <c r="Q125" s="18">
        <f t="shared" si="53"/>
        <v>9.8296338270335275E-3</v>
      </c>
      <c r="R125" s="18">
        <f t="shared" si="55"/>
        <v>4.3369712715117928E-2</v>
      </c>
      <c r="S125" s="18">
        <f t="shared" si="57"/>
        <v>8.7387765794687031E-5</v>
      </c>
      <c r="T125" s="18">
        <f t="shared" si="59"/>
        <v>1.3595907074863989E-4</v>
      </c>
      <c r="U125" s="18">
        <f t="shared" si="61"/>
        <v>2.1366103893967689E-2</v>
      </c>
      <c r="V125" s="18">
        <f t="shared" si="62"/>
        <v>6.4785031211763369E-5</v>
      </c>
      <c r="W125" s="18">
        <f t="shared" si="63"/>
        <v>3.6826257101487047E-3</v>
      </c>
      <c r="X125" s="18">
        <f t="shared" si="64"/>
        <v>5.176309829330831E-3</v>
      </c>
      <c r="Y125" s="18">
        <f t="shared" si="65"/>
        <v>1.1677241664578228E-3</v>
      </c>
      <c r="AA125" s="18">
        <f t="shared" si="47"/>
        <v>-3.9783127976606159E-3</v>
      </c>
      <c r="AB125" s="18">
        <f t="shared" si="48"/>
        <v>1.5826972716030235E-5</v>
      </c>
      <c r="AC125" s="18">
        <f t="shared" si="50"/>
        <v>7.2837213993899308E-3</v>
      </c>
      <c r="AD125" s="18">
        <f t="shared" si="52"/>
        <v>1.8817248076949712E-2</v>
      </c>
      <c r="AE125" s="18">
        <f t="shared" si="54"/>
        <v>8.2513103978544722E-2</v>
      </c>
      <c r="AF125" s="18">
        <f t="shared" si="56"/>
        <v>3.0980898003971298E-5</v>
      </c>
      <c r="AG125" s="18">
        <f t="shared" si="58"/>
        <v>4.5349503641631816E-2</v>
      </c>
      <c r="AH125" s="18">
        <f t="shared" si="60"/>
        <v>1.2147967338730804E-5</v>
      </c>
      <c r="AJ125" s="18">
        <f>IF(ISNUMBER(Kernel!M125),Kernel!M125,"")</f>
        <v>-7.3500715242022466E-2</v>
      </c>
      <c r="AK125" s="18">
        <f t="shared" si="44"/>
        <v>5.4023551410888734E-3</v>
      </c>
      <c r="AN125" s="18">
        <f>IF(ISNUMBER(Volcanic!G125),Volcanic!G125,"")</f>
        <v>5.4400000000000004E-3</v>
      </c>
    </row>
    <row r="126" spans="1:40">
      <c r="A126" s="18" t="str">
        <f>IF(Volcanic!A126="","",Volcanic!A126)</f>
        <v>7/1968</v>
      </c>
      <c r="B126" s="18">
        <f>IF(ISNUMBER(Volcanic!L126),Volcanic!L126,"")</f>
        <v>1968.5416666666667</v>
      </c>
      <c r="C126" s="18">
        <f>IF(ISNUMBER(Volcanic!J126),Volcanic!J126,"")</f>
        <v>-9.0947583512022395E-2</v>
      </c>
      <c r="D126" s="18">
        <f t="shared" si="37"/>
        <v>8.271462946676288E-3</v>
      </c>
      <c r="E126" s="18">
        <f>IF(ISNUMBER(Volcanic!C126),Volcanic!C126,"")</f>
        <v>0.21119023804218459</v>
      </c>
      <c r="F126" s="18">
        <f>IF(ISNUMBER(Volcanic!D126),Volcanic!D126,"")</f>
        <v>-0.48</v>
      </c>
      <c r="G126" s="18">
        <f>IF(ISNUMBER(Volcanic!E126),Volcanic!E126,"")</f>
        <v>4.6499999999999996E-3</v>
      </c>
      <c r="H126" s="18">
        <f t="shared" si="38"/>
        <v>4.460131664431459E-2</v>
      </c>
      <c r="I126" s="18">
        <f t="shared" si="39"/>
        <v>0.23039999999999999</v>
      </c>
      <c r="J126" s="18">
        <f t="shared" si="40"/>
        <v>2.1622499999999995E-5</v>
      </c>
      <c r="K126" s="18">
        <f t="shared" si="41"/>
        <v>-0.1013713142602486</v>
      </c>
      <c r="L126" s="18">
        <f t="shared" si="42"/>
        <v>9.8203460689615823E-4</v>
      </c>
      <c r="M126" s="18">
        <f t="shared" si="43"/>
        <v>-2.2319999999999996E-3</v>
      </c>
      <c r="N126" s="18">
        <f t="shared" si="46"/>
        <v>2.6411839959342583E-3</v>
      </c>
      <c r="O126" s="18">
        <f t="shared" si="49"/>
        <v>8.892447534146676E-3</v>
      </c>
      <c r="P126" s="18">
        <f t="shared" si="51"/>
        <v>3.1720644100180332E-4</v>
      </c>
      <c r="Q126" s="18">
        <f t="shared" si="53"/>
        <v>5.6359168780300964E-2</v>
      </c>
      <c r="R126" s="18">
        <f t="shared" si="55"/>
        <v>9.8296338270335275E-3</v>
      </c>
      <c r="S126" s="18">
        <f t="shared" si="57"/>
        <v>4.3369712715117928E-2</v>
      </c>
      <c r="T126" s="18">
        <f t="shared" si="59"/>
        <v>8.7387765794687031E-5</v>
      </c>
      <c r="U126" s="18">
        <f t="shared" si="61"/>
        <v>1.3595907074863989E-4</v>
      </c>
      <c r="V126" s="18">
        <f t="shared" si="62"/>
        <v>2.1366103893967689E-2</v>
      </c>
      <c r="W126" s="18">
        <f t="shared" si="63"/>
        <v>6.4785031211763369E-5</v>
      </c>
      <c r="X126" s="18">
        <f t="shared" si="64"/>
        <v>3.6826257101487047E-3</v>
      </c>
      <c r="Y126" s="18">
        <f t="shared" si="65"/>
        <v>5.176309829330831E-3</v>
      </c>
      <c r="AA126" s="18">
        <f t="shared" si="47"/>
        <v>-6.5107344173431836E-2</v>
      </c>
      <c r="AB126" s="18">
        <f t="shared" si="48"/>
        <v>4.2389662653177082E-3</v>
      </c>
      <c r="AC126" s="18">
        <f t="shared" si="50"/>
        <v>1.5826972716030235E-5</v>
      </c>
      <c r="AD126" s="18">
        <f t="shared" si="52"/>
        <v>7.2837213993899308E-3</v>
      </c>
      <c r="AE126" s="18">
        <f t="shared" si="54"/>
        <v>1.8817248076949712E-2</v>
      </c>
      <c r="AF126" s="18">
        <f t="shared" si="56"/>
        <v>8.2513103978544722E-2</v>
      </c>
      <c r="AG126" s="18">
        <f t="shared" si="58"/>
        <v>3.0980898003971298E-5</v>
      </c>
      <c r="AH126" s="18">
        <f t="shared" si="60"/>
        <v>4.5349503641631816E-2</v>
      </c>
      <c r="AJ126" s="18">
        <f>IF(ISNUMBER(Kernel!M126),Kernel!M126,"")</f>
        <v>-0.11352708663550634</v>
      </c>
      <c r="AK126" s="18">
        <f t="shared" si="44"/>
        <v>1.2888399399945762E-2</v>
      </c>
      <c r="AN126" s="18">
        <f>IF(ISNUMBER(Volcanic!G126),Volcanic!G126,"")</f>
        <v>1.0580000000000001E-2</v>
      </c>
    </row>
    <row r="127" spans="1:40">
      <c r="A127" s="18" t="str">
        <f>IF(Volcanic!A127="","",Volcanic!A127)</f>
        <v>8/1968</v>
      </c>
      <c r="B127" s="18">
        <f>IF(ISNUMBER(Volcanic!L127),Volcanic!L127,"")</f>
        <v>1968.625</v>
      </c>
      <c r="C127" s="18">
        <f>IF(ISNUMBER(Volcanic!J127),Volcanic!J127,"")</f>
        <v>-5.1819404407354941E-2</v>
      </c>
      <c r="D127" s="18">
        <f t="shared" si="37"/>
        <v>2.6852506731329965E-3</v>
      </c>
      <c r="E127" s="18">
        <f>IF(ISNUMBER(Volcanic!C127),Volcanic!C127,"")</f>
        <v>0.20212662313900553</v>
      </c>
      <c r="F127" s="18">
        <f>IF(ISNUMBER(Volcanic!D127),Volcanic!D127,"")</f>
        <v>-0.1</v>
      </c>
      <c r="G127" s="18">
        <f>IF(ISNUMBER(Volcanic!E127),Volcanic!E127,"")</f>
        <v>4.4999999999999997E-3</v>
      </c>
      <c r="H127" s="18">
        <f t="shared" si="38"/>
        <v>4.0855171781577569E-2</v>
      </c>
      <c r="I127" s="18">
        <f t="shared" si="39"/>
        <v>1.0000000000000002E-2</v>
      </c>
      <c r="J127" s="18">
        <f t="shared" si="40"/>
        <v>2.0249999999999998E-5</v>
      </c>
      <c r="K127" s="18">
        <f t="shared" si="41"/>
        <v>-2.0212662313900554E-2</v>
      </c>
      <c r="L127" s="18">
        <f t="shared" si="42"/>
        <v>9.0956980412552478E-4</v>
      </c>
      <c r="M127" s="18">
        <f t="shared" si="43"/>
        <v>-4.4999999999999999E-4</v>
      </c>
      <c r="N127" s="18">
        <f t="shared" si="46"/>
        <v>8.271462946676288E-3</v>
      </c>
      <c r="O127" s="18">
        <f t="shared" si="49"/>
        <v>2.6411839959342583E-3</v>
      </c>
      <c r="P127" s="18">
        <f t="shared" si="51"/>
        <v>8.892447534146676E-3</v>
      </c>
      <c r="Q127" s="18">
        <f t="shared" si="53"/>
        <v>3.1720644100180332E-4</v>
      </c>
      <c r="R127" s="18">
        <f t="shared" si="55"/>
        <v>5.6359168780300964E-2</v>
      </c>
      <c r="S127" s="18">
        <f t="shared" si="57"/>
        <v>9.8296338270335275E-3</v>
      </c>
      <c r="T127" s="18">
        <f t="shared" si="59"/>
        <v>4.3369712715117928E-2</v>
      </c>
      <c r="U127" s="18">
        <f t="shared" si="61"/>
        <v>8.7387765794687031E-5</v>
      </c>
      <c r="V127" s="18">
        <f t="shared" si="62"/>
        <v>1.3595907074863989E-4</v>
      </c>
      <c r="W127" s="18">
        <f t="shared" si="63"/>
        <v>2.1366103893967689E-2</v>
      </c>
      <c r="X127" s="18">
        <f t="shared" si="64"/>
        <v>6.4785031211763369E-5</v>
      </c>
      <c r="Y127" s="18">
        <f t="shared" si="65"/>
        <v>3.6826257101487047E-3</v>
      </c>
      <c r="AA127" s="18">
        <f t="shared" si="47"/>
        <v>-6.0907557420228978E-3</v>
      </c>
      <c r="AB127" s="18">
        <f t="shared" si="48"/>
        <v>3.7097305508984898E-5</v>
      </c>
      <c r="AC127" s="18">
        <f t="shared" si="50"/>
        <v>4.2389662653177082E-3</v>
      </c>
      <c r="AD127" s="18">
        <f t="shared" si="52"/>
        <v>1.5826972716030235E-5</v>
      </c>
      <c r="AE127" s="18">
        <f t="shared" si="54"/>
        <v>7.2837213993899308E-3</v>
      </c>
      <c r="AF127" s="18">
        <f t="shared" si="56"/>
        <v>1.8817248076949712E-2</v>
      </c>
      <c r="AG127" s="18">
        <f t="shared" si="58"/>
        <v>8.2513103978544722E-2</v>
      </c>
      <c r="AH127" s="18">
        <f t="shared" si="60"/>
        <v>3.0980898003971298E-5</v>
      </c>
      <c r="AJ127" s="18">
        <f>IF(ISNUMBER(Kernel!M127),Kernel!M127,"")</f>
        <v>-4.915694591211358E-2</v>
      </c>
      <c r="AK127" s="18">
        <f t="shared" si="44"/>
        <v>2.4164053314064599E-3</v>
      </c>
      <c r="AN127" s="18">
        <f>IF(ISNUMBER(Volcanic!G127),Volcanic!G127,"")</f>
        <v>1.392E-2</v>
      </c>
    </row>
    <row r="128" spans="1:40">
      <c r="A128" s="18" t="str">
        <f>IF(Volcanic!A128="","",Volcanic!A128)</f>
        <v>9/1968</v>
      </c>
      <c r="B128" s="18">
        <f>IF(ISNUMBER(Volcanic!L128),Volcanic!L128,"")</f>
        <v>1968.7083333333333</v>
      </c>
      <c r="C128" s="18">
        <f>IF(ISNUMBER(Volcanic!J128),Volcanic!J128,"")</f>
        <v>-0.16548763057371382</v>
      </c>
      <c r="D128" s="18">
        <f t="shared" si="37"/>
        <v>2.7386155872901982E-2</v>
      </c>
      <c r="E128" s="18">
        <f>IF(ISNUMBER(Volcanic!C128),Volcanic!C128,"")</f>
        <v>0.19413209059412975</v>
      </c>
      <c r="F128" s="18">
        <f>IF(ISNUMBER(Volcanic!D128),Volcanic!D128,"")</f>
        <v>0.17</v>
      </c>
      <c r="G128" s="18">
        <f>IF(ISNUMBER(Volcanic!E128),Volcanic!E128,"")</f>
        <v>4.3099999999999996E-3</v>
      </c>
      <c r="H128" s="18">
        <f t="shared" si="38"/>
        <v>3.7687268598447399E-2</v>
      </c>
      <c r="I128" s="18">
        <f t="shared" si="39"/>
        <v>2.8900000000000006E-2</v>
      </c>
      <c r="J128" s="18">
        <f t="shared" si="40"/>
        <v>1.8576099999999997E-5</v>
      </c>
      <c r="K128" s="18">
        <f t="shared" si="41"/>
        <v>3.3002455401002058E-2</v>
      </c>
      <c r="L128" s="18">
        <f t="shared" si="42"/>
        <v>8.3670931046069918E-4</v>
      </c>
      <c r="M128" s="18">
        <f t="shared" si="43"/>
        <v>7.3269999999999997E-4</v>
      </c>
      <c r="N128" s="18">
        <f t="shared" si="46"/>
        <v>2.6852506731329965E-3</v>
      </c>
      <c r="O128" s="18">
        <f t="shared" si="49"/>
        <v>8.271462946676288E-3</v>
      </c>
      <c r="P128" s="18">
        <f t="shared" si="51"/>
        <v>2.6411839959342583E-3</v>
      </c>
      <c r="Q128" s="18">
        <f t="shared" si="53"/>
        <v>8.892447534146676E-3</v>
      </c>
      <c r="R128" s="18">
        <f t="shared" si="55"/>
        <v>3.1720644100180332E-4</v>
      </c>
      <c r="S128" s="18">
        <f t="shared" si="57"/>
        <v>5.6359168780300964E-2</v>
      </c>
      <c r="T128" s="18">
        <f t="shared" si="59"/>
        <v>9.8296338270335275E-3</v>
      </c>
      <c r="U128" s="18">
        <f t="shared" si="61"/>
        <v>4.3369712715117928E-2</v>
      </c>
      <c r="V128" s="18">
        <f t="shared" si="62"/>
        <v>8.7387765794687031E-5</v>
      </c>
      <c r="W128" s="18">
        <f t="shared" si="63"/>
        <v>1.3595907074863989E-4</v>
      </c>
      <c r="X128" s="18">
        <f t="shared" si="64"/>
        <v>2.1366103893967689E-2</v>
      </c>
      <c r="Y128" s="18">
        <f t="shared" si="65"/>
        <v>6.4785031211763369E-5</v>
      </c>
      <c r="AA128" s="18">
        <f t="shared" si="47"/>
        <v>-0.13943271798906609</v>
      </c>
      <c r="AB128" s="18">
        <f t="shared" si="48"/>
        <v>1.9441482845818436E-2</v>
      </c>
      <c r="AC128" s="18">
        <f t="shared" si="50"/>
        <v>3.7097305508984898E-5</v>
      </c>
      <c r="AD128" s="18">
        <f t="shared" si="52"/>
        <v>4.2389662653177082E-3</v>
      </c>
      <c r="AE128" s="18">
        <f t="shared" si="54"/>
        <v>1.5826972716030235E-5</v>
      </c>
      <c r="AF128" s="18">
        <f t="shared" si="56"/>
        <v>7.2837213993899308E-3</v>
      </c>
      <c r="AG128" s="18">
        <f t="shared" si="58"/>
        <v>1.8817248076949712E-2</v>
      </c>
      <c r="AH128" s="18">
        <f t="shared" si="60"/>
        <v>8.2513103978544722E-2</v>
      </c>
      <c r="AJ128" s="18">
        <f>IF(ISNUMBER(Kernel!M128),Kernel!M128,"")</f>
        <v>-0.14452823013661048</v>
      </c>
      <c r="AK128" s="18">
        <f t="shared" si="44"/>
        <v>2.0888409306421041E-2</v>
      </c>
      <c r="AN128" s="18">
        <f>IF(ISNUMBER(Volcanic!G128),Volcanic!G128,"")</f>
        <v>1.6070000000000001E-2</v>
      </c>
    </row>
    <row r="129" spans="1:40">
      <c r="A129" s="18" t="str">
        <f>IF(Volcanic!A129="","",Volcanic!A129)</f>
        <v>10/1968</v>
      </c>
      <c r="B129" s="18">
        <f>IF(ISNUMBER(Volcanic!L129),Volcanic!L129,"")</f>
        <v>1968.7916666666667</v>
      </c>
      <c r="C129" s="18">
        <f>IF(ISNUMBER(Volcanic!J129),Volcanic!J129,"")</f>
        <v>9.0176493228826496E-2</v>
      </c>
      <c r="D129" s="18">
        <f t="shared" si="37"/>
        <v>8.131799931048591E-3</v>
      </c>
      <c r="E129" s="18">
        <f>IF(ISNUMBER(Volcanic!C129),Volcanic!C129,"")</f>
        <v>0.19377174339668018</v>
      </c>
      <c r="F129" s="18">
        <f>IF(ISNUMBER(Volcanic!D129),Volcanic!D129,"")</f>
        <v>0.44</v>
      </c>
      <c r="G129" s="18">
        <f>IF(ISNUMBER(Volcanic!E129),Volcanic!E129,"")</f>
        <v>4.1900000000000001E-3</v>
      </c>
      <c r="H129" s="18">
        <f t="shared" si="38"/>
        <v>3.7547488538988871E-2</v>
      </c>
      <c r="I129" s="18">
        <f t="shared" si="39"/>
        <v>0.19359999999999999</v>
      </c>
      <c r="J129" s="18">
        <f t="shared" si="40"/>
        <v>1.7556100000000003E-5</v>
      </c>
      <c r="K129" s="18">
        <f t="shared" si="41"/>
        <v>8.5259567094539288E-2</v>
      </c>
      <c r="L129" s="18">
        <f t="shared" si="42"/>
        <v>8.1190360483209001E-4</v>
      </c>
      <c r="M129" s="18">
        <f t="shared" si="43"/>
        <v>1.8436000000000001E-3</v>
      </c>
      <c r="N129" s="18">
        <f t="shared" si="46"/>
        <v>2.7386155872901982E-2</v>
      </c>
      <c r="O129" s="18">
        <f t="shared" si="49"/>
        <v>2.6852506731329965E-3</v>
      </c>
      <c r="P129" s="18">
        <f t="shared" si="51"/>
        <v>8.271462946676288E-3</v>
      </c>
      <c r="Q129" s="18">
        <f t="shared" si="53"/>
        <v>2.6411839959342583E-3</v>
      </c>
      <c r="R129" s="18">
        <f t="shared" si="55"/>
        <v>8.892447534146676E-3</v>
      </c>
      <c r="S129" s="18">
        <f t="shared" si="57"/>
        <v>3.1720644100180332E-4</v>
      </c>
      <c r="T129" s="18">
        <f t="shared" si="59"/>
        <v>5.6359168780300964E-2</v>
      </c>
      <c r="U129" s="18">
        <f t="shared" si="61"/>
        <v>9.8296338270335275E-3</v>
      </c>
      <c r="V129" s="18">
        <f t="shared" si="62"/>
        <v>4.3369712715117928E-2</v>
      </c>
      <c r="W129" s="18">
        <f t="shared" si="63"/>
        <v>8.7387765794687031E-5</v>
      </c>
      <c r="X129" s="18">
        <f t="shared" si="64"/>
        <v>1.3595907074863989E-4</v>
      </c>
      <c r="Y129" s="18">
        <f t="shared" si="65"/>
        <v>2.1366103893967689E-2</v>
      </c>
      <c r="AA129" s="18">
        <f t="shared" si="47"/>
        <v>0.17338404448787964</v>
      </c>
      <c r="AB129" s="18">
        <f t="shared" si="48"/>
        <v>3.0062026882975025E-2</v>
      </c>
      <c r="AC129" s="18">
        <f t="shared" si="50"/>
        <v>1.9441482845818436E-2</v>
      </c>
      <c r="AD129" s="18">
        <f t="shared" si="52"/>
        <v>3.7097305508984898E-5</v>
      </c>
      <c r="AE129" s="18">
        <f t="shared" si="54"/>
        <v>4.2389662653177082E-3</v>
      </c>
      <c r="AF129" s="18">
        <f t="shared" si="56"/>
        <v>1.5826972716030235E-5</v>
      </c>
      <c r="AG129" s="18">
        <f t="shared" si="58"/>
        <v>7.2837213993899308E-3</v>
      </c>
      <c r="AH129" s="18">
        <f t="shared" si="60"/>
        <v>1.8817248076949712E-2</v>
      </c>
      <c r="AJ129" s="18">
        <f>IF(ISNUMBER(Kernel!M129),Kernel!M129,"")</f>
        <v>0.12759304222671553</v>
      </c>
      <c r="AK129" s="18">
        <f t="shared" si="44"/>
        <v>1.6279984424668412E-2</v>
      </c>
      <c r="AN129" s="18">
        <f>IF(ISNUMBER(Volcanic!G129),Volcanic!G129,"")</f>
        <v>1.738E-2</v>
      </c>
    </row>
    <row r="130" spans="1:40">
      <c r="A130" s="18" t="str">
        <f>IF(Volcanic!A130="","",Volcanic!A130)</f>
        <v>11/1968</v>
      </c>
      <c r="B130" s="18">
        <f>IF(ISNUMBER(Volcanic!L130),Volcanic!L130,"")</f>
        <v>1968.875</v>
      </c>
      <c r="C130" s="18">
        <f>IF(ISNUMBER(Volcanic!J130),Volcanic!J130,"")</f>
        <v>-5.7402758346266486E-2</v>
      </c>
      <c r="D130" s="18">
        <f t="shared" ref="D130:D193" si="66">IF(ISNUMBER(C130),C130^2,"")</f>
        <v>3.2950766657598666E-3</v>
      </c>
      <c r="E130" s="18">
        <f>IF(ISNUMBER(Volcanic!C130),Volcanic!C130,"")</f>
        <v>0.19858395445706917</v>
      </c>
      <c r="F130" s="18">
        <f>IF(ISNUMBER(Volcanic!D130),Volcanic!D130,"")</f>
        <v>0.38</v>
      </c>
      <c r="G130" s="18">
        <f>IF(ISNUMBER(Volcanic!E130),Volcanic!E130,"")</f>
        <v>4.1799999999999997E-3</v>
      </c>
      <c r="H130" s="18">
        <f t="shared" ref="H130:H193" si="67">IF(ISNUMBER(E130),E130^2,"")</f>
        <v>3.9435586967807322E-2</v>
      </c>
      <c r="I130" s="18">
        <f t="shared" ref="I130:I193" si="68">IF(ISNUMBER(F130),F130^2,"")</f>
        <v>0.1444</v>
      </c>
      <c r="J130" s="18">
        <f t="shared" ref="J130:J193" si="69">IF(ISNUMBER(G130),G130^2,"")</f>
        <v>1.7472399999999999E-5</v>
      </c>
      <c r="K130" s="18">
        <f t="shared" ref="K130:K193" si="70">IF(AND(ISNUMBER(E130),ISNUMBER(F130)),E130*F130,"")</f>
        <v>7.5461902693686286E-2</v>
      </c>
      <c r="L130" s="18">
        <f t="shared" ref="L130:L193" si="71">IF(AND(ISNUMBER(E130),ISNUMBER(G130)),E130*G130,"")</f>
        <v>8.3008092963054905E-4</v>
      </c>
      <c r="M130" s="18">
        <f t="shared" ref="M130:M193" si="72">IF(AND(ISNUMBER(F130),ISNUMBER(G130)),F130*G130,"")</f>
        <v>1.5883999999999998E-3</v>
      </c>
      <c r="N130" s="18">
        <f t="shared" si="46"/>
        <v>8.131799931048591E-3</v>
      </c>
      <c r="O130" s="18">
        <f t="shared" si="49"/>
        <v>2.7386155872901982E-2</v>
      </c>
      <c r="P130" s="18">
        <f t="shared" si="51"/>
        <v>2.6852506731329965E-3</v>
      </c>
      <c r="Q130" s="18">
        <f t="shared" si="53"/>
        <v>8.271462946676288E-3</v>
      </c>
      <c r="R130" s="18">
        <f t="shared" si="55"/>
        <v>2.6411839959342583E-3</v>
      </c>
      <c r="S130" s="18">
        <f t="shared" si="57"/>
        <v>8.892447534146676E-3</v>
      </c>
      <c r="T130" s="18">
        <f t="shared" si="59"/>
        <v>3.1720644100180332E-4</v>
      </c>
      <c r="U130" s="18">
        <f t="shared" si="61"/>
        <v>5.6359168780300964E-2</v>
      </c>
      <c r="V130" s="18">
        <f t="shared" si="62"/>
        <v>9.8296338270335275E-3</v>
      </c>
      <c r="W130" s="18">
        <f t="shared" si="63"/>
        <v>4.3369712715117928E-2</v>
      </c>
      <c r="X130" s="18">
        <f t="shared" si="64"/>
        <v>8.7387765794687031E-5</v>
      </c>
      <c r="Y130" s="18">
        <f t="shared" si="65"/>
        <v>1.3595907074863989E-4</v>
      </c>
      <c r="AA130" s="18">
        <f t="shared" si="47"/>
        <v>-0.10274370109036474</v>
      </c>
      <c r="AB130" s="18">
        <f t="shared" si="48"/>
        <v>1.0556268113746216E-2</v>
      </c>
      <c r="AC130" s="18">
        <f t="shared" si="50"/>
        <v>3.0062026882975025E-2</v>
      </c>
      <c r="AD130" s="18">
        <f t="shared" si="52"/>
        <v>1.9441482845818436E-2</v>
      </c>
      <c r="AE130" s="18">
        <f t="shared" si="54"/>
        <v>3.7097305508984898E-5</v>
      </c>
      <c r="AF130" s="18">
        <f t="shared" si="56"/>
        <v>4.2389662653177082E-3</v>
      </c>
      <c r="AG130" s="18">
        <f t="shared" si="58"/>
        <v>1.5826972716030235E-5</v>
      </c>
      <c r="AH130" s="18">
        <f t="shared" si="60"/>
        <v>7.2837213993899308E-3</v>
      </c>
      <c r="AJ130" s="18">
        <f>IF(ISNUMBER(Kernel!M130),Kernel!M130,"")</f>
        <v>-3.6044382716273041E-2</v>
      </c>
      <c r="AK130" s="18">
        <f t="shared" ref="AK130:AK193" si="73">IF(ISNUMBER(AJ130),AJ130^2,"")</f>
        <v>1.2991975253971626E-3</v>
      </c>
      <c r="AN130" s="18">
        <f>IF(ISNUMBER(Volcanic!G130),Volcanic!G130,"")</f>
        <v>1.7930000000000001E-2</v>
      </c>
    </row>
    <row r="131" spans="1:40">
      <c r="A131" s="18" t="str">
        <f>IF(Volcanic!A131="","",Volcanic!A131)</f>
        <v>12/1968</v>
      </c>
      <c r="B131" s="18">
        <f>IF(ISNUMBER(Volcanic!L131),Volcanic!L131,"")</f>
        <v>1968.9583333333333</v>
      </c>
      <c r="C131" s="18">
        <f>IF(ISNUMBER(Volcanic!J131),Volcanic!J131,"")</f>
        <v>-0.16284815658329421</v>
      </c>
      <c r="D131" s="18">
        <f t="shared" si="66"/>
        <v>2.651952210257711E-2</v>
      </c>
      <c r="E131" s="18">
        <f>IF(ISNUMBER(Volcanic!C131),Volcanic!C131,"")</f>
        <v>0.20561593377604628</v>
      </c>
      <c r="F131" s="18">
        <f>IF(ISNUMBER(Volcanic!D131),Volcanic!D131,"")</f>
        <v>0.34</v>
      </c>
      <c r="G131" s="18">
        <f>IF(ISNUMBER(Volcanic!E131),Volcanic!E131,"")</f>
        <v>4.1900000000000001E-3</v>
      </c>
      <c r="H131" s="18">
        <f t="shared" si="67"/>
        <v>4.227791222259545E-2</v>
      </c>
      <c r="I131" s="18">
        <f t="shared" si="68"/>
        <v>0.11560000000000002</v>
      </c>
      <c r="J131" s="18">
        <f t="shared" si="69"/>
        <v>1.7556100000000003E-5</v>
      </c>
      <c r="K131" s="18">
        <f t="shared" si="70"/>
        <v>6.9909417483855735E-2</v>
      </c>
      <c r="L131" s="18">
        <f t="shared" si="71"/>
        <v>8.6153076252163394E-4</v>
      </c>
      <c r="M131" s="18">
        <f t="shared" si="72"/>
        <v>1.4246000000000003E-3</v>
      </c>
      <c r="N131" s="18">
        <f t="shared" ref="N131:N194" si="74">IF(ISNUMBER(D130),D130,"")</f>
        <v>3.2950766657598666E-3</v>
      </c>
      <c r="O131" s="18">
        <f t="shared" si="49"/>
        <v>8.131799931048591E-3</v>
      </c>
      <c r="P131" s="18">
        <f t="shared" si="51"/>
        <v>2.7386155872901982E-2</v>
      </c>
      <c r="Q131" s="18">
        <f t="shared" si="53"/>
        <v>2.6852506731329965E-3</v>
      </c>
      <c r="R131" s="18">
        <f t="shared" si="55"/>
        <v>8.271462946676288E-3</v>
      </c>
      <c r="S131" s="18">
        <f t="shared" si="57"/>
        <v>2.6411839959342583E-3</v>
      </c>
      <c r="T131" s="18">
        <f t="shared" si="59"/>
        <v>8.892447534146676E-3</v>
      </c>
      <c r="U131" s="18">
        <f t="shared" si="61"/>
        <v>3.1720644100180332E-4</v>
      </c>
      <c r="V131" s="18">
        <f t="shared" si="62"/>
        <v>5.6359168780300964E-2</v>
      </c>
      <c r="W131" s="18">
        <f t="shared" si="63"/>
        <v>9.8296338270335275E-3</v>
      </c>
      <c r="X131" s="18">
        <f t="shared" si="64"/>
        <v>4.3369712715117928E-2</v>
      </c>
      <c r="Y131" s="18">
        <f t="shared" si="65"/>
        <v>8.7387765794687031E-5</v>
      </c>
      <c r="AA131" s="18">
        <f t="shared" ref="AA131:AA194" si="75">IF(AND(ISNUMBER(C131),ISNUMBER(C130)),C131-$AX$16*C130,"")</f>
        <v>-0.13398592113434044</v>
      </c>
      <c r="AB131" s="18">
        <f t="shared" ref="AB131:AB194" si="76">IF(ISNUMBER(AA131),AA131^2,"")</f>
        <v>1.7952227062217694E-2</v>
      </c>
      <c r="AC131" s="18">
        <f t="shared" si="50"/>
        <v>1.0556268113746216E-2</v>
      </c>
      <c r="AD131" s="18">
        <f t="shared" si="52"/>
        <v>3.0062026882975025E-2</v>
      </c>
      <c r="AE131" s="18">
        <f t="shared" si="54"/>
        <v>1.9441482845818436E-2</v>
      </c>
      <c r="AF131" s="18">
        <f t="shared" si="56"/>
        <v>3.7097305508984898E-5</v>
      </c>
      <c r="AG131" s="18">
        <f t="shared" si="58"/>
        <v>4.2389662653177082E-3</v>
      </c>
      <c r="AH131" s="18">
        <f t="shared" si="60"/>
        <v>1.5826972716030235E-5</v>
      </c>
      <c r="AJ131" s="18">
        <f>IF(ISNUMBER(Kernel!M131),Kernel!M131,"")</f>
        <v>-0.1597037189521</v>
      </c>
      <c r="AK131" s="18">
        <f t="shared" si="73"/>
        <v>2.5505277847131348E-2</v>
      </c>
      <c r="AN131" s="18">
        <f>IF(ISNUMBER(Volcanic!G131),Volcanic!G131,"")</f>
        <v>1.7989999999999999E-2</v>
      </c>
    </row>
    <row r="132" spans="1:40">
      <c r="A132" s="18" t="str">
        <f>IF(Volcanic!A132="","",Volcanic!A132)</f>
        <v>1/1969</v>
      </c>
      <c r="B132" s="18">
        <f>IF(ISNUMBER(Volcanic!L132),Volcanic!L132,"")</f>
        <v>1969.0416666666667</v>
      </c>
      <c r="C132" s="18">
        <f>IF(ISNUMBER(Volcanic!J132),Volcanic!J132,"")</f>
        <v>-0.15844854656112442</v>
      </c>
      <c r="D132" s="18">
        <f t="shared" si="66"/>
        <v>2.5105941907332813E-2</v>
      </c>
      <c r="E132" s="18">
        <f>IF(ISNUMBER(Volcanic!C132),Volcanic!C132,"")</f>
        <v>0.21056698593965839</v>
      </c>
      <c r="F132" s="18">
        <f>IF(ISNUMBER(Volcanic!D132),Volcanic!D132,"")</f>
        <v>0.5</v>
      </c>
      <c r="G132" s="18">
        <f>IF(ISNUMBER(Volcanic!E132),Volcanic!E132,"")</f>
        <v>5.4400000000000004E-3</v>
      </c>
      <c r="H132" s="18">
        <f t="shared" si="67"/>
        <v>4.4338455567712293E-2</v>
      </c>
      <c r="I132" s="18">
        <f t="shared" si="68"/>
        <v>0.25</v>
      </c>
      <c r="J132" s="18">
        <f t="shared" si="69"/>
        <v>2.9593600000000004E-5</v>
      </c>
      <c r="K132" s="18">
        <f t="shared" si="70"/>
        <v>0.1052834929698292</v>
      </c>
      <c r="L132" s="18">
        <f t="shared" si="71"/>
        <v>1.1454844035117418E-3</v>
      </c>
      <c r="M132" s="18">
        <f t="shared" si="72"/>
        <v>2.7200000000000002E-3</v>
      </c>
      <c r="N132" s="18">
        <f t="shared" si="74"/>
        <v>2.651952210257711E-2</v>
      </c>
      <c r="O132" s="18">
        <f t="shared" ref="O132:O195" si="77">IF(ISNUMBER(D130),D130,"")</f>
        <v>3.2950766657598666E-3</v>
      </c>
      <c r="P132" s="18">
        <f t="shared" si="51"/>
        <v>8.131799931048591E-3</v>
      </c>
      <c r="Q132" s="18">
        <f t="shared" si="53"/>
        <v>2.7386155872901982E-2</v>
      </c>
      <c r="R132" s="18">
        <f t="shared" si="55"/>
        <v>2.6852506731329965E-3</v>
      </c>
      <c r="S132" s="18">
        <f t="shared" si="57"/>
        <v>8.271462946676288E-3</v>
      </c>
      <c r="T132" s="18">
        <f t="shared" si="59"/>
        <v>2.6411839959342583E-3</v>
      </c>
      <c r="U132" s="18">
        <f t="shared" si="61"/>
        <v>8.892447534146676E-3</v>
      </c>
      <c r="V132" s="18">
        <f t="shared" si="62"/>
        <v>3.1720644100180332E-4</v>
      </c>
      <c r="W132" s="18">
        <f t="shared" si="63"/>
        <v>5.6359168780300964E-2</v>
      </c>
      <c r="X132" s="18">
        <f t="shared" si="64"/>
        <v>9.8296338270335275E-3</v>
      </c>
      <c r="Y132" s="18">
        <f t="shared" si="65"/>
        <v>4.3369712715117928E-2</v>
      </c>
      <c r="AA132" s="18">
        <f t="shared" si="75"/>
        <v>-7.6568128735509056E-2</v>
      </c>
      <c r="AB132" s="18">
        <f t="shared" si="76"/>
        <v>5.8626783380574879E-3</v>
      </c>
      <c r="AC132" s="18">
        <f t="shared" ref="AC132:AC195" si="78">IF(ISNUMBER(AB131),AB131,"")</f>
        <v>1.7952227062217694E-2</v>
      </c>
      <c r="AD132" s="18">
        <f t="shared" si="52"/>
        <v>1.0556268113746216E-2</v>
      </c>
      <c r="AE132" s="18">
        <f t="shared" si="54"/>
        <v>3.0062026882975025E-2</v>
      </c>
      <c r="AF132" s="18">
        <f t="shared" si="56"/>
        <v>1.9441482845818436E-2</v>
      </c>
      <c r="AG132" s="18">
        <f t="shared" si="58"/>
        <v>3.7097305508984898E-5</v>
      </c>
      <c r="AH132" s="18">
        <f t="shared" si="60"/>
        <v>4.2389662653177082E-3</v>
      </c>
      <c r="AJ132" s="18">
        <f>IF(ISNUMBER(Kernel!M132),Kernel!M132,"")</f>
        <v>-0.15646668000083017</v>
      </c>
      <c r="AK132" s="18">
        <f t="shared" si="73"/>
        <v>2.4481821950482187E-2</v>
      </c>
      <c r="AN132" s="18">
        <f>IF(ISNUMBER(Volcanic!G132),Volcanic!G132,"")</f>
        <v>1.7749999999999998E-2</v>
      </c>
    </row>
    <row r="133" spans="1:40">
      <c r="A133" s="18" t="str">
        <f>IF(Volcanic!A133="","",Volcanic!A133)</f>
        <v>2/1969</v>
      </c>
      <c r="B133" s="18">
        <f>IF(ISNUMBER(Volcanic!L133),Volcanic!L133,"")</f>
        <v>1969.125</v>
      </c>
      <c r="C133" s="18">
        <f>IF(ISNUMBER(Volcanic!J133),Volcanic!J133,"")</f>
        <v>-0.23696206829978031</v>
      </c>
      <c r="D133" s="18">
        <f t="shared" si="66"/>
        <v>5.6151021812909749E-2</v>
      </c>
      <c r="E133" s="18">
        <f>IF(ISNUMBER(Volcanic!C133),Volcanic!C133,"")</f>
        <v>0.21239146441962328</v>
      </c>
      <c r="F133" s="18">
        <f>IF(ISNUMBER(Volcanic!D133),Volcanic!D133,"")</f>
        <v>0.66</v>
      </c>
      <c r="G133" s="18">
        <f>IF(ISNUMBER(Volcanic!E133),Volcanic!E133,"")</f>
        <v>1.0580000000000001E-2</v>
      </c>
      <c r="H133" s="18">
        <f t="shared" si="67"/>
        <v>4.5110134158312103E-2</v>
      </c>
      <c r="I133" s="18">
        <f t="shared" si="68"/>
        <v>0.43560000000000004</v>
      </c>
      <c r="J133" s="18">
        <f t="shared" si="69"/>
        <v>1.1193640000000002E-4</v>
      </c>
      <c r="K133" s="18">
        <f t="shared" si="70"/>
        <v>0.14017836651695137</v>
      </c>
      <c r="L133" s="18">
        <f t="shared" si="71"/>
        <v>2.2471016935596143E-3</v>
      </c>
      <c r="M133" s="18">
        <f t="shared" si="72"/>
        <v>6.9828000000000008E-3</v>
      </c>
      <c r="N133" s="18">
        <f t="shared" si="74"/>
        <v>2.5105941907332813E-2</v>
      </c>
      <c r="O133" s="18">
        <f t="shared" si="77"/>
        <v>2.651952210257711E-2</v>
      </c>
      <c r="P133" s="18">
        <f t="shared" ref="P133:P196" si="79">IF(ISNUMBER(D130),D130,"")</f>
        <v>3.2950766657598666E-3</v>
      </c>
      <c r="Q133" s="18">
        <f t="shared" si="53"/>
        <v>8.131799931048591E-3</v>
      </c>
      <c r="R133" s="18">
        <f t="shared" si="55"/>
        <v>2.7386155872901982E-2</v>
      </c>
      <c r="S133" s="18">
        <f t="shared" si="57"/>
        <v>2.6852506731329965E-3</v>
      </c>
      <c r="T133" s="18">
        <f t="shared" si="59"/>
        <v>8.271462946676288E-3</v>
      </c>
      <c r="U133" s="18">
        <f t="shared" si="61"/>
        <v>2.6411839959342583E-3</v>
      </c>
      <c r="V133" s="18">
        <f t="shared" si="62"/>
        <v>8.892447534146676E-3</v>
      </c>
      <c r="W133" s="18">
        <f t="shared" si="63"/>
        <v>3.1720644100180332E-4</v>
      </c>
      <c r="X133" s="18">
        <f t="shared" si="64"/>
        <v>5.6359168780300964E-2</v>
      </c>
      <c r="Y133" s="18">
        <f t="shared" si="65"/>
        <v>9.8296338270335275E-3</v>
      </c>
      <c r="AA133" s="18">
        <f t="shared" si="75"/>
        <v>-0.15729378424615992</v>
      </c>
      <c r="AB133" s="18">
        <f t="shared" si="76"/>
        <v>2.4741334562477506E-2</v>
      </c>
      <c r="AC133" s="18">
        <f t="shared" si="78"/>
        <v>5.8626783380574879E-3</v>
      </c>
      <c r="AD133" s="18">
        <f t="shared" ref="AD133:AD196" si="80">IF(ISNUMBER(AB131),AB131,"")</f>
        <v>1.7952227062217694E-2</v>
      </c>
      <c r="AE133" s="18">
        <f t="shared" si="54"/>
        <v>1.0556268113746216E-2</v>
      </c>
      <c r="AF133" s="18">
        <f t="shared" si="56"/>
        <v>3.0062026882975025E-2</v>
      </c>
      <c r="AG133" s="18">
        <f t="shared" si="58"/>
        <v>1.9441482845818436E-2</v>
      </c>
      <c r="AH133" s="18">
        <f t="shared" si="60"/>
        <v>3.7097305508984898E-5</v>
      </c>
      <c r="AJ133" s="18">
        <f>IF(ISNUMBER(Kernel!M133),Kernel!M133,"")</f>
        <v>-0.24271426324725612</v>
      </c>
      <c r="AK133" s="18">
        <f t="shared" si="73"/>
        <v>5.891021358365834E-2</v>
      </c>
      <c r="AN133" s="18">
        <f>IF(ISNUMBER(Volcanic!G133),Volcanic!G133,"")</f>
        <v>1.7219999999999999E-2</v>
      </c>
    </row>
    <row r="134" spans="1:40">
      <c r="A134" s="18" t="str">
        <f>IF(Volcanic!A134="","",Volcanic!A134)</f>
        <v>3/1969</v>
      </c>
      <c r="B134" s="18">
        <f>IF(ISNUMBER(Volcanic!L134),Volcanic!L134,"")</f>
        <v>1969.2083333333333</v>
      </c>
      <c r="C134" s="18">
        <f>IF(ISNUMBER(Volcanic!J134),Volcanic!J134,"")</f>
        <v>-7.9437452636423822E-2</v>
      </c>
      <c r="D134" s="18">
        <f t="shared" si="66"/>
        <v>6.3103088813640778E-3</v>
      </c>
      <c r="E134" s="18">
        <f>IF(ISNUMBER(Volcanic!C134),Volcanic!C134,"")</f>
        <v>0.21780679275778927</v>
      </c>
      <c r="F134" s="18">
        <f>IF(ISNUMBER(Volcanic!D134),Volcanic!D134,"")</f>
        <v>0.93</v>
      </c>
      <c r="G134" s="18">
        <f>IF(ISNUMBER(Volcanic!E134),Volcanic!E134,"")</f>
        <v>1.392E-2</v>
      </c>
      <c r="H134" s="18">
        <f t="shared" si="67"/>
        <v>4.7439798971434563E-2</v>
      </c>
      <c r="I134" s="18">
        <f t="shared" si="68"/>
        <v>0.86490000000000011</v>
      </c>
      <c r="J134" s="18">
        <f t="shared" si="69"/>
        <v>1.937664E-4</v>
      </c>
      <c r="K134" s="18">
        <f t="shared" si="70"/>
        <v>0.20256031726474405</v>
      </c>
      <c r="L134" s="18">
        <f t="shared" si="71"/>
        <v>3.0318705551884268E-3</v>
      </c>
      <c r="M134" s="18">
        <f t="shared" si="72"/>
        <v>1.2945600000000002E-2</v>
      </c>
      <c r="N134" s="18">
        <f t="shared" si="74"/>
        <v>5.6151021812909749E-2</v>
      </c>
      <c r="O134" s="18">
        <f t="shared" si="77"/>
        <v>2.5105941907332813E-2</v>
      </c>
      <c r="P134" s="18">
        <f t="shared" si="79"/>
        <v>2.651952210257711E-2</v>
      </c>
      <c r="Q134" s="18">
        <f t="shared" ref="Q134:Q197" si="81">IF(ISNUMBER(D130),D130,"")</f>
        <v>3.2950766657598666E-3</v>
      </c>
      <c r="R134" s="18">
        <f t="shared" si="55"/>
        <v>8.131799931048591E-3</v>
      </c>
      <c r="S134" s="18">
        <f t="shared" si="57"/>
        <v>2.7386155872901982E-2</v>
      </c>
      <c r="T134" s="18">
        <f t="shared" si="59"/>
        <v>2.6852506731329965E-3</v>
      </c>
      <c r="U134" s="18">
        <f t="shared" si="61"/>
        <v>8.271462946676288E-3</v>
      </c>
      <c r="V134" s="18">
        <f t="shared" si="62"/>
        <v>2.6411839959342583E-3</v>
      </c>
      <c r="W134" s="18">
        <f t="shared" si="63"/>
        <v>8.892447534146676E-3</v>
      </c>
      <c r="X134" s="18">
        <f t="shared" si="64"/>
        <v>3.1720644100180332E-4</v>
      </c>
      <c r="Y134" s="18">
        <f t="shared" si="65"/>
        <v>5.6359168780300964E-2</v>
      </c>
      <c r="AA134" s="18">
        <f t="shared" si="75"/>
        <v>3.9707605977020929E-2</v>
      </c>
      <c r="AB134" s="18">
        <f t="shared" si="76"/>
        <v>1.5766939724263483E-3</v>
      </c>
      <c r="AC134" s="18">
        <f t="shared" si="78"/>
        <v>2.4741334562477506E-2</v>
      </c>
      <c r="AD134" s="18">
        <f t="shared" si="80"/>
        <v>5.8626783380574879E-3</v>
      </c>
      <c r="AE134" s="18">
        <f t="shared" ref="AE134:AE197" si="82">IF(ISNUMBER(AB131),AB131,"")</f>
        <v>1.7952227062217694E-2</v>
      </c>
      <c r="AF134" s="18">
        <f t="shared" si="56"/>
        <v>1.0556268113746216E-2</v>
      </c>
      <c r="AG134" s="18">
        <f t="shared" si="58"/>
        <v>3.0062026882975025E-2</v>
      </c>
      <c r="AH134" s="18">
        <f t="shared" si="60"/>
        <v>1.9441482845818436E-2</v>
      </c>
      <c r="AJ134" s="18">
        <f>IF(ISNUMBER(Kernel!M134),Kernel!M134,"")</f>
        <v>-7.2428092152703641E-2</v>
      </c>
      <c r="AK134" s="18">
        <f t="shared" si="73"/>
        <v>5.2458285328805306E-3</v>
      </c>
      <c r="AN134" s="18">
        <f>IF(ISNUMBER(Volcanic!G134),Volcanic!G134,"")</f>
        <v>1.6590000000000001E-2</v>
      </c>
    </row>
    <row r="135" spans="1:40">
      <c r="A135" s="18" t="str">
        <f>IF(Volcanic!A135="","",Volcanic!A135)</f>
        <v>4/1969</v>
      </c>
      <c r="B135" s="18">
        <f>IF(ISNUMBER(Volcanic!L135),Volcanic!L135,"")</f>
        <v>1969.2916666666667</v>
      </c>
      <c r="C135" s="18">
        <f>IF(ISNUMBER(Volcanic!J135),Volcanic!J135,"")</f>
        <v>6.8226895619750691E-2</v>
      </c>
      <c r="D135" s="18">
        <f t="shared" si="66"/>
        <v>4.6549092859083556E-3</v>
      </c>
      <c r="E135" s="18">
        <f>IF(ISNUMBER(Volcanic!C135),Volcanic!C135,"")</f>
        <v>0.22236297828007129</v>
      </c>
      <c r="F135" s="18">
        <f>IF(ISNUMBER(Volcanic!D135),Volcanic!D135,"")</f>
        <v>0.98</v>
      </c>
      <c r="G135" s="18">
        <f>IF(ISNUMBER(Volcanic!E135),Volcanic!E135,"")</f>
        <v>1.6070000000000001E-2</v>
      </c>
      <c r="H135" s="18">
        <f t="shared" si="67"/>
        <v>4.9445294109583454E-2</v>
      </c>
      <c r="I135" s="18">
        <f t="shared" si="68"/>
        <v>0.96039999999999992</v>
      </c>
      <c r="J135" s="18">
        <f t="shared" si="69"/>
        <v>2.5824490000000001E-4</v>
      </c>
      <c r="K135" s="18">
        <f t="shared" si="70"/>
        <v>0.21791571871446985</v>
      </c>
      <c r="L135" s="18">
        <f t="shared" si="71"/>
        <v>3.5733730609607459E-3</v>
      </c>
      <c r="M135" s="18">
        <f t="shared" si="72"/>
        <v>1.5748600000000001E-2</v>
      </c>
      <c r="N135" s="18">
        <f t="shared" si="74"/>
        <v>6.3103088813640778E-3</v>
      </c>
      <c r="O135" s="18">
        <f t="shared" si="77"/>
        <v>5.6151021812909749E-2</v>
      </c>
      <c r="P135" s="18">
        <f t="shared" si="79"/>
        <v>2.5105941907332813E-2</v>
      </c>
      <c r="Q135" s="18">
        <f t="shared" si="81"/>
        <v>2.651952210257711E-2</v>
      </c>
      <c r="R135" s="18">
        <f t="shared" ref="R135:R198" si="83">IF(ISNUMBER(D130),D130,"")</f>
        <v>3.2950766657598666E-3</v>
      </c>
      <c r="S135" s="18">
        <f t="shared" si="57"/>
        <v>8.131799931048591E-3</v>
      </c>
      <c r="T135" s="18">
        <f t="shared" si="59"/>
        <v>2.7386155872901982E-2</v>
      </c>
      <c r="U135" s="18">
        <f t="shared" si="61"/>
        <v>2.6852506731329965E-3</v>
      </c>
      <c r="V135" s="18">
        <f t="shared" si="62"/>
        <v>8.271462946676288E-3</v>
      </c>
      <c r="W135" s="18">
        <f t="shared" si="63"/>
        <v>2.6411839959342583E-3</v>
      </c>
      <c r="X135" s="18">
        <f t="shared" si="64"/>
        <v>8.892447534146676E-3</v>
      </c>
      <c r="Y135" s="18">
        <f t="shared" si="65"/>
        <v>3.1720644100180332E-4</v>
      </c>
      <c r="AA135" s="18">
        <f t="shared" si="75"/>
        <v>0.10816822470409947</v>
      </c>
      <c r="AB135" s="18">
        <f t="shared" si="76"/>
        <v>1.1700364835636554E-2</v>
      </c>
      <c r="AC135" s="18">
        <f t="shared" si="78"/>
        <v>1.5766939724263483E-3</v>
      </c>
      <c r="AD135" s="18">
        <f t="shared" si="80"/>
        <v>2.4741334562477506E-2</v>
      </c>
      <c r="AE135" s="18">
        <f t="shared" si="82"/>
        <v>5.8626783380574879E-3</v>
      </c>
      <c r="AF135" s="18">
        <f t="shared" ref="AF135:AF198" si="84">IF(ISNUMBER(AB131),AB131,"")</f>
        <v>1.7952227062217694E-2</v>
      </c>
      <c r="AG135" s="18">
        <f t="shared" si="58"/>
        <v>1.0556268113746216E-2</v>
      </c>
      <c r="AH135" s="18">
        <f t="shared" si="60"/>
        <v>3.0062026882975025E-2</v>
      </c>
      <c r="AJ135" s="18">
        <f>IF(ISNUMBER(Kernel!M135),Kernel!M135,"")</f>
        <v>7.2619431118855854E-2</v>
      </c>
      <c r="AK135" s="18">
        <f t="shared" si="73"/>
        <v>5.2735817760262496E-3</v>
      </c>
      <c r="AN135" s="18">
        <f>IF(ISNUMBER(Volcanic!G135),Volcanic!G135,"")</f>
        <v>1.593E-2</v>
      </c>
    </row>
    <row r="136" spans="1:40">
      <c r="A136" s="18" t="str">
        <f>IF(Volcanic!A136="","",Volcanic!A136)</f>
        <v>5/1969</v>
      </c>
      <c r="B136" s="18">
        <f>IF(ISNUMBER(Volcanic!L136),Volcanic!L136,"")</f>
        <v>1969.375</v>
      </c>
      <c r="C136" s="18">
        <f>IF(ISNUMBER(Volcanic!J136),Volcanic!J136,"")</f>
        <v>7.2446007200211174E-2</v>
      </c>
      <c r="D136" s="18">
        <f t="shared" si="66"/>
        <v>5.2484239592530488E-3</v>
      </c>
      <c r="E136" s="18">
        <f>IF(ISNUMBER(Volcanic!C136),Volcanic!C136,"")</f>
        <v>0.22553936152588727</v>
      </c>
      <c r="F136" s="18">
        <f>IF(ISNUMBER(Volcanic!D136),Volcanic!D136,"")</f>
        <v>0.98</v>
      </c>
      <c r="G136" s="18">
        <f>IF(ISNUMBER(Volcanic!E136),Volcanic!E136,"")</f>
        <v>1.738E-2</v>
      </c>
      <c r="H136" s="18">
        <f t="shared" si="67"/>
        <v>5.0868003597504881E-2</v>
      </c>
      <c r="I136" s="18">
        <f t="shared" si="68"/>
        <v>0.96039999999999992</v>
      </c>
      <c r="J136" s="18">
        <f t="shared" si="69"/>
        <v>3.0206439999999997E-4</v>
      </c>
      <c r="K136" s="18">
        <f t="shared" si="70"/>
        <v>0.22102857429536951</v>
      </c>
      <c r="L136" s="18">
        <f t="shared" si="71"/>
        <v>3.9198741033199206E-3</v>
      </c>
      <c r="M136" s="18">
        <f t="shared" si="72"/>
        <v>1.70324E-2</v>
      </c>
      <c r="N136" s="18">
        <f t="shared" si="74"/>
        <v>4.6549092859083556E-3</v>
      </c>
      <c r="O136" s="18">
        <f t="shared" si="77"/>
        <v>6.3103088813640778E-3</v>
      </c>
      <c r="P136" s="18">
        <f t="shared" si="79"/>
        <v>5.6151021812909749E-2</v>
      </c>
      <c r="Q136" s="18">
        <f t="shared" si="81"/>
        <v>2.5105941907332813E-2</v>
      </c>
      <c r="R136" s="18">
        <f t="shared" si="83"/>
        <v>2.651952210257711E-2</v>
      </c>
      <c r="S136" s="18">
        <f t="shared" ref="S136:S199" si="85">IF(ISNUMBER(D130),D130,"")</f>
        <v>3.2950766657598666E-3</v>
      </c>
      <c r="T136" s="18">
        <f t="shared" si="59"/>
        <v>8.131799931048591E-3</v>
      </c>
      <c r="U136" s="18">
        <f t="shared" si="61"/>
        <v>2.7386155872901982E-2</v>
      </c>
      <c r="V136" s="18">
        <f t="shared" si="62"/>
        <v>2.6852506731329965E-3</v>
      </c>
      <c r="W136" s="18">
        <f t="shared" si="63"/>
        <v>8.271462946676288E-3</v>
      </c>
      <c r="X136" s="18">
        <f t="shared" si="64"/>
        <v>2.6411839959342583E-3</v>
      </c>
      <c r="Y136" s="18">
        <f t="shared" si="65"/>
        <v>8.892447534146676E-3</v>
      </c>
      <c r="AA136" s="18">
        <f t="shared" si="75"/>
        <v>3.8141371289687642E-2</v>
      </c>
      <c r="AB136" s="18">
        <f t="shared" si="76"/>
        <v>1.4547642038578088E-3</v>
      </c>
      <c r="AC136" s="18">
        <f t="shared" si="78"/>
        <v>1.1700364835636554E-2</v>
      </c>
      <c r="AD136" s="18">
        <f t="shared" si="80"/>
        <v>1.5766939724263483E-3</v>
      </c>
      <c r="AE136" s="18">
        <f t="shared" si="82"/>
        <v>2.4741334562477506E-2</v>
      </c>
      <c r="AF136" s="18">
        <f t="shared" si="84"/>
        <v>5.8626783380574879E-3</v>
      </c>
      <c r="AG136" s="18">
        <f t="shared" ref="AG136:AG199" si="86">IF(ISNUMBER(AB131),AB131,"")</f>
        <v>1.7952227062217694E-2</v>
      </c>
      <c r="AH136" s="18">
        <f t="shared" si="60"/>
        <v>1.0556268113746216E-2</v>
      </c>
      <c r="AJ136" s="18">
        <f>IF(ISNUMBER(Kernel!M136),Kernel!M136,"")</f>
        <v>7.320472367156175E-2</v>
      </c>
      <c r="AK136" s="18">
        <f t="shared" si="73"/>
        <v>5.3589315678297129E-3</v>
      </c>
      <c r="AN136" s="18">
        <f>IF(ISNUMBER(Volcanic!G136),Volcanic!G136,"")</f>
        <v>1.52E-2</v>
      </c>
    </row>
    <row r="137" spans="1:40">
      <c r="A137" s="18" t="str">
        <f>IF(Volcanic!A137="","",Volcanic!A137)</f>
        <v>6/1969</v>
      </c>
      <c r="B137" s="18">
        <f>IF(ISNUMBER(Volcanic!L137),Volcanic!L137,"")</f>
        <v>1969.4583333333333</v>
      </c>
      <c r="C137" s="18">
        <f>IF(ISNUMBER(Volcanic!J137),Volcanic!J137,"")</f>
        <v>-4.8795734137006885E-2</v>
      </c>
      <c r="D137" s="18">
        <f t="shared" si="66"/>
        <v>2.3810236699694592E-3</v>
      </c>
      <c r="E137" s="18">
        <f>IF(ISNUMBER(Volcanic!C137),Volcanic!C137,"")</f>
        <v>0.22258378655772451</v>
      </c>
      <c r="F137" s="18">
        <f>IF(ISNUMBER(Volcanic!D137),Volcanic!D137,"")</f>
        <v>0.77</v>
      </c>
      <c r="G137" s="18">
        <f>IF(ISNUMBER(Volcanic!E137),Volcanic!E137,"")</f>
        <v>1.7930000000000001E-2</v>
      </c>
      <c r="H137" s="18">
        <f t="shared" si="67"/>
        <v>4.9543542038374661E-2</v>
      </c>
      <c r="I137" s="18">
        <f t="shared" si="68"/>
        <v>0.59289999999999998</v>
      </c>
      <c r="J137" s="18">
        <f t="shared" si="69"/>
        <v>3.2148490000000006E-4</v>
      </c>
      <c r="K137" s="18">
        <f t="shared" si="70"/>
        <v>0.17138951564944788</v>
      </c>
      <c r="L137" s="18">
        <f t="shared" si="71"/>
        <v>3.9909272929800005E-3</v>
      </c>
      <c r="M137" s="18">
        <f t="shared" si="72"/>
        <v>1.3806100000000002E-2</v>
      </c>
      <c r="N137" s="18">
        <f t="shared" si="74"/>
        <v>5.2484239592530488E-3</v>
      </c>
      <c r="O137" s="18">
        <f t="shared" si="77"/>
        <v>4.6549092859083556E-3</v>
      </c>
      <c r="P137" s="18">
        <f t="shared" si="79"/>
        <v>6.3103088813640778E-3</v>
      </c>
      <c r="Q137" s="18">
        <f t="shared" si="81"/>
        <v>5.6151021812909749E-2</v>
      </c>
      <c r="R137" s="18">
        <f t="shared" si="83"/>
        <v>2.5105941907332813E-2</v>
      </c>
      <c r="S137" s="18">
        <f t="shared" si="85"/>
        <v>2.651952210257711E-2</v>
      </c>
      <c r="T137" s="18">
        <f t="shared" ref="T137:T200" si="87">IF(ISNUMBER(D130),D130,"")</f>
        <v>3.2950766657598666E-3</v>
      </c>
      <c r="U137" s="18">
        <f t="shared" si="61"/>
        <v>8.131799931048591E-3</v>
      </c>
      <c r="V137" s="18">
        <f t="shared" si="62"/>
        <v>2.7386155872901982E-2</v>
      </c>
      <c r="W137" s="18">
        <f t="shared" si="63"/>
        <v>2.6852506731329965E-3</v>
      </c>
      <c r="X137" s="18">
        <f t="shared" si="64"/>
        <v>8.271462946676288E-3</v>
      </c>
      <c r="Y137" s="18">
        <f t="shared" si="65"/>
        <v>2.6411839959342583E-3</v>
      </c>
      <c r="AA137" s="18">
        <f t="shared" si="75"/>
        <v>-8.5221748798810892E-2</v>
      </c>
      <c r="AB137" s="18">
        <f t="shared" si="76"/>
        <v>7.2627464683276254E-3</v>
      </c>
      <c r="AC137" s="18">
        <f t="shared" si="78"/>
        <v>1.4547642038578088E-3</v>
      </c>
      <c r="AD137" s="18">
        <f t="shared" si="80"/>
        <v>1.1700364835636554E-2</v>
      </c>
      <c r="AE137" s="18">
        <f t="shared" si="82"/>
        <v>1.5766939724263483E-3</v>
      </c>
      <c r="AF137" s="18">
        <f t="shared" si="84"/>
        <v>2.4741334562477506E-2</v>
      </c>
      <c r="AG137" s="18">
        <f t="shared" si="86"/>
        <v>5.8626783380574879E-3</v>
      </c>
      <c r="AH137" s="18">
        <f t="shared" ref="AH137:AH200" si="88">IF(ISNUMBER(AB131),AB131,"")</f>
        <v>1.7952227062217694E-2</v>
      </c>
      <c r="AJ137" s="18">
        <f>IF(ISNUMBER(Kernel!M137),Kernel!M137,"")</f>
        <v>-6.6609077074142237E-2</v>
      </c>
      <c r="AK137" s="18">
        <f t="shared" si="73"/>
        <v>4.4367691486690208E-3</v>
      </c>
      <c r="AN137" s="18">
        <f>IF(ISNUMBER(Volcanic!G137),Volcanic!G137,"")</f>
        <v>1.4449999999999999E-2</v>
      </c>
    </row>
    <row r="138" spans="1:40">
      <c r="A138" s="18" t="str">
        <f>IF(Volcanic!A138="","",Volcanic!A138)</f>
        <v>7/1969</v>
      </c>
      <c r="B138" s="18">
        <f>IF(ISNUMBER(Volcanic!L138),Volcanic!L138,"")</f>
        <v>1969.5416666666667</v>
      </c>
      <c r="C138" s="18">
        <f>IF(ISNUMBER(Volcanic!J138),Volcanic!J138,"")</f>
        <v>-0.10123100310496108</v>
      </c>
      <c r="D138" s="18">
        <f t="shared" si="66"/>
        <v>1.0247715989636639E-2</v>
      </c>
      <c r="E138" s="18">
        <f>IF(ISNUMBER(Volcanic!C138),Volcanic!C138,"")</f>
        <v>0.21891398613294744</v>
      </c>
      <c r="F138" s="18">
        <f>IF(ISNUMBER(Volcanic!D138),Volcanic!D138,"")</f>
        <v>0.69</v>
      </c>
      <c r="G138" s="18">
        <f>IF(ISNUMBER(Volcanic!E138),Volcanic!E138,"")</f>
        <v>1.7989999999999999E-2</v>
      </c>
      <c r="H138" s="18">
        <f t="shared" si="67"/>
        <v>4.7923333324616305E-2</v>
      </c>
      <c r="I138" s="18">
        <f t="shared" si="68"/>
        <v>0.47609999999999991</v>
      </c>
      <c r="J138" s="18">
        <f t="shared" si="69"/>
        <v>3.2364009999999996E-4</v>
      </c>
      <c r="K138" s="18">
        <f t="shared" si="70"/>
        <v>0.15105065043173371</v>
      </c>
      <c r="L138" s="18">
        <f t="shared" si="71"/>
        <v>3.9382626105317238E-3</v>
      </c>
      <c r="M138" s="18">
        <f t="shared" si="72"/>
        <v>1.2413099999999998E-2</v>
      </c>
      <c r="N138" s="18">
        <f t="shared" si="74"/>
        <v>2.3810236699694592E-3</v>
      </c>
      <c r="O138" s="18">
        <f t="shared" si="77"/>
        <v>5.2484239592530488E-3</v>
      </c>
      <c r="P138" s="18">
        <f t="shared" si="79"/>
        <v>4.6549092859083556E-3</v>
      </c>
      <c r="Q138" s="18">
        <f t="shared" si="81"/>
        <v>6.3103088813640778E-3</v>
      </c>
      <c r="R138" s="18">
        <f t="shared" si="83"/>
        <v>5.6151021812909749E-2</v>
      </c>
      <c r="S138" s="18">
        <f t="shared" si="85"/>
        <v>2.5105941907332813E-2</v>
      </c>
      <c r="T138" s="18">
        <f t="shared" si="87"/>
        <v>2.651952210257711E-2</v>
      </c>
      <c r="U138" s="18">
        <f t="shared" ref="U138:U201" si="89">IF(ISNUMBER(D130),D130,"")</f>
        <v>3.2950766657598666E-3</v>
      </c>
      <c r="V138" s="18">
        <f t="shared" si="62"/>
        <v>8.131799931048591E-3</v>
      </c>
      <c r="W138" s="18">
        <f t="shared" si="63"/>
        <v>2.7386155872901982E-2</v>
      </c>
      <c r="X138" s="18">
        <f t="shared" si="64"/>
        <v>2.6852506731329965E-3</v>
      </c>
      <c r="Y138" s="18">
        <f t="shared" si="65"/>
        <v>8.271462946676288E-3</v>
      </c>
      <c r="AA138" s="18">
        <f t="shared" si="75"/>
        <v>-7.6696398703699861E-2</v>
      </c>
      <c r="AB138" s="18">
        <f t="shared" si="76"/>
        <v>5.8823375741168934E-3</v>
      </c>
      <c r="AC138" s="18">
        <f t="shared" si="78"/>
        <v>7.2627464683276254E-3</v>
      </c>
      <c r="AD138" s="18">
        <f t="shared" si="80"/>
        <v>1.4547642038578088E-3</v>
      </c>
      <c r="AE138" s="18">
        <f t="shared" si="82"/>
        <v>1.1700364835636554E-2</v>
      </c>
      <c r="AF138" s="18">
        <f t="shared" si="84"/>
        <v>1.5766939724263483E-3</v>
      </c>
      <c r="AG138" s="18">
        <f t="shared" si="86"/>
        <v>2.4741334562477506E-2</v>
      </c>
      <c r="AH138" s="18">
        <f t="shared" si="88"/>
        <v>5.8626783380574879E-3</v>
      </c>
      <c r="AJ138" s="18">
        <f>IF(ISNUMBER(Kernel!M138),Kernel!M138,"")</f>
        <v>-0.12260585747394247</v>
      </c>
      <c r="AK138" s="18">
        <f t="shared" si="73"/>
        <v>1.5032196286920693E-2</v>
      </c>
      <c r="AN138" s="18">
        <f>IF(ISNUMBER(Volcanic!G138),Volcanic!G138,"")</f>
        <v>1.37E-2</v>
      </c>
    </row>
    <row r="139" spans="1:40">
      <c r="A139" s="18" t="str">
        <f>IF(Volcanic!A139="","",Volcanic!A139)</f>
        <v>8/1969</v>
      </c>
      <c r="B139" s="18">
        <f>IF(ISNUMBER(Volcanic!L139),Volcanic!L139,"")</f>
        <v>1969.625</v>
      </c>
      <c r="C139" s="18">
        <f>IF(ISNUMBER(Volcanic!J139),Volcanic!J139,"")</f>
        <v>1.1633712905180289E-2</v>
      </c>
      <c r="D139" s="18">
        <f t="shared" si="66"/>
        <v>1.3534327596015841E-4</v>
      </c>
      <c r="E139" s="18">
        <f>IF(ISNUMBER(Volcanic!C139),Volcanic!C139,"")</f>
        <v>0.20905225179222678</v>
      </c>
      <c r="F139" s="18">
        <f>IF(ISNUMBER(Volcanic!D139),Volcanic!D139,"")</f>
        <v>0.62</v>
      </c>
      <c r="G139" s="18">
        <f>IF(ISNUMBER(Volcanic!E139),Volcanic!E139,"")</f>
        <v>1.7749999999999998E-2</v>
      </c>
      <c r="H139" s="18">
        <f t="shared" si="67"/>
        <v>4.3702843979400587E-2</v>
      </c>
      <c r="I139" s="18">
        <f t="shared" si="68"/>
        <v>0.38440000000000002</v>
      </c>
      <c r="J139" s="18">
        <f t="shared" si="69"/>
        <v>3.1506249999999997E-4</v>
      </c>
      <c r="K139" s="18">
        <f t="shared" si="70"/>
        <v>0.12961239611118061</v>
      </c>
      <c r="L139" s="18">
        <f t="shared" si="71"/>
        <v>3.7106774693120249E-3</v>
      </c>
      <c r="M139" s="18">
        <f t="shared" si="72"/>
        <v>1.1004999999999999E-2</v>
      </c>
      <c r="N139" s="18">
        <f t="shared" si="74"/>
        <v>1.0247715989636639E-2</v>
      </c>
      <c r="O139" s="18">
        <f t="shared" si="77"/>
        <v>2.3810236699694592E-3</v>
      </c>
      <c r="P139" s="18">
        <f t="shared" si="79"/>
        <v>5.2484239592530488E-3</v>
      </c>
      <c r="Q139" s="18">
        <f t="shared" si="81"/>
        <v>4.6549092859083556E-3</v>
      </c>
      <c r="R139" s="18">
        <f t="shared" si="83"/>
        <v>6.3103088813640778E-3</v>
      </c>
      <c r="S139" s="18">
        <f t="shared" si="85"/>
        <v>5.6151021812909749E-2</v>
      </c>
      <c r="T139" s="18">
        <f t="shared" si="87"/>
        <v>2.5105941907332813E-2</v>
      </c>
      <c r="U139" s="18">
        <f t="shared" si="89"/>
        <v>2.651952210257711E-2</v>
      </c>
      <c r="V139" s="18">
        <f t="shared" ref="V139:V202" si="90">IF(ISNUMBER(D130),D130,"")</f>
        <v>3.2950766657598666E-3</v>
      </c>
      <c r="W139" s="18">
        <f t="shared" si="63"/>
        <v>8.131799931048591E-3</v>
      </c>
      <c r="X139" s="18">
        <f t="shared" si="64"/>
        <v>2.7386155872901982E-2</v>
      </c>
      <c r="Y139" s="18">
        <f t="shared" si="65"/>
        <v>2.6852506731329965E-3</v>
      </c>
      <c r="AA139" s="18">
        <f t="shared" si="75"/>
        <v>6.2532887971376211E-2</v>
      </c>
      <c r="AB139" s="18">
        <f t="shared" si="76"/>
        <v>3.9103620780406873E-3</v>
      </c>
      <c r="AC139" s="18">
        <f t="shared" si="78"/>
        <v>5.8823375741168934E-3</v>
      </c>
      <c r="AD139" s="18">
        <f t="shared" si="80"/>
        <v>7.2627464683276254E-3</v>
      </c>
      <c r="AE139" s="18">
        <f t="shared" si="82"/>
        <v>1.4547642038578088E-3</v>
      </c>
      <c r="AF139" s="18">
        <f t="shared" si="84"/>
        <v>1.1700364835636554E-2</v>
      </c>
      <c r="AG139" s="18">
        <f t="shared" si="86"/>
        <v>1.5766939724263483E-3</v>
      </c>
      <c r="AH139" s="18">
        <f t="shared" si="88"/>
        <v>2.4741334562477506E-2</v>
      </c>
      <c r="AJ139" s="18">
        <f>IF(ISNUMBER(Kernel!M139),Kernel!M139,"")</f>
        <v>-1.3514224657751296E-2</v>
      </c>
      <c r="AK139" s="18">
        <f t="shared" si="73"/>
        <v>1.8263426810017312E-4</v>
      </c>
      <c r="AN139" s="18">
        <f>IF(ISNUMBER(Volcanic!G139),Volcanic!G139,"")</f>
        <v>1.3010000000000001E-2</v>
      </c>
    </row>
    <row r="140" spans="1:40">
      <c r="A140" s="18" t="str">
        <f>IF(Volcanic!A140="","",Volcanic!A140)</f>
        <v>9/1969</v>
      </c>
      <c r="B140" s="18">
        <f>IF(ISNUMBER(Volcanic!L140),Volcanic!L140,"")</f>
        <v>1969.7083333333333</v>
      </c>
      <c r="C140" s="18">
        <f>IF(ISNUMBER(Volcanic!J140),Volcanic!J140,"")</f>
        <v>7.9051072347636309E-2</v>
      </c>
      <c r="D140" s="18">
        <f t="shared" si="66"/>
        <v>6.2490720393112301E-3</v>
      </c>
      <c r="E140" s="18">
        <f>IF(ISNUMBER(Volcanic!C140),Volcanic!C140,"")</f>
        <v>0.20333541670858227</v>
      </c>
      <c r="F140" s="18">
        <f>IF(ISNUMBER(Volcanic!D140),Volcanic!D140,"")</f>
        <v>0.48</v>
      </c>
      <c r="G140" s="18">
        <f>IF(ISNUMBER(Volcanic!E140),Volcanic!E140,"")</f>
        <v>1.7219999999999999E-2</v>
      </c>
      <c r="H140" s="18">
        <f t="shared" si="67"/>
        <v>4.1345291688052795E-2</v>
      </c>
      <c r="I140" s="18">
        <f t="shared" si="68"/>
        <v>0.23039999999999999</v>
      </c>
      <c r="J140" s="18">
        <f t="shared" si="69"/>
        <v>2.9652839999999998E-4</v>
      </c>
      <c r="K140" s="18">
        <f t="shared" si="70"/>
        <v>9.7601000020119483E-2</v>
      </c>
      <c r="L140" s="18">
        <f t="shared" si="71"/>
        <v>3.5014358757217865E-3</v>
      </c>
      <c r="M140" s="18">
        <f t="shared" si="72"/>
        <v>8.2655999999999997E-3</v>
      </c>
      <c r="N140" s="18">
        <f t="shared" si="74"/>
        <v>1.3534327596015841E-4</v>
      </c>
      <c r="O140" s="18">
        <f t="shared" si="77"/>
        <v>1.0247715989636639E-2</v>
      </c>
      <c r="P140" s="18">
        <f t="shared" si="79"/>
        <v>2.3810236699694592E-3</v>
      </c>
      <c r="Q140" s="18">
        <f t="shared" si="81"/>
        <v>5.2484239592530488E-3</v>
      </c>
      <c r="R140" s="18">
        <f t="shared" si="83"/>
        <v>4.6549092859083556E-3</v>
      </c>
      <c r="S140" s="18">
        <f t="shared" si="85"/>
        <v>6.3103088813640778E-3</v>
      </c>
      <c r="T140" s="18">
        <f t="shared" si="87"/>
        <v>5.6151021812909749E-2</v>
      </c>
      <c r="U140" s="18">
        <f t="shared" si="89"/>
        <v>2.5105941907332813E-2</v>
      </c>
      <c r="V140" s="18">
        <f t="shared" si="90"/>
        <v>2.651952210257711E-2</v>
      </c>
      <c r="W140" s="18">
        <f t="shared" ref="W140:W203" si="91">IF(ISNUMBER(D130),D130,"")</f>
        <v>3.2950766657598666E-3</v>
      </c>
      <c r="X140" s="18">
        <f t="shared" si="64"/>
        <v>8.131799931048591E-3</v>
      </c>
      <c r="Y140" s="18">
        <f t="shared" si="65"/>
        <v>2.7386155872901982E-2</v>
      </c>
      <c r="AA140" s="18">
        <f t="shared" si="75"/>
        <v>7.3201615445419616E-2</v>
      </c>
      <c r="AB140" s="18">
        <f t="shared" si="76"/>
        <v>5.3584765038190959E-3</v>
      </c>
      <c r="AC140" s="18">
        <f t="shared" si="78"/>
        <v>3.9103620780406873E-3</v>
      </c>
      <c r="AD140" s="18">
        <f t="shared" si="80"/>
        <v>5.8823375741168934E-3</v>
      </c>
      <c r="AE140" s="18">
        <f t="shared" si="82"/>
        <v>7.2627464683276254E-3</v>
      </c>
      <c r="AF140" s="18">
        <f t="shared" si="84"/>
        <v>1.4547642038578088E-3</v>
      </c>
      <c r="AG140" s="18">
        <f t="shared" si="86"/>
        <v>1.1700364835636554E-2</v>
      </c>
      <c r="AH140" s="18">
        <f t="shared" si="88"/>
        <v>1.5766939724263483E-3</v>
      </c>
      <c r="AJ140" s="18">
        <f>IF(ISNUMBER(Kernel!M140),Kernel!M140,"")</f>
        <v>3.947991553834191E-2</v>
      </c>
      <c r="AK140" s="18">
        <f t="shared" si="73"/>
        <v>1.558663730914611E-3</v>
      </c>
      <c r="AN140" s="18">
        <f>IF(ISNUMBER(Volcanic!G140),Volcanic!G140,"")</f>
        <v>1.23E-2</v>
      </c>
    </row>
    <row r="141" spans="1:40">
      <c r="A141" s="18" t="str">
        <f>IF(Volcanic!A141="","",Volcanic!A141)</f>
        <v>10/1969</v>
      </c>
      <c r="B141" s="18">
        <f>IF(ISNUMBER(Volcanic!L141),Volcanic!L141,"")</f>
        <v>1969.7916666666667</v>
      </c>
      <c r="C141" s="18">
        <f>IF(ISNUMBER(Volcanic!J141),Volcanic!J141,"")</f>
        <v>0.10520249016025582</v>
      </c>
      <c r="D141" s="18">
        <f t="shared" si="66"/>
        <v>1.1067563935918722E-2</v>
      </c>
      <c r="E141" s="18">
        <f>IF(ISNUMBER(Volcanic!C141),Volcanic!C141,"")</f>
        <v>0.20064783202506462</v>
      </c>
      <c r="F141" s="18">
        <f>IF(ISNUMBER(Volcanic!D141),Volcanic!D141,"")</f>
        <v>0.37</v>
      </c>
      <c r="G141" s="18">
        <f>IF(ISNUMBER(Volcanic!E141),Volcanic!E141,"")</f>
        <v>1.6590000000000001E-2</v>
      </c>
      <c r="H141" s="18">
        <f t="shared" si="67"/>
        <v>4.0259552496358549E-2</v>
      </c>
      <c r="I141" s="18">
        <f t="shared" si="68"/>
        <v>0.13689999999999999</v>
      </c>
      <c r="J141" s="18">
        <f t="shared" si="69"/>
        <v>2.7522810000000001E-4</v>
      </c>
      <c r="K141" s="18">
        <f t="shared" si="70"/>
        <v>7.4239697849273908E-2</v>
      </c>
      <c r="L141" s="18">
        <f t="shared" si="71"/>
        <v>3.328747533295822E-3</v>
      </c>
      <c r="M141" s="18">
        <f t="shared" si="72"/>
        <v>6.1383000000000002E-3</v>
      </c>
      <c r="N141" s="18">
        <f t="shared" si="74"/>
        <v>6.2490720393112301E-3</v>
      </c>
      <c r="O141" s="18">
        <f t="shared" si="77"/>
        <v>1.3534327596015841E-4</v>
      </c>
      <c r="P141" s="18">
        <f t="shared" si="79"/>
        <v>1.0247715989636639E-2</v>
      </c>
      <c r="Q141" s="18">
        <f t="shared" si="81"/>
        <v>2.3810236699694592E-3</v>
      </c>
      <c r="R141" s="18">
        <f t="shared" si="83"/>
        <v>5.2484239592530488E-3</v>
      </c>
      <c r="S141" s="18">
        <f t="shared" si="85"/>
        <v>4.6549092859083556E-3</v>
      </c>
      <c r="T141" s="18">
        <f t="shared" si="87"/>
        <v>6.3103088813640778E-3</v>
      </c>
      <c r="U141" s="18">
        <f t="shared" si="89"/>
        <v>5.6151021812909749E-2</v>
      </c>
      <c r="V141" s="18">
        <f t="shared" si="90"/>
        <v>2.5105941907332813E-2</v>
      </c>
      <c r="W141" s="18">
        <f t="shared" si="91"/>
        <v>2.651952210257711E-2</v>
      </c>
      <c r="X141" s="18">
        <f t="shared" ref="X141:X204" si="92">IF(ISNUMBER(D130),D130,"")</f>
        <v>3.2950766657598666E-3</v>
      </c>
      <c r="Y141" s="18">
        <f t="shared" si="65"/>
        <v>8.131799931048591E-3</v>
      </c>
      <c r="AA141" s="18">
        <f t="shared" si="75"/>
        <v>6.5455433950401154E-2</v>
      </c>
      <c r="AB141" s="18">
        <f t="shared" si="76"/>
        <v>4.2844138336353282E-3</v>
      </c>
      <c r="AC141" s="18">
        <f t="shared" si="78"/>
        <v>5.3584765038190959E-3</v>
      </c>
      <c r="AD141" s="18">
        <f t="shared" si="80"/>
        <v>3.9103620780406873E-3</v>
      </c>
      <c r="AE141" s="18">
        <f t="shared" si="82"/>
        <v>5.8823375741168934E-3</v>
      </c>
      <c r="AF141" s="18">
        <f t="shared" si="84"/>
        <v>7.2627464683276254E-3</v>
      </c>
      <c r="AG141" s="18">
        <f t="shared" si="86"/>
        <v>1.4547642038578088E-3</v>
      </c>
      <c r="AH141" s="18">
        <f t="shared" si="88"/>
        <v>1.1700364835636554E-2</v>
      </c>
      <c r="AJ141" s="18">
        <f>IF(ISNUMBER(Kernel!M141),Kernel!M141,"")</f>
        <v>5.2306473837399982E-2</v>
      </c>
      <c r="AK141" s="18">
        <f t="shared" si="73"/>
        <v>2.7359672053026089E-3</v>
      </c>
      <c r="AN141" s="18">
        <f>IF(ISNUMBER(Volcanic!G141),Volcanic!G141,"")</f>
        <v>1.163E-2</v>
      </c>
    </row>
    <row r="142" spans="1:40">
      <c r="A142" s="18" t="str">
        <f>IF(Volcanic!A142="","",Volcanic!A142)</f>
        <v>11/1969</v>
      </c>
      <c r="B142" s="18">
        <f>IF(ISNUMBER(Volcanic!L142),Volcanic!L142,"")</f>
        <v>1969.875</v>
      </c>
      <c r="C142" s="18">
        <f>IF(ISNUMBER(Volcanic!J142),Volcanic!J142,"")</f>
        <v>0.11697581112049678</v>
      </c>
      <c r="D142" s="18">
        <f t="shared" si="66"/>
        <v>1.3683340387298138E-2</v>
      </c>
      <c r="E142" s="18">
        <f>IF(ISNUMBER(Volcanic!C142),Volcanic!C142,"")</f>
        <v>0.2054371999150208</v>
      </c>
      <c r="F142" s="18">
        <f>IF(ISNUMBER(Volcanic!D142),Volcanic!D142,"")</f>
        <v>0.41</v>
      </c>
      <c r="G142" s="18">
        <f>IF(ISNUMBER(Volcanic!E142),Volcanic!E142,"")</f>
        <v>1.593E-2</v>
      </c>
      <c r="H142" s="18">
        <f t="shared" si="67"/>
        <v>4.2204443108924218E-2</v>
      </c>
      <c r="I142" s="18">
        <f t="shared" si="68"/>
        <v>0.16809999999999997</v>
      </c>
      <c r="J142" s="18">
        <f t="shared" si="69"/>
        <v>2.537649E-4</v>
      </c>
      <c r="K142" s="18">
        <f t="shared" si="70"/>
        <v>8.4229251965158528E-2</v>
      </c>
      <c r="L142" s="18">
        <f t="shared" si="71"/>
        <v>3.2726145946462811E-3</v>
      </c>
      <c r="M142" s="18">
        <f t="shared" si="72"/>
        <v>6.5312999999999994E-3</v>
      </c>
      <c r="N142" s="18">
        <f t="shared" si="74"/>
        <v>1.1067563935918722E-2</v>
      </c>
      <c r="O142" s="18">
        <f t="shared" si="77"/>
        <v>6.2490720393112301E-3</v>
      </c>
      <c r="P142" s="18">
        <f t="shared" si="79"/>
        <v>1.3534327596015841E-4</v>
      </c>
      <c r="Q142" s="18">
        <f t="shared" si="81"/>
        <v>1.0247715989636639E-2</v>
      </c>
      <c r="R142" s="18">
        <f t="shared" si="83"/>
        <v>2.3810236699694592E-3</v>
      </c>
      <c r="S142" s="18">
        <f t="shared" si="85"/>
        <v>5.2484239592530488E-3</v>
      </c>
      <c r="T142" s="18">
        <f t="shared" si="87"/>
        <v>4.6549092859083556E-3</v>
      </c>
      <c r="U142" s="18">
        <f t="shared" si="89"/>
        <v>6.3103088813640778E-3</v>
      </c>
      <c r="V142" s="18">
        <f t="shared" si="90"/>
        <v>5.6151021812909749E-2</v>
      </c>
      <c r="W142" s="18">
        <f t="shared" si="91"/>
        <v>2.5105941907332813E-2</v>
      </c>
      <c r="X142" s="18">
        <f t="shared" si="92"/>
        <v>2.651952210257711E-2</v>
      </c>
      <c r="Y142" s="18">
        <f t="shared" ref="Y142:Y205" si="93">IF(ISNUMBER(D130),D130,"")</f>
        <v>3.2950766657598666E-3</v>
      </c>
      <c r="AA142" s="18">
        <f t="shared" si="75"/>
        <v>6.4079763468824408E-2</v>
      </c>
      <c r="AB142" s="18">
        <f t="shared" si="76"/>
        <v>4.1062160862204832E-3</v>
      </c>
      <c r="AC142" s="18">
        <f t="shared" si="78"/>
        <v>4.2844138336353282E-3</v>
      </c>
      <c r="AD142" s="18">
        <f t="shared" si="80"/>
        <v>5.3584765038190959E-3</v>
      </c>
      <c r="AE142" s="18">
        <f t="shared" si="82"/>
        <v>3.9103620780406873E-3</v>
      </c>
      <c r="AF142" s="18">
        <f t="shared" si="84"/>
        <v>5.8823375741168934E-3</v>
      </c>
      <c r="AG142" s="18">
        <f t="shared" si="86"/>
        <v>7.2627464683276254E-3</v>
      </c>
      <c r="AH142" s="18">
        <f t="shared" si="88"/>
        <v>1.4547642038578088E-3</v>
      </c>
      <c r="AJ142" s="18">
        <f>IF(ISNUMBER(Kernel!M142),Kernel!M142,"")</f>
        <v>6.3196015734700059E-2</v>
      </c>
      <c r="AK142" s="18">
        <f t="shared" si="73"/>
        <v>3.9937364047404576E-3</v>
      </c>
      <c r="AN142" s="18">
        <f>IF(ISNUMBER(Volcanic!G142),Volcanic!G142,"")</f>
        <v>1.0840000000000001E-2</v>
      </c>
    </row>
    <row r="143" spans="1:40">
      <c r="A143" s="18" t="str">
        <f>IF(Volcanic!A143="","",Volcanic!A143)</f>
        <v>12/1969</v>
      </c>
      <c r="B143" s="18">
        <f>IF(ISNUMBER(Volcanic!L143),Volcanic!L143,"")</f>
        <v>1969.9583333333333</v>
      </c>
      <c r="C143" s="18">
        <f>IF(ISNUMBER(Volcanic!J143),Volcanic!J143,"")</f>
        <v>0.20148376267025087</v>
      </c>
      <c r="D143" s="18">
        <f t="shared" si="66"/>
        <v>4.0595706619761973E-2</v>
      </c>
      <c r="E143" s="18">
        <f>IF(ISNUMBER(Volcanic!C143),Volcanic!C143,"")</f>
        <v>0.21105670668466028</v>
      </c>
      <c r="F143" s="18">
        <f>IF(ISNUMBER(Volcanic!D143),Volcanic!D143,"")</f>
        <v>0.61</v>
      </c>
      <c r="G143" s="18">
        <f>IF(ISNUMBER(Volcanic!E143),Volcanic!E143,"")</f>
        <v>1.52E-2</v>
      </c>
      <c r="H143" s="18">
        <f t="shared" si="67"/>
        <v>4.4544933436574723E-2</v>
      </c>
      <c r="I143" s="18">
        <f t="shared" si="68"/>
        <v>0.37209999999999999</v>
      </c>
      <c r="J143" s="18">
        <f t="shared" si="69"/>
        <v>2.3104000000000001E-4</v>
      </c>
      <c r="K143" s="18">
        <f t="shared" si="70"/>
        <v>0.12874459107764277</v>
      </c>
      <c r="L143" s="18">
        <f t="shared" si="71"/>
        <v>3.2080619416068362E-3</v>
      </c>
      <c r="M143" s="18">
        <f t="shared" si="72"/>
        <v>9.271999999999999E-3</v>
      </c>
      <c r="N143" s="18">
        <f t="shared" si="74"/>
        <v>1.3683340387298138E-2</v>
      </c>
      <c r="O143" s="18">
        <f t="shared" si="77"/>
        <v>1.1067563935918722E-2</v>
      </c>
      <c r="P143" s="18">
        <f t="shared" si="79"/>
        <v>6.2490720393112301E-3</v>
      </c>
      <c r="Q143" s="18">
        <f t="shared" si="81"/>
        <v>1.3534327596015841E-4</v>
      </c>
      <c r="R143" s="18">
        <f t="shared" si="83"/>
        <v>1.0247715989636639E-2</v>
      </c>
      <c r="S143" s="18">
        <f t="shared" si="85"/>
        <v>2.3810236699694592E-3</v>
      </c>
      <c r="T143" s="18">
        <f t="shared" si="87"/>
        <v>5.2484239592530488E-3</v>
      </c>
      <c r="U143" s="18">
        <f t="shared" si="89"/>
        <v>4.6549092859083556E-3</v>
      </c>
      <c r="V143" s="18">
        <f t="shared" si="90"/>
        <v>6.3103088813640778E-3</v>
      </c>
      <c r="W143" s="18">
        <f t="shared" si="91"/>
        <v>5.6151021812909749E-2</v>
      </c>
      <c r="X143" s="18">
        <f t="shared" si="92"/>
        <v>2.5105941907332813E-2</v>
      </c>
      <c r="Y143" s="18">
        <f t="shared" si="93"/>
        <v>2.651952210257711E-2</v>
      </c>
      <c r="AA143" s="18">
        <f t="shared" si="75"/>
        <v>0.14266806287362754</v>
      </c>
      <c r="AB143" s="18">
        <f t="shared" si="76"/>
        <v>2.0354176164113343E-2</v>
      </c>
      <c r="AC143" s="18">
        <f t="shared" si="78"/>
        <v>4.1062160862204832E-3</v>
      </c>
      <c r="AD143" s="18">
        <f t="shared" si="80"/>
        <v>4.2844138336353282E-3</v>
      </c>
      <c r="AE143" s="18">
        <f t="shared" si="82"/>
        <v>5.3584765038190959E-3</v>
      </c>
      <c r="AF143" s="18">
        <f t="shared" si="84"/>
        <v>3.9103620780406873E-3</v>
      </c>
      <c r="AG143" s="18">
        <f t="shared" si="86"/>
        <v>5.8823375741168934E-3</v>
      </c>
      <c r="AH143" s="18">
        <f t="shared" si="88"/>
        <v>7.2627464683276254E-3</v>
      </c>
      <c r="AJ143" s="18">
        <f>IF(ISNUMBER(Kernel!M143),Kernel!M143,"")</f>
        <v>0.16470783705711758</v>
      </c>
      <c r="AK143" s="18">
        <f t="shared" si="73"/>
        <v>2.7128671588033997E-2</v>
      </c>
      <c r="AN143" s="18">
        <f>IF(ISNUMBER(Volcanic!G143),Volcanic!G143,"")</f>
        <v>1.0059999999999999E-2</v>
      </c>
    </row>
    <row r="144" spans="1:40">
      <c r="A144" s="18" t="str">
        <f>IF(Volcanic!A144="","",Volcanic!A144)</f>
        <v>1/1970</v>
      </c>
      <c r="B144" s="18">
        <f>IF(ISNUMBER(Volcanic!L144),Volcanic!L144,"")</f>
        <v>1970.0416666666667</v>
      </c>
      <c r="C144" s="18">
        <f>IF(ISNUMBER(Volcanic!J144),Volcanic!J144,"")</f>
        <v>1.9037431865428063E-2</v>
      </c>
      <c r="D144" s="18">
        <f t="shared" si="66"/>
        <v>3.6242381203081581E-4</v>
      </c>
      <c r="E144" s="18">
        <f>IF(ISNUMBER(Volcanic!C144),Volcanic!C144,"")</f>
        <v>0.21527921008816014</v>
      </c>
      <c r="F144" s="18">
        <f>IF(ISNUMBER(Volcanic!D144),Volcanic!D144,"")</f>
        <v>0.71</v>
      </c>
      <c r="G144" s="18">
        <f>IF(ISNUMBER(Volcanic!E144),Volcanic!E144,"")</f>
        <v>1.4449999999999999E-2</v>
      </c>
      <c r="H144" s="18">
        <f t="shared" si="67"/>
        <v>4.6345138296182191E-2</v>
      </c>
      <c r="I144" s="18">
        <f t="shared" si="68"/>
        <v>0.50409999999999999</v>
      </c>
      <c r="J144" s="18">
        <f t="shared" si="69"/>
        <v>2.0880249999999999E-4</v>
      </c>
      <c r="K144" s="18">
        <f t="shared" si="70"/>
        <v>0.15284823916259369</v>
      </c>
      <c r="L144" s="18">
        <f t="shared" si="71"/>
        <v>3.1107845857739139E-3</v>
      </c>
      <c r="M144" s="18">
        <f t="shared" si="72"/>
        <v>1.02595E-2</v>
      </c>
      <c r="N144" s="18">
        <f t="shared" si="74"/>
        <v>4.0595706619761973E-2</v>
      </c>
      <c r="O144" s="18">
        <f t="shared" si="77"/>
        <v>1.3683340387298138E-2</v>
      </c>
      <c r="P144" s="18">
        <f t="shared" si="79"/>
        <v>1.1067563935918722E-2</v>
      </c>
      <c r="Q144" s="18">
        <f t="shared" si="81"/>
        <v>6.2490720393112301E-3</v>
      </c>
      <c r="R144" s="18">
        <f t="shared" si="83"/>
        <v>1.3534327596015841E-4</v>
      </c>
      <c r="S144" s="18">
        <f t="shared" si="85"/>
        <v>1.0247715989636639E-2</v>
      </c>
      <c r="T144" s="18">
        <f t="shared" si="87"/>
        <v>2.3810236699694592E-3</v>
      </c>
      <c r="U144" s="18">
        <f t="shared" si="89"/>
        <v>5.2484239592530488E-3</v>
      </c>
      <c r="V144" s="18">
        <f t="shared" si="90"/>
        <v>4.6549092859083556E-3</v>
      </c>
      <c r="W144" s="18">
        <f t="shared" si="91"/>
        <v>6.3103088813640778E-3</v>
      </c>
      <c r="X144" s="18">
        <f t="shared" si="92"/>
        <v>5.6151021812909749E-2</v>
      </c>
      <c r="Y144" s="18">
        <f t="shared" si="93"/>
        <v>2.5105941907332813E-2</v>
      </c>
      <c r="AA144" s="18">
        <f t="shared" si="75"/>
        <v>-8.2269055224458154E-2</v>
      </c>
      <c r="AB144" s="18">
        <f t="shared" si="76"/>
        <v>6.7681974475249452E-3</v>
      </c>
      <c r="AC144" s="18">
        <f t="shared" si="78"/>
        <v>2.0354176164113343E-2</v>
      </c>
      <c r="AD144" s="18">
        <f t="shared" si="80"/>
        <v>4.1062160862204832E-3</v>
      </c>
      <c r="AE144" s="18">
        <f t="shared" si="82"/>
        <v>4.2844138336353282E-3</v>
      </c>
      <c r="AF144" s="18">
        <f t="shared" si="84"/>
        <v>5.3584765038190959E-3</v>
      </c>
      <c r="AG144" s="18">
        <f t="shared" si="86"/>
        <v>3.9103620780406873E-3</v>
      </c>
      <c r="AH144" s="18">
        <f t="shared" si="88"/>
        <v>5.8823375741168934E-3</v>
      </c>
      <c r="AJ144" s="18">
        <f>IF(ISNUMBER(Kernel!M144),Kernel!M144,"")</f>
        <v>-4.3225645841393767E-3</v>
      </c>
      <c r="AK144" s="18">
        <f t="shared" si="73"/>
        <v>1.8684564584056023E-5</v>
      </c>
      <c r="AN144" s="18">
        <f>IF(ISNUMBER(Volcanic!G144),Volcanic!G144,"")</f>
        <v>9.3399999999999993E-3</v>
      </c>
    </row>
    <row r="145" spans="1:40">
      <c r="A145" s="18" t="str">
        <f>IF(Volcanic!A145="","",Volcanic!A145)</f>
        <v>2/1970</v>
      </c>
      <c r="B145" s="18">
        <f>IF(ISNUMBER(Volcanic!L145),Volcanic!L145,"")</f>
        <v>1970.125</v>
      </c>
      <c r="C145" s="18">
        <f>IF(ISNUMBER(Volcanic!J145),Volcanic!J145,"")</f>
        <v>0.13686611104888374</v>
      </c>
      <c r="D145" s="18">
        <f t="shared" si="66"/>
        <v>1.8732332353645378E-2</v>
      </c>
      <c r="E145" s="18">
        <f>IF(ISNUMBER(Volcanic!C145),Volcanic!C145,"")</f>
        <v>0.21940088215824097</v>
      </c>
      <c r="F145" s="18">
        <f>IF(ISNUMBER(Volcanic!D145),Volcanic!D145,"")</f>
        <v>0.81</v>
      </c>
      <c r="G145" s="18">
        <f>IF(ISNUMBER(Volcanic!E145),Volcanic!E145,"")</f>
        <v>1.37E-2</v>
      </c>
      <c r="H145" s="18">
        <f t="shared" si="67"/>
        <v>4.8136747091814341E-2</v>
      </c>
      <c r="I145" s="18">
        <f t="shared" si="68"/>
        <v>0.65610000000000013</v>
      </c>
      <c r="J145" s="18">
        <f t="shared" si="69"/>
        <v>1.8769000000000001E-4</v>
      </c>
      <c r="K145" s="18">
        <f t="shared" si="70"/>
        <v>0.1777147145481752</v>
      </c>
      <c r="L145" s="18">
        <f t="shared" si="71"/>
        <v>3.0057920855679015E-3</v>
      </c>
      <c r="M145" s="18">
        <f t="shared" si="72"/>
        <v>1.1097000000000001E-2</v>
      </c>
      <c r="N145" s="18">
        <f t="shared" si="74"/>
        <v>3.6242381203081581E-4</v>
      </c>
      <c r="O145" s="18">
        <f t="shared" si="77"/>
        <v>4.0595706619761973E-2</v>
      </c>
      <c r="P145" s="18">
        <f t="shared" si="79"/>
        <v>1.3683340387298138E-2</v>
      </c>
      <c r="Q145" s="18">
        <f t="shared" si="81"/>
        <v>1.1067563935918722E-2</v>
      </c>
      <c r="R145" s="18">
        <f t="shared" si="83"/>
        <v>6.2490720393112301E-3</v>
      </c>
      <c r="S145" s="18">
        <f t="shared" si="85"/>
        <v>1.3534327596015841E-4</v>
      </c>
      <c r="T145" s="18">
        <f t="shared" si="87"/>
        <v>1.0247715989636639E-2</v>
      </c>
      <c r="U145" s="18">
        <f t="shared" si="89"/>
        <v>2.3810236699694592E-3</v>
      </c>
      <c r="V145" s="18">
        <f t="shared" si="90"/>
        <v>5.2484239592530488E-3</v>
      </c>
      <c r="W145" s="18">
        <f t="shared" si="91"/>
        <v>4.6549092859083556E-3</v>
      </c>
      <c r="X145" s="18">
        <f t="shared" si="92"/>
        <v>6.3103088813640778E-3</v>
      </c>
      <c r="Y145" s="18">
        <f t="shared" si="93"/>
        <v>5.6151021812909749E-2</v>
      </c>
      <c r="AA145" s="18">
        <f t="shared" si="75"/>
        <v>0.12729404767295824</v>
      </c>
      <c r="AB145" s="18">
        <f t="shared" si="76"/>
        <v>1.6203774572965363E-2</v>
      </c>
      <c r="AC145" s="18">
        <f t="shared" si="78"/>
        <v>6.7681974475249452E-3</v>
      </c>
      <c r="AD145" s="18">
        <f t="shared" si="80"/>
        <v>2.0354176164113343E-2</v>
      </c>
      <c r="AE145" s="18">
        <f t="shared" si="82"/>
        <v>4.1062160862204832E-3</v>
      </c>
      <c r="AF145" s="18">
        <f t="shared" si="84"/>
        <v>4.2844138336353282E-3</v>
      </c>
      <c r="AG145" s="18">
        <f t="shared" si="86"/>
        <v>5.3584765038190959E-3</v>
      </c>
      <c r="AH145" s="18">
        <f t="shared" si="88"/>
        <v>3.9103620780406873E-3</v>
      </c>
      <c r="AJ145" s="18">
        <f>IF(ISNUMBER(Kernel!M145),Kernel!M145,"")</f>
        <v>0.13128920806517014</v>
      </c>
      <c r="AK145" s="18">
        <f t="shared" si="73"/>
        <v>1.7236856154379535E-2</v>
      </c>
      <c r="AN145" s="18">
        <f>IF(ISNUMBER(Volcanic!G145),Volcanic!G145,"")</f>
        <v>8.6400000000000001E-3</v>
      </c>
    </row>
    <row r="146" spans="1:40">
      <c r="A146" s="18" t="str">
        <f>IF(Volcanic!A146="","",Volcanic!A146)</f>
        <v>3/1970</v>
      </c>
      <c r="B146" s="18">
        <f>IF(ISNUMBER(Volcanic!L146),Volcanic!L146,"")</f>
        <v>1970.2083333333333</v>
      </c>
      <c r="C146" s="18">
        <f>IF(ISNUMBER(Volcanic!J146),Volcanic!J146,"")</f>
        <v>-2.6702519928538976E-2</v>
      </c>
      <c r="D146" s="18">
        <f t="shared" si="66"/>
        <v>7.1302457053402111E-4</v>
      </c>
      <c r="E146" s="18">
        <f>IF(ISNUMBER(Volcanic!C146),Volcanic!C146,"")</f>
        <v>0.22355494169199039</v>
      </c>
      <c r="F146" s="18">
        <f>IF(ISNUMBER(Volcanic!D146),Volcanic!D146,"")</f>
        <v>0.71</v>
      </c>
      <c r="G146" s="18">
        <f>IF(ISNUMBER(Volcanic!E146),Volcanic!E146,"")</f>
        <v>1.3010000000000001E-2</v>
      </c>
      <c r="H146" s="18">
        <f t="shared" si="67"/>
        <v>4.9976811954909224E-2</v>
      </c>
      <c r="I146" s="18">
        <f t="shared" si="68"/>
        <v>0.50409999999999999</v>
      </c>
      <c r="J146" s="18">
        <f t="shared" si="69"/>
        <v>1.6926010000000002E-4</v>
      </c>
      <c r="K146" s="18">
        <f t="shared" si="70"/>
        <v>0.15872400860131317</v>
      </c>
      <c r="L146" s="18">
        <f t="shared" si="71"/>
        <v>2.9084497914127951E-3</v>
      </c>
      <c r="M146" s="18">
        <f t="shared" si="72"/>
        <v>9.2370999999999998E-3</v>
      </c>
      <c r="N146" s="18">
        <f t="shared" si="74"/>
        <v>1.8732332353645378E-2</v>
      </c>
      <c r="O146" s="18">
        <f t="shared" si="77"/>
        <v>3.6242381203081581E-4</v>
      </c>
      <c r="P146" s="18">
        <f t="shared" si="79"/>
        <v>4.0595706619761973E-2</v>
      </c>
      <c r="Q146" s="18">
        <f t="shared" si="81"/>
        <v>1.3683340387298138E-2</v>
      </c>
      <c r="R146" s="18">
        <f t="shared" si="83"/>
        <v>1.1067563935918722E-2</v>
      </c>
      <c r="S146" s="18">
        <f t="shared" si="85"/>
        <v>6.2490720393112301E-3</v>
      </c>
      <c r="T146" s="18">
        <f t="shared" si="87"/>
        <v>1.3534327596015841E-4</v>
      </c>
      <c r="U146" s="18">
        <f t="shared" si="89"/>
        <v>1.0247715989636639E-2</v>
      </c>
      <c r="V146" s="18">
        <f t="shared" si="90"/>
        <v>2.3810236699694592E-3</v>
      </c>
      <c r="W146" s="18">
        <f t="shared" si="91"/>
        <v>5.2484239592530488E-3</v>
      </c>
      <c r="X146" s="18">
        <f t="shared" si="92"/>
        <v>4.6549092859083556E-3</v>
      </c>
      <c r="Y146" s="18">
        <f t="shared" si="93"/>
        <v>6.3103088813640778E-3</v>
      </c>
      <c r="AA146" s="18">
        <f t="shared" si="75"/>
        <v>-9.551910707312633E-2</v>
      </c>
      <c r="AB146" s="18">
        <f t="shared" si="76"/>
        <v>9.1238998160473733E-3</v>
      </c>
      <c r="AC146" s="18">
        <f t="shared" si="78"/>
        <v>1.6203774572965363E-2</v>
      </c>
      <c r="AD146" s="18">
        <f t="shared" si="80"/>
        <v>6.7681974475249452E-3</v>
      </c>
      <c r="AE146" s="18">
        <f t="shared" si="82"/>
        <v>2.0354176164113343E-2</v>
      </c>
      <c r="AF146" s="18">
        <f t="shared" si="84"/>
        <v>4.1062160862204832E-3</v>
      </c>
      <c r="AG146" s="18">
        <f t="shared" si="86"/>
        <v>4.2844138336353282E-3</v>
      </c>
      <c r="AH146" s="18">
        <f t="shared" si="88"/>
        <v>5.3584765038190959E-3</v>
      </c>
      <c r="AJ146" s="18">
        <f>IF(ISNUMBER(Kernel!M146),Kernel!M146,"")</f>
        <v>-3.4450342348214369E-2</v>
      </c>
      <c r="AK146" s="18">
        <f t="shared" si="73"/>
        <v>1.1868260879091723E-3</v>
      </c>
      <c r="AN146" s="18">
        <f>IF(ISNUMBER(Volcanic!G146),Volcanic!G146,"")</f>
        <v>8.0499999999999999E-3</v>
      </c>
    </row>
    <row r="147" spans="1:40">
      <c r="A147" s="18" t="str">
        <f>IF(Volcanic!A147="","",Volcanic!A147)</f>
        <v>4/1970</v>
      </c>
      <c r="B147" s="18">
        <f>IF(ISNUMBER(Volcanic!L147),Volcanic!L147,"")</f>
        <v>1970.2916666666667</v>
      </c>
      <c r="C147" s="18">
        <f>IF(ISNUMBER(Volcanic!J147),Volcanic!J147,"")</f>
        <v>-2.9482459919684623E-2</v>
      </c>
      <c r="D147" s="18">
        <f t="shared" si="66"/>
        <v>8.6921544291581015E-4</v>
      </c>
      <c r="E147" s="18">
        <f>IF(ISNUMBER(Volcanic!C147),Volcanic!C147,"")</f>
        <v>0.22884067425281851</v>
      </c>
      <c r="F147" s="18">
        <f>IF(ISNUMBER(Volcanic!D147),Volcanic!D147,"")</f>
        <v>0.46</v>
      </c>
      <c r="G147" s="18">
        <f>IF(ISNUMBER(Volcanic!E147),Volcanic!E147,"")</f>
        <v>1.23E-2</v>
      </c>
      <c r="H147" s="18">
        <f t="shared" si="67"/>
        <v>5.2368054192484595E-2</v>
      </c>
      <c r="I147" s="18">
        <f t="shared" si="68"/>
        <v>0.21160000000000001</v>
      </c>
      <c r="J147" s="18">
        <f t="shared" si="69"/>
        <v>1.5129E-4</v>
      </c>
      <c r="K147" s="18">
        <f t="shared" si="70"/>
        <v>0.10526671015629652</v>
      </c>
      <c r="L147" s="18">
        <f t="shared" si="71"/>
        <v>2.8147402933096678E-3</v>
      </c>
      <c r="M147" s="18">
        <f t="shared" si="72"/>
        <v>5.6580000000000007E-3</v>
      </c>
      <c r="N147" s="18">
        <f t="shared" si="74"/>
        <v>7.1302457053402111E-4</v>
      </c>
      <c r="O147" s="18">
        <f t="shared" si="77"/>
        <v>1.8732332353645378E-2</v>
      </c>
      <c r="P147" s="18">
        <f t="shared" si="79"/>
        <v>3.6242381203081581E-4</v>
      </c>
      <c r="Q147" s="18">
        <f t="shared" si="81"/>
        <v>4.0595706619761973E-2</v>
      </c>
      <c r="R147" s="18">
        <f t="shared" si="83"/>
        <v>1.3683340387298138E-2</v>
      </c>
      <c r="S147" s="18">
        <f t="shared" si="85"/>
        <v>1.1067563935918722E-2</v>
      </c>
      <c r="T147" s="18">
        <f t="shared" si="87"/>
        <v>6.2490720393112301E-3</v>
      </c>
      <c r="U147" s="18">
        <f t="shared" si="89"/>
        <v>1.3534327596015841E-4</v>
      </c>
      <c r="V147" s="18">
        <f t="shared" si="90"/>
        <v>1.0247715989636639E-2</v>
      </c>
      <c r="W147" s="18">
        <f t="shared" si="91"/>
        <v>2.3810236699694592E-3</v>
      </c>
      <c r="X147" s="18">
        <f t="shared" si="92"/>
        <v>5.2484239592530488E-3</v>
      </c>
      <c r="Y147" s="18">
        <f t="shared" si="93"/>
        <v>4.6549092859083556E-3</v>
      </c>
      <c r="AA147" s="18">
        <f t="shared" si="75"/>
        <v>-1.6056373099799272E-2</v>
      </c>
      <c r="AB147" s="18">
        <f t="shared" si="76"/>
        <v>2.578071171199577E-4</v>
      </c>
      <c r="AC147" s="18">
        <f t="shared" si="78"/>
        <v>9.1238998160473733E-3</v>
      </c>
      <c r="AD147" s="18">
        <f t="shared" si="80"/>
        <v>1.6203774572965363E-2</v>
      </c>
      <c r="AE147" s="18">
        <f t="shared" si="82"/>
        <v>6.7681974475249452E-3</v>
      </c>
      <c r="AF147" s="18">
        <f t="shared" si="84"/>
        <v>2.0354176164113343E-2</v>
      </c>
      <c r="AG147" s="18">
        <f t="shared" si="86"/>
        <v>4.1062160862204832E-3</v>
      </c>
      <c r="AH147" s="18">
        <f t="shared" si="88"/>
        <v>4.2844138336353282E-3</v>
      </c>
      <c r="AJ147" s="18">
        <f>IF(ISNUMBER(Kernel!M147),Kernel!M147,"")</f>
        <v>-5.5368884601171731E-2</v>
      </c>
      <c r="AK147" s="18">
        <f t="shared" si="73"/>
        <v>3.0657133819778719E-3</v>
      </c>
      <c r="AN147" s="18">
        <f>IF(ISNUMBER(Volcanic!G147),Volcanic!G147,"")</f>
        <v>7.6099999999999996E-3</v>
      </c>
    </row>
    <row r="148" spans="1:40">
      <c r="A148" s="18" t="str">
        <f>IF(Volcanic!A148="","",Volcanic!A148)</f>
        <v>5/1970</v>
      </c>
      <c r="B148" s="18">
        <f>IF(ISNUMBER(Volcanic!L148),Volcanic!L148,"")</f>
        <v>1970.375</v>
      </c>
      <c r="C148" s="18">
        <f>IF(ISNUMBER(Volcanic!J148),Volcanic!J148,"")</f>
        <v>-8.9014210556531317E-2</v>
      </c>
      <c r="D148" s="18">
        <f t="shared" si="66"/>
        <v>7.9235296810024908E-3</v>
      </c>
      <c r="E148" s="18">
        <f>IF(ISNUMBER(Volcanic!C148),Volcanic!C148,"")</f>
        <v>0.22862082160752503</v>
      </c>
      <c r="F148" s="18">
        <f>IF(ISNUMBER(Volcanic!D148),Volcanic!D148,"")</f>
        <v>0.23</v>
      </c>
      <c r="G148" s="18">
        <f>IF(ISNUMBER(Volcanic!E148),Volcanic!E148,"")</f>
        <v>1.163E-2</v>
      </c>
      <c r="H148" s="18">
        <f t="shared" si="67"/>
        <v>5.2267480072499782E-2</v>
      </c>
      <c r="I148" s="18">
        <f t="shared" si="68"/>
        <v>5.2900000000000003E-2</v>
      </c>
      <c r="J148" s="18">
        <f t="shared" si="69"/>
        <v>1.352569E-4</v>
      </c>
      <c r="K148" s="18">
        <f t="shared" si="70"/>
        <v>5.2582788969730759E-2</v>
      </c>
      <c r="L148" s="18">
        <f t="shared" si="71"/>
        <v>2.6588601552955159E-3</v>
      </c>
      <c r="M148" s="18">
        <f t="shared" si="72"/>
        <v>2.6749E-3</v>
      </c>
      <c r="N148" s="18">
        <f t="shared" si="74"/>
        <v>8.6921544291581015E-4</v>
      </c>
      <c r="O148" s="18">
        <f t="shared" si="77"/>
        <v>7.1302457053402111E-4</v>
      </c>
      <c r="P148" s="18">
        <f t="shared" si="79"/>
        <v>1.8732332353645378E-2</v>
      </c>
      <c r="Q148" s="18">
        <f t="shared" si="81"/>
        <v>3.6242381203081581E-4</v>
      </c>
      <c r="R148" s="18">
        <f t="shared" si="83"/>
        <v>4.0595706619761973E-2</v>
      </c>
      <c r="S148" s="18">
        <f t="shared" si="85"/>
        <v>1.3683340387298138E-2</v>
      </c>
      <c r="T148" s="18">
        <f t="shared" si="87"/>
        <v>1.1067563935918722E-2</v>
      </c>
      <c r="U148" s="18">
        <f t="shared" si="89"/>
        <v>6.2490720393112301E-3</v>
      </c>
      <c r="V148" s="18">
        <f t="shared" si="90"/>
        <v>1.3534327596015841E-4</v>
      </c>
      <c r="W148" s="18">
        <f t="shared" si="91"/>
        <v>1.0247715989636639E-2</v>
      </c>
      <c r="X148" s="18">
        <f t="shared" si="92"/>
        <v>2.3810236699694592E-3</v>
      </c>
      <c r="Y148" s="18">
        <f t="shared" si="93"/>
        <v>5.2484239592530488E-3</v>
      </c>
      <c r="AA148" s="18">
        <f t="shared" si="75"/>
        <v>-7.4190363683472024E-2</v>
      </c>
      <c r="AB148" s="18">
        <f t="shared" si="76"/>
        <v>5.5042100634858449E-3</v>
      </c>
      <c r="AC148" s="18">
        <f t="shared" si="78"/>
        <v>2.578071171199577E-4</v>
      </c>
      <c r="AD148" s="18">
        <f t="shared" si="80"/>
        <v>9.1238998160473733E-3</v>
      </c>
      <c r="AE148" s="18">
        <f t="shared" si="82"/>
        <v>1.6203774572965363E-2</v>
      </c>
      <c r="AF148" s="18">
        <f t="shared" si="84"/>
        <v>6.7681974475249452E-3</v>
      </c>
      <c r="AG148" s="18">
        <f t="shared" si="86"/>
        <v>2.0354176164113343E-2</v>
      </c>
      <c r="AH148" s="18">
        <f t="shared" si="88"/>
        <v>4.1062160862204832E-3</v>
      </c>
      <c r="AJ148" s="18">
        <f>IF(ISNUMBER(Kernel!M148),Kernel!M148,"")</f>
        <v>-0.12841331364877737</v>
      </c>
      <c r="AK148" s="18">
        <f t="shared" si="73"/>
        <v>1.6489979122259271E-2</v>
      </c>
      <c r="AN148" s="18">
        <f>IF(ISNUMBER(Volcanic!G148),Volcanic!G148,"")</f>
        <v>7.2300000000000003E-3</v>
      </c>
    </row>
    <row r="149" spans="1:40">
      <c r="A149" s="18" t="str">
        <f>IF(Volcanic!A149="","",Volcanic!A149)</f>
        <v>6/1970</v>
      </c>
      <c r="B149" s="18">
        <f>IF(ISNUMBER(Volcanic!L149),Volcanic!L149,"")</f>
        <v>1970.4583333333333</v>
      </c>
      <c r="C149" s="18">
        <f>IF(ISNUMBER(Volcanic!J149),Volcanic!J149,"")</f>
        <v>-7.5832058291129045E-2</v>
      </c>
      <c r="D149" s="18">
        <f t="shared" si="66"/>
        <v>5.7505010646691935E-3</v>
      </c>
      <c r="E149" s="18">
        <f>IF(ISNUMBER(Volcanic!C149),Volcanic!C149,"")</f>
        <v>0.22681676504986711</v>
      </c>
      <c r="F149" s="18">
        <f>IF(ISNUMBER(Volcanic!D149),Volcanic!D149,"")</f>
        <v>0.23</v>
      </c>
      <c r="G149" s="18">
        <f>IF(ISNUMBER(Volcanic!E149),Volcanic!E149,"")</f>
        <v>1.0840000000000001E-2</v>
      </c>
      <c r="H149" s="18">
        <f t="shared" si="67"/>
        <v>5.1445844907686618E-2</v>
      </c>
      <c r="I149" s="18">
        <f t="shared" si="68"/>
        <v>5.2900000000000003E-2</v>
      </c>
      <c r="J149" s="18">
        <f t="shared" si="69"/>
        <v>1.1750560000000001E-4</v>
      </c>
      <c r="K149" s="18">
        <f t="shared" si="70"/>
        <v>5.2167855961469438E-2</v>
      </c>
      <c r="L149" s="18">
        <f t="shared" si="71"/>
        <v>2.4586937331405596E-3</v>
      </c>
      <c r="M149" s="18">
        <f t="shared" si="72"/>
        <v>2.4932000000000001E-3</v>
      </c>
      <c r="N149" s="18">
        <f t="shared" si="74"/>
        <v>7.9235296810024908E-3</v>
      </c>
      <c r="O149" s="18">
        <f t="shared" si="77"/>
        <v>8.6921544291581015E-4</v>
      </c>
      <c r="P149" s="18">
        <f t="shared" si="79"/>
        <v>7.1302457053402111E-4</v>
      </c>
      <c r="Q149" s="18">
        <f t="shared" si="81"/>
        <v>1.8732332353645378E-2</v>
      </c>
      <c r="R149" s="18">
        <f t="shared" si="83"/>
        <v>3.6242381203081581E-4</v>
      </c>
      <c r="S149" s="18">
        <f t="shared" si="85"/>
        <v>4.0595706619761973E-2</v>
      </c>
      <c r="T149" s="18">
        <f t="shared" si="87"/>
        <v>1.3683340387298138E-2</v>
      </c>
      <c r="U149" s="18">
        <f t="shared" si="89"/>
        <v>1.1067563935918722E-2</v>
      </c>
      <c r="V149" s="18">
        <f t="shared" si="90"/>
        <v>6.2490720393112301E-3</v>
      </c>
      <c r="W149" s="18">
        <f t="shared" si="91"/>
        <v>1.3534327596015841E-4</v>
      </c>
      <c r="X149" s="18">
        <f t="shared" si="92"/>
        <v>1.0247715989636639E-2</v>
      </c>
      <c r="Y149" s="18">
        <f t="shared" si="93"/>
        <v>2.3810236699694592E-3</v>
      </c>
      <c r="AA149" s="18">
        <f t="shared" si="75"/>
        <v>-3.1075513877572083E-2</v>
      </c>
      <c r="AB149" s="18">
        <f t="shared" si="76"/>
        <v>9.6568756275517515E-4</v>
      </c>
      <c r="AC149" s="18">
        <f t="shared" si="78"/>
        <v>5.5042100634858449E-3</v>
      </c>
      <c r="AD149" s="18">
        <f t="shared" si="80"/>
        <v>2.578071171199577E-4</v>
      </c>
      <c r="AE149" s="18">
        <f t="shared" si="82"/>
        <v>9.1238998160473733E-3</v>
      </c>
      <c r="AF149" s="18">
        <f t="shared" si="84"/>
        <v>1.6203774572965363E-2</v>
      </c>
      <c r="AG149" s="18">
        <f t="shared" si="86"/>
        <v>6.7681974475249452E-3</v>
      </c>
      <c r="AH149" s="18">
        <f t="shared" si="88"/>
        <v>2.0354176164113343E-2</v>
      </c>
      <c r="AJ149" s="18">
        <f>IF(ISNUMBER(Kernel!M149),Kernel!M149,"")</f>
        <v>-0.10029846240786677</v>
      </c>
      <c r="AK149" s="18">
        <f t="shared" si="73"/>
        <v>1.0059781561382264E-2</v>
      </c>
      <c r="AN149" s="18">
        <f>IF(ISNUMBER(Volcanic!G149),Volcanic!G149,"")</f>
        <v>6.9100000000000003E-3</v>
      </c>
    </row>
    <row r="150" spans="1:40">
      <c r="A150" s="18" t="str">
        <f>IF(Volcanic!A150="","",Volcanic!A150)</f>
        <v>7/1970</v>
      </c>
      <c r="B150" s="18">
        <f>IF(ISNUMBER(Volcanic!L150),Volcanic!L150,"")</f>
        <v>1970.5416666666667</v>
      </c>
      <c r="C150" s="18">
        <f>IF(ISNUMBER(Volcanic!J150),Volcanic!J150,"")</f>
        <v>-2.6184201753552891E-2</v>
      </c>
      <c r="D150" s="18">
        <f t="shared" si="66"/>
        <v>6.8561242147076231E-4</v>
      </c>
      <c r="E150" s="18">
        <f>IF(ISNUMBER(Volcanic!C150),Volcanic!C150,"")</f>
        <v>0.2209490044667792</v>
      </c>
      <c r="F150" s="18">
        <f>IF(ISNUMBER(Volcanic!D150),Volcanic!D150,"")</f>
        <v>0.28000000000000003</v>
      </c>
      <c r="G150" s="18">
        <f>IF(ISNUMBER(Volcanic!E150),Volcanic!E150,"")</f>
        <v>1.0059999999999999E-2</v>
      </c>
      <c r="H150" s="18">
        <f t="shared" si="67"/>
        <v>4.8818462574860819E-2</v>
      </c>
      <c r="I150" s="18">
        <f t="shared" si="68"/>
        <v>7.8400000000000011E-2</v>
      </c>
      <c r="J150" s="18">
        <f t="shared" si="69"/>
        <v>1.0120359999999999E-4</v>
      </c>
      <c r="K150" s="18">
        <f t="shared" si="70"/>
        <v>6.1865721250698183E-2</v>
      </c>
      <c r="L150" s="18">
        <f t="shared" si="71"/>
        <v>2.2227469849357986E-3</v>
      </c>
      <c r="M150" s="18">
        <f t="shared" si="72"/>
        <v>2.8167999999999999E-3</v>
      </c>
      <c r="N150" s="18">
        <f t="shared" si="74"/>
        <v>5.7505010646691935E-3</v>
      </c>
      <c r="O150" s="18">
        <f t="shared" si="77"/>
        <v>7.9235296810024908E-3</v>
      </c>
      <c r="P150" s="18">
        <f t="shared" si="79"/>
        <v>8.6921544291581015E-4</v>
      </c>
      <c r="Q150" s="18">
        <f t="shared" si="81"/>
        <v>7.1302457053402111E-4</v>
      </c>
      <c r="R150" s="18">
        <f t="shared" si="83"/>
        <v>1.8732332353645378E-2</v>
      </c>
      <c r="S150" s="18">
        <f t="shared" si="85"/>
        <v>3.6242381203081581E-4</v>
      </c>
      <c r="T150" s="18">
        <f t="shared" si="87"/>
        <v>4.0595706619761973E-2</v>
      </c>
      <c r="U150" s="18">
        <f t="shared" si="89"/>
        <v>1.3683340387298138E-2</v>
      </c>
      <c r="V150" s="18">
        <f t="shared" si="90"/>
        <v>1.1067563935918722E-2</v>
      </c>
      <c r="W150" s="18">
        <f t="shared" si="91"/>
        <v>6.2490720393112301E-3</v>
      </c>
      <c r="X150" s="18">
        <f t="shared" si="92"/>
        <v>1.3534327596015841E-4</v>
      </c>
      <c r="Y150" s="18">
        <f t="shared" si="93"/>
        <v>1.0247715989636639E-2</v>
      </c>
      <c r="AA150" s="18">
        <f t="shared" si="75"/>
        <v>1.1944326979765503E-2</v>
      </c>
      <c r="AB150" s="18">
        <f t="shared" si="76"/>
        <v>1.4266694699955411E-4</v>
      </c>
      <c r="AC150" s="18">
        <f t="shared" si="78"/>
        <v>9.6568756275517515E-4</v>
      </c>
      <c r="AD150" s="18">
        <f t="shared" si="80"/>
        <v>5.5042100634858449E-3</v>
      </c>
      <c r="AE150" s="18">
        <f t="shared" si="82"/>
        <v>2.578071171199577E-4</v>
      </c>
      <c r="AF150" s="18">
        <f t="shared" si="84"/>
        <v>9.1238998160473733E-3</v>
      </c>
      <c r="AG150" s="18">
        <f t="shared" si="86"/>
        <v>1.6203774572965363E-2</v>
      </c>
      <c r="AH150" s="18">
        <f t="shared" si="88"/>
        <v>6.7681974475249452E-3</v>
      </c>
      <c r="AJ150" s="18">
        <f>IF(ISNUMBER(Kernel!M150),Kernel!M150,"")</f>
        <v>-2.7091922564562068E-2</v>
      </c>
      <c r="AK150" s="18">
        <f t="shared" si="73"/>
        <v>7.3397226824422734E-4</v>
      </c>
      <c r="AN150" s="18">
        <f>IF(ISNUMBER(Volcanic!G150),Volcanic!G150,"")</f>
        <v>6.6499999999999997E-3</v>
      </c>
    </row>
    <row r="151" spans="1:40">
      <c r="A151" s="18" t="str">
        <f>IF(Volcanic!A151="","",Volcanic!A151)</f>
        <v>8/1970</v>
      </c>
      <c r="B151" s="18">
        <f>IF(ISNUMBER(Volcanic!L151),Volcanic!L151,"")</f>
        <v>1970.625</v>
      </c>
      <c r="C151" s="18">
        <f>IF(ISNUMBER(Volcanic!J151),Volcanic!J151,"")</f>
        <v>-0.11192677681828918</v>
      </c>
      <c r="D151" s="18">
        <f t="shared" si="66"/>
        <v>1.2527603368931117E-2</v>
      </c>
      <c r="E151" s="18">
        <f>IF(ISNUMBER(Volcanic!C151),Volcanic!C151,"")</f>
        <v>0.21359169145595572</v>
      </c>
      <c r="F151" s="18">
        <f>IF(ISNUMBER(Volcanic!D151),Volcanic!D151,"")</f>
        <v>0.11</v>
      </c>
      <c r="G151" s="18">
        <f>IF(ISNUMBER(Volcanic!E151),Volcanic!E151,"")</f>
        <v>9.3399999999999993E-3</v>
      </c>
      <c r="H151" s="18">
        <f t="shared" si="67"/>
        <v>4.562141065901619E-2</v>
      </c>
      <c r="I151" s="18">
        <f t="shared" si="68"/>
        <v>1.21E-2</v>
      </c>
      <c r="J151" s="18">
        <f t="shared" si="69"/>
        <v>8.7235599999999989E-5</v>
      </c>
      <c r="K151" s="18">
        <f t="shared" si="70"/>
        <v>2.3495086060155129E-2</v>
      </c>
      <c r="L151" s="18">
        <f t="shared" si="71"/>
        <v>1.9949463981986265E-3</v>
      </c>
      <c r="M151" s="18">
        <f t="shared" si="72"/>
        <v>1.0273999999999999E-3</v>
      </c>
      <c r="N151" s="18">
        <f t="shared" si="74"/>
        <v>6.8561242147076231E-4</v>
      </c>
      <c r="O151" s="18">
        <f t="shared" si="77"/>
        <v>5.7505010646691935E-3</v>
      </c>
      <c r="P151" s="18">
        <f t="shared" si="79"/>
        <v>7.9235296810024908E-3</v>
      </c>
      <c r="Q151" s="18">
        <f t="shared" si="81"/>
        <v>8.6921544291581015E-4</v>
      </c>
      <c r="R151" s="18">
        <f t="shared" si="83"/>
        <v>7.1302457053402111E-4</v>
      </c>
      <c r="S151" s="18">
        <f t="shared" si="85"/>
        <v>1.8732332353645378E-2</v>
      </c>
      <c r="T151" s="18">
        <f t="shared" si="87"/>
        <v>3.6242381203081581E-4</v>
      </c>
      <c r="U151" s="18">
        <f t="shared" si="89"/>
        <v>4.0595706619761973E-2</v>
      </c>
      <c r="V151" s="18">
        <f t="shared" si="90"/>
        <v>1.3683340387298138E-2</v>
      </c>
      <c r="W151" s="18">
        <f t="shared" si="91"/>
        <v>1.1067563935918722E-2</v>
      </c>
      <c r="X151" s="18">
        <f t="shared" si="92"/>
        <v>6.2490720393112301E-3</v>
      </c>
      <c r="Y151" s="18">
        <f t="shared" si="93"/>
        <v>1.3534327596015841E-4</v>
      </c>
      <c r="AA151" s="18">
        <f t="shared" si="75"/>
        <v>-9.8761301537551111E-2</v>
      </c>
      <c r="AB151" s="18">
        <f t="shared" si="76"/>
        <v>9.753794681391096E-3</v>
      </c>
      <c r="AC151" s="18">
        <f t="shared" si="78"/>
        <v>1.4266694699955411E-4</v>
      </c>
      <c r="AD151" s="18">
        <f t="shared" si="80"/>
        <v>9.6568756275517515E-4</v>
      </c>
      <c r="AE151" s="18">
        <f t="shared" si="82"/>
        <v>5.5042100634858449E-3</v>
      </c>
      <c r="AF151" s="18">
        <f t="shared" si="84"/>
        <v>2.578071171199577E-4</v>
      </c>
      <c r="AG151" s="18">
        <f t="shared" si="86"/>
        <v>9.1238998160473733E-3</v>
      </c>
      <c r="AH151" s="18">
        <f t="shared" si="88"/>
        <v>1.6203774572965363E-2</v>
      </c>
      <c r="AJ151" s="18">
        <f>IF(ISNUMBER(Kernel!M151),Kernel!M151,"")</f>
        <v>-0.10896696797231752</v>
      </c>
      <c r="AK151" s="18">
        <f t="shared" si="73"/>
        <v>1.1873800109080072E-2</v>
      </c>
      <c r="AN151" s="18">
        <f>IF(ISNUMBER(Volcanic!G151),Volcanic!G151,"")</f>
        <v>6.45E-3</v>
      </c>
    </row>
    <row r="152" spans="1:40">
      <c r="A152" s="18" t="str">
        <f>IF(Volcanic!A152="","",Volcanic!A152)</f>
        <v>9/1970</v>
      </c>
      <c r="B152" s="18">
        <f>IF(ISNUMBER(Volcanic!L152),Volcanic!L152,"")</f>
        <v>1970.7083333333333</v>
      </c>
      <c r="C152" s="18">
        <f>IF(ISNUMBER(Volcanic!J152),Volcanic!J152,"")</f>
        <v>0.16006212300282863</v>
      </c>
      <c r="D152" s="18">
        <f t="shared" si="66"/>
        <v>2.561988322017264E-2</v>
      </c>
      <c r="E152" s="18">
        <f>IF(ISNUMBER(Volcanic!C152),Volcanic!C152,"")</f>
        <v>0.20655392343303489</v>
      </c>
      <c r="F152" s="18">
        <f>IF(ISNUMBER(Volcanic!D152),Volcanic!D152,"")</f>
        <v>-0.26</v>
      </c>
      <c r="G152" s="18">
        <f>IF(ISNUMBER(Volcanic!E152),Volcanic!E152,"")</f>
        <v>8.6400000000000001E-3</v>
      </c>
      <c r="H152" s="18">
        <f t="shared" si="67"/>
        <v>4.2664523285580042E-2</v>
      </c>
      <c r="I152" s="18">
        <f t="shared" si="68"/>
        <v>6.7600000000000007E-2</v>
      </c>
      <c r="J152" s="18">
        <f t="shared" si="69"/>
        <v>7.4649599999999998E-5</v>
      </c>
      <c r="K152" s="18">
        <f t="shared" si="70"/>
        <v>-5.3704020092589073E-2</v>
      </c>
      <c r="L152" s="18">
        <f t="shared" si="71"/>
        <v>1.7846258984614213E-3</v>
      </c>
      <c r="M152" s="18">
        <f t="shared" si="72"/>
        <v>-2.2464E-3</v>
      </c>
      <c r="N152" s="18">
        <f t="shared" si="74"/>
        <v>1.2527603368931117E-2</v>
      </c>
      <c r="O152" s="18">
        <f t="shared" si="77"/>
        <v>6.8561242147076231E-4</v>
      </c>
      <c r="P152" s="18">
        <f t="shared" si="79"/>
        <v>5.7505010646691935E-3</v>
      </c>
      <c r="Q152" s="18">
        <f t="shared" si="81"/>
        <v>7.9235296810024908E-3</v>
      </c>
      <c r="R152" s="18">
        <f t="shared" si="83"/>
        <v>8.6921544291581015E-4</v>
      </c>
      <c r="S152" s="18">
        <f t="shared" si="85"/>
        <v>7.1302457053402111E-4</v>
      </c>
      <c r="T152" s="18">
        <f t="shared" si="87"/>
        <v>1.8732332353645378E-2</v>
      </c>
      <c r="U152" s="18">
        <f t="shared" si="89"/>
        <v>3.6242381203081581E-4</v>
      </c>
      <c r="V152" s="18">
        <f t="shared" si="90"/>
        <v>4.0595706619761973E-2</v>
      </c>
      <c r="W152" s="18">
        <f t="shared" si="91"/>
        <v>1.3683340387298138E-2</v>
      </c>
      <c r="X152" s="18">
        <f t="shared" si="92"/>
        <v>1.1067563935918722E-2</v>
      </c>
      <c r="Y152" s="18">
        <f t="shared" si="93"/>
        <v>6.2490720393112301E-3</v>
      </c>
      <c r="AA152" s="18">
        <f t="shared" si="75"/>
        <v>0.21633915704507992</v>
      </c>
      <c r="AB152" s="18">
        <f t="shared" si="76"/>
        <v>4.6802630870975748E-2</v>
      </c>
      <c r="AC152" s="18">
        <f t="shared" si="78"/>
        <v>9.753794681391096E-3</v>
      </c>
      <c r="AD152" s="18">
        <f t="shared" si="80"/>
        <v>1.4266694699955411E-4</v>
      </c>
      <c r="AE152" s="18">
        <f t="shared" si="82"/>
        <v>9.6568756275517515E-4</v>
      </c>
      <c r="AF152" s="18">
        <f t="shared" si="84"/>
        <v>5.5042100634858449E-3</v>
      </c>
      <c r="AG152" s="18">
        <f t="shared" si="86"/>
        <v>2.578071171199577E-4</v>
      </c>
      <c r="AH152" s="18">
        <f t="shared" si="88"/>
        <v>9.1238998160473733E-3</v>
      </c>
      <c r="AJ152" s="18">
        <f>IF(ISNUMBER(Kernel!M152),Kernel!M152,"")</f>
        <v>0.14471678736078319</v>
      </c>
      <c r="AK152" s="18">
        <f t="shared" si="73"/>
        <v>2.094294854402614E-2</v>
      </c>
      <c r="AN152" s="18">
        <f>IF(ISNUMBER(Volcanic!G152),Volcanic!G152,"")</f>
        <v>6.2500000000000003E-3</v>
      </c>
    </row>
    <row r="153" spans="1:40">
      <c r="A153" s="18" t="str">
        <f>IF(Volcanic!A153="","",Volcanic!A153)</f>
        <v>10/1970</v>
      </c>
      <c r="B153" s="18">
        <f>IF(ISNUMBER(Volcanic!L153),Volcanic!L153,"")</f>
        <v>1970.7916666666667</v>
      </c>
      <c r="C153" s="18">
        <f>IF(ISNUMBER(Volcanic!J153),Volcanic!J153,"")</f>
        <v>9.6161636181775881E-2</v>
      </c>
      <c r="D153" s="18">
        <f t="shared" si="66"/>
        <v>9.2470602731562282E-3</v>
      </c>
      <c r="E153" s="18">
        <f>IF(ISNUMBER(Volcanic!C153),Volcanic!C153,"")</f>
        <v>0.20637530574791263</v>
      </c>
      <c r="F153" s="18">
        <f>IF(ISNUMBER(Volcanic!D153),Volcanic!D153,"")</f>
        <v>-0.55000000000000004</v>
      </c>
      <c r="G153" s="18">
        <f>IF(ISNUMBER(Volcanic!E153),Volcanic!E153,"")</f>
        <v>8.0499999999999999E-3</v>
      </c>
      <c r="H153" s="18">
        <f t="shared" si="67"/>
        <v>4.2590766822544417E-2</v>
      </c>
      <c r="I153" s="18">
        <f t="shared" si="68"/>
        <v>0.30250000000000005</v>
      </c>
      <c r="J153" s="18">
        <f t="shared" si="69"/>
        <v>6.4802500000000002E-5</v>
      </c>
      <c r="K153" s="18">
        <f t="shared" si="70"/>
        <v>-0.11350641816135196</v>
      </c>
      <c r="L153" s="18">
        <f t="shared" si="71"/>
        <v>1.6613212112706966E-3</v>
      </c>
      <c r="M153" s="18">
        <f t="shared" si="72"/>
        <v>-4.4275E-3</v>
      </c>
      <c r="N153" s="18">
        <f t="shared" si="74"/>
        <v>2.561988322017264E-2</v>
      </c>
      <c r="O153" s="18">
        <f t="shared" si="77"/>
        <v>1.2527603368931117E-2</v>
      </c>
      <c r="P153" s="18">
        <f t="shared" si="79"/>
        <v>6.8561242147076231E-4</v>
      </c>
      <c r="Q153" s="18">
        <f t="shared" si="81"/>
        <v>5.7505010646691935E-3</v>
      </c>
      <c r="R153" s="18">
        <f t="shared" si="83"/>
        <v>7.9235296810024908E-3</v>
      </c>
      <c r="S153" s="18">
        <f t="shared" si="85"/>
        <v>8.6921544291581015E-4</v>
      </c>
      <c r="T153" s="18">
        <f t="shared" si="87"/>
        <v>7.1302457053402111E-4</v>
      </c>
      <c r="U153" s="18">
        <f t="shared" si="89"/>
        <v>1.8732332353645378E-2</v>
      </c>
      <c r="V153" s="18">
        <f t="shared" si="90"/>
        <v>3.6242381203081581E-4</v>
      </c>
      <c r="W153" s="18">
        <f t="shared" si="91"/>
        <v>4.0595706619761973E-2</v>
      </c>
      <c r="X153" s="18">
        <f t="shared" si="92"/>
        <v>1.3683340387298138E-2</v>
      </c>
      <c r="Y153" s="18">
        <f t="shared" si="93"/>
        <v>1.1067563935918722E-2</v>
      </c>
      <c r="AA153" s="18">
        <f t="shared" si="75"/>
        <v>1.5682042279691E-2</v>
      </c>
      <c r="AB153" s="18">
        <f t="shared" si="76"/>
        <v>2.4592645006201607E-4</v>
      </c>
      <c r="AC153" s="18">
        <f t="shared" si="78"/>
        <v>4.6802630870975748E-2</v>
      </c>
      <c r="AD153" s="18">
        <f t="shared" si="80"/>
        <v>9.753794681391096E-3</v>
      </c>
      <c r="AE153" s="18">
        <f t="shared" si="82"/>
        <v>1.4266694699955411E-4</v>
      </c>
      <c r="AF153" s="18">
        <f t="shared" si="84"/>
        <v>9.6568756275517515E-4</v>
      </c>
      <c r="AG153" s="18">
        <f t="shared" si="86"/>
        <v>5.5042100634858449E-3</v>
      </c>
      <c r="AH153" s="18">
        <f t="shared" si="88"/>
        <v>2.578071171199577E-4</v>
      </c>
      <c r="AJ153" s="18">
        <f>IF(ISNUMBER(Kernel!M153),Kernel!M153,"")</f>
        <v>6.8136944418126288E-2</v>
      </c>
      <c r="AK153" s="18">
        <f t="shared" si="73"/>
        <v>4.6426431946388312E-3</v>
      </c>
      <c r="AN153" s="18">
        <f>IF(ISNUMBER(Volcanic!G153),Volcanic!G153,"")</f>
        <v>6.0899999999999999E-3</v>
      </c>
    </row>
    <row r="154" spans="1:40">
      <c r="A154" s="18" t="str">
        <f>IF(Volcanic!A154="","",Volcanic!A154)</f>
        <v>11/1970</v>
      </c>
      <c r="B154" s="18">
        <f>IF(ISNUMBER(Volcanic!L154),Volcanic!L154,"")</f>
        <v>1970.875</v>
      </c>
      <c r="C154" s="18">
        <f>IF(ISNUMBER(Volcanic!J154),Volcanic!J154,"")</f>
        <v>8.9414692877849089E-2</v>
      </c>
      <c r="D154" s="18">
        <f t="shared" si="66"/>
        <v>7.9949873024400767E-3</v>
      </c>
      <c r="E154" s="18">
        <f>IF(ISNUMBER(Volcanic!C154),Volcanic!C154,"")</f>
        <v>0.21061151287723645</v>
      </c>
      <c r="F154" s="18">
        <f>IF(ISNUMBER(Volcanic!D154),Volcanic!D154,"")</f>
        <v>-0.72</v>
      </c>
      <c r="G154" s="18">
        <f>IF(ISNUMBER(Volcanic!E154),Volcanic!E154,"")</f>
        <v>7.6099999999999996E-3</v>
      </c>
      <c r="H154" s="18">
        <f t="shared" si="67"/>
        <v>4.4357209356438339E-2</v>
      </c>
      <c r="I154" s="18">
        <f t="shared" si="68"/>
        <v>0.51839999999999997</v>
      </c>
      <c r="J154" s="18">
        <f t="shared" si="69"/>
        <v>5.7912099999999991E-5</v>
      </c>
      <c r="K154" s="18">
        <f t="shared" si="70"/>
        <v>-0.15164028927161025</v>
      </c>
      <c r="L154" s="18">
        <f t="shared" si="71"/>
        <v>1.6027536129957693E-3</v>
      </c>
      <c r="M154" s="18">
        <f t="shared" si="72"/>
        <v>-5.4791999999999992E-3</v>
      </c>
      <c r="N154" s="18">
        <f t="shared" si="74"/>
        <v>9.2470602731562282E-3</v>
      </c>
      <c r="O154" s="18">
        <f t="shared" si="77"/>
        <v>2.561988322017264E-2</v>
      </c>
      <c r="P154" s="18">
        <f t="shared" si="79"/>
        <v>1.2527603368931117E-2</v>
      </c>
      <c r="Q154" s="18">
        <f t="shared" si="81"/>
        <v>6.8561242147076231E-4</v>
      </c>
      <c r="R154" s="18">
        <f t="shared" si="83"/>
        <v>5.7505010646691935E-3</v>
      </c>
      <c r="S154" s="18">
        <f t="shared" si="85"/>
        <v>7.9235296810024908E-3</v>
      </c>
      <c r="T154" s="18">
        <f t="shared" si="87"/>
        <v>8.6921544291581015E-4</v>
      </c>
      <c r="U154" s="18">
        <f t="shared" si="89"/>
        <v>7.1302457053402111E-4</v>
      </c>
      <c r="V154" s="18">
        <f t="shared" si="90"/>
        <v>1.8732332353645378E-2</v>
      </c>
      <c r="W154" s="18">
        <f t="shared" si="91"/>
        <v>3.6242381203081581E-4</v>
      </c>
      <c r="X154" s="18">
        <f t="shared" si="92"/>
        <v>4.0595706619761973E-2</v>
      </c>
      <c r="Y154" s="18">
        <f t="shared" si="93"/>
        <v>1.3683340387298138E-2</v>
      </c>
      <c r="AA154" s="18">
        <f t="shared" si="75"/>
        <v>4.1064406853387261E-2</v>
      </c>
      <c r="AB154" s="18">
        <f t="shared" si="76"/>
        <v>1.6862855102205187E-3</v>
      </c>
      <c r="AC154" s="18">
        <f t="shared" si="78"/>
        <v>2.4592645006201607E-4</v>
      </c>
      <c r="AD154" s="18">
        <f t="shared" si="80"/>
        <v>4.6802630870975748E-2</v>
      </c>
      <c r="AE154" s="18">
        <f t="shared" si="82"/>
        <v>9.753794681391096E-3</v>
      </c>
      <c r="AF154" s="18">
        <f t="shared" si="84"/>
        <v>1.4266694699955411E-4</v>
      </c>
      <c r="AG154" s="18">
        <f t="shared" si="86"/>
        <v>9.6568756275517515E-4</v>
      </c>
      <c r="AH154" s="18">
        <f t="shared" si="88"/>
        <v>5.5042100634858449E-3</v>
      </c>
      <c r="AJ154" s="18">
        <f>IF(ISNUMBER(Kernel!M154),Kernel!M154,"")</f>
        <v>5.878127031121215E-2</v>
      </c>
      <c r="AK154" s="18">
        <f t="shared" si="73"/>
        <v>3.4552377393997909E-3</v>
      </c>
      <c r="AN154" s="18">
        <f>IF(ISNUMBER(Volcanic!G154),Volcanic!G154,"")</f>
        <v>5.79E-3</v>
      </c>
    </row>
    <row r="155" spans="1:40">
      <c r="A155" s="18" t="str">
        <f>IF(Volcanic!A155="","",Volcanic!A155)</f>
        <v>12/1970</v>
      </c>
      <c r="B155" s="18">
        <f>IF(ISNUMBER(Volcanic!L155),Volcanic!L155,"")</f>
        <v>1970.9583333333333</v>
      </c>
      <c r="C155" s="18">
        <f>IF(ISNUMBER(Volcanic!J155),Volcanic!J155,"")</f>
        <v>-6.7783346777183978E-2</v>
      </c>
      <c r="D155" s="18">
        <f t="shared" si="66"/>
        <v>4.5945821003159776E-3</v>
      </c>
      <c r="E155" s="18">
        <f>IF(ISNUMBER(Volcanic!C155),Volcanic!C155,"")</f>
        <v>0.21558985360237096</v>
      </c>
      <c r="F155" s="18">
        <f>IF(ISNUMBER(Volcanic!D155),Volcanic!D155,"")</f>
        <v>-0.69</v>
      </c>
      <c r="G155" s="18">
        <f>IF(ISNUMBER(Volcanic!E155),Volcanic!E155,"")</f>
        <v>7.2300000000000003E-3</v>
      </c>
      <c r="H155" s="18">
        <f t="shared" si="67"/>
        <v>4.6478984976291743E-2</v>
      </c>
      <c r="I155" s="18">
        <f t="shared" si="68"/>
        <v>0.47609999999999991</v>
      </c>
      <c r="J155" s="18">
        <f t="shared" si="69"/>
        <v>5.2272900000000006E-5</v>
      </c>
      <c r="K155" s="18">
        <f t="shared" si="70"/>
        <v>-0.14875699898563594</v>
      </c>
      <c r="L155" s="18">
        <f t="shared" si="71"/>
        <v>1.558714641545142E-3</v>
      </c>
      <c r="M155" s="18">
        <f t="shared" si="72"/>
        <v>-4.9886999999999996E-3</v>
      </c>
      <c r="N155" s="18">
        <f t="shared" si="74"/>
        <v>7.9949873024400767E-3</v>
      </c>
      <c r="O155" s="18">
        <f t="shared" si="77"/>
        <v>9.2470602731562282E-3</v>
      </c>
      <c r="P155" s="18">
        <f t="shared" si="79"/>
        <v>2.561988322017264E-2</v>
      </c>
      <c r="Q155" s="18">
        <f t="shared" si="81"/>
        <v>1.2527603368931117E-2</v>
      </c>
      <c r="R155" s="18">
        <f t="shared" si="83"/>
        <v>6.8561242147076231E-4</v>
      </c>
      <c r="S155" s="18">
        <f t="shared" si="85"/>
        <v>5.7505010646691935E-3</v>
      </c>
      <c r="T155" s="18">
        <f t="shared" si="87"/>
        <v>7.9235296810024908E-3</v>
      </c>
      <c r="U155" s="18">
        <f t="shared" si="89"/>
        <v>8.6921544291581015E-4</v>
      </c>
      <c r="V155" s="18">
        <f t="shared" si="90"/>
        <v>7.1302457053402111E-4</v>
      </c>
      <c r="W155" s="18">
        <f t="shared" si="91"/>
        <v>1.8732332353645378E-2</v>
      </c>
      <c r="X155" s="18">
        <f t="shared" si="92"/>
        <v>3.6242381203081581E-4</v>
      </c>
      <c r="Y155" s="18">
        <f t="shared" si="93"/>
        <v>4.0595706619761973E-2</v>
      </c>
      <c r="AA155" s="18">
        <f t="shared" si="75"/>
        <v>-0.11274125459877252</v>
      </c>
      <c r="AB155" s="18">
        <f t="shared" si="76"/>
        <v>1.2710590488505246E-2</v>
      </c>
      <c r="AC155" s="18">
        <f t="shared" si="78"/>
        <v>1.6862855102205187E-3</v>
      </c>
      <c r="AD155" s="18">
        <f t="shared" si="80"/>
        <v>2.4592645006201607E-4</v>
      </c>
      <c r="AE155" s="18">
        <f t="shared" si="82"/>
        <v>4.6802630870975748E-2</v>
      </c>
      <c r="AF155" s="18">
        <f t="shared" si="84"/>
        <v>9.753794681391096E-3</v>
      </c>
      <c r="AG155" s="18">
        <f t="shared" si="86"/>
        <v>1.4266694699955411E-4</v>
      </c>
      <c r="AH155" s="18">
        <f t="shared" si="88"/>
        <v>9.6568756275517515E-4</v>
      </c>
      <c r="AJ155" s="18">
        <f>IF(ISNUMBER(Kernel!M155),Kernel!M155,"")</f>
        <v>-7.7657682986572385E-2</v>
      </c>
      <c r="AK155" s="18">
        <f t="shared" si="73"/>
        <v>6.0307157268429737E-3</v>
      </c>
      <c r="AN155" s="18">
        <f>IF(ISNUMBER(Volcanic!G155),Volcanic!G155,"")</f>
        <v>5.4900000000000001E-3</v>
      </c>
    </row>
    <row r="156" spans="1:40">
      <c r="A156" s="18" t="str">
        <f>IF(Volcanic!A156="","",Volcanic!A156)</f>
        <v>1/1971</v>
      </c>
      <c r="B156" s="18">
        <f>IF(ISNUMBER(Volcanic!L156),Volcanic!L156,"")</f>
        <v>1971.0416666666667</v>
      </c>
      <c r="C156" s="18">
        <f>IF(ISNUMBER(Volcanic!J156),Volcanic!J156,"")</f>
        <v>2.1730012890774773E-2</v>
      </c>
      <c r="D156" s="18">
        <f t="shared" si="66"/>
        <v>4.7219346023323784E-4</v>
      </c>
      <c r="E156" s="18">
        <f>IF(ISNUMBER(Volcanic!C156),Volcanic!C156,"")</f>
        <v>0.22019726683057364</v>
      </c>
      <c r="F156" s="18">
        <f>IF(ISNUMBER(Volcanic!D156),Volcanic!D156,"")</f>
        <v>-0.72</v>
      </c>
      <c r="G156" s="18">
        <f>IF(ISNUMBER(Volcanic!E156),Volcanic!E156,"")</f>
        <v>6.9100000000000003E-3</v>
      </c>
      <c r="H156" s="18">
        <f t="shared" si="67"/>
        <v>4.848683631965485E-2</v>
      </c>
      <c r="I156" s="18">
        <f t="shared" si="68"/>
        <v>0.51839999999999997</v>
      </c>
      <c r="J156" s="18">
        <f t="shared" si="69"/>
        <v>4.7748100000000005E-5</v>
      </c>
      <c r="K156" s="18">
        <f t="shared" si="70"/>
        <v>-0.15854203211801302</v>
      </c>
      <c r="L156" s="18">
        <f t="shared" si="71"/>
        <v>1.5215631137992639E-3</v>
      </c>
      <c r="M156" s="18">
        <f t="shared" si="72"/>
        <v>-4.9751999999999999E-3</v>
      </c>
      <c r="N156" s="18">
        <f t="shared" si="74"/>
        <v>4.5945821003159776E-3</v>
      </c>
      <c r="O156" s="18">
        <f t="shared" si="77"/>
        <v>7.9949873024400767E-3</v>
      </c>
      <c r="P156" s="18">
        <f t="shared" si="79"/>
        <v>9.2470602731562282E-3</v>
      </c>
      <c r="Q156" s="18">
        <f t="shared" si="81"/>
        <v>2.561988322017264E-2</v>
      </c>
      <c r="R156" s="18">
        <f t="shared" si="83"/>
        <v>1.2527603368931117E-2</v>
      </c>
      <c r="S156" s="18">
        <f t="shared" si="85"/>
        <v>6.8561242147076231E-4</v>
      </c>
      <c r="T156" s="18">
        <f t="shared" si="87"/>
        <v>5.7505010646691935E-3</v>
      </c>
      <c r="U156" s="18">
        <f t="shared" si="89"/>
        <v>7.9235296810024908E-3</v>
      </c>
      <c r="V156" s="18">
        <f t="shared" si="90"/>
        <v>8.6921544291581015E-4</v>
      </c>
      <c r="W156" s="18">
        <f t="shared" si="91"/>
        <v>7.1302457053402111E-4</v>
      </c>
      <c r="X156" s="18">
        <f t="shared" si="92"/>
        <v>1.8732332353645378E-2</v>
      </c>
      <c r="Y156" s="18">
        <f t="shared" si="93"/>
        <v>3.6242381203081581E-4</v>
      </c>
      <c r="AA156" s="18">
        <f t="shared" si="75"/>
        <v>5.5811631449936054E-2</v>
      </c>
      <c r="AB156" s="18">
        <f t="shared" si="76"/>
        <v>3.1149382051034913E-3</v>
      </c>
      <c r="AC156" s="18">
        <f t="shared" si="78"/>
        <v>1.2710590488505246E-2</v>
      </c>
      <c r="AD156" s="18">
        <f t="shared" si="80"/>
        <v>1.6862855102205187E-3</v>
      </c>
      <c r="AE156" s="18">
        <f t="shared" si="82"/>
        <v>2.4592645006201607E-4</v>
      </c>
      <c r="AF156" s="18">
        <f t="shared" si="84"/>
        <v>4.6802630870975748E-2</v>
      </c>
      <c r="AG156" s="18">
        <f t="shared" si="86"/>
        <v>9.753794681391096E-3</v>
      </c>
      <c r="AH156" s="18">
        <f t="shared" si="88"/>
        <v>1.4266694699955411E-4</v>
      </c>
      <c r="AJ156" s="18">
        <f>IF(ISNUMBER(Kernel!M156),Kernel!M156,"")</f>
        <v>2.8265495853621245E-2</v>
      </c>
      <c r="AK156" s="18">
        <f t="shared" si="73"/>
        <v>7.9893825585107981E-4</v>
      </c>
      <c r="AN156" s="18">
        <f>IF(ISNUMBER(Volcanic!G156),Volcanic!G156,"")</f>
        <v>5.2199999999999998E-3</v>
      </c>
    </row>
    <row r="157" spans="1:40">
      <c r="A157" s="18" t="str">
        <f>IF(Volcanic!A157="","",Volcanic!A157)</f>
        <v>2/1971</v>
      </c>
      <c r="B157" s="18">
        <f>IF(ISNUMBER(Volcanic!L157),Volcanic!L157,"")</f>
        <v>1971.125</v>
      </c>
      <c r="C157" s="18">
        <f>IF(ISNUMBER(Volcanic!J157),Volcanic!J157,"")</f>
        <v>-0.10954254920464172</v>
      </c>
      <c r="D157" s="18">
        <f t="shared" si="66"/>
        <v>1.1999570086251353E-2</v>
      </c>
      <c r="E157" s="18">
        <f>IF(ISNUMBER(Volcanic!C157),Volcanic!C157,"")</f>
        <v>0.22249546730205641</v>
      </c>
      <c r="F157" s="18">
        <f>IF(ISNUMBER(Volcanic!D157),Volcanic!D157,"")</f>
        <v>-0.78</v>
      </c>
      <c r="G157" s="18">
        <f>IF(ISNUMBER(Volcanic!E157),Volcanic!E157,"")</f>
        <v>6.6499999999999997E-3</v>
      </c>
      <c r="H157" s="18">
        <f t="shared" si="67"/>
        <v>4.9504232969960454E-2</v>
      </c>
      <c r="I157" s="18">
        <f t="shared" si="68"/>
        <v>0.60840000000000005</v>
      </c>
      <c r="J157" s="18">
        <f t="shared" si="69"/>
        <v>4.4222499999999999E-5</v>
      </c>
      <c r="K157" s="18">
        <f t="shared" si="70"/>
        <v>-0.17354646449560401</v>
      </c>
      <c r="L157" s="18">
        <f t="shared" si="71"/>
        <v>1.479594857558675E-3</v>
      </c>
      <c r="M157" s="18">
        <f t="shared" si="72"/>
        <v>-5.1869999999999998E-3</v>
      </c>
      <c r="N157" s="18">
        <f t="shared" si="74"/>
        <v>4.7219346023323784E-4</v>
      </c>
      <c r="O157" s="18">
        <f t="shared" si="77"/>
        <v>4.5945821003159776E-3</v>
      </c>
      <c r="P157" s="18">
        <f t="shared" si="79"/>
        <v>7.9949873024400767E-3</v>
      </c>
      <c r="Q157" s="18">
        <f t="shared" si="81"/>
        <v>9.2470602731562282E-3</v>
      </c>
      <c r="R157" s="18">
        <f t="shared" si="83"/>
        <v>2.561988322017264E-2</v>
      </c>
      <c r="S157" s="18">
        <f t="shared" si="85"/>
        <v>1.2527603368931117E-2</v>
      </c>
      <c r="T157" s="18">
        <f t="shared" si="87"/>
        <v>6.8561242147076231E-4</v>
      </c>
      <c r="U157" s="18">
        <f t="shared" si="89"/>
        <v>5.7505010646691935E-3</v>
      </c>
      <c r="V157" s="18">
        <f t="shared" si="90"/>
        <v>7.9235296810024908E-3</v>
      </c>
      <c r="W157" s="18">
        <f t="shared" si="91"/>
        <v>8.6921544291581015E-4</v>
      </c>
      <c r="X157" s="18">
        <f t="shared" si="92"/>
        <v>7.1302457053402111E-4</v>
      </c>
      <c r="Y157" s="18">
        <f t="shared" si="93"/>
        <v>1.8732332353645378E-2</v>
      </c>
      <c r="AA157" s="18">
        <f t="shared" si="75"/>
        <v>-0.12046844835009862</v>
      </c>
      <c r="AB157" s="18">
        <f t="shared" si="76"/>
        <v>1.451264704788038E-2</v>
      </c>
      <c r="AC157" s="18">
        <f t="shared" si="78"/>
        <v>3.1149382051034913E-3</v>
      </c>
      <c r="AD157" s="18">
        <f t="shared" si="80"/>
        <v>1.2710590488505246E-2</v>
      </c>
      <c r="AE157" s="18">
        <f t="shared" si="82"/>
        <v>1.6862855102205187E-3</v>
      </c>
      <c r="AF157" s="18">
        <f t="shared" si="84"/>
        <v>2.4592645006201607E-4</v>
      </c>
      <c r="AG157" s="18">
        <f t="shared" si="86"/>
        <v>4.6802630870975748E-2</v>
      </c>
      <c r="AH157" s="18">
        <f t="shared" si="88"/>
        <v>9.753794681391096E-3</v>
      </c>
      <c r="AJ157" s="18">
        <f>IF(ISNUMBER(Kernel!M157),Kernel!M157,"")</f>
        <v>-9.1015878603035422E-2</v>
      </c>
      <c r="AK157" s="18">
        <f t="shared" si="73"/>
        <v>8.2838901578824817E-3</v>
      </c>
      <c r="AN157" s="18">
        <f>IF(ISNUMBER(Volcanic!G157),Volcanic!G157,"")</f>
        <v>4.9500000000000004E-3</v>
      </c>
    </row>
    <row r="158" spans="1:40">
      <c r="A158" s="18" t="str">
        <f>IF(Volcanic!A158="","",Volcanic!A158)</f>
        <v>3/1971</v>
      </c>
      <c r="B158" s="18">
        <f>IF(ISNUMBER(Volcanic!L158),Volcanic!L158,"")</f>
        <v>1971.2083333333333</v>
      </c>
      <c r="C158" s="18">
        <f>IF(ISNUMBER(Volcanic!J158),Volcanic!J158,"")</f>
        <v>-0.11618563715854784</v>
      </c>
      <c r="D158" s="18">
        <f t="shared" si="66"/>
        <v>1.3499102281937733E-2</v>
      </c>
      <c r="E158" s="18">
        <f>IF(ISNUMBER(Volcanic!C158),Volcanic!C158,"")</f>
        <v>0.22465773412073844</v>
      </c>
      <c r="F158" s="18">
        <f>IF(ISNUMBER(Volcanic!D158),Volcanic!D158,"")</f>
        <v>-1.1000000000000001</v>
      </c>
      <c r="G158" s="18">
        <f>IF(ISNUMBER(Volcanic!E158),Volcanic!E158,"")</f>
        <v>6.45E-3</v>
      </c>
      <c r="H158" s="18">
        <f t="shared" si="67"/>
        <v>5.0471097500264406E-2</v>
      </c>
      <c r="I158" s="18">
        <f t="shared" si="68"/>
        <v>1.2100000000000002</v>
      </c>
      <c r="J158" s="18">
        <f t="shared" si="69"/>
        <v>4.16025E-5</v>
      </c>
      <c r="K158" s="18">
        <f t="shared" si="70"/>
        <v>-0.24712350753281231</v>
      </c>
      <c r="L158" s="18">
        <f t="shared" si="71"/>
        <v>1.4490423850787629E-3</v>
      </c>
      <c r="M158" s="18">
        <f t="shared" si="72"/>
        <v>-7.0950000000000006E-3</v>
      </c>
      <c r="N158" s="18">
        <f t="shared" si="74"/>
        <v>1.1999570086251353E-2</v>
      </c>
      <c r="O158" s="18">
        <f t="shared" si="77"/>
        <v>4.7219346023323784E-4</v>
      </c>
      <c r="P158" s="18">
        <f t="shared" si="79"/>
        <v>4.5945821003159776E-3</v>
      </c>
      <c r="Q158" s="18">
        <f t="shared" si="81"/>
        <v>7.9949873024400767E-3</v>
      </c>
      <c r="R158" s="18">
        <f t="shared" si="83"/>
        <v>9.2470602731562282E-3</v>
      </c>
      <c r="S158" s="18">
        <f t="shared" si="85"/>
        <v>2.561988322017264E-2</v>
      </c>
      <c r="T158" s="18">
        <f t="shared" si="87"/>
        <v>1.2527603368931117E-2</v>
      </c>
      <c r="U158" s="18">
        <f t="shared" si="89"/>
        <v>6.8561242147076231E-4</v>
      </c>
      <c r="V158" s="18">
        <f t="shared" si="90"/>
        <v>5.7505010646691935E-3</v>
      </c>
      <c r="W158" s="18">
        <f t="shared" si="91"/>
        <v>7.9235296810024908E-3</v>
      </c>
      <c r="X158" s="18">
        <f t="shared" si="92"/>
        <v>8.6921544291581015E-4</v>
      </c>
      <c r="Y158" s="18">
        <f t="shared" si="93"/>
        <v>7.1302457053402111E-4</v>
      </c>
      <c r="AA158" s="18">
        <f t="shared" si="75"/>
        <v>-6.1107398099873596E-2</v>
      </c>
      <c r="AB158" s="18">
        <f t="shared" si="76"/>
        <v>3.7341141025364353E-3</v>
      </c>
      <c r="AC158" s="18">
        <f t="shared" si="78"/>
        <v>1.451264704788038E-2</v>
      </c>
      <c r="AD158" s="18">
        <f t="shared" si="80"/>
        <v>3.1149382051034913E-3</v>
      </c>
      <c r="AE158" s="18">
        <f t="shared" si="82"/>
        <v>1.2710590488505246E-2</v>
      </c>
      <c r="AF158" s="18">
        <f t="shared" si="84"/>
        <v>1.6862855102205187E-3</v>
      </c>
      <c r="AG158" s="18">
        <f t="shared" si="86"/>
        <v>2.4592645006201607E-4</v>
      </c>
      <c r="AH158" s="18">
        <f t="shared" si="88"/>
        <v>4.6802630870975748E-2</v>
      </c>
      <c r="AJ158" s="18">
        <f>IF(ISNUMBER(Kernel!M158),Kernel!M158,"")</f>
        <v>-0.11871967827244109</v>
      </c>
      <c r="AK158" s="18">
        <f t="shared" si="73"/>
        <v>1.4094362009111922E-2</v>
      </c>
      <c r="AN158" s="18">
        <f>IF(ISNUMBER(Volcanic!G158),Volcanic!G158,"")</f>
        <v>4.7499999999999999E-3</v>
      </c>
    </row>
    <row r="159" spans="1:40">
      <c r="A159" s="18" t="str">
        <f>IF(Volcanic!A159="","",Volcanic!A159)</f>
        <v>4/1971</v>
      </c>
      <c r="B159" s="18">
        <f>IF(ISNUMBER(Volcanic!L159),Volcanic!L159,"")</f>
        <v>1971.2916666666667</v>
      </c>
      <c r="C159" s="18">
        <f>IF(ISNUMBER(Volcanic!J159),Volcanic!J159,"")</f>
        <v>3.7960289444441964E-3</v>
      </c>
      <c r="D159" s="18">
        <f t="shared" si="66"/>
        <v>1.4409835747058119E-5</v>
      </c>
      <c r="E159" s="18">
        <f>IF(ISNUMBER(Volcanic!C159),Volcanic!C159,"")</f>
        <v>0.22730100169945941</v>
      </c>
      <c r="F159" s="18">
        <f>IF(ISNUMBER(Volcanic!D159),Volcanic!D159,"")</f>
        <v>-1.29</v>
      </c>
      <c r="G159" s="18">
        <f>IF(ISNUMBER(Volcanic!E159),Volcanic!E159,"")</f>
        <v>6.2500000000000003E-3</v>
      </c>
      <c r="H159" s="18">
        <f t="shared" si="67"/>
        <v>5.1665745373577647E-2</v>
      </c>
      <c r="I159" s="18">
        <f t="shared" si="68"/>
        <v>1.6641000000000001</v>
      </c>
      <c r="J159" s="18">
        <f t="shared" si="69"/>
        <v>3.9062500000000008E-5</v>
      </c>
      <c r="K159" s="18">
        <f t="shared" si="70"/>
        <v>-0.29321829219230267</v>
      </c>
      <c r="L159" s="18">
        <f t="shared" si="71"/>
        <v>1.4206312606216214E-3</v>
      </c>
      <c r="M159" s="18">
        <f t="shared" si="72"/>
        <v>-8.0625000000000002E-3</v>
      </c>
      <c r="N159" s="18">
        <f t="shared" si="74"/>
        <v>1.3499102281937733E-2</v>
      </c>
      <c r="O159" s="18">
        <f t="shared" si="77"/>
        <v>1.1999570086251353E-2</v>
      </c>
      <c r="P159" s="18">
        <f t="shared" si="79"/>
        <v>4.7219346023323784E-4</v>
      </c>
      <c r="Q159" s="18">
        <f t="shared" si="81"/>
        <v>4.5945821003159776E-3</v>
      </c>
      <c r="R159" s="18">
        <f t="shared" si="83"/>
        <v>7.9949873024400767E-3</v>
      </c>
      <c r="S159" s="18">
        <f t="shared" si="85"/>
        <v>9.2470602731562282E-3</v>
      </c>
      <c r="T159" s="18">
        <f t="shared" si="87"/>
        <v>2.561988322017264E-2</v>
      </c>
      <c r="U159" s="18">
        <f t="shared" si="89"/>
        <v>1.2527603368931117E-2</v>
      </c>
      <c r="V159" s="18">
        <f t="shared" si="90"/>
        <v>6.8561242147076231E-4</v>
      </c>
      <c r="W159" s="18">
        <f t="shared" si="91"/>
        <v>5.7505010646691935E-3</v>
      </c>
      <c r="X159" s="18">
        <f t="shared" si="92"/>
        <v>7.9235296810024908E-3</v>
      </c>
      <c r="Y159" s="18">
        <f t="shared" si="93"/>
        <v>8.6921544291581015E-4</v>
      </c>
      <c r="AA159" s="18">
        <f t="shared" si="75"/>
        <v>6.2214427503419129E-2</v>
      </c>
      <c r="AB159" s="18">
        <f t="shared" si="76"/>
        <v>3.8706349895781945E-3</v>
      </c>
      <c r="AC159" s="18">
        <f t="shared" si="78"/>
        <v>3.7341141025364353E-3</v>
      </c>
      <c r="AD159" s="18">
        <f t="shared" si="80"/>
        <v>1.451264704788038E-2</v>
      </c>
      <c r="AE159" s="18">
        <f t="shared" si="82"/>
        <v>3.1149382051034913E-3</v>
      </c>
      <c r="AF159" s="18">
        <f t="shared" si="84"/>
        <v>1.2710590488505246E-2</v>
      </c>
      <c r="AG159" s="18">
        <f t="shared" si="86"/>
        <v>1.6862855102205187E-3</v>
      </c>
      <c r="AH159" s="18">
        <f t="shared" si="88"/>
        <v>2.4592645006201607E-4</v>
      </c>
      <c r="AJ159" s="18">
        <f>IF(ISNUMBER(Kernel!M159),Kernel!M159,"")</f>
        <v>-1.4913965223885342E-2</v>
      </c>
      <c r="AK159" s="18">
        <f t="shared" si="73"/>
        <v>2.2242635869926136E-4</v>
      </c>
      <c r="AN159" s="18">
        <f>IF(ISNUMBER(Volcanic!G159),Volcanic!G159,"")</f>
        <v>4.6699999999999997E-3</v>
      </c>
    </row>
    <row r="160" spans="1:40">
      <c r="A160" s="18" t="str">
        <f>IF(Volcanic!A160="","",Volcanic!A160)</f>
        <v>5/1971</v>
      </c>
      <c r="B160" s="18">
        <f>IF(ISNUMBER(Volcanic!L160),Volcanic!L160,"")</f>
        <v>1971.375</v>
      </c>
      <c r="C160" s="18">
        <f>IF(ISNUMBER(Volcanic!J160),Volcanic!J160,"")</f>
        <v>1.6158578811374863E-2</v>
      </c>
      <c r="D160" s="18">
        <f t="shared" si="66"/>
        <v>2.6109966920341267E-4</v>
      </c>
      <c r="E160" s="18">
        <f>IF(ISNUMBER(Volcanic!C160),Volcanic!C160,"")</f>
        <v>0.23235376773902855</v>
      </c>
      <c r="F160" s="18">
        <f>IF(ISNUMBER(Volcanic!D160),Volcanic!D160,"")</f>
        <v>-1.36</v>
      </c>
      <c r="G160" s="18">
        <f>IF(ISNUMBER(Volcanic!E160),Volcanic!E160,"")</f>
        <v>6.0899999999999999E-3</v>
      </c>
      <c r="H160" s="18">
        <f t="shared" si="67"/>
        <v>5.3988273382522427E-2</v>
      </c>
      <c r="I160" s="18">
        <f t="shared" si="68"/>
        <v>1.8496000000000004</v>
      </c>
      <c r="J160" s="18">
        <f t="shared" si="69"/>
        <v>3.7088100000000002E-5</v>
      </c>
      <c r="K160" s="18">
        <f t="shared" si="70"/>
        <v>-0.31600112412507886</v>
      </c>
      <c r="L160" s="18">
        <f t="shared" si="71"/>
        <v>1.4150344455306839E-3</v>
      </c>
      <c r="M160" s="18">
        <f t="shared" si="72"/>
        <v>-8.2824000000000005E-3</v>
      </c>
      <c r="N160" s="18">
        <f t="shared" si="74"/>
        <v>1.4409835747058119E-5</v>
      </c>
      <c r="O160" s="18">
        <f t="shared" si="77"/>
        <v>1.3499102281937733E-2</v>
      </c>
      <c r="P160" s="18">
        <f t="shared" si="79"/>
        <v>1.1999570086251353E-2</v>
      </c>
      <c r="Q160" s="18">
        <f t="shared" si="81"/>
        <v>4.7219346023323784E-4</v>
      </c>
      <c r="R160" s="18">
        <f t="shared" si="83"/>
        <v>4.5945821003159776E-3</v>
      </c>
      <c r="S160" s="18">
        <f t="shared" si="85"/>
        <v>7.9949873024400767E-3</v>
      </c>
      <c r="T160" s="18">
        <f t="shared" si="87"/>
        <v>9.2470602731562282E-3</v>
      </c>
      <c r="U160" s="18">
        <f t="shared" si="89"/>
        <v>2.561988322017264E-2</v>
      </c>
      <c r="V160" s="18">
        <f t="shared" si="90"/>
        <v>1.2527603368931117E-2</v>
      </c>
      <c r="W160" s="18">
        <f t="shared" si="91"/>
        <v>6.8561242147076231E-4</v>
      </c>
      <c r="X160" s="18">
        <f t="shared" si="92"/>
        <v>5.7505010646691935E-3</v>
      </c>
      <c r="Y160" s="18">
        <f t="shared" si="93"/>
        <v>7.9235296810024908E-3</v>
      </c>
      <c r="AA160" s="18">
        <f t="shared" si="75"/>
        <v>1.4249926956969371E-2</v>
      </c>
      <c r="AB160" s="18">
        <f t="shared" si="76"/>
        <v>2.0306041827896238E-4</v>
      </c>
      <c r="AC160" s="18">
        <f t="shared" si="78"/>
        <v>3.8706349895781945E-3</v>
      </c>
      <c r="AD160" s="18">
        <f t="shared" si="80"/>
        <v>3.7341141025364353E-3</v>
      </c>
      <c r="AE160" s="18">
        <f t="shared" si="82"/>
        <v>1.451264704788038E-2</v>
      </c>
      <c r="AF160" s="18">
        <f t="shared" si="84"/>
        <v>3.1149382051034913E-3</v>
      </c>
      <c r="AG160" s="18">
        <f t="shared" si="86"/>
        <v>1.2710590488505246E-2</v>
      </c>
      <c r="AH160" s="18">
        <f t="shared" si="88"/>
        <v>1.6862855102205187E-3</v>
      </c>
      <c r="AJ160" s="18">
        <f>IF(ISNUMBER(Kernel!M160),Kernel!M160,"")</f>
        <v>-9.7983181243087719E-3</v>
      </c>
      <c r="AK160" s="18">
        <f t="shared" si="73"/>
        <v>9.6007038065157774E-5</v>
      </c>
      <c r="AN160" s="18">
        <f>IF(ISNUMBER(Volcanic!G160),Volcanic!G160,"")</f>
        <v>4.62E-3</v>
      </c>
    </row>
    <row r="161" spans="1:40">
      <c r="A161" s="18" t="str">
        <f>IF(Volcanic!A161="","",Volcanic!A161)</f>
        <v>6/1971</v>
      </c>
      <c r="B161" s="18">
        <f>IF(ISNUMBER(Volcanic!L161),Volcanic!L161,"")</f>
        <v>1971.4583333333333</v>
      </c>
      <c r="C161" s="18">
        <f>IF(ISNUMBER(Volcanic!J161),Volcanic!J161,"")</f>
        <v>-0.11617525241612194</v>
      </c>
      <c r="D161" s="18">
        <f t="shared" si="66"/>
        <v>1.3496689273949645E-2</v>
      </c>
      <c r="E161" s="18">
        <f>IF(ISNUMBER(Volcanic!C161),Volcanic!C161,"")</f>
        <v>0.23077393422839654</v>
      </c>
      <c r="F161" s="18">
        <f>IF(ISNUMBER(Volcanic!D161),Volcanic!D161,"")</f>
        <v>-1.08</v>
      </c>
      <c r="G161" s="18">
        <f>IF(ISNUMBER(Volcanic!E161),Volcanic!E161,"")</f>
        <v>5.79E-3</v>
      </c>
      <c r="H161" s="18">
        <f t="shared" si="67"/>
        <v>5.3256608719252294E-2</v>
      </c>
      <c r="I161" s="18">
        <f t="shared" si="68"/>
        <v>1.1664000000000001</v>
      </c>
      <c r="J161" s="18">
        <f t="shared" si="69"/>
        <v>3.35241E-5</v>
      </c>
      <c r="K161" s="18">
        <f t="shared" si="70"/>
        <v>-0.24923584896666828</v>
      </c>
      <c r="L161" s="18">
        <f t="shared" si="71"/>
        <v>1.3361810791824159E-3</v>
      </c>
      <c r="M161" s="18">
        <f t="shared" si="72"/>
        <v>-6.2532000000000004E-3</v>
      </c>
      <c r="N161" s="18">
        <f t="shared" si="74"/>
        <v>2.6109966920341267E-4</v>
      </c>
      <c r="O161" s="18">
        <f t="shared" si="77"/>
        <v>1.4409835747058119E-5</v>
      </c>
      <c r="P161" s="18">
        <f t="shared" si="79"/>
        <v>1.3499102281937733E-2</v>
      </c>
      <c r="Q161" s="18">
        <f t="shared" si="81"/>
        <v>1.1999570086251353E-2</v>
      </c>
      <c r="R161" s="18">
        <f t="shared" si="83"/>
        <v>4.7219346023323784E-4</v>
      </c>
      <c r="S161" s="18">
        <f t="shared" si="85"/>
        <v>4.5945821003159776E-3</v>
      </c>
      <c r="T161" s="18">
        <f t="shared" si="87"/>
        <v>7.9949873024400767E-3</v>
      </c>
      <c r="U161" s="18">
        <f t="shared" si="89"/>
        <v>9.2470602731562282E-3</v>
      </c>
      <c r="V161" s="18">
        <f t="shared" si="90"/>
        <v>2.561988322017264E-2</v>
      </c>
      <c r="W161" s="18">
        <f t="shared" si="91"/>
        <v>1.2527603368931117E-2</v>
      </c>
      <c r="X161" s="18">
        <f t="shared" si="92"/>
        <v>6.8561242147076231E-4</v>
      </c>
      <c r="Y161" s="18">
        <f t="shared" si="93"/>
        <v>5.7505010646691935E-3</v>
      </c>
      <c r="AA161" s="18">
        <f t="shared" si="75"/>
        <v>-0.12429982202932956</v>
      </c>
      <c r="AB161" s="18">
        <f t="shared" si="76"/>
        <v>1.5450445756523001E-2</v>
      </c>
      <c r="AC161" s="18">
        <f t="shared" si="78"/>
        <v>2.0306041827896238E-4</v>
      </c>
      <c r="AD161" s="18">
        <f t="shared" si="80"/>
        <v>3.8706349895781945E-3</v>
      </c>
      <c r="AE161" s="18">
        <f t="shared" si="82"/>
        <v>3.7341141025364353E-3</v>
      </c>
      <c r="AF161" s="18">
        <f t="shared" si="84"/>
        <v>1.451264704788038E-2</v>
      </c>
      <c r="AG161" s="18">
        <f t="shared" si="86"/>
        <v>3.1149382051034913E-3</v>
      </c>
      <c r="AH161" s="18">
        <f t="shared" si="88"/>
        <v>1.2710590488505246E-2</v>
      </c>
      <c r="AJ161" s="18">
        <f>IF(ISNUMBER(Kernel!M161),Kernel!M161,"")</f>
        <v>-0.11727534350576216</v>
      </c>
      <c r="AK161" s="18">
        <f t="shared" si="73"/>
        <v>1.3753506194394511E-2</v>
      </c>
      <c r="AN161" s="18">
        <f>IF(ISNUMBER(Volcanic!G161),Volcanic!G161,"")</f>
        <v>4.5999999999999999E-3</v>
      </c>
    </row>
    <row r="162" spans="1:40">
      <c r="A162" s="18" t="str">
        <f>IF(Volcanic!A162="","",Volcanic!A162)</f>
        <v>7/1971</v>
      </c>
      <c r="B162" s="18">
        <f>IF(ISNUMBER(Volcanic!L162),Volcanic!L162,"")</f>
        <v>1971.5416666666667</v>
      </c>
      <c r="C162" s="18">
        <f>IF(ISNUMBER(Volcanic!J162),Volcanic!J162,"")</f>
        <v>-3.7372712005190149E-2</v>
      </c>
      <c r="D162" s="18">
        <f t="shared" si="66"/>
        <v>1.3967196026228839E-3</v>
      </c>
      <c r="E162" s="18">
        <f>IF(ISNUMBER(Volcanic!C162),Volcanic!C162,"")</f>
        <v>0.22545122302563764</v>
      </c>
      <c r="F162" s="18">
        <f>IF(ISNUMBER(Volcanic!D162),Volcanic!D162,"")</f>
        <v>-0.81</v>
      </c>
      <c r="G162" s="18">
        <f>IF(ISNUMBER(Volcanic!E162),Volcanic!E162,"")</f>
        <v>5.4900000000000001E-3</v>
      </c>
      <c r="H162" s="18">
        <f t="shared" si="67"/>
        <v>5.0828253963755801E-2</v>
      </c>
      <c r="I162" s="18">
        <f t="shared" si="68"/>
        <v>0.65610000000000013</v>
      </c>
      <c r="J162" s="18">
        <f t="shared" si="69"/>
        <v>3.01401E-5</v>
      </c>
      <c r="K162" s="18">
        <f t="shared" si="70"/>
        <v>-0.18261549065076649</v>
      </c>
      <c r="L162" s="18">
        <f t="shared" si="71"/>
        <v>1.2377272144107508E-3</v>
      </c>
      <c r="M162" s="18">
        <f t="shared" si="72"/>
        <v>-4.4469000000000002E-3</v>
      </c>
      <c r="N162" s="18">
        <f t="shared" si="74"/>
        <v>1.3496689273949645E-2</v>
      </c>
      <c r="O162" s="18">
        <f t="shared" si="77"/>
        <v>2.6109966920341267E-4</v>
      </c>
      <c r="P162" s="18">
        <f t="shared" si="79"/>
        <v>1.4409835747058119E-5</v>
      </c>
      <c r="Q162" s="18">
        <f t="shared" si="81"/>
        <v>1.3499102281937733E-2</v>
      </c>
      <c r="R162" s="18">
        <f t="shared" si="83"/>
        <v>1.1999570086251353E-2</v>
      </c>
      <c r="S162" s="18">
        <f t="shared" si="85"/>
        <v>4.7219346023323784E-4</v>
      </c>
      <c r="T162" s="18">
        <f t="shared" si="87"/>
        <v>4.5945821003159776E-3</v>
      </c>
      <c r="U162" s="18">
        <f t="shared" si="89"/>
        <v>7.9949873024400767E-3</v>
      </c>
      <c r="V162" s="18">
        <f t="shared" si="90"/>
        <v>9.2470602731562282E-3</v>
      </c>
      <c r="W162" s="18">
        <f t="shared" si="91"/>
        <v>2.561988322017264E-2</v>
      </c>
      <c r="X162" s="18">
        <f t="shared" si="92"/>
        <v>1.2527603368931117E-2</v>
      </c>
      <c r="Y162" s="18">
        <f t="shared" si="93"/>
        <v>6.8561242147076231E-4</v>
      </c>
      <c r="AA162" s="18">
        <f t="shared" si="75"/>
        <v>2.1040465082036594E-2</v>
      </c>
      <c r="AB162" s="18">
        <f t="shared" si="76"/>
        <v>4.4270117086840118E-4</v>
      </c>
      <c r="AC162" s="18">
        <f t="shared" si="78"/>
        <v>1.5450445756523001E-2</v>
      </c>
      <c r="AD162" s="18">
        <f t="shared" si="80"/>
        <v>2.0306041827896238E-4</v>
      </c>
      <c r="AE162" s="18">
        <f t="shared" si="82"/>
        <v>3.8706349895781945E-3</v>
      </c>
      <c r="AF162" s="18">
        <f t="shared" si="84"/>
        <v>3.7341141025364353E-3</v>
      </c>
      <c r="AG162" s="18">
        <f t="shared" si="86"/>
        <v>1.451264704788038E-2</v>
      </c>
      <c r="AH162" s="18">
        <f t="shared" si="88"/>
        <v>3.1149382051034913E-3</v>
      </c>
      <c r="AJ162" s="18">
        <f>IF(ISNUMBER(Kernel!M162),Kernel!M162,"")</f>
        <v>-1.4632374225457219E-2</v>
      </c>
      <c r="AK162" s="18">
        <f t="shared" si="73"/>
        <v>2.1410637547382476E-4</v>
      </c>
      <c r="AN162" s="18">
        <f>IF(ISNUMBER(Volcanic!G162),Volcanic!G162,"")</f>
        <v>4.6100000000000004E-3</v>
      </c>
    </row>
    <row r="163" spans="1:40">
      <c r="A163" s="18" t="str">
        <f>IF(Volcanic!A163="","",Volcanic!A163)</f>
        <v>8/1971</v>
      </c>
      <c r="B163" s="18">
        <f>IF(ISNUMBER(Volcanic!L163),Volcanic!L163,"")</f>
        <v>1971.625</v>
      </c>
      <c r="C163" s="18">
        <f>IF(ISNUMBER(Volcanic!J163),Volcanic!J163,"")</f>
        <v>3.6948758461549512E-2</v>
      </c>
      <c r="D163" s="18">
        <f t="shared" si="66"/>
        <v>1.3652107518499267E-3</v>
      </c>
      <c r="E163" s="18">
        <f>IF(ISNUMBER(Volcanic!C163),Volcanic!C163,"")</f>
        <v>0.21692042585687715</v>
      </c>
      <c r="F163" s="18">
        <f>IF(ISNUMBER(Volcanic!D163),Volcanic!D163,"")</f>
        <v>-0.72</v>
      </c>
      <c r="G163" s="18">
        <f>IF(ISNUMBER(Volcanic!E163),Volcanic!E163,"")</f>
        <v>5.2199999999999998E-3</v>
      </c>
      <c r="H163" s="18">
        <f t="shared" si="67"/>
        <v>4.705447115392894E-2</v>
      </c>
      <c r="I163" s="18">
        <f t="shared" si="68"/>
        <v>0.51839999999999997</v>
      </c>
      <c r="J163" s="18">
        <f t="shared" si="69"/>
        <v>2.7248399999999998E-5</v>
      </c>
      <c r="K163" s="18">
        <f t="shared" si="70"/>
        <v>-0.15618270661695155</v>
      </c>
      <c r="L163" s="18">
        <f t="shared" si="71"/>
        <v>1.1323246229728986E-3</v>
      </c>
      <c r="M163" s="18">
        <f t="shared" si="72"/>
        <v>-3.7583999999999998E-3</v>
      </c>
      <c r="N163" s="18">
        <f t="shared" si="74"/>
        <v>1.3967196026228839E-3</v>
      </c>
      <c r="O163" s="18">
        <f t="shared" si="77"/>
        <v>1.3496689273949645E-2</v>
      </c>
      <c r="P163" s="18">
        <f t="shared" si="79"/>
        <v>2.6109966920341267E-4</v>
      </c>
      <c r="Q163" s="18">
        <f t="shared" si="81"/>
        <v>1.4409835747058119E-5</v>
      </c>
      <c r="R163" s="18">
        <f t="shared" si="83"/>
        <v>1.3499102281937733E-2</v>
      </c>
      <c r="S163" s="18">
        <f t="shared" si="85"/>
        <v>1.1999570086251353E-2</v>
      </c>
      <c r="T163" s="18">
        <f t="shared" si="87"/>
        <v>4.7219346023323784E-4</v>
      </c>
      <c r="U163" s="18">
        <f t="shared" si="89"/>
        <v>4.5945821003159776E-3</v>
      </c>
      <c r="V163" s="18">
        <f t="shared" si="90"/>
        <v>7.9949873024400767E-3</v>
      </c>
      <c r="W163" s="18">
        <f t="shared" si="91"/>
        <v>9.2470602731562282E-3</v>
      </c>
      <c r="X163" s="18">
        <f t="shared" si="92"/>
        <v>2.561988322017264E-2</v>
      </c>
      <c r="Y163" s="18">
        <f t="shared" si="93"/>
        <v>1.2527603368931117E-2</v>
      </c>
      <c r="AA163" s="18">
        <f t="shared" si="75"/>
        <v>5.5739841753279451E-2</v>
      </c>
      <c r="AB163" s="18">
        <f t="shared" si="76"/>
        <v>3.1069299586806353E-3</v>
      </c>
      <c r="AC163" s="18">
        <f t="shared" si="78"/>
        <v>4.4270117086840118E-4</v>
      </c>
      <c r="AD163" s="18">
        <f t="shared" si="80"/>
        <v>1.5450445756523001E-2</v>
      </c>
      <c r="AE163" s="18">
        <f t="shared" si="82"/>
        <v>2.0306041827896238E-4</v>
      </c>
      <c r="AF163" s="18">
        <f t="shared" si="84"/>
        <v>3.8706349895781945E-3</v>
      </c>
      <c r="AG163" s="18">
        <f t="shared" si="86"/>
        <v>3.7341141025364353E-3</v>
      </c>
      <c r="AH163" s="18">
        <f t="shared" si="88"/>
        <v>1.451264704788038E-2</v>
      </c>
      <c r="AJ163" s="18">
        <f>IF(ISNUMBER(Kernel!M163),Kernel!M163,"")</f>
        <v>6.5183635097679909E-2</v>
      </c>
      <c r="AK163" s="18">
        <f t="shared" si="73"/>
        <v>4.2489062845474882E-3</v>
      </c>
      <c r="AN163" s="18">
        <f>IF(ISNUMBER(Volcanic!G163),Volcanic!G163,"")</f>
        <v>4.6600000000000001E-3</v>
      </c>
    </row>
    <row r="164" spans="1:40">
      <c r="A164" s="18" t="str">
        <f>IF(Volcanic!A164="","",Volcanic!A164)</f>
        <v>9/1971</v>
      </c>
      <c r="B164" s="18">
        <f>IF(ISNUMBER(Volcanic!L164),Volcanic!L164,"")</f>
        <v>1971.7083333333333</v>
      </c>
      <c r="C164" s="18">
        <f>IF(ISNUMBER(Volcanic!J164),Volcanic!J164,"")</f>
        <v>1.8679566987512483E-2</v>
      </c>
      <c r="D164" s="18">
        <f t="shared" si="66"/>
        <v>3.4892622284096617E-4</v>
      </c>
      <c r="E164" s="18">
        <f>IF(ISNUMBER(Volcanic!C164),Volcanic!C164,"")</f>
        <v>0.2077143996600441</v>
      </c>
      <c r="F164" s="18">
        <f>IF(ISNUMBER(Volcanic!D164),Volcanic!D164,"")</f>
        <v>-0.69</v>
      </c>
      <c r="G164" s="18">
        <f>IF(ISNUMBER(Volcanic!E164),Volcanic!E164,"")</f>
        <v>4.9500000000000004E-3</v>
      </c>
      <c r="H164" s="18">
        <f t="shared" si="67"/>
        <v>4.3145271826132529E-2</v>
      </c>
      <c r="I164" s="18">
        <f t="shared" si="68"/>
        <v>0.47609999999999991</v>
      </c>
      <c r="J164" s="18">
        <f t="shared" si="69"/>
        <v>2.4502500000000005E-5</v>
      </c>
      <c r="K164" s="18">
        <f t="shared" si="70"/>
        <v>-0.14332293576543043</v>
      </c>
      <c r="L164" s="18">
        <f t="shared" si="71"/>
        <v>1.0281862783172184E-3</v>
      </c>
      <c r="M164" s="18">
        <f t="shared" si="72"/>
        <v>-3.4155000000000001E-3</v>
      </c>
      <c r="N164" s="18">
        <f t="shared" si="74"/>
        <v>1.3652107518499267E-3</v>
      </c>
      <c r="O164" s="18">
        <f t="shared" si="77"/>
        <v>1.3967196026228839E-3</v>
      </c>
      <c r="P164" s="18">
        <f t="shared" si="79"/>
        <v>1.3496689273949645E-2</v>
      </c>
      <c r="Q164" s="18">
        <f t="shared" si="81"/>
        <v>2.6109966920341267E-4</v>
      </c>
      <c r="R164" s="18">
        <f t="shared" si="83"/>
        <v>1.4409835747058119E-5</v>
      </c>
      <c r="S164" s="18">
        <f t="shared" si="85"/>
        <v>1.3499102281937733E-2</v>
      </c>
      <c r="T164" s="18">
        <f t="shared" si="87"/>
        <v>1.1999570086251353E-2</v>
      </c>
      <c r="U164" s="18">
        <f t="shared" si="89"/>
        <v>4.7219346023323784E-4</v>
      </c>
      <c r="V164" s="18">
        <f t="shared" si="90"/>
        <v>4.5945821003159776E-3</v>
      </c>
      <c r="W164" s="18">
        <f t="shared" si="91"/>
        <v>7.9949873024400767E-3</v>
      </c>
      <c r="X164" s="18">
        <f t="shared" si="92"/>
        <v>9.2470602731562282E-3</v>
      </c>
      <c r="Y164" s="18">
        <f t="shared" si="93"/>
        <v>2.561988322017264E-2</v>
      </c>
      <c r="AA164" s="18">
        <f t="shared" si="75"/>
        <v>1.0164848696143577E-4</v>
      </c>
      <c r="AB164" s="18">
        <f t="shared" si="76"/>
        <v>1.0332414901549178E-8</v>
      </c>
      <c r="AC164" s="18">
        <f t="shared" si="78"/>
        <v>3.1069299586806353E-3</v>
      </c>
      <c r="AD164" s="18">
        <f t="shared" si="80"/>
        <v>4.4270117086840118E-4</v>
      </c>
      <c r="AE164" s="18">
        <f t="shared" si="82"/>
        <v>1.5450445756523001E-2</v>
      </c>
      <c r="AF164" s="18">
        <f t="shared" si="84"/>
        <v>2.0306041827896238E-4</v>
      </c>
      <c r="AG164" s="18">
        <f t="shared" si="86"/>
        <v>3.8706349895781945E-3</v>
      </c>
      <c r="AH164" s="18">
        <f t="shared" si="88"/>
        <v>3.7341141025364353E-3</v>
      </c>
      <c r="AJ164" s="18">
        <f>IF(ISNUMBER(Kernel!M164),Kernel!M164,"")</f>
        <v>4.9014606094582164E-2</v>
      </c>
      <c r="AK164" s="18">
        <f t="shared" si="73"/>
        <v>2.402431610607051E-3</v>
      </c>
      <c r="AN164" s="18">
        <f>IF(ISNUMBER(Volcanic!G164),Volcanic!G164,"")</f>
        <v>4.6699999999999997E-3</v>
      </c>
    </row>
    <row r="165" spans="1:40">
      <c r="A165" s="18" t="str">
        <f>IF(Volcanic!A165="","",Volcanic!A165)</f>
        <v>10/1971</v>
      </c>
      <c r="B165" s="18">
        <f>IF(ISNUMBER(Volcanic!L165),Volcanic!L165,"")</f>
        <v>1971.7916666666667</v>
      </c>
      <c r="C165" s="18">
        <f>IF(ISNUMBER(Volcanic!J165),Volcanic!J165,"")</f>
        <v>2.4878575432095332E-2</v>
      </c>
      <c r="D165" s="18">
        <f t="shared" si="66"/>
        <v>6.1894351553045746E-4</v>
      </c>
      <c r="E165" s="18">
        <f>IF(ISNUMBER(Volcanic!C165),Volcanic!C165,"")</f>
        <v>0.20860643891488381</v>
      </c>
      <c r="F165" s="18">
        <f>IF(ISNUMBER(Volcanic!D165),Volcanic!D165,"")</f>
        <v>-0.68</v>
      </c>
      <c r="G165" s="18">
        <f>IF(ISNUMBER(Volcanic!E165),Volcanic!E165,"")</f>
        <v>4.7499999999999999E-3</v>
      </c>
      <c r="H165" s="18">
        <f t="shared" si="67"/>
        <v>4.351664635674915E-2</v>
      </c>
      <c r="I165" s="18">
        <f t="shared" si="68"/>
        <v>0.46240000000000009</v>
      </c>
      <c r="J165" s="18">
        <f t="shared" si="69"/>
        <v>2.25625E-5</v>
      </c>
      <c r="K165" s="18">
        <f t="shared" si="70"/>
        <v>-0.14185237846212101</v>
      </c>
      <c r="L165" s="18">
        <f t="shared" si="71"/>
        <v>9.908805848456981E-4</v>
      </c>
      <c r="M165" s="18">
        <f t="shared" si="72"/>
        <v>-3.2300000000000002E-3</v>
      </c>
      <c r="N165" s="18">
        <f t="shared" si="74"/>
        <v>3.4892622284096617E-4</v>
      </c>
      <c r="O165" s="18">
        <f t="shared" si="77"/>
        <v>1.3652107518499267E-3</v>
      </c>
      <c r="P165" s="18">
        <f t="shared" si="79"/>
        <v>1.3967196026228839E-3</v>
      </c>
      <c r="Q165" s="18">
        <f t="shared" si="81"/>
        <v>1.3496689273949645E-2</v>
      </c>
      <c r="R165" s="18">
        <f t="shared" si="83"/>
        <v>2.6109966920341267E-4</v>
      </c>
      <c r="S165" s="18">
        <f t="shared" si="85"/>
        <v>1.4409835747058119E-5</v>
      </c>
      <c r="T165" s="18">
        <f t="shared" si="87"/>
        <v>1.3499102281937733E-2</v>
      </c>
      <c r="U165" s="18">
        <f t="shared" si="89"/>
        <v>1.1999570086251353E-2</v>
      </c>
      <c r="V165" s="18">
        <f t="shared" si="90"/>
        <v>4.7219346023323784E-4</v>
      </c>
      <c r="W165" s="18">
        <f t="shared" si="91"/>
        <v>4.5945821003159776E-3</v>
      </c>
      <c r="X165" s="18">
        <f t="shared" si="92"/>
        <v>7.9949873024400767E-3</v>
      </c>
      <c r="Y165" s="18">
        <f t="shared" si="93"/>
        <v>9.2470602731562282E-3</v>
      </c>
      <c r="AA165" s="18">
        <f t="shared" si="75"/>
        <v>1.5486447318217767E-2</v>
      </c>
      <c r="AB165" s="18">
        <f t="shared" si="76"/>
        <v>2.3983005053993426E-4</v>
      </c>
      <c r="AC165" s="18">
        <f t="shared" si="78"/>
        <v>1.0332414901549178E-8</v>
      </c>
      <c r="AD165" s="18">
        <f t="shared" si="80"/>
        <v>3.1069299586806353E-3</v>
      </c>
      <c r="AE165" s="18">
        <f t="shared" si="82"/>
        <v>4.4270117086840118E-4</v>
      </c>
      <c r="AF165" s="18">
        <f t="shared" si="84"/>
        <v>1.5450445756523001E-2</v>
      </c>
      <c r="AG165" s="18">
        <f t="shared" si="86"/>
        <v>2.0306041827896238E-4</v>
      </c>
      <c r="AH165" s="18">
        <f t="shared" si="88"/>
        <v>3.8706349895781945E-3</v>
      </c>
      <c r="AJ165" s="18">
        <f>IF(ISNUMBER(Kernel!M165),Kernel!M165,"")</f>
        <v>5.7834233514547181E-2</v>
      </c>
      <c r="AK165" s="18">
        <f t="shared" si="73"/>
        <v>3.3447985662151724E-3</v>
      </c>
      <c r="AN165" s="18">
        <f>IF(ISNUMBER(Volcanic!G165),Volcanic!G165,"")</f>
        <v>4.7000000000000002E-3</v>
      </c>
    </row>
    <row r="166" spans="1:40">
      <c r="A166" s="18" t="str">
        <f>IF(Volcanic!A166="","",Volcanic!A166)</f>
        <v>11/1971</v>
      </c>
      <c r="B166" s="18">
        <f>IF(ISNUMBER(Volcanic!L166),Volcanic!L166,"")</f>
        <v>1971.875</v>
      </c>
      <c r="C166" s="18">
        <f>IF(ISNUMBER(Volcanic!J166),Volcanic!J166,"")</f>
        <v>-2.777198943009529E-2</v>
      </c>
      <c r="D166" s="18">
        <f t="shared" si="66"/>
        <v>7.7128339690532447E-4</v>
      </c>
      <c r="E166" s="18">
        <f>IF(ISNUMBER(Volcanic!C166),Volcanic!C166,"")</f>
        <v>0.21412480535284761</v>
      </c>
      <c r="F166" s="18">
        <f>IF(ISNUMBER(Volcanic!D166),Volcanic!D166,"")</f>
        <v>-0.6</v>
      </c>
      <c r="G166" s="18">
        <f>IF(ISNUMBER(Volcanic!E166),Volcanic!E166,"")</f>
        <v>4.6699999999999997E-3</v>
      </c>
      <c r="H166" s="18">
        <f t="shared" si="67"/>
        <v>4.584943226739488E-2</v>
      </c>
      <c r="I166" s="18">
        <f t="shared" si="68"/>
        <v>0.36</v>
      </c>
      <c r="J166" s="18">
        <f t="shared" si="69"/>
        <v>2.1808899999999997E-5</v>
      </c>
      <c r="K166" s="18">
        <f t="shared" si="70"/>
        <v>-0.12847488321170855</v>
      </c>
      <c r="L166" s="18">
        <f t="shared" si="71"/>
        <v>9.9996284099779838E-4</v>
      </c>
      <c r="M166" s="18">
        <f t="shared" si="72"/>
        <v>-2.8019999999999998E-3</v>
      </c>
      <c r="N166" s="18">
        <f t="shared" si="74"/>
        <v>6.1894351553045746E-4</v>
      </c>
      <c r="O166" s="18">
        <f t="shared" si="77"/>
        <v>3.4892622284096617E-4</v>
      </c>
      <c r="P166" s="18">
        <f t="shared" si="79"/>
        <v>1.3652107518499267E-3</v>
      </c>
      <c r="Q166" s="18">
        <f t="shared" si="81"/>
        <v>1.3967196026228839E-3</v>
      </c>
      <c r="R166" s="18">
        <f t="shared" si="83"/>
        <v>1.3496689273949645E-2</v>
      </c>
      <c r="S166" s="18">
        <f t="shared" si="85"/>
        <v>2.6109966920341267E-4</v>
      </c>
      <c r="T166" s="18">
        <f t="shared" si="87"/>
        <v>1.4409835747058119E-5</v>
      </c>
      <c r="U166" s="18">
        <f t="shared" si="89"/>
        <v>1.3499102281937733E-2</v>
      </c>
      <c r="V166" s="18">
        <f t="shared" si="90"/>
        <v>1.1999570086251353E-2</v>
      </c>
      <c r="W166" s="18">
        <f t="shared" si="91"/>
        <v>4.7219346023323784E-4</v>
      </c>
      <c r="X166" s="18">
        <f t="shared" si="92"/>
        <v>4.5945821003159776E-3</v>
      </c>
      <c r="Y166" s="18">
        <f t="shared" si="93"/>
        <v>7.9949873024400767E-3</v>
      </c>
      <c r="AA166" s="18">
        <f t="shared" si="75"/>
        <v>-4.0280992872477689E-2</v>
      </c>
      <c r="AB166" s="18">
        <f t="shared" si="76"/>
        <v>1.6225583867925985E-3</v>
      </c>
      <c r="AC166" s="18">
        <f t="shared" si="78"/>
        <v>2.3983005053993426E-4</v>
      </c>
      <c r="AD166" s="18">
        <f t="shared" si="80"/>
        <v>1.0332414901549178E-8</v>
      </c>
      <c r="AE166" s="18">
        <f t="shared" si="82"/>
        <v>3.1069299586806353E-3</v>
      </c>
      <c r="AF166" s="18">
        <f t="shared" si="84"/>
        <v>4.4270117086840118E-4</v>
      </c>
      <c r="AG166" s="18">
        <f t="shared" si="86"/>
        <v>1.5450445756523001E-2</v>
      </c>
      <c r="AH166" s="18">
        <f t="shared" si="88"/>
        <v>2.0306041827896238E-4</v>
      </c>
      <c r="AJ166" s="18">
        <f>IF(ISNUMBER(Kernel!M166),Kernel!M166,"")</f>
        <v>1.5616639213908934E-2</v>
      </c>
      <c r="AK166" s="18">
        <f t="shared" si="73"/>
        <v>2.4387942033739823E-4</v>
      </c>
      <c r="AN166" s="18">
        <f>IF(ISNUMBER(Volcanic!G166),Volcanic!G166,"")</f>
        <v>4.5799999999999999E-3</v>
      </c>
    </row>
    <row r="167" spans="1:40">
      <c r="A167" s="18" t="str">
        <f>IF(Volcanic!A167="","",Volcanic!A167)</f>
        <v>12/1971</v>
      </c>
      <c r="B167" s="18">
        <f>IF(ISNUMBER(Volcanic!L167),Volcanic!L167,"")</f>
        <v>1971.9583333333333</v>
      </c>
      <c r="C167" s="18">
        <f>IF(ISNUMBER(Volcanic!J167),Volcanic!J167,"")</f>
        <v>-4.5089915681596308E-2</v>
      </c>
      <c r="D167" s="18">
        <f t="shared" si="66"/>
        <v>2.0331004961734647E-3</v>
      </c>
      <c r="E167" s="18">
        <f>IF(ISNUMBER(Volcanic!C167),Volcanic!C167,"")</f>
        <v>0.21948939105648271</v>
      </c>
      <c r="F167" s="18">
        <f>IF(ISNUMBER(Volcanic!D167),Volcanic!D167,"")</f>
        <v>-0.68</v>
      </c>
      <c r="G167" s="18">
        <f>IF(ISNUMBER(Volcanic!E167),Volcanic!E167,"")</f>
        <v>4.62E-3</v>
      </c>
      <c r="H167" s="18">
        <f t="shared" si="67"/>
        <v>4.8175592786345596E-2</v>
      </c>
      <c r="I167" s="18">
        <f t="shared" si="68"/>
        <v>0.46240000000000009</v>
      </c>
      <c r="J167" s="18">
        <f t="shared" si="69"/>
        <v>2.1344399999999998E-5</v>
      </c>
      <c r="K167" s="18">
        <f t="shared" si="70"/>
        <v>-0.14925278591840827</v>
      </c>
      <c r="L167" s="18">
        <f t="shared" si="71"/>
        <v>1.0140409866809502E-3</v>
      </c>
      <c r="M167" s="18">
        <f t="shared" si="72"/>
        <v>-3.1416E-3</v>
      </c>
      <c r="N167" s="18">
        <f t="shared" si="74"/>
        <v>7.7128339690532447E-4</v>
      </c>
      <c r="O167" s="18">
        <f t="shared" si="77"/>
        <v>6.1894351553045746E-4</v>
      </c>
      <c r="P167" s="18">
        <f t="shared" si="79"/>
        <v>3.4892622284096617E-4</v>
      </c>
      <c r="Q167" s="18">
        <f t="shared" si="81"/>
        <v>1.3652107518499267E-3</v>
      </c>
      <c r="R167" s="18">
        <f t="shared" si="83"/>
        <v>1.3967196026228839E-3</v>
      </c>
      <c r="S167" s="18">
        <f t="shared" si="85"/>
        <v>1.3496689273949645E-2</v>
      </c>
      <c r="T167" s="18">
        <f t="shared" si="87"/>
        <v>2.6109966920341267E-4</v>
      </c>
      <c r="U167" s="18">
        <f t="shared" si="89"/>
        <v>1.4409835747058119E-5</v>
      </c>
      <c r="V167" s="18">
        <f t="shared" si="90"/>
        <v>1.3499102281937733E-2</v>
      </c>
      <c r="W167" s="18">
        <f t="shared" si="91"/>
        <v>1.1999570086251353E-2</v>
      </c>
      <c r="X167" s="18">
        <f t="shared" si="92"/>
        <v>4.7219346023323784E-4</v>
      </c>
      <c r="Y167" s="18">
        <f t="shared" si="93"/>
        <v>4.5945821003159776E-3</v>
      </c>
      <c r="AA167" s="18">
        <f t="shared" si="75"/>
        <v>-3.1126097201270617E-2</v>
      </c>
      <c r="AB167" s="18">
        <f t="shared" si="76"/>
        <v>9.6883392698294657E-4</v>
      </c>
      <c r="AC167" s="18">
        <f t="shared" si="78"/>
        <v>1.6225583867925985E-3</v>
      </c>
      <c r="AD167" s="18">
        <f t="shared" si="80"/>
        <v>2.3983005053993426E-4</v>
      </c>
      <c r="AE167" s="18">
        <f t="shared" si="82"/>
        <v>1.0332414901549178E-8</v>
      </c>
      <c r="AF167" s="18">
        <f t="shared" si="84"/>
        <v>3.1069299586806353E-3</v>
      </c>
      <c r="AG167" s="18">
        <f t="shared" si="86"/>
        <v>4.4270117086840118E-4</v>
      </c>
      <c r="AH167" s="18">
        <f t="shared" si="88"/>
        <v>1.5450445756523001E-2</v>
      </c>
      <c r="AJ167" s="18">
        <f>IF(ISNUMBER(Kernel!M167),Kernel!M167,"")</f>
        <v>-8.4119022024112394E-3</v>
      </c>
      <c r="AK167" s="18">
        <f t="shared" si="73"/>
        <v>7.0760098662931063E-5</v>
      </c>
      <c r="AN167" s="18">
        <f>IF(ISNUMBER(Volcanic!G167),Volcanic!G167,"")</f>
        <v>4.4299999999999999E-3</v>
      </c>
    </row>
    <row r="168" spans="1:40">
      <c r="A168" s="18" t="str">
        <f>IF(Volcanic!A168="","",Volcanic!A168)</f>
        <v>1/1972</v>
      </c>
      <c r="B168" s="18">
        <f>IF(ISNUMBER(Volcanic!L168),Volcanic!L168,"")</f>
        <v>1972.0416666666667</v>
      </c>
      <c r="C168" s="18">
        <f>IF(ISNUMBER(Volcanic!J168),Volcanic!J168,"")</f>
        <v>-0.18501671974852069</v>
      </c>
      <c r="D168" s="18">
        <f t="shared" si="66"/>
        <v>3.4231186586502642E-2</v>
      </c>
      <c r="E168" s="18">
        <f>IF(ISNUMBER(Volcanic!C168),Volcanic!C168,"")</f>
        <v>0.22284871188886418</v>
      </c>
      <c r="F168" s="18">
        <f>IF(ISNUMBER(Volcanic!D168),Volcanic!D168,"")</f>
        <v>-0.78</v>
      </c>
      <c r="G168" s="18">
        <f>IF(ISNUMBER(Volcanic!E168),Volcanic!E168,"")</f>
        <v>4.5999999999999999E-3</v>
      </c>
      <c r="H168" s="18">
        <f t="shared" si="67"/>
        <v>4.9661548390525993E-2</v>
      </c>
      <c r="I168" s="18">
        <f t="shared" si="68"/>
        <v>0.60840000000000005</v>
      </c>
      <c r="J168" s="18">
        <f t="shared" si="69"/>
        <v>2.1160000000000001E-5</v>
      </c>
      <c r="K168" s="18">
        <f t="shared" si="70"/>
        <v>-0.17382199527331407</v>
      </c>
      <c r="L168" s="18">
        <f t="shared" si="71"/>
        <v>1.0251040746887751E-3</v>
      </c>
      <c r="M168" s="18">
        <f t="shared" si="72"/>
        <v>-3.588E-3</v>
      </c>
      <c r="N168" s="18">
        <f t="shared" si="74"/>
        <v>2.0331004961734647E-3</v>
      </c>
      <c r="O168" s="18">
        <f t="shared" si="77"/>
        <v>7.7128339690532447E-4</v>
      </c>
      <c r="P168" s="18">
        <f t="shared" si="79"/>
        <v>6.1894351553045746E-4</v>
      </c>
      <c r="Q168" s="18">
        <f t="shared" si="81"/>
        <v>3.4892622284096617E-4</v>
      </c>
      <c r="R168" s="18">
        <f t="shared" si="83"/>
        <v>1.3652107518499267E-3</v>
      </c>
      <c r="S168" s="18">
        <f t="shared" si="85"/>
        <v>1.3967196026228839E-3</v>
      </c>
      <c r="T168" s="18">
        <f t="shared" si="87"/>
        <v>1.3496689273949645E-2</v>
      </c>
      <c r="U168" s="18">
        <f t="shared" si="89"/>
        <v>2.6109966920341267E-4</v>
      </c>
      <c r="V168" s="18">
        <f t="shared" si="90"/>
        <v>1.4409835747058119E-5</v>
      </c>
      <c r="W168" s="18">
        <f t="shared" si="91"/>
        <v>1.3499102281937733E-2</v>
      </c>
      <c r="X168" s="18">
        <f t="shared" si="92"/>
        <v>1.1999570086251353E-2</v>
      </c>
      <c r="Y168" s="18">
        <f t="shared" si="93"/>
        <v>4.7219346023323784E-4</v>
      </c>
      <c r="AA168" s="18">
        <f t="shared" si="75"/>
        <v>-0.16234540916575407</v>
      </c>
      <c r="AB168" s="18">
        <f t="shared" si="76"/>
        <v>2.6356031877196106E-2</v>
      </c>
      <c r="AC168" s="18">
        <f t="shared" si="78"/>
        <v>9.6883392698294657E-4</v>
      </c>
      <c r="AD168" s="18">
        <f t="shared" si="80"/>
        <v>1.6225583867925985E-3</v>
      </c>
      <c r="AE168" s="18">
        <f t="shared" si="82"/>
        <v>2.3983005053993426E-4</v>
      </c>
      <c r="AF168" s="18">
        <f t="shared" si="84"/>
        <v>1.0332414901549178E-8</v>
      </c>
      <c r="AG168" s="18">
        <f t="shared" si="86"/>
        <v>3.1069299586806353E-3</v>
      </c>
      <c r="AH168" s="18">
        <f t="shared" si="88"/>
        <v>4.4270117086840118E-4</v>
      </c>
      <c r="AJ168" s="18">
        <f>IF(ISNUMBER(Kernel!M168),Kernel!M168,"")</f>
        <v>-0.16171376228441506</v>
      </c>
      <c r="AK168" s="18">
        <f t="shared" si="73"/>
        <v>2.6151340912180302E-2</v>
      </c>
      <c r="AN168" s="18">
        <f>IF(ISNUMBER(Volcanic!G168),Volcanic!G168,"")</f>
        <v>4.3E-3</v>
      </c>
    </row>
    <row r="169" spans="1:40">
      <c r="A169" s="18" t="str">
        <f>IF(Volcanic!A169="","",Volcanic!A169)</f>
        <v>2/1972</v>
      </c>
      <c r="B169" s="18">
        <f>IF(ISNUMBER(Volcanic!L169),Volcanic!L169,"")</f>
        <v>1972.125</v>
      </c>
      <c r="C169" s="18">
        <f>IF(ISNUMBER(Volcanic!J169),Volcanic!J169,"")</f>
        <v>-0.14791331427480936</v>
      </c>
      <c r="D169" s="18">
        <f t="shared" si="66"/>
        <v>2.1878348539758521E-2</v>
      </c>
      <c r="E169" s="18">
        <f>IF(ISNUMBER(Volcanic!C169),Volcanic!C169,"")</f>
        <v>0.22664063869031495</v>
      </c>
      <c r="F169" s="18">
        <f>IF(ISNUMBER(Volcanic!D169),Volcanic!D169,"")</f>
        <v>-0.86</v>
      </c>
      <c r="G169" s="18">
        <f>IF(ISNUMBER(Volcanic!E169),Volcanic!E169,"")</f>
        <v>4.6100000000000004E-3</v>
      </c>
      <c r="H169" s="18">
        <f t="shared" si="67"/>
        <v>5.1365979105953884E-2</v>
      </c>
      <c r="I169" s="18">
        <f t="shared" si="68"/>
        <v>0.73959999999999992</v>
      </c>
      <c r="J169" s="18">
        <f t="shared" si="69"/>
        <v>2.1252100000000003E-5</v>
      </c>
      <c r="K169" s="18">
        <f t="shared" si="70"/>
        <v>-0.19491094927367086</v>
      </c>
      <c r="L169" s="18">
        <f t="shared" si="71"/>
        <v>1.0448133443623519E-3</v>
      </c>
      <c r="M169" s="18">
        <f t="shared" si="72"/>
        <v>-3.9646000000000004E-3</v>
      </c>
      <c r="N169" s="18">
        <f t="shared" si="74"/>
        <v>3.4231186586502642E-2</v>
      </c>
      <c r="O169" s="18">
        <f t="shared" si="77"/>
        <v>2.0331004961734647E-3</v>
      </c>
      <c r="P169" s="18">
        <f t="shared" si="79"/>
        <v>7.7128339690532447E-4</v>
      </c>
      <c r="Q169" s="18">
        <f t="shared" si="81"/>
        <v>6.1894351553045746E-4</v>
      </c>
      <c r="R169" s="18">
        <f t="shared" si="83"/>
        <v>3.4892622284096617E-4</v>
      </c>
      <c r="S169" s="18">
        <f t="shared" si="85"/>
        <v>1.3652107518499267E-3</v>
      </c>
      <c r="T169" s="18">
        <f t="shared" si="87"/>
        <v>1.3967196026228839E-3</v>
      </c>
      <c r="U169" s="18">
        <f t="shared" si="89"/>
        <v>1.3496689273949645E-2</v>
      </c>
      <c r="V169" s="18">
        <f t="shared" si="90"/>
        <v>2.6109966920341267E-4</v>
      </c>
      <c r="W169" s="18">
        <f t="shared" si="91"/>
        <v>1.4409835747058119E-5</v>
      </c>
      <c r="X169" s="18">
        <f t="shared" si="92"/>
        <v>1.3499102281937733E-2</v>
      </c>
      <c r="Y169" s="18">
        <f t="shared" si="93"/>
        <v>1.1999570086251353E-2</v>
      </c>
      <c r="AA169" s="18">
        <f t="shared" si="75"/>
        <v>-5.4886493243617274E-2</v>
      </c>
      <c r="AB169" s="18">
        <f t="shared" si="76"/>
        <v>3.0125271405816445E-3</v>
      </c>
      <c r="AC169" s="18">
        <f t="shared" si="78"/>
        <v>2.6356031877196106E-2</v>
      </c>
      <c r="AD169" s="18">
        <f t="shared" si="80"/>
        <v>9.6883392698294657E-4</v>
      </c>
      <c r="AE169" s="18">
        <f t="shared" si="82"/>
        <v>1.6225583867925985E-3</v>
      </c>
      <c r="AF169" s="18">
        <f t="shared" si="84"/>
        <v>2.3983005053993426E-4</v>
      </c>
      <c r="AG169" s="18">
        <f t="shared" si="86"/>
        <v>1.0332414901549178E-8</v>
      </c>
      <c r="AH169" s="18">
        <f t="shared" si="88"/>
        <v>3.1069299586806353E-3</v>
      </c>
      <c r="AJ169" s="18">
        <f>IF(ISNUMBER(Kernel!M169),Kernel!M169,"")</f>
        <v>-0.14211528769770543</v>
      </c>
      <c r="AK169" s="18">
        <f t="shared" si="73"/>
        <v>2.0196754997401582E-2</v>
      </c>
      <c r="AN169" s="18">
        <f>IF(ISNUMBER(Volcanic!G169),Volcanic!G169,"")</f>
        <v>4.15E-3</v>
      </c>
    </row>
    <row r="170" spans="1:40">
      <c r="A170" s="18" t="str">
        <f>IF(Volcanic!A170="","",Volcanic!A170)</f>
        <v>3/1972</v>
      </c>
      <c r="B170" s="18">
        <f>IF(ISNUMBER(Volcanic!L170),Volcanic!L170,"")</f>
        <v>1972.2083333333333</v>
      </c>
      <c r="C170" s="18">
        <f>IF(ISNUMBER(Volcanic!J170),Volcanic!J170,"")</f>
        <v>5.3332163217630846E-2</v>
      </c>
      <c r="D170" s="18">
        <f t="shared" si="66"/>
        <v>2.8443196334720167E-3</v>
      </c>
      <c r="E170" s="18">
        <f>IF(ISNUMBER(Volcanic!C170),Volcanic!C170,"")</f>
        <v>0.22716895327678804</v>
      </c>
      <c r="F170" s="18">
        <f>IF(ISNUMBER(Volcanic!D170),Volcanic!D170,"")</f>
        <v>-0.78</v>
      </c>
      <c r="G170" s="18">
        <f>IF(ISNUMBER(Volcanic!E170),Volcanic!E170,"")</f>
        <v>4.6600000000000001E-3</v>
      </c>
      <c r="H170" s="18">
        <f t="shared" si="67"/>
        <v>5.1605733332871509E-2</v>
      </c>
      <c r="I170" s="18">
        <f t="shared" si="68"/>
        <v>0.60840000000000005</v>
      </c>
      <c r="J170" s="18">
        <f t="shared" si="69"/>
        <v>2.1715599999999999E-5</v>
      </c>
      <c r="K170" s="18">
        <f t="shared" si="70"/>
        <v>-0.17719178355589468</v>
      </c>
      <c r="L170" s="18">
        <f t="shared" si="71"/>
        <v>1.0586073222698324E-3</v>
      </c>
      <c r="M170" s="18">
        <f t="shared" si="72"/>
        <v>-3.6348000000000001E-3</v>
      </c>
      <c r="N170" s="18">
        <f t="shared" si="74"/>
        <v>2.1878348539758521E-2</v>
      </c>
      <c r="O170" s="18">
        <f t="shared" si="77"/>
        <v>3.4231186586502642E-2</v>
      </c>
      <c r="P170" s="18">
        <f t="shared" si="79"/>
        <v>2.0331004961734647E-3</v>
      </c>
      <c r="Q170" s="18">
        <f t="shared" si="81"/>
        <v>7.7128339690532447E-4</v>
      </c>
      <c r="R170" s="18">
        <f t="shared" si="83"/>
        <v>6.1894351553045746E-4</v>
      </c>
      <c r="S170" s="18">
        <f t="shared" si="85"/>
        <v>3.4892622284096617E-4</v>
      </c>
      <c r="T170" s="18">
        <f t="shared" si="87"/>
        <v>1.3652107518499267E-3</v>
      </c>
      <c r="U170" s="18">
        <f t="shared" si="89"/>
        <v>1.3967196026228839E-3</v>
      </c>
      <c r="V170" s="18">
        <f t="shared" si="90"/>
        <v>1.3496689273949645E-2</v>
      </c>
      <c r="W170" s="18">
        <f t="shared" si="91"/>
        <v>2.6109966920341267E-4</v>
      </c>
      <c r="X170" s="18">
        <f t="shared" si="92"/>
        <v>1.4409835747058119E-5</v>
      </c>
      <c r="Y170" s="18">
        <f t="shared" si="93"/>
        <v>1.3499102281937733E-2</v>
      </c>
      <c r="AA170" s="18">
        <f t="shared" si="75"/>
        <v>0.12770330888422771</v>
      </c>
      <c r="AB170" s="18">
        <f t="shared" si="76"/>
        <v>1.630813509998047E-2</v>
      </c>
      <c r="AC170" s="18">
        <f t="shared" si="78"/>
        <v>3.0125271405816445E-3</v>
      </c>
      <c r="AD170" s="18">
        <f t="shared" si="80"/>
        <v>2.6356031877196106E-2</v>
      </c>
      <c r="AE170" s="18">
        <f t="shared" si="82"/>
        <v>9.6883392698294657E-4</v>
      </c>
      <c r="AF170" s="18">
        <f t="shared" si="84"/>
        <v>1.6225583867925985E-3</v>
      </c>
      <c r="AG170" s="18">
        <f t="shared" si="86"/>
        <v>2.3983005053993426E-4</v>
      </c>
      <c r="AH170" s="18">
        <f t="shared" si="88"/>
        <v>1.0332414901549178E-8</v>
      </c>
      <c r="AJ170" s="18">
        <f>IF(ISNUMBER(Kernel!M170),Kernel!M170,"")</f>
        <v>5.1085974305517166E-2</v>
      </c>
      <c r="AK170" s="18">
        <f t="shared" si="73"/>
        <v>2.6097767707439603E-3</v>
      </c>
      <c r="AN170" s="18">
        <f>IF(ISNUMBER(Volcanic!G170),Volcanic!G170,"")</f>
        <v>4.0499999999999998E-3</v>
      </c>
    </row>
    <row r="171" spans="1:40">
      <c r="A171" s="18" t="str">
        <f>IF(Volcanic!A171="","",Volcanic!A171)</f>
        <v>4/1972</v>
      </c>
      <c r="B171" s="18">
        <f>IF(ISNUMBER(Volcanic!L171),Volcanic!L171,"")</f>
        <v>1972.2916666666667</v>
      </c>
      <c r="C171" s="18">
        <f>IF(ISNUMBER(Volcanic!J171),Volcanic!J171,"")</f>
        <v>-1.9713072979335843E-2</v>
      </c>
      <c r="D171" s="18">
        <f t="shared" si="66"/>
        <v>3.8860524628862094E-4</v>
      </c>
      <c r="E171" s="18">
        <f>IF(ISNUMBER(Volcanic!C171),Volcanic!C171,"")</f>
        <v>0.23581457280650558</v>
      </c>
      <c r="F171" s="18">
        <f>IF(ISNUMBER(Volcanic!D171),Volcanic!D171,"")</f>
        <v>-0.56999999999999995</v>
      </c>
      <c r="G171" s="18">
        <f>IF(ISNUMBER(Volcanic!E171),Volcanic!E171,"")</f>
        <v>4.6699999999999997E-3</v>
      </c>
      <c r="H171" s="18">
        <f t="shared" si="67"/>
        <v>5.5608512747914722E-2</v>
      </c>
      <c r="I171" s="18">
        <f t="shared" si="68"/>
        <v>0.32489999999999997</v>
      </c>
      <c r="J171" s="18">
        <f t="shared" si="69"/>
        <v>2.1808899999999997E-5</v>
      </c>
      <c r="K171" s="18">
        <f t="shared" si="70"/>
        <v>-0.13441430649970817</v>
      </c>
      <c r="L171" s="18">
        <f t="shared" si="71"/>
        <v>1.101254055006381E-3</v>
      </c>
      <c r="M171" s="18">
        <f t="shared" si="72"/>
        <v>-2.6618999999999996E-3</v>
      </c>
      <c r="N171" s="18">
        <f t="shared" si="74"/>
        <v>2.8443196334720167E-3</v>
      </c>
      <c r="O171" s="18">
        <f t="shared" si="77"/>
        <v>2.1878348539758521E-2</v>
      </c>
      <c r="P171" s="18">
        <f t="shared" si="79"/>
        <v>3.4231186586502642E-2</v>
      </c>
      <c r="Q171" s="18">
        <f t="shared" si="81"/>
        <v>2.0331004961734647E-3</v>
      </c>
      <c r="R171" s="18">
        <f t="shared" si="83"/>
        <v>7.7128339690532447E-4</v>
      </c>
      <c r="S171" s="18">
        <f t="shared" si="85"/>
        <v>6.1894351553045746E-4</v>
      </c>
      <c r="T171" s="18">
        <f t="shared" si="87"/>
        <v>3.4892622284096617E-4</v>
      </c>
      <c r="U171" s="18">
        <f t="shared" si="89"/>
        <v>1.3652107518499267E-3</v>
      </c>
      <c r="V171" s="18">
        <f t="shared" si="90"/>
        <v>1.3967196026228839E-3</v>
      </c>
      <c r="W171" s="18">
        <f t="shared" si="91"/>
        <v>1.3496689273949645E-2</v>
      </c>
      <c r="X171" s="18">
        <f t="shared" si="92"/>
        <v>2.6109966920341267E-4</v>
      </c>
      <c r="Y171" s="18">
        <f t="shared" si="93"/>
        <v>1.4409835747058119E-5</v>
      </c>
      <c r="AA171" s="18">
        <f t="shared" si="75"/>
        <v>-4.6528604081586614E-2</v>
      </c>
      <c r="AB171" s="18">
        <f t="shared" si="76"/>
        <v>2.1649109977810383E-3</v>
      </c>
      <c r="AC171" s="18">
        <f t="shared" si="78"/>
        <v>1.630813509998047E-2</v>
      </c>
      <c r="AD171" s="18">
        <f t="shared" si="80"/>
        <v>3.0125271405816445E-3</v>
      </c>
      <c r="AE171" s="18">
        <f t="shared" si="82"/>
        <v>2.6356031877196106E-2</v>
      </c>
      <c r="AF171" s="18">
        <f t="shared" si="84"/>
        <v>9.6883392698294657E-4</v>
      </c>
      <c r="AG171" s="18">
        <f t="shared" si="86"/>
        <v>1.6225583867925985E-3</v>
      </c>
      <c r="AH171" s="18">
        <f t="shared" si="88"/>
        <v>2.3983005053993426E-4</v>
      </c>
      <c r="AJ171" s="18">
        <f>IF(ISNUMBER(Kernel!M171),Kernel!M171,"")</f>
        <v>-1.9884196915487148E-2</v>
      </c>
      <c r="AK171" s="18">
        <f t="shared" si="73"/>
        <v>3.9538128697386859E-4</v>
      </c>
      <c r="AN171" s="18">
        <f>IF(ISNUMBER(Volcanic!G171),Volcanic!G171,"")</f>
        <v>4.0699999999999998E-3</v>
      </c>
    </row>
    <row r="172" spans="1:40">
      <c r="A172" s="18" t="str">
        <f>IF(Volcanic!A172="","",Volcanic!A172)</f>
        <v>5/1972</v>
      </c>
      <c r="B172" s="18">
        <f>IF(ISNUMBER(Volcanic!L172),Volcanic!L172,"")</f>
        <v>1972.375</v>
      </c>
      <c r="C172" s="18">
        <f>IF(ISNUMBER(Volcanic!J172),Volcanic!J172,"")</f>
        <v>-8.166021493887822E-2</v>
      </c>
      <c r="D172" s="18">
        <f t="shared" si="66"/>
        <v>6.6683907038637899E-3</v>
      </c>
      <c r="E172" s="18">
        <f>IF(ISNUMBER(Volcanic!C172),Volcanic!C172,"")</f>
        <v>0.23734519106890656</v>
      </c>
      <c r="F172" s="18">
        <f>IF(ISNUMBER(Volcanic!D172),Volcanic!D172,"")</f>
        <v>-0.27</v>
      </c>
      <c r="G172" s="18">
        <f>IF(ISNUMBER(Volcanic!E172),Volcanic!E172,"")</f>
        <v>4.7000000000000002E-3</v>
      </c>
      <c r="H172" s="18">
        <f t="shared" si="67"/>
        <v>5.6332739723535759E-2</v>
      </c>
      <c r="I172" s="18">
        <f t="shared" si="68"/>
        <v>7.2900000000000006E-2</v>
      </c>
      <c r="J172" s="18">
        <f t="shared" si="69"/>
        <v>2.209E-5</v>
      </c>
      <c r="K172" s="18">
        <f t="shared" si="70"/>
        <v>-6.4083201588604768E-2</v>
      </c>
      <c r="L172" s="18">
        <f t="shared" si="71"/>
        <v>1.1155223980238609E-3</v>
      </c>
      <c r="M172" s="18">
        <f t="shared" si="72"/>
        <v>-1.2690000000000002E-3</v>
      </c>
      <c r="N172" s="18">
        <f t="shared" si="74"/>
        <v>3.8860524628862094E-4</v>
      </c>
      <c r="O172" s="18">
        <f t="shared" si="77"/>
        <v>2.8443196334720167E-3</v>
      </c>
      <c r="P172" s="18">
        <f t="shared" si="79"/>
        <v>2.1878348539758521E-2</v>
      </c>
      <c r="Q172" s="18">
        <f t="shared" si="81"/>
        <v>3.4231186586502642E-2</v>
      </c>
      <c r="R172" s="18">
        <f t="shared" si="83"/>
        <v>2.0331004961734647E-3</v>
      </c>
      <c r="S172" s="18">
        <f t="shared" si="85"/>
        <v>7.7128339690532447E-4</v>
      </c>
      <c r="T172" s="18">
        <f t="shared" si="87"/>
        <v>6.1894351553045746E-4</v>
      </c>
      <c r="U172" s="18">
        <f t="shared" si="89"/>
        <v>3.4892622284096617E-4</v>
      </c>
      <c r="V172" s="18">
        <f t="shared" si="90"/>
        <v>1.3652107518499267E-3</v>
      </c>
      <c r="W172" s="18">
        <f t="shared" si="91"/>
        <v>1.3967196026228839E-3</v>
      </c>
      <c r="X172" s="18">
        <f t="shared" si="92"/>
        <v>1.3496689273949645E-2</v>
      </c>
      <c r="Y172" s="18">
        <f t="shared" si="93"/>
        <v>2.6109966920341267E-4</v>
      </c>
      <c r="AA172" s="18">
        <f t="shared" si="75"/>
        <v>-7.1748437697793682E-2</v>
      </c>
      <c r="AB172" s="18">
        <f t="shared" si="76"/>
        <v>5.1478383120741817E-3</v>
      </c>
      <c r="AC172" s="18">
        <f t="shared" si="78"/>
        <v>2.1649109977810383E-3</v>
      </c>
      <c r="AD172" s="18">
        <f t="shared" si="80"/>
        <v>1.630813509998047E-2</v>
      </c>
      <c r="AE172" s="18">
        <f t="shared" si="82"/>
        <v>3.0125271405816445E-3</v>
      </c>
      <c r="AF172" s="18">
        <f t="shared" si="84"/>
        <v>2.6356031877196106E-2</v>
      </c>
      <c r="AG172" s="18">
        <f t="shared" si="86"/>
        <v>9.6883392698294657E-4</v>
      </c>
      <c r="AH172" s="18">
        <f t="shared" si="88"/>
        <v>1.6225583867925985E-3</v>
      </c>
      <c r="AJ172" s="18">
        <f>IF(ISNUMBER(Kernel!M172),Kernel!M172,"")</f>
        <v>-7.3924051978415894E-2</v>
      </c>
      <c r="AK172" s="18">
        <f t="shared" si="73"/>
        <v>5.4647654609075351E-3</v>
      </c>
      <c r="AN172" s="18">
        <f>IF(ISNUMBER(Volcanic!G172),Volcanic!G172,"")</f>
        <v>4.0899999999999999E-3</v>
      </c>
    </row>
    <row r="173" spans="1:40">
      <c r="A173" s="18" t="str">
        <f>IF(Volcanic!A173="","",Volcanic!A173)</f>
        <v>6/1972</v>
      </c>
      <c r="B173" s="18">
        <f>IF(ISNUMBER(Volcanic!L173),Volcanic!L173,"")</f>
        <v>1972.4583333333333</v>
      </c>
      <c r="C173" s="18">
        <f>IF(ISNUMBER(Volcanic!J173),Volcanic!J173,"")</f>
        <v>-2.8990518582088023E-2</v>
      </c>
      <c r="D173" s="18">
        <f t="shared" si="66"/>
        <v>8.4045016765839093E-4</v>
      </c>
      <c r="E173" s="18">
        <f>IF(ISNUMBER(Volcanic!C173),Volcanic!C173,"")</f>
        <v>0.23305536103738234</v>
      </c>
      <c r="F173" s="18">
        <f>IF(ISNUMBER(Volcanic!D173),Volcanic!D173,"")</f>
        <v>0.04</v>
      </c>
      <c r="G173" s="18">
        <f>IF(ISNUMBER(Volcanic!E173),Volcanic!E173,"")</f>
        <v>4.5799999999999999E-3</v>
      </c>
      <c r="H173" s="18">
        <f t="shared" si="67"/>
        <v>5.4314801308264632E-2</v>
      </c>
      <c r="I173" s="18">
        <f t="shared" si="68"/>
        <v>1.6000000000000001E-3</v>
      </c>
      <c r="J173" s="18">
        <f t="shared" si="69"/>
        <v>2.0976399999999998E-5</v>
      </c>
      <c r="K173" s="18">
        <f t="shared" si="70"/>
        <v>9.322214441495294E-3</v>
      </c>
      <c r="L173" s="18">
        <f t="shared" si="71"/>
        <v>1.067393553551211E-3</v>
      </c>
      <c r="M173" s="18">
        <f t="shared" si="72"/>
        <v>1.8320000000000001E-4</v>
      </c>
      <c r="N173" s="18">
        <f t="shared" si="74"/>
        <v>6.6683907038637899E-3</v>
      </c>
      <c r="O173" s="18">
        <f t="shared" si="77"/>
        <v>3.8860524628862094E-4</v>
      </c>
      <c r="P173" s="18">
        <f t="shared" si="79"/>
        <v>2.8443196334720167E-3</v>
      </c>
      <c r="Q173" s="18">
        <f t="shared" si="81"/>
        <v>2.1878348539758521E-2</v>
      </c>
      <c r="R173" s="18">
        <f t="shared" si="83"/>
        <v>3.4231186586502642E-2</v>
      </c>
      <c r="S173" s="18">
        <f t="shared" si="85"/>
        <v>2.0331004961734647E-3</v>
      </c>
      <c r="T173" s="18">
        <f t="shared" si="87"/>
        <v>7.7128339690532447E-4</v>
      </c>
      <c r="U173" s="18">
        <f t="shared" si="89"/>
        <v>6.1894351553045746E-4</v>
      </c>
      <c r="V173" s="18">
        <f t="shared" si="90"/>
        <v>3.4892622284096617E-4</v>
      </c>
      <c r="W173" s="18">
        <f t="shared" si="91"/>
        <v>1.3652107518499267E-3</v>
      </c>
      <c r="X173" s="18">
        <f t="shared" si="92"/>
        <v>1.3967196026228839E-3</v>
      </c>
      <c r="Y173" s="18">
        <f t="shared" si="93"/>
        <v>1.3496689273949645E-2</v>
      </c>
      <c r="AA173" s="18">
        <f t="shared" si="75"/>
        <v>1.2068420365771264E-2</v>
      </c>
      <c r="AB173" s="18">
        <f t="shared" si="76"/>
        <v>1.4564677012496262E-4</v>
      </c>
      <c r="AC173" s="18">
        <f t="shared" si="78"/>
        <v>5.1478383120741817E-3</v>
      </c>
      <c r="AD173" s="18">
        <f t="shared" si="80"/>
        <v>2.1649109977810383E-3</v>
      </c>
      <c r="AE173" s="18">
        <f t="shared" si="82"/>
        <v>1.630813509998047E-2</v>
      </c>
      <c r="AF173" s="18">
        <f t="shared" si="84"/>
        <v>3.0125271405816445E-3</v>
      </c>
      <c r="AG173" s="18">
        <f t="shared" si="86"/>
        <v>2.6356031877196106E-2</v>
      </c>
      <c r="AH173" s="18">
        <f t="shared" si="88"/>
        <v>9.6883392698294657E-4</v>
      </c>
      <c r="AJ173" s="18">
        <f>IF(ISNUMBER(Kernel!M173),Kernel!M173,"")</f>
        <v>-1.39491467298241E-2</v>
      </c>
      <c r="AK173" s="18">
        <f t="shared" si="73"/>
        <v>1.9457869449016237E-4</v>
      </c>
      <c r="AN173" s="18">
        <f>IF(ISNUMBER(Volcanic!G173),Volcanic!G173,"")</f>
        <v>4.15E-3</v>
      </c>
    </row>
    <row r="174" spans="1:40">
      <c r="A174" s="18" t="str">
        <f>IF(Volcanic!A174="","",Volcanic!A174)</f>
        <v>7/1972</v>
      </c>
      <c r="B174" s="18">
        <f>IF(ISNUMBER(Volcanic!L174),Volcanic!L174,"")</f>
        <v>1972.5416666666667</v>
      </c>
      <c r="C174" s="18">
        <f>IF(ISNUMBER(Volcanic!J174),Volcanic!J174,"")</f>
        <v>-6.6232875842940367E-2</v>
      </c>
      <c r="D174" s="18">
        <f t="shared" si="66"/>
        <v>4.3867938424263534E-3</v>
      </c>
      <c r="E174" s="18">
        <f>IF(ISNUMBER(Volcanic!C174),Volcanic!C174,"")</f>
        <v>0.2284449153656577</v>
      </c>
      <c r="F174" s="18">
        <f>IF(ISNUMBER(Volcanic!D174),Volcanic!D174,"")</f>
        <v>0.25</v>
      </c>
      <c r="G174" s="18">
        <f>IF(ISNUMBER(Volcanic!E174),Volcanic!E174,"")</f>
        <v>4.4299999999999999E-3</v>
      </c>
      <c r="H174" s="18">
        <f t="shared" si="67"/>
        <v>5.2187079356422507E-2</v>
      </c>
      <c r="I174" s="18">
        <f t="shared" si="68"/>
        <v>6.25E-2</v>
      </c>
      <c r="J174" s="18">
        <f t="shared" si="69"/>
        <v>1.9624899999999999E-5</v>
      </c>
      <c r="K174" s="18">
        <f t="shared" si="70"/>
        <v>5.7111228841414424E-2</v>
      </c>
      <c r="L174" s="18">
        <f t="shared" si="71"/>
        <v>1.0120109750698636E-3</v>
      </c>
      <c r="M174" s="18">
        <f t="shared" si="72"/>
        <v>1.1075E-3</v>
      </c>
      <c r="N174" s="18">
        <f t="shared" si="74"/>
        <v>8.4045016765839093E-4</v>
      </c>
      <c r="O174" s="18">
        <f t="shared" si="77"/>
        <v>6.6683907038637899E-3</v>
      </c>
      <c r="P174" s="18">
        <f t="shared" si="79"/>
        <v>3.8860524628862094E-4</v>
      </c>
      <c r="Q174" s="18">
        <f t="shared" si="81"/>
        <v>2.8443196334720167E-3</v>
      </c>
      <c r="R174" s="18">
        <f t="shared" si="83"/>
        <v>2.1878348539758521E-2</v>
      </c>
      <c r="S174" s="18">
        <f t="shared" si="85"/>
        <v>3.4231186586502642E-2</v>
      </c>
      <c r="T174" s="18">
        <f t="shared" si="87"/>
        <v>2.0331004961734647E-3</v>
      </c>
      <c r="U174" s="18">
        <f t="shared" si="89"/>
        <v>7.7128339690532447E-4</v>
      </c>
      <c r="V174" s="18">
        <f t="shared" si="90"/>
        <v>6.1894351553045746E-4</v>
      </c>
      <c r="W174" s="18">
        <f t="shared" si="91"/>
        <v>3.4892622284096617E-4</v>
      </c>
      <c r="X174" s="18">
        <f t="shared" si="92"/>
        <v>1.3652107518499267E-3</v>
      </c>
      <c r="Y174" s="18">
        <f t="shared" si="93"/>
        <v>1.3967196026228839E-3</v>
      </c>
      <c r="AA174" s="18">
        <f t="shared" si="75"/>
        <v>-5.1656378176118477E-2</v>
      </c>
      <c r="AB174" s="18">
        <f t="shared" si="76"/>
        <v>2.6683814062741693E-3</v>
      </c>
      <c r="AC174" s="18">
        <f t="shared" si="78"/>
        <v>1.4564677012496262E-4</v>
      </c>
      <c r="AD174" s="18">
        <f t="shared" si="80"/>
        <v>5.1478383120741817E-3</v>
      </c>
      <c r="AE174" s="18">
        <f t="shared" si="82"/>
        <v>2.1649109977810383E-3</v>
      </c>
      <c r="AF174" s="18">
        <f t="shared" si="84"/>
        <v>1.630813509998047E-2</v>
      </c>
      <c r="AG174" s="18">
        <f t="shared" si="86"/>
        <v>3.0125271405816445E-3</v>
      </c>
      <c r="AH174" s="18">
        <f t="shared" si="88"/>
        <v>2.6356031877196106E-2</v>
      </c>
      <c r="AJ174" s="18">
        <f>IF(ISNUMBER(Kernel!M174),Kernel!M174,"")</f>
        <v>-5.6294074746094755E-2</v>
      </c>
      <c r="AK174" s="18">
        <f t="shared" si="73"/>
        <v>3.1690228515189032E-3</v>
      </c>
      <c r="AN174" s="18">
        <f>IF(ISNUMBER(Volcanic!G174),Volcanic!G174,"")</f>
        <v>4.2199999999999998E-3</v>
      </c>
    </row>
    <row r="175" spans="1:40">
      <c r="A175" s="18" t="str">
        <f>IF(Volcanic!A175="","",Volcanic!A175)</f>
        <v>8/1972</v>
      </c>
      <c r="B175" s="18">
        <f>IF(ISNUMBER(Volcanic!L175),Volcanic!L175,"")</f>
        <v>1972.625</v>
      </c>
      <c r="C175" s="18">
        <f>IF(ISNUMBER(Volcanic!J175),Volcanic!J175,"")</f>
        <v>8.2823923509673991E-2</v>
      </c>
      <c r="D175" s="18">
        <f t="shared" si="66"/>
        <v>6.8598023055363279E-3</v>
      </c>
      <c r="E175" s="18">
        <f>IF(ISNUMBER(Volcanic!C175),Volcanic!C175,"")</f>
        <v>0.22086058507283202</v>
      </c>
      <c r="F175" s="18">
        <f>IF(ISNUMBER(Volcanic!D175),Volcanic!D175,"")</f>
        <v>0.48</v>
      </c>
      <c r="G175" s="18">
        <f>IF(ISNUMBER(Volcanic!E175),Volcanic!E175,"")</f>
        <v>4.3E-3</v>
      </c>
      <c r="H175" s="18">
        <f t="shared" si="67"/>
        <v>4.8779398038713666E-2</v>
      </c>
      <c r="I175" s="18">
        <f t="shared" si="68"/>
        <v>0.23039999999999999</v>
      </c>
      <c r="J175" s="18">
        <f t="shared" si="69"/>
        <v>1.8490000000000001E-5</v>
      </c>
      <c r="K175" s="18">
        <f t="shared" si="70"/>
        <v>0.10601308083495936</v>
      </c>
      <c r="L175" s="18">
        <f t="shared" si="71"/>
        <v>9.497005158131777E-4</v>
      </c>
      <c r="M175" s="18">
        <f t="shared" si="72"/>
        <v>2.0639999999999999E-3</v>
      </c>
      <c r="N175" s="18">
        <f t="shared" si="74"/>
        <v>4.3867938424263534E-3</v>
      </c>
      <c r="O175" s="18">
        <f t="shared" si="77"/>
        <v>8.4045016765839093E-4</v>
      </c>
      <c r="P175" s="18">
        <f t="shared" si="79"/>
        <v>6.6683907038637899E-3</v>
      </c>
      <c r="Q175" s="18">
        <f t="shared" si="81"/>
        <v>3.8860524628862094E-4</v>
      </c>
      <c r="R175" s="18">
        <f t="shared" si="83"/>
        <v>2.8443196334720167E-3</v>
      </c>
      <c r="S175" s="18">
        <f t="shared" si="85"/>
        <v>2.1878348539758521E-2</v>
      </c>
      <c r="T175" s="18">
        <f t="shared" si="87"/>
        <v>3.4231186586502642E-2</v>
      </c>
      <c r="U175" s="18">
        <f t="shared" si="89"/>
        <v>2.0331004961734647E-3</v>
      </c>
      <c r="V175" s="18">
        <f t="shared" si="90"/>
        <v>7.7128339690532447E-4</v>
      </c>
      <c r="W175" s="18">
        <f t="shared" si="91"/>
        <v>6.1894351553045746E-4</v>
      </c>
      <c r="X175" s="18">
        <f t="shared" si="92"/>
        <v>3.4892622284096617E-4</v>
      </c>
      <c r="Y175" s="18">
        <f t="shared" si="93"/>
        <v>1.3652107518499267E-3</v>
      </c>
      <c r="AA175" s="18">
        <f t="shared" si="75"/>
        <v>0.11612596181084564</v>
      </c>
      <c r="AB175" s="18">
        <f t="shared" si="76"/>
        <v>1.348523900649398E-2</v>
      </c>
      <c r="AC175" s="18">
        <f t="shared" si="78"/>
        <v>2.6683814062741693E-3</v>
      </c>
      <c r="AD175" s="18">
        <f t="shared" si="80"/>
        <v>1.4564677012496262E-4</v>
      </c>
      <c r="AE175" s="18">
        <f t="shared" si="82"/>
        <v>5.1478383120741817E-3</v>
      </c>
      <c r="AF175" s="18">
        <f t="shared" si="84"/>
        <v>2.1649109977810383E-3</v>
      </c>
      <c r="AG175" s="18">
        <f t="shared" si="86"/>
        <v>1.630813509998047E-2</v>
      </c>
      <c r="AH175" s="18">
        <f t="shared" si="88"/>
        <v>3.0125271405816445E-3</v>
      </c>
      <c r="AJ175" s="18">
        <f>IF(ISNUMBER(Kernel!M175),Kernel!M175,"")</f>
        <v>8.7583528115822457E-2</v>
      </c>
      <c r="AK175" s="18">
        <f t="shared" si="73"/>
        <v>7.6708743972150623E-3</v>
      </c>
      <c r="AN175" s="18">
        <f>IF(ISNUMBER(Volcanic!G175),Volcanic!G175,"")</f>
        <v>4.3200000000000001E-3</v>
      </c>
    </row>
    <row r="176" spans="1:40">
      <c r="A176" s="18" t="str">
        <f>IF(Volcanic!A176="","",Volcanic!A176)</f>
        <v>9/1972</v>
      </c>
      <c r="B176" s="18">
        <f>IF(ISNUMBER(Volcanic!L176),Volcanic!L176,"")</f>
        <v>1972.7083333333333</v>
      </c>
      <c r="C176" s="18">
        <f>IF(ISNUMBER(Volcanic!J176),Volcanic!J176,"")</f>
        <v>-6.0034249657181821E-2</v>
      </c>
      <c r="D176" s="18">
        <f t="shared" si="66"/>
        <v>3.6041111319008354E-3</v>
      </c>
      <c r="E176" s="18">
        <f>IF(ISNUMBER(Volcanic!C176),Volcanic!C176,"")</f>
        <v>0.21430246621642873</v>
      </c>
      <c r="F176" s="18">
        <f>IF(ISNUMBER(Volcanic!D176),Volcanic!D176,"")</f>
        <v>0.7</v>
      </c>
      <c r="G176" s="18">
        <f>IF(ISNUMBER(Volcanic!E176),Volcanic!E176,"")</f>
        <v>4.15E-3</v>
      </c>
      <c r="H176" s="18">
        <f t="shared" si="67"/>
        <v>4.5925547026443581E-2</v>
      </c>
      <c r="I176" s="18">
        <f t="shared" si="68"/>
        <v>0.48999999999999994</v>
      </c>
      <c r="J176" s="18">
        <f t="shared" si="69"/>
        <v>1.72225E-5</v>
      </c>
      <c r="K176" s="18">
        <f t="shared" si="70"/>
        <v>0.15001172635150009</v>
      </c>
      <c r="L176" s="18">
        <f t="shared" si="71"/>
        <v>8.8935523479817926E-4</v>
      </c>
      <c r="M176" s="18">
        <f t="shared" si="72"/>
        <v>2.905E-3</v>
      </c>
      <c r="N176" s="18">
        <f t="shared" si="74"/>
        <v>6.8598023055363279E-3</v>
      </c>
      <c r="O176" s="18">
        <f t="shared" si="77"/>
        <v>4.3867938424263534E-3</v>
      </c>
      <c r="P176" s="18">
        <f t="shared" si="79"/>
        <v>8.4045016765839093E-4</v>
      </c>
      <c r="Q176" s="18">
        <f t="shared" si="81"/>
        <v>6.6683907038637899E-3</v>
      </c>
      <c r="R176" s="18">
        <f t="shared" si="83"/>
        <v>3.8860524628862094E-4</v>
      </c>
      <c r="S176" s="18">
        <f t="shared" si="85"/>
        <v>2.8443196334720167E-3</v>
      </c>
      <c r="T176" s="18">
        <f t="shared" si="87"/>
        <v>2.1878348539758521E-2</v>
      </c>
      <c r="U176" s="18">
        <f t="shared" si="89"/>
        <v>3.4231186586502642E-2</v>
      </c>
      <c r="V176" s="18">
        <f t="shared" si="90"/>
        <v>2.0331004961734647E-3</v>
      </c>
      <c r="W176" s="18">
        <f t="shared" si="91"/>
        <v>7.7128339690532447E-4</v>
      </c>
      <c r="X176" s="18">
        <f t="shared" si="92"/>
        <v>6.1894351553045746E-4</v>
      </c>
      <c r="Y176" s="18">
        <f t="shared" si="93"/>
        <v>3.4892622284096617E-4</v>
      </c>
      <c r="AA176" s="18">
        <f t="shared" si="75"/>
        <v>-0.10167830388054175</v>
      </c>
      <c r="AB176" s="18">
        <f t="shared" si="76"/>
        <v>1.0338477480023792E-2</v>
      </c>
      <c r="AC176" s="18">
        <f t="shared" si="78"/>
        <v>1.348523900649398E-2</v>
      </c>
      <c r="AD176" s="18">
        <f t="shared" si="80"/>
        <v>2.6683814062741693E-3</v>
      </c>
      <c r="AE176" s="18">
        <f t="shared" si="82"/>
        <v>1.4564677012496262E-4</v>
      </c>
      <c r="AF176" s="18">
        <f t="shared" si="84"/>
        <v>5.1478383120741817E-3</v>
      </c>
      <c r="AG176" s="18">
        <f t="shared" si="86"/>
        <v>2.1649109977810383E-3</v>
      </c>
      <c r="AH176" s="18">
        <f t="shared" si="88"/>
        <v>1.630813509998047E-2</v>
      </c>
      <c r="AJ176" s="18">
        <f>IF(ISNUMBER(Kernel!M176),Kernel!M176,"")</f>
        <v>-6.2211075859932352E-2</v>
      </c>
      <c r="AK176" s="18">
        <f t="shared" si="73"/>
        <v>3.8702179596502577E-3</v>
      </c>
      <c r="AN176" s="18">
        <f>IF(ISNUMBER(Volcanic!G176),Volcanic!G176,"")</f>
        <v>4.3800000000000002E-3</v>
      </c>
    </row>
    <row r="177" spans="1:40">
      <c r="A177" s="18" t="str">
        <f>IF(Volcanic!A177="","",Volcanic!A177)</f>
        <v>10/1972</v>
      </c>
      <c r="B177" s="18">
        <f>IF(ISNUMBER(Volcanic!L177),Volcanic!L177,"")</f>
        <v>1972.7916666666667</v>
      </c>
      <c r="C177" s="18">
        <f>IF(ISNUMBER(Volcanic!J177),Volcanic!J177,"")</f>
        <v>-3.2451117988722411E-2</v>
      </c>
      <c r="D177" s="18">
        <f t="shared" si="66"/>
        <v>1.0530750587179833E-3</v>
      </c>
      <c r="E177" s="18">
        <f>IF(ISNUMBER(Volcanic!C177),Volcanic!C177,"")</f>
        <v>0.21590043024269898</v>
      </c>
      <c r="F177" s="18">
        <f>IF(ISNUMBER(Volcanic!D177),Volcanic!D177,"")</f>
        <v>1</v>
      </c>
      <c r="G177" s="18">
        <f>IF(ISNUMBER(Volcanic!E177),Volcanic!E177,"")</f>
        <v>4.0499999999999998E-3</v>
      </c>
      <c r="H177" s="18">
        <f t="shared" si="67"/>
        <v>4.6612995778982529E-2</v>
      </c>
      <c r="I177" s="18">
        <f t="shared" si="68"/>
        <v>1</v>
      </c>
      <c r="J177" s="18">
        <f t="shared" si="69"/>
        <v>1.6402499999999998E-5</v>
      </c>
      <c r="K177" s="18">
        <f t="shared" si="70"/>
        <v>0.21590043024269898</v>
      </c>
      <c r="L177" s="18">
        <f t="shared" si="71"/>
        <v>8.7439674248293076E-4</v>
      </c>
      <c r="M177" s="18">
        <f t="shared" si="72"/>
        <v>4.0499999999999998E-3</v>
      </c>
      <c r="N177" s="18">
        <f t="shared" si="74"/>
        <v>3.6041111319008354E-3</v>
      </c>
      <c r="O177" s="18">
        <f t="shared" si="77"/>
        <v>6.8598023055363279E-3</v>
      </c>
      <c r="P177" s="18">
        <f t="shared" si="79"/>
        <v>4.3867938424263534E-3</v>
      </c>
      <c r="Q177" s="18">
        <f t="shared" si="81"/>
        <v>8.4045016765839093E-4</v>
      </c>
      <c r="R177" s="18">
        <f t="shared" si="83"/>
        <v>6.6683907038637899E-3</v>
      </c>
      <c r="S177" s="18">
        <f t="shared" si="85"/>
        <v>3.8860524628862094E-4</v>
      </c>
      <c r="T177" s="18">
        <f t="shared" si="87"/>
        <v>2.8443196334720167E-3</v>
      </c>
      <c r="U177" s="18">
        <f t="shared" si="89"/>
        <v>2.1878348539758521E-2</v>
      </c>
      <c r="V177" s="18">
        <f t="shared" si="90"/>
        <v>3.4231186586502642E-2</v>
      </c>
      <c r="W177" s="18">
        <f t="shared" si="91"/>
        <v>2.0331004961734647E-3</v>
      </c>
      <c r="X177" s="18">
        <f t="shared" si="92"/>
        <v>7.7128339690532447E-4</v>
      </c>
      <c r="Y177" s="18">
        <f t="shared" si="93"/>
        <v>6.1894351553045746E-4</v>
      </c>
      <c r="AA177" s="18">
        <f t="shared" si="75"/>
        <v>-2.2657628154626637E-3</v>
      </c>
      <c r="AB177" s="18">
        <f t="shared" si="76"/>
        <v>5.1336811359332968E-6</v>
      </c>
      <c r="AC177" s="18">
        <f t="shared" si="78"/>
        <v>1.0338477480023792E-2</v>
      </c>
      <c r="AD177" s="18">
        <f t="shared" si="80"/>
        <v>1.348523900649398E-2</v>
      </c>
      <c r="AE177" s="18">
        <f t="shared" si="82"/>
        <v>2.6683814062741693E-3</v>
      </c>
      <c r="AF177" s="18">
        <f t="shared" si="84"/>
        <v>1.4564677012496262E-4</v>
      </c>
      <c r="AG177" s="18">
        <f t="shared" si="86"/>
        <v>5.1478383120741817E-3</v>
      </c>
      <c r="AH177" s="18">
        <f t="shared" si="88"/>
        <v>2.1649109977810383E-3</v>
      </c>
      <c r="AJ177" s="18">
        <f>IF(ISNUMBER(Kernel!M177),Kernel!M177,"")</f>
        <v>-3.4165200499597592E-2</v>
      </c>
      <c r="AK177" s="18">
        <f t="shared" si="73"/>
        <v>1.1672609251777036E-3</v>
      </c>
      <c r="AN177" s="18">
        <f>IF(ISNUMBER(Volcanic!G177),Volcanic!G177,"")</f>
        <v>4.45E-3</v>
      </c>
    </row>
    <row r="178" spans="1:40">
      <c r="A178" s="18" t="str">
        <f>IF(Volcanic!A178="","",Volcanic!A178)</f>
        <v>11/1972</v>
      </c>
      <c r="B178" s="18">
        <f>IF(ISNUMBER(Volcanic!L178),Volcanic!L178,"")</f>
        <v>1972.875</v>
      </c>
      <c r="C178" s="18">
        <f>IF(ISNUMBER(Volcanic!J178),Volcanic!J178,"")</f>
        <v>-0.13223215383556358</v>
      </c>
      <c r="D178" s="18">
        <f t="shared" si="66"/>
        <v>1.7485342507992153E-2</v>
      </c>
      <c r="E178" s="18">
        <f>IF(ISNUMBER(Volcanic!C178),Volcanic!C178,"")</f>
        <v>0.22165616460146442</v>
      </c>
      <c r="F178" s="18">
        <f>IF(ISNUMBER(Volcanic!D178),Volcanic!D178,"")</f>
        <v>1.26</v>
      </c>
      <c r="G178" s="18">
        <f>IF(ISNUMBER(Volcanic!E178),Volcanic!E178,"")</f>
        <v>4.0699999999999998E-3</v>
      </c>
      <c r="H178" s="18">
        <f t="shared" si="67"/>
        <v>4.913145530583149E-2</v>
      </c>
      <c r="I178" s="18">
        <f t="shared" si="68"/>
        <v>1.5876000000000001</v>
      </c>
      <c r="J178" s="18">
        <f t="shared" si="69"/>
        <v>1.6564899999999998E-5</v>
      </c>
      <c r="K178" s="18">
        <f t="shared" si="70"/>
        <v>0.27928676739784519</v>
      </c>
      <c r="L178" s="18">
        <f t="shared" si="71"/>
        <v>9.0214058992796017E-4</v>
      </c>
      <c r="M178" s="18">
        <f t="shared" si="72"/>
        <v>5.1281999999999994E-3</v>
      </c>
      <c r="N178" s="18">
        <f t="shared" si="74"/>
        <v>1.0530750587179833E-3</v>
      </c>
      <c r="O178" s="18">
        <f t="shared" si="77"/>
        <v>3.6041111319008354E-3</v>
      </c>
      <c r="P178" s="18">
        <f t="shared" si="79"/>
        <v>6.8598023055363279E-3</v>
      </c>
      <c r="Q178" s="18">
        <f t="shared" si="81"/>
        <v>4.3867938424263534E-3</v>
      </c>
      <c r="R178" s="18">
        <f t="shared" si="83"/>
        <v>8.4045016765839093E-4</v>
      </c>
      <c r="S178" s="18">
        <f t="shared" si="85"/>
        <v>6.6683907038637899E-3</v>
      </c>
      <c r="T178" s="18">
        <f t="shared" si="87"/>
        <v>3.8860524628862094E-4</v>
      </c>
      <c r="U178" s="18">
        <f t="shared" si="89"/>
        <v>2.8443196334720167E-3</v>
      </c>
      <c r="V178" s="18">
        <f t="shared" si="90"/>
        <v>2.1878348539758521E-2</v>
      </c>
      <c r="W178" s="18">
        <f t="shared" si="91"/>
        <v>3.4231186586502642E-2</v>
      </c>
      <c r="X178" s="18">
        <f t="shared" si="92"/>
        <v>2.0331004961734647E-3</v>
      </c>
      <c r="Y178" s="18">
        <f t="shared" si="93"/>
        <v>7.7128339690532447E-4</v>
      </c>
      <c r="AA178" s="18">
        <f t="shared" si="75"/>
        <v>-0.11591565903713542</v>
      </c>
      <c r="AB178" s="18">
        <f t="shared" si="76"/>
        <v>1.3436440010013435E-2</v>
      </c>
      <c r="AC178" s="18">
        <f t="shared" si="78"/>
        <v>5.1336811359332968E-6</v>
      </c>
      <c r="AD178" s="18">
        <f t="shared" si="80"/>
        <v>1.0338477480023792E-2</v>
      </c>
      <c r="AE178" s="18">
        <f t="shared" si="82"/>
        <v>1.348523900649398E-2</v>
      </c>
      <c r="AF178" s="18">
        <f t="shared" si="84"/>
        <v>2.6683814062741693E-3</v>
      </c>
      <c r="AG178" s="18">
        <f t="shared" si="86"/>
        <v>1.4564677012496262E-4</v>
      </c>
      <c r="AH178" s="18">
        <f t="shared" si="88"/>
        <v>5.1478383120741817E-3</v>
      </c>
      <c r="AJ178" s="18">
        <f>IF(ISNUMBER(Kernel!M178),Kernel!M178,"")</f>
        <v>-0.13640549249157619</v>
      </c>
      <c r="AK178" s="18">
        <f t="shared" si="73"/>
        <v>1.8606458381869449E-2</v>
      </c>
      <c r="AN178" s="18">
        <f>IF(ISNUMBER(Volcanic!G178),Volcanic!G178,"")</f>
        <v>4.3699999999999998E-3</v>
      </c>
    </row>
    <row r="179" spans="1:40">
      <c r="A179" s="18" t="str">
        <f>IF(Volcanic!A179="","",Volcanic!A179)</f>
        <v>12/1972</v>
      </c>
      <c r="B179" s="18">
        <f>IF(ISNUMBER(Volcanic!L179),Volcanic!L179,"")</f>
        <v>1972.9583333333333</v>
      </c>
      <c r="C179" s="18">
        <f>IF(ISNUMBER(Volcanic!J179),Volcanic!J179,"")</f>
        <v>-6.1648648438928366E-3</v>
      </c>
      <c r="D179" s="18">
        <f t="shared" si="66"/>
        <v>3.8005558543465852E-5</v>
      </c>
      <c r="E179" s="18">
        <f>IF(ISNUMBER(Volcanic!C179),Volcanic!C179,"")</f>
        <v>0.22628832145277814</v>
      </c>
      <c r="F179" s="18">
        <f>IF(ISNUMBER(Volcanic!D179),Volcanic!D179,"")</f>
        <v>1.49</v>
      </c>
      <c r="G179" s="18">
        <f>IF(ISNUMBER(Volcanic!E179),Volcanic!E179,"")</f>
        <v>4.0899999999999999E-3</v>
      </c>
      <c r="H179" s="18">
        <f t="shared" si="67"/>
        <v>5.1206404425915848E-2</v>
      </c>
      <c r="I179" s="18">
        <f t="shared" si="68"/>
        <v>2.2201</v>
      </c>
      <c r="J179" s="18">
        <f t="shared" si="69"/>
        <v>1.67281E-5</v>
      </c>
      <c r="K179" s="18">
        <f t="shared" si="70"/>
        <v>0.33716959896463944</v>
      </c>
      <c r="L179" s="18">
        <f t="shared" si="71"/>
        <v>9.2551923474186253E-4</v>
      </c>
      <c r="M179" s="18">
        <f t="shared" si="72"/>
        <v>6.0940999999999999E-3</v>
      </c>
      <c r="N179" s="18">
        <f t="shared" si="74"/>
        <v>1.7485342507992153E-2</v>
      </c>
      <c r="O179" s="18">
        <f t="shared" si="77"/>
        <v>1.0530750587179833E-3</v>
      </c>
      <c r="P179" s="18">
        <f t="shared" si="79"/>
        <v>3.6041111319008354E-3</v>
      </c>
      <c r="Q179" s="18">
        <f t="shared" si="81"/>
        <v>6.8598023055363279E-3</v>
      </c>
      <c r="R179" s="18">
        <f t="shared" si="83"/>
        <v>4.3867938424263534E-3</v>
      </c>
      <c r="S179" s="18">
        <f t="shared" si="85"/>
        <v>8.4045016765839093E-4</v>
      </c>
      <c r="T179" s="18">
        <f t="shared" si="87"/>
        <v>6.6683907038637899E-3</v>
      </c>
      <c r="U179" s="18">
        <f t="shared" si="89"/>
        <v>3.8860524628862094E-4</v>
      </c>
      <c r="V179" s="18">
        <f t="shared" si="90"/>
        <v>2.8443196334720167E-3</v>
      </c>
      <c r="W179" s="18">
        <f t="shared" si="91"/>
        <v>2.1878348539758521E-2</v>
      </c>
      <c r="X179" s="18">
        <f t="shared" si="92"/>
        <v>3.4231186586502642E-2</v>
      </c>
      <c r="Y179" s="18">
        <f t="shared" si="93"/>
        <v>2.0331004961734647E-3</v>
      </c>
      <c r="AA179" s="18">
        <f t="shared" si="75"/>
        <v>6.0321758236172807E-2</v>
      </c>
      <c r="AB179" s="18">
        <f t="shared" si="76"/>
        <v>3.6387145167032816E-3</v>
      </c>
      <c r="AC179" s="18">
        <f t="shared" si="78"/>
        <v>1.3436440010013435E-2</v>
      </c>
      <c r="AD179" s="18">
        <f t="shared" si="80"/>
        <v>5.1336811359332968E-6</v>
      </c>
      <c r="AE179" s="18">
        <f t="shared" si="82"/>
        <v>1.0338477480023792E-2</v>
      </c>
      <c r="AF179" s="18">
        <f t="shared" si="84"/>
        <v>1.348523900649398E-2</v>
      </c>
      <c r="AG179" s="18">
        <f t="shared" si="86"/>
        <v>2.6683814062741693E-3</v>
      </c>
      <c r="AH179" s="18">
        <f t="shared" si="88"/>
        <v>1.4564677012496262E-4</v>
      </c>
      <c r="AJ179" s="18">
        <f>IF(ISNUMBER(Kernel!M179),Kernel!M179,"")</f>
        <v>-1.0042346829530924E-2</v>
      </c>
      <c r="AK179" s="18">
        <f t="shared" si="73"/>
        <v>1.008487298445898E-4</v>
      </c>
      <c r="AN179" s="18">
        <f>IF(ISNUMBER(Volcanic!G179),Volcanic!G179,"")</f>
        <v>4.2500000000000003E-3</v>
      </c>
    </row>
    <row r="180" spans="1:40">
      <c r="A180" s="18" t="str">
        <f>IF(Volcanic!A180="","",Volcanic!A180)</f>
        <v>1/1973</v>
      </c>
      <c r="B180" s="18">
        <f>IF(ISNUMBER(Volcanic!L180),Volcanic!L180,"")</f>
        <v>1973.0416666666667</v>
      </c>
      <c r="C180" s="18">
        <f>IF(ISNUMBER(Volcanic!J180),Volcanic!J180,"")</f>
        <v>7.3413497371039721E-2</v>
      </c>
      <c r="D180" s="18">
        <f t="shared" si="66"/>
        <v>5.3895415962476557E-3</v>
      </c>
      <c r="E180" s="18">
        <f>IF(ISNUMBER(Volcanic!C180),Volcanic!C180,"")</f>
        <v>0.23068611495390581</v>
      </c>
      <c r="F180" s="18">
        <f>IF(ISNUMBER(Volcanic!D180),Volcanic!D180,"")</f>
        <v>1.69</v>
      </c>
      <c r="G180" s="18">
        <f>IF(ISNUMBER(Volcanic!E180),Volcanic!E180,"")</f>
        <v>4.15E-3</v>
      </c>
      <c r="H180" s="18">
        <f t="shared" si="67"/>
        <v>5.3216083632526646E-2</v>
      </c>
      <c r="I180" s="18">
        <f t="shared" si="68"/>
        <v>2.8560999999999996</v>
      </c>
      <c r="J180" s="18">
        <f t="shared" si="69"/>
        <v>1.72225E-5</v>
      </c>
      <c r="K180" s="18">
        <f t="shared" si="70"/>
        <v>0.38985953427210079</v>
      </c>
      <c r="L180" s="18">
        <f t="shared" si="71"/>
        <v>9.5734737705870912E-4</v>
      </c>
      <c r="M180" s="18">
        <f t="shared" si="72"/>
        <v>7.0134999999999998E-3</v>
      </c>
      <c r="N180" s="18">
        <f t="shared" si="74"/>
        <v>3.8005558543465852E-5</v>
      </c>
      <c r="O180" s="18">
        <f t="shared" si="77"/>
        <v>1.7485342507992153E-2</v>
      </c>
      <c r="P180" s="18">
        <f t="shared" si="79"/>
        <v>1.0530750587179833E-3</v>
      </c>
      <c r="Q180" s="18">
        <f t="shared" si="81"/>
        <v>3.6041111319008354E-3</v>
      </c>
      <c r="R180" s="18">
        <f t="shared" si="83"/>
        <v>6.8598023055363279E-3</v>
      </c>
      <c r="S180" s="18">
        <f t="shared" si="85"/>
        <v>4.3867938424263534E-3</v>
      </c>
      <c r="T180" s="18">
        <f t="shared" si="87"/>
        <v>8.4045016765839093E-4</v>
      </c>
      <c r="U180" s="18">
        <f t="shared" si="89"/>
        <v>6.6683907038637899E-3</v>
      </c>
      <c r="V180" s="18">
        <f t="shared" si="90"/>
        <v>3.8860524628862094E-4</v>
      </c>
      <c r="W180" s="18">
        <f t="shared" si="91"/>
        <v>2.8443196334720167E-3</v>
      </c>
      <c r="X180" s="18">
        <f t="shared" si="92"/>
        <v>2.1878348539758521E-2</v>
      </c>
      <c r="Y180" s="18">
        <f t="shared" si="93"/>
        <v>3.4231186586502642E-2</v>
      </c>
      <c r="AA180" s="18">
        <f t="shared" si="75"/>
        <v>7.6513205220653635E-2</v>
      </c>
      <c r="AB180" s="18">
        <f t="shared" si="76"/>
        <v>5.8542705731378583E-3</v>
      </c>
      <c r="AC180" s="18">
        <f t="shared" si="78"/>
        <v>3.6387145167032816E-3</v>
      </c>
      <c r="AD180" s="18">
        <f t="shared" si="80"/>
        <v>1.3436440010013435E-2</v>
      </c>
      <c r="AE180" s="18">
        <f t="shared" si="82"/>
        <v>5.1336811359332968E-6</v>
      </c>
      <c r="AF180" s="18">
        <f t="shared" si="84"/>
        <v>1.0338477480023792E-2</v>
      </c>
      <c r="AG180" s="18">
        <f t="shared" si="86"/>
        <v>1.348523900649398E-2</v>
      </c>
      <c r="AH180" s="18">
        <f t="shared" si="88"/>
        <v>2.6683814062741693E-3</v>
      </c>
      <c r="AJ180" s="18">
        <f>IF(ISNUMBER(Kernel!M180),Kernel!M180,"")</f>
        <v>7.4919159719499251E-2</v>
      </c>
      <c r="AK180" s="18">
        <f t="shared" si="73"/>
        <v>5.6128804930758395E-3</v>
      </c>
      <c r="AN180" s="18">
        <f>IF(ISNUMBER(Volcanic!G180),Volcanic!G180,"")</f>
        <v>4.15E-3</v>
      </c>
    </row>
    <row r="181" spans="1:40">
      <c r="A181" s="18" t="str">
        <f>IF(Volcanic!A181="","",Volcanic!A181)</f>
        <v>2/1973</v>
      </c>
      <c r="B181" s="18">
        <f>IF(ISNUMBER(Volcanic!L181),Volcanic!L181,"")</f>
        <v>1973.125</v>
      </c>
      <c r="C181" s="18">
        <f>IF(ISNUMBER(Volcanic!J181),Volcanic!J181,"")</f>
        <v>7.7451272549803718E-2</v>
      </c>
      <c r="D181" s="18">
        <f t="shared" si="66"/>
        <v>5.9986996195839793E-3</v>
      </c>
      <c r="E181" s="18">
        <f>IF(ISNUMBER(Volcanic!C181),Volcanic!C181,"")</f>
        <v>0.23515809611228167</v>
      </c>
      <c r="F181" s="18">
        <f>IF(ISNUMBER(Volcanic!D181),Volcanic!D181,"")</f>
        <v>1.84</v>
      </c>
      <c r="G181" s="18">
        <f>IF(ISNUMBER(Volcanic!E181),Volcanic!E181,"")</f>
        <v>4.2199999999999998E-3</v>
      </c>
      <c r="H181" s="18">
        <f t="shared" si="67"/>
        <v>5.5299330167153105E-2</v>
      </c>
      <c r="I181" s="18">
        <f t="shared" si="68"/>
        <v>3.3856000000000002</v>
      </c>
      <c r="J181" s="18">
        <f t="shared" si="69"/>
        <v>1.7808399999999997E-5</v>
      </c>
      <c r="K181" s="18">
        <f t="shared" si="70"/>
        <v>0.43269089684659828</v>
      </c>
      <c r="L181" s="18">
        <f t="shared" si="71"/>
        <v>9.9236716559382866E-4</v>
      </c>
      <c r="M181" s="18">
        <f t="shared" si="72"/>
        <v>7.7647999999999997E-3</v>
      </c>
      <c r="N181" s="18">
        <f t="shared" si="74"/>
        <v>5.3895415962476557E-3</v>
      </c>
      <c r="O181" s="18">
        <f t="shared" si="77"/>
        <v>3.8005558543465852E-5</v>
      </c>
      <c r="P181" s="18">
        <f t="shared" si="79"/>
        <v>1.7485342507992153E-2</v>
      </c>
      <c r="Q181" s="18">
        <f t="shared" si="81"/>
        <v>1.0530750587179833E-3</v>
      </c>
      <c r="R181" s="18">
        <f t="shared" si="83"/>
        <v>3.6041111319008354E-3</v>
      </c>
      <c r="S181" s="18">
        <f t="shared" si="85"/>
        <v>6.8598023055363279E-3</v>
      </c>
      <c r="T181" s="18">
        <f t="shared" si="87"/>
        <v>4.3867938424263534E-3</v>
      </c>
      <c r="U181" s="18">
        <f t="shared" si="89"/>
        <v>8.4045016765839093E-4</v>
      </c>
      <c r="V181" s="18">
        <f t="shared" si="90"/>
        <v>6.6683907038637899E-3</v>
      </c>
      <c r="W181" s="18">
        <f t="shared" si="91"/>
        <v>3.8860524628862094E-4</v>
      </c>
      <c r="X181" s="18">
        <f t="shared" si="92"/>
        <v>2.8443196334720167E-3</v>
      </c>
      <c r="Y181" s="18">
        <f t="shared" si="93"/>
        <v>2.1878348539758521E-2</v>
      </c>
      <c r="AA181" s="18">
        <f t="shared" si="75"/>
        <v>4.0538801663430178E-2</v>
      </c>
      <c r="AB181" s="18">
        <f t="shared" si="76"/>
        <v>1.6433944403069294E-3</v>
      </c>
      <c r="AC181" s="18">
        <f t="shared" si="78"/>
        <v>5.8542705731378583E-3</v>
      </c>
      <c r="AD181" s="18">
        <f t="shared" si="80"/>
        <v>3.6387145167032816E-3</v>
      </c>
      <c r="AE181" s="18">
        <f t="shared" si="82"/>
        <v>1.3436440010013435E-2</v>
      </c>
      <c r="AF181" s="18">
        <f t="shared" si="84"/>
        <v>5.1336811359332968E-6</v>
      </c>
      <c r="AG181" s="18">
        <f t="shared" si="86"/>
        <v>1.0338477480023792E-2</v>
      </c>
      <c r="AH181" s="18">
        <f t="shared" si="88"/>
        <v>1.348523900649398E-2</v>
      </c>
      <c r="AJ181" s="18">
        <f>IF(ISNUMBER(Kernel!M181),Kernel!M181,"")</f>
        <v>9.0743253842176658E-2</v>
      </c>
      <c r="AK181" s="18">
        <f t="shared" si="73"/>
        <v>8.2343381178657093E-3</v>
      </c>
      <c r="AN181" s="18">
        <f>IF(ISNUMBER(Volcanic!G181),Volcanic!G181,"")</f>
        <v>4.0099999999999997E-3</v>
      </c>
    </row>
    <row r="182" spans="1:40">
      <c r="A182" s="18" t="str">
        <f>IF(Volcanic!A182="","",Volcanic!A182)</f>
        <v>3/1973</v>
      </c>
      <c r="B182" s="18">
        <f>IF(ISNUMBER(Volcanic!L182),Volcanic!L182,"")</f>
        <v>1973.2083333333333</v>
      </c>
      <c r="C182" s="18">
        <f>IF(ISNUMBER(Volcanic!J182),Volcanic!J182,"")</f>
        <v>4.5460889063553278E-2</v>
      </c>
      <c r="D182" s="18">
        <f t="shared" si="66"/>
        <v>2.0666924344486981E-3</v>
      </c>
      <c r="E182" s="18">
        <f>IF(ISNUMBER(Volcanic!C182),Volcanic!C182,"")</f>
        <v>0.23835014245319641</v>
      </c>
      <c r="F182" s="18">
        <f>IF(ISNUMBER(Volcanic!D182),Volcanic!D182,"")</f>
        <v>1.77</v>
      </c>
      <c r="G182" s="18">
        <f>IF(ISNUMBER(Volcanic!E182),Volcanic!E182,"")</f>
        <v>4.3200000000000001E-3</v>
      </c>
      <c r="H182" s="18">
        <f t="shared" si="67"/>
        <v>5.6810790407459025E-2</v>
      </c>
      <c r="I182" s="18">
        <f t="shared" si="68"/>
        <v>3.1329000000000002</v>
      </c>
      <c r="J182" s="18">
        <f t="shared" si="69"/>
        <v>1.8662399999999999E-5</v>
      </c>
      <c r="K182" s="18">
        <f t="shared" si="70"/>
        <v>0.42187975214215767</v>
      </c>
      <c r="L182" s="18">
        <f t="shared" si="71"/>
        <v>1.0296726153978086E-3</v>
      </c>
      <c r="M182" s="18">
        <f t="shared" si="72"/>
        <v>7.6464000000000002E-3</v>
      </c>
      <c r="N182" s="18">
        <f t="shared" si="74"/>
        <v>5.9986996195839793E-3</v>
      </c>
      <c r="O182" s="18">
        <f t="shared" si="77"/>
        <v>5.3895415962476557E-3</v>
      </c>
      <c r="P182" s="18">
        <f t="shared" si="79"/>
        <v>3.8005558543465852E-5</v>
      </c>
      <c r="Q182" s="18">
        <f t="shared" si="81"/>
        <v>1.7485342507992153E-2</v>
      </c>
      <c r="R182" s="18">
        <f t="shared" si="83"/>
        <v>1.0530750587179833E-3</v>
      </c>
      <c r="S182" s="18">
        <f t="shared" si="85"/>
        <v>3.6041111319008354E-3</v>
      </c>
      <c r="T182" s="18">
        <f t="shared" si="87"/>
        <v>6.8598023055363279E-3</v>
      </c>
      <c r="U182" s="18">
        <f t="shared" si="89"/>
        <v>4.3867938424263534E-3</v>
      </c>
      <c r="V182" s="18">
        <f t="shared" si="90"/>
        <v>8.4045016765839093E-4</v>
      </c>
      <c r="W182" s="18">
        <f t="shared" si="91"/>
        <v>6.6683907038637899E-3</v>
      </c>
      <c r="X182" s="18">
        <f t="shared" si="92"/>
        <v>3.8860524628862094E-4</v>
      </c>
      <c r="Y182" s="18">
        <f t="shared" si="93"/>
        <v>2.8443196334720167E-3</v>
      </c>
      <c r="AA182" s="18">
        <f t="shared" si="75"/>
        <v>6.5182157747718794E-3</v>
      </c>
      <c r="AB182" s="18">
        <f t="shared" si="76"/>
        <v>4.2487136886484971E-5</v>
      </c>
      <c r="AC182" s="18">
        <f t="shared" si="78"/>
        <v>1.6433944403069294E-3</v>
      </c>
      <c r="AD182" s="18">
        <f t="shared" si="80"/>
        <v>5.8542705731378583E-3</v>
      </c>
      <c r="AE182" s="18">
        <f t="shared" si="82"/>
        <v>3.6387145167032816E-3</v>
      </c>
      <c r="AF182" s="18">
        <f t="shared" si="84"/>
        <v>1.3436440010013435E-2</v>
      </c>
      <c r="AG182" s="18">
        <f t="shared" si="86"/>
        <v>5.1336811359332968E-6</v>
      </c>
      <c r="AH182" s="18">
        <f t="shared" si="88"/>
        <v>1.0338477480023792E-2</v>
      </c>
      <c r="AJ182" s="18">
        <f>IF(ISNUMBER(Kernel!M182),Kernel!M182,"")</f>
        <v>6.2660495524062609E-2</v>
      </c>
      <c r="AK182" s="18">
        <f t="shared" si="73"/>
        <v>3.92633769932107E-3</v>
      </c>
      <c r="AN182" s="18">
        <f>IF(ISNUMBER(Volcanic!G182),Volcanic!G182,"")</f>
        <v>3.9399999999999999E-3</v>
      </c>
    </row>
    <row r="183" spans="1:40">
      <c r="A183" s="18" t="str">
        <f>IF(Volcanic!A183="","",Volcanic!A183)</f>
        <v>4/1973</v>
      </c>
      <c r="B183" s="18">
        <f>IF(ISNUMBER(Volcanic!L183),Volcanic!L183,"")</f>
        <v>1973.2916666666667</v>
      </c>
      <c r="C183" s="18">
        <f>IF(ISNUMBER(Volcanic!J183),Volcanic!J183,"")</f>
        <v>3.1738192210626598E-2</v>
      </c>
      <c r="D183" s="18">
        <f t="shared" si="66"/>
        <v>1.0073128447986789E-3</v>
      </c>
      <c r="E183" s="18">
        <f>IF(ISNUMBER(Volcanic!C183),Volcanic!C183,"")</f>
        <v>0.24358204316762133</v>
      </c>
      <c r="F183" s="18">
        <f>IF(ISNUMBER(Volcanic!D183),Volcanic!D183,"")</f>
        <v>1.55</v>
      </c>
      <c r="G183" s="18">
        <f>IF(ISNUMBER(Volcanic!E183),Volcanic!E183,"")</f>
        <v>4.3800000000000002E-3</v>
      </c>
      <c r="H183" s="18">
        <f t="shared" si="67"/>
        <v>5.9332211753712942E-2</v>
      </c>
      <c r="I183" s="18">
        <f t="shared" si="68"/>
        <v>2.4025000000000003</v>
      </c>
      <c r="J183" s="18">
        <f t="shared" si="69"/>
        <v>1.9184400000000002E-5</v>
      </c>
      <c r="K183" s="18">
        <f t="shared" si="70"/>
        <v>0.37755216690981308</v>
      </c>
      <c r="L183" s="18">
        <f t="shared" si="71"/>
        <v>1.0668893490741816E-3</v>
      </c>
      <c r="M183" s="18">
        <f t="shared" si="72"/>
        <v>6.7890000000000008E-3</v>
      </c>
      <c r="N183" s="18">
        <f t="shared" si="74"/>
        <v>2.0666924344486981E-3</v>
      </c>
      <c r="O183" s="18">
        <f t="shared" si="77"/>
        <v>5.9986996195839793E-3</v>
      </c>
      <c r="P183" s="18">
        <f t="shared" si="79"/>
        <v>5.3895415962476557E-3</v>
      </c>
      <c r="Q183" s="18">
        <f t="shared" si="81"/>
        <v>3.8005558543465852E-5</v>
      </c>
      <c r="R183" s="18">
        <f t="shared" si="83"/>
        <v>1.7485342507992153E-2</v>
      </c>
      <c r="S183" s="18">
        <f t="shared" si="85"/>
        <v>1.0530750587179833E-3</v>
      </c>
      <c r="T183" s="18">
        <f t="shared" si="87"/>
        <v>3.6041111319008354E-3</v>
      </c>
      <c r="U183" s="18">
        <f t="shared" si="89"/>
        <v>6.8598023055363279E-3</v>
      </c>
      <c r="V183" s="18">
        <f t="shared" si="90"/>
        <v>4.3867938424263534E-3</v>
      </c>
      <c r="W183" s="18">
        <f t="shared" si="91"/>
        <v>8.4045016765839093E-4</v>
      </c>
      <c r="X183" s="18">
        <f t="shared" si="92"/>
        <v>6.6683907038637899E-3</v>
      </c>
      <c r="Y183" s="18">
        <f t="shared" si="93"/>
        <v>3.8860524628862094E-4</v>
      </c>
      <c r="AA183" s="18">
        <f t="shared" si="75"/>
        <v>8.8803553806237681E-3</v>
      </c>
      <c r="AB183" s="18">
        <f t="shared" si="76"/>
        <v>7.8860711686173509E-5</v>
      </c>
      <c r="AC183" s="18">
        <f t="shared" si="78"/>
        <v>4.2487136886484971E-5</v>
      </c>
      <c r="AD183" s="18">
        <f t="shared" si="80"/>
        <v>1.6433944403069294E-3</v>
      </c>
      <c r="AE183" s="18">
        <f t="shared" si="82"/>
        <v>5.8542705731378583E-3</v>
      </c>
      <c r="AF183" s="18">
        <f t="shared" si="84"/>
        <v>3.6387145167032816E-3</v>
      </c>
      <c r="AG183" s="18">
        <f t="shared" si="86"/>
        <v>1.3436440010013435E-2</v>
      </c>
      <c r="AH183" s="18">
        <f t="shared" si="88"/>
        <v>5.1336811359332968E-6</v>
      </c>
      <c r="AJ183" s="18">
        <f>IF(ISNUMBER(Kernel!M183),Kernel!M183,"")</f>
        <v>5.0214788246597836E-2</v>
      </c>
      <c r="AK183" s="18">
        <f t="shared" si="73"/>
        <v>2.52152495865066E-3</v>
      </c>
      <c r="AN183" s="18">
        <f>IF(ISNUMBER(Volcanic!G183),Volcanic!G183,"")</f>
        <v>3.9699999999999996E-3</v>
      </c>
    </row>
    <row r="184" spans="1:40">
      <c r="A184" s="18" t="str">
        <f>IF(Volcanic!A184="","",Volcanic!A184)</f>
        <v>5/1973</v>
      </c>
      <c r="B184" s="18">
        <f>IF(ISNUMBER(Volcanic!L184),Volcanic!L184,"")</f>
        <v>1973.375</v>
      </c>
      <c r="C184" s="18">
        <f>IF(ISNUMBER(Volcanic!J184),Volcanic!J184,"")</f>
        <v>1.9250864761311132E-2</v>
      </c>
      <c r="D184" s="18">
        <f t="shared" si="66"/>
        <v>3.7059579405829068E-4</v>
      </c>
      <c r="E184" s="18">
        <f>IF(ISNUMBER(Volcanic!C184),Volcanic!C184,"")</f>
        <v>0.24784073218452071</v>
      </c>
      <c r="F184" s="18">
        <f>IF(ISNUMBER(Volcanic!D184),Volcanic!D184,"")</f>
        <v>1.1299999999999999</v>
      </c>
      <c r="G184" s="18">
        <f>IF(ISNUMBER(Volcanic!E184),Volcanic!E184,"")</f>
        <v>4.45E-3</v>
      </c>
      <c r="H184" s="18">
        <f t="shared" si="67"/>
        <v>6.1425028529759319E-2</v>
      </c>
      <c r="I184" s="18">
        <f t="shared" si="68"/>
        <v>1.2768999999999997</v>
      </c>
      <c r="J184" s="18">
        <f t="shared" si="69"/>
        <v>1.9802499999999999E-5</v>
      </c>
      <c r="K184" s="18">
        <f t="shared" si="70"/>
        <v>0.28006002736850838</v>
      </c>
      <c r="L184" s="18">
        <f t="shared" si="71"/>
        <v>1.1028912582211172E-3</v>
      </c>
      <c r="M184" s="18">
        <f t="shared" si="72"/>
        <v>5.0284999999999991E-3</v>
      </c>
      <c r="N184" s="18">
        <f t="shared" si="74"/>
        <v>1.0073128447986789E-3</v>
      </c>
      <c r="O184" s="18">
        <f t="shared" si="77"/>
        <v>2.0666924344486981E-3</v>
      </c>
      <c r="P184" s="18">
        <f t="shared" si="79"/>
        <v>5.9986996195839793E-3</v>
      </c>
      <c r="Q184" s="18">
        <f t="shared" si="81"/>
        <v>5.3895415962476557E-3</v>
      </c>
      <c r="R184" s="18">
        <f t="shared" si="83"/>
        <v>3.8005558543465852E-5</v>
      </c>
      <c r="S184" s="18">
        <f t="shared" si="85"/>
        <v>1.7485342507992153E-2</v>
      </c>
      <c r="T184" s="18">
        <f t="shared" si="87"/>
        <v>1.0530750587179833E-3</v>
      </c>
      <c r="U184" s="18">
        <f t="shared" si="89"/>
        <v>3.6041111319008354E-3</v>
      </c>
      <c r="V184" s="18">
        <f t="shared" si="90"/>
        <v>6.8598023055363279E-3</v>
      </c>
      <c r="W184" s="18">
        <f t="shared" si="91"/>
        <v>4.3867938424263534E-3</v>
      </c>
      <c r="X184" s="18">
        <f t="shared" si="92"/>
        <v>8.4045016765839093E-4</v>
      </c>
      <c r="Y184" s="18">
        <f t="shared" si="93"/>
        <v>6.6683907038637899E-3</v>
      </c>
      <c r="AA184" s="18">
        <f t="shared" si="75"/>
        <v>3.2928306406940847E-3</v>
      </c>
      <c r="AB184" s="18">
        <f t="shared" si="76"/>
        <v>1.0842733628293816E-5</v>
      </c>
      <c r="AC184" s="18">
        <f t="shared" si="78"/>
        <v>7.8860711686173509E-5</v>
      </c>
      <c r="AD184" s="18">
        <f t="shared" si="80"/>
        <v>4.2487136886484971E-5</v>
      </c>
      <c r="AE184" s="18">
        <f t="shared" si="82"/>
        <v>1.6433944403069294E-3</v>
      </c>
      <c r="AF184" s="18">
        <f t="shared" si="84"/>
        <v>5.8542705731378583E-3</v>
      </c>
      <c r="AG184" s="18">
        <f t="shared" si="86"/>
        <v>3.6387145167032816E-3</v>
      </c>
      <c r="AH184" s="18">
        <f t="shared" si="88"/>
        <v>1.3436440010013435E-2</v>
      </c>
      <c r="AJ184" s="18">
        <f>IF(ISNUMBER(Kernel!M184),Kernel!M184,"")</f>
        <v>2.746338029574294E-2</v>
      </c>
      <c r="AK184" s="18">
        <f t="shared" si="73"/>
        <v>7.5423725726860155E-4</v>
      </c>
      <c r="AN184" s="18">
        <f>IF(ISNUMBER(Volcanic!G184),Volcanic!G184,"")</f>
        <v>4.0099999999999997E-3</v>
      </c>
    </row>
    <row r="185" spans="1:40">
      <c r="A185" s="18" t="str">
        <f>IF(Volcanic!A185="","",Volcanic!A185)</f>
        <v>6/1973</v>
      </c>
      <c r="B185" s="18">
        <f>IF(ISNUMBER(Volcanic!L185),Volcanic!L185,"")</f>
        <v>1973.4583333333333</v>
      </c>
      <c r="C185" s="18">
        <f>IF(ISNUMBER(Volcanic!J185),Volcanic!J185,"")</f>
        <v>3.6823269418768345E-2</v>
      </c>
      <c r="D185" s="18">
        <f t="shared" si="66"/>
        <v>1.3559531706872001E-3</v>
      </c>
      <c r="E185" s="18">
        <f>IF(ISNUMBER(Volcanic!C185),Volcanic!C185,"")</f>
        <v>0.24606056502835677</v>
      </c>
      <c r="F185" s="18">
        <f>IF(ISNUMBER(Volcanic!D185),Volcanic!D185,"")</f>
        <v>0.56000000000000005</v>
      </c>
      <c r="G185" s="18">
        <f>IF(ISNUMBER(Volcanic!E185),Volcanic!E185,"")</f>
        <v>4.3699999999999998E-3</v>
      </c>
      <c r="H185" s="18">
        <f t="shared" si="67"/>
        <v>6.054580166207419E-2</v>
      </c>
      <c r="I185" s="18">
        <f t="shared" si="68"/>
        <v>0.31360000000000005</v>
      </c>
      <c r="J185" s="18">
        <f t="shared" si="69"/>
        <v>1.9096899999999997E-5</v>
      </c>
      <c r="K185" s="18">
        <f t="shared" si="70"/>
        <v>0.13779391641587979</v>
      </c>
      <c r="L185" s="18">
        <f t="shared" si="71"/>
        <v>1.0752846691739191E-3</v>
      </c>
      <c r="M185" s="18">
        <f t="shared" si="72"/>
        <v>2.4472000000000001E-3</v>
      </c>
      <c r="N185" s="18">
        <f t="shared" si="74"/>
        <v>3.7059579405829068E-4</v>
      </c>
      <c r="O185" s="18">
        <f t="shared" si="77"/>
        <v>1.0073128447986789E-3</v>
      </c>
      <c r="P185" s="18">
        <f t="shared" si="79"/>
        <v>2.0666924344486981E-3</v>
      </c>
      <c r="Q185" s="18">
        <f t="shared" si="81"/>
        <v>5.9986996195839793E-3</v>
      </c>
      <c r="R185" s="18">
        <f t="shared" si="83"/>
        <v>5.3895415962476557E-3</v>
      </c>
      <c r="S185" s="18">
        <f t="shared" si="85"/>
        <v>3.8005558543465852E-5</v>
      </c>
      <c r="T185" s="18">
        <f t="shared" si="87"/>
        <v>1.7485342507992153E-2</v>
      </c>
      <c r="U185" s="18">
        <f t="shared" si="89"/>
        <v>1.0530750587179833E-3</v>
      </c>
      <c r="V185" s="18">
        <f t="shared" si="90"/>
        <v>3.6041111319008354E-3</v>
      </c>
      <c r="W185" s="18">
        <f t="shared" si="91"/>
        <v>6.8598023055363279E-3</v>
      </c>
      <c r="X185" s="18">
        <f t="shared" si="92"/>
        <v>4.3867938424263534E-3</v>
      </c>
      <c r="Y185" s="18">
        <f t="shared" si="93"/>
        <v>8.4045016765839093E-4</v>
      </c>
      <c r="AA185" s="18">
        <f t="shared" si="75"/>
        <v>2.714389150481367E-2</v>
      </c>
      <c r="AB185" s="18">
        <f t="shared" si="76"/>
        <v>7.3679084602509576E-4</v>
      </c>
      <c r="AC185" s="18">
        <f t="shared" si="78"/>
        <v>1.0842733628293816E-5</v>
      </c>
      <c r="AD185" s="18">
        <f t="shared" si="80"/>
        <v>7.8860711686173509E-5</v>
      </c>
      <c r="AE185" s="18">
        <f t="shared" si="82"/>
        <v>4.2487136886484971E-5</v>
      </c>
      <c r="AF185" s="18">
        <f t="shared" si="84"/>
        <v>1.6433944403069294E-3</v>
      </c>
      <c r="AG185" s="18">
        <f t="shared" si="86"/>
        <v>5.8542705731378583E-3</v>
      </c>
      <c r="AH185" s="18">
        <f t="shared" si="88"/>
        <v>3.6387145167032816E-3</v>
      </c>
      <c r="AJ185" s="18">
        <f>IF(ISNUMBER(Kernel!M185),Kernel!M185,"")</f>
        <v>2.2914323745863358E-2</v>
      </c>
      <c r="AK185" s="18">
        <f t="shared" si="73"/>
        <v>5.2506623273023735E-4</v>
      </c>
      <c r="AN185" s="18">
        <f>IF(ISNUMBER(Volcanic!G185),Volcanic!G185,"")</f>
        <v>4.0800000000000003E-3</v>
      </c>
    </row>
    <row r="186" spans="1:40">
      <c r="A186" s="18" t="str">
        <f>IF(Volcanic!A186="","",Volcanic!A186)</f>
        <v>7/1973</v>
      </c>
      <c r="B186" s="18">
        <f>IF(ISNUMBER(Volcanic!L186),Volcanic!L186,"")</f>
        <v>1973.5416666666667</v>
      </c>
      <c r="C186" s="18">
        <f>IF(ISNUMBER(Volcanic!J186),Volcanic!J186,"")</f>
        <v>4.5553369459710905E-2</v>
      </c>
      <c r="D186" s="18">
        <f t="shared" si="66"/>
        <v>2.0751094691329221E-3</v>
      </c>
      <c r="E186" s="18">
        <f>IF(ISNUMBER(Volcanic!C186),Volcanic!C186,"")</f>
        <v>0.24083766117617278</v>
      </c>
      <c r="F186" s="18">
        <f>IF(ISNUMBER(Volcanic!D186),Volcanic!D186,"")</f>
        <v>-0.03</v>
      </c>
      <c r="G186" s="18">
        <f>IF(ISNUMBER(Volcanic!E186),Volcanic!E186,"")</f>
        <v>4.2500000000000003E-3</v>
      </c>
      <c r="H186" s="18">
        <f t="shared" si="67"/>
        <v>5.8002779040808999E-2</v>
      </c>
      <c r="I186" s="18">
        <f t="shared" si="68"/>
        <v>8.9999999999999998E-4</v>
      </c>
      <c r="J186" s="18">
        <f t="shared" si="69"/>
        <v>1.8062500000000002E-5</v>
      </c>
      <c r="K186" s="18">
        <f t="shared" si="70"/>
        <v>-7.2251298352851833E-3</v>
      </c>
      <c r="L186" s="18">
        <f t="shared" si="71"/>
        <v>1.0235600599987345E-3</v>
      </c>
      <c r="M186" s="18">
        <f t="shared" si="72"/>
        <v>-1.2750000000000001E-4</v>
      </c>
      <c r="N186" s="18">
        <f t="shared" si="74"/>
        <v>1.3559531706872001E-3</v>
      </c>
      <c r="O186" s="18">
        <f t="shared" si="77"/>
        <v>3.7059579405829068E-4</v>
      </c>
      <c r="P186" s="18">
        <f t="shared" si="79"/>
        <v>1.0073128447986789E-3</v>
      </c>
      <c r="Q186" s="18">
        <f t="shared" si="81"/>
        <v>2.0666924344486981E-3</v>
      </c>
      <c r="R186" s="18">
        <f t="shared" si="83"/>
        <v>5.9986996195839793E-3</v>
      </c>
      <c r="S186" s="18">
        <f t="shared" si="85"/>
        <v>5.3895415962476557E-3</v>
      </c>
      <c r="T186" s="18">
        <f t="shared" si="87"/>
        <v>3.8005558543465852E-5</v>
      </c>
      <c r="U186" s="18">
        <f t="shared" si="89"/>
        <v>1.7485342507992153E-2</v>
      </c>
      <c r="V186" s="18">
        <f t="shared" si="90"/>
        <v>1.0530750587179833E-3</v>
      </c>
      <c r="W186" s="18">
        <f t="shared" si="91"/>
        <v>3.6041111319008354E-3</v>
      </c>
      <c r="X186" s="18">
        <f t="shared" si="92"/>
        <v>6.8598023055363279E-3</v>
      </c>
      <c r="Y186" s="18">
        <f t="shared" si="93"/>
        <v>4.3867938424263534E-3</v>
      </c>
      <c r="AA186" s="18">
        <f t="shared" si="75"/>
        <v>2.7038547130900696E-2</v>
      </c>
      <c r="AB186" s="18">
        <f t="shared" si="76"/>
        <v>7.3108303094993824E-4</v>
      </c>
      <c r="AC186" s="18">
        <f t="shared" si="78"/>
        <v>7.3679084602509576E-4</v>
      </c>
      <c r="AD186" s="18">
        <f t="shared" si="80"/>
        <v>1.0842733628293816E-5</v>
      </c>
      <c r="AE186" s="18">
        <f t="shared" si="82"/>
        <v>7.8860711686173509E-5</v>
      </c>
      <c r="AF186" s="18">
        <f t="shared" si="84"/>
        <v>4.2487136886484971E-5</v>
      </c>
      <c r="AG186" s="18">
        <f t="shared" si="86"/>
        <v>1.6433944403069294E-3</v>
      </c>
      <c r="AH186" s="18">
        <f t="shared" si="88"/>
        <v>5.8542705731378583E-3</v>
      </c>
      <c r="AJ186" s="18">
        <f>IF(ISNUMBER(Kernel!M186),Kernel!M186,"")</f>
        <v>7.1473905050138953E-3</v>
      </c>
      <c r="AK186" s="18">
        <f t="shared" si="73"/>
        <v>5.1085191031162788E-5</v>
      </c>
      <c r="AN186" s="18">
        <f>IF(ISNUMBER(Volcanic!G186),Volcanic!G186,"")</f>
        <v>4.3400000000000001E-3</v>
      </c>
    </row>
    <row r="187" spans="1:40">
      <c r="A187" s="18" t="str">
        <f>IF(Volcanic!A187="","",Volcanic!A187)</f>
        <v>8/1973</v>
      </c>
      <c r="B187" s="18">
        <f>IF(ISNUMBER(Volcanic!L187),Volcanic!L187,"")</f>
        <v>1973.625</v>
      </c>
      <c r="C187" s="18">
        <f>IF(ISNUMBER(Volcanic!J187),Volcanic!J187,"")</f>
        <v>2.847098441426122E-2</v>
      </c>
      <c r="D187" s="18">
        <f t="shared" si="66"/>
        <v>8.1059695351710535E-4</v>
      </c>
      <c r="E187" s="18">
        <f>IF(ISNUMBER(Volcanic!C187),Volcanic!C187,"")</f>
        <v>0.23401949506170835</v>
      </c>
      <c r="F187" s="18">
        <f>IF(ISNUMBER(Volcanic!D187),Volcanic!D187,"")</f>
        <v>-0.51</v>
      </c>
      <c r="G187" s="18">
        <f>IF(ISNUMBER(Volcanic!E187),Volcanic!E187,"")</f>
        <v>4.15E-3</v>
      </c>
      <c r="H187" s="18">
        <f t="shared" si="67"/>
        <v>5.4765124068936938E-2</v>
      </c>
      <c r="I187" s="18">
        <f t="shared" si="68"/>
        <v>0.2601</v>
      </c>
      <c r="J187" s="18">
        <f t="shared" si="69"/>
        <v>1.72225E-5</v>
      </c>
      <c r="K187" s="18">
        <f t="shared" si="70"/>
        <v>-0.11934994248147127</v>
      </c>
      <c r="L187" s="18">
        <f t="shared" si="71"/>
        <v>9.7118090450608969E-4</v>
      </c>
      <c r="M187" s="18">
        <f t="shared" si="72"/>
        <v>-2.1164999999999999E-3</v>
      </c>
      <c r="N187" s="18">
        <f t="shared" si="74"/>
        <v>2.0751094691329221E-3</v>
      </c>
      <c r="O187" s="18">
        <f t="shared" si="77"/>
        <v>1.3559531706872001E-3</v>
      </c>
      <c r="P187" s="18">
        <f t="shared" si="79"/>
        <v>3.7059579405829068E-4</v>
      </c>
      <c r="Q187" s="18">
        <f t="shared" si="81"/>
        <v>1.0073128447986789E-3</v>
      </c>
      <c r="R187" s="18">
        <f t="shared" si="83"/>
        <v>2.0666924344486981E-3</v>
      </c>
      <c r="S187" s="18">
        <f t="shared" si="85"/>
        <v>5.9986996195839793E-3</v>
      </c>
      <c r="T187" s="18">
        <f t="shared" si="87"/>
        <v>5.3895415962476557E-3</v>
      </c>
      <c r="U187" s="18">
        <f t="shared" si="89"/>
        <v>3.8005558543465852E-5</v>
      </c>
      <c r="V187" s="18">
        <f t="shared" si="90"/>
        <v>1.7485342507992153E-2</v>
      </c>
      <c r="W187" s="18">
        <f t="shared" si="91"/>
        <v>1.0530750587179833E-3</v>
      </c>
      <c r="X187" s="18">
        <f t="shared" si="92"/>
        <v>3.6041111319008354E-3</v>
      </c>
      <c r="Y187" s="18">
        <f t="shared" si="93"/>
        <v>6.8598023055363279E-3</v>
      </c>
      <c r="AA187" s="18">
        <f t="shared" si="75"/>
        <v>5.5666482339621418E-3</v>
      </c>
      <c r="AB187" s="18">
        <f t="shared" si="76"/>
        <v>3.0987572560673833E-5</v>
      </c>
      <c r="AC187" s="18">
        <f t="shared" si="78"/>
        <v>7.3108303094993824E-4</v>
      </c>
      <c r="AD187" s="18">
        <f t="shared" si="80"/>
        <v>7.3679084602509576E-4</v>
      </c>
      <c r="AE187" s="18">
        <f t="shared" si="82"/>
        <v>1.0842733628293816E-5</v>
      </c>
      <c r="AF187" s="18">
        <f t="shared" si="84"/>
        <v>7.8860711686173509E-5</v>
      </c>
      <c r="AG187" s="18">
        <f t="shared" si="86"/>
        <v>4.2487136886484971E-5</v>
      </c>
      <c r="AH187" s="18">
        <f t="shared" si="88"/>
        <v>1.6433944403069294E-3</v>
      </c>
      <c r="AJ187" s="18">
        <f>IF(ISNUMBER(Kernel!M187),Kernel!M187,"")</f>
        <v>-2.6132565682166431E-2</v>
      </c>
      <c r="AK187" s="18">
        <f t="shared" si="73"/>
        <v>6.8291098913274262E-4</v>
      </c>
      <c r="AN187" s="18">
        <f>IF(ISNUMBER(Volcanic!G187),Volcanic!G187,"")</f>
        <v>5.0800000000000003E-3</v>
      </c>
    </row>
    <row r="188" spans="1:40">
      <c r="A188" s="18" t="str">
        <f>IF(Volcanic!A188="","",Volcanic!A188)</f>
        <v>9/1973</v>
      </c>
      <c r="B188" s="18">
        <f>IF(ISNUMBER(Volcanic!L188),Volcanic!L188,"")</f>
        <v>1973.7083333333333</v>
      </c>
      <c r="C188" s="18">
        <f>IF(ISNUMBER(Volcanic!J188),Volcanic!J188,"")</f>
        <v>0.11652009778236022</v>
      </c>
      <c r="D188" s="18">
        <f t="shared" si="66"/>
        <v>1.3576933187210788E-2</v>
      </c>
      <c r="E188" s="18">
        <f>IF(ISNUMBER(Volcanic!C188),Volcanic!C188,"")</f>
        <v>0.22615618030371948</v>
      </c>
      <c r="F188" s="18">
        <f>IF(ISNUMBER(Volcanic!D188),Volcanic!D188,"")</f>
        <v>-0.8</v>
      </c>
      <c r="G188" s="18">
        <f>IF(ISNUMBER(Volcanic!E188),Volcanic!E188,"")</f>
        <v>4.0099999999999997E-3</v>
      </c>
      <c r="H188" s="18">
        <f t="shared" si="67"/>
        <v>5.1146617889568473E-2</v>
      </c>
      <c r="I188" s="18">
        <f t="shared" si="68"/>
        <v>0.64000000000000012</v>
      </c>
      <c r="J188" s="18">
        <f t="shared" si="69"/>
        <v>1.6080099999999999E-5</v>
      </c>
      <c r="K188" s="18">
        <f t="shared" si="70"/>
        <v>-0.18092494424297559</v>
      </c>
      <c r="L188" s="18">
        <f t="shared" si="71"/>
        <v>9.0688628301791507E-4</v>
      </c>
      <c r="M188" s="18">
        <f t="shared" si="72"/>
        <v>-3.2079999999999999E-3</v>
      </c>
      <c r="N188" s="18">
        <f t="shared" si="74"/>
        <v>8.1059695351710535E-4</v>
      </c>
      <c r="O188" s="18">
        <f t="shared" si="77"/>
        <v>2.0751094691329221E-3</v>
      </c>
      <c r="P188" s="18">
        <f t="shared" si="79"/>
        <v>1.3559531706872001E-3</v>
      </c>
      <c r="Q188" s="18">
        <f t="shared" si="81"/>
        <v>3.7059579405829068E-4</v>
      </c>
      <c r="R188" s="18">
        <f t="shared" si="83"/>
        <v>1.0073128447986789E-3</v>
      </c>
      <c r="S188" s="18">
        <f t="shared" si="85"/>
        <v>2.0666924344486981E-3</v>
      </c>
      <c r="T188" s="18">
        <f t="shared" si="87"/>
        <v>5.9986996195839793E-3</v>
      </c>
      <c r="U188" s="18">
        <f t="shared" si="89"/>
        <v>5.3895415962476557E-3</v>
      </c>
      <c r="V188" s="18">
        <f t="shared" si="90"/>
        <v>3.8005558543465852E-5</v>
      </c>
      <c r="W188" s="18">
        <f t="shared" si="91"/>
        <v>1.7485342507992153E-2</v>
      </c>
      <c r="X188" s="18">
        <f t="shared" si="92"/>
        <v>1.0530750587179833E-3</v>
      </c>
      <c r="Y188" s="18">
        <f t="shared" si="93"/>
        <v>3.6041111319008354E-3</v>
      </c>
      <c r="AA188" s="18">
        <f t="shared" si="75"/>
        <v>0.10220482305860913</v>
      </c>
      <c r="AB188" s="18">
        <f t="shared" si="76"/>
        <v>1.0445825856441601E-2</v>
      </c>
      <c r="AC188" s="18">
        <f t="shared" si="78"/>
        <v>3.0987572560673833E-5</v>
      </c>
      <c r="AD188" s="18">
        <f t="shared" si="80"/>
        <v>7.3108303094993824E-4</v>
      </c>
      <c r="AE188" s="18">
        <f t="shared" si="82"/>
        <v>7.3679084602509576E-4</v>
      </c>
      <c r="AF188" s="18">
        <f t="shared" si="84"/>
        <v>1.0842733628293816E-5</v>
      </c>
      <c r="AG188" s="18">
        <f t="shared" si="86"/>
        <v>7.8860711686173509E-5</v>
      </c>
      <c r="AH188" s="18">
        <f t="shared" si="88"/>
        <v>4.2487136886484971E-5</v>
      </c>
      <c r="AJ188" s="18">
        <f>IF(ISNUMBER(Kernel!M188),Kernel!M188,"")</f>
        <v>6.2345263829192324E-2</v>
      </c>
      <c r="AK188" s="18">
        <f t="shared" si="73"/>
        <v>3.8869319219315968E-3</v>
      </c>
      <c r="AN188" s="18">
        <f>IF(ISNUMBER(Volcanic!G188),Volcanic!G188,"")</f>
        <v>5.13E-3</v>
      </c>
    </row>
    <row r="189" spans="1:40">
      <c r="A189" s="18" t="str">
        <f>IF(Volcanic!A189="","",Volcanic!A189)</f>
        <v>10/1973</v>
      </c>
      <c r="B189" s="18">
        <f>IF(ISNUMBER(Volcanic!L189),Volcanic!L189,"")</f>
        <v>1973.7916666666667</v>
      </c>
      <c r="C189" s="18">
        <f>IF(ISNUMBER(Volcanic!J189),Volcanic!J189,"")</f>
        <v>0.14796376340357387</v>
      </c>
      <c r="D189" s="18">
        <f t="shared" si="66"/>
        <v>2.1893275280548786E-2</v>
      </c>
      <c r="E189" s="18">
        <f>IF(ISNUMBER(Volcanic!C189),Volcanic!C189,"")</f>
        <v>0.22470182828890004</v>
      </c>
      <c r="F189" s="18">
        <f>IF(ISNUMBER(Volcanic!D189),Volcanic!D189,"")</f>
        <v>-0.99</v>
      </c>
      <c r="G189" s="18">
        <f>IF(ISNUMBER(Volcanic!E189),Volcanic!E189,"")</f>
        <v>3.9399999999999999E-3</v>
      </c>
      <c r="H189" s="18">
        <f t="shared" si="67"/>
        <v>5.0490911636374314E-2</v>
      </c>
      <c r="I189" s="18">
        <f t="shared" si="68"/>
        <v>0.98009999999999997</v>
      </c>
      <c r="J189" s="18">
        <f t="shared" si="69"/>
        <v>1.5523599999999998E-5</v>
      </c>
      <c r="K189" s="18">
        <f t="shared" si="70"/>
        <v>-0.22245481000601103</v>
      </c>
      <c r="L189" s="18">
        <f t="shared" si="71"/>
        <v>8.8532520345826614E-4</v>
      </c>
      <c r="M189" s="18">
        <f t="shared" si="72"/>
        <v>-3.9005999999999997E-3</v>
      </c>
      <c r="N189" s="18">
        <f t="shared" si="74"/>
        <v>1.3576933187210788E-2</v>
      </c>
      <c r="O189" s="18">
        <f t="shared" si="77"/>
        <v>8.1059695351710535E-4</v>
      </c>
      <c r="P189" s="18">
        <f t="shared" si="79"/>
        <v>2.0751094691329221E-3</v>
      </c>
      <c r="Q189" s="18">
        <f t="shared" si="81"/>
        <v>1.3559531706872001E-3</v>
      </c>
      <c r="R189" s="18">
        <f t="shared" si="83"/>
        <v>3.7059579405829068E-4</v>
      </c>
      <c r="S189" s="18">
        <f t="shared" si="85"/>
        <v>1.0073128447986789E-3</v>
      </c>
      <c r="T189" s="18">
        <f t="shared" si="87"/>
        <v>2.0666924344486981E-3</v>
      </c>
      <c r="U189" s="18">
        <f t="shared" si="89"/>
        <v>5.9986996195839793E-3</v>
      </c>
      <c r="V189" s="18">
        <f t="shared" si="90"/>
        <v>5.3895415962476557E-3</v>
      </c>
      <c r="W189" s="18">
        <f t="shared" si="91"/>
        <v>3.8005558543465852E-5</v>
      </c>
      <c r="X189" s="18">
        <f t="shared" si="92"/>
        <v>1.7485342507992153E-2</v>
      </c>
      <c r="Y189" s="18">
        <f t="shared" si="93"/>
        <v>1.0530750587179833E-3</v>
      </c>
      <c r="AA189" s="18">
        <f t="shared" si="75"/>
        <v>8.9377197293927485E-2</v>
      </c>
      <c r="AB189" s="18">
        <f t="shared" si="76"/>
        <v>7.9882833961176392E-3</v>
      </c>
      <c r="AC189" s="18">
        <f t="shared" si="78"/>
        <v>1.0445825856441601E-2</v>
      </c>
      <c r="AD189" s="18">
        <f t="shared" si="80"/>
        <v>3.0987572560673833E-5</v>
      </c>
      <c r="AE189" s="18">
        <f t="shared" si="82"/>
        <v>7.3108303094993824E-4</v>
      </c>
      <c r="AF189" s="18">
        <f t="shared" si="84"/>
        <v>7.3679084602509576E-4</v>
      </c>
      <c r="AG189" s="18">
        <f t="shared" si="86"/>
        <v>1.0842733628293816E-5</v>
      </c>
      <c r="AH189" s="18">
        <f t="shared" si="88"/>
        <v>7.8860711686173509E-5</v>
      </c>
      <c r="AJ189" s="18">
        <f>IF(ISNUMBER(Kernel!M189),Kernel!M189,"")</f>
        <v>0.1062573105317039</v>
      </c>
      <c r="AK189" s="18">
        <f t="shared" si="73"/>
        <v>1.1290616041430952E-2</v>
      </c>
      <c r="AN189" s="18">
        <f>IF(ISNUMBER(Volcanic!G189),Volcanic!G189,"")</f>
        <v>5.13E-3</v>
      </c>
    </row>
    <row r="190" spans="1:40">
      <c r="A190" s="18" t="str">
        <f>IF(Volcanic!A190="","",Volcanic!A190)</f>
        <v>11/1973</v>
      </c>
      <c r="B190" s="18">
        <f>IF(ISNUMBER(Volcanic!L190),Volcanic!L190,"")</f>
        <v>1973.875</v>
      </c>
      <c r="C190" s="18">
        <f>IF(ISNUMBER(Volcanic!J190),Volcanic!J190,"")</f>
        <v>8.7397140590348227E-2</v>
      </c>
      <c r="D190" s="18">
        <f t="shared" si="66"/>
        <v>7.6382601833690934E-3</v>
      </c>
      <c r="E190" s="18">
        <f>IF(ISNUMBER(Volcanic!C190),Volcanic!C190,"")</f>
        <v>0.22901653224979263</v>
      </c>
      <c r="F190" s="18">
        <f>IF(ISNUMBER(Volcanic!D190),Volcanic!D190,"")</f>
        <v>-1.1100000000000001</v>
      </c>
      <c r="G190" s="18">
        <f>IF(ISNUMBER(Volcanic!E190),Volcanic!E190,"")</f>
        <v>3.9699999999999996E-3</v>
      </c>
      <c r="H190" s="18">
        <f t="shared" si="67"/>
        <v>5.2448572043720304E-2</v>
      </c>
      <c r="I190" s="18">
        <f t="shared" si="68"/>
        <v>1.2321000000000002</v>
      </c>
      <c r="J190" s="18">
        <f t="shared" si="69"/>
        <v>1.5760899999999997E-5</v>
      </c>
      <c r="K190" s="18">
        <f t="shared" si="70"/>
        <v>-0.25420835079726983</v>
      </c>
      <c r="L190" s="18">
        <f t="shared" si="71"/>
        <v>9.0919563303167668E-4</v>
      </c>
      <c r="M190" s="18">
        <f t="shared" si="72"/>
        <v>-4.4066999999999995E-3</v>
      </c>
      <c r="N190" s="18">
        <f t="shared" si="74"/>
        <v>2.1893275280548786E-2</v>
      </c>
      <c r="O190" s="18">
        <f t="shared" si="77"/>
        <v>1.3576933187210788E-2</v>
      </c>
      <c r="P190" s="18">
        <f t="shared" si="79"/>
        <v>8.1059695351710535E-4</v>
      </c>
      <c r="Q190" s="18">
        <f t="shared" si="81"/>
        <v>2.0751094691329221E-3</v>
      </c>
      <c r="R190" s="18">
        <f t="shared" si="83"/>
        <v>1.3559531706872001E-3</v>
      </c>
      <c r="S190" s="18">
        <f t="shared" si="85"/>
        <v>3.7059579405829068E-4</v>
      </c>
      <c r="T190" s="18">
        <f t="shared" si="87"/>
        <v>1.0073128447986789E-3</v>
      </c>
      <c r="U190" s="18">
        <f t="shared" si="89"/>
        <v>2.0666924344486981E-3</v>
      </c>
      <c r="V190" s="18">
        <f t="shared" si="90"/>
        <v>5.9986996195839793E-3</v>
      </c>
      <c r="W190" s="18">
        <f t="shared" si="91"/>
        <v>5.3895415962476557E-3</v>
      </c>
      <c r="X190" s="18">
        <f t="shared" si="92"/>
        <v>3.8005558543465852E-5</v>
      </c>
      <c r="Y190" s="18">
        <f t="shared" si="93"/>
        <v>1.7485342507992153E-2</v>
      </c>
      <c r="AA190" s="18">
        <f t="shared" si="75"/>
        <v>1.3000628988828658E-2</v>
      </c>
      <c r="AB190" s="18">
        <f t="shared" si="76"/>
        <v>1.6901635410517205E-4</v>
      </c>
      <c r="AC190" s="18">
        <f t="shared" si="78"/>
        <v>7.9882833961176392E-3</v>
      </c>
      <c r="AD190" s="18">
        <f t="shared" si="80"/>
        <v>1.0445825856441601E-2</v>
      </c>
      <c r="AE190" s="18">
        <f t="shared" si="82"/>
        <v>3.0987572560673833E-5</v>
      </c>
      <c r="AF190" s="18">
        <f t="shared" si="84"/>
        <v>7.3108303094993824E-4</v>
      </c>
      <c r="AG190" s="18">
        <f t="shared" si="86"/>
        <v>7.3679084602509576E-4</v>
      </c>
      <c r="AH190" s="18">
        <f t="shared" si="88"/>
        <v>1.0842733628293816E-5</v>
      </c>
      <c r="AJ190" s="18">
        <f>IF(ISNUMBER(Kernel!M190),Kernel!M190,"")</f>
        <v>6.6648618746343119E-2</v>
      </c>
      <c r="AK190" s="18">
        <f t="shared" si="73"/>
        <v>4.4420383807953993E-3</v>
      </c>
      <c r="AN190" s="18">
        <f>IF(ISNUMBER(Volcanic!G190),Volcanic!G190,"")</f>
        <v>4.9699999999999996E-3</v>
      </c>
    </row>
    <row r="191" spans="1:40">
      <c r="A191" s="18" t="str">
        <f>IF(Volcanic!A191="","",Volcanic!A191)</f>
        <v>12/1973</v>
      </c>
      <c r="B191" s="18">
        <f>IF(ISNUMBER(Volcanic!L191),Volcanic!L191,"")</f>
        <v>1973.9583333333333</v>
      </c>
      <c r="C191" s="18">
        <f>IF(ISNUMBER(Volcanic!J191),Volcanic!J191,"")</f>
        <v>-1.4346713098924983E-2</v>
      </c>
      <c r="D191" s="18">
        <f t="shared" si="66"/>
        <v>2.058281767428657E-4</v>
      </c>
      <c r="E191" s="18">
        <f>IF(ISNUMBER(Volcanic!C191),Volcanic!C191,"")</f>
        <v>0.23112515787904964</v>
      </c>
      <c r="F191" s="18">
        <f>IF(ISNUMBER(Volcanic!D191),Volcanic!D191,"")</f>
        <v>-1.26</v>
      </c>
      <c r="G191" s="18">
        <f>IF(ISNUMBER(Volcanic!E191),Volcanic!E191,"")</f>
        <v>4.0099999999999997E-3</v>
      </c>
      <c r="H191" s="18">
        <f t="shared" si="67"/>
        <v>5.3418838604615618E-2</v>
      </c>
      <c r="I191" s="18">
        <f t="shared" si="68"/>
        <v>1.5876000000000001</v>
      </c>
      <c r="J191" s="18">
        <f t="shared" si="69"/>
        <v>1.6080099999999999E-5</v>
      </c>
      <c r="K191" s="18">
        <f t="shared" si="70"/>
        <v>-0.29121769892760252</v>
      </c>
      <c r="L191" s="18">
        <f t="shared" si="71"/>
        <v>9.2681188309498899E-4</v>
      </c>
      <c r="M191" s="18">
        <f t="shared" si="72"/>
        <v>-5.0526E-3</v>
      </c>
      <c r="N191" s="18">
        <f t="shared" si="74"/>
        <v>7.6382601833690934E-3</v>
      </c>
      <c r="O191" s="18">
        <f t="shared" si="77"/>
        <v>2.1893275280548786E-2</v>
      </c>
      <c r="P191" s="18">
        <f t="shared" si="79"/>
        <v>1.3576933187210788E-2</v>
      </c>
      <c r="Q191" s="18">
        <f t="shared" si="81"/>
        <v>8.1059695351710535E-4</v>
      </c>
      <c r="R191" s="18">
        <f t="shared" si="83"/>
        <v>2.0751094691329221E-3</v>
      </c>
      <c r="S191" s="18">
        <f t="shared" si="85"/>
        <v>1.3559531706872001E-3</v>
      </c>
      <c r="T191" s="18">
        <f t="shared" si="87"/>
        <v>3.7059579405829068E-4</v>
      </c>
      <c r="U191" s="18">
        <f t="shared" si="89"/>
        <v>1.0073128447986789E-3</v>
      </c>
      <c r="V191" s="18">
        <f t="shared" si="90"/>
        <v>2.0666924344486981E-3</v>
      </c>
      <c r="W191" s="18">
        <f t="shared" si="91"/>
        <v>5.9986996195839793E-3</v>
      </c>
      <c r="X191" s="18">
        <f t="shared" si="92"/>
        <v>5.3895415962476557E-3</v>
      </c>
      <c r="Y191" s="18">
        <f t="shared" si="93"/>
        <v>3.8005558543465852E-5</v>
      </c>
      <c r="AA191" s="18">
        <f t="shared" si="75"/>
        <v>-5.8290191112085811E-2</v>
      </c>
      <c r="AB191" s="18">
        <f t="shared" si="76"/>
        <v>3.3977463798834876E-3</v>
      </c>
      <c r="AC191" s="18">
        <f t="shared" si="78"/>
        <v>1.6901635410517205E-4</v>
      </c>
      <c r="AD191" s="18">
        <f t="shared" si="80"/>
        <v>7.9882833961176392E-3</v>
      </c>
      <c r="AE191" s="18">
        <f t="shared" si="82"/>
        <v>1.0445825856441601E-2</v>
      </c>
      <c r="AF191" s="18">
        <f t="shared" si="84"/>
        <v>3.0987572560673833E-5</v>
      </c>
      <c r="AG191" s="18">
        <f t="shared" si="86"/>
        <v>7.3108303094993824E-4</v>
      </c>
      <c r="AH191" s="18">
        <f t="shared" si="88"/>
        <v>7.3679084602509576E-4</v>
      </c>
      <c r="AJ191" s="18">
        <f>IF(ISNUMBER(Kernel!M191),Kernel!M191,"")</f>
        <v>-1.8712380904092593E-2</v>
      </c>
      <c r="AK191" s="18">
        <f t="shared" si="73"/>
        <v>3.5015319909984915E-4</v>
      </c>
      <c r="AN191" s="18">
        <f>IF(ISNUMBER(Volcanic!G191),Volcanic!G191,"")</f>
        <v>4.7800000000000004E-3</v>
      </c>
    </row>
    <row r="192" spans="1:40">
      <c r="A192" s="18" t="str">
        <f>IF(Volcanic!A192="","",Volcanic!A192)</f>
        <v>1/1974</v>
      </c>
      <c r="B192" s="18">
        <f>IF(ISNUMBER(Volcanic!L192),Volcanic!L192,"")</f>
        <v>1974.0416666666667</v>
      </c>
      <c r="C192" s="18">
        <f>IF(ISNUMBER(Volcanic!J192),Volcanic!J192,"")</f>
        <v>-2.2989765891884908E-2</v>
      </c>
      <c r="D192" s="18">
        <f t="shared" si="66"/>
        <v>5.285293357636747E-4</v>
      </c>
      <c r="E192" s="18">
        <f>IF(ISNUMBER(Volcanic!C192),Volcanic!C192,"")</f>
        <v>0.23423852660157829</v>
      </c>
      <c r="F192" s="18">
        <f>IF(ISNUMBER(Volcanic!D192),Volcanic!D192,"")</f>
        <v>-1.58</v>
      </c>
      <c r="G192" s="18">
        <f>IF(ISNUMBER(Volcanic!E192),Volcanic!E192,"")</f>
        <v>4.0800000000000003E-3</v>
      </c>
      <c r="H192" s="18">
        <f t="shared" si="67"/>
        <v>5.4867687344478298E-2</v>
      </c>
      <c r="I192" s="18">
        <f t="shared" si="68"/>
        <v>2.4964000000000004</v>
      </c>
      <c r="J192" s="18">
        <f t="shared" si="69"/>
        <v>1.6646400000000004E-5</v>
      </c>
      <c r="K192" s="18">
        <f t="shared" si="70"/>
        <v>-0.37009687203049374</v>
      </c>
      <c r="L192" s="18">
        <f t="shared" si="71"/>
        <v>9.5569318853443944E-4</v>
      </c>
      <c r="M192" s="18">
        <f t="shared" si="72"/>
        <v>-6.4464000000000006E-3</v>
      </c>
      <c r="N192" s="18">
        <f t="shared" si="74"/>
        <v>2.058281767428657E-4</v>
      </c>
      <c r="O192" s="18">
        <f t="shared" si="77"/>
        <v>7.6382601833690934E-3</v>
      </c>
      <c r="P192" s="18">
        <f t="shared" si="79"/>
        <v>2.1893275280548786E-2</v>
      </c>
      <c r="Q192" s="18">
        <f t="shared" si="81"/>
        <v>1.3576933187210788E-2</v>
      </c>
      <c r="R192" s="18">
        <f t="shared" si="83"/>
        <v>8.1059695351710535E-4</v>
      </c>
      <c r="S192" s="18">
        <f t="shared" si="85"/>
        <v>2.0751094691329221E-3</v>
      </c>
      <c r="T192" s="18">
        <f t="shared" si="87"/>
        <v>1.3559531706872001E-3</v>
      </c>
      <c r="U192" s="18">
        <f t="shared" si="89"/>
        <v>3.7059579405829068E-4</v>
      </c>
      <c r="V192" s="18">
        <f t="shared" si="90"/>
        <v>1.0073128447986789E-3</v>
      </c>
      <c r="W192" s="18">
        <f t="shared" si="91"/>
        <v>2.0666924344486981E-3</v>
      </c>
      <c r="X192" s="18">
        <f t="shared" si="92"/>
        <v>5.9986996195839793E-3</v>
      </c>
      <c r="Y192" s="18">
        <f t="shared" si="93"/>
        <v>5.3895415962476557E-3</v>
      </c>
      <c r="AA192" s="18">
        <f t="shared" si="75"/>
        <v>-1.5776206416537954E-2</v>
      </c>
      <c r="AB192" s="18">
        <f t="shared" si="76"/>
        <v>2.4888868889721332E-4</v>
      </c>
      <c r="AC192" s="18">
        <f t="shared" si="78"/>
        <v>3.3977463798834876E-3</v>
      </c>
      <c r="AD192" s="18">
        <f t="shared" si="80"/>
        <v>1.6901635410517205E-4</v>
      </c>
      <c r="AE192" s="18">
        <f t="shared" si="82"/>
        <v>7.9882833961176392E-3</v>
      </c>
      <c r="AF192" s="18">
        <f t="shared" si="84"/>
        <v>1.0445825856441601E-2</v>
      </c>
      <c r="AG192" s="18">
        <f t="shared" si="86"/>
        <v>3.0987572560673833E-5</v>
      </c>
      <c r="AH192" s="18">
        <f t="shared" si="88"/>
        <v>7.3108303094993824E-4</v>
      </c>
      <c r="AJ192" s="18">
        <f>IF(ISNUMBER(Kernel!M192),Kernel!M192,"")</f>
        <v>-3.517607303826531E-2</v>
      </c>
      <c r="AK192" s="18">
        <f t="shared" si="73"/>
        <v>1.2373561143933756E-3</v>
      </c>
      <c r="AN192" s="18">
        <f>IF(ISNUMBER(Volcanic!G192),Volcanic!G192,"")</f>
        <v>4.6100000000000004E-3</v>
      </c>
    </row>
    <row r="193" spans="1:40">
      <c r="A193" s="18" t="str">
        <f>IF(Volcanic!A193="","",Volcanic!A193)</f>
        <v>2/1974</v>
      </c>
      <c r="B193" s="18">
        <f>IF(ISNUMBER(Volcanic!L193),Volcanic!L193,"")</f>
        <v>1974.125</v>
      </c>
      <c r="C193" s="18">
        <f>IF(ISNUMBER(Volcanic!J193),Volcanic!J193,"")</f>
        <v>-0.17974662307885392</v>
      </c>
      <c r="D193" s="18">
        <f t="shared" si="66"/>
        <v>3.2308848508251581E-2</v>
      </c>
      <c r="E193" s="18">
        <f>IF(ISNUMBER(Volcanic!C193),Volcanic!C193,"")</f>
        <v>0.24013984319182427</v>
      </c>
      <c r="F193" s="18">
        <f>IF(ISNUMBER(Volcanic!D193),Volcanic!D193,"")</f>
        <v>-1.89</v>
      </c>
      <c r="G193" s="18">
        <f>IF(ISNUMBER(Volcanic!E193),Volcanic!E193,"")</f>
        <v>4.3400000000000001E-3</v>
      </c>
      <c r="H193" s="18">
        <f t="shared" si="67"/>
        <v>5.7667144288193951E-2</v>
      </c>
      <c r="I193" s="18">
        <f t="shared" si="68"/>
        <v>3.5720999999999998</v>
      </c>
      <c r="J193" s="18">
        <f t="shared" si="69"/>
        <v>1.88356E-5</v>
      </c>
      <c r="K193" s="18">
        <f t="shared" si="70"/>
        <v>-0.45386430363254787</v>
      </c>
      <c r="L193" s="18">
        <f t="shared" si="71"/>
        <v>1.0422069194525173E-3</v>
      </c>
      <c r="M193" s="18">
        <f t="shared" si="72"/>
        <v>-8.2025999999999991E-3</v>
      </c>
      <c r="N193" s="18">
        <f t="shared" si="74"/>
        <v>5.285293357636747E-4</v>
      </c>
      <c r="O193" s="18">
        <f t="shared" si="77"/>
        <v>2.058281767428657E-4</v>
      </c>
      <c r="P193" s="18">
        <f t="shared" si="79"/>
        <v>7.6382601833690934E-3</v>
      </c>
      <c r="Q193" s="18">
        <f t="shared" si="81"/>
        <v>2.1893275280548786E-2</v>
      </c>
      <c r="R193" s="18">
        <f t="shared" si="83"/>
        <v>1.3576933187210788E-2</v>
      </c>
      <c r="S193" s="18">
        <f t="shared" si="85"/>
        <v>8.1059695351710535E-4</v>
      </c>
      <c r="T193" s="18">
        <f t="shared" si="87"/>
        <v>2.0751094691329221E-3</v>
      </c>
      <c r="U193" s="18">
        <f t="shared" si="89"/>
        <v>1.3559531706872001E-3</v>
      </c>
      <c r="V193" s="18">
        <f t="shared" si="90"/>
        <v>3.7059579405829068E-4</v>
      </c>
      <c r="W193" s="18">
        <f t="shared" si="91"/>
        <v>1.0073128447986789E-3</v>
      </c>
      <c r="X193" s="18">
        <f t="shared" si="92"/>
        <v>2.0666924344486981E-3</v>
      </c>
      <c r="Y193" s="18">
        <f t="shared" si="93"/>
        <v>5.9986996195839793E-3</v>
      </c>
      <c r="AA193" s="18">
        <f t="shared" si="75"/>
        <v>-0.16818731730324452</v>
      </c>
      <c r="AB193" s="18">
        <f t="shared" si="76"/>
        <v>2.8286973701662253E-2</v>
      </c>
      <c r="AC193" s="18">
        <f t="shared" si="78"/>
        <v>2.4888868889721332E-4</v>
      </c>
      <c r="AD193" s="18">
        <f t="shared" si="80"/>
        <v>3.3977463798834876E-3</v>
      </c>
      <c r="AE193" s="18">
        <f t="shared" si="82"/>
        <v>1.6901635410517205E-4</v>
      </c>
      <c r="AF193" s="18">
        <f t="shared" si="84"/>
        <v>7.9882833961176392E-3</v>
      </c>
      <c r="AG193" s="18">
        <f t="shared" si="86"/>
        <v>1.0445825856441601E-2</v>
      </c>
      <c r="AH193" s="18">
        <f t="shared" si="88"/>
        <v>3.0987572560673833E-5</v>
      </c>
      <c r="AJ193" s="18">
        <f>IF(ISNUMBER(Kernel!M193),Kernel!M193,"")</f>
        <v>-0.20867194274069351</v>
      </c>
      <c r="AK193" s="18">
        <f t="shared" si="73"/>
        <v>4.3543979687175272E-2</v>
      </c>
      <c r="AN193" s="18">
        <f>IF(ISNUMBER(Volcanic!G193),Volcanic!G193,"")</f>
        <v>4.4099999999999999E-3</v>
      </c>
    </row>
    <row r="194" spans="1:40">
      <c r="A194" s="18" t="str">
        <f>IF(Volcanic!A194="","",Volcanic!A194)</f>
        <v>3/1974</v>
      </c>
      <c r="B194" s="18">
        <f>IF(ISNUMBER(Volcanic!L194),Volcanic!L194,"")</f>
        <v>1974.2083333333333</v>
      </c>
      <c r="C194" s="18">
        <f>IF(ISNUMBER(Volcanic!J194),Volcanic!J194,"")</f>
        <v>4.6531244566409946E-2</v>
      </c>
      <c r="D194" s="18">
        <f t="shared" ref="D194:D257" si="94">IF(ISNUMBER(C194),C194^2,"")</f>
        <v>2.165156720899055E-3</v>
      </c>
      <c r="E194" s="18">
        <f>IF(ISNUMBER(Volcanic!C194),Volcanic!C194,"")</f>
        <v>0.24353852229879974</v>
      </c>
      <c r="F194" s="18">
        <f>IF(ISNUMBER(Volcanic!D194),Volcanic!D194,"")</f>
        <v>-2.04</v>
      </c>
      <c r="G194" s="18">
        <f>IF(ISNUMBER(Volcanic!E194),Volcanic!E194,"")</f>
        <v>5.0800000000000003E-3</v>
      </c>
      <c r="H194" s="18">
        <f t="shared" ref="H194:H257" si="95">IF(ISNUMBER(E194),E194^2,"")</f>
        <v>5.9311011843482982E-2</v>
      </c>
      <c r="I194" s="18">
        <f t="shared" ref="I194:I257" si="96">IF(ISNUMBER(F194),F194^2,"")</f>
        <v>4.1616</v>
      </c>
      <c r="J194" s="18">
        <f t="shared" ref="J194:J257" si="97">IF(ISNUMBER(G194),G194^2,"")</f>
        <v>2.5806400000000004E-5</v>
      </c>
      <c r="K194" s="18">
        <f t="shared" ref="K194:K257" si="98">IF(AND(ISNUMBER(E194),ISNUMBER(F194)),E194*F194,"")</f>
        <v>-0.49681858548955149</v>
      </c>
      <c r="L194" s="18">
        <f t="shared" ref="L194:L257" si="99">IF(AND(ISNUMBER(E194),ISNUMBER(G194)),E194*G194,"")</f>
        <v>1.2371756932779028E-3</v>
      </c>
      <c r="M194" s="18">
        <f t="shared" ref="M194:M257" si="100">IF(AND(ISNUMBER(F194),ISNUMBER(G194)),F194*G194,"")</f>
        <v>-1.0363200000000001E-2</v>
      </c>
      <c r="N194" s="18">
        <f t="shared" si="74"/>
        <v>3.2308848508251581E-2</v>
      </c>
      <c r="O194" s="18">
        <f t="shared" si="77"/>
        <v>5.285293357636747E-4</v>
      </c>
      <c r="P194" s="18">
        <f t="shared" si="79"/>
        <v>2.058281767428657E-4</v>
      </c>
      <c r="Q194" s="18">
        <f t="shared" si="81"/>
        <v>7.6382601833690934E-3</v>
      </c>
      <c r="R194" s="18">
        <f t="shared" si="83"/>
        <v>2.1893275280548786E-2</v>
      </c>
      <c r="S194" s="18">
        <f t="shared" si="85"/>
        <v>1.3576933187210788E-2</v>
      </c>
      <c r="T194" s="18">
        <f t="shared" si="87"/>
        <v>8.1059695351710535E-4</v>
      </c>
      <c r="U194" s="18">
        <f t="shared" si="89"/>
        <v>2.0751094691329221E-3</v>
      </c>
      <c r="V194" s="18">
        <f t="shared" si="90"/>
        <v>1.3559531706872001E-3</v>
      </c>
      <c r="W194" s="18">
        <f t="shared" si="91"/>
        <v>3.7059579405829068E-4</v>
      </c>
      <c r="X194" s="18">
        <f t="shared" si="92"/>
        <v>1.0073128447986789E-3</v>
      </c>
      <c r="Y194" s="18">
        <f t="shared" si="93"/>
        <v>2.0666924344486981E-3</v>
      </c>
      <c r="AA194" s="18">
        <f t="shared" si="75"/>
        <v>0.13690824918980632</v>
      </c>
      <c r="AB194" s="18">
        <f t="shared" si="76"/>
        <v>1.8743868696218104E-2</v>
      </c>
      <c r="AC194" s="18">
        <f t="shared" si="78"/>
        <v>2.8286973701662253E-2</v>
      </c>
      <c r="AD194" s="18">
        <f t="shared" si="80"/>
        <v>2.4888868889721332E-4</v>
      </c>
      <c r="AE194" s="18">
        <f t="shared" si="82"/>
        <v>3.3977463798834876E-3</v>
      </c>
      <c r="AF194" s="18">
        <f t="shared" si="84"/>
        <v>1.6901635410517205E-4</v>
      </c>
      <c r="AG194" s="18">
        <f t="shared" si="86"/>
        <v>7.9882833961176392E-3</v>
      </c>
      <c r="AH194" s="18">
        <f t="shared" si="88"/>
        <v>1.0445825856441601E-2</v>
      </c>
      <c r="AJ194" s="18">
        <f>IF(ISNUMBER(Kernel!M194),Kernel!M194,"")</f>
        <v>5.0653918437634643E-3</v>
      </c>
      <c r="AK194" s="18">
        <f t="shared" ref="AK194:AK257" si="101">IF(ISNUMBER(AJ194),AJ194^2,"")</f>
        <v>2.5658194530865429E-5</v>
      </c>
      <c r="AN194" s="18">
        <f>IF(ISNUMBER(Volcanic!G194),Volcanic!G194,"")</f>
        <v>4.2900000000000004E-3</v>
      </c>
    </row>
    <row r="195" spans="1:40">
      <c r="A195" s="18" t="str">
        <f>IF(Volcanic!A195="","",Volcanic!A195)</f>
        <v>4/1974</v>
      </c>
      <c r="B195" s="18">
        <f>IF(ISNUMBER(Volcanic!L195),Volcanic!L195,"")</f>
        <v>1974.2916666666667</v>
      </c>
      <c r="C195" s="18">
        <f>IF(ISNUMBER(Volcanic!J195),Volcanic!J195,"")</f>
        <v>-5.2879255717880602E-2</v>
      </c>
      <c r="D195" s="18">
        <f t="shared" si="94"/>
        <v>2.7962156852770082E-3</v>
      </c>
      <c r="E195" s="18">
        <f>IF(ISNUMBER(Volcanic!C195),Volcanic!C195,"")</f>
        <v>0.24857820654980772</v>
      </c>
      <c r="F195" s="18">
        <f>IF(ISNUMBER(Volcanic!D195),Volcanic!D195,"")</f>
        <v>-1.87</v>
      </c>
      <c r="G195" s="18">
        <f>IF(ISNUMBER(Volcanic!E195),Volcanic!E195,"")</f>
        <v>5.13E-3</v>
      </c>
      <c r="H195" s="18">
        <f t="shared" si="95"/>
        <v>6.1791124771518872E-2</v>
      </c>
      <c r="I195" s="18">
        <f t="shared" si="96"/>
        <v>3.4969000000000006</v>
      </c>
      <c r="J195" s="18">
        <f t="shared" si="97"/>
        <v>2.6316899999999999E-5</v>
      </c>
      <c r="K195" s="18">
        <f t="shared" si="98"/>
        <v>-0.46484124624814049</v>
      </c>
      <c r="L195" s="18">
        <f t="shared" si="99"/>
        <v>1.2752061996005137E-3</v>
      </c>
      <c r="M195" s="18">
        <f t="shared" si="100"/>
        <v>-9.5931000000000002E-3</v>
      </c>
      <c r="N195" s="18">
        <f t="shared" ref="N195:N258" si="102">IF(ISNUMBER(D194),D194,"")</f>
        <v>2.165156720899055E-3</v>
      </c>
      <c r="O195" s="18">
        <f t="shared" si="77"/>
        <v>3.2308848508251581E-2</v>
      </c>
      <c r="P195" s="18">
        <f t="shared" si="79"/>
        <v>5.285293357636747E-4</v>
      </c>
      <c r="Q195" s="18">
        <f t="shared" si="81"/>
        <v>2.058281767428657E-4</v>
      </c>
      <c r="R195" s="18">
        <f t="shared" si="83"/>
        <v>7.6382601833690934E-3</v>
      </c>
      <c r="S195" s="18">
        <f t="shared" si="85"/>
        <v>2.1893275280548786E-2</v>
      </c>
      <c r="T195" s="18">
        <f t="shared" si="87"/>
        <v>1.3576933187210788E-2</v>
      </c>
      <c r="U195" s="18">
        <f t="shared" si="89"/>
        <v>8.1059695351710535E-4</v>
      </c>
      <c r="V195" s="18">
        <f t="shared" si="90"/>
        <v>2.0751094691329221E-3</v>
      </c>
      <c r="W195" s="18">
        <f t="shared" si="91"/>
        <v>1.3559531706872001E-3</v>
      </c>
      <c r="X195" s="18">
        <f t="shared" si="92"/>
        <v>3.7059579405829068E-4</v>
      </c>
      <c r="Y195" s="18">
        <f t="shared" si="93"/>
        <v>1.0073128447986789E-3</v>
      </c>
      <c r="AA195" s="18">
        <f t="shared" ref="AA195:AA258" si="103">IF(AND(ISNUMBER(C195),ISNUMBER(C194)),C195-$AX$16*C194,"")</f>
        <v>-7.627526969176178E-2</v>
      </c>
      <c r="AB195" s="18">
        <f t="shared" ref="AB195:AB258" si="104">IF(ISNUMBER(AA195),AA195^2,"")</f>
        <v>5.8179167665509931E-3</v>
      </c>
      <c r="AC195" s="18">
        <f t="shared" si="78"/>
        <v>1.8743868696218104E-2</v>
      </c>
      <c r="AD195" s="18">
        <f t="shared" si="80"/>
        <v>2.8286973701662253E-2</v>
      </c>
      <c r="AE195" s="18">
        <f t="shared" si="82"/>
        <v>2.4888868889721332E-4</v>
      </c>
      <c r="AF195" s="18">
        <f t="shared" si="84"/>
        <v>3.3977463798834876E-3</v>
      </c>
      <c r="AG195" s="18">
        <f t="shared" si="86"/>
        <v>1.6901635410517205E-4</v>
      </c>
      <c r="AH195" s="18">
        <f t="shared" si="88"/>
        <v>7.9882833961176392E-3</v>
      </c>
      <c r="AJ195" s="18">
        <f>IF(ISNUMBER(Kernel!M195),Kernel!M195,"")</f>
        <v>-8.1513827164767544E-2</v>
      </c>
      <c r="AK195" s="18">
        <f t="shared" si="101"/>
        <v>6.644504019047595E-3</v>
      </c>
      <c r="AN195" s="18">
        <f>IF(ISNUMBER(Volcanic!G195),Volcanic!G195,"")</f>
        <v>4.2700000000000004E-3</v>
      </c>
    </row>
    <row r="196" spans="1:40">
      <c r="A196" s="18" t="str">
        <f>IF(Volcanic!A196="","",Volcanic!A196)</f>
        <v>5/1974</v>
      </c>
      <c r="B196" s="18">
        <f>IF(ISNUMBER(Volcanic!L196),Volcanic!L196,"")</f>
        <v>1974.375</v>
      </c>
      <c r="C196" s="18">
        <f>IF(ISNUMBER(Volcanic!J196),Volcanic!J196,"")</f>
        <v>-5.2442225417745902E-3</v>
      </c>
      <c r="D196" s="18">
        <f t="shared" si="94"/>
        <v>2.7501870067656743E-5</v>
      </c>
      <c r="E196" s="18">
        <f>IF(ISNUMBER(Volcanic!C196),Volcanic!C196,"")</f>
        <v>0.25091827471297862</v>
      </c>
      <c r="F196" s="18">
        <f>IF(ISNUMBER(Volcanic!D196),Volcanic!D196,"")</f>
        <v>-1.59</v>
      </c>
      <c r="G196" s="18">
        <f>IF(ISNUMBER(Volcanic!E196),Volcanic!E196,"")</f>
        <v>5.13E-3</v>
      </c>
      <c r="H196" s="18">
        <f t="shared" si="95"/>
        <v>6.2959980584937805E-2</v>
      </c>
      <c r="I196" s="18">
        <f t="shared" si="96"/>
        <v>2.5281000000000002</v>
      </c>
      <c r="J196" s="18">
        <f t="shared" si="97"/>
        <v>2.6316899999999999E-5</v>
      </c>
      <c r="K196" s="18">
        <f t="shared" si="98"/>
        <v>-0.398960056793636</v>
      </c>
      <c r="L196" s="18">
        <f t="shared" si="99"/>
        <v>1.2872107492775803E-3</v>
      </c>
      <c r="M196" s="18">
        <f t="shared" si="100"/>
        <v>-8.1567000000000011E-3</v>
      </c>
      <c r="N196" s="18">
        <f t="shared" si="102"/>
        <v>2.7962156852770082E-3</v>
      </c>
      <c r="O196" s="18">
        <f t="shared" ref="O196:O259" si="105">IF(ISNUMBER(D194),D194,"")</f>
        <v>2.165156720899055E-3</v>
      </c>
      <c r="P196" s="18">
        <f t="shared" si="79"/>
        <v>3.2308848508251581E-2</v>
      </c>
      <c r="Q196" s="18">
        <f t="shared" si="81"/>
        <v>5.285293357636747E-4</v>
      </c>
      <c r="R196" s="18">
        <f t="shared" si="83"/>
        <v>2.058281767428657E-4</v>
      </c>
      <c r="S196" s="18">
        <f t="shared" si="85"/>
        <v>7.6382601833690934E-3</v>
      </c>
      <c r="T196" s="18">
        <f t="shared" si="87"/>
        <v>2.1893275280548786E-2</v>
      </c>
      <c r="U196" s="18">
        <f t="shared" si="89"/>
        <v>1.3576933187210788E-2</v>
      </c>
      <c r="V196" s="18">
        <f t="shared" si="90"/>
        <v>8.1059695351710535E-4</v>
      </c>
      <c r="W196" s="18">
        <f t="shared" si="91"/>
        <v>2.0751094691329221E-3</v>
      </c>
      <c r="X196" s="18">
        <f t="shared" si="92"/>
        <v>1.3559531706872001E-3</v>
      </c>
      <c r="Y196" s="18">
        <f t="shared" si="93"/>
        <v>3.7059579405829068E-4</v>
      </c>
      <c r="AA196" s="18">
        <f t="shared" si="103"/>
        <v>2.1343585655323506E-2</v>
      </c>
      <c r="AB196" s="18">
        <f t="shared" si="104"/>
        <v>4.5554864862613133E-4</v>
      </c>
      <c r="AC196" s="18">
        <f t="shared" ref="AC196:AC259" si="106">IF(ISNUMBER(AB195),AB195,"")</f>
        <v>5.8179167665509931E-3</v>
      </c>
      <c r="AD196" s="18">
        <f t="shared" si="80"/>
        <v>1.8743868696218104E-2</v>
      </c>
      <c r="AE196" s="18">
        <f t="shared" si="82"/>
        <v>2.8286973701662253E-2</v>
      </c>
      <c r="AF196" s="18">
        <f t="shared" si="84"/>
        <v>2.4888868889721332E-4</v>
      </c>
      <c r="AG196" s="18">
        <f t="shared" si="86"/>
        <v>3.3977463798834876E-3</v>
      </c>
      <c r="AH196" s="18">
        <f t="shared" si="88"/>
        <v>1.6901635410517205E-4</v>
      </c>
      <c r="AJ196" s="18">
        <f>IF(ISNUMBER(Kernel!M196),Kernel!M196,"")</f>
        <v>-1.6413553793422783E-2</v>
      </c>
      <c r="AK196" s="18">
        <f t="shared" si="101"/>
        <v>2.6940474812958345E-4</v>
      </c>
      <c r="AN196" s="18">
        <f>IF(ISNUMBER(Volcanic!G196),Volcanic!G196,"")</f>
        <v>4.2700000000000004E-3</v>
      </c>
    </row>
    <row r="197" spans="1:40">
      <c r="A197" s="18" t="str">
        <f>IF(Volcanic!A197="","",Volcanic!A197)</f>
        <v>6/1974</v>
      </c>
      <c r="B197" s="18">
        <f>IF(ISNUMBER(Volcanic!L197),Volcanic!L197,"")</f>
        <v>1974.4583333333333</v>
      </c>
      <c r="C197" s="18">
        <f>IF(ISNUMBER(Volcanic!J197),Volcanic!J197,"")</f>
        <v>-3.6365617085289043E-2</v>
      </c>
      <c r="D197" s="18">
        <f t="shared" si="94"/>
        <v>1.3224581059938663E-3</v>
      </c>
      <c r="E197" s="18">
        <f>IF(ISNUMBER(Volcanic!C197),Volcanic!C197,"")</f>
        <v>0.24662524613004733</v>
      </c>
      <c r="F197" s="18">
        <f>IF(ISNUMBER(Volcanic!D197),Volcanic!D197,"")</f>
        <v>-1.24</v>
      </c>
      <c r="G197" s="18">
        <f>IF(ISNUMBER(Volcanic!E197),Volcanic!E197,"")</f>
        <v>4.9699999999999996E-3</v>
      </c>
      <c r="H197" s="18">
        <f t="shared" si="95"/>
        <v>6.0824012028706423E-2</v>
      </c>
      <c r="I197" s="18">
        <f t="shared" si="96"/>
        <v>1.5376000000000001</v>
      </c>
      <c r="J197" s="18">
        <f t="shared" si="97"/>
        <v>2.4700899999999996E-5</v>
      </c>
      <c r="K197" s="18">
        <f t="shared" si="98"/>
        <v>-0.30581530520125866</v>
      </c>
      <c r="L197" s="18">
        <f t="shared" si="99"/>
        <v>1.2257274732663352E-3</v>
      </c>
      <c r="M197" s="18">
        <f t="shared" si="100"/>
        <v>-6.1627999999999995E-3</v>
      </c>
      <c r="N197" s="18">
        <f t="shared" si="102"/>
        <v>2.7501870067656743E-5</v>
      </c>
      <c r="O197" s="18">
        <f t="shared" si="105"/>
        <v>2.7962156852770082E-3</v>
      </c>
      <c r="P197" s="18">
        <f t="shared" ref="P197:P260" si="107">IF(ISNUMBER(D194),D194,"")</f>
        <v>2.165156720899055E-3</v>
      </c>
      <c r="Q197" s="18">
        <f t="shared" si="81"/>
        <v>3.2308848508251581E-2</v>
      </c>
      <c r="R197" s="18">
        <f t="shared" si="83"/>
        <v>5.285293357636747E-4</v>
      </c>
      <c r="S197" s="18">
        <f t="shared" si="85"/>
        <v>2.058281767428657E-4</v>
      </c>
      <c r="T197" s="18">
        <f t="shared" si="87"/>
        <v>7.6382601833690934E-3</v>
      </c>
      <c r="U197" s="18">
        <f t="shared" si="89"/>
        <v>2.1893275280548786E-2</v>
      </c>
      <c r="V197" s="18">
        <f t="shared" si="90"/>
        <v>1.3576933187210788E-2</v>
      </c>
      <c r="W197" s="18">
        <f t="shared" si="91"/>
        <v>8.1059695351710535E-4</v>
      </c>
      <c r="X197" s="18">
        <f t="shared" si="92"/>
        <v>2.0751094691329221E-3</v>
      </c>
      <c r="Y197" s="18">
        <f t="shared" si="93"/>
        <v>1.3559531706872001E-3</v>
      </c>
      <c r="AA197" s="18">
        <f t="shared" si="103"/>
        <v>-3.3728810246942159E-2</v>
      </c>
      <c r="AB197" s="18">
        <f t="shared" si="104"/>
        <v>1.1376326406742304E-3</v>
      </c>
      <c r="AC197" s="18">
        <f t="shared" si="106"/>
        <v>4.5554864862613133E-4</v>
      </c>
      <c r="AD197" s="18">
        <f t="shared" ref="AD197:AD260" si="108">IF(ISNUMBER(AB195),AB195,"")</f>
        <v>5.8179167665509931E-3</v>
      </c>
      <c r="AE197" s="18">
        <f t="shared" si="82"/>
        <v>1.8743868696218104E-2</v>
      </c>
      <c r="AF197" s="18">
        <f t="shared" si="84"/>
        <v>2.8286973701662253E-2</v>
      </c>
      <c r="AG197" s="18">
        <f t="shared" si="86"/>
        <v>2.4888868889721332E-4</v>
      </c>
      <c r="AH197" s="18">
        <f t="shared" si="88"/>
        <v>3.3977463798834876E-3</v>
      </c>
      <c r="AJ197" s="18">
        <f>IF(ISNUMBER(Kernel!M197),Kernel!M197,"")</f>
        <v>-2.3575758722461433E-2</v>
      </c>
      <c r="AK197" s="18">
        <f t="shared" si="101"/>
        <v>5.5581639933971634E-4</v>
      </c>
      <c r="AN197" s="18">
        <f>IF(ISNUMBER(Volcanic!G197),Volcanic!G197,"")</f>
        <v>4.3E-3</v>
      </c>
    </row>
    <row r="198" spans="1:40">
      <c r="A198" s="18" t="str">
        <f>IF(Volcanic!A198="","",Volcanic!A198)</f>
        <v>7/1974</v>
      </c>
      <c r="B198" s="18">
        <f>IF(ISNUMBER(Volcanic!L198),Volcanic!L198,"")</f>
        <v>1974.5416666666667</v>
      </c>
      <c r="C198" s="18">
        <f>IF(ISNUMBER(Volcanic!J198),Volcanic!J198,"")</f>
        <v>-2.6574993614290894E-2</v>
      </c>
      <c r="D198" s="18">
        <f t="shared" si="94"/>
        <v>7.0623028559960177E-4</v>
      </c>
      <c r="E198" s="18">
        <f>IF(ISNUMBER(Volcanic!C198),Volcanic!C198,"")</f>
        <v>0.24170945927557155</v>
      </c>
      <c r="F198" s="18">
        <f>IF(ISNUMBER(Volcanic!D198),Volcanic!D198,"")</f>
        <v>-0.99</v>
      </c>
      <c r="G198" s="18">
        <f>IF(ISNUMBER(Volcanic!E198),Volcanic!E198,"")</f>
        <v>4.7800000000000004E-3</v>
      </c>
      <c r="H198" s="18">
        <f t="shared" si="95"/>
        <v>5.8423462703289186E-2</v>
      </c>
      <c r="I198" s="18">
        <f t="shared" si="96"/>
        <v>0.98009999999999997</v>
      </c>
      <c r="J198" s="18">
        <f t="shared" si="97"/>
        <v>2.2848400000000003E-5</v>
      </c>
      <c r="K198" s="18">
        <f t="shared" si="98"/>
        <v>-0.23929236468281584</v>
      </c>
      <c r="L198" s="18">
        <f t="shared" si="99"/>
        <v>1.1553712153372321E-3</v>
      </c>
      <c r="M198" s="18">
        <f t="shared" si="100"/>
        <v>-4.7322000000000006E-3</v>
      </c>
      <c r="N198" s="18">
        <f t="shared" si="102"/>
        <v>1.3224581059938663E-3</v>
      </c>
      <c r="O198" s="18">
        <f t="shared" si="105"/>
        <v>2.7501870067656743E-5</v>
      </c>
      <c r="P198" s="18">
        <f t="shared" si="107"/>
        <v>2.7962156852770082E-3</v>
      </c>
      <c r="Q198" s="18">
        <f t="shared" ref="Q198:Q261" si="109">IF(ISNUMBER(D194),D194,"")</f>
        <v>2.165156720899055E-3</v>
      </c>
      <c r="R198" s="18">
        <f t="shared" si="83"/>
        <v>3.2308848508251581E-2</v>
      </c>
      <c r="S198" s="18">
        <f t="shared" si="85"/>
        <v>5.285293357636747E-4</v>
      </c>
      <c r="T198" s="18">
        <f t="shared" si="87"/>
        <v>2.058281767428657E-4</v>
      </c>
      <c r="U198" s="18">
        <f t="shared" si="89"/>
        <v>7.6382601833690934E-3</v>
      </c>
      <c r="V198" s="18">
        <f t="shared" si="90"/>
        <v>2.1893275280548786E-2</v>
      </c>
      <c r="W198" s="18">
        <f t="shared" si="91"/>
        <v>1.3576933187210788E-2</v>
      </c>
      <c r="X198" s="18">
        <f t="shared" si="92"/>
        <v>8.1059695351710535E-4</v>
      </c>
      <c r="Y198" s="18">
        <f t="shared" si="93"/>
        <v>2.0751094691329221E-3</v>
      </c>
      <c r="AA198" s="18">
        <f t="shared" si="103"/>
        <v>-8.2902799036582986E-3</v>
      </c>
      <c r="AB198" s="18">
        <f t="shared" si="104"/>
        <v>6.8728740881000643E-5</v>
      </c>
      <c r="AC198" s="18">
        <f t="shared" si="106"/>
        <v>1.1376326406742304E-3</v>
      </c>
      <c r="AD198" s="18">
        <f t="shared" si="108"/>
        <v>4.5554864862613133E-4</v>
      </c>
      <c r="AE198" s="18">
        <f t="shared" ref="AE198:AE261" si="110">IF(ISNUMBER(AB195),AB195,"")</f>
        <v>5.8179167665509931E-3</v>
      </c>
      <c r="AF198" s="18">
        <f t="shared" si="84"/>
        <v>1.8743868696218104E-2</v>
      </c>
      <c r="AG198" s="18">
        <f t="shared" si="86"/>
        <v>2.8286973701662253E-2</v>
      </c>
      <c r="AH198" s="18">
        <f t="shared" si="88"/>
        <v>2.4888868889721332E-4</v>
      </c>
      <c r="AJ198" s="18">
        <f>IF(ISNUMBER(Kernel!M198),Kernel!M198,"")</f>
        <v>-1.5966228860734913E-3</v>
      </c>
      <c r="AK198" s="18">
        <f t="shared" si="101"/>
        <v>2.5492046403336446E-6</v>
      </c>
      <c r="AN198" s="18">
        <f>IF(ISNUMBER(Volcanic!G198),Volcanic!G198,"")</f>
        <v>4.3600000000000002E-3</v>
      </c>
    </row>
    <row r="199" spans="1:40">
      <c r="A199" s="18" t="str">
        <f>IF(Volcanic!A199="","",Volcanic!A199)</f>
        <v>8/1974</v>
      </c>
      <c r="B199" s="18">
        <f>IF(ISNUMBER(Volcanic!L199),Volcanic!L199,"")</f>
        <v>1974.625</v>
      </c>
      <c r="C199" s="18">
        <f>IF(ISNUMBER(Volcanic!J199),Volcanic!J199,"")</f>
        <v>9.9954414600300093E-2</v>
      </c>
      <c r="D199" s="18">
        <f t="shared" si="94"/>
        <v>9.9908849980886848E-3</v>
      </c>
      <c r="E199" s="18">
        <f>IF(ISNUMBER(Volcanic!C199),Volcanic!C199,"")</f>
        <v>0.23331837058615809</v>
      </c>
      <c r="F199" s="18">
        <f>IF(ISNUMBER(Volcanic!D199),Volcanic!D199,"")</f>
        <v>-0.71</v>
      </c>
      <c r="G199" s="18">
        <f>IF(ISNUMBER(Volcanic!E199),Volcanic!E199,"")</f>
        <v>4.6100000000000004E-3</v>
      </c>
      <c r="H199" s="18">
        <f t="shared" si="95"/>
        <v>5.44374620529798E-2</v>
      </c>
      <c r="I199" s="18">
        <f t="shared" si="96"/>
        <v>0.50409999999999999</v>
      </c>
      <c r="J199" s="18">
        <f t="shared" si="97"/>
        <v>2.1252100000000003E-5</v>
      </c>
      <c r="K199" s="18">
        <f t="shared" si="98"/>
        <v>-0.16565604311617224</v>
      </c>
      <c r="L199" s="18">
        <f t="shared" si="99"/>
        <v>1.075597688402189E-3</v>
      </c>
      <c r="M199" s="18">
        <f t="shared" si="100"/>
        <v>-3.2731000000000001E-3</v>
      </c>
      <c r="N199" s="18">
        <f t="shared" si="102"/>
        <v>7.0623028559960177E-4</v>
      </c>
      <c r="O199" s="18">
        <f t="shared" si="105"/>
        <v>1.3224581059938663E-3</v>
      </c>
      <c r="P199" s="18">
        <f t="shared" si="107"/>
        <v>2.7501870067656743E-5</v>
      </c>
      <c r="Q199" s="18">
        <f t="shared" si="109"/>
        <v>2.7962156852770082E-3</v>
      </c>
      <c r="R199" s="18">
        <f t="shared" ref="R199:R262" si="111">IF(ISNUMBER(D194),D194,"")</f>
        <v>2.165156720899055E-3</v>
      </c>
      <c r="S199" s="18">
        <f t="shared" si="85"/>
        <v>3.2308848508251581E-2</v>
      </c>
      <c r="T199" s="18">
        <f t="shared" si="87"/>
        <v>5.285293357636747E-4</v>
      </c>
      <c r="U199" s="18">
        <f t="shared" si="89"/>
        <v>2.058281767428657E-4</v>
      </c>
      <c r="V199" s="18">
        <f t="shared" si="90"/>
        <v>7.6382601833690934E-3</v>
      </c>
      <c r="W199" s="18">
        <f t="shared" si="91"/>
        <v>2.1893275280548786E-2</v>
      </c>
      <c r="X199" s="18">
        <f t="shared" si="92"/>
        <v>1.3576933187210788E-2</v>
      </c>
      <c r="Y199" s="18">
        <f t="shared" si="93"/>
        <v>8.1059695351710535E-4</v>
      </c>
      <c r="AA199" s="18">
        <f t="shared" si="103"/>
        <v>0.11331638090378861</v>
      </c>
      <c r="AB199" s="18">
        <f t="shared" si="104"/>
        <v>1.2840602181132508E-2</v>
      </c>
      <c r="AC199" s="18">
        <f t="shared" si="106"/>
        <v>6.8728740881000643E-5</v>
      </c>
      <c r="AD199" s="18">
        <f t="shared" si="108"/>
        <v>1.1376326406742304E-3</v>
      </c>
      <c r="AE199" s="18">
        <f t="shared" si="110"/>
        <v>4.5554864862613133E-4</v>
      </c>
      <c r="AF199" s="18">
        <f t="shared" ref="AF199:AF262" si="112">IF(ISNUMBER(AB195),AB195,"")</f>
        <v>5.8179167665509931E-3</v>
      </c>
      <c r="AG199" s="18">
        <f t="shared" si="86"/>
        <v>1.8743868696218104E-2</v>
      </c>
      <c r="AH199" s="18">
        <f t="shared" si="88"/>
        <v>2.8286973701662253E-2</v>
      </c>
      <c r="AJ199" s="18">
        <f>IF(ISNUMBER(Kernel!M199),Kernel!M199,"")</f>
        <v>0.14023483105069437</v>
      </c>
      <c r="AK199" s="18">
        <f t="shared" si="101"/>
        <v>1.9665807839816793E-2</v>
      </c>
      <c r="AN199" s="18">
        <f>IF(ISNUMBER(Volcanic!G199),Volcanic!G199,"")</f>
        <v>4.4400000000000004E-3</v>
      </c>
    </row>
    <row r="200" spans="1:40">
      <c r="A200" s="18" t="str">
        <f>IF(Volcanic!A200="","",Volcanic!A200)</f>
        <v>9/1974</v>
      </c>
      <c r="B200" s="18">
        <f>IF(ISNUMBER(Volcanic!L200),Volcanic!L200,"")</f>
        <v>1974.7083333333333</v>
      </c>
      <c r="C200" s="18">
        <f>IF(ISNUMBER(Volcanic!J200),Volcanic!J200,"")</f>
        <v>-6.5163630702214356E-2</v>
      </c>
      <c r="D200" s="18">
        <f t="shared" si="94"/>
        <v>4.2462987662945737E-3</v>
      </c>
      <c r="E200" s="18">
        <f>IF(ISNUMBER(Volcanic!C200),Volcanic!C200,"")</f>
        <v>0.22531900517823794</v>
      </c>
      <c r="F200" s="18">
        <f>IF(ISNUMBER(Volcanic!D200),Volcanic!D200,"")</f>
        <v>-0.64</v>
      </c>
      <c r="G200" s="18">
        <f>IF(ISNUMBER(Volcanic!E200),Volcanic!E200,"")</f>
        <v>4.4099999999999999E-3</v>
      </c>
      <c r="H200" s="18">
        <f t="shared" si="95"/>
        <v>5.0768654094510819E-2</v>
      </c>
      <c r="I200" s="18">
        <f t="shared" si="96"/>
        <v>0.40960000000000002</v>
      </c>
      <c r="J200" s="18">
        <f t="shared" si="97"/>
        <v>1.9448099999999998E-5</v>
      </c>
      <c r="K200" s="18">
        <f t="shared" si="98"/>
        <v>-0.14420416331407229</v>
      </c>
      <c r="L200" s="18">
        <f t="shared" si="99"/>
        <v>9.9365681283602927E-4</v>
      </c>
      <c r="M200" s="18">
        <f t="shared" si="100"/>
        <v>-2.8224000000000001E-3</v>
      </c>
      <c r="N200" s="18">
        <f t="shared" si="102"/>
        <v>9.9908849980886848E-3</v>
      </c>
      <c r="O200" s="18">
        <f t="shared" si="105"/>
        <v>7.0623028559960177E-4</v>
      </c>
      <c r="P200" s="18">
        <f t="shared" si="107"/>
        <v>1.3224581059938663E-3</v>
      </c>
      <c r="Q200" s="18">
        <f t="shared" si="109"/>
        <v>2.7501870067656743E-5</v>
      </c>
      <c r="R200" s="18">
        <f t="shared" si="111"/>
        <v>2.7962156852770082E-3</v>
      </c>
      <c r="S200" s="18">
        <f t="shared" ref="S200:S263" si="113">IF(ISNUMBER(D194),D194,"")</f>
        <v>2.165156720899055E-3</v>
      </c>
      <c r="T200" s="18">
        <f t="shared" si="87"/>
        <v>3.2308848508251581E-2</v>
      </c>
      <c r="U200" s="18">
        <f t="shared" si="89"/>
        <v>5.285293357636747E-4</v>
      </c>
      <c r="V200" s="18">
        <f t="shared" si="90"/>
        <v>2.058281767428657E-4</v>
      </c>
      <c r="W200" s="18">
        <f t="shared" si="91"/>
        <v>7.6382601833690934E-3</v>
      </c>
      <c r="X200" s="18">
        <f t="shared" si="92"/>
        <v>2.1893275280548786E-2</v>
      </c>
      <c r="Y200" s="18">
        <f t="shared" si="93"/>
        <v>1.3576933187210788E-2</v>
      </c>
      <c r="AA200" s="18">
        <f t="shared" si="103"/>
        <v>-0.11542093420936961</v>
      </c>
      <c r="AB200" s="18">
        <f t="shared" si="104"/>
        <v>1.3321992053763627E-2</v>
      </c>
      <c r="AC200" s="18">
        <f t="shared" si="106"/>
        <v>1.2840602181132508E-2</v>
      </c>
      <c r="AD200" s="18">
        <f t="shared" si="108"/>
        <v>6.8728740881000643E-5</v>
      </c>
      <c r="AE200" s="18">
        <f t="shared" si="110"/>
        <v>1.1376326406742304E-3</v>
      </c>
      <c r="AF200" s="18">
        <f t="shared" si="112"/>
        <v>4.5554864862613133E-4</v>
      </c>
      <c r="AG200" s="18">
        <f t="shared" ref="AG200:AG263" si="114">IF(ISNUMBER(AB195),AB195,"")</f>
        <v>5.8179167665509931E-3</v>
      </c>
      <c r="AH200" s="18">
        <f t="shared" si="88"/>
        <v>1.8743868696218104E-2</v>
      </c>
      <c r="AJ200" s="18">
        <f>IF(ISNUMBER(Kernel!M200),Kernel!M200,"")</f>
        <v>-2.5800789994198742E-2</v>
      </c>
      <c r="AK200" s="18">
        <f t="shared" si="101"/>
        <v>6.6568076432474595E-4</v>
      </c>
      <c r="AN200" s="18">
        <f>IF(ISNUMBER(Volcanic!G200),Volcanic!G200,"")</f>
        <v>4.4799999999999996E-3</v>
      </c>
    </row>
    <row r="201" spans="1:40">
      <c r="A201" s="18" t="str">
        <f>IF(Volcanic!A201="","",Volcanic!A201)</f>
        <v>10/1974</v>
      </c>
      <c r="B201" s="18">
        <f>IF(ISNUMBER(Volcanic!L201),Volcanic!L201,"")</f>
        <v>1974.7916666666667</v>
      </c>
      <c r="C201" s="18">
        <f>IF(ISNUMBER(Volcanic!J201),Volcanic!J201,"")</f>
        <v>-6.1529678355340602E-2</v>
      </c>
      <c r="D201" s="18">
        <f t="shared" si="94"/>
        <v>3.7859013185116697E-3</v>
      </c>
      <c r="E201" s="18">
        <f>IF(ISNUMBER(Volcanic!C201),Volcanic!C201,"")</f>
        <v>0.22509861516835514</v>
      </c>
      <c r="F201" s="18">
        <f>IF(ISNUMBER(Volcanic!D201),Volcanic!D201,"")</f>
        <v>-0.46</v>
      </c>
      <c r="G201" s="18">
        <f>IF(ISNUMBER(Volcanic!E201),Volcanic!E201,"")</f>
        <v>4.2900000000000004E-3</v>
      </c>
      <c r="H201" s="18">
        <f t="shared" si="95"/>
        <v>5.0669386550711244E-2</v>
      </c>
      <c r="I201" s="18">
        <f t="shared" si="96"/>
        <v>0.21160000000000001</v>
      </c>
      <c r="J201" s="18">
        <f t="shared" si="97"/>
        <v>1.8404100000000002E-5</v>
      </c>
      <c r="K201" s="18">
        <f t="shared" si="98"/>
        <v>-0.10354536297744336</v>
      </c>
      <c r="L201" s="18">
        <f t="shared" si="99"/>
        <v>9.6567305907224363E-4</v>
      </c>
      <c r="M201" s="18">
        <f t="shared" si="100"/>
        <v>-1.9734000000000002E-3</v>
      </c>
      <c r="N201" s="18">
        <f t="shared" si="102"/>
        <v>4.2462987662945737E-3</v>
      </c>
      <c r="O201" s="18">
        <f t="shared" si="105"/>
        <v>9.9908849980886848E-3</v>
      </c>
      <c r="P201" s="18">
        <f t="shared" si="107"/>
        <v>7.0623028559960177E-4</v>
      </c>
      <c r="Q201" s="18">
        <f t="shared" si="109"/>
        <v>1.3224581059938663E-3</v>
      </c>
      <c r="R201" s="18">
        <f t="shared" si="111"/>
        <v>2.7501870067656743E-5</v>
      </c>
      <c r="S201" s="18">
        <f t="shared" si="113"/>
        <v>2.7962156852770082E-3</v>
      </c>
      <c r="T201" s="18">
        <f t="shared" ref="T201:T264" si="115">IF(ISNUMBER(D194),D194,"")</f>
        <v>2.165156720899055E-3</v>
      </c>
      <c r="U201" s="18">
        <f t="shared" si="89"/>
        <v>3.2308848508251581E-2</v>
      </c>
      <c r="V201" s="18">
        <f t="shared" si="90"/>
        <v>5.285293357636747E-4</v>
      </c>
      <c r="W201" s="18">
        <f t="shared" si="91"/>
        <v>2.058281767428657E-4</v>
      </c>
      <c r="X201" s="18">
        <f t="shared" si="92"/>
        <v>7.6382601833690934E-3</v>
      </c>
      <c r="Y201" s="18">
        <f t="shared" si="93"/>
        <v>2.1893275280548786E-2</v>
      </c>
      <c r="AA201" s="18">
        <f t="shared" si="103"/>
        <v>-2.8765258905481358E-2</v>
      </c>
      <c r="AB201" s="18">
        <f t="shared" si="104"/>
        <v>8.2744011989937464E-4</v>
      </c>
      <c r="AC201" s="18">
        <f t="shared" si="106"/>
        <v>1.3321992053763627E-2</v>
      </c>
      <c r="AD201" s="18">
        <f t="shared" si="108"/>
        <v>1.2840602181132508E-2</v>
      </c>
      <c r="AE201" s="18">
        <f t="shared" si="110"/>
        <v>6.8728740881000643E-5</v>
      </c>
      <c r="AF201" s="18">
        <f t="shared" si="112"/>
        <v>1.1376326406742304E-3</v>
      </c>
      <c r="AG201" s="18">
        <f t="shared" si="114"/>
        <v>4.5554864862613133E-4</v>
      </c>
      <c r="AH201" s="18">
        <f t="shared" ref="AH201:AH264" si="116">IF(ISNUMBER(AB195),AB195,"")</f>
        <v>5.8179167665509931E-3</v>
      </c>
      <c r="AJ201" s="18">
        <f>IF(ISNUMBER(Kernel!M201),Kernel!M201,"")</f>
        <v>-6.8758865713061737E-3</v>
      </c>
      <c r="AK201" s="18">
        <f t="shared" si="101"/>
        <v>4.727781614146857E-5</v>
      </c>
      <c r="AN201" s="18">
        <f>IF(ISNUMBER(Volcanic!G201),Volcanic!G201,"")</f>
        <v>4.6800000000000001E-3</v>
      </c>
    </row>
    <row r="202" spans="1:40">
      <c r="A202" s="18" t="str">
        <f>IF(Volcanic!A202="","",Volcanic!A202)</f>
        <v>11/1974</v>
      </c>
      <c r="B202" s="18">
        <f>IF(ISNUMBER(Volcanic!L202),Volcanic!L202,"")</f>
        <v>1974.875</v>
      </c>
      <c r="C202" s="18">
        <f>IF(ISNUMBER(Volcanic!J202),Volcanic!J202,"")</f>
        <v>-9.9505493289976488E-2</v>
      </c>
      <c r="D202" s="18">
        <f t="shared" si="94"/>
        <v>9.9013431948815553E-3</v>
      </c>
      <c r="E202" s="18">
        <f>IF(ISNUMBER(Volcanic!C202),Volcanic!C202,"")</f>
        <v>0.22963186648323872</v>
      </c>
      <c r="F202" s="18">
        <f>IF(ISNUMBER(Volcanic!D202),Volcanic!D202,"")</f>
        <v>-0.4</v>
      </c>
      <c r="G202" s="18">
        <f>IF(ISNUMBER(Volcanic!E202),Volcanic!E202,"")</f>
        <v>4.2700000000000004E-3</v>
      </c>
      <c r="H202" s="18">
        <f t="shared" si="95"/>
        <v>5.273079410457597E-2</v>
      </c>
      <c r="I202" s="18">
        <f t="shared" si="96"/>
        <v>0.16000000000000003</v>
      </c>
      <c r="J202" s="18">
        <f t="shared" si="97"/>
        <v>1.8232900000000003E-5</v>
      </c>
      <c r="K202" s="18">
        <f t="shared" si="98"/>
        <v>-9.1852746593295495E-2</v>
      </c>
      <c r="L202" s="18">
        <f t="shared" si="99"/>
        <v>9.8052806988342938E-4</v>
      </c>
      <c r="M202" s="18">
        <f t="shared" si="100"/>
        <v>-1.7080000000000003E-3</v>
      </c>
      <c r="N202" s="18">
        <f t="shared" si="102"/>
        <v>3.7859013185116697E-3</v>
      </c>
      <c r="O202" s="18">
        <f t="shared" si="105"/>
        <v>4.2462987662945737E-3</v>
      </c>
      <c r="P202" s="18">
        <f t="shared" si="107"/>
        <v>9.9908849980886848E-3</v>
      </c>
      <c r="Q202" s="18">
        <f t="shared" si="109"/>
        <v>7.0623028559960177E-4</v>
      </c>
      <c r="R202" s="18">
        <f t="shared" si="111"/>
        <v>1.3224581059938663E-3</v>
      </c>
      <c r="S202" s="18">
        <f t="shared" si="113"/>
        <v>2.7501870067656743E-5</v>
      </c>
      <c r="T202" s="18">
        <f t="shared" si="115"/>
        <v>2.7962156852770082E-3</v>
      </c>
      <c r="U202" s="18">
        <f t="shared" ref="U202:U265" si="117">IF(ISNUMBER(D194),D194,"")</f>
        <v>2.165156720899055E-3</v>
      </c>
      <c r="V202" s="18">
        <f t="shared" si="90"/>
        <v>3.2308848508251581E-2</v>
      </c>
      <c r="W202" s="18">
        <f t="shared" si="91"/>
        <v>5.285293357636747E-4</v>
      </c>
      <c r="X202" s="18">
        <f t="shared" si="92"/>
        <v>2.058281767428657E-4</v>
      </c>
      <c r="Y202" s="18">
        <f t="shared" si="93"/>
        <v>7.6382601833690934E-3</v>
      </c>
      <c r="AA202" s="18">
        <f t="shared" si="103"/>
        <v>-6.8568233218296665E-2</v>
      </c>
      <c r="AB202" s="18">
        <f t="shared" si="104"/>
        <v>4.7016026066787221E-3</v>
      </c>
      <c r="AC202" s="18">
        <f t="shared" si="106"/>
        <v>8.2744011989937464E-4</v>
      </c>
      <c r="AD202" s="18">
        <f t="shared" si="108"/>
        <v>1.3321992053763627E-2</v>
      </c>
      <c r="AE202" s="18">
        <f t="shared" si="110"/>
        <v>1.2840602181132508E-2</v>
      </c>
      <c r="AF202" s="18">
        <f t="shared" si="112"/>
        <v>6.8728740881000643E-5</v>
      </c>
      <c r="AG202" s="18">
        <f t="shared" si="114"/>
        <v>1.1376326406742304E-3</v>
      </c>
      <c r="AH202" s="18">
        <f t="shared" si="116"/>
        <v>4.5554864862613133E-4</v>
      </c>
      <c r="AJ202" s="18">
        <f>IF(ISNUMBER(Kernel!M202),Kernel!M202,"")</f>
        <v>-3.629443143017811E-2</v>
      </c>
      <c r="AK202" s="18">
        <f t="shared" si="101"/>
        <v>1.3172857528399007E-3</v>
      </c>
      <c r="AN202" s="18">
        <f>IF(ISNUMBER(Volcanic!G202),Volcanic!G202,"")</f>
        <v>5.1799999999999997E-3</v>
      </c>
    </row>
    <row r="203" spans="1:40">
      <c r="A203" s="18" t="str">
        <f>IF(Volcanic!A203="","",Volcanic!A203)</f>
        <v>12/1974</v>
      </c>
      <c r="B203" s="18">
        <f>IF(ISNUMBER(Volcanic!L203),Volcanic!L203,"")</f>
        <v>1974.9583333333333</v>
      </c>
      <c r="C203" s="18">
        <f>IF(ISNUMBER(Volcanic!J203),Volcanic!J203,"")</f>
        <v>-0.1082016153622903</v>
      </c>
      <c r="D203" s="18">
        <f t="shared" si="94"/>
        <v>1.1707589567009015E-2</v>
      </c>
      <c r="E203" s="18">
        <f>IF(ISNUMBER(Volcanic!C203),Volcanic!C203,"")</f>
        <v>0.23520187051995831</v>
      </c>
      <c r="F203" s="18">
        <f>IF(ISNUMBER(Volcanic!D203),Volcanic!D203,"")</f>
        <v>-0.47</v>
      </c>
      <c r="G203" s="18">
        <f>IF(ISNUMBER(Volcanic!E203),Volcanic!E203,"")</f>
        <v>4.2700000000000004E-3</v>
      </c>
      <c r="H203" s="18">
        <f t="shared" si="95"/>
        <v>5.5319919896087234E-2</v>
      </c>
      <c r="I203" s="18">
        <f t="shared" si="96"/>
        <v>0.22089999999999999</v>
      </c>
      <c r="J203" s="18">
        <f t="shared" si="97"/>
        <v>1.8232900000000003E-5</v>
      </c>
      <c r="K203" s="18">
        <f t="shared" si="98"/>
        <v>-0.1105448791443804</v>
      </c>
      <c r="L203" s="18">
        <f t="shared" si="99"/>
        <v>1.0043119871202221E-3</v>
      </c>
      <c r="M203" s="18">
        <f t="shared" si="100"/>
        <v>-2.0069000000000003E-3</v>
      </c>
      <c r="N203" s="18">
        <f t="shared" si="102"/>
        <v>9.9013431948815553E-3</v>
      </c>
      <c r="O203" s="18">
        <f t="shared" si="105"/>
        <v>3.7859013185116697E-3</v>
      </c>
      <c r="P203" s="18">
        <f t="shared" si="107"/>
        <v>4.2462987662945737E-3</v>
      </c>
      <c r="Q203" s="18">
        <f t="shared" si="109"/>
        <v>9.9908849980886848E-3</v>
      </c>
      <c r="R203" s="18">
        <f t="shared" si="111"/>
        <v>7.0623028559960177E-4</v>
      </c>
      <c r="S203" s="18">
        <f t="shared" si="113"/>
        <v>1.3224581059938663E-3</v>
      </c>
      <c r="T203" s="18">
        <f t="shared" si="115"/>
        <v>2.7501870067656743E-5</v>
      </c>
      <c r="U203" s="18">
        <f t="shared" si="117"/>
        <v>2.7962156852770082E-3</v>
      </c>
      <c r="V203" s="18">
        <f t="shared" ref="V203:V266" si="118">IF(ISNUMBER(D194),D194,"")</f>
        <v>2.165156720899055E-3</v>
      </c>
      <c r="W203" s="18">
        <f t="shared" si="91"/>
        <v>3.2308848508251581E-2</v>
      </c>
      <c r="X203" s="18">
        <f t="shared" si="92"/>
        <v>5.285293357636747E-4</v>
      </c>
      <c r="Y203" s="18">
        <f t="shared" si="93"/>
        <v>2.058281767428657E-4</v>
      </c>
      <c r="AA203" s="18">
        <f t="shared" si="103"/>
        <v>-5.8170030495317E-2</v>
      </c>
      <c r="AB203" s="18">
        <f t="shared" si="104"/>
        <v>3.3837524478261098E-3</v>
      </c>
      <c r="AC203" s="18">
        <f t="shared" si="106"/>
        <v>4.7016026066787221E-3</v>
      </c>
      <c r="AD203" s="18">
        <f t="shared" si="108"/>
        <v>8.2744011989937464E-4</v>
      </c>
      <c r="AE203" s="18">
        <f t="shared" si="110"/>
        <v>1.3321992053763627E-2</v>
      </c>
      <c r="AF203" s="18">
        <f t="shared" si="112"/>
        <v>1.2840602181132508E-2</v>
      </c>
      <c r="AG203" s="18">
        <f t="shared" si="114"/>
        <v>6.8728740881000643E-5</v>
      </c>
      <c r="AH203" s="18">
        <f t="shared" si="116"/>
        <v>1.1376326406742304E-3</v>
      </c>
      <c r="AJ203" s="18">
        <f>IF(ISNUMBER(Kernel!M203),Kernel!M203,"")</f>
        <v>-5.2636567904845603E-2</v>
      </c>
      <c r="AK203" s="18">
        <f t="shared" si="101"/>
        <v>2.7706082808014224E-3</v>
      </c>
      <c r="AN203" s="18">
        <f>IF(ISNUMBER(Volcanic!G203),Volcanic!G203,"")</f>
        <v>5.13E-3</v>
      </c>
    </row>
    <row r="204" spans="1:40">
      <c r="A204" s="18" t="str">
        <f>IF(Volcanic!A204="","",Volcanic!A204)</f>
        <v>1/1975</v>
      </c>
      <c r="B204" s="18">
        <f>IF(ISNUMBER(Volcanic!L204),Volcanic!L204,"")</f>
        <v>1975.0416666666667</v>
      </c>
      <c r="C204" s="18">
        <f>IF(ISNUMBER(Volcanic!J204),Volcanic!J204,"")</f>
        <v>7.8573387963143448E-2</v>
      </c>
      <c r="D204" s="18">
        <f t="shared" si="94"/>
        <v>6.1737772960066559E-3</v>
      </c>
      <c r="E204" s="18">
        <f>IF(ISNUMBER(Volcanic!C204),Volcanic!C204,"")</f>
        <v>0.24022708890066147</v>
      </c>
      <c r="F204" s="18">
        <f>IF(ISNUMBER(Volcanic!D204),Volcanic!D204,"")</f>
        <v>-0.69</v>
      </c>
      <c r="G204" s="18">
        <f>IF(ISNUMBER(Volcanic!E204),Volcanic!E204,"")</f>
        <v>4.3E-3</v>
      </c>
      <c r="H204" s="18">
        <f t="shared" si="95"/>
        <v>5.7709054241686306E-2</v>
      </c>
      <c r="I204" s="18">
        <f t="shared" si="96"/>
        <v>0.47609999999999991</v>
      </c>
      <c r="J204" s="18">
        <f t="shared" si="97"/>
        <v>1.8490000000000001E-5</v>
      </c>
      <c r="K204" s="18">
        <f t="shared" si="98"/>
        <v>-0.1657566913414564</v>
      </c>
      <c r="L204" s="18">
        <f t="shared" si="99"/>
        <v>1.0329764822728444E-3</v>
      </c>
      <c r="M204" s="18">
        <f t="shared" si="100"/>
        <v>-2.9669999999999996E-3</v>
      </c>
      <c r="N204" s="18">
        <f t="shared" si="102"/>
        <v>1.1707589567009015E-2</v>
      </c>
      <c r="O204" s="18">
        <f t="shared" si="105"/>
        <v>9.9013431948815553E-3</v>
      </c>
      <c r="P204" s="18">
        <f t="shared" si="107"/>
        <v>3.7859013185116697E-3</v>
      </c>
      <c r="Q204" s="18">
        <f t="shared" si="109"/>
        <v>4.2462987662945737E-3</v>
      </c>
      <c r="R204" s="18">
        <f t="shared" si="111"/>
        <v>9.9908849980886848E-3</v>
      </c>
      <c r="S204" s="18">
        <f t="shared" si="113"/>
        <v>7.0623028559960177E-4</v>
      </c>
      <c r="T204" s="18">
        <f t="shared" si="115"/>
        <v>1.3224581059938663E-3</v>
      </c>
      <c r="U204" s="18">
        <f t="shared" si="117"/>
        <v>2.7501870067656743E-5</v>
      </c>
      <c r="V204" s="18">
        <f t="shared" si="118"/>
        <v>2.7962156852770082E-3</v>
      </c>
      <c r="W204" s="18">
        <f t="shared" ref="W204:W267" si="119">IF(ISNUMBER(D194),D194,"")</f>
        <v>2.165156720899055E-3</v>
      </c>
      <c r="X204" s="18">
        <f t="shared" si="92"/>
        <v>3.2308848508251581E-2</v>
      </c>
      <c r="Y204" s="18">
        <f t="shared" si="93"/>
        <v>5.285293357636747E-4</v>
      </c>
      <c r="AA204" s="18">
        <f t="shared" si="103"/>
        <v>0.13297740248288603</v>
      </c>
      <c r="AB204" s="18">
        <f t="shared" si="104"/>
        <v>1.7682989571095466E-2</v>
      </c>
      <c r="AC204" s="18">
        <f t="shared" si="106"/>
        <v>3.3837524478261098E-3</v>
      </c>
      <c r="AD204" s="18">
        <f t="shared" si="108"/>
        <v>4.7016026066787221E-3</v>
      </c>
      <c r="AE204" s="18">
        <f t="shared" si="110"/>
        <v>8.2744011989937464E-4</v>
      </c>
      <c r="AF204" s="18">
        <f t="shared" si="112"/>
        <v>1.3321992053763627E-2</v>
      </c>
      <c r="AG204" s="18">
        <f t="shared" si="114"/>
        <v>1.2840602181132508E-2</v>
      </c>
      <c r="AH204" s="18">
        <f t="shared" si="116"/>
        <v>6.8728740881000643E-5</v>
      </c>
      <c r="AJ204" s="18">
        <f>IF(ISNUMBER(Kernel!M204),Kernel!M204,"")</f>
        <v>0.10941655291952816</v>
      </c>
      <c r="AK204" s="18">
        <f t="shared" si="101"/>
        <v>1.1971982052791907E-2</v>
      </c>
      <c r="AN204" s="18">
        <f>IF(ISNUMBER(Volcanic!G204),Volcanic!G204,"")</f>
        <v>5.0000000000000001E-3</v>
      </c>
    </row>
    <row r="205" spans="1:40">
      <c r="A205" s="18" t="str">
        <f>IF(Volcanic!A205="","",Volcanic!A205)</f>
        <v>2/1975</v>
      </c>
      <c r="B205" s="18">
        <f>IF(ISNUMBER(Volcanic!L205),Volcanic!L205,"")</f>
        <v>1975.125</v>
      </c>
      <c r="C205" s="18">
        <f>IF(ISNUMBER(Volcanic!J205),Volcanic!J205,"")</f>
        <v>6.7660894221419535E-2</v>
      </c>
      <c r="D205" s="18">
        <f t="shared" si="94"/>
        <v>4.5779966068421234E-3</v>
      </c>
      <c r="E205" s="18">
        <f>IF(ISNUMBER(Volcanic!C205),Volcanic!C205,"")</f>
        <v>0.24340795181458158</v>
      </c>
      <c r="F205" s="18">
        <f>IF(ISNUMBER(Volcanic!D205),Volcanic!D205,"")</f>
        <v>-0.88</v>
      </c>
      <c r="G205" s="18">
        <f>IF(ISNUMBER(Volcanic!E205),Volcanic!E205,"")</f>
        <v>4.3600000000000002E-3</v>
      </c>
      <c r="H205" s="18">
        <f t="shared" si="95"/>
        <v>5.9247431006569672E-2</v>
      </c>
      <c r="I205" s="18">
        <f t="shared" si="96"/>
        <v>0.77439999999999998</v>
      </c>
      <c r="J205" s="18">
        <f t="shared" si="97"/>
        <v>1.9009600000000002E-5</v>
      </c>
      <c r="K205" s="18">
        <f t="shared" si="98"/>
        <v>-0.21419899759683178</v>
      </c>
      <c r="L205" s="18">
        <f t="shared" si="99"/>
        <v>1.0612586699115757E-3</v>
      </c>
      <c r="M205" s="18">
        <f t="shared" si="100"/>
        <v>-3.8368E-3</v>
      </c>
      <c r="N205" s="18">
        <f t="shared" si="102"/>
        <v>6.1737772960066559E-3</v>
      </c>
      <c r="O205" s="18">
        <f t="shared" si="105"/>
        <v>1.1707589567009015E-2</v>
      </c>
      <c r="P205" s="18">
        <f t="shared" si="107"/>
        <v>9.9013431948815553E-3</v>
      </c>
      <c r="Q205" s="18">
        <f t="shared" si="109"/>
        <v>3.7859013185116697E-3</v>
      </c>
      <c r="R205" s="18">
        <f t="shared" si="111"/>
        <v>4.2462987662945737E-3</v>
      </c>
      <c r="S205" s="18">
        <f t="shared" si="113"/>
        <v>9.9908849980886848E-3</v>
      </c>
      <c r="T205" s="18">
        <f t="shared" si="115"/>
        <v>7.0623028559960177E-4</v>
      </c>
      <c r="U205" s="18">
        <f t="shared" si="117"/>
        <v>1.3224581059938663E-3</v>
      </c>
      <c r="V205" s="18">
        <f t="shared" si="118"/>
        <v>2.7501870067656743E-5</v>
      </c>
      <c r="W205" s="18">
        <f t="shared" si="119"/>
        <v>2.7962156852770082E-3</v>
      </c>
      <c r="X205" s="18">
        <f t="shared" ref="X205:X268" si="120">IF(ISNUMBER(D194),D194,"")</f>
        <v>2.165156720899055E-3</v>
      </c>
      <c r="Y205" s="18">
        <f t="shared" si="93"/>
        <v>3.2308848508251581E-2</v>
      </c>
      <c r="AA205" s="18">
        <f t="shared" si="103"/>
        <v>2.8154018789853512E-2</v>
      </c>
      <c r="AB205" s="18">
        <f t="shared" si="104"/>
        <v>7.9264877401942458E-4</v>
      </c>
      <c r="AC205" s="18">
        <f t="shared" si="106"/>
        <v>1.7682989571095466E-2</v>
      </c>
      <c r="AD205" s="18">
        <f t="shared" si="108"/>
        <v>3.3837524478261098E-3</v>
      </c>
      <c r="AE205" s="18">
        <f t="shared" si="110"/>
        <v>4.7016026066787221E-3</v>
      </c>
      <c r="AF205" s="18">
        <f t="shared" si="112"/>
        <v>8.2744011989937464E-4</v>
      </c>
      <c r="AG205" s="18">
        <f t="shared" si="114"/>
        <v>1.3321992053763627E-2</v>
      </c>
      <c r="AH205" s="18">
        <f t="shared" si="116"/>
        <v>1.2840602181132508E-2</v>
      </c>
      <c r="AJ205" s="18">
        <f>IF(ISNUMBER(Kernel!M205),Kernel!M205,"")</f>
        <v>7.6870478538250492E-2</v>
      </c>
      <c r="AK205" s="18">
        <f t="shared" si="101"/>
        <v>5.9090704706996292E-3</v>
      </c>
      <c r="AN205" s="18">
        <f>IF(ISNUMBER(Volcanic!G205),Volcanic!G205,"")</f>
        <v>4.8300000000000001E-3</v>
      </c>
    </row>
    <row r="206" spans="1:40">
      <c r="A206" s="18" t="str">
        <f>IF(Volcanic!A206="","",Volcanic!A206)</f>
        <v>3/1975</v>
      </c>
      <c r="B206" s="18">
        <f>IF(ISNUMBER(Volcanic!L206),Volcanic!L206,"")</f>
        <v>1975.2083333333333</v>
      </c>
      <c r="C206" s="18">
        <f>IF(ISNUMBER(Volcanic!J206),Volcanic!J206,"")</f>
        <v>8.6367692731753487E-2</v>
      </c>
      <c r="D206" s="18">
        <f t="shared" si="94"/>
        <v>7.4593783478065839E-3</v>
      </c>
      <c r="E206" s="18">
        <f>IF(ISNUMBER(Volcanic!C206),Volcanic!C206,"")</f>
        <v>0.24549566281992086</v>
      </c>
      <c r="F206" s="18">
        <f>IF(ISNUMBER(Volcanic!D206),Volcanic!D206,"")</f>
        <v>-0.71</v>
      </c>
      <c r="G206" s="18">
        <f>IF(ISNUMBER(Volcanic!E206),Volcanic!E206,"")</f>
        <v>4.4400000000000004E-3</v>
      </c>
      <c r="H206" s="18">
        <f t="shared" si="95"/>
        <v>6.026812046339227E-2</v>
      </c>
      <c r="I206" s="18">
        <f t="shared" si="96"/>
        <v>0.50409999999999999</v>
      </c>
      <c r="J206" s="18">
        <f t="shared" si="97"/>
        <v>1.9713600000000004E-5</v>
      </c>
      <c r="K206" s="18">
        <f t="shared" si="98"/>
        <v>-0.17430192060214381</v>
      </c>
      <c r="L206" s="18">
        <f t="shared" si="99"/>
        <v>1.0900007429204487E-3</v>
      </c>
      <c r="M206" s="18">
        <f t="shared" si="100"/>
        <v>-3.1524000000000001E-3</v>
      </c>
      <c r="N206" s="18">
        <f t="shared" si="102"/>
        <v>4.5779966068421234E-3</v>
      </c>
      <c r="O206" s="18">
        <f t="shared" si="105"/>
        <v>6.1737772960066559E-3</v>
      </c>
      <c r="P206" s="18">
        <f t="shared" si="107"/>
        <v>1.1707589567009015E-2</v>
      </c>
      <c r="Q206" s="18">
        <f t="shared" si="109"/>
        <v>9.9013431948815553E-3</v>
      </c>
      <c r="R206" s="18">
        <f t="shared" si="111"/>
        <v>3.7859013185116697E-3</v>
      </c>
      <c r="S206" s="18">
        <f t="shared" si="113"/>
        <v>4.2462987662945737E-3</v>
      </c>
      <c r="T206" s="18">
        <f t="shared" si="115"/>
        <v>9.9908849980886848E-3</v>
      </c>
      <c r="U206" s="18">
        <f t="shared" si="117"/>
        <v>7.0623028559960177E-4</v>
      </c>
      <c r="V206" s="18">
        <f t="shared" si="118"/>
        <v>1.3224581059938663E-3</v>
      </c>
      <c r="W206" s="18">
        <f t="shared" si="119"/>
        <v>2.7501870067656743E-5</v>
      </c>
      <c r="X206" s="18">
        <f t="shared" si="120"/>
        <v>2.7962156852770082E-3</v>
      </c>
      <c r="Y206" s="18">
        <f t="shared" ref="Y206:Y269" si="121">IF(ISNUMBER(D194),D194,"")</f>
        <v>2.165156720899055E-3</v>
      </c>
      <c r="AA206" s="18">
        <f t="shared" si="103"/>
        <v>5.2347643591860879E-2</v>
      </c>
      <c r="AB206" s="18">
        <f t="shared" si="104"/>
        <v>2.7402757896204935E-3</v>
      </c>
      <c r="AC206" s="18">
        <f t="shared" si="106"/>
        <v>7.9264877401942458E-4</v>
      </c>
      <c r="AD206" s="18">
        <f t="shared" si="108"/>
        <v>1.7682989571095466E-2</v>
      </c>
      <c r="AE206" s="18">
        <f t="shared" si="110"/>
        <v>3.3837524478261098E-3</v>
      </c>
      <c r="AF206" s="18">
        <f t="shared" si="112"/>
        <v>4.7016026066787221E-3</v>
      </c>
      <c r="AG206" s="18">
        <f t="shared" si="114"/>
        <v>8.2744011989937464E-4</v>
      </c>
      <c r="AH206" s="18">
        <f t="shared" si="116"/>
        <v>1.3321992053763627E-2</v>
      </c>
      <c r="AJ206" s="18">
        <f>IF(ISNUMBER(Kernel!M206),Kernel!M206,"")</f>
        <v>0.10915649526863207</v>
      </c>
      <c r="AK206" s="18">
        <f t="shared" si="101"/>
        <v>1.1915140459330896E-2</v>
      </c>
      <c r="AN206" s="18">
        <f>IF(ISNUMBER(Volcanic!G206),Volcanic!G206,"")</f>
        <v>4.7099999999999998E-3</v>
      </c>
    </row>
    <row r="207" spans="1:40">
      <c r="A207" s="18" t="str">
        <f>IF(Volcanic!A207="","",Volcanic!A207)</f>
        <v>4/1975</v>
      </c>
      <c r="B207" s="18">
        <f>IF(ISNUMBER(Volcanic!L207),Volcanic!L207,"")</f>
        <v>1975.2916666666667</v>
      </c>
      <c r="C207" s="18">
        <f>IF(ISNUMBER(Volcanic!J207),Volcanic!J207,"")</f>
        <v>-2.1308435325383929E-2</v>
      </c>
      <c r="D207" s="18">
        <f t="shared" si="94"/>
        <v>4.5404941601606967E-4</v>
      </c>
      <c r="E207" s="18">
        <f>IF(ISNUMBER(Volcanic!C207),Volcanic!C207,"")</f>
        <v>0.25057183736095789</v>
      </c>
      <c r="F207" s="18">
        <f>IF(ISNUMBER(Volcanic!D207),Volcanic!D207,"")</f>
        <v>-0.56000000000000005</v>
      </c>
      <c r="G207" s="18">
        <f>IF(ISNUMBER(Volcanic!E207),Volcanic!E207,"")</f>
        <v>4.4799999999999996E-3</v>
      </c>
      <c r="H207" s="18">
        <f t="shared" si="95"/>
        <v>6.2786245678446331E-2</v>
      </c>
      <c r="I207" s="18">
        <f t="shared" si="96"/>
        <v>0.31360000000000005</v>
      </c>
      <c r="J207" s="18">
        <f t="shared" si="97"/>
        <v>2.0070399999999997E-5</v>
      </c>
      <c r="K207" s="18">
        <f t="shared" si="98"/>
        <v>-0.14032022892213644</v>
      </c>
      <c r="L207" s="18">
        <f t="shared" si="99"/>
        <v>1.1225618313770913E-3</v>
      </c>
      <c r="M207" s="18">
        <f t="shared" si="100"/>
        <v>-2.5087999999999998E-3</v>
      </c>
      <c r="N207" s="18">
        <f t="shared" si="102"/>
        <v>7.4593783478065839E-3</v>
      </c>
      <c r="O207" s="18">
        <f t="shared" si="105"/>
        <v>4.5779966068421234E-3</v>
      </c>
      <c r="P207" s="18">
        <f t="shared" si="107"/>
        <v>6.1737772960066559E-3</v>
      </c>
      <c r="Q207" s="18">
        <f t="shared" si="109"/>
        <v>1.1707589567009015E-2</v>
      </c>
      <c r="R207" s="18">
        <f t="shared" si="111"/>
        <v>9.9013431948815553E-3</v>
      </c>
      <c r="S207" s="18">
        <f t="shared" si="113"/>
        <v>3.7859013185116697E-3</v>
      </c>
      <c r="T207" s="18">
        <f t="shared" si="115"/>
        <v>4.2462987662945737E-3</v>
      </c>
      <c r="U207" s="18">
        <f t="shared" si="117"/>
        <v>9.9908849980886848E-3</v>
      </c>
      <c r="V207" s="18">
        <f t="shared" si="118"/>
        <v>7.0623028559960177E-4</v>
      </c>
      <c r="W207" s="18">
        <f t="shared" si="119"/>
        <v>1.3224581059938663E-3</v>
      </c>
      <c r="X207" s="18">
        <f t="shared" si="120"/>
        <v>2.7501870067656743E-5</v>
      </c>
      <c r="Y207" s="18">
        <f t="shared" si="121"/>
        <v>2.7962156852770082E-3</v>
      </c>
      <c r="AA207" s="18">
        <f t="shared" si="103"/>
        <v>-6.4734304649813251E-2</v>
      </c>
      <c r="AB207" s="18">
        <f t="shared" si="104"/>
        <v>4.1905301984948339E-3</v>
      </c>
      <c r="AC207" s="18">
        <f t="shared" si="106"/>
        <v>2.7402757896204935E-3</v>
      </c>
      <c r="AD207" s="18">
        <f t="shared" si="108"/>
        <v>7.9264877401942458E-4</v>
      </c>
      <c r="AE207" s="18">
        <f t="shared" si="110"/>
        <v>1.7682989571095466E-2</v>
      </c>
      <c r="AF207" s="18">
        <f t="shared" si="112"/>
        <v>3.3837524478261098E-3</v>
      </c>
      <c r="AG207" s="18">
        <f t="shared" si="114"/>
        <v>4.7016026066787221E-3</v>
      </c>
      <c r="AH207" s="18">
        <f t="shared" si="116"/>
        <v>8.2744011989937464E-4</v>
      </c>
      <c r="AJ207" s="18">
        <f>IF(ISNUMBER(Kernel!M207),Kernel!M207,"")</f>
        <v>1.4754321447650983E-2</v>
      </c>
      <c r="AK207" s="18">
        <f t="shared" si="101"/>
        <v>2.1769000138061379E-4</v>
      </c>
      <c r="AN207" s="18">
        <f>IF(ISNUMBER(Volcanic!G207),Volcanic!G207,"")</f>
        <v>4.6800000000000001E-3</v>
      </c>
    </row>
    <row r="208" spans="1:40">
      <c r="A208" s="18" t="str">
        <f>IF(Volcanic!A208="","",Volcanic!A208)</f>
        <v>5/1975</v>
      </c>
      <c r="B208" s="18">
        <f>IF(ISNUMBER(Volcanic!L208),Volcanic!L208,"")</f>
        <v>1975.375</v>
      </c>
      <c r="C208" s="18">
        <f>IF(ISNUMBER(Volcanic!J208),Volcanic!J208,"")</f>
        <v>8.8293720253110136E-2</v>
      </c>
      <c r="D208" s="18">
        <f t="shared" si="94"/>
        <v>7.7957810361344712E-3</v>
      </c>
      <c r="E208" s="18">
        <f>IF(ISNUMBER(Volcanic!C208),Volcanic!C208,"")</f>
        <v>0.25420528705036982</v>
      </c>
      <c r="F208" s="18">
        <f>IF(ISNUMBER(Volcanic!D208),Volcanic!D208,"")</f>
        <v>-0.55000000000000004</v>
      </c>
      <c r="G208" s="18">
        <f>IF(ISNUMBER(Volcanic!E208),Volcanic!E208,"")</f>
        <v>4.6800000000000001E-3</v>
      </c>
      <c r="H208" s="18">
        <f t="shared" si="95"/>
        <v>6.4620327964360916E-2</v>
      </c>
      <c r="I208" s="18">
        <f t="shared" si="96"/>
        <v>0.30250000000000005</v>
      </c>
      <c r="J208" s="18">
        <f t="shared" si="97"/>
        <v>2.1902400000000002E-5</v>
      </c>
      <c r="K208" s="18">
        <f t="shared" si="98"/>
        <v>-0.13981290787770342</v>
      </c>
      <c r="L208" s="18">
        <f t="shared" si="99"/>
        <v>1.1896807433957309E-3</v>
      </c>
      <c r="M208" s="18">
        <f t="shared" si="100"/>
        <v>-2.5740000000000003E-3</v>
      </c>
      <c r="N208" s="18">
        <f t="shared" si="102"/>
        <v>4.5404941601606967E-4</v>
      </c>
      <c r="O208" s="18">
        <f t="shared" si="105"/>
        <v>7.4593783478065839E-3</v>
      </c>
      <c r="P208" s="18">
        <f t="shared" si="107"/>
        <v>4.5779966068421234E-3</v>
      </c>
      <c r="Q208" s="18">
        <f t="shared" si="109"/>
        <v>6.1737772960066559E-3</v>
      </c>
      <c r="R208" s="18">
        <f t="shared" si="111"/>
        <v>1.1707589567009015E-2</v>
      </c>
      <c r="S208" s="18">
        <f t="shared" si="113"/>
        <v>9.9013431948815553E-3</v>
      </c>
      <c r="T208" s="18">
        <f t="shared" si="115"/>
        <v>3.7859013185116697E-3</v>
      </c>
      <c r="U208" s="18">
        <f t="shared" si="117"/>
        <v>4.2462987662945737E-3</v>
      </c>
      <c r="V208" s="18">
        <f t="shared" si="118"/>
        <v>9.9908849980886848E-3</v>
      </c>
      <c r="W208" s="18">
        <f t="shared" si="119"/>
        <v>7.0623028559960177E-4</v>
      </c>
      <c r="X208" s="18">
        <f t="shared" si="120"/>
        <v>1.3224581059938663E-3</v>
      </c>
      <c r="Y208" s="18">
        <f t="shared" si="121"/>
        <v>2.7501870067656743E-5</v>
      </c>
      <c r="AA208" s="18">
        <f t="shared" si="103"/>
        <v>9.9007649254573102E-2</v>
      </c>
      <c r="AB208" s="18">
        <f t="shared" si="104"/>
        <v>9.8025146109165691E-3</v>
      </c>
      <c r="AC208" s="18">
        <f t="shared" si="106"/>
        <v>4.1905301984948339E-3</v>
      </c>
      <c r="AD208" s="18">
        <f t="shared" si="108"/>
        <v>2.7402757896204935E-3</v>
      </c>
      <c r="AE208" s="18">
        <f t="shared" si="110"/>
        <v>7.9264877401942458E-4</v>
      </c>
      <c r="AF208" s="18">
        <f t="shared" si="112"/>
        <v>1.7682989571095466E-2</v>
      </c>
      <c r="AG208" s="18">
        <f t="shared" si="114"/>
        <v>3.3837524478261098E-3</v>
      </c>
      <c r="AH208" s="18">
        <f t="shared" si="116"/>
        <v>4.7016026066787221E-3</v>
      </c>
      <c r="AJ208" s="18">
        <f>IF(ISNUMBER(Kernel!M208),Kernel!M208,"")</f>
        <v>0.12738739475207106</v>
      </c>
      <c r="AK208" s="18">
        <f t="shared" si="101"/>
        <v>1.622754834171998E-2</v>
      </c>
      <c r="AN208" s="18">
        <f>IF(ISNUMBER(Volcanic!G208),Volcanic!G208,"")</f>
        <v>4.6699999999999997E-3</v>
      </c>
    </row>
    <row r="209" spans="1:40">
      <c r="A209" s="18" t="str">
        <f>IF(Volcanic!A209="","",Volcanic!A209)</f>
        <v>6/1975</v>
      </c>
      <c r="B209" s="18">
        <f>IF(ISNUMBER(Volcanic!L209),Volcanic!L209,"")</f>
        <v>1975.4583333333333</v>
      </c>
      <c r="C209" s="18">
        <f>IF(ISNUMBER(Volcanic!J209),Volcanic!J209,"")</f>
        <v>-6.8788593293236888E-2</v>
      </c>
      <c r="D209" s="18">
        <f t="shared" si="94"/>
        <v>4.7318705672623551E-3</v>
      </c>
      <c r="E209" s="18">
        <f>IF(ISNUMBER(Volcanic!C209),Volcanic!C209,"")</f>
        <v>0.25191381895195386</v>
      </c>
      <c r="F209" s="18">
        <f>IF(ISNUMBER(Volcanic!D209),Volcanic!D209,"")</f>
        <v>-0.61</v>
      </c>
      <c r="G209" s="18">
        <f>IF(ISNUMBER(Volcanic!E209),Volcanic!E209,"")</f>
        <v>5.1799999999999997E-3</v>
      </c>
      <c r="H209" s="18">
        <f t="shared" si="95"/>
        <v>6.3460572178957786E-2</v>
      </c>
      <c r="I209" s="18">
        <f t="shared" si="96"/>
        <v>0.37209999999999999</v>
      </c>
      <c r="J209" s="18">
        <f t="shared" si="97"/>
        <v>2.6832399999999997E-5</v>
      </c>
      <c r="K209" s="18">
        <f t="shared" si="98"/>
        <v>-0.15366742956069185</v>
      </c>
      <c r="L209" s="18">
        <f t="shared" si="99"/>
        <v>1.304913582171121E-3</v>
      </c>
      <c r="M209" s="18">
        <f t="shared" si="100"/>
        <v>-3.1597999999999999E-3</v>
      </c>
      <c r="N209" s="18">
        <f t="shared" si="102"/>
        <v>7.7957810361344712E-3</v>
      </c>
      <c r="O209" s="18">
        <f t="shared" si="105"/>
        <v>4.5404941601606967E-4</v>
      </c>
      <c r="P209" s="18">
        <f t="shared" si="107"/>
        <v>7.4593783478065839E-3</v>
      </c>
      <c r="Q209" s="18">
        <f t="shared" si="109"/>
        <v>4.5779966068421234E-3</v>
      </c>
      <c r="R209" s="18">
        <f t="shared" si="111"/>
        <v>6.1737772960066559E-3</v>
      </c>
      <c r="S209" s="18">
        <f t="shared" si="113"/>
        <v>1.1707589567009015E-2</v>
      </c>
      <c r="T209" s="18">
        <f t="shared" si="115"/>
        <v>9.9013431948815553E-3</v>
      </c>
      <c r="U209" s="18">
        <f t="shared" si="117"/>
        <v>3.7859013185116697E-3</v>
      </c>
      <c r="V209" s="18">
        <f t="shared" si="118"/>
        <v>4.2462987662945737E-3</v>
      </c>
      <c r="W209" s="18">
        <f t="shared" si="119"/>
        <v>9.9908849980886848E-3</v>
      </c>
      <c r="X209" s="18">
        <f t="shared" si="120"/>
        <v>7.0623028559960177E-4</v>
      </c>
      <c r="Y209" s="18">
        <f t="shared" si="121"/>
        <v>1.3224581059938663E-3</v>
      </c>
      <c r="AA209" s="18">
        <f t="shared" si="103"/>
        <v>-0.11318287356870853</v>
      </c>
      <c r="AB209" s="18">
        <f t="shared" si="104"/>
        <v>1.2810362869270259E-2</v>
      </c>
      <c r="AC209" s="18">
        <f t="shared" si="106"/>
        <v>9.8025146109165691E-3</v>
      </c>
      <c r="AD209" s="18">
        <f t="shared" si="108"/>
        <v>4.1905301984948339E-3</v>
      </c>
      <c r="AE209" s="18">
        <f t="shared" si="110"/>
        <v>2.7402757896204935E-3</v>
      </c>
      <c r="AF209" s="18">
        <f t="shared" si="112"/>
        <v>7.9264877401942458E-4</v>
      </c>
      <c r="AG209" s="18">
        <f t="shared" si="114"/>
        <v>1.7682989571095466E-2</v>
      </c>
      <c r="AH209" s="18">
        <f t="shared" si="116"/>
        <v>3.3837524478261098E-3</v>
      </c>
      <c r="AJ209" s="18">
        <f>IF(ISNUMBER(Kernel!M209),Kernel!M209,"")</f>
        <v>-3.1732817650895029E-2</v>
      </c>
      <c r="AK209" s="18">
        <f t="shared" si="101"/>
        <v>1.0069717160649551E-3</v>
      </c>
      <c r="AN209" s="18">
        <f>IF(ISNUMBER(Volcanic!G209),Volcanic!G209,"")</f>
        <v>4.6800000000000001E-3</v>
      </c>
    </row>
    <row r="210" spans="1:40">
      <c r="A210" s="18" t="str">
        <f>IF(Volcanic!A210="","",Volcanic!A210)</f>
        <v>7/1975</v>
      </c>
      <c r="B210" s="18">
        <f>IF(ISNUMBER(Volcanic!L210),Volcanic!L210,"")</f>
        <v>1975.5416666666667</v>
      </c>
      <c r="C210" s="18">
        <f>IF(ISNUMBER(Volcanic!J210),Volcanic!J210,"")</f>
        <v>-4.7109421366080484E-2</v>
      </c>
      <c r="D210" s="18">
        <f t="shared" si="94"/>
        <v>2.2192975814469204E-3</v>
      </c>
      <c r="E210" s="18">
        <f>IF(ISNUMBER(Volcanic!C210),Volcanic!C210,"")</f>
        <v>0.24562604450194436</v>
      </c>
      <c r="F210" s="18">
        <f>IF(ISNUMBER(Volcanic!D210),Volcanic!D210,"")</f>
        <v>-0.66</v>
      </c>
      <c r="G210" s="18">
        <f>IF(ISNUMBER(Volcanic!E210),Volcanic!E210,"")</f>
        <v>5.13E-3</v>
      </c>
      <c r="H210" s="18">
        <f t="shared" si="95"/>
        <v>6.0332153737671153E-2</v>
      </c>
      <c r="I210" s="18">
        <f t="shared" si="96"/>
        <v>0.43560000000000004</v>
      </c>
      <c r="J210" s="18">
        <f t="shared" si="97"/>
        <v>2.6316899999999999E-5</v>
      </c>
      <c r="K210" s="18">
        <f t="shared" si="98"/>
        <v>-0.1621131893712833</v>
      </c>
      <c r="L210" s="18">
        <f t="shared" si="99"/>
        <v>1.2600616082949745E-3</v>
      </c>
      <c r="M210" s="18">
        <f t="shared" si="100"/>
        <v>-3.3858E-3</v>
      </c>
      <c r="N210" s="18">
        <f t="shared" si="102"/>
        <v>4.7318705672623551E-3</v>
      </c>
      <c r="O210" s="18">
        <f t="shared" si="105"/>
        <v>7.7957810361344712E-3</v>
      </c>
      <c r="P210" s="18">
        <f t="shared" si="107"/>
        <v>4.5404941601606967E-4</v>
      </c>
      <c r="Q210" s="18">
        <f t="shared" si="109"/>
        <v>7.4593783478065839E-3</v>
      </c>
      <c r="R210" s="18">
        <f t="shared" si="111"/>
        <v>4.5779966068421234E-3</v>
      </c>
      <c r="S210" s="18">
        <f t="shared" si="113"/>
        <v>6.1737772960066559E-3</v>
      </c>
      <c r="T210" s="18">
        <f t="shared" si="115"/>
        <v>1.1707589567009015E-2</v>
      </c>
      <c r="U210" s="18">
        <f t="shared" si="117"/>
        <v>9.9013431948815553E-3</v>
      </c>
      <c r="V210" s="18">
        <f t="shared" si="118"/>
        <v>3.7859013185116697E-3</v>
      </c>
      <c r="W210" s="18">
        <f t="shared" si="119"/>
        <v>4.2462987662945737E-3</v>
      </c>
      <c r="X210" s="18">
        <f t="shared" si="120"/>
        <v>9.9908849980886848E-3</v>
      </c>
      <c r="Y210" s="18">
        <f t="shared" si="121"/>
        <v>7.0623028559960177E-4</v>
      </c>
      <c r="AA210" s="18">
        <f t="shared" si="103"/>
        <v>-1.2522362607416196E-2</v>
      </c>
      <c r="AB210" s="18">
        <f t="shared" si="104"/>
        <v>1.5680956527161535E-4</v>
      </c>
      <c r="AC210" s="18">
        <f t="shared" si="106"/>
        <v>1.2810362869270259E-2</v>
      </c>
      <c r="AD210" s="18">
        <f t="shared" si="108"/>
        <v>9.8025146109165691E-3</v>
      </c>
      <c r="AE210" s="18">
        <f t="shared" si="110"/>
        <v>4.1905301984948339E-3</v>
      </c>
      <c r="AF210" s="18">
        <f t="shared" si="112"/>
        <v>2.7402757896204935E-3</v>
      </c>
      <c r="AG210" s="18">
        <f t="shared" si="114"/>
        <v>7.9264877401942458E-4</v>
      </c>
      <c r="AH210" s="18">
        <f t="shared" si="116"/>
        <v>1.7682989571095466E-2</v>
      </c>
      <c r="AJ210" s="18">
        <f>IF(ISNUMBER(Kernel!M210),Kernel!M210,"")</f>
        <v>-7.1986913472878652E-3</v>
      </c>
      <c r="AK210" s="18">
        <f t="shared" si="101"/>
        <v>5.1821157113517181E-5</v>
      </c>
      <c r="AN210" s="18">
        <f>IF(ISNUMBER(Volcanic!G210),Volcanic!G210,"")</f>
        <v>5.0499999999999998E-3</v>
      </c>
    </row>
    <row r="211" spans="1:40">
      <c r="A211" s="18" t="str">
        <f>IF(Volcanic!A211="","",Volcanic!A211)</f>
        <v>8/1975</v>
      </c>
      <c r="B211" s="18">
        <f>IF(ISNUMBER(Volcanic!L211),Volcanic!L211,"")</f>
        <v>1975.625</v>
      </c>
      <c r="C211" s="18">
        <f>IF(ISNUMBER(Volcanic!J211),Volcanic!J211,"")</f>
        <v>-0.17038794207454289</v>
      </c>
      <c r="D211" s="18">
        <f t="shared" si="94"/>
        <v>2.9032050804397781E-2</v>
      </c>
      <c r="E211" s="18">
        <f>IF(ISNUMBER(Volcanic!C211),Volcanic!C211,"")</f>
        <v>0.23682059058160543</v>
      </c>
      <c r="F211" s="18">
        <f>IF(ISNUMBER(Volcanic!D211),Volcanic!D211,"")</f>
        <v>-0.8</v>
      </c>
      <c r="G211" s="18">
        <f>IF(ISNUMBER(Volcanic!E211),Volcanic!E211,"")</f>
        <v>5.0000000000000001E-3</v>
      </c>
      <c r="H211" s="18">
        <f t="shared" si="95"/>
        <v>5.6083992123420384E-2</v>
      </c>
      <c r="I211" s="18">
        <f t="shared" si="96"/>
        <v>0.64000000000000012</v>
      </c>
      <c r="J211" s="18">
        <f t="shared" si="97"/>
        <v>2.5000000000000001E-5</v>
      </c>
      <c r="K211" s="18">
        <f t="shared" si="98"/>
        <v>-0.18945647246528435</v>
      </c>
      <c r="L211" s="18">
        <f t="shared" si="99"/>
        <v>1.1841029529080273E-3</v>
      </c>
      <c r="M211" s="18">
        <f t="shared" si="100"/>
        <v>-4.0000000000000001E-3</v>
      </c>
      <c r="N211" s="18">
        <f t="shared" si="102"/>
        <v>2.2192975814469204E-3</v>
      </c>
      <c r="O211" s="18">
        <f t="shared" si="105"/>
        <v>4.7318705672623551E-3</v>
      </c>
      <c r="P211" s="18">
        <f t="shared" si="107"/>
        <v>7.7957810361344712E-3</v>
      </c>
      <c r="Q211" s="18">
        <f t="shared" si="109"/>
        <v>4.5404941601606967E-4</v>
      </c>
      <c r="R211" s="18">
        <f t="shared" si="111"/>
        <v>7.4593783478065839E-3</v>
      </c>
      <c r="S211" s="18">
        <f t="shared" si="113"/>
        <v>4.5779966068421234E-3</v>
      </c>
      <c r="T211" s="18">
        <f t="shared" si="115"/>
        <v>6.1737772960066559E-3</v>
      </c>
      <c r="U211" s="18">
        <f t="shared" si="117"/>
        <v>1.1707589567009015E-2</v>
      </c>
      <c r="V211" s="18">
        <f t="shared" si="118"/>
        <v>9.9013431948815553E-3</v>
      </c>
      <c r="W211" s="18">
        <f t="shared" si="119"/>
        <v>3.7859013185116697E-3</v>
      </c>
      <c r="X211" s="18">
        <f t="shared" si="120"/>
        <v>4.2462987662945737E-3</v>
      </c>
      <c r="Y211" s="18">
        <f t="shared" si="121"/>
        <v>9.9908849980886848E-3</v>
      </c>
      <c r="AA211" s="18">
        <f t="shared" si="103"/>
        <v>-0.14670121951097076</v>
      </c>
      <c r="AB211" s="18">
        <f t="shared" si="104"/>
        <v>2.152124780600603E-2</v>
      </c>
      <c r="AC211" s="18">
        <f t="shared" si="106"/>
        <v>1.5680956527161535E-4</v>
      </c>
      <c r="AD211" s="18">
        <f t="shared" si="108"/>
        <v>1.2810362869270259E-2</v>
      </c>
      <c r="AE211" s="18">
        <f t="shared" si="110"/>
        <v>9.8025146109165691E-3</v>
      </c>
      <c r="AF211" s="18">
        <f t="shared" si="112"/>
        <v>4.1905301984948339E-3</v>
      </c>
      <c r="AG211" s="18">
        <f t="shared" si="114"/>
        <v>2.7402757896204935E-3</v>
      </c>
      <c r="AH211" s="18">
        <f t="shared" si="116"/>
        <v>7.9264877401942458E-4</v>
      </c>
      <c r="AJ211" s="18">
        <f>IF(ISNUMBER(Kernel!M211),Kernel!M211,"")</f>
        <v>-0.13601380928531737</v>
      </c>
      <c r="AK211" s="18">
        <f t="shared" si="101"/>
        <v>1.8499756316302685E-2</v>
      </c>
      <c r="AN211" s="18">
        <f>IF(ISNUMBER(Volcanic!G211),Volcanic!G211,"")</f>
        <v>5.5100000000000001E-3</v>
      </c>
    </row>
    <row r="212" spans="1:40">
      <c r="A212" s="18" t="str">
        <f>IF(Volcanic!A212="","",Volcanic!A212)</f>
        <v>9/1975</v>
      </c>
      <c r="B212" s="18">
        <f>IF(ISNUMBER(Volcanic!L212),Volcanic!L212,"")</f>
        <v>1975.7083333333333</v>
      </c>
      <c r="C212" s="18">
        <f>IF(ISNUMBER(Volcanic!J212),Volcanic!J212,"")</f>
        <v>7.8233766743527541E-3</v>
      </c>
      <c r="D212" s="18">
        <f t="shared" si="94"/>
        <v>6.1205222588806756E-5</v>
      </c>
      <c r="E212" s="18">
        <f>IF(ISNUMBER(Volcanic!C212),Volcanic!C212,"")</f>
        <v>0.23042262505163516</v>
      </c>
      <c r="F212" s="18">
        <f>IF(ISNUMBER(Volcanic!D212),Volcanic!D212,"")</f>
        <v>-0.92</v>
      </c>
      <c r="G212" s="18">
        <f>IF(ISNUMBER(Volcanic!E212),Volcanic!E212,"")</f>
        <v>4.8300000000000001E-3</v>
      </c>
      <c r="H212" s="18">
        <f t="shared" si="95"/>
        <v>5.309458613568644E-2</v>
      </c>
      <c r="I212" s="18">
        <f t="shared" si="96"/>
        <v>0.84640000000000004</v>
      </c>
      <c r="J212" s="18">
        <f t="shared" si="97"/>
        <v>2.33289E-5</v>
      </c>
      <c r="K212" s="18">
        <f t="shared" si="98"/>
        <v>-0.21198881504750436</v>
      </c>
      <c r="L212" s="18">
        <f t="shared" si="99"/>
        <v>1.1129412789993979E-3</v>
      </c>
      <c r="M212" s="18">
        <f t="shared" si="100"/>
        <v>-4.4436000000000007E-3</v>
      </c>
      <c r="N212" s="18">
        <f t="shared" si="102"/>
        <v>2.9032050804397781E-2</v>
      </c>
      <c r="O212" s="18">
        <f t="shared" si="105"/>
        <v>2.2192975814469204E-3</v>
      </c>
      <c r="P212" s="18">
        <f t="shared" si="107"/>
        <v>4.7318705672623551E-3</v>
      </c>
      <c r="Q212" s="18">
        <f t="shared" si="109"/>
        <v>7.7957810361344712E-3</v>
      </c>
      <c r="R212" s="18">
        <f t="shared" si="111"/>
        <v>4.5404941601606967E-4</v>
      </c>
      <c r="S212" s="18">
        <f t="shared" si="113"/>
        <v>7.4593783478065839E-3</v>
      </c>
      <c r="T212" s="18">
        <f t="shared" si="115"/>
        <v>4.5779966068421234E-3</v>
      </c>
      <c r="U212" s="18">
        <f t="shared" si="117"/>
        <v>6.1737772960066559E-3</v>
      </c>
      <c r="V212" s="18">
        <f t="shared" si="118"/>
        <v>1.1707589567009015E-2</v>
      </c>
      <c r="W212" s="18">
        <f t="shared" si="119"/>
        <v>9.9013431948815553E-3</v>
      </c>
      <c r="X212" s="18">
        <f t="shared" si="120"/>
        <v>3.7859013185116697E-3</v>
      </c>
      <c r="Y212" s="18">
        <f t="shared" si="121"/>
        <v>4.2462987662945737E-3</v>
      </c>
      <c r="AA212" s="18">
        <f t="shared" si="103"/>
        <v>9.349481553018274E-2</v>
      </c>
      <c r="AB212" s="18">
        <f t="shared" si="104"/>
        <v>8.7412805310228998E-3</v>
      </c>
      <c r="AC212" s="18">
        <f t="shared" si="106"/>
        <v>2.152124780600603E-2</v>
      </c>
      <c r="AD212" s="18">
        <f t="shared" si="108"/>
        <v>1.5680956527161535E-4</v>
      </c>
      <c r="AE212" s="18">
        <f t="shared" si="110"/>
        <v>1.2810362869270259E-2</v>
      </c>
      <c r="AF212" s="18">
        <f t="shared" si="112"/>
        <v>9.8025146109165691E-3</v>
      </c>
      <c r="AG212" s="18">
        <f t="shared" si="114"/>
        <v>4.1905301984948339E-3</v>
      </c>
      <c r="AH212" s="18">
        <f t="shared" si="116"/>
        <v>2.7402757896204935E-3</v>
      </c>
      <c r="AJ212" s="18">
        <f>IF(ISNUMBER(Kernel!M212),Kernel!M212,"")</f>
        <v>4.1238574671676492E-2</v>
      </c>
      <c r="AK212" s="18">
        <f t="shared" si="101"/>
        <v>1.7006200409514379E-3</v>
      </c>
      <c r="AN212" s="18">
        <f>IF(ISNUMBER(Volcanic!G212),Volcanic!G212,"")</f>
        <v>5.5500000000000002E-3</v>
      </c>
    </row>
    <row r="213" spans="1:40">
      <c r="A213" s="18" t="str">
        <f>IF(Volcanic!A213="","",Volcanic!A213)</f>
        <v>10/1975</v>
      </c>
      <c r="B213" s="18">
        <f>IF(ISNUMBER(Volcanic!L213),Volcanic!L213,"")</f>
        <v>1975.7916666666667</v>
      </c>
      <c r="C213" s="18">
        <f>IF(ISNUMBER(Volcanic!J213),Volcanic!J213,"")</f>
        <v>-6.6035939473164523E-2</v>
      </c>
      <c r="D213" s="18">
        <f t="shared" si="94"/>
        <v>4.3607453021034482E-3</v>
      </c>
      <c r="E213" s="18">
        <f>IF(ISNUMBER(Volcanic!C213),Volcanic!C213,"")</f>
        <v>0.22985156512086161</v>
      </c>
      <c r="F213" s="18">
        <f>IF(ISNUMBER(Volcanic!D213),Volcanic!D213,"")</f>
        <v>-1.08</v>
      </c>
      <c r="G213" s="18">
        <f>IF(ISNUMBER(Volcanic!E213),Volcanic!E213,"")</f>
        <v>4.7099999999999998E-3</v>
      </c>
      <c r="H213" s="18">
        <f t="shared" si="95"/>
        <v>5.2831741988509685E-2</v>
      </c>
      <c r="I213" s="18">
        <f t="shared" si="96"/>
        <v>1.1664000000000001</v>
      </c>
      <c r="J213" s="18">
        <f t="shared" si="97"/>
        <v>2.2184099999999997E-5</v>
      </c>
      <c r="K213" s="18">
        <f t="shared" si="98"/>
        <v>-0.24823969033053056</v>
      </c>
      <c r="L213" s="18">
        <f t="shared" si="99"/>
        <v>1.0826008717192582E-3</v>
      </c>
      <c r="M213" s="18">
        <f t="shared" si="100"/>
        <v>-5.0867999999999998E-3</v>
      </c>
      <c r="N213" s="18">
        <f t="shared" si="102"/>
        <v>6.1205222588806756E-5</v>
      </c>
      <c r="O213" s="18">
        <f t="shared" si="105"/>
        <v>2.9032050804397781E-2</v>
      </c>
      <c r="P213" s="18">
        <f t="shared" si="107"/>
        <v>2.2192975814469204E-3</v>
      </c>
      <c r="Q213" s="18">
        <f t="shared" si="109"/>
        <v>4.7318705672623551E-3</v>
      </c>
      <c r="R213" s="18">
        <f t="shared" si="111"/>
        <v>7.7957810361344712E-3</v>
      </c>
      <c r="S213" s="18">
        <f t="shared" si="113"/>
        <v>4.5404941601606967E-4</v>
      </c>
      <c r="T213" s="18">
        <f t="shared" si="115"/>
        <v>7.4593783478065839E-3</v>
      </c>
      <c r="U213" s="18">
        <f t="shared" si="117"/>
        <v>4.5779966068421234E-3</v>
      </c>
      <c r="V213" s="18">
        <f t="shared" si="118"/>
        <v>6.1737772960066559E-3</v>
      </c>
      <c r="W213" s="18">
        <f t="shared" si="119"/>
        <v>1.1707589567009015E-2</v>
      </c>
      <c r="X213" s="18">
        <f t="shared" si="120"/>
        <v>9.9013431948815553E-3</v>
      </c>
      <c r="Y213" s="18">
        <f t="shared" si="121"/>
        <v>3.7859013185116697E-3</v>
      </c>
      <c r="AA213" s="18">
        <f t="shared" si="103"/>
        <v>-6.996955078534127E-2</v>
      </c>
      <c r="AB213" s="18">
        <f t="shared" si="104"/>
        <v>4.8957380371024515E-3</v>
      </c>
      <c r="AC213" s="18">
        <f t="shared" si="106"/>
        <v>8.7412805310228998E-3</v>
      </c>
      <c r="AD213" s="18">
        <f t="shared" si="108"/>
        <v>2.152124780600603E-2</v>
      </c>
      <c r="AE213" s="18">
        <f t="shared" si="110"/>
        <v>1.5680956527161535E-4</v>
      </c>
      <c r="AF213" s="18">
        <f t="shared" si="112"/>
        <v>1.2810362869270259E-2</v>
      </c>
      <c r="AG213" s="18">
        <f t="shared" si="114"/>
        <v>9.8025146109165691E-3</v>
      </c>
      <c r="AH213" s="18">
        <f t="shared" si="116"/>
        <v>4.1905301984948339E-3</v>
      </c>
      <c r="AJ213" s="18">
        <f>IF(ISNUMBER(Kernel!M213),Kernel!M213,"")</f>
        <v>-3.8133770081045126E-2</v>
      </c>
      <c r="AK213" s="18">
        <f t="shared" si="101"/>
        <v>1.4541844205940124E-3</v>
      </c>
      <c r="AN213" s="18">
        <f>IF(ISNUMBER(Volcanic!G213),Volcanic!G213,"")</f>
        <v>5.5300000000000002E-3</v>
      </c>
    </row>
    <row r="214" spans="1:40">
      <c r="A214" s="18" t="str">
        <f>IF(Volcanic!A214="","",Volcanic!A214)</f>
        <v>11/1975</v>
      </c>
      <c r="B214" s="18">
        <f>IF(ISNUMBER(Volcanic!L214),Volcanic!L214,"")</f>
        <v>1975.875</v>
      </c>
      <c r="C214" s="18">
        <f>IF(ISNUMBER(Volcanic!J214),Volcanic!J214,"")</f>
        <v>-0.13459419321869237</v>
      </c>
      <c r="D214" s="18">
        <f t="shared" si="94"/>
        <v>1.8115596848190696E-2</v>
      </c>
      <c r="E214" s="18">
        <f>IF(ISNUMBER(Volcanic!C214),Volcanic!C214,"")</f>
        <v>0.2343261299073639</v>
      </c>
      <c r="F214" s="18">
        <f>IF(ISNUMBER(Volcanic!D214),Volcanic!D214,"")</f>
        <v>-1.1200000000000001</v>
      </c>
      <c r="G214" s="18">
        <f>IF(ISNUMBER(Volcanic!E214),Volcanic!E214,"")</f>
        <v>4.6800000000000001E-3</v>
      </c>
      <c r="H214" s="18">
        <f t="shared" si="95"/>
        <v>5.4908735157362783E-2</v>
      </c>
      <c r="I214" s="18">
        <f t="shared" si="96"/>
        <v>1.2544000000000002</v>
      </c>
      <c r="J214" s="18">
        <f t="shared" si="97"/>
        <v>2.1902400000000002E-5</v>
      </c>
      <c r="K214" s="18">
        <f t="shared" si="98"/>
        <v>-0.26244526549624758</v>
      </c>
      <c r="L214" s="18">
        <f t="shared" si="99"/>
        <v>1.0966462879664631E-3</v>
      </c>
      <c r="M214" s="18">
        <f t="shared" si="100"/>
        <v>-5.2416000000000008E-3</v>
      </c>
      <c r="N214" s="18">
        <f t="shared" si="102"/>
        <v>4.3607453021034482E-3</v>
      </c>
      <c r="O214" s="18">
        <f t="shared" si="105"/>
        <v>6.1205222588806756E-5</v>
      </c>
      <c r="P214" s="18">
        <f t="shared" si="107"/>
        <v>2.9032050804397781E-2</v>
      </c>
      <c r="Q214" s="18">
        <f t="shared" si="109"/>
        <v>2.2192975814469204E-3</v>
      </c>
      <c r="R214" s="18">
        <f t="shared" si="111"/>
        <v>4.7318705672623551E-3</v>
      </c>
      <c r="S214" s="18">
        <f t="shared" si="113"/>
        <v>7.7957810361344712E-3</v>
      </c>
      <c r="T214" s="18">
        <f t="shared" si="115"/>
        <v>4.5404941601606967E-4</v>
      </c>
      <c r="U214" s="18">
        <f t="shared" si="117"/>
        <v>7.4593783478065839E-3</v>
      </c>
      <c r="V214" s="18">
        <f t="shared" si="118"/>
        <v>4.5779966068421234E-3</v>
      </c>
      <c r="W214" s="18">
        <f t="shared" si="119"/>
        <v>6.1737772960066559E-3</v>
      </c>
      <c r="X214" s="18">
        <f t="shared" si="120"/>
        <v>1.1707589567009015E-2</v>
      </c>
      <c r="Y214" s="18">
        <f t="shared" si="121"/>
        <v>9.9013431948815553E-3</v>
      </c>
      <c r="AA214" s="18">
        <f t="shared" si="103"/>
        <v>-0.10139117496527948</v>
      </c>
      <c r="AB214" s="18">
        <f t="shared" si="104"/>
        <v>1.0280170360839917E-2</v>
      </c>
      <c r="AC214" s="18">
        <f t="shared" si="106"/>
        <v>4.8957380371024515E-3</v>
      </c>
      <c r="AD214" s="18">
        <f t="shared" si="108"/>
        <v>8.7412805310228998E-3</v>
      </c>
      <c r="AE214" s="18">
        <f t="shared" si="110"/>
        <v>2.152124780600603E-2</v>
      </c>
      <c r="AF214" s="18">
        <f t="shared" si="112"/>
        <v>1.5680956527161535E-4</v>
      </c>
      <c r="AG214" s="18">
        <f t="shared" si="114"/>
        <v>1.2810362869270259E-2</v>
      </c>
      <c r="AH214" s="18">
        <f t="shared" si="116"/>
        <v>9.8025146109165691E-3</v>
      </c>
      <c r="AJ214" s="18">
        <f>IF(ISNUMBER(Kernel!M214),Kernel!M214,"")</f>
        <v>-9.9335603179315723E-2</v>
      </c>
      <c r="AK214" s="18">
        <f t="shared" si="101"/>
        <v>9.8675620589984796E-3</v>
      </c>
      <c r="AN214" s="18">
        <f>IF(ISNUMBER(Volcanic!G214),Volcanic!G214,"")</f>
        <v>5.3299999999999997E-3</v>
      </c>
    </row>
    <row r="215" spans="1:40">
      <c r="A215" s="18" t="str">
        <f>IF(Volcanic!A215="","",Volcanic!A215)</f>
        <v>12/1975</v>
      </c>
      <c r="B215" s="18">
        <f>IF(ISNUMBER(Volcanic!L215),Volcanic!L215,"")</f>
        <v>1975.9583333333333</v>
      </c>
      <c r="C215" s="18">
        <f>IF(ISNUMBER(Volcanic!J215),Volcanic!J215,"")</f>
        <v>-0.1354113416140359</v>
      </c>
      <c r="D215" s="18">
        <f t="shared" si="94"/>
        <v>1.8336231437713131E-2</v>
      </c>
      <c r="E215" s="18">
        <f>IF(ISNUMBER(Volcanic!C215),Volcanic!C215,"")</f>
        <v>0.24040156449160882</v>
      </c>
      <c r="F215" s="18">
        <f>IF(ISNUMBER(Volcanic!D215),Volcanic!D215,"")</f>
        <v>-1.29</v>
      </c>
      <c r="G215" s="18">
        <f>IF(ISNUMBER(Volcanic!E215),Volcanic!E215,"")</f>
        <v>4.6699999999999997E-3</v>
      </c>
      <c r="H215" s="18">
        <f t="shared" si="95"/>
        <v>5.7792912210013155E-2</v>
      </c>
      <c r="I215" s="18">
        <f t="shared" si="96"/>
        <v>1.6641000000000001</v>
      </c>
      <c r="J215" s="18">
        <f t="shared" si="97"/>
        <v>2.1808899999999997E-5</v>
      </c>
      <c r="K215" s="18">
        <f t="shared" si="98"/>
        <v>-0.31011801819417539</v>
      </c>
      <c r="L215" s="18">
        <f t="shared" si="99"/>
        <v>1.1226753061758131E-3</v>
      </c>
      <c r="M215" s="18">
        <f t="shared" si="100"/>
        <v>-6.0242999999999998E-3</v>
      </c>
      <c r="N215" s="18">
        <f t="shared" si="102"/>
        <v>1.8115596848190696E-2</v>
      </c>
      <c r="O215" s="18">
        <f t="shared" si="105"/>
        <v>4.3607453021034482E-3</v>
      </c>
      <c r="P215" s="18">
        <f t="shared" si="107"/>
        <v>6.1205222588806756E-5</v>
      </c>
      <c r="Q215" s="18">
        <f t="shared" si="109"/>
        <v>2.9032050804397781E-2</v>
      </c>
      <c r="R215" s="18">
        <f t="shared" si="111"/>
        <v>2.2192975814469204E-3</v>
      </c>
      <c r="S215" s="18">
        <f t="shared" si="113"/>
        <v>4.7318705672623551E-3</v>
      </c>
      <c r="T215" s="18">
        <f t="shared" si="115"/>
        <v>7.7957810361344712E-3</v>
      </c>
      <c r="U215" s="18">
        <f t="shared" si="117"/>
        <v>4.5404941601606967E-4</v>
      </c>
      <c r="V215" s="18">
        <f t="shared" si="118"/>
        <v>7.4593783478065839E-3</v>
      </c>
      <c r="W215" s="18">
        <f t="shared" si="119"/>
        <v>4.5779966068421234E-3</v>
      </c>
      <c r="X215" s="18">
        <f t="shared" si="120"/>
        <v>6.1737772960066559E-3</v>
      </c>
      <c r="Y215" s="18">
        <f t="shared" si="121"/>
        <v>1.1707589567009015E-2</v>
      </c>
      <c r="AA215" s="18">
        <f t="shared" si="103"/>
        <v>-6.7737079842388123E-2</v>
      </c>
      <c r="AB215" s="18">
        <f t="shared" si="104"/>
        <v>4.5883119855740636E-3</v>
      </c>
      <c r="AC215" s="18">
        <f t="shared" si="106"/>
        <v>1.0280170360839917E-2</v>
      </c>
      <c r="AD215" s="18">
        <f t="shared" si="108"/>
        <v>4.8957380371024515E-3</v>
      </c>
      <c r="AE215" s="18">
        <f t="shared" si="110"/>
        <v>8.7412805310228998E-3</v>
      </c>
      <c r="AF215" s="18">
        <f t="shared" si="112"/>
        <v>2.152124780600603E-2</v>
      </c>
      <c r="AG215" s="18">
        <f t="shared" si="114"/>
        <v>1.5680956527161535E-4</v>
      </c>
      <c r="AH215" s="18">
        <f t="shared" si="116"/>
        <v>1.2810362869270259E-2</v>
      </c>
      <c r="AJ215" s="18">
        <f>IF(ISNUMBER(Kernel!M215),Kernel!M215,"")</f>
        <v>-0.10421012211933853</v>
      </c>
      <c r="AK215" s="18">
        <f t="shared" si="101"/>
        <v>1.085974955212745E-2</v>
      </c>
      <c r="AN215" s="18">
        <f>IF(ISNUMBER(Volcanic!G215),Volcanic!G215,"")</f>
        <v>5.1000000000000004E-3</v>
      </c>
    </row>
    <row r="216" spans="1:40">
      <c r="A216" s="18" t="str">
        <f>IF(Volcanic!A216="","",Volcanic!A216)</f>
        <v>1/1976</v>
      </c>
      <c r="B216" s="18">
        <f>IF(ISNUMBER(Volcanic!L216),Volcanic!L216,"")</f>
        <v>1976.0416666666667</v>
      </c>
      <c r="C216" s="18">
        <f>IF(ISNUMBER(Volcanic!J216),Volcanic!J216,"")</f>
        <v>-1.9921319542355598E-3</v>
      </c>
      <c r="D216" s="18">
        <f t="shared" si="94"/>
        <v>3.9685897230863903E-6</v>
      </c>
      <c r="E216" s="18">
        <f>IF(ISNUMBER(Volcanic!C216),Volcanic!C216,"")</f>
        <v>0.2438431408139568</v>
      </c>
      <c r="F216" s="18">
        <f>IF(ISNUMBER(Volcanic!D216),Volcanic!D216,"")</f>
        <v>-1.32</v>
      </c>
      <c r="G216" s="18">
        <f>IF(ISNUMBER(Volcanic!E216),Volcanic!E216,"")</f>
        <v>4.6800000000000001E-3</v>
      </c>
      <c r="H216" s="18">
        <f t="shared" si="95"/>
        <v>5.9459477322015168E-2</v>
      </c>
      <c r="I216" s="18">
        <f t="shared" si="96"/>
        <v>1.7424000000000002</v>
      </c>
      <c r="J216" s="18">
        <f t="shared" si="97"/>
        <v>2.1902400000000002E-5</v>
      </c>
      <c r="K216" s="18">
        <f t="shared" si="98"/>
        <v>-0.321872945874423</v>
      </c>
      <c r="L216" s="18">
        <f t="shared" si="99"/>
        <v>1.1411858990093178E-3</v>
      </c>
      <c r="M216" s="18">
        <f t="shared" si="100"/>
        <v>-6.1776000000000001E-3</v>
      </c>
      <c r="N216" s="18">
        <f t="shared" si="102"/>
        <v>1.8336231437713131E-2</v>
      </c>
      <c r="O216" s="18">
        <f t="shared" si="105"/>
        <v>1.8115596848190696E-2</v>
      </c>
      <c r="P216" s="18">
        <f t="shared" si="107"/>
        <v>4.3607453021034482E-3</v>
      </c>
      <c r="Q216" s="18">
        <f t="shared" si="109"/>
        <v>6.1205222588806756E-5</v>
      </c>
      <c r="R216" s="18">
        <f t="shared" si="111"/>
        <v>2.9032050804397781E-2</v>
      </c>
      <c r="S216" s="18">
        <f t="shared" si="113"/>
        <v>2.2192975814469204E-3</v>
      </c>
      <c r="T216" s="18">
        <f t="shared" si="115"/>
        <v>4.7318705672623551E-3</v>
      </c>
      <c r="U216" s="18">
        <f t="shared" si="117"/>
        <v>7.7957810361344712E-3</v>
      </c>
      <c r="V216" s="18">
        <f t="shared" si="118"/>
        <v>4.5404941601606967E-4</v>
      </c>
      <c r="W216" s="18">
        <f t="shared" si="119"/>
        <v>7.4593783478065839E-3</v>
      </c>
      <c r="X216" s="18">
        <f t="shared" si="120"/>
        <v>4.5779966068421234E-3</v>
      </c>
      <c r="Y216" s="18">
        <f t="shared" si="121"/>
        <v>6.1737772960066559E-3</v>
      </c>
      <c r="AA216" s="18">
        <f t="shared" si="103"/>
        <v>6.6092993860580151E-2</v>
      </c>
      <c r="AB216" s="18">
        <f t="shared" si="104"/>
        <v>4.3682838374546852E-3</v>
      </c>
      <c r="AC216" s="18">
        <f t="shared" si="106"/>
        <v>4.5883119855740636E-3</v>
      </c>
      <c r="AD216" s="18">
        <f t="shared" si="108"/>
        <v>1.0280170360839917E-2</v>
      </c>
      <c r="AE216" s="18">
        <f t="shared" si="110"/>
        <v>4.8957380371024515E-3</v>
      </c>
      <c r="AF216" s="18">
        <f t="shared" si="112"/>
        <v>8.7412805310228998E-3</v>
      </c>
      <c r="AG216" s="18">
        <f t="shared" si="114"/>
        <v>2.152124780600603E-2</v>
      </c>
      <c r="AH216" s="18">
        <f t="shared" si="116"/>
        <v>1.5680956527161535E-4</v>
      </c>
      <c r="AJ216" s="18">
        <f>IF(ISNUMBER(Kernel!M216),Kernel!M216,"")</f>
        <v>3.4260564852523531E-2</v>
      </c>
      <c r="AK216" s="18">
        <f t="shared" si="101"/>
        <v>1.1737863040139707E-3</v>
      </c>
      <c r="AN216" s="18">
        <f>IF(ISNUMBER(Volcanic!G216),Volcanic!G216,"")</f>
        <v>4.8900000000000002E-3</v>
      </c>
    </row>
    <row r="217" spans="1:40">
      <c r="A217" s="18" t="str">
        <f>IF(Volcanic!A217="","",Volcanic!A217)</f>
        <v>2/1976</v>
      </c>
      <c r="B217" s="18">
        <f>IF(ISNUMBER(Volcanic!L217),Volcanic!L217,"")</f>
        <v>1976.125</v>
      </c>
      <c r="C217" s="18">
        <f>IF(ISNUMBER(Volcanic!J217),Volcanic!J217,"")</f>
        <v>-3.1237736363967018E-2</v>
      </c>
      <c r="D217" s="18">
        <f t="shared" si="94"/>
        <v>9.7579617314470736E-4</v>
      </c>
      <c r="E217" s="18">
        <f>IF(ISNUMBER(Volcanic!C217),Volcanic!C217,"")</f>
        <v>0.24896848158992504</v>
      </c>
      <c r="F217" s="18">
        <f>IF(ISNUMBER(Volcanic!D217),Volcanic!D217,"")</f>
        <v>-1.47</v>
      </c>
      <c r="G217" s="18">
        <f>IF(ISNUMBER(Volcanic!E217),Volcanic!E217,"")</f>
        <v>5.0499999999999998E-3</v>
      </c>
      <c r="H217" s="18">
        <f t="shared" si="95"/>
        <v>6.1985304825192843E-2</v>
      </c>
      <c r="I217" s="18">
        <f t="shared" si="96"/>
        <v>2.1608999999999998</v>
      </c>
      <c r="J217" s="18">
        <f t="shared" si="97"/>
        <v>2.5502499999999999E-5</v>
      </c>
      <c r="K217" s="18">
        <f t="shared" si="98"/>
        <v>-0.36598366793718978</v>
      </c>
      <c r="L217" s="18">
        <f t="shared" si="99"/>
        <v>1.2572908320291215E-3</v>
      </c>
      <c r="M217" s="18">
        <f t="shared" si="100"/>
        <v>-7.4234999999999995E-3</v>
      </c>
      <c r="N217" s="18">
        <f t="shared" si="102"/>
        <v>3.9685897230863903E-6</v>
      </c>
      <c r="O217" s="18">
        <f t="shared" si="105"/>
        <v>1.8336231437713131E-2</v>
      </c>
      <c r="P217" s="18">
        <f t="shared" si="107"/>
        <v>1.8115596848190696E-2</v>
      </c>
      <c r="Q217" s="18">
        <f t="shared" si="109"/>
        <v>4.3607453021034482E-3</v>
      </c>
      <c r="R217" s="18">
        <f t="shared" si="111"/>
        <v>6.1205222588806756E-5</v>
      </c>
      <c r="S217" s="18">
        <f t="shared" si="113"/>
        <v>2.9032050804397781E-2</v>
      </c>
      <c r="T217" s="18">
        <f t="shared" si="115"/>
        <v>2.2192975814469204E-3</v>
      </c>
      <c r="U217" s="18">
        <f t="shared" si="117"/>
        <v>4.7318705672623551E-3</v>
      </c>
      <c r="V217" s="18">
        <f t="shared" si="118"/>
        <v>7.7957810361344712E-3</v>
      </c>
      <c r="W217" s="18">
        <f t="shared" si="119"/>
        <v>4.5404941601606967E-4</v>
      </c>
      <c r="X217" s="18">
        <f t="shared" si="120"/>
        <v>7.4593783478065839E-3</v>
      </c>
      <c r="Y217" s="18">
        <f t="shared" si="121"/>
        <v>4.5779966068421234E-3</v>
      </c>
      <c r="AA217" s="18">
        <f t="shared" si="103"/>
        <v>-3.0236087956033487E-2</v>
      </c>
      <c r="AB217" s="18">
        <f t="shared" si="104"/>
        <v>9.142210148849933E-4</v>
      </c>
      <c r="AC217" s="18">
        <f t="shared" si="106"/>
        <v>4.3682838374546852E-3</v>
      </c>
      <c r="AD217" s="18">
        <f t="shared" si="108"/>
        <v>4.5883119855740636E-3</v>
      </c>
      <c r="AE217" s="18">
        <f t="shared" si="110"/>
        <v>1.0280170360839917E-2</v>
      </c>
      <c r="AF217" s="18">
        <f t="shared" si="112"/>
        <v>4.8957380371024515E-3</v>
      </c>
      <c r="AG217" s="18">
        <f t="shared" si="114"/>
        <v>8.7412805310228998E-3</v>
      </c>
      <c r="AH217" s="18">
        <f t="shared" si="116"/>
        <v>2.152124780600603E-2</v>
      </c>
      <c r="AJ217" s="18">
        <f>IF(ISNUMBER(Kernel!M217),Kernel!M217,"")</f>
        <v>-1.1124755051771962E-2</v>
      </c>
      <c r="AK217" s="18">
        <f t="shared" si="101"/>
        <v>1.2376017496192577E-4</v>
      </c>
      <c r="AN217" s="18">
        <f>IF(ISNUMBER(Volcanic!G217),Volcanic!G217,"")</f>
        <v>5.3499999999999997E-3</v>
      </c>
    </row>
    <row r="218" spans="1:40">
      <c r="A218" s="18" t="str">
        <f>IF(Volcanic!A218="","",Volcanic!A218)</f>
        <v>3/1976</v>
      </c>
      <c r="B218" s="18">
        <f>IF(ISNUMBER(Volcanic!L218),Volcanic!L218,"")</f>
        <v>1976.2083333333333</v>
      </c>
      <c r="C218" s="18">
        <f>IF(ISNUMBER(Volcanic!J218),Volcanic!J218,"")</f>
        <v>-0.18734316046506869</v>
      </c>
      <c r="D218" s="18">
        <f t="shared" si="94"/>
        <v>3.5097459773040476E-2</v>
      </c>
      <c r="E218" s="18">
        <f>IF(ISNUMBER(Volcanic!C218),Volcanic!C218,"")</f>
        <v>0.25165417798285766</v>
      </c>
      <c r="F218" s="18">
        <f>IF(ISNUMBER(Volcanic!D218),Volcanic!D218,"")</f>
        <v>-1.58</v>
      </c>
      <c r="G218" s="18">
        <f>IF(ISNUMBER(Volcanic!E218),Volcanic!E218,"")</f>
        <v>5.5100000000000001E-3</v>
      </c>
      <c r="H218" s="18">
        <f t="shared" si="95"/>
        <v>6.3329825296227799E-2</v>
      </c>
      <c r="I218" s="18">
        <f t="shared" si="96"/>
        <v>2.4964000000000004</v>
      </c>
      <c r="J218" s="18">
        <f t="shared" si="97"/>
        <v>3.0360100000000001E-5</v>
      </c>
      <c r="K218" s="18">
        <f t="shared" si="98"/>
        <v>-0.39761360121291511</v>
      </c>
      <c r="L218" s="18">
        <f t="shared" si="99"/>
        <v>1.3866145206855457E-3</v>
      </c>
      <c r="M218" s="18">
        <f t="shared" si="100"/>
        <v>-8.7058000000000014E-3</v>
      </c>
      <c r="N218" s="18">
        <f t="shared" si="102"/>
        <v>9.7579617314470736E-4</v>
      </c>
      <c r="O218" s="18">
        <f t="shared" si="105"/>
        <v>3.9685897230863903E-6</v>
      </c>
      <c r="P218" s="18">
        <f t="shared" si="107"/>
        <v>1.8336231437713131E-2</v>
      </c>
      <c r="Q218" s="18">
        <f t="shared" si="109"/>
        <v>1.8115596848190696E-2</v>
      </c>
      <c r="R218" s="18">
        <f t="shared" si="111"/>
        <v>4.3607453021034482E-3</v>
      </c>
      <c r="S218" s="18">
        <f t="shared" si="113"/>
        <v>6.1205222588806756E-5</v>
      </c>
      <c r="T218" s="18">
        <f t="shared" si="115"/>
        <v>2.9032050804397781E-2</v>
      </c>
      <c r="U218" s="18">
        <f t="shared" si="117"/>
        <v>2.2192975814469204E-3</v>
      </c>
      <c r="V218" s="18">
        <f t="shared" si="118"/>
        <v>4.7318705672623551E-3</v>
      </c>
      <c r="W218" s="18">
        <f t="shared" si="119"/>
        <v>7.7957810361344712E-3</v>
      </c>
      <c r="X218" s="18">
        <f t="shared" si="120"/>
        <v>4.5404941601606967E-4</v>
      </c>
      <c r="Y218" s="18">
        <f t="shared" si="121"/>
        <v>7.4593783478065839E-3</v>
      </c>
      <c r="AA218" s="18">
        <f t="shared" si="103"/>
        <v>-0.17163675666491399</v>
      </c>
      <c r="AB218" s="18">
        <f t="shared" si="104"/>
        <v>2.9459176238450895E-2</v>
      </c>
      <c r="AC218" s="18">
        <f t="shared" si="106"/>
        <v>9.142210148849933E-4</v>
      </c>
      <c r="AD218" s="18">
        <f t="shared" si="108"/>
        <v>4.3682838374546852E-3</v>
      </c>
      <c r="AE218" s="18">
        <f t="shared" si="110"/>
        <v>4.5883119855740636E-3</v>
      </c>
      <c r="AF218" s="18">
        <f t="shared" si="112"/>
        <v>1.0280170360839917E-2</v>
      </c>
      <c r="AG218" s="18">
        <f t="shared" si="114"/>
        <v>4.8957380371024515E-3</v>
      </c>
      <c r="AH218" s="18">
        <f t="shared" si="116"/>
        <v>8.7412805310228998E-3</v>
      </c>
      <c r="AJ218" s="18">
        <f>IF(ISNUMBER(Kernel!M218),Kernel!M218,"")</f>
        <v>-0.18964975587592661</v>
      </c>
      <c r="AK218" s="18">
        <f t="shared" si="101"/>
        <v>3.5967029903798561E-2</v>
      </c>
      <c r="AN218" s="18">
        <f>IF(ISNUMBER(Volcanic!G218),Volcanic!G218,"")</f>
        <v>5.3E-3</v>
      </c>
    </row>
    <row r="219" spans="1:40">
      <c r="A219" s="18" t="str">
        <f>IF(Volcanic!A219="","",Volcanic!A219)</f>
        <v>4/1976</v>
      </c>
      <c r="B219" s="18">
        <f>IF(ISNUMBER(Volcanic!L219),Volcanic!L219,"")</f>
        <v>1976.2916666666667</v>
      </c>
      <c r="C219" s="18">
        <f>IF(ISNUMBER(Volcanic!J219),Volcanic!J219,"")</f>
        <v>-6.1862025284565275E-2</v>
      </c>
      <c r="D219" s="18">
        <f t="shared" si="94"/>
        <v>3.8269101723081935E-3</v>
      </c>
      <c r="E219" s="18">
        <f>IF(ISNUMBER(Volcanic!C219),Volcanic!C219,"")</f>
        <v>0.25761413004954092</v>
      </c>
      <c r="F219" s="18">
        <f>IF(ISNUMBER(Volcanic!D219),Volcanic!D219,"")</f>
        <v>-1.49</v>
      </c>
      <c r="G219" s="18">
        <f>IF(ISNUMBER(Volcanic!E219),Volcanic!E219,"")</f>
        <v>5.5500000000000002E-3</v>
      </c>
      <c r="H219" s="18">
        <f t="shared" si="95"/>
        <v>6.6365040001181777E-2</v>
      </c>
      <c r="I219" s="18">
        <f t="shared" si="96"/>
        <v>2.2201</v>
      </c>
      <c r="J219" s="18">
        <f t="shared" si="97"/>
        <v>3.0802500000000002E-5</v>
      </c>
      <c r="K219" s="18">
        <f t="shared" si="98"/>
        <v>-0.38384505377381595</v>
      </c>
      <c r="L219" s="18">
        <f t="shared" si="99"/>
        <v>1.4297584217749521E-3</v>
      </c>
      <c r="M219" s="18">
        <f t="shared" si="100"/>
        <v>-8.2695000000000008E-3</v>
      </c>
      <c r="N219" s="18">
        <f t="shared" si="102"/>
        <v>3.5097459773040476E-2</v>
      </c>
      <c r="O219" s="18">
        <f t="shared" si="105"/>
        <v>9.7579617314470736E-4</v>
      </c>
      <c r="P219" s="18">
        <f t="shared" si="107"/>
        <v>3.9685897230863903E-6</v>
      </c>
      <c r="Q219" s="18">
        <f t="shared" si="109"/>
        <v>1.8336231437713131E-2</v>
      </c>
      <c r="R219" s="18">
        <f t="shared" si="111"/>
        <v>1.8115596848190696E-2</v>
      </c>
      <c r="S219" s="18">
        <f t="shared" si="113"/>
        <v>4.3607453021034482E-3</v>
      </c>
      <c r="T219" s="18">
        <f t="shared" si="115"/>
        <v>6.1205222588806756E-5</v>
      </c>
      <c r="U219" s="18">
        <f t="shared" si="117"/>
        <v>2.9032050804397781E-2</v>
      </c>
      <c r="V219" s="18">
        <f t="shared" si="118"/>
        <v>2.2192975814469204E-3</v>
      </c>
      <c r="W219" s="18">
        <f t="shared" si="119"/>
        <v>4.7318705672623551E-3</v>
      </c>
      <c r="X219" s="18">
        <f t="shared" si="120"/>
        <v>7.7957810361344712E-3</v>
      </c>
      <c r="Y219" s="18">
        <f t="shared" si="121"/>
        <v>4.5404941601606967E-4</v>
      </c>
      <c r="AA219" s="18">
        <f t="shared" si="103"/>
        <v>3.2334535348929536E-2</v>
      </c>
      <c r="AB219" s="18">
        <f t="shared" si="104"/>
        <v>1.0455221762311737E-3</v>
      </c>
      <c r="AC219" s="18">
        <f t="shared" si="106"/>
        <v>2.9459176238450895E-2</v>
      </c>
      <c r="AD219" s="18">
        <f t="shared" si="108"/>
        <v>9.142210148849933E-4</v>
      </c>
      <c r="AE219" s="18">
        <f t="shared" si="110"/>
        <v>4.3682838374546852E-3</v>
      </c>
      <c r="AF219" s="18">
        <f t="shared" si="112"/>
        <v>4.5883119855740636E-3</v>
      </c>
      <c r="AG219" s="18">
        <f t="shared" si="114"/>
        <v>1.0280170360839917E-2</v>
      </c>
      <c r="AH219" s="18">
        <f t="shared" si="116"/>
        <v>4.8957380371024515E-3</v>
      </c>
      <c r="AJ219" s="18">
        <f>IF(ISNUMBER(Kernel!M219),Kernel!M219,"")</f>
        <v>-6.9650719172265396E-2</v>
      </c>
      <c r="AK219" s="18">
        <f t="shared" si="101"/>
        <v>4.8512226812137786E-3</v>
      </c>
      <c r="AN219" s="18">
        <f>IF(ISNUMBER(Volcanic!G219),Volcanic!G219,"")</f>
        <v>5.2100000000000002E-3</v>
      </c>
    </row>
    <row r="220" spans="1:40">
      <c r="A220" s="18" t="str">
        <f>IF(Volcanic!A220="","",Volcanic!A220)</f>
        <v>5/1976</v>
      </c>
      <c r="B220" s="18">
        <f>IF(ISNUMBER(Volcanic!L220),Volcanic!L220,"")</f>
        <v>1976.375</v>
      </c>
      <c r="C220" s="18">
        <f>IF(ISNUMBER(Volcanic!J220),Volcanic!J220,"")</f>
        <v>-0.22693303270442175</v>
      </c>
      <c r="D220" s="18">
        <f t="shared" si="94"/>
        <v>5.1498601332426154E-2</v>
      </c>
      <c r="E220" s="18">
        <f>IF(ISNUMBER(Volcanic!C220),Volcanic!C220,"")</f>
        <v>0.25752792952725034</v>
      </c>
      <c r="F220" s="18">
        <f>IF(ISNUMBER(Volcanic!D220),Volcanic!D220,"")</f>
        <v>-1.1100000000000001</v>
      </c>
      <c r="G220" s="18">
        <f>IF(ISNUMBER(Volcanic!E220),Volcanic!E220,"")</f>
        <v>5.5300000000000002E-3</v>
      </c>
      <c r="H220" s="18">
        <f t="shared" si="95"/>
        <v>6.6320634486592422E-2</v>
      </c>
      <c r="I220" s="18">
        <f t="shared" si="96"/>
        <v>1.2321000000000002</v>
      </c>
      <c r="J220" s="18">
        <f t="shared" si="97"/>
        <v>3.0580900000000004E-5</v>
      </c>
      <c r="K220" s="18">
        <f t="shared" si="98"/>
        <v>-0.28585600177524789</v>
      </c>
      <c r="L220" s="18">
        <f t="shared" si="99"/>
        <v>1.4241294502856945E-3</v>
      </c>
      <c r="M220" s="18">
        <f t="shared" si="100"/>
        <v>-6.138300000000001E-3</v>
      </c>
      <c r="N220" s="18">
        <f t="shared" si="102"/>
        <v>3.8269101723081935E-3</v>
      </c>
      <c r="O220" s="18">
        <f t="shared" si="105"/>
        <v>3.5097459773040476E-2</v>
      </c>
      <c r="P220" s="18">
        <f t="shared" si="107"/>
        <v>9.7579617314470736E-4</v>
      </c>
      <c r="Q220" s="18">
        <f t="shared" si="109"/>
        <v>3.9685897230863903E-6</v>
      </c>
      <c r="R220" s="18">
        <f t="shared" si="111"/>
        <v>1.8336231437713131E-2</v>
      </c>
      <c r="S220" s="18">
        <f t="shared" si="113"/>
        <v>1.8115596848190696E-2</v>
      </c>
      <c r="T220" s="18">
        <f t="shared" si="115"/>
        <v>4.3607453021034482E-3</v>
      </c>
      <c r="U220" s="18">
        <f t="shared" si="117"/>
        <v>6.1205222588806756E-5</v>
      </c>
      <c r="V220" s="18">
        <f t="shared" si="118"/>
        <v>2.9032050804397781E-2</v>
      </c>
      <c r="W220" s="18">
        <f t="shared" si="119"/>
        <v>2.2192975814469204E-3</v>
      </c>
      <c r="X220" s="18">
        <f t="shared" si="120"/>
        <v>4.7318705672623551E-3</v>
      </c>
      <c r="Y220" s="18">
        <f t="shared" si="121"/>
        <v>7.7957810361344712E-3</v>
      </c>
      <c r="AA220" s="18">
        <f t="shared" si="103"/>
        <v>-0.19582866785244277</v>
      </c>
      <c r="AB220" s="18">
        <f t="shared" si="104"/>
        <v>3.834886715286235E-2</v>
      </c>
      <c r="AC220" s="18">
        <f t="shared" si="106"/>
        <v>1.0455221762311737E-3</v>
      </c>
      <c r="AD220" s="18">
        <f t="shared" si="108"/>
        <v>2.9459176238450895E-2</v>
      </c>
      <c r="AE220" s="18">
        <f t="shared" si="110"/>
        <v>9.142210148849933E-4</v>
      </c>
      <c r="AF220" s="18">
        <f t="shared" si="112"/>
        <v>4.3682838374546852E-3</v>
      </c>
      <c r="AG220" s="18">
        <f t="shared" si="114"/>
        <v>4.5883119855740636E-3</v>
      </c>
      <c r="AH220" s="18">
        <f t="shared" si="116"/>
        <v>1.0280170360839917E-2</v>
      </c>
      <c r="AJ220" s="18">
        <f>IF(ISNUMBER(Kernel!M220),Kernel!M220,"")</f>
        <v>-0.2159594693725522</v>
      </c>
      <c r="AK220" s="18">
        <f t="shared" si="101"/>
        <v>4.6638492411674309E-2</v>
      </c>
      <c r="AN220" s="18">
        <f>IF(ISNUMBER(Volcanic!G220),Volcanic!G220,"")</f>
        <v>5.11E-3</v>
      </c>
    </row>
    <row r="221" spans="1:40">
      <c r="A221" s="18" t="str">
        <f>IF(Volcanic!A221="","",Volcanic!A221)</f>
        <v>6/1976</v>
      </c>
      <c r="B221" s="18">
        <f>IF(ISNUMBER(Volcanic!L221),Volcanic!L221,"")</f>
        <v>1976.4583333333333</v>
      </c>
      <c r="C221" s="18">
        <f>IF(ISNUMBER(Volcanic!J221),Volcanic!J221,"")</f>
        <v>-0.18123219683805109</v>
      </c>
      <c r="D221" s="18">
        <f t="shared" si="94"/>
        <v>3.2845109170746095E-2</v>
      </c>
      <c r="E221" s="18">
        <f>IF(ISNUMBER(Volcanic!C221),Volcanic!C221,"")</f>
        <v>0.25429168632221816</v>
      </c>
      <c r="F221" s="18">
        <f>IF(ISNUMBER(Volcanic!D221),Volcanic!D221,"")</f>
        <v>-0.65</v>
      </c>
      <c r="G221" s="18">
        <f>IF(ISNUMBER(Volcanic!E221),Volcanic!E221,"")</f>
        <v>5.3299999999999997E-3</v>
      </c>
      <c r="H221" s="18">
        <f t="shared" si="95"/>
        <v>6.46642617325974E-2</v>
      </c>
      <c r="I221" s="18">
        <f t="shared" si="96"/>
        <v>0.42250000000000004</v>
      </c>
      <c r="J221" s="18">
        <f t="shared" si="97"/>
        <v>2.8408899999999995E-5</v>
      </c>
      <c r="K221" s="18">
        <f t="shared" si="98"/>
        <v>-0.1652895961094418</v>
      </c>
      <c r="L221" s="18">
        <f t="shared" si="99"/>
        <v>1.3553746880974227E-3</v>
      </c>
      <c r="M221" s="18">
        <f t="shared" si="100"/>
        <v>-3.4644999999999997E-3</v>
      </c>
      <c r="N221" s="18">
        <f t="shared" si="102"/>
        <v>5.1498601332426154E-2</v>
      </c>
      <c r="O221" s="18">
        <f t="shared" si="105"/>
        <v>3.8269101723081935E-3</v>
      </c>
      <c r="P221" s="18">
        <f t="shared" si="107"/>
        <v>3.5097459773040476E-2</v>
      </c>
      <c r="Q221" s="18">
        <f t="shared" si="109"/>
        <v>9.7579617314470736E-4</v>
      </c>
      <c r="R221" s="18">
        <f t="shared" si="111"/>
        <v>3.9685897230863903E-6</v>
      </c>
      <c r="S221" s="18">
        <f t="shared" si="113"/>
        <v>1.8336231437713131E-2</v>
      </c>
      <c r="T221" s="18">
        <f t="shared" si="115"/>
        <v>1.8115596848190696E-2</v>
      </c>
      <c r="U221" s="18">
        <f t="shared" si="117"/>
        <v>4.3607453021034482E-3</v>
      </c>
      <c r="V221" s="18">
        <f t="shared" si="118"/>
        <v>6.1205222588806756E-5</v>
      </c>
      <c r="W221" s="18">
        <f t="shared" si="119"/>
        <v>2.9032050804397781E-2</v>
      </c>
      <c r="X221" s="18">
        <f t="shared" si="120"/>
        <v>2.2192975814469204E-3</v>
      </c>
      <c r="Y221" s="18">
        <f t="shared" si="121"/>
        <v>4.7318705672623551E-3</v>
      </c>
      <c r="AA221" s="18">
        <f t="shared" si="103"/>
        <v>-6.7129759781798526E-2</v>
      </c>
      <c r="AB221" s="18">
        <f t="shared" si="104"/>
        <v>4.5064046483619747E-3</v>
      </c>
      <c r="AC221" s="18">
        <f t="shared" si="106"/>
        <v>3.834886715286235E-2</v>
      </c>
      <c r="AD221" s="18">
        <f t="shared" si="108"/>
        <v>1.0455221762311737E-3</v>
      </c>
      <c r="AE221" s="18">
        <f t="shared" si="110"/>
        <v>2.9459176238450895E-2</v>
      </c>
      <c r="AF221" s="18">
        <f t="shared" si="112"/>
        <v>9.142210148849933E-4</v>
      </c>
      <c r="AG221" s="18">
        <f t="shared" si="114"/>
        <v>4.3682838374546852E-3</v>
      </c>
      <c r="AH221" s="18">
        <f t="shared" si="116"/>
        <v>4.5883119855740636E-3</v>
      </c>
      <c r="AJ221" s="18">
        <f>IF(ISNUMBER(Kernel!M221),Kernel!M221,"")</f>
        <v>-0.14621043875787987</v>
      </c>
      <c r="AK221" s="18">
        <f t="shared" si="101"/>
        <v>2.1377492401771739E-2</v>
      </c>
      <c r="AN221" s="18">
        <f>IF(ISNUMBER(Volcanic!G221),Volcanic!G221,"")</f>
        <v>5.0400000000000002E-3</v>
      </c>
    </row>
    <row r="222" spans="1:40">
      <c r="A222" s="18" t="str">
        <f>IF(Volcanic!A222="","",Volcanic!A222)</f>
        <v>7/1976</v>
      </c>
      <c r="B222" s="18">
        <f>IF(ISNUMBER(Volcanic!L222),Volcanic!L222,"")</f>
        <v>1976.5416666666667</v>
      </c>
      <c r="C222" s="18">
        <f>IF(ISNUMBER(Volcanic!J222),Volcanic!J222,"")</f>
        <v>-0.16979727931037331</v>
      </c>
      <c r="D222" s="18">
        <f t="shared" si="94"/>
        <v>2.8831116061204927E-2</v>
      </c>
      <c r="E222" s="18">
        <f>IF(ISNUMBER(Volcanic!C222),Volcanic!C222,"")</f>
        <v>0.2504419019033377</v>
      </c>
      <c r="F222" s="18">
        <f>IF(ISNUMBER(Volcanic!D222),Volcanic!D222,"")</f>
        <v>-0.45</v>
      </c>
      <c r="G222" s="18">
        <f>IF(ISNUMBER(Volcanic!E222),Volcanic!E222,"")</f>
        <v>5.1000000000000004E-3</v>
      </c>
      <c r="H222" s="18">
        <f t="shared" si="95"/>
        <v>6.2721146228961022E-2</v>
      </c>
      <c r="I222" s="18">
        <f t="shared" si="96"/>
        <v>0.20250000000000001</v>
      </c>
      <c r="J222" s="18">
        <f t="shared" si="97"/>
        <v>2.6010000000000003E-5</v>
      </c>
      <c r="K222" s="18">
        <f t="shared" si="98"/>
        <v>-0.11269885585650197</v>
      </c>
      <c r="L222" s="18">
        <f t="shared" si="99"/>
        <v>1.2772536997070225E-3</v>
      </c>
      <c r="M222" s="18">
        <f t="shared" si="100"/>
        <v>-2.2950000000000002E-3</v>
      </c>
      <c r="N222" s="18">
        <f t="shared" si="102"/>
        <v>3.2845109170746095E-2</v>
      </c>
      <c r="O222" s="18">
        <f t="shared" si="105"/>
        <v>5.1498601332426154E-2</v>
      </c>
      <c r="P222" s="18">
        <f t="shared" si="107"/>
        <v>3.8269101723081935E-3</v>
      </c>
      <c r="Q222" s="18">
        <f t="shared" si="109"/>
        <v>3.5097459773040476E-2</v>
      </c>
      <c r="R222" s="18">
        <f t="shared" si="111"/>
        <v>9.7579617314470736E-4</v>
      </c>
      <c r="S222" s="18">
        <f t="shared" si="113"/>
        <v>3.9685897230863903E-6</v>
      </c>
      <c r="T222" s="18">
        <f t="shared" si="115"/>
        <v>1.8336231437713131E-2</v>
      </c>
      <c r="U222" s="18">
        <f t="shared" si="117"/>
        <v>1.8115596848190696E-2</v>
      </c>
      <c r="V222" s="18">
        <f t="shared" si="118"/>
        <v>4.3607453021034482E-3</v>
      </c>
      <c r="W222" s="18">
        <f t="shared" si="119"/>
        <v>6.1205222588806756E-5</v>
      </c>
      <c r="X222" s="18">
        <f t="shared" si="120"/>
        <v>2.9032050804397781E-2</v>
      </c>
      <c r="Y222" s="18">
        <f t="shared" si="121"/>
        <v>2.2192975814469204E-3</v>
      </c>
      <c r="AA222" s="18">
        <f t="shared" si="103"/>
        <v>-7.8673324873936731E-2</v>
      </c>
      <c r="AB222" s="18">
        <f t="shared" si="104"/>
        <v>6.189492046719992E-3</v>
      </c>
      <c r="AC222" s="18">
        <f t="shared" si="106"/>
        <v>4.5064046483619747E-3</v>
      </c>
      <c r="AD222" s="18">
        <f t="shared" si="108"/>
        <v>3.834886715286235E-2</v>
      </c>
      <c r="AE222" s="18">
        <f t="shared" si="110"/>
        <v>1.0455221762311737E-3</v>
      </c>
      <c r="AF222" s="18">
        <f t="shared" si="112"/>
        <v>2.9459176238450895E-2</v>
      </c>
      <c r="AG222" s="18">
        <f t="shared" si="114"/>
        <v>9.142210148849933E-4</v>
      </c>
      <c r="AH222" s="18">
        <f t="shared" si="116"/>
        <v>4.3682838374546852E-3</v>
      </c>
      <c r="AJ222" s="18">
        <f>IF(ISNUMBER(Kernel!M222),Kernel!M222,"")</f>
        <v>-0.13687573832214137</v>
      </c>
      <c r="AK222" s="18">
        <f t="shared" si="101"/>
        <v>1.8734967741231318E-2</v>
      </c>
      <c r="AN222" s="18">
        <f>IF(ISNUMBER(Volcanic!G222),Volcanic!G222,"")</f>
        <v>5.0099999999999997E-3</v>
      </c>
    </row>
    <row r="223" spans="1:40">
      <c r="A223" s="18" t="str">
        <f>IF(Volcanic!A223="","",Volcanic!A223)</f>
        <v>8/1976</v>
      </c>
      <c r="B223" s="18">
        <f>IF(ISNUMBER(Volcanic!L223),Volcanic!L223,"")</f>
        <v>1976.625</v>
      </c>
      <c r="C223" s="18">
        <f>IF(ISNUMBER(Volcanic!J223),Volcanic!J223,"")</f>
        <v>-0.18221919386854388</v>
      </c>
      <c r="D223" s="18">
        <f t="shared" si="94"/>
        <v>3.3203834614101979E-2</v>
      </c>
      <c r="E223" s="18">
        <f>IF(ISNUMBER(Volcanic!C223),Volcanic!C223,"")</f>
        <v>0.24000896473507025</v>
      </c>
      <c r="F223" s="18">
        <f>IF(ISNUMBER(Volcanic!D223),Volcanic!D223,"")</f>
        <v>-0.23</v>
      </c>
      <c r="G223" s="18">
        <f>IF(ISNUMBER(Volcanic!E223),Volcanic!E223,"")</f>
        <v>4.8900000000000002E-3</v>
      </c>
      <c r="H223" s="18">
        <f t="shared" si="95"/>
        <v>5.7604303153200191E-2</v>
      </c>
      <c r="I223" s="18">
        <f t="shared" si="96"/>
        <v>5.2900000000000003E-2</v>
      </c>
      <c r="J223" s="18">
        <f t="shared" si="97"/>
        <v>2.3912100000000001E-5</v>
      </c>
      <c r="K223" s="18">
        <f t="shared" si="98"/>
        <v>-5.5202061889066158E-2</v>
      </c>
      <c r="L223" s="18">
        <f t="shared" si="99"/>
        <v>1.1736438375544935E-3</v>
      </c>
      <c r="M223" s="18">
        <f t="shared" si="100"/>
        <v>-1.1247000000000002E-3</v>
      </c>
      <c r="N223" s="18">
        <f t="shared" si="102"/>
        <v>2.8831116061204927E-2</v>
      </c>
      <c r="O223" s="18">
        <f t="shared" si="105"/>
        <v>3.2845109170746095E-2</v>
      </c>
      <c r="P223" s="18">
        <f t="shared" si="107"/>
        <v>5.1498601332426154E-2</v>
      </c>
      <c r="Q223" s="18">
        <f t="shared" si="109"/>
        <v>3.8269101723081935E-3</v>
      </c>
      <c r="R223" s="18">
        <f t="shared" si="111"/>
        <v>3.5097459773040476E-2</v>
      </c>
      <c r="S223" s="18">
        <f t="shared" si="113"/>
        <v>9.7579617314470736E-4</v>
      </c>
      <c r="T223" s="18">
        <f t="shared" si="115"/>
        <v>3.9685897230863903E-6</v>
      </c>
      <c r="U223" s="18">
        <f t="shared" si="117"/>
        <v>1.8336231437713131E-2</v>
      </c>
      <c r="V223" s="18">
        <f t="shared" si="118"/>
        <v>1.8115596848190696E-2</v>
      </c>
      <c r="W223" s="18">
        <f t="shared" si="119"/>
        <v>4.3607453021034482E-3</v>
      </c>
      <c r="X223" s="18">
        <f t="shared" si="120"/>
        <v>6.1205222588806756E-5</v>
      </c>
      <c r="Y223" s="18">
        <f t="shared" si="121"/>
        <v>2.9032050804397781E-2</v>
      </c>
      <c r="AA223" s="18">
        <f t="shared" si="103"/>
        <v>-9.6844741573317045E-2</v>
      </c>
      <c r="AB223" s="18">
        <f t="shared" si="104"/>
        <v>9.3789039704025631E-3</v>
      </c>
      <c r="AC223" s="18">
        <f t="shared" si="106"/>
        <v>6.189492046719992E-3</v>
      </c>
      <c r="AD223" s="18">
        <f t="shared" si="108"/>
        <v>4.5064046483619747E-3</v>
      </c>
      <c r="AE223" s="18">
        <f t="shared" si="110"/>
        <v>3.834886715286235E-2</v>
      </c>
      <c r="AF223" s="18">
        <f t="shared" si="112"/>
        <v>1.0455221762311737E-3</v>
      </c>
      <c r="AG223" s="18">
        <f t="shared" si="114"/>
        <v>2.9459176238450895E-2</v>
      </c>
      <c r="AH223" s="18">
        <f t="shared" si="116"/>
        <v>9.142210148849933E-4</v>
      </c>
      <c r="AJ223" s="18">
        <f>IF(ISNUMBER(Kernel!M223),Kernel!M223,"")</f>
        <v>-0.150189509874947</v>
      </c>
      <c r="AK223" s="18">
        <f t="shared" si="101"/>
        <v>2.2556888876476801E-2</v>
      </c>
      <c r="AN223" s="18">
        <f>IF(ISNUMBER(Volcanic!G223),Volcanic!G223,"")</f>
        <v>5.0000000000000001E-3</v>
      </c>
    </row>
    <row r="224" spans="1:40">
      <c r="A224" s="18" t="str">
        <f>IF(Volcanic!A224="","",Volcanic!A224)</f>
        <v>9/1976</v>
      </c>
      <c r="B224" s="18">
        <f>IF(ISNUMBER(Volcanic!L224),Volcanic!L224,"")</f>
        <v>1976.7083333333333</v>
      </c>
      <c r="C224" s="18">
        <f>IF(ISNUMBER(Volcanic!J224),Volcanic!J224,"")</f>
        <v>-0.12202976334489844</v>
      </c>
      <c r="D224" s="18">
        <f t="shared" si="94"/>
        <v>1.489126314201192E-2</v>
      </c>
      <c r="E224" s="18">
        <f>IF(ISNUMBER(Volcanic!C224),Volcanic!C224,"")</f>
        <v>0.23248534247418692</v>
      </c>
      <c r="F224" s="18">
        <f>IF(ISNUMBER(Volcanic!D224),Volcanic!D224,"")</f>
        <v>0</v>
      </c>
      <c r="G224" s="18">
        <f>IF(ISNUMBER(Volcanic!E224),Volcanic!E224,"")</f>
        <v>5.3499999999999997E-3</v>
      </c>
      <c r="H224" s="18">
        <f t="shared" si="95"/>
        <v>5.4049434465339982E-2</v>
      </c>
      <c r="I224" s="18">
        <f t="shared" si="96"/>
        <v>0</v>
      </c>
      <c r="J224" s="18">
        <f t="shared" si="97"/>
        <v>2.8622499999999996E-5</v>
      </c>
      <c r="K224" s="18">
        <f t="shared" si="98"/>
        <v>0</v>
      </c>
      <c r="L224" s="18">
        <f t="shared" si="99"/>
        <v>1.2437965822368999E-3</v>
      </c>
      <c r="M224" s="18">
        <f t="shared" si="100"/>
        <v>0</v>
      </c>
      <c r="N224" s="18">
        <f t="shared" si="102"/>
        <v>3.3203834614101979E-2</v>
      </c>
      <c r="O224" s="18">
        <f t="shared" si="105"/>
        <v>2.8831116061204927E-2</v>
      </c>
      <c r="P224" s="18">
        <f t="shared" si="107"/>
        <v>3.2845109170746095E-2</v>
      </c>
      <c r="Q224" s="18">
        <f t="shared" si="109"/>
        <v>5.1498601332426154E-2</v>
      </c>
      <c r="R224" s="18">
        <f t="shared" si="111"/>
        <v>3.8269101723081935E-3</v>
      </c>
      <c r="S224" s="18">
        <f t="shared" si="113"/>
        <v>3.5097459773040476E-2</v>
      </c>
      <c r="T224" s="18">
        <f t="shared" si="115"/>
        <v>9.7579617314470736E-4</v>
      </c>
      <c r="U224" s="18">
        <f t="shared" si="117"/>
        <v>3.9685897230863903E-6</v>
      </c>
      <c r="V224" s="18">
        <f t="shared" si="118"/>
        <v>1.8336231437713131E-2</v>
      </c>
      <c r="W224" s="18">
        <f t="shared" si="119"/>
        <v>1.8115596848190696E-2</v>
      </c>
      <c r="X224" s="18">
        <f t="shared" si="120"/>
        <v>4.3607453021034482E-3</v>
      </c>
      <c r="Y224" s="18">
        <f t="shared" si="121"/>
        <v>6.1205222588806756E-5</v>
      </c>
      <c r="AA224" s="18">
        <f t="shared" si="103"/>
        <v>-3.0409544591167889E-2</v>
      </c>
      <c r="AB224" s="18">
        <f t="shared" si="104"/>
        <v>9.247404022422282E-4</v>
      </c>
      <c r="AC224" s="18">
        <f t="shared" si="106"/>
        <v>9.3789039704025631E-3</v>
      </c>
      <c r="AD224" s="18">
        <f t="shared" si="108"/>
        <v>6.189492046719992E-3</v>
      </c>
      <c r="AE224" s="18">
        <f t="shared" si="110"/>
        <v>4.5064046483619747E-3</v>
      </c>
      <c r="AF224" s="18">
        <f t="shared" si="112"/>
        <v>3.834886715286235E-2</v>
      </c>
      <c r="AG224" s="18">
        <f t="shared" si="114"/>
        <v>1.0455221762311737E-3</v>
      </c>
      <c r="AH224" s="18">
        <f t="shared" si="116"/>
        <v>2.9459176238450895E-2</v>
      </c>
      <c r="AJ224" s="18">
        <f>IF(ISNUMBER(Kernel!M224),Kernel!M224,"")</f>
        <v>-9.2407424697887888E-2</v>
      </c>
      <c r="AK224" s="18">
        <f t="shared" si="101"/>
        <v>8.539132139295821E-3</v>
      </c>
      <c r="AN224" s="18">
        <f>IF(ISNUMBER(Volcanic!G224),Volcanic!G224,"")</f>
        <v>4.9699999999999996E-3</v>
      </c>
    </row>
    <row r="225" spans="1:40">
      <c r="A225" s="18" t="str">
        <f>IF(Volcanic!A225="","",Volcanic!A225)</f>
        <v>10/1976</v>
      </c>
      <c r="B225" s="18">
        <f>IF(ISNUMBER(Volcanic!L225),Volcanic!L225,"")</f>
        <v>1976.7916666666667</v>
      </c>
      <c r="C225" s="18">
        <f>IF(ISNUMBER(Volcanic!J225),Volcanic!J225,"")</f>
        <v>-0.32061083502172794</v>
      </c>
      <c r="D225" s="18">
        <f t="shared" si="94"/>
        <v>0.10279130753332964</v>
      </c>
      <c r="E225" s="18">
        <f>IF(ISNUMBER(Volcanic!C225),Volcanic!C225,"")</f>
        <v>0.23143240844796537</v>
      </c>
      <c r="F225" s="18">
        <f>IF(ISNUMBER(Volcanic!D225),Volcanic!D225,"")</f>
        <v>0.23</v>
      </c>
      <c r="G225" s="18">
        <f>IF(ISNUMBER(Volcanic!E225),Volcanic!E225,"")</f>
        <v>5.3E-3</v>
      </c>
      <c r="H225" s="18">
        <f t="shared" si="95"/>
        <v>5.3560959680025867E-2</v>
      </c>
      <c r="I225" s="18">
        <f t="shared" si="96"/>
        <v>5.2900000000000003E-2</v>
      </c>
      <c r="J225" s="18">
        <f t="shared" si="97"/>
        <v>2.809E-5</v>
      </c>
      <c r="K225" s="18">
        <f t="shared" si="98"/>
        <v>5.3229453943032037E-2</v>
      </c>
      <c r="L225" s="18">
        <f t="shared" si="99"/>
        <v>1.2265917647742164E-3</v>
      </c>
      <c r="M225" s="18">
        <f t="shared" si="100"/>
        <v>1.219E-3</v>
      </c>
      <c r="N225" s="18">
        <f t="shared" si="102"/>
        <v>1.489126314201192E-2</v>
      </c>
      <c r="O225" s="18">
        <f t="shared" si="105"/>
        <v>3.3203834614101979E-2</v>
      </c>
      <c r="P225" s="18">
        <f t="shared" si="107"/>
        <v>2.8831116061204927E-2</v>
      </c>
      <c r="Q225" s="18">
        <f t="shared" si="109"/>
        <v>3.2845109170746095E-2</v>
      </c>
      <c r="R225" s="18">
        <f t="shared" si="111"/>
        <v>5.1498601332426154E-2</v>
      </c>
      <c r="S225" s="18">
        <f t="shared" si="113"/>
        <v>3.8269101723081935E-3</v>
      </c>
      <c r="T225" s="18">
        <f t="shared" si="115"/>
        <v>3.5097459773040476E-2</v>
      </c>
      <c r="U225" s="18">
        <f t="shared" si="117"/>
        <v>9.7579617314470736E-4</v>
      </c>
      <c r="V225" s="18">
        <f t="shared" si="118"/>
        <v>3.9685897230863903E-6</v>
      </c>
      <c r="W225" s="18">
        <f t="shared" si="119"/>
        <v>1.8336231437713131E-2</v>
      </c>
      <c r="X225" s="18">
        <f t="shared" si="120"/>
        <v>1.8115596848190696E-2</v>
      </c>
      <c r="Y225" s="18">
        <f t="shared" si="121"/>
        <v>4.3607453021034482E-3</v>
      </c>
      <c r="AA225" s="18">
        <f t="shared" si="103"/>
        <v>-0.2592539967284398</v>
      </c>
      <c r="AB225" s="18">
        <f t="shared" si="104"/>
        <v>6.7212634819669867E-2</v>
      </c>
      <c r="AC225" s="18">
        <f t="shared" si="106"/>
        <v>9.247404022422282E-4</v>
      </c>
      <c r="AD225" s="18">
        <f t="shared" si="108"/>
        <v>9.3789039704025631E-3</v>
      </c>
      <c r="AE225" s="18">
        <f t="shared" si="110"/>
        <v>6.189492046719992E-3</v>
      </c>
      <c r="AF225" s="18">
        <f t="shared" si="112"/>
        <v>4.5064046483619747E-3</v>
      </c>
      <c r="AG225" s="18">
        <f t="shared" si="114"/>
        <v>3.834886715286235E-2</v>
      </c>
      <c r="AH225" s="18">
        <f t="shared" si="116"/>
        <v>1.0455221762311737E-3</v>
      </c>
      <c r="AJ225" s="18">
        <f>IF(ISNUMBER(Kernel!M225),Kernel!M225,"")</f>
        <v>-0.29277665897189065</v>
      </c>
      <c r="AK225" s="18">
        <f t="shared" si="101"/>
        <v>8.5718172038742754E-2</v>
      </c>
      <c r="AN225" s="18">
        <f>IF(ISNUMBER(Volcanic!G225),Volcanic!G225,"")</f>
        <v>4.9699999999999996E-3</v>
      </c>
    </row>
    <row r="226" spans="1:40">
      <c r="A226" s="18" t="str">
        <f>IF(Volcanic!A226="","",Volcanic!A226)</f>
        <v>11/1976</v>
      </c>
      <c r="B226" s="18">
        <f>IF(ISNUMBER(Volcanic!L226),Volcanic!L226,"")</f>
        <v>1976.875</v>
      </c>
      <c r="C226" s="18">
        <f>IF(ISNUMBER(Volcanic!J226),Volcanic!J226,"")</f>
        <v>-0.17378346109112036</v>
      </c>
      <c r="D226" s="18">
        <f t="shared" si="94"/>
        <v>3.0200691348808945E-2</v>
      </c>
      <c r="E226" s="18">
        <f>IF(ISNUMBER(Volcanic!C226),Volcanic!C226,"")</f>
        <v>0.23773851628734363</v>
      </c>
      <c r="F226" s="18">
        <f>IF(ISNUMBER(Volcanic!D226),Volcanic!D226,"")</f>
        <v>0.4</v>
      </c>
      <c r="G226" s="18">
        <f>IF(ISNUMBER(Volcanic!E226),Volcanic!E226,"")</f>
        <v>5.2100000000000002E-3</v>
      </c>
      <c r="H226" s="18">
        <f t="shared" si="95"/>
        <v>5.6519602126507557E-2</v>
      </c>
      <c r="I226" s="18">
        <f t="shared" si="96"/>
        <v>0.16000000000000003</v>
      </c>
      <c r="J226" s="18">
        <f t="shared" si="97"/>
        <v>2.7144100000000003E-5</v>
      </c>
      <c r="K226" s="18">
        <f t="shared" si="98"/>
        <v>9.5095406514937461E-2</v>
      </c>
      <c r="L226" s="18">
        <f t="shared" si="99"/>
        <v>1.2386176698570605E-3</v>
      </c>
      <c r="M226" s="18">
        <f t="shared" si="100"/>
        <v>2.0840000000000003E-3</v>
      </c>
      <c r="N226" s="18">
        <f t="shared" si="102"/>
        <v>0.10279130753332964</v>
      </c>
      <c r="O226" s="18">
        <f t="shared" si="105"/>
        <v>1.489126314201192E-2</v>
      </c>
      <c r="P226" s="18">
        <f t="shared" si="107"/>
        <v>3.3203834614101979E-2</v>
      </c>
      <c r="Q226" s="18">
        <f t="shared" si="109"/>
        <v>2.8831116061204927E-2</v>
      </c>
      <c r="R226" s="18">
        <f t="shared" si="111"/>
        <v>3.2845109170746095E-2</v>
      </c>
      <c r="S226" s="18">
        <f t="shared" si="113"/>
        <v>5.1498601332426154E-2</v>
      </c>
      <c r="T226" s="18">
        <f t="shared" si="115"/>
        <v>3.8269101723081935E-3</v>
      </c>
      <c r="U226" s="18">
        <f t="shared" si="117"/>
        <v>3.5097459773040476E-2</v>
      </c>
      <c r="V226" s="18">
        <f t="shared" si="118"/>
        <v>9.7579617314470736E-4</v>
      </c>
      <c r="W226" s="18">
        <f t="shared" si="119"/>
        <v>3.9685897230863903E-6</v>
      </c>
      <c r="X226" s="18">
        <f t="shared" si="120"/>
        <v>1.8336231437713131E-2</v>
      </c>
      <c r="Y226" s="18">
        <f t="shared" si="121"/>
        <v>1.8115596848190696E-2</v>
      </c>
      <c r="AA226" s="18">
        <f t="shared" si="103"/>
        <v>-1.2579615239962871E-2</v>
      </c>
      <c r="AB226" s="18">
        <f t="shared" si="104"/>
        <v>1.5824671958550613E-4</v>
      </c>
      <c r="AC226" s="18">
        <f t="shared" si="106"/>
        <v>6.7212634819669867E-2</v>
      </c>
      <c r="AD226" s="18">
        <f t="shared" si="108"/>
        <v>9.247404022422282E-4</v>
      </c>
      <c r="AE226" s="18">
        <f t="shared" si="110"/>
        <v>9.3789039704025631E-3</v>
      </c>
      <c r="AF226" s="18">
        <f t="shared" si="112"/>
        <v>6.189492046719992E-3</v>
      </c>
      <c r="AG226" s="18">
        <f t="shared" si="114"/>
        <v>4.5064046483619747E-3</v>
      </c>
      <c r="AH226" s="18">
        <f t="shared" si="116"/>
        <v>3.834886715286235E-2</v>
      </c>
      <c r="AJ226" s="18">
        <f>IF(ISNUMBER(Kernel!M226),Kernel!M226,"")</f>
        <v>-0.1499567727931663</v>
      </c>
      <c r="AK226" s="18">
        <f t="shared" si="101"/>
        <v>2.2487033706541301E-2</v>
      </c>
      <c r="AN226" s="18">
        <f>IF(ISNUMBER(Volcanic!G226),Volcanic!G226,"")</f>
        <v>4.8199999999999996E-3</v>
      </c>
    </row>
    <row r="227" spans="1:40">
      <c r="A227" s="18" t="str">
        <f>IF(Volcanic!A227="","",Volcanic!A227)</f>
        <v>12/1976</v>
      </c>
      <c r="B227" s="18">
        <f>IF(ISNUMBER(Volcanic!L227),Volcanic!L227,"")</f>
        <v>1976.9583333333333</v>
      </c>
      <c r="C227" s="18">
        <f>IF(ISNUMBER(Volcanic!J227),Volcanic!J227,"")</f>
        <v>-3.9924405969493565E-2</v>
      </c>
      <c r="D227" s="18">
        <f t="shared" si="94"/>
        <v>1.5939581920169333E-3</v>
      </c>
      <c r="E227" s="18">
        <f>IF(ISNUMBER(Volcanic!C227),Volcanic!C227,"")</f>
        <v>0.24410419121562613</v>
      </c>
      <c r="F227" s="18">
        <f>IF(ISNUMBER(Volcanic!D227),Volcanic!D227,"")</f>
        <v>0.6</v>
      </c>
      <c r="G227" s="18">
        <f>IF(ISNUMBER(Volcanic!E227),Volcanic!E227,"")</f>
        <v>5.11E-3</v>
      </c>
      <c r="H227" s="18">
        <f t="shared" si="95"/>
        <v>5.958685616903496E-2</v>
      </c>
      <c r="I227" s="18">
        <f t="shared" si="96"/>
        <v>0.36</v>
      </c>
      <c r="J227" s="18">
        <f t="shared" si="97"/>
        <v>2.61121E-5</v>
      </c>
      <c r="K227" s="18">
        <f t="shared" si="98"/>
        <v>0.14646251472937566</v>
      </c>
      <c r="L227" s="18">
        <f t="shared" si="99"/>
        <v>1.2473724171118495E-3</v>
      </c>
      <c r="M227" s="18">
        <f t="shared" si="100"/>
        <v>3.0659999999999997E-3</v>
      </c>
      <c r="N227" s="18">
        <f t="shared" si="102"/>
        <v>3.0200691348808945E-2</v>
      </c>
      <c r="O227" s="18">
        <f t="shared" si="105"/>
        <v>0.10279130753332964</v>
      </c>
      <c r="P227" s="18">
        <f t="shared" si="107"/>
        <v>1.489126314201192E-2</v>
      </c>
      <c r="Q227" s="18">
        <f t="shared" si="109"/>
        <v>3.3203834614101979E-2</v>
      </c>
      <c r="R227" s="18">
        <f t="shared" si="111"/>
        <v>2.8831116061204927E-2</v>
      </c>
      <c r="S227" s="18">
        <f t="shared" si="113"/>
        <v>3.2845109170746095E-2</v>
      </c>
      <c r="T227" s="18">
        <f t="shared" si="115"/>
        <v>5.1498601332426154E-2</v>
      </c>
      <c r="U227" s="18">
        <f t="shared" si="117"/>
        <v>3.8269101723081935E-3</v>
      </c>
      <c r="V227" s="18">
        <f t="shared" si="118"/>
        <v>3.5097459773040476E-2</v>
      </c>
      <c r="W227" s="18">
        <f t="shared" si="119"/>
        <v>9.7579617314470736E-4</v>
      </c>
      <c r="X227" s="18">
        <f t="shared" si="120"/>
        <v>3.9685897230863903E-6</v>
      </c>
      <c r="Y227" s="18">
        <f t="shared" si="121"/>
        <v>1.8336231437713131E-2</v>
      </c>
      <c r="AA227" s="18">
        <f t="shared" si="103"/>
        <v>4.7454307452075711E-2</v>
      </c>
      <c r="AB227" s="18">
        <f t="shared" si="104"/>
        <v>2.2519112957561285E-3</v>
      </c>
      <c r="AC227" s="18">
        <f t="shared" si="106"/>
        <v>1.5824671958550613E-4</v>
      </c>
      <c r="AD227" s="18">
        <f t="shared" si="108"/>
        <v>6.7212634819669867E-2</v>
      </c>
      <c r="AE227" s="18">
        <f t="shared" si="110"/>
        <v>9.247404022422282E-4</v>
      </c>
      <c r="AF227" s="18">
        <f t="shared" si="112"/>
        <v>9.3789039704025631E-3</v>
      </c>
      <c r="AG227" s="18">
        <f t="shared" si="114"/>
        <v>6.189492046719992E-3</v>
      </c>
      <c r="AH227" s="18">
        <f t="shared" si="116"/>
        <v>4.5064046483619747E-3</v>
      </c>
      <c r="AJ227" s="18">
        <f>IF(ISNUMBER(Kernel!M227),Kernel!M227,"")</f>
        <v>-1.4910674623683853E-2</v>
      </c>
      <c r="AK227" s="18">
        <f t="shared" si="101"/>
        <v>2.2232821773336963E-4</v>
      </c>
      <c r="AN227" s="18">
        <f>IF(ISNUMBER(Volcanic!G227),Volcanic!G227,"")</f>
        <v>4.64E-3</v>
      </c>
    </row>
    <row r="228" spans="1:40">
      <c r="A228" s="18" t="str">
        <f>IF(Volcanic!A228="","",Volcanic!A228)</f>
        <v>1/1977</v>
      </c>
      <c r="B228" s="18">
        <f>IF(ISNUMBER(Volcanic!L228),Volcanic!L228,"")</f>
        <v>1977.0416666666667</v>
      </c>
      <c r="C228" s="18">
        <f>IF(ISNUMBER(Volcanic!J228),Volcanic!J228,"")</f>
        <v>9.7331237976567841E-3</v>
      </c>
      <c r="D228" s="18">
        <f t="shared" si="94"/>
        <v>9.4733698860512825E-5</v>
      </c>
      <c r="E228" s="18">
        <f>IF(ISNUMBER(Volcanic!C228),Volcanic!C228,"")</f>
        <v>0.248708309960915</v>
      </c>
      <c r="F228" s="18">
        <f>IF(ISNUMBER(Volcanic!D228),Volcanic!D228,"")</f>
        <v>0.79</v>
      </c>
      <c r="G228" s="18">
        <f>IF(ISNUMBER(Volcanic!E228),Volcanic!E228,"")</f>
        <v>5.0400000000000002E-3</v>
      </c>
      <c r="H228" s="18">
        <f t="shared" si="95"/>
        <v>6.1855823443614573E-2</v>
      </c>
      <c r="I228" s="18">
        <f t="shared" si="96"/>
        <v>0.6241000000000001</v>
      </c>
      <c r="J228" s="18">
        <f t="shared" si="97"/>
        <v>2.5401600000000001E-5</v>
      </c>
      <c r="K228" s="18">
        <f t="shared" si="98"/>
        <v>0.19647956486912285</v>
      </c>
      <c r="L228" s="18">
        <f t="shared" si="99"/>
        <v>1.2534898822030116E-3</v>
      </c>
      <c r="M228" s="18">
        <f t="shared" si="100"/>
        <v>3.9816000000000001E-3</v>
      </c>
      <c r="N228" s="18">
        <f t="shared" si="102"/>
        <v>1.5939581920169333E-3</v>
      </c>
      <c r="O228" s="18">
        <f t="shared" si="105"/>
        <v>3.0200691348808945E-2</v>
      </c>
      <c r="P228" s="18">
        <f t="shared" si="107"/>
        <v>0.10279130753332964</v>
      </c>
      <c r="Q228" s="18">
        <f t="shared" si="109"/>
        <v>1.489126314201192E-2</v>
      </c>
      <c r="R228" s="18">
        <f t="shared" si="111"/>
        <v>3.3203834614101979E-2</v>
      </c>
      <c r="S228" s="18">
        <f t="shared" si="113"/>
        <v>2.8831116061204927E-2</v>
      </c>
      <c r="T228" s="18">
        <f t="shared" si="115"/>
        <v>3.2845109170746095E-2</v>
      </c>
      <c r="U228" s="18">
        <f t="shared" si="117"/>
        <v>5.1498601332426154E-2</v>
      </c>
      <c r="V228" s="18">
        <f t="shared" si="118"/>
        <v>3.8269101723081935E-3</v>
      </c>
      <c r="W228" s="18">
        <f t="shared" si="119"/>
        <v>3.5097459773040476E-2</v>
      </c>
      <c r="X228" s="18">
        <f t="shared" si="120"/>
        <v>9.7579617314470736E-4</v>
      </c>
      <c r="Y228" s="18">
        <f t="shared" si="121"/>
        <v>3.9685897230863903E-6</v>
      </c>
      <c r="AA228" s="18">
        <f t="shared" si="103"/>
        <v>2.9807204529111491E-2</v>
      </c>
      <c r="AB228" s="18">
        <f t="shared" si="104"/>
        <v>8.8846944184028454E-4</v>
      </c>
      <c r="AC228" s="18">
        <f t="shared" si="106"/>
        <v>2.2519112957561285E-3</v>
      </c>
      <c r="AD228" s="18">
        <f t="shared" si="108"/>
        <v>1.5824671958550613E-4</v>
      </c>
      <c r="AE228" s="18">
        <f t="shared" si="110"/>
        <v>6.7212634819669867E-2</v>
      </c>
      <c r="AF228" s="18">
        <f t="shared" si="112"/>
        <v>9.247404022422282E-4</v>
      </c>
      <c r="AG228" s="18">
        <f t="shared" si="114"/>
        <v>9.3789039704025631E-3</v>
      </c>
      <c r="AH228" s="18">
        <f t="shared" si="116"/>
        <v>6.189492046719992E-3</v>
      </c>
      <c r="AJ228" s="18">
        <f>IF(ISNUMBER(Kernel!M228),Kernel!M228,"")</f>
        <v>4.0388261981964046E-2</v>
      </c>
      <c r="AK228" s="18">
        <f t="shared" si="101"/>
        <v>1.6312117059237624E-3</v>
      </c>
      <c r="AN228" s="18">
        <f>IF(ISNUMBER(Volcanic!G228),Volcanic!G228,"")</f>
        <v>4.4799999999999996E-3</v>
      </c>
    </row>
    <row r="229" spans="1:40">
      <c r="A229" s="18" t="str">
        <f>IF(Volcanic!A229="","",Volcanic!A229)</f>
        <v>2/1977</v>
      </c>
      <c r="B229" s="18">
        <f>IF(ISNUMBER(Volcanic!L229),Volcanic!L229,"")</f>
        <v>1977.125</v>
      </c>
      <c r="C229" s="18">
        <f>IF(ISNUMBER(Volcanic!J229),Volcanic!J229,"")</f>
        <v>4.2019897139767781E-2</v>
      </c>
      <c r="D229" s="18">
        <f t="shared" si="94"/>
        <v>1.7656717556366645E-3</v>
      </c>
      <c r="E229" s="18">
        <f>IF(ISNUMBER(Volcanic!C229),Volcanic!C229,"")</f>
        <v>0.25083167317379135</v>
      </c>
      <c r="F229" s="18">
        <f>IF(ISNUMBER(Volcanic!D229),Volcanic!D229,"")</f>
        <v>0.81</v>
      </c>
      <c r="G229" s="18">
        <f>IF(ISNUMBER(Volcanic!E229),Volcanic!E229,"")</f>
        <v>5.0099999999999997E-3</v>
      </c>
      <c r="H229" s="18">
        <f t="shared" si="95"/>
        <v>6.2916528267163679E-2</v>
      </c>
      <c r="I229" s="18">
        <f t="shared" si="96"/>
        <v>0.65610000000000013</v>
      </c>
      <c r="J229" s="18">
        <f t="shared" si="97"/>
        <v>2.5100099999999997E-5</v>
      </c>
      <c r="K229" s="18">
        <f t="shared" si="98"/>
        <v>0.203173655270771</v>
      </c>
      <c r="L229" s="18">
        <f t="shared" si="99"/>
        <v>1.2566666826006945E-3</v>
      </c>
      <c r="M229" s="18">
        <f t="shared" si="100"/>
        <v>4.0581000000000002E-3</v>
      </c>
      <c r="N229" s="18">
        <f t="shared" si="102"/>
        <v>9.4733698860512825E-5</v>
      </c>
      <c r="O229" s="18">
        <f t="shared" si="105"/>
        <v>1.5939581920169333E-3</v>
      </c>
      <c r="P229" s="18">
        <f t="shared" si="107"/>
        <v>3.0200691348808945E-2</v>
      </c>
      <c r="Q229" s="18">
        <f t="shared" si="109"/>
        <v>0.10279130753332964</v>
      </c>
      <c r="R229" s="18">
        <f t="shared" si="111"/>
        <v>1.489126314201192E-2</v>
      </c>
      <c r="S229" s="18">
        <f t="shared" si="113"/>
        <v>3.3203834614101979E-2</v>
      </c>
      <c r="T229" s="18">
        <f t="shared" si="115"/>
        <v>2.8831116061204927E-2</v>
      </c>
      <c r="U229" s="18">
        <f t="shared" si="117"/>
        <v>3.2845109170746095E-2</v>
      </c>
      <c r="V229" s="18">
        <f t="shared" si="118"/>
        <v>5.1498601332426154E-2</v>
      </c>
      <c r="W229" s="18">
        <f t="shared" si="119"/>
        <v>3.8269101723081935E-3</v>
      </c>
      <c r="X229" s="18">
        <f t="shared" si="120"/>
        <v>3.5097459773040476E-2</v>
      </c>
      <c r="Y229" s="18">
        <f t="shared" si="121"/>
        <v>9.7579617314470736E-4</v>
      </c>
      <c r="AA229" s="18">
        <f t="shared" si="103"/>
        <v>3.712606069714923E-2</v>
      </c>
      <c r="AB229" s="18">
        <f t="shared" si="104"/>
        <v>1.3783443828884088E-3</v>
      </c>
      <c r="AC229" s="18">
        <f t="shared" si="106"/>
        <v>8.8846944184028454E-4</v>
      </c>
      <c r="AD229" s="18">
        <f t="shared" si="108"/>
        <v>2.2519112957561285E-3</v>
      </c>
      <c r="AE229" s="18">
        <f t="shared" si="110"/>
        <v>1.5824671958550613E-4</v>
      </c>
      <c r="AF229" s="18">
        <f t="shared" si="112"/>
        <v>6.7212634819669867E-2</v>
      </c>
      <c r="AG229" s="18">
        <f t="shared" si="114"/>
        <v>9.247404022422282E-4</v>
      </c>
      <c r="AH229" s="18">
        <f t="shared" si="116"/>
        <v>9.3789039704025631E-3</v>
      </c>
      <c r="AJ229" s="18">
        <f>IF(ISNUMBER(Kernel!M229),Kernel!M229,"")</f>
        <v>6.5300953246720223E-2</v>
      </c>
      <c r="AK229" s="18">
        <f t="shared" si="101"/>
        <v>4.2642144949303403E-3</v>
      </c>
      <c r="AN229" s="18">
        <f>IF(ISNUMBER(Volcanic!G229),Volcanic!G229,"")</f>
        <v>4.3E-3</v>
      </c>
    </row>
    <row r="230" spans="1:40">
      <c r="A230" s="18" t="str">
        <f>IF(Volcanic!A230="","",Volcanic!A230)</f>
        <v>3/1977</v>
      </c>
      <c r="B230" s="18">
        <f>IF(ISNUMBER(Volcanic!L230),Volcanic!L230,"")</f>
        <v>1977.2083333333333</v>
      </c>
      <c r="C230" s="18">
        <f>IF(ISNUMBER(Volcanic!J230),Volcanic!J230,"")</f>
        <v>2.8130160558071826E-2</v>
      </c>
      <c r="D230" s="18">
        <f t="shared" si="94"/>
        <v>7.9130593302289979E-4</v>
      </c>
      <c r="E230" s="18">
        <f>IF(ISNUMBER(Volcanic!C230),Volcanic!C230,"")</f>
        <v>0.25856199602061081</v>
      </c>
      <c r="F230" s="18">
        <f>IF(ISNUMBER(Volcanic!D230),Volcanic!D230,"")</f>
        <v>0.84</v>
      </c>
      <c r="G230" s="18">
        <f>IF(ISNUMBER(Volcanic!E230),Volcanic!E230,"")</f>
        <v>5.0000000000000001E-3</v>
      </c>
      <c r="H230" s="18">
        <f t="shared" si="95"/>
        <v>6.685430578616236E-2</v>
      </c>
      <c r="I230" s="18">
        <f t="shared" si="96"/>
        <v>0.70559999999999989</v>
      </c>
      <c r="J230" s="18">
        <f t="shared" si="97"/>
        <v>2.5000000000000001E-5</v>
      </c>
      <c r="K230" s="18">
        <f t="shared" si="98"/>
        <v>0.21719207665731308</v>
      </c>
      <c r="L230" s="18">
        <f t="shared" si="99"/>
        <v>1.2928099801030541E-3</v>
      </c>
      <c r="M230" s="18">
        <f t="shared" si="100"/>
        <v>4.1999999999999997E-3</v>
      </c>
      <c r="N230" s="18">
        <f t="shared" si="102"/>
        <v>1.7656717556366645E-3</v>
      </c>
      <c r="O230" s="18">
        <f t="shared" si="105"/>
        <v>9.4733698860512825E-5</v>
      </c>
      <c r="P230" s="18">
        <f t="shared" si="107"/>
        <v>1.5939581920169333E-3</v>
      </c>
      <c r="Q230" s="18">
        <f t="shared" si="109"/>
        <v>3.0200691348808945E-2</v>
      </c>
      <c r="R230" s="18">
        <f t="shared" si="111"/>
        <v>0.10279130753332964</v>
      </c>
      <c r="S230" s="18">
        <f t="shared" si="113"/>
        <v>1.489126314201192E-2</v>
      </c>
      <c r="T230" s="18">
        <f t="shared" si="115"/>
        <v>3.3203834614101979E-2</v>
      </c>
      <c r="U230" s="18">
        <f t="shared" si="117"/>
        <v>2.8831116061204927E-2</v>
      </c>
      <c r="V230" s="18">
        <f t="shared" si="118"/>
        <v>3.2845109170746095E-2</v>
      </c>
      <c r="W230" s="18">
        <f t="shared" si="119"/>
        <v>5.1498601332426154E-2</v>
      </c>
      <c r="X230" s="18">
        <f t="shared" si="120"/>
        <v>3.8269101723081935E-3</v>
      </c>
      <c r="Y230" s="18">
        <f t="shared" si="121"/>
        <v>3.5097459773040476E-2</v>
      </c>
      <c r="AA230" s="18">
        <f t="shared" si="103"/>
        <v>7.0024621733882353E-3</v>
      </c>
      <c r="AB230" s="18">
        <f t="shared" si="104"/>
        <v>4.9034476489733085E-5</v>
      </c>
      <c r="AC230" s="18">
        <f t="shared" si="106"/>
        <v>1.3783443828884088E-3</v>
      </c>
      <c r="AD230" s="18">
        <f t="shared" si="108"/>
        <v>8.8846944184028454E-4</v>
      </c>
      <c r="AE230" s="18">
        <f t="shared" si="110"/>
        <v>2.2519112957561285E-3</v>
      </c>
      <c r="AF230" s="18">
        <f t="shared" si="112"/>
        <v>1.5824671958550613E-4</v>
      </c>
      <c r="AG230" s="18">
        <f t="shared" si="114"/>
        <v>6.7212634819669867E-2</v>
      </c>
      <c r="AH230" s="18">
        <f t="shared" si="116"/>
        <v>9.247404022422282E-4</v>
      </c>
      <c r="AJ230" s="18">
        <f>IF(ISNUMBER(Kernel!M230),Kernel!M230,"")</f>
        <v>5.3595774122213835E-2</v>
      </c>
      <c r="AK230" s="18">
        <f t="shared" si="101"/>
        <v>2.8725070037593664E-3</v>
      </c>
      <c r="AN230" s="18">
        <f>IF(ISNUMBER(Volcanic!G230),Volcanic!G230,"")</f>
        <v>4.1999999999999997E-3</v>
      </c>
    </row>
    <row r="231" spans="1:40">
      <c r="A231" s="18" t="str">
        <f>IF(Volcanic!A231="","",Volcanic!A231)</f>
        <v>4/1977</v>
      </c>
      <c r="B231" s="18">
        <f>IF(ISNUMBER(Volcanic!L231),Volcanic!L231,"")</f>
        <v>1977.2916666666667</v>
      </c>
      <c r="C231" s="18">
        <f>IF(ISNUMBER(Volcanic!J231),Volcanic!J231,"")</f>
        <v>4.6290158967374706E-2</v>
      </c>
      <c r="D231" s="18">
        <f t="shared" si="94"/>
        <v>2.1427788172248209E-3</v>
      </c>
      <c r="E231" s="18">
        <f>IF(ISNUMBER(Volcanic!C231),Volcanic!C231,"")</f>
        <v>0.26363540356832926</v>
      </c>
      <c r="F231" s="18">
        <f>IF(ISNUMBER(Volcanic!D231),Volcanic!D231,"")</f>
        <v>0.71</v>
      </c>
      <c r="G231" s="18">
        <f>IF(ISNUMBER(Volcanic!E231),Volcanic!E231,"")</f>
        <v>4.9699999999999996E-3</v>
      </c>
      <c r="H231" s="18">
        <f t="shared" si="95"/>
        <v>6.9503626014635833E-2</v>
      </c>
      <c r="I231" s="18">
        <f t="shared" si="96"/>
        <v>0.50409999999999999</v>
      </c>
      <c r="J231" s="18">
        <f t="shared" si="97"/>
        <v>2.4700899999999996E-5</v>
      </c>
      <c r="K231" s="18">
        <f t="shared" si="98"/>
        <v>0.18718113653351376</v>
      </c>
      <c r="L231" s="18">
        <f t="shared" si="99"/>
        <v>1.3102679557345962E-3</v>
      </c>
      <c r="M231" s="18">
        <f t="shared" si="100"/>
        <v>3.5286999999999996E-3</v>
      </c>
      <c r="N231" s="18">
        <f t="shared" si="102"/>
        <v>7.9130593302289979E-4</v>
      </c>
      <c r="O231" s="18">
        <f t="shared" si="105"/>
        <v>1.7656717556366645E-3</v>
      </c>
      <c r="P231" s="18">
        <f t="shared" si="107"/>
        <v>9.4733698860512825E-5</v>
      </c>
      <c r="Q231" s="18">
        <f t="shared" si="109"/>
        <v>1.5939581920169333E-3</v>
      </c>
      <c r="R231" s="18">
        <f t="shared" si="111"/>
        <v>3.0200691348808945E-2</v>
      </c>
      <c r="S231" s="18">
        <f t="shared" si="113"/>
        <v>0.10279130753332964</v>
      </c>
      <c r="T231" s="18">
        <f t="shared" si="115"/>
        <v>1.489126314201192E-2</v>
      </c>
      <c r="U231" s="18">
        <f t="shared" si="117"/>
        <v>3.3203834614101979E-2</v>
      </c>
      <c r="V231" s="18">
        <f t="shared" si="118"/>
        <v>2.8831116061204927E-2</v>
      </c>
      <c r="W231" s="18">
        <f t="shared" si="119"/>
        <v>3.2845109170746095E-2</v>
      </c>
      <c r="X231" s="18">
        <f t="shared" si="120"/>
        <v>5.1498601332426154E-2</v>
      </c>
      <c r="Y231" s="18">
        <f t="shared" si="121"/>
        <v>3.8269101723081935E-3</v>
      </c>
      <c r="AA231" s="18">
        <f t="shared" si="103"/>
        <v>3.2146251241784572E-2</v>
      </c>
      <c r="AB231" s="18">
        <f t="shared" si="104"/>
        <v>1.0333814688999361E-3</v>
      </c>
      <c r="AC231" s="18">
        <f t="shared" si="106"/>
        <v>4.9034476489733085E-5</v>
      </c>
      <c r="AD231" s="18">
        <f t="shared" si="108"/>
        <v>1.3783443828884088E-3</v>
      </c>
      <c r="AE231" s="18">
        <f t="shared" si="110"/>
        <v>8.8846944184028454E-4</v>
      </c>
      <c r="AF231" s="18">
        <f t="shared" si="112"/>
        <v>2.2519112957561285E-3</v>
      </c>
      <c r="AG231" s="18">
        <f t="shared" si="114"/>
        <v>1.5824671958550613E-4</v>
      </c>
      <c r="AH231" s="18">
        <f t="shared" si="116"/>
        <v>6.7212634819669867E-2</v>
      </c>
      <c r="AJ231" s="18">
        <f>IF(ISNUMBER(Kernel!M231),Kernel!M231,"")</f>
        <v>6.069858282400048E-2</v>
      </c>
      <c r="AK231" s="18">
        <f t="shared" si="101"/>
        <v>3.684317956842046E-3</v>
      </c>
      <c r="AN231" s="18">
        <f>IF(ISNUMBER(Volcanic!G231),Volcanic!G231,"")</f>
        <v>4.1900000000000001E-3</v>
      </c>
    </row>
    <row r="232" spans="1:40">
      <c r="A232" s="18" t="str">
        <f>IF(Volcanic!A232="","",Volcanic!A232)</f>
        <v>5/1977</v>
      </c>
      <c r="B232" s="18">
        <f>IF(ISNUMBER(Volcanic!L232),Volcanic!L232,"")</f>
        <v>1977.375</v>
      </c>
      <c r="C232" s="18">
        <f>IF(ISNUMBER(Volcanic!J232),Volcanic!J232,"")</f>
        <v>0.1116930457557091</v>
      </c>
      <c r="D232" s="18">
        <f t="shared" si="94"/>
        <v>1.2475336470186926E-2</v>
      </c>
      <c r="E232" s="18">
        <f>IF(ISNUMBER(Volcanic!C232),Volcanic!C232,"")</f>
        <v>0.26702206351656388</v>
      </c>
      <c r="F232" s="18">
        <f>IF(ISNUMBER(Volcanic!D232),Volcanic!D232,"")</f>
        <v>0.66</v>
      </c>
      <c r="G232" s="18">
        <f>IF(ISNUMBER(Volcanic!E232),Volcanic!E232,"")</f>
        <v>4.9699999999999996E-3</v>
      </c>
      <c r="H232" s="18">
        <f t="shared" si="95"/>
        <v>7.1300782404643881E-2</v>
      </c>
      <c r="I232" s="18">
        <f t="shared" si="96"/>
        <v>0.43560000000000004</v>
      </c>
      <c r="J232" s="18">
        <f t="shared" si="97"/>
        <v>2.4700899999999996E-5</v>
      </c>
      <c r="K232" s="18">
        <f t="shared" si="98"/>
        <v>0.17623456192093218</v>
      </c>
      <c r="L232" s="18">
        <f t="shared" si="99"/>
        <v>1.3270996556773223E-3</v>
      </c>
      <c r="M232" s="18">
        <f t="shared" si="100"/>
        <v>3.2802E-3</v>
      </c>
      <c r="N232" s="18">
        <f t="shared" si="102"/>
        <v>2.1427788172248209E-3</v>
      </c>
      <c r="O232" s="18">
        <f t="shared" si="105"/>
        <v>7.9130593302289979E-4</v>
      </c>
      <c r="P232" s="18">
        <f t="shared" si="107"/>
        <v>1.7656717556366645E-3</v>
      </c>
      <c r="Q232" s="18">
        <f t="shared" si="109"/>
        <v>9.4733698860512825E-5</v>
      </c>
      <c r="R232" s="18">
        <f t="shared" si="111"/>
        <v>1.5939581920169333E-3</v>
      </c>
      <c r="S232" s="18">
        <f t="shared" si="113"/>
        <v>3.0200691348808945E-2</v>
      </c>
      <c r="T232" s="18">
        <f t="shared" si="115"/>
        <v>0.10279130753332964</v>
      </c>
      <c r="U232" s="18">
        <f t="shared" si="117"/>
        <v>1.489126314201192E-2</v>
      </c>
      <c r="V232" s="18">
        <f t="shared" si="118"/>
        <v>3.3203834614101979E-2</v>
      </c>
      <c r="W232" s="18">
        <f t="shared" si="119"/>
        <v>2.8831116061204927E-2</v>
      </c>
      <c r="X232" s="18">
        <f t="shared" si="120"/>
        <v>3.2845109170746095E-2</v>
      </c>
      <c r="Y232" s="18">
        <f t="shared" si="121"/>
        <v>5.1498601332426154E-2</v>
      </c>
      <c r="AA232" s="18">
        <f t="shared" si="103"/>
        <v>8.8418250160929732E-2</v>
      </c>
      <c r="AB232" s="18">
        <f t="shared" si="104"/>
        <v>7.8177869615207504E-3</v>
      </c>
      <c r="AC232" s="18">
        <f t="shared" si="106"/>
        <v>1.0333814688999361E-3</v>
      </c>
      <c r="AD232" s="18">
        <f t="shared" si="108"/>
        <v>4.9034476489733085E-5</v>
      </c>
      <c r="AE232" s="18">
        <f t="shared" si="110"/>
        <v>1.3783443828884088E-3</v>
      </c>
      <c r="AF232" s="18">
        <f t="shared" si="112"/>
        <v>8.8846944184028454E-4</v>
      </c>
      <c r="AG232" s="18">
        <f t="shared" si="114"/>
        <v>2.2519112957561285E-3</v>
      </c>
      <c r="AH232" s="18">
        <f t="shared" si="116"/>
        <v>1.5824671958550613E-4</v>
      </c>
      <c r="AJ232" s="18">
        <f>IF(ISNUMBER(Kernel!M232),Kernel!M232,"")</f>
        <v>0.12222917866344246</v>
      </c>
      <c r="AK232" s="18">
        <f t="shared" si="101"/>
        <v>1.4939972116739739E-2</v>
      </c>
      <c r="AN232" s="18">
        <f>IF(ISNUMBER(Volcanic!G232),Volcanic!G232,"")</f>
        <v>4.2100000000000002E-3</v>
      </c>
    </row>
    <row r="233" spans="1:40">
      <c r="A233" s="18" t="str">
        <f>IF(Volcanic!A233="","",Volcanic!A233)</f>
        <v>6/1977</v>
      </c>
      <c r="B233" s="18">
        <f>IF(ISNUMBER(Volcanic!L233),Volcanic!L233,"")</f>
        <v>1977.4583333333333</v>
      </c>
      <c r="C233" s="18">
        <f>IF(ISNUMBER(Volcanic!J233),Volcanic!J233,"")</f>
        <v>9.0871048696060719E-2</v>
      </c>
      <c r="D233" s="18">
        <f t="shared" si="94"/>
        <v>8.2575474911218381E-3</v>
      </c>
      <c r="E233" s="18">
        <f>IF(ISNUMBER(Volcanic!C233),Volcanic!C233,"")</f>
        <v>0.26376415623080784</v>
      </c>
      <c r="F233" s="18">
        <f>IF(ISNUMBER(Volcanic!D233),Volcanic!D233,"")</f>
        <v>0.33</v>
      </c>
      <c r="G233" s="18">
        <f>IF(ISNUMBER(Volcanic!E233),Volcanic!E233,"")</f>
        <v>4.8199999999999996E-3</v>
      </c>
      <c r="H233" s="18">
        <f t="shared" si="95"/>
        <v>6.9571530112150004E-2</v>
      </c>
      <c r="I233" s="18">
        <f t="shared" si="96"/>
        <v>0.10890000000000001</v>
      </c>
      <c r="J233" s="18">
        <f t="shared" si="97"/>
        <v>2.3232399999999998E-5</v>
      </c>
      <c r="K233" s="18">
        <f t="shared" si="98"/>
        <v>8.7042171556166587E-2</v>
      </c>
      <c r="L233" s="18">
        <f t="shared" si="99"/>
        <v>1.2713432330324938E-3</v>
      </c>
      <c r="M233" s="18">
        <f t="shared" si="100"/>
        <v>1.5906E-3</v>
      </c>
      <c r="N233" s="18">
        <f t="shared" si="102"/>
        <v>1.2475336470186926E-2</v>
      </c>
      <c r="O233" s="18">
        <f t="shared" si="105"/>
        <v>2.1427788172248209E-3</v>
      </c>
      <c r="P233" s="18">
        <f t="shared" si="107"/>
        <v>7.9130593302289979E-4</v>
      </c>
      <c r="Q233" s="18">
        <f t="shared" si="109"/>
        <v>1.7656717556366645E-3</v>
      </c>
      <c r="R233" s="18">
        <f t="shared" si="111"/>
        <v>9.4733698860512825E-5</v>
      </c>
      <c r="S233" s="18">
        <f t="shared" si="113"/>
        <v>1.5939581920169333E-3</v>
      </c>
      <c r="T233" s="18">
        <f t="shared" si="115"/>
        <v>3.0200691348808945E-2</v>
      </c>
      <c r="U233" s="18">
        <f t="shared" si="117"/>
        <v>0.10279130753332964</v>
      </c>
      <c r="V233" s="18">
        <f t="shared" si="118"/>
        <v>1.489126314201192E-2</v>
      </c>
      <c r="W233" s="18">
        <f t="shared" si="119"/>
        <v>3.3203834614101979E-2</v>
      </c>
      <c r="X233" s="18">
        <f t="shared" si="120"/>
        <v>2.8831116061204927E-2</v>
      </c>
      <c r="Y233" s="18">
        <f t="shared" si="121"/>
        <v>3.2845109170746095E-2</v>
      </c>
      <c r="AA233" s="18">
        <f t="shared" si="103"/>
        <v>3.4711535155511224E-2</v>
      </c>
      <c r="AB233" s="18">
        <f t="shared" si="104"/>
        <v>1.2048906728522916E-3</v>
      </c>
      <c r="AC233" s="18">
        <f t="shared" si="106"/>
        <v>7.8177869615207504E-3</v>
      </c>
      <c r="AD233" s="18">
        <f t="shared" si="108"/>
        <v>1.0333814688999361E-3</v>
      </c>
      <c r="AE233" s="18">
        <f t="shared" si="110"/>
        <v>4.9034476489733085E-5</v>
      </c>
      <c r="AF233" s="18">
        <f t="shared" si="112"/>
        <v>1.3783443828884088E-3</v>
      </c>
      <c r="AG233" s="18">
        <f t="shared" si="114"/>
        <v>8.8846944184028454E-4</v>
      </c>
      <c r="AH233" s="18">
        <f t="shared" si="116"/>
        <v>2.2519112957561285E-3</v>
      </c>
      <c r="AJ233" s="18">
        <f>IF(ISNUMBER(Kernel!M233),Kernel!M233,"")</f>
        <v>6.7291478780246328E-2</v>
      </c>
      <c r="AK233" s="18">
        <f t="shared" si="101"/>
        <v>4.5281431164323422E-3</v>
      </c>
      <c r="AN233" s="18">
        <f>IF(ISNUMBER(Volcanic!G233),Volcanic!G233,"")</f>
        <v>4.2599999999999999E-3</v>
      </c>
    </row>
    <row r="234" spans="1:40">
      <c r="A234" s="18" t="str">
        <f>IF(Volcanic!A234="","",Volcanic!A234)</f>
        <v>7/1977</v>
      </c>
      <c r="B234" s="18">
        <f>IF(ISNUMBER(Volcanic!L234),Volcanic!L234,"")</f>
        <v>1977.5416666666667</v>
      </c>
      <c r="C234" s="18">
        <f>IF(ISNUMBER(Volcanic!J234),Volcanic!J234,"")</f>
        <v>4.19815330538654E-2</v>
      </c>
      <c r="D234" s="18">
        <f t="shared" si="94"/>
        <v>1.7624491175527932E-3</v>
      </c>
      <c r="E234" s="18">
        <f>IF(ISNUMBER(Volcanic!C234),Volcanic!C234,"")</f>
        <v>0.25826046984839379</v>
      </c>
      <c r="F234" s="18">
        <f>IF(ISNUMBER(Volcanic!D234),Volcanic!D234,"")</f>
        <v>0.26</v>
      </c>
      <c r="G234" s="18">
        <f>IF(ISNUMBER(Volcanic!E234),Volcanic!E234,"")</f>
        <v>4.64E-3</v>
      </c>
      <c r="H234" s="18">
        <f t="shared" si="95"/>
        <v>6.6698470286313122E-2</v>
      </c>
      <c r="I234" s="18">
        <f t="shared" si="96"/>
        <v>6.7600000000000007E-2</v>
      </c>
      <c r="J234" s="18">
        <f t="shared" si="97"/>
        <v>2.1529600000000001E-5</v>
      </c>
      <c r="K234" s="18">
        <f t="shared" si="98"/>
        <v>6.7147722160582388E-2</v>
      </c>
      <c r="L234" s="18">
        <f t="shared" si="99"/>
        <v>1.1983285800965472E-3</v>
      </c>
      <c r="M234" s="18">
        <f t="shared" si="100"/>
        <v>1.2064000000000001E-3</v>
      </c>
      <c r="N234" s="18">
        <f t="shared" si="102"/>
        <v>8.2575474911218381E-3</v>
      </c>
      <c r="O234" s="18">
        <f t="shared" si="105"/>
        <v>1.2475336470186926E-2</v>
      </c>
      <c r="P234" s="18">
        <f t="shared" si="107"/>
        <v>2.1427788172248209E-3</v>
      </c>
      <c r="Q234" s="18">
        <f t="shared" si="109"/>
        <v>7.9130593302289979E-4</v>
      </c>
      <c r="R234" s="18">
        <f t="shared" si="111"/>
        <v>1.7656717556366645E-3</v>
      </c>
      <c r="S234" s="18">
        <f t="shared" si="113"/>
        <v>9.4733698860512825E-5</v>
      </c>
      <c r="T234" s="18">
        <f t="shared" si="115"/>
        <v>1.5939581920169333E-3</v>
      </c>
      <c r="U234" s="18">
        <f t="shared" si="117"/>
        <v>3.0200691348808945E-2</v>
      </c>
      <c r="V234" s="18">
        <f t="shared" si="118"/>
        <v>0.10279130753332964</v>
      </c>
      <c r="W234" s="18">
        <f t="shared" si="119"/>
        <v>1.489126314201192E-2</v>
      </c>
      <c r="X234" s="18">
        <f t="shared" si="120"/>
        <v>3.3203834614101979E-2</v>
      </c>
      <c r="Y234" s="18">
        <f t="shared" si="121"/>
        <v>2.8831116061204927E-2</v>
      </c>
      <c r="AA234" s="18">
        <f t="shared" si="103"/>
        <v>-3.7086337346027634E-3</v>
      </c>
      <c r="AB234" s="18">
        <f t="shared" si="104"/>
        <v>1.375396417743364E-5</v>
      </c>
      <c r="AC234" s="18">
        <f t="shared" si="106"/>
        <v>1.2048906728522916E-3</v>
      </c>
      <c r="AD234" s="18">
        <f t="shared" si="108"/>
        <v>7.8177869615207504E-3</v>
      </c>
      <c r="AE234" s="18">
        <f t="shared" si="110"/>
        <v>1.0333814688999361E-3</v>
      </c>
      <c r="AF234" s="18">
        <f t="shared" si="112"/>
        <v>4.9034476489733085E-5</v>
      </c>
      <c r="AG234" s="18">
        <f t="shared" si="114"/>
        <v>1.3783443828884088E-3</v>
      </c>
      <c r="AH234" s="18">
        <f t="shared" si="116"/>
        <v>8.8846944184028454E-4</v>
      </c>
      <c r="AJ234" s="18">
        <f>IF(ISNUMBER(Kernel!M234),Kernel!M234,"")</f>
        <v>1.052552320910935E-2</v>
      </c>
      <c r="AK234" s="18">
        <f t="shared" si="101"/>
        <v>1.1078663882549959E-4</v>
      </c>
      <c r="AN234" s="18">
        <f>IF(ISNUMBER(Volcanic!G234),Volcanic!G234,"")</f>
        <v>4.3200000000000001E-3</v>
      </c>
    </row>
    <row r="235" spans="1:40">
      <c r="A235" s="18" t="str">
        <f>IF(Volcanic!A235="","",Volcanic!A235)</f>
        <v>8/1977</v>
      </c>
      <c r="B235" s="18">
        <f>IF(ISNUMBER(Volcanic!L235),Volcanic!L235,"")</f>
        <v>1977.625</v>
      </c>
      <c r="C235" s="18">
        <f>IF(ISNUMBER(Volcanic!J235),Volcanic!J235,"")</f>
        <v>4.9101866464945132E-2</v>
      </c>
      <c r="D235" s="18">
        <f t="shared" si="94"/>
        <v>2.4109932903413032E-3</v>
      </c>
      <c r="E235" s="18">
        <f>IF(ISNUMBER(Volcanic!C235),Volcanic!C235,"")</f>
        <v>0.2481878259046813</v>
      </c>
      <c r="F235" s="18">
        <f>IF(ISNUMBER(Volcanic!D235),Volcanic!D235,"")</f>
        <v>0.26</v>
      </c>
      <c r="G235" s="18">
        <f>IF(ISNUMBER(Volcanic!E235),Volcanic!E235,"")</f>
        <v>4.4799999999999996E-3</v>
      </c>
      <c r="H235" s="18">
        <f t="shared" si="95"/>
        <v>6.1597196927292396E-2</v>
      </c>
      <c r="I235" s="18">
        <f t="shared" si="96"/>
        <v>6.7600000000000007E-2</v>
      </c>
      <c r="J235" s="18">
        <f t="shared" si="97"/>
        <v>2.0070399999999997E-5</v>
      </c>
      <c r="K235" s="18">
        <f t="shared" si="98"/>
        <v>6.4528834735217144E-2</v>
      </c>
      <c r="L235" s="18">
        <f t="shared" si="99"/>
        <v>1.1118814600529722E-3</v>
      </c>
      <c r="M235" s="18">
        <f t="shared" si="100"/>
        <v>1.1647999999999999E-3</v>
      </c>
      <c r="N235" s="18">
        <f t="shared" si="102"/>
        <v>1.7624491175527932E-3</v>
      </c>
      <c r="O235" s="18">
        <f t="shared" si="105"/>
        <v>8.2575474911218381E-3</v>
      </c>
      <c r="P235" s="18">
        <f t="shared" si="107"/>
        <v>1.2475336470186926E-2</v>
      </c>
      <c r="Q235" s="18">
        <f t="shared" si="109"/>
        <v>2.1427788172248209E-3</v>
      </c>
      <c r="R235" s="18">
        <f t="shared" si="111"/>
        <v>7.9130593302289979E-4</v>
      </c>
      <c r="S235" s="18">
        <f t="shared" si="113"/>
        <v>1.7656717556366645E-3</v>
      </c>
      <c r="T235" s="18">
        <f t="shared" si="115"/>
        <v>9.4733698860512825E-5</v>
      </c>
      <c r="U235" s="18">
        <f t="shared" si="117"/>
        <v>1.5939581920169333E-3</v>
      </c>
      <c r="V235" s="18">
        <f t="shared" si="118"/>
        <v>3.0200691348808945E-2</v>
      </c>
      <c r="W235" s="18">
        <f t="shared" si="119"/>
        <v>0.10279130753332964</v>
      </c>
      <c r="X235" s="18">
        <f t="shared" si="120"/>
        <v>1.489126314201192E-2</v>
      </c>
      <c r="Y235" s="18">
        <f t="shared" si="121"/>
        <v>3.3203834614101979E-2</v>
      </c>
      <c r="AA235" s="18">
        <f t="shared" si="103"/>
        <v>2.7993457628568943E-2</v>
      </c>
      <c r="AB235" s="18">
        <f t="shared" si="104"/>
        <v>7.8363367000248475E-4</v>
      </c>
      <c r="AC235" s="18">
        <f t="shared" si="106"/>
        <v>1.375396417743364E-5</v>
      </c>
      <c r="AD235" s="18">
        <f t="shared" si="108"/>
        <v>1.2048906728522916E-3</v>
      </c>
      <c r="AE235" s="18">
        <f t="shared" si="110"/>
        <v>7.8177869615207504E-3</v>
      </c>
      <c r="AF235" s="18">
        <f t="shared" si="112"/>
        <v>1.0333814688999361E-3</v>
      </c>
      <c r="AG235" s="18">
        <f t="shared" si="114"/>
        <v>4.9034476489733085E-5</v>
      </c>
      <c r="AH235" s="18">
        <f t="shared" si="116"/>
        <v>1.3783443828884088E-3</v>
      </c>
      <c r="AJ235" s="18">
        <f>IF(ISNUMBER(Kernel!M235),Kernel!M235,"")</f>
        <v>1.7251535305362053E-2</v>
      </c>
      <c r="AK235" s="18">
        <f t="shared" si="101"/>
        <v>2.9761547039215339E-4</v>
      </c>
      <c r="AN235" s="18">
        <f>IF(ISNUMBER(Volcanic!G235),Volcanic!G235,"")</f>
        <v>4.4099999999999999E-3</v>
      </c>
    </row>
    <row r="236" spans="1:40">
      <c r="A236" s="18" t="str">
        <f>IF(Volcanic!A236="","",Volcanic!A236)</f>
        <v>9/1977</v>
      </c>
      <c r="B236" s="18">
        <f>IF(ISNUMBER(Volcanic!L236),Volcanic!L236,"")</f>
        <v>1977.7083333333333</v>
      </c>
      <c r="C236" s="18">
        <f>IF(ISNUMBER(Volcanic!J236),Volcanic!J236,"")</f>
        <v>-0.11479781792700974</v>
      </c>
      <c r="D236" s="18">
        <f t="shared" si="94"/>
        <v>1.317853900080288E-2</v>
      </c>
      <c r="E236" s="18">
        <f>IF(ISNUMBER(Volcanic!C236),Volcanic!C236,"")</f>
        <v>0.24266782910668239</v>
      </c>
      <c r="F236" s="18">
        <f>IF(ISNUMBER(Volcanic!D236),Volcanic!D236,"")</f>
        <v>0.46</v>
      </c>
      <c r="G236" s="18">
        <f>IF(ISNUMBER(Volcanic!E236),Volcanic!E236,"")</f>
        <v>4.3E-3</v>
      </c>
      <c r="H236" s="18">
        <f t="shared" si="95"/>
        <v>5.8887675283350011E-2</v>
      </c>
      <c r="I236" s="18">
        <f t="shared" si="96"/>
        <v>0.21160000000000001</v>
      </c>
      <c r="J236" s="18">
        <f t="shared" si="97"/>
        <v>1.8490000000000001E-5</v>
      </c>
      <c r="K236" s="18">
        <f t="shared" si="98"/>
        <v>0.11162720138907391</v>
      </c>
      <c r="L236" s="18">
        <f t="shared" si="99"/>
        <v>1.0434716651587343E-3</v>
      </c>
      <c r="M236" s="18">
        <f t="shared" si="100"/>
        <v>1.9780000000000002E-3</v>
      </c>
      <c r="N236" s="18">
        <f t="shared" si="102"/>
        <v>2.4109932903413032E-3</v>
      </c>
      <c r="O236" s="18">
        <f t="shared" si="105"/>
        <v>1.7624491175527932E-3</v>
      </c>
      <c r="P236" s="18">
        <f t="shared" si="107"/>
        <v>8.2575474911218381E-3</v>
      </c>
      <c r="Q236" s="18">
        <f t="shared" si="109"/>
        <v>1.2475336470186926E-2</v>
      </c>
      <c r="R236" s="18">
        <f t="shared" si="111"/>
        <v>2.1427788172248209E-3</v>
      </c>
      <c r="S236" s="18">
        <f t="shared" si="113"/>
        <v>7.9130593302289979E-4</v>
      </c>
      <c r="T236" s="18">
        <f t="shared" si="115"/>
        <v>1.7656717556366645E-3</v>
      </c>
      <c r="U236" s="18">
        <f t="shared" si="117"/>
        <v>9.4733698860512825E-5</v>
      </c>
      <c r="V236" s="18">
        <f t="shared" si="118"/>
        <v>1.5939581920169333E-3</v>
      </c>
      <c r="W236" s="18">
        <f t="shared" si="119"/>
        <v>3.0200691348808945E-2</v>
      </c>
      <c r="X236" s="18">
        <f t="shared" si="120"/>
        <v>0.10279130753332964</v>
      </c>
      <c r="Y236" s="18">
        <f t="shared" si="121"/>
        <v>1.489126314201192E-2</v>
      </c>
      <c r="AA236" s="18">
        <f t="shared" si="103"/>
        <v>-0.13948634634833618</v>
      </c>
      <c r="AB236" s="18">
        <f t="shared" si="104"/>
        <v>1.9456440817607997E-2</v>
      </c>
      <c r="AC236" s="18">
        <f t="shared" si="106"/>
        <v>7.8363367000248475E-4</v>
      </c>
      <c r="AD236" s="18">
        <f t="shared" si="108"/>
        <v>1.375396417743364E-5</v>
      </c>
      <c r="AE236" s="18">
        <f t="shared" si="110"/>
        <v>1.2048906728522916E-3</v>
      </c>
      <c r="AF236" s="18">
        <f t="shared" si="112"/>
        <v>7.8177869615207504E-3</v>
      </c>
      <c r="AG236" s="18">
        <f t="shared" si="114"/>
        <v>1.0333814688999361E-3</v>
      </c>
      <c r="AH236" s="18">
        <f t="shared" si="116"/>
        <v>4.9034476489733085E-5</v>
      </c>
      <c r="AJ236" s="18">
        <f>IF(ISNUMBER(Kernel!M236),Kernel!M236,"")</f>
        <v>-0.13041019593972786</v>
      </c>
      <c r="AK236" s="18">
        <f t="shared" si="101"/>
        <v>1.7006819205038212E-2</v>
      </c>
      <c r="AN236" s="18">
        <f>IF(ISNUMBER(Volcanic!G236),Volcanic!G236,"")</f>
        <v>4.47E-3</v>
      </c>
    </row>
    <row r="237" spans="1:40">
      <c r="A237" s="18" t="str">
        <f>IF(Volcanic!A237="","",Volcanic!A237)</f>
        <v>10/1977</v>
      </c>
      <c r="B237" s="18">
        <f>IF(ISNUMBER(Volcanic!L237),Volcanic!L237,"")</f>
        <v>1977.7916666666667</v>
      </c>
      <c r="C237" s="18">
        <f>IF(ISNUMBER(Volcanic!J237),Volcanic!J237,"")</f>
        <v>-9.8403426876185862E-2</v>
      </c>
      <c r="D237" s="18">
        <f t="shared" si="94"/>
        <v>9.6832344209768582E-3</v>
      </c>
      <c r="E237" s="18">
        <f>IF(ISNUMBER(Volcanic!C237),Volcanic!C237,"")</f>
        <v>0.24262428065018715</v>
      </c>
      <c r="F237" s="18">
        <f>IF(ISNUMBER(Volcanic!D237),Volcanic!D237,"")</f>
        <v>0.39</v>
      </c>
      <c r="G237" s="18">
        <f>IF(ISNUMBER(Volcanic!E237),Volcanic!E237,"")</f>
        <v>4.1999999999999997E-3</v>
      </c>
      <c r="H237" s="18">
        <f t="shared" si="95"/>
        <v>5.886654156102078E-2</v>
      </c>
      <c r="I237" s="18">
        <f t="shared" si="96"/>
        <v>0.15210000000000001</v>
      </c>
      <c r="J237" s="18">
        <f t="shared" si="97"/>
        <v>1.7639999999999997E-5</v>
      </c>
      <c r="K237" s="18">
        <f t="shared" si="98"/>
        <v>9.4623469453572986E-2</v>
      </c>
      <c r="L237" s="18">
        <f t="shared" si="99"/>
        <v>1.019021978730786E-3</v>
      </c>
      <c r="M237" s="18">
        <f t="shared" si="100"/>
        <v>1.6379999999999999E-3</v>
      </c>
      <c r="N237" s="18">
        <f t="shared" si="102"/>
        <v>1.317853900080288E-2</v>
      </c>
      <c r="O237" s="18">
        <f t="shared" si="105"/>
        <v>2.4109932903413032E-3</v>
      </c>
      <c r="P237" s="18">
        <f t="shared" si="107"/>
        <v>1.7624491175527932E-3</v>
      </c>
      <c r="Q237" s="18">
        <f t="shared" si="109"/>
        <v>8.2575474911218381E-3</v>
      </c>
      <c r="R237" s="18">
        <f t="shared" si="111"/>
        <v>1.2475336470186926E-2</v>
      </c>
      <c r="S237" s="18">
        <f t="shared" si="113"/>
        <v>2.1427788172248209E-3</v>
      </c>
      <c r="T237" s="18">
        <f t="shared" si="115"/>
        <v>7.9130593302289979E-4</v>
      </c>
      <c r="U237" s="18">
        <f t="shared" si="117"/>
        <v>1.7656717556366645E-3</v>
      </c>
      <c r="V237" s="18">
        <f t="shared" si="118"/>
        <v>9.4733698860512825E-5</v>
      </c>
      <c r="W237" s="18">
        <f t="shared" si="119"/>
        <v>1.5939581920169333E-3</v>
      </c>
      <c r="X237" s="18">
        <f t="shared" si="120"/>
        <v>3.0200691348808945E-2</v>
      </c>
      <c r="Y237" s="18">
        <f t="shared" si="121"/>
        <v>0.10279130753332964</v>
      </c>
      <c r="AA237" s="18">
        <f t="shared" si="103"/>
        <v>-4.068282693482464E-2</v>
      </c>
      <c r="AB237" s="18">
        <f t="shared" si="104"/>
        <v>1.6550924074088932E-3</v>
      </c>
      <c r="AC237" s="18">
        <f t="shared" si="106"/>
        <v>1.9456440817607997E-2</v>
      </c>
      <c r="AD237" s="18">
        <f t="shared" si="108"/>
        <v>7.8363367000248475E-4</v>
      </c>
      <c r="AE237" s="18">
        <f t="shared" si="110"/>
        <v>1.375396417743364E-5</v>
      </c>
      <c r="AF237" s="18">
        <f t="shared" si="112"/>
        <v>1.2048906728522916E-3</v>
      </c>
      <c r="AG237" s="18">
        <f t="shared" si="114"/>
        <v>7.8177869615207504E-3</v>
      </c>
      <c r="AH237" s="18">
        <f t="shared" si="116"/>
        <v>1.0333814688999361E-3</v>
      </c>
      <c r="AJ237" s="18">
        <f>IF(ISNUMBER(Kernel!M237),Kernel!M237,"")</f>
        <v>-0.12745379959121861</v>
      </c>
      <c r="AK237" s="18">
        <f t="shared" si="101"/>
        <v>1.6244471030238516E-2</v>
      </c>
      <c r="AN237" s="18">
        <f>IF(ISNUMBER(Volcanic!G237),Volcanic!G237,"")</f>
        <v>4.5300000000000002E-3</v>
      </c>
    </row>
    <row r="238" spans="1:40">
      <c r="A238" s="18" t="str">
        <f>IF(Volcanic!A238="","",Volcanic!A238)</f>
        <v>11/1977</v>
      </c>
      <c r="B238" s="18">
        <f>IF(ISNUMBER(Volcanic!L238),Volcanic!L238,"")</f>
        <v>1977.875</v>
      </c>
      <c r="C238" s="18">
        <f>IF(ISNUMBER(Volcanic!J238),Volcanic!J238,"")</f>
        <v>2.1295588997423232E-2</v>
      </c>
      <c r="D238" s="18">
        <f t="shared" si="94"/>
        <v>4.5350211074717342E-4</v>
      </c>
      <c r="E238" s="18">
        <f>IF(ISNUMBER(Volcanic!C238),Volcanic!C238,"")</f>
        <v>0.24775394570505929</v>
      </c>
      <c r="F238" s="18">
        <f>IF(ISNUMBER(Volcanic!D238),Volcanic!D238,"")</f>
        <v>0.35</v>
      </c>
      <c r="G238" s="18">
        <f>IF(ISNUMBER(Volcanic!E238),Volcanic!E238,"")</f>
        <v>4.1900000000000001E-3</v>
      </c>
      <c r="H238" s="18">
        <f t="shared" si="95"/>
        <v>6.1382017612425469E-2</v>
      </c>
      <c r="I238" s="18">
        <f t="shared" si="96"/>
        <v>0.12249999999999998</v>
      </c>
      <c r="J238" s="18">
        <f t="shared" si="97"/>
        <v>1.7556100000000003E-5</v>
      </c>
      <c r="K238" s="18">
        <f t="shared" si="98"/>
        <v>8.6713880996770742E-2</v>
      </c>
      <c r="L238" s="18">
        <f t="shared" si="99"/>
        <v>1.0380890325041984E-3</v>
      </c>
      <c r="M238" s="18">
        <f t="shared" si="100"/>
        <v>1.4664999999999999E-3</v>
      </c>
      <c r="N238" s="18">
        <f t="shared" si="102"/>
        <v>9.6832344209768582E-3</v>
      </c>
      <c r="O238" s="18">
        <f t="shared" si="105"/>
        <v>1.317853900080288E-2</v>
      </c>
      <c r="P238" s="18">
        <f t="shared" si="107"/>
        <v>2.4109932903413032E-3</v>
      </c>
      <c r="Q238" s="18">
        <f t="shared" si="109"/>
        <v>1.7624491175527932E-3</v>
      </c>
      <c r="R238" s="18">
        <f t="shared" si="111"/>
        <v>8.2575474911218381E-3</v>
      </c>
      <c r="S238" s="18">
        <f t="shared" si="113"/>
        <v>1.2475336470186926E-2</v>
      </c>
      <c r="T238" s="18">
        <f t="shared" si="115"/>
        <v>2.1427788172248209E-3</v>
      </c>
      <c r="U238" s="18">
        <f t="shared" si="117"/>
        <v>7.9130593302289979E-4</v>
      </c>
      <c r="V238" s="18">
        <f t="shared" si="118"/>
        <v>1.7656717556366645E-3</v>
      </c>
      <c r="W238" s="18">
        <f t="shared" si="119"/>
        <v>9.4733698860512825E-5</v>
      </c>
      <c r="X238" s="18">
        <f t="shared" si="120"/>
        <v>1.5939581920169333E-3</v>
      </c>
      <c r="Y238" s="18">
        <f t="shared" si="121"/>
        <v>3.0200691348808945E-2</v>
      </c>
      <c r="AA238" s="18">
        <f t="shared" si="103"/>
        <v>7.0773052403484582E-2</v>
      </c>
      <c r="AB238" s="18">
        <f t="shared" si="104"/>
        <v>5.0088249465063744E-3</v>
      </c>
      <c r="AC238" s="18">
        <f t="shared" si="106"/>
        <v>1.6550924074088932E-3</v>
      </c>
      <c r="AD238" s="18">
        <f t="shared" si="108"/>
        <v>1.9456440817607997E-2</v>
      </c>
      <c r="AE238" s="18">
        <f t="shared" si="110"/>
        <v>7.8363367000248475E-4</v>
      </c>
      <c r="AF238" s="18">
        <f t="shared" si="112"/>
        <v>1.375396417743364E-5</v>
      </c>
      <c r="AG238" s="18">
        <f t="shared" si="114"/>
        <v>1.2048906728522916E-3</v>
      </c>
      <c r="AH238" s="18">
        <f t="shared" si="116"/>
        <v>7.8177869615207504E-3</v>
      </c>
      <c r="AJ238" s="18">
        <f>IF(ISNUMBER(Kernel!M238),Kernel!M238,"")</f>
        <v>-2.0879986743619267E-2</v>
      </c>
      <c r="AK238" s="18">
        <f t="shared" si="101"/>
        <v>4.3597384641371628E-4</v>
      </c>
      <c r="AN238" s="18">
        <f>IF(ISNUMBER(Volcanic!G238),Volcanic!G238,"")</f>
        <v>4.4400000000000004E-3</v>
      </c>
    </row>
    <row r="239" spans="1:40">
      <c r="A239" s="18" t="str">
        <f>IF(Volcanic!A239="","",Volcanic!A239)</f>
        <v>12/1977</v>
      </c>
      <c r="B239" s="18">
        <f>IF(ISNUMBER(Volcanic!L239),Volcanic!L239,"")</f>
        <v>1977.9583333333333</v>
      </c>
      <c r="C239" s="18">
        <f>IF(ISNUMBER(Volcanic!J239),Volcanic!J239,"")</f>
        <v>-0.13140934160677964</v>
      </c>
      <c r="D239" s="18">
        <f t="shared" si="94"/>
        <v>1.7268415061527306E-2</v>
      </c>
      <c r="E239" s="18">
        <f>IF(ISNUMBER(Volcanic!C239),Volcanic!C239,"")</f>
        <v>0.25269246161233488</v>
      </c>
      <c r="F239" s="18">
        <f>IF(ISNUMBER(Volcanic!D239),Volcanic!D239,"")</f>
        <v>0.45</v>
      </c>
      <c r="G239" s="18">
        <f>IF(ISNUMBER(Volcanic!E239),Volcanic!E239,"")</f>
        <v>4.2100000000000002E-3</v>
      </c>
      <c r="H239" s="18">
        <f t="shared" si="95"/>
        <v>6.3853480155701345E-2</v>
      </c>
      <c r="I239" s="18">
        <f t="shared" si="96"/>
        <v>0.20250000000000001</v>
      </c>
      <c r="J239" s="18">
        <f t="shared" si="97"/>
        <v>1.7724100000000002E-5</v>
      </c>
      <c r="K239" s="18">
        <f t="shared" si="98"/>
        <v>0.1137116077255507</v>
      </c>
      <c r="L239" s="18">
        <f t="shared" si="99"/>
        <v>1.0638352633879299E-3</v>
      </c>
      <c r="M239" s="18">
        <f t="shared" si="100"/>
        <v>1.8945000000000001E-3</v>
      </c>
      <c r="N239" s="18">
        <f t="shared" si="102"/>
        <v>4.5350211074717342E-4</v>
      </c>
      <c r="O239" s="18">
        <f t="shared" si="105"/>
        <v>9.6832344209768582E-3</v>
      </c>
      <c r="P239" s="18">
        <f t="shared" si="107"/>
        <v>1.317853900080288E-2</v>
      </c>
      <c r="Q239" s="18">
        <f t="shared" si="109"/>
        <v>2.4109932903413032E-3</v>
      </c>
      <c r="R239" s="18">
        <f t="shared" si="111"/>
        <v>1.7624491175527932E-3</v>
      </c>
      <c r="S239" s="18">
        <f t="shared" si="113"/>
        <v>8.2575474911218381E-3</v>
      </c>
      <c r="T239" s="18">
        <f t="shared" si="115"/>
        <v>1.2475336470186926E-2</v>
      </c>
      <c r="U239" s="18">
        <f t="shared" si="117"/>
        <v>2.1427788172248209E-3</v>
      </c>
      <c r="V239" s="18">
        <f t="shared" si="118"/>
        <v>7.9130593302289979E-4</v>
      </c>
      <c r="W239" s="18">
        <f t="shared" si="119"/>
        <v>1.7656717556366645E-3</v>
      </c>
      <c r="X239" s="18">
        <f t="shared" si="120"/>
        <v>9.4733698860512825E-5</v>
      </c>
      <c r="Y239" s="18">
        <f t="shared" si="121"/>
        <v>1.5939581920169333E-3</v>
      </c>
      <c r="AA239" s="18">
        <f t="shared" si="103"/>
        <v>-0.14211681144577484</v>
      </c>
      <c r="AB239" s="18">
        <f t="shared" si="104"/>
        <v>2.0197188095513921E-2</v>
      </c>
      <c r="AC239" s="18">
        <f t="shared" si="106"/>
        <v>5.0088249465063744E-3</v>
      </c>
      <c r="AD239" s="18">
        <f t="shared" si="108"/>
        <v>1.6550924074088932E-3</v>
      </c>
      <c r="AE239" s="18">
        <f t="shared" si="110"/>
        <v>1.9456440817607997E-2</v>
      </c>
      <c r="AF239" s="18">
        <f t="shared" si="112"/>
        <v>7.8363367000248475E-4</v>
      </c>
      <c r="AG239" s="18">
        <f t="shared" si="114"/>
        <v>1.375396417743364E-5</v>
      </c>
      <c r="AH239" s="18">
        <f t="shared" si="116"/>
        <v>1.2048906728522916E-3</v>
      </c>
      <c r="AJ239" s="18">
        <f>IF(ISNUMBER(Kernel!M239),Kernel!M239,"")</f>
        <v>-0.1719253095877154</v>
      </c>
      <c r="AK239" s="18">
        <f t="shared" si="101"/>
        <v>2.9558312076831787E-2</v>
      </c>
      <c r="AN239" s="18">
        <f>IF(ISNUMBER(Volcanic!G239),Volcanic!G239,"")</f>
        <v>4.3200000000000001E-3</v>
      </c>
    </row>
    <row r="240" spans="1:40">
      <c r="A240" s="18" t="str">
        <f>IF(Volcanic!A240="","",Volcanic!A240)</f>
        <v>1/1978</v>
      </c>
      <c r="B240" s="18">
        <f>IF(ISNUMBER(Volcanic!L240),Volcanic!L240,"")</f>
        <v>1978.0416666666667</v>
      </c>
      <c r="C240" s="18">
        <f>IF(ISNUMBER(Volcanic!J240),Volcanic!J240,"")</f>
        <v>-0.13841594650500594</v>
      </c>
      <c r="D240" s="18">
        <f t="shared" si="94"/>
        <v>1.9158974246876667E-2</v>
      </c>
      <c r="E240" s="18">
        <f>IF(ISNUMBER(Volcanic!C240),Volcanic!C240,"")</f>
        <v>0.25847585211606888</v>
      </c>
      <c r="F240" s="18">
        <f>IF(ISNUMBER(Volcanic!D240),Volcanic!D240,"")</f>
        <v>0.68</v>
      </c>
      <c r="G240" s="18">
        <f>IF(ISNUMBER(Volcanic!E240),Volcanic!E240,"")</f>
        <v>4.2599999999999999E-3</v>
      </c>
      <c r="H240" s="18">
        <f t="shared" si="95"/>
        <v>6.6809766127127912E-2</v>
      </c>
      <c r="I240" s="18">
        <f t="shared" si="96"/>
        <v>0.46240000000000009</v>
      </c>
      <c r="J240" s="18">
        <f t="shared" si="97"/>
        <v>1.8147599999999999E-5</v>
      </c>
      <c r="K240" s="18">
        <f t="shared" si="98"/>
        <v>0.17576357943892684</v>
      </c>
      <c r="L240" s="18">
        <f t="shared" si="99"/>
        <v>1.1011071300144535E-3</v>
      </c>
      <c r="M240" s="18">
        <f t="shared" si="100"/>
        <v>2.8968000000000002E-3</v>
      </c>
      <c r="N240" s="18">
        <f t="shared" si="102"/>
        <v>1.7268415061527306E-2</v>
      </c>
      <c r="O240" s="18">
        <f t="shared" si="105"/>
        <v>4.5350211074717342E-4</v>
      </c>
      <c r="P240" s="18">
        <f t="shared" si="107"/>
        <v>9.6832344209768582E-3</v>
      </c>
      <c r="Q240" s="18">
        <f t="shared" si="109"/>
        <v>1.317853900080288E-2</v>
      </c>
      <c r="R240" s="18">
        <f t="shared" si="111"/>
        <v>2.4109932903413032E-3</v>
      </c>
      <c r="S240" s="18">
        <f t="shared" si="113"/>
        <v>1.7624491175527932E-3</v>
      </c>
      <c r="T240" s="18">
        <f t="shared" si="115"/>
        <v>8.2575474911218381E-3</v>
      </c>
      <c r="U240" s="18">
        <f t="shared" si="117"/>
        <v>1.2475336470186926E-2</v>
      </c>
      <c r="V240" s="18">
        <f t="shared" si="118"/>
        <v>2.1427788172248209E-3</v>
      </c>
      <c r="W240" s="18">
        <f t="shared" si="119"/>
        <v>7.9130593302289979E-4</v>
      </c>
      <c r="X240" s="18">
        <f t="shared" si="120"/>
        <v>1.7656717556366645E-3</v>
      </c>
      <c r="Y240" s="18">
        <f t="shared" si="121"/>
        <v>9.4733698860512825E-5</v>
      </c>
      <c r="AA240" s="18">
        <f t="shared" si="103"/>
        <v>-7.2343035256246135E-2</v>
      </c>
      <c r="AB240" s="18">
        <f t="shared" si="104"/>
        <v>5.2335147500864711E-3</v>
      </c>
      <c r="AC240" s="18">
        <f t="shared" si="106"/>
        <v>2.0197188095513921E-2</v>
      </c>
      <c r="AD240" s="18">
        <f t="shared" si="108"/>
        <v>5.0088249465063744E-3</v>
      </c>
      <c r="AE240" s="18">
        <f t="shared" si="110"/>
        <v>1.6550924074088932E-3</v>
      </c>
      <c r="AF240" s="18">
        <f t="shared" si="112"/>
        <v>1.9456440817607997E-2</v>
      </c>
      <c r="AG240" s="18">
        <f t="shared" si="114"/>
        <v>7.8363367000248475E-4</v>
      </c>
      <c r="AH240" s="18">
        <f t="shared" si="116"/>
        <v>1.375396417743364E-5</v>
      </c>
      <c r="AJ240" s="18">
        <f>IF(ISNUMBER(Kernel!M240),Kernel!M240,"")</f>
        <v>-0.16172708491537449</v>
      </c>
      <c r="AK240" s="18">
        <f t="shared" si="101"/>
        <v>2.6155649995224753E-2</v>
      </c>
      <c r="AN240" s="18">
        <f>IF(ISNUMBER(Volcanic!G240),Volcanic!G240,"")</f>
        <v>4.2100000000000002E-3</v>
      </c>
    </row>
    <row r="241" spans="1:40">
      <c r="A241" s="18" t="str">
        <f>IF(Volcanic!A241="","",Volcanic!A241)</f>
        <v>2/1978</v>
      </c>
      <c r="B241" s="18">
        <f>IF(ISNUMBER(Volcanic!L241),Volcanic!L241,"")</f>
        <v>1978.125</v>
      </c>
      <c r="C241" s="18">
        <f>IF(ISNUMBER(Volcanic!J241),Volcanic!J241,"")</f>
        <v>-0.11688866324760588</v>
      </c>
      <c r="D241" s="18">
        <f t="shared" si="94"/>
        <v>1.3662959595812211E-2</v>
      </c>
      <c r="E241" s="18">
        <f>IF(ISNUMBER(Volcanic!C241),Volcanic!C241,"")</f>
        <v>0.25985353772683362</v>
      </c>
      <c r="F241" s="18">
        <f>IF(ISNUMBER(Volcanic!D241),Volcanic!D241,"")</f>
        <v>0.84</v>
      </c>
      <c r="G241" s="18">
        <f>IF(ISNUMBER(Volcanic!E241),Volcanic!E241,"")</f>
        <v>4.3200000000000001E-3</v>
      </c>
      <c r="H241" s="18">
        <f t="shared" si="95"/>
        <v>6.7523861069150939E-2</v>
      </c>
      <c r="I241" s="18">
        <f t="shared" si="96"/>
        <v>0.70559999999999989</v>
      </c>
      <c r="J241" s="18">
        <f t="shared" si="97"/>
        <v>1.8662399999999999E-5</v>
      </c>
      <c r="K241" s="18">
        <f t="shared" si="98"/>
        <v>0.21827697169054022</v>
      </c>
      <c r="L241" s="18">
        <f t="shared" si="99"/>
        <v>1.1225672829799213E-3</v>
      </c>
      <c r="M241" s="18">
        <f t="shared" si="100"/>
        <v>3.6287999999999997E-3</v>
      </c>
      <c r="N241" s="18">
        <f t="shared" si="102"/>
        <v>1.9158974246876667E-2</v>
      </c>
      <c r="O241" s="18">
        <f t="shared" si="105"/>
        <v>1.7268415061527306E-2</v>
      </c>
      <c r="P241" s="18">
        <f t="shared" si="107"/>
        <v>4.5350211074717342E-4</v>
      </c>
      <c r="Q241" s="18">
        <f t="shared" si="109"/>
        <v>9.6832344209768582E-3</v>
      </c>
      <c r="R241" s="18">
        <f t="shared" si="111"/>
        <v>1.317853900080288E-2</v>
      </c>
      <c r="S241" s="18">
        <f t="shared" si="113"/>
        <v>2.4109932903413032E-3</v>
      </c>
      <c r="T241" s="18">
        <f t="shared" si="115"/>
        <v>1.7624491175527932E-3</v>
      </c>
      <c r="U241" s="18">
        <f t="shared" si="117"/>
        <v>8.2575474911218381E-3</v>
      </c>
      <c r="V241" s="18">
        <f t="shared" si="118"/>
        <v>1.2475336470186926E-2</v>
      </c>
      <c r="W241" s="18">
        <f t="shared" si="119"/>
        <v>2.1427788172248209E-3</v>
      </c>
      <c r="X241" s="18">
        <f t="shared" si="120"/>
        <v>7.9130593302289979E-4</v>
      </c>
      <c r="Y241" s="18">
        <f t="shared" si="121"/>
        <v>1.7656717556366645E-3</v>
      </c>
      <c r="AA241" s="18">
        <f t="shared" si="103"/>
        <v>-4.7292815364851498E-2</v>
      </c>
      <c r="AB241" s="18">
        <f t="shared" si="104"/>
        <v>2.2366103851339338E-3</v>
      </c>
      <c r="AC241" s="18">
        <f t="shared" si="106"/>
        <v>5.2335147500864711E-3</v>
      </c>
      <c r="AD241" s="18">
        <f t="shared" si="108"/>
        <v>2.0197188095513921E-2</v>
      </c>
      <c r="AE241" s="18">
        <f t="shared" si="110"/>
        <v>5.0088249465063744E-3</v>
      </c>
      <c r="AF241" s="18">
        <f t="shared" si="112"/>
        <v>1.6550924074088932E-3</v>
      </c>
      <c r="AG241" s="18">
        <f t="shared" si="114"/>
        <v>1.9456440817607997E-2</v>
      </c>
      <c r="AH241" s="18">
        <f t="shared" si="116"/>
        <v>7.8363367000248475E-4</v>
      </c>
      <c r="AJ241" s="18">
        <f>IF(ISNUMBER(Kernel!M241),Kernel!M241,"")</f>
        <v>-0.1249051849414537</v>
      </c>
      <c r="AK241" s="18">
        <f t="shared" si="101"/>
        <v>1.560130522525875E-2</v>
      </c>
      <c r="AN241" s="18">
        <f>IF(ISNUMBER(Volcanic!G241),Volcanic!G241,"")</f>
        <v>4.0699999999999998E-3</v>
      </c>
    </row>
    <row r="242" spans="1:40">
      <c r="A242" s="18" t="str">
        <f>IF(Volcanic!A242="","",Volcanic!A242)</f>
        <v>3/1978</v>
      </c>
      <c r="B242" s="18">
        <f>IF(ISNUMBER(Volcanic!L242),Volcanic!L242,"")</f>
        <v>1978.2083333333333</v>
      </c>
      <c r="C242" s="18">
        <f>IF(ISNUMBER(Volcanic!J242),Volcanic!J242,"")</f>
        <v>-4.1231889466127436E-2</v>
      </c>
      <c r="D242" s="18">
        <f t="shared" si="94"/>
        <v>1.7000687089469505E-3</v>
      </c>
      <c r="E242" s="18">
        <f>IF(ISNUMBER(Volcanic!C242),Volcanic!C242,"")</f>
        <v>0.26586549147154565</v>
      </c>
      <c r="F242" s="18">
        <f>IF(ISNUMBER(Volcanic!D242),Volcanic!D242,"")</f>
        <v>0.82</v>
      </c>
      <c r="G242" s="18">
        <f>IF(ISNUMBER(Volcanic!E242),Volcanic!E242,"")</f>
        <v>4.4099999999999999E-3</v>
      </c>
      <c r="H242" s="18">
        <f t="shared" si="95"/>
        <v>7.0684459555406504E-2</v>
      </c>
      <c r="I242" s="18">
        <f t="shared" si="96"/>
        <v>0.67239999999999989</v>
      </c>
      <c r="J242" s="18">
        <f t="shared" si="97"/>
        <v>1.9448099999999998E-5</v>
      </c>
      <c r="K242" s="18">
        <f t="shared" si="98"/>
        <v>0.21800970300666742</v>
      </c>
      <c r="L242" s="18">
        <f t="shared" si="99"/>
        <v>1.1724668173895164E-3</v>
      </c>
      <c r="M242" s="18">
        <f t="shared" si="100"/>
        <v>3.6161999999999995E-3</v>
      </c>
      <c r="N242" s="18">
        <f t="shared" si="102"/>
        <v>1.3662959595812211E-2</v>
      </c>
      <c r="O242" s="18">
        <f t="shared" si="105"/>
        <v>1.9158974246876667E-2</v>
      </c>
      <c r="P242" s="18">
        <f t="shared" si="107"/>
        <v>1.7268415061527306E-2</v>
      </c>
      <c r="Q242" s="18">
        <f t="shared" si="109"/>
        <v>4.5350211074717342E-4</v>
      </c>
      <c r="R242" s="18">
        <f t="shared" si="111"/>
        <v>9.6832344209768582E-3</v>
      </c>
      <c r="S242" s="18">
        <f t="shared" si="113"/>
        <v>1.317853900080288E-2</v>
      </c>
      <c r="T242" s="18">
        <f t="shared" si="115"/>
        <v>2.4109932903413032E-3</v>
      </c>
      <c r="U242" s="18">
        <f t="shared" si="117"/>
        <v>1.7624491175527932E-3</v>
      </c>
      <c r="V242" s="18">
        <f t="shared" si="118"/>
        <v>8.2575474911218381E-3</v>
      </c>
      <c r="W242" s="18">
        <f t="shared" si="119"/>
        <v>1.2475336470186926E-2</v>
      </c>
      <c r="X242" s="18">
        <f t="shared" si="120"/>
        <v>2.1427788172248209E-3</v>
      </c>
      <c r="Y242" s="18">
        <f t="shared" si="121"/>
        <v>7.9130593302289979E-4</v>
      </c>
      <c r="AA242" s="18">
        <f t="shared" si="103"/>
        <v>1.7539992184840238E-2</v>
      </c>
      <c r="AB242" s="18">
        <f t="shared" si="104"/>
        <v>3.0765132584425662E-4</v>
      </c>
      <c r="AC242" s="18">
        <f t="shared" si="106"/>
        <v>2.2366103851339338E-3</v>
      </c>
      <c r="AD242" s="18">
        <f t="shared" si="108"/>
        <v>5.2335147500864711E-3</v>
      </c>
      <c r="AE242" s="18">
        <f t="shared" si="110"/>
        <v>2.0197188095513921E-2</v>
      </c>
      <c r="AF242" s="18">
        <f t="shared" si="112"/>
        <v>5.0088249465063744E-3</v>
      </c>
      <c r="AG242" s="18">
        <f t="shared" si="114"/>
        <v>1.6550924074088932E-3</v>
      </c>
      <c r="AH242" s="18">
        <f t="shared" si="116"/>
        <v>1.9456440817607997E-2</v>
      </c>
      <c r="AJ242" s="18">
        <f>IF(ISNUMBER(Kernel!M242),Kernel!M242,"")</f>
        <v>-4.3145190120503163E-2</v>
      </c>
      <c r="AK242" s="18">
        <f t="shared" si="101"/>
        <v>1.8615074305343637E-3</v>
      </c>
      <c r="AN242" s="18">
        <f>IF(ISNUMBER(Volcanic!G242),Volcanic!G242,"")</f>
        <v>4.0000000000000001E-3</v>
      </c>
    </row>
    <row r="243" spans="1:40">
      <c r="A243" s="18" t="str">
        <f>IF(Volcanic!A243="","",Volcanic!A243)</f>
        <v>4/1978</v>
      </c>
      <c r="B243" s="18">
        <f>IF(ISNUMBER(Volcanic!L243),Volcanic!L243,"")</f>
        <v>1978.2916666666667</v>
      </c>
      <c r="C243" s="18">
        <f>IF(ISNUMBER(Volcanic!J243),Volcanic!J243,"")</f>
        <v>-6.291256122409028E-2</v>
      </c>
      <c r="D243" s="18">
        <f t="shared" si="94"/>
        <v>3.9579903597749076E-3</v>
      </c>
      <c r="E243" s="18">
        <f>IF(ISNUMBER(Volcanic!C243),Volcanic!C243,"")</f>
        <v>0.27027263033914217</v>
      </c>
      <c r="F243" s="18">
        <f>IF(ISNUMBER(Volcanic!D243),Volcanic!D243,"")</f>
        <v>0.71</v>
      </c>
      <c r="G243" s="18">
        <f>IF(ISNUMBER(Volcanic!E243),Volcanic!E243,"")</f>
        <v>4.47E-3</v>
      </c>
      <c r="H243" s="18">
        <f t="shared" si="95"/>
        <v>7.3047294710438596E-2</v>
      </c>
      <c r="I243" s="18">
        <f t="shared" si="96"/>
        <v>0.50409999999999999</v>
      </c>
      <c r="J243" s="18">
        <f t="shared" si="97"/>
        <v>1.99809E-5</v>
      </c>
      <c r="K243" s="18">
        <f t="shared" si="98"/>
        <v>0.19189356754079093</v>
      </c>
      <c r="L243" s="18">
        <f t="shared" si="99"/>
        <v>1.2081186576159656E-3</v>
      </c>
      <c r="M243" s="18">
        <f t="shared" si="100"/>
        <v>3.1736999999999998E-3</v>
      </c>
      <c r="N243" s="18">
        <f t="shared" si="102"/>
        <v>1.7000687089469505E-3</v>
      </c>
      <c r="O243" s="18">
        <f t="shared" si="105"/>
        <v>1.3662959595812211E-2</v>
      </c>
      <c r="P243" s="18">
        <f t="shared" si="107"/>
        <v>1.9158974246876667E-2</v>
      </c>
      <c r="Q243" s="18">
        <f t="shared" si="109"/>
        <v>1.7268415061527306E-2</v>
      </c>
      <c r="R243" s="18">
        <f t="shared" si="111"/>
        <v>4.5350211074717342E-4</v>
      </c>
      <c r="S243" s="18">
        <f t="shared" si="113"/>
        <v>9.6832344209768582E-3</v>
      </c>
      <c r="T243" s="18">
        <f t="shared" si="115"/>
        <v>1.317853900080288E-2</v>
      </c>
      <c r="U243" s="18">
        <f t="shared" si="117"/>
        <v>2.4109932903413032E-3</v>
      </c>
      <c r="V243" s="18">
        <f t="shared" si="118"/>
        <v>1.7624491175527932E-3</v>
      </c>
      <c r="W243" s="18">
        <f t="shared" si="119"/>
        <v>8.2575474911218381E-3</v>
      </c>
      <c r="X243" s="18">
        <f t="shared" si="120"/>
        <v>1.2475336470186926E-2</v>
      </c>
      <c r="Y243" s="18">
        <f t="shared" si="121"/>
        <v>2.1427788172248209E-3</v>
      </c>
      <c r="AA243" s="18">
        <f t="shared" si="103"/>
        <v>-4.2181074862442144E-2</v>
      </c>
      <c r="AB243" s="18">
        <f t="shared" si="104"/>
        <v>1.7792430765509485E-3</v>
      </c>
      <c r="AC243" s="18">
        <f t="shared" si="106"/>
        <v>3.0765132584425662E-4</v>
      </c>
      <c r="AD243" s="18">
        <f t="shared" si="108"/>
        <v>2.2366103851339338E-3</v>
      </c>
      <c r="AE243" s="18">
        <f t="shared" si="110"/>
        <v>5.2335147500864711E-3</v>
      </c>
      <c r="AF243" s="18">
        <f t="shared" si="112"/>
        <v>2.0197188095513921E-2</v>
      </c>
      <c r="AG243" s="18">
        <f t="shared" si="114"/>
        <v>5.0088249465063744E-3</v>
      </c>
      <c r="AH243" s="18">
        <f t="shared" si="116"/>
        <v>1.6550924074088932E-3</v>
      </c>
      <c r="AJ243" s="18">
        <f>IF(ISNUMBER(Kernel!M243),Kernel!M243,"")</f>
        <v>-6.3295569984736982E-2</v>
      </c>
      <c r="AK243" s="18">
        <f t="shared" si="101"/>
        <v>4.0063291796927376E-3</v>
      </c>
      <c r="AN243" s="18">
        <f>IF(ISNUMBER(Volcanic!G243),Volcanic!G243,"")</f>
        <v>4.0299999999999997E-3</v>
      </c>
    </row>
    <row r="244" spans="1:40">
      <c r="A244" s="18" t="str">
        <f>IF(Volcanic!A244="","",Volcanic!A244)</f>
        <v>5/1978</v>
      </c>
      <c r="B244" s="18">
        <f>IF(ISNUMBER(Volcanic!L244),Volcanic!L244,"")</f>
        <v>1978.375</v>
      </c>
      <c r="C244" s="18">
        <f>IF(ISNUMBER(Volcanic!J244),Volcanic!J244,"")</f>
        <v>-0.12899284761216179</v>
      </c>
      <c r="D244" s="18">
        <f t="shared" si="94"/>
        <v>1.6639154735094391E-2</v>
      </c>
      <c r="E244" s="18">
        <f>IF(ISNUMBER(Volcanic!C244),Volcanic!C244,"")</f>
        <v>0.27168178338214594</v>
      </c>
      <c r="F244" s="18">
        <f>IF(ISNUMBER(Volcanic!D244),Volcanic!D244,"")</f>
        <v>0.52</v>
      </c>
      <c r="G244" s="18">
        <f>IF(ISNUMBER(Volcanic!E244),Volcanic!E244,"")</f>
        <v>4.5300000000000002E-3</v>
      </c>
      <c r="H244" s="18">
        <f t="shared" si="95"/>
        <v>7.3810991421703262E-2</v>
      </c>
      <c r="I244" s="18">
        <f t="shared" si="96"/>
        <v>0.27040000000000003</v>
      </c>
      <c r="J244" s="18">
        <f t="shared" si="97"/>
        <v>2.0520900000000002E-5</v>
      </c>
      <c r="K244" s="18">
        <f t="shared" si="98"/>
        <v>0.1412745273587159</v>
      </c>
      <c r="L244" s="18">
        <f t="shared" si="99"/>
        <v>1.2307184787211211E-3</v>
      </c>
      <c r="M244" s="18">
        <f t="shared" si="100"/>
        <v>2.3556000000000002E-3</v>
      </c>
      <c r="N244" s="18">
        <f t="shared" si="102"/>
        <v>3.9579903597749076E-3</v>
      </c>
      <c r="O244" s="18">
        <f t="shared" si="105"/>
        <v>1.7000687089469505E-3</v>
      </c>
      <c r="P244" s="18">
        <f t="shared" si="107"/>
        <v>1.3662959595812211E-2</v>
      </c>
      <c r="Q244" s="18">
        <f t="shared" si="109"/>
        <v>1.9158974246876667E-2</v>
      </c>
      <c r="R244" s="18">
        <f t="shared" si="111"/>
        <v>1.7268415061527306E-2</v>
      </c>
      <c r="S244" s="18">
        <f t="shared" si="113"/>
        <v>4.5350211074717342E-4</v>
      </c>
      <c r="T244" s="18">
        <f t="shared" si="115"/>
        <v>9.6832344209768582E-3</v>
      </c>
      <c r="U244" s="18">
        <f t="shared" si="117"/>
        <v>1.317853900080288E-2</v>
      </c>
      <c r="V244" s="18">
        <f t="shared" si="118"/>
        <v>2.4109932903413032E-3</v>
      </c>
      <c r="W244" s="18">
        <f t="shared" si="119"/>
        <v>1.7624491175527932E-3</v>
      </c>
      <c r="X244" s="18">
        <f t="shared" si="120"/>
        <v>8.2575474911218381E-3</v>
      </c>
      <c r="Y244" s="18">
        <f t="shared" si="121"/>
        <v>1.2475336470186926E-2</v>
      </c>
      <c r="AA244" s="18">
        <f t="shared" si="103"/>
        <v>-9.7360270937133175E-2</v>
      </c>
      <c r="AB244" s="18">
        <f t="shared" si="104"/>
        <v>9.4790223569519785E-3</v>
      </c>
      <c r="AC244" s="18">
        <f t="shared" si="106"/>
        <v>1.7792430765509485E-3</v>
      </c>
      <c r="AD244" s="18">
        <f t="shared" si="108"/>
        <v>3.0765132584425662E-4</v>
      </c>
      <c r="AE244" s="18">
        <f t="shared" si="110"/>
        <v>2.2366103851339338E-3</v>
      </c>
      <c r="AF244" s="18">
        <f t="shared" si="112"/>
        <v>5.2335147500864711E-3</v>
      </c>
      <c r="AG244" s="18">
        <f t="shared" si="114"/>
        <v>2.0197188095513921E-2</v>
      </c>
      <c r="AH244" s="18">
        <f t="shared" si="116"/>
        <v>5.0088249465063744E-3</v>
      </c>
      <c r="AJ244" s="18">
        <f>IF(ISNUMBER(Kernel!M244),Kernel!M244,"")</f>
        <v>-0.13237714473234063</v>
      </c>
      <c r="AK244" s="18">
        <f t="shared" si="101"/>
        <v>1.752370844748706E-2</v>
      </c>
      <c r="AN244" s="18">
        <f>IF(ISNUMBER(Volcanic!G244),Volcanic!G244,"")</f>
        <v>4.0699999999999998E-3</v>
      </c>
    </row>
    <row r="245" spans="1:40">
      <c r="A245" s="18" t="str">
        <f>IF(Volcanic!A245="","",Volcanic!A245)</f>
        <v>6/1978</v>
      </c>
      <c r="B245" s="18">
        <f>IF(ISNUMBER(Volcanic!L245),Volcanic!L245,"")</f>
        <v>1978.4583333333333</v>
      </c>
      <c r="C245" s="18">
        <f>IF(ISNUMBER(Volcanic!J245),Volcanic!J245,"")</f>
        <v>-0.19659621354056186</v>
      </c>
      <c r="D245" s="18">
        <f t="shared" si="94"/>
        <v>3.8650071178486199E-2</v>
      </c>
      <c r="E245" s="18">
        <f>IF(ISNUMBER(Volcanic!C245),Volcanic!C245,"")</f>
        <v>0.27163910199105418</v>
      </c>
      <c r="F245" s="18">
        <f>IF(ISNUMBER(Volcanic!D245),Volcanic!D245,"")</f>
        <v>0.17</v>
      </c>
      <c r="G245" s="18">
        <f>IF(ISNUMBER(Volcanic!E245),Volcanic!E245,"")</f>
        <v>4.4400000000000004E-3</v>
      </c>
      <c r="H245" s="18">
        <f t="shared" si="95"/>
        <v>7.3787801730506336E-2</v>
      </c>
      <c r="I245" s="18">
        <f t="shared" si="96"/>
        <v>2.8900000000000006E-2</v>
      </c>
      <c r="J245" s="18">
        <f t="shared" si="97"/>
        <v>1.9713600000000004E-5</v>
      </c>
      <c r="K245" s="18">
        <f t="shared" si="98"/>
        <v>4.6178647338479213E-2</v>
      </c>
      <c r="L245" s="18">
        <f t="shared" si="99"/>
        <v>1.2060776128402808E-3</v>
      </c>
      <c r="M245" s="18">
        <f t="shared" si="100"/>
        <v>7.5480000000000013E-4</v>
      </c>
      <c r="N245" s="18">
        <f t="shared" si="102"/>
        <v>1.6639154735094391E-2</v>
      </c>
      <c r="O245" s="18">
        <f t="shared" si="105"/>
        <v>3.9579903597749076E-3</v>
      </c>
      <c r="P245" s="18">
        <f t="shared" si="107"/>
        <v>1.7000687089469505E-3</v>
      </c>
      <c r="Q245" s="18">
        <f t="shared" si="109"/>
        <v>1.3662959595812211E-2</v>
      </c>
      <c r="R245" s="18">
        <f t="shared" si="111"/>
        <v>1.9158974246876667E-2</v>
      </c>
      <c r="S245" s="18">
        <f t="shared" si="113"/>
        <v>1.7268415061527306E-2</v>
      </c>
      <c r="T245" s="18">
        <f t="shared" si="115"/>
        <v>4.5350211074717342E-4</v>
      </c>
      <c r="U245" s="18">
        <f t="shared" si="117"/>
        <v>9.6832344209768582E-3</v>
      </c>
      <c r="V245" s="18">
        <f t="shared" si="118"/>
        <v>1.317853900080288E-2</v>
      </c>
      <c r="W245" s="18">
        <f t="shared" si="119"/>
        <v>2.4109932903413032E-3</v>
      </c>
      <c r="X245" s="18">
        <f t="shared" si="120"/>
        <v>1.7624491175527932E-3</v>
      </c>
      <c r="Y245" s="18">
        <f t="shared" si="121"/>
        <v>8.2575474911218381E-3</v>
      </c>
      <c r="AA245" s="18">
        <f t="shared" si="103"/>
        <v>-0.13173832088399101</v>
      </c>
      <c r="AB245" s="18">
        <f t="shared" si="104"/>
        <v>1.7354985189333382E-2</v>
      </c>
      <c r="AC245" s="18">
        <f t="shared" si="106"/>
        <v>9.4790223569519785E-3</v>
      </c>
      <c r="AD245" s="18">
        <f t="shared" si="108"/>
        <v>1.7792430765509485E-3</v>
      </c>
      <c r="AE245" s="18">
        <f t="shared" si="110"/>
        <v>3.0765132584425662E-4</v>
      </c>
      <c r="AF245" s="18">
        <f t="shared" si="112"/>
        <v>2.2366103851339338E-3</v>
      </c>
      <c r="AG245" s="18">
        <f t="shared" si="114"/>
        <v>5.2335147500864711E-3</v>
      </c>
      <c r="AH245" s="18">
        <f t="shared" si="116"/>
        <v>2.0197188095513921E-2</v>
      </c>
      <c r="AJ245" s="18">
        <f>IF(ISNUMBER(Kernel!M245),Kernel!M245,"")</f>
        <v>-0.2206488222922865</v>
      </c>
      <c r="AK245" s="18">
        <f t="shared" si="101"/>
        <v>4.8685902778973028E-2</v>
      </c>
      <c r="AN245" s="18">
        <f>IF(ISNUMBER(Volcanic!G245),Volcanic!G245,"")</f>
        <v>4.1399999999999996E-3</v>
      </c>
    </row>
    <row r="246" spans="1:40">
      <c r="A246" s="18" t="str">
        <f>IF(Volcanic!A246="","",Volcanic!A246)</f>
        <v>7/1978</v>
      </c>
      <c r="B246" s="18">
        <f>IF(ISNUMBER(Volcanic!L246),Volcanic!L246,"")</f>
        <v>1978.5416666666667</v>
      </c>
      <c r="C246" s="18">
        <f>IF(ISNUMBER(Volcanic!J246),Volcanic!J246,"")</f>
        <v>-0.10789980115820844</v>
      </c>
      <c r="D246" s="18">
        <f t="shared" si="94"/>
        <v>1.1642367089980919E-2</v>
      </c>
      <c r="E246" s="18">
        <f>IF(ISNUMBER(Volcanic!C246),Volcanic!C246,"")</f>
        <v>0.26517967766535055</v>
      </c>
      <c r="F246" s="18">
        <f>IF(ISNUMBER(Volcanic!D246),Volcanic!D246,"")</f>
        <v>-0.06</v>
      </c>
      <c r="G246" s="18">
        <f>IF(ISNUMBER(Volcanic!E246),Volcanic!E246,"")</f>
        <v>4.3200000000000001E-3</v>
      </c>
      <c r="H246" s="18">
        <f t="shared" si="95"/>
        <v>7.0320261446699214E-2</v>
      </c>
      <c r="I246" s="18">
        <f t="shared" si="96"/>
        <v>3.5999999999999999E-3</v>
      </c>
      <c r="J246" s="18">
        <f t="shared" si="97"/>
        <v>1.8662399999999999E-5</v>
      </c>
      <c r="K246" s="18">
        <f t="shared" si="98"/>
        <v>-1.5910780659921034E-2</v>
      </c>
      <c r="L246" s="18">
        <f t="shared" si="99"/>
        <v>1.1455762075143145E-3</v>
      </c>
      <c r="M246" s="18">
        <f t="shared" si="100"/>
        <v>-2.5920000000000001E-4</v>
      </c>
      <c r="N246" s="18">
        <f t="shared" si="102"/>
        <v>3.8650071178486199E-2</v>
      </c>
      <c r="O246" s="18">
        <f t="shared" si="105"/>
        <v>1.6639154735094391E-2</v>
      </c>
      <c r="P246" s="18">
        <f t="shared" si="107"/>
        <v>3.9579903597749076E-3</v>
      </c>
      <c r="Q246" s="18">
        <f t="shared" si="109"/>
        <v>1.7000687089469505E-3</v>
      </c>
      <c r="R246" s="18">
        <f t="shared" si="111"/>
        <v>1.3662959595812211E-2</v>
      </c>
      <c r="S246" s="18">
        <f t="shared" si="113"/>
        <v>1.9158974246876667E-2</v>
      </c>
      <c r="T246" s="18">
        <f t="shared" si="115"/>
        <v>1.7268415061527306E-2</v>
      </c>
      <c r="U246" s="18">
        <f t="shared" si="117"/>
        <v>4.5350211074717342E-4</v>
      </c>
      <c r="V246" s="18">
        <f t="shared" si="118"/>
        <v>9.6832344209768582E-3</v>
      </c>
      <c r="W246" s="18">
        <f t="shared" si="119"/>
        <v>1.317853900080288E-2</v>
      </c>
      <c r="X246" s="18">
        <f t="shared" si="120"/>
        <v>2.4109932903413032E-3</v>
      </c>
      <c r="Y246" s="18">
        <f t="shared" si="121"/>
        <v>1.7624491175527932E-3</v>
      </c>
      <c r="AA246" s="18">
        <f t="shared" si="103"/>
        <v>-9.0507847163087407E-3</v>
      </c>
      <c r="AB246" s="18">
        <f t="shared" si="104"/>
        <v>8.1916703980967887E-5</v>
      </c>
      <c r="AC246" s="18">
        <f t="shared" si="106"/>
        <v>1.7354985189333382E-2</v>
      </c>
      <c r="AD246" s="18">
        <f t="shared" si="108"/>
        <v>9.4790223569519785E-3</v>
      </c>
      <c r="AE246" s="18">
        <f t="shared" si="110"/>
        <v>1.7792430765509485E-3</v>
      </c>
      <c r="AF246" s="18">
        <f t="shared" si="112"/>
        <v>3.0765132584425662E-4</v>
      </c>
      <c r="AG246" s="18">
        <f t="shared" si="114"/>
        <v>2.2366103851339338E-3</v>
      </c>
      <c r="AH246" s="18">
        <f t="shared" si="116"/>
        <v>5.2335147500864711E-3</v>
      </c>
      <c r="AJ246" s="18">
        <f>IF(ISNUMBER(Kernel!M246),Kernel!M246,"")</f>
        <v>-0.14051855913368522</v>
      </c>
      <c r="AK246" s="18">
        <f t="shared" si="101"/>
        <v>1.974546546100699E-2</v>
      </c>
      <c r="AN246" s="18">
        <f>IF(ISNUMBER(Volcanic!G246),Volcanic!G246,"")</f>
        <v>4.2199999999999998E-3</v>
      </c>
    </row>
    <row r="247" spans="1:40">
      <c r="A247" s="18" t="str">
        <f>IF(Volcanic!A247="","",Volcanic!A247)</f>
        <v>8/1978</v>
      </c>
      <c r="B247" s="18">
        <f>IF(ISNUMBER(Volcanic!L247),Volcanic!L247,"")</f>
        <v>1978.625</v>
      </c>
      <c r="C247" s="18">
        <f>IF(ISNUMBER(Volcanic!J247),Volcanic!J247,"")</f>
        <v>-0.24332909081702495</v>
      </c>
      <c r="D247" s="18">
        <f t="shared" si="94"/>
        <v>5.9209046437839974E-2</v>
      </c>
      <c r="E247" s="18">
        <f>IF(ISNUMBER(Volcanic!C247),Volcanic!C247,"")</f>
        <v>0.25623430325691615</v>
      </c>
      <c r="F247" s="18">
        <f>IF(ISNUMBER(Volcanic!D247),Volcanic!D247,"")</f>
        <v>-0.28000000000000003</v>
      </c>
      <c r="G247" s="18">
        <f>IF(ISNUMBER(Volcanic!E247),Volcanic!E247,"")</f>
        <v>4.2100000000000002E-3</v>
      </c>
      <c r="H247" s="18">
        <f t="shared" si="95"/>
        <v>6.5656018165557273E-2</v>
      </c>
      <c r="I247" s="18">
        <f t="shared" si="96"/>
        <v>7.8400000000000011E-2</v>
      </c>
      <c r="J247" s="18">
        <f t="shared" si="97"/>
        <v>1.7724100000000002E-5</v>
      </c>
      <c r="K247" s="18">
        <f t="shared" si="98"/>
        <v>-7.1745604911936531E-2</v>
      </c>
      <c r="L247" s="18">
        <f t="shared" si="99"/>
        <v>1.078746416711617E-3</v>
      </c>
      <c r="M247" s="18">
        <f t="shared" si="100"/>
        <v>-1.1788000000000002E-3</v>
      </c>
      <c r="N247" s="18">
        <f t="shared" si="102"/>
        <v>1.1642367089980919E-2</v>
      </c>
      <c r="O247" s="18">
        <f t="shared" si="105"/>
        <v>3.8650071178486199E-2</v>
      </c>
      <c r="P247" s="18">
        <f t="shared" si="107"/>
        <v>1.6639154735094391E-2</v>
      </c>
      <c r="Q247" s="18">
        <f t="shared" si="109"/>
        <v>3.9579903597749076E-3</v>
      </c>
      <c r="R247" s="18">
        <f t="shared" si="111"/>
        <v>1.7000687089469505E-3</v>
      </c>
      <c r="S247" s="18">
        <f t="shared" si="113"/>
        <v>1.3662959595812211E-2</v>
      </c>
      <c r="T247" s="18">
        <f t="shared" si="115"/>
        <v>1.9158974246876667E-2</v>
      </c>
      <c r="U247" s="18">
        <f t="shared" si="117"/>
        <v>1.7268415061527306E-2</v>
      </c>
      <c r="V247" s="18">
        <f t="shared" si="118"/>
        <v>4.5350211074717342E-4</v>
      </c>
      <c r="W247" s="18">
        <f t="shared" si="119"/>
        <v>9.6832344209768582E-3</v>
      </c>
      <c r="X247" s="18">
        <f t="shared" si="120"/>
        <v>1.317853900080288E-2</v>
      </c>
      <c r="Y247" s="18">
        <f t="shared" si="121"/>
        <v>2.4109932903413032E-3</v>
      </c>
      <c r="AA247" s="18">
        <f t="shared" si="103"/>
        <v>-0.18907682915500224</v>
      </c>
      <c r="AB247" s="18">
        <f t="shared" si="104"/>
        <v>3.57500473233099E-2</v>
      </c>
      <c r="AC247" s="18">
        <f t="shared" si="106"/>
        <v>8.1916703980967887E-5</v>
      </c>
      <c r="AD247" s="18">
        <f t="shared" si="108"/>
        <v>1.7354985189333382E-2</v>
      </c>
      <c r="AE247" s="18">
        <f t="shared" si="110"/>
        <v>9.4790223569519785E-3</v>
      </c>
      <c r="AF247" s="18">
        <f t="shared" si="112"/>
        <v>1.7792430765509485E-3</v>
      </c>
      <c r="AG247" s="18">
        <f t="shared" si="114"/>
        <v>3.0765132584425662E-4</v>
      </c>
      <c r="AH247" s="18">
        <f t="shared" si="116"/>
        <v>2.2366103851339338E-3</v>
      </c>
      <c r="AJ247" s="18">
        <f>IF(ISNUMBER(Kernel!M247),Kernel!M247,"")</f>
        <v>-0.28558333214059528</v>
      </c>
      <c r="AK247" s="18">
        <f t="shared" si="101"/>
        <v>8.1557839596525558E-2</v>
      </c>
      <c r="AN247" s="18">
        <f>IF(ISNUMBER(Volcanic!G247),Volcanic!G247,"")</f>
        <v>4.3299999999999996E-3</v>
      </c>
    </row>
    <row r="248" spans="1:40">
      <c r="A248" s="18" t="str">
        <f>IF(Volcanic!A248="","",Volcanic!A248)</f>
        <v>9/1978</v>
      </c>
      <c r="B248" s="18">
        <f>IF(ISNUMBER(Volcanic!L248),Volcanic!L248,"")</f>
        <v>1978.7083333333333</v>
      </c>
      <c r="C248" s="18">
        <f>IF(ISNUMBER(Volcanic!J248),Volcanic!J248,"")</f>
        <v>-2.3035662012253391E-2</v>
      </c>
      <c r="D248" s="18">
        <f t="shared" si="94"/>
        <v>5.306417243427739E-4</v>
      </c>
      <c r="E248" s="18">
        <f>IF(ISNUMBER(Volcanic!C248),Volcanic!C248,"")</f>
        <v>0.24731993497981972</v>
      </c>
      <c r="F248" s="18">
        <f>IF(ISNUMBER(Volcanic!D248),Volcanic!D248,"")</f>
        <v>-0.24</v>
      </c>
      <c r="G248" s="18">
        <f>IF(ISNUMBER(Volcanic!E248),Volcanic!E248,"")</f>
        <v>4.0699999999999998E-3</v>
      </c>
      <c r="H248" s="18">
        <f t="shared" si="95"/>
        <v>6.1167150238422251E-2</v>
      </c>
      <c r="I248" s="18">
        <f t="shared" si="96"/>
        <v>5.7599999999999998E-2</v>
      </c>
      <c r="J248" s="18">
        <f t="shared" si="97"/>
        <v>1.6564899999999998E-5</v>
      </c>
      <c r="K248" s="18">
        <f t="shared" si="98"/>
        <v>-5.9356784395156729E-2</v>
      </c>
      <c r="L248" s="18">
        <f t="shared" si="99"/>
        <v>1.0065921353678662E-3</v>
      </c>
      <c r="M248" s="18">
        <f t="shared" si="100"/>
        <v>-9.7679999999999989E-4</v>
      </c>
      <c r="N248" s="18">
        <f t="shared" si="102"/>
        <v>5.9209046437839974E-2</v>
      </c>
      <c r="O248" s="18">
        <f t="shared" si="105"/>
        <v>1.1642367089980919E-2</v>
      </c>
      <c r="P248" s="18">
        <f t="shared" si="107"/>
        <v>3.8650071178486199E-2</v>
      </c>
      <c r="Q248" s="18">
        <f t="shared" si="109"/>
        <v>1.6639154735094391E-2</v>
      </c>
      <c r="R248" s="18">
        <f t="shared" si="111"/>
        <v>3.9579903597749076E-3</v>
      </c>
      <c r="S248" s="18">
        <f t="shared" si="113"/>
        <v>1.7000687089469505E-3</v>
      </c>
      <c r="T248" s="18">
        <f t="shared" si="115"/>
        <v>1.3662959595812211E-2</v>
      </c>
      <c r="U248" s="18">
        <f t="shared" si="117"/>
        <v>1.9158974246876667E-2</v>
      </c>
      <c r="V248" s="18">
        <f t="shared" si="118"/>
        <v>1.7268415061527306E-2</v>
      </c>
      <c r="W248" s="18">
        <f t="shared" si="119"/>
        <v>4.5350211074717342E-4</v>
      </c>
      <c r="X248" s="18">
        <f t="shared" si="120"/>
        <v>9.6832344209768582E-3</v>
      </c>
      <c r="Y248" s="18">
        <f t="shared" si="121"/>
        <v>1.317853900080288E-2</v>
      </c>
      <c r="AA248" s="18">
        <f t="shared" si="103"/>
        <v>9.9310749781695046E-2</v>
      </c>
      <c r="AB248" s="18">
        <f t="shared" si="104"/>
        <v>9.8626250222024429E-3</v>
      </c>
      <c r="AC248" s="18">
        <f t="shared" si="106"/>
        <v>3.57500473233099E-2</v>
      </c>
      <c r="AD248" s="18">
        <f t="shared" si="108"/>
        <v>8.1916703980967887E-5</v>
      </c>
      <c r="AE248" s="18">
        <f t="shared" si="110"/>
        <v>1.7354985189333382E-2</v>
      </c>
      <c r="AF248" s="18">
        <f t="shared" si="112"/>
        <v>9.4790223569519785E-3</v>
      </c>
      <c r="AG248" s="18">
        <f t="shared" si="114"/>
        <v>1.7792430765509485E-3</v>
      </c>
      <c r="AH248" s="18">
        <f t="shared" si="116"/>
        <v>3.0765132584425662E-4</v>
      </c>
      <c r="AJ248" s="18">
        <f>IF(ISNUMBER(Kernel!M248),Kernel!M248,"")</f>
        <v>-5.0846923647556316E-2</v>
      </c>
      <c r="AK248" s="18">
        <f t="shared" si="101"/>
        <v>2.5854096444204219E-3</v>
      </c>
      <c r="AN248" s="18">
        <f>IF(ISNUMBER(Volcanic!G248),Volcanic!G248,"")</f>
        <v>4.4000000000000003E-3</v>
      </c>
    </row>
    <row r="249" spans="1:40">
      <c r="A249" s="18" t="str">
        <f>IF(Volcanic!A249="","",Volcanic!A249)</f>
        <v>10/1978</v>
      </c>
      <c r="B249" s="18">
        <f>IF(ISNUMBER(Volcanic!L249),Volcanic!L249,"")</f>
        <v>1978.7916666666667</v>
      </c>
      <c r="C249" s="18">
        <f>IF(ISNUMBER(Volcanic!J249),Volcanic!J249,"")</f>
        <v>-4.2191709547216141E-2</v>
      </c>
      <c r="D249" s="18">
        <f t="shared" si="94"/>
        <v>1.7801403545166497E-3</v>
      </c>
      <c r="E249" s="18">
        <f>IF(ISNUMBER(Volcanic!C249),Volcanic!C249,"")</f>
        <v>0.24771055050748395</v>
      </c>
      <c r="F249" s="18">
        <f>IF(ISNUMBER(Volcanic!D249),Volcanic!D249,"")</f>
        <v>-0.37</v>
      </c>
      <c r="G249" s="18">
        <f>IF(ISNUMBER(Volcanic!E249),Volcanic!E249,"")</f>
        <v>4.0000000000000001E-3</v>
      </c>
      <c r="H249" s="18">
        <f t="shared" si="95"/>
        <v>6.1360516832720757E-2</v>
      </c>
      <c r="I249" s="18">
        <f t="shared" si="96"/>
        <v>0.13689999999999999</v>
      </c>
      <c r="J249" s="18">
        <f t="shared" si="97"/>
        <v>1.5999999999999999E-5</v>
      </c>
      <c r="K249" s="18">
        <f t="shared" si="98"/>
        <v>-9.1652903687769058E-2</v>
      </c>
      <c r="L249" s="18">
        <f t="shared" si="99"/>
        <v>9.9084220202993577E-4</v>
      </c>
      <c r="M249" s="18">
        <f t="shared" si="100"/>
        <v>-1.48E-3</v>
      </c>
      <c r="N249" s="18">
        <f t="shared" si="102"/>
        <v>5.306417243427739E-4</v>
      </c>
      <c r="O249" s="18">
        <f t="shared" si="105"/>
        <v>5.9209046437839974E-2</v>
      </c>
      <c r="P249" s="18">
        <f t="shared" si="107"/>
        <v>1.1642367089980919E-2</v>
      </c>
      <c r="Q249" s="18">
        <f t="shared" si="109"/>
        <v>3.8650071178486199E-2</v>
      </c>
      <c r="R249" s="18">
        <f t="shared" si="111"/>
        <v>1.6639154735094391E-2</v>
      </c>
      <c r="S249" s="18">
        <f t="shared" si="113"/>
        <v>3.9579903597749076E-3</v>
      </c>
      <c r="T249" s="18">
        <f t="shared" si="115"/>
        <v>1.7000687089469505E-3</v>
      </c>
      <c r="U249" s="18">
        <f t="shared" si="117"/>
        <v>1.3662959595812211E-2</v>
      </c>
      <c r="V249" s="18">
        <f t="shared" si="118"/>
        <v>1.9158974246876667E-2</v>
      </c>
      <c r="W249" s="18">
        <f t="shared" si="119"/>
        <v>1.7268415061527306E-2</v>
      </c>
      <c r="X249" s="18">
        <f t="shared" si="120"/>
        <v>4.5350211074717342E-4</v>
      </c>
      <c r="Y249" s="18">
        <f t="shared" si="121"/>
        <v>9.6832344209768582E-3</v>
      </c>
      <c r="AA249" s="18">
        <f t="shared" si="103"/>
        <v>-3.0609327099501926E-2</v>
      </c>
      <c r="AB249" s="18">
        <f t="shared" si="104"/>
        <v>9.3693090548430298E-4</v>
      </c>
      <c r="AC249" s="18">
        <f t="shared" si="106"/>
        <v>9.8626250222024429E-3</v>
      </c>
      <c r="AD249" s="18">
        <f t="shared" si="108"/>
        <v>3.57500473233099E-2</v>
      </c>
      <c r="AE249" s="18">
        <f t="shared" si="110"/>
        <v>8.1916703980967887E-5</v>
      </c>
      <c r="AF249" s="18">
        <f t="shared" si="112"/>
        <v>1.7354985189333382E-2</v>
      </c>
      <c r="AG249" s="18">
        <f t="shared" si="114"/>
        <v>9.4790223569519785E-3</v>
      </c>
      <c r="AH249" s="18">
        <f t="shared" si="116"/>
        <v>1.7792430765509485E-3</v>
      </c>
      <c r="AJ249" s="18">
        <f>IF(ISNUMBER(Kernel!M249),Kernel!M249,"")</f>
        <v>-7.6565469086514876E-2</v>
      </c>
      <c r="AK249" s="18">
        <f t="shared" si="101"/>
        <v>5.8622710564380648E-3</v>
      </c>
      <c r="AN249" s="18">
        <f>IF(ISNUMBER(Volcanic!G249),Volcanic!G249,"")</f>
        <v>4.4799999999999996E-3</v>
      </c>
    </row>
    <row r="250" spans="1:40">
      <c r="A250" s="18" t="str">
        <f>IF(Volcanic!A250="","",Volcanic!A250)</f>
        <v>11/1978</v>
      </c>
      <c r="B250" s="18">
        <f>IF(ISNUMBER(Volcanic!L250),Volcanic!L250,"")</f>
        <v>1978.875</v>
      </c>
      <c r="C250" s="18">
        <f>IF(ISNUMBER(Volcanic!J250),Volcanic!J250,"")</f>
        <v>4.2399744918777224E-2</v>
      </c>
      <c r="D250" s="18">
        <f t="shared" si="94"/>
        <v>1.797738369177375E-3</v>
      </c>
      <c r="E250" s="18">
        <f>IF(ISNUMBER(Volcanic!C250),Volcanic!C250,"")</f>
        <v>0.25338423580007446</v>
      </c>
      <c r="F250" s="18">
        <f>IF(ISNUMBER(Volcanic!D250),Volcanic!D250,"")</f>
        <v>-0.37</v>
      </c>
      <c r="G250" s="18">
        <f>IF(ISNUMBER(Volcanic!E250),Volcanic!E250,"")</f>
        <v>4.0299999999999997E-3</v>
      </c>
      <c r="H250" s="18">
        <f t="shared" si="95"/>
        <v>6.420357095198774E-2</v>
      </c>
      <c r="I250" s="18">
        <f t="shared" si="96"/>
        <v>0.13689999999999999</v>
      </c>
      <c r="J250" s="18">
        <f t="shared" si="97"/>
        <v>1.6240899999999999E-5</v>
      </c>
      <c r="K250" s="18">
        <f t="shared" si="98"/>
        <v>-9.3752167246027557E-2</v>
      </c>
      <c r="L250" s="18">
        <f t="shared" si="99"/>
        <v>1.0211384702743E-3</v>
      </c>
      <c r="M250" s="18">
        <f t="shared" si="100"/>
        <v>-1.4911E-3</v>
      </c>
      <c r="N250" s="18">
        <f t="shared" si="102"/>
        <v>1.7801403545166497E-3</v>
      </c>
      <c r="O250" s="18">
        <f t="shared" si="105"/>
        <v>5.306417243427739E-4</v>
      </c>
      <c r="P250" s="18">
        <f t="shared" si="107"/>
        <v>5.9209046437839974E-2</v>
      </c>
      <c r="Q250" s="18">
        <f t="shared" si="109"/>
        <v>1.1642367089980919E-2</v>
      </c>
      <c r="R250" s="18">
        <f t="shared" si="111"/>
        <v>3.8650071178486199E-2</v>
      </c>
      <c r="S250" s="18">
        <f t="shared" si="113"/>
        <v>1.6639154735094391E-2</v>
      </c>
      <c r="T250" s="18">
        <f t="shared" si="115"/>
        <v>3.9579903597749076E-3</v>
      </c>
      <c r="U250" s="18">
        <f t="shared" si="117"/>
        <v>1.7000687089469505E-3</v>
      </c>
      <c r="V250" s="18">
        <f t="shared" si="118"/>
        <v>1.3662959595812211E-2</v>
      </c>
      <c r="W250" s="18">
        <f t="shared" si="119"/>
        <v>1.9158974246876667E-2</v>
      </c>
      <c r="X250" s="18">
        <f t="shared" si="120"/>
        <v>1.7268415061527306E-2</v>
      </c>
      <c r="Y250" s="18">
        <f t="shared" si="121"/>
        <v>4.5350211074717342E-4</v>
      </c>
      <c r="AA250" s="18">
        <f t="shared" si="103"/>
        <v>6.3613830966696663E-2</v>
      </c>
      <c r="AB250" s="18">
        <f t="shared" si="104"/>
        <v>4.0467194902594553E-3</v>
      </c>
      <c r="AC250" s="18">
        <f t="shared" si="106"/>
        <v>9.3693090548430298E-4</v>
      </c>
      <c r="AD250" s="18">
        <f t="shared" si="108"/>
        <v>9.8626250222024429E-3</v>
      </c>
      <c r="AE250" s="18">
        <f t="shared" si="110"/>
        <v>3.57500473233099E-2</v>
      </c>
      <c r="AF250" s="18">
        <f t="shared" si="112"/>
        <v>8.1916703980967887E-5</v>
      </c>
      <c r="AG250" s="18">
        <f t="shared" si="114"/>
        <v>1.7354985189333382E-2</v>
      </c>
      <c r="AH250" s="18">
        <f t="shared" si="116"/>
        <v>9.4790223569519785E-3</v>
      </c>
      <c r="AJ250" s="18">
        <f>IF(ISNUMBER(Kernel!M250),Kernel!M250,"")</f>
        <v>8.2550052318634826E-3</v>
      </c>
      <c r="AK250" s="18">
        <f t="shared" si="101"/>
        <v>6.8145111378093467E-5</v>
      </c>
      <c r="AN250" s="18">
        <f>IF(ISNUMBER(Volcanic!G250),Volcanic!G250,"")</f>
        <v>4.3899999999999998E-3</v>
      </c>
    </row>
    <row r="251" spans="1:40">
      <c r="A251" s="18" t="str">
        <f>IF(Volcanic!A251="","",Volcanic!A251)</f>
        <v>12/1978</v>
      </c>
      <c r="B251" s="18">
        <f>IF(ISNUMBER(Volcanic!L251),Volcanic!L251,"")</f>
        <v>1978.9583333333333</v>
      </c>
      <c r="C251" s="18">
        <f>IF(ISNUMBER(Volcanic!J251),Volcanic!J251,"")</f>
        <v>-1.4551143034839772E-2</v>
      </c>
      <c r="D251" s="18">
        <f t="shared" si="94"/>
        <v>2.1173576362036603E-4</v>
      </c>
      <c r="E251" s="18">
        <f>IF(ISNUMBER(Volcanic!C251),Volcanic!C251,"")</f>
        <v>0.25834662661407437</v>
      </c>
      <c r="F251" s="18">
        <f>IF(ISNUMBER(Volcanic!D251),Volcanic!D251,"")</f>
        <v>-0.44</v>
      </c>
      <c r="G251" s="18">
        <f>IF(ISNUMBER(Volcanic!E251),Volcanic!E251,"")</f>
        <v>4.0699999999999998E-3</v>
      </c>
      <c r="H251" s="18">
        <f t="shared" si="95"/>
        <v>6.6742979482871959E-2</v>
      </c>
      <c r="I251" s="18">
        <f t="shared" si="96"/>
        <v>0.19359999999999999</v>
      </c>
      <c r="J251" s="18">
        <f t="shared" si="97"/>
        <v>1.6564899999999998E-5</v>
      </c>
      <c r="K251" s="18">
        <f t="shared" si="98"/>
        <v>-0.11367251571019273</v>
      </c>
      <c r="L251" s="18">
        <f t="shared" si="99"/>
        <v>1.0514707703192826E-3</v>
      </c>
      <c r="M251" s="18">
        <f t="shared" si="100"/>
        <v>-1.7907999999999999E-3</v>
      </c>
      <c r="N251" s="18">
        <f t="shared" si="102"/>
        <v>1.797738369177375E-3</v>
      </c>
      <c r="O251" s="18">
        <f t="shared" si="105"/>
        <v>1.7801403545166497E-3</v>
      </c>
      <c r="P251" s="18">
        <f t="shared" si="107"/>
        <v>5.306417243427739E-4</v>
      </c>
      <c r="Q251" s="18">
        <f t="shared" si="109"/>
        <v>5.9209046437839974E-2</v>
      </c>
      <c r="R251" s="18">
        <f t="shared" si="111"/>
        <v>1.1642367089980919E-2</v>
      </c>
      <c r="S251" s="18">
        <f t="shared" si="113"/>
        <v>3.8650071178486199E-2</v>
      </c>
      <c r="T251" s="18">
        <f t="shared" si="115"/>
        <v>1.6639154735094391E-2</v>
      </c>
      <c r="U251" s="18">
        <f t="shared" si="117"/>
        <v>3.9579903597749076E-3</v>
      </c>
      <c r="V251" s="18">
        <f t="shared" si="118"/>
        <v>1.7000687089469505E-3</v>
      </c>
      <c r="W251" s="18">
        <f t="shared" si="119"/>
        <v>1.3662959595812211E-2</v>
      </c>
      <c r="X251" s="18">
        <f t="shared" si="120"/>
        <v>1.9158974246876667E-2</v>
      </c>
      <c r="Y251" s="18">
        <f t="shared" si="121"/>
        <v>1.7268415061527306E-2</v>
      </c>
      <c r="AA251" s="18">
        <f t="shared" si="103"/>
        <v>-3.5869829733471623E-2</v>
      </c>
      <c r="AB251" s="18">
        <f t="shared" si="104"/>
        <v>1.2866446851082449E-3</v>
      </c>
      <c r="AC251" s="18">
        <f t="shared" si="106"/>
        <v>4.0467194902594553E-3</v>
      </c>
      <c r="AD251" s="18">
        <f t="shared" si="108"/>
        <v>9.3693090548430298E-4</v>
      </c>
      <c r="AE251" s="18">
        <f t="shared" si="110"/>
        <v>9.8626250222024429E-3</v>
      </c>
      <c r="AF251" s="18">
        <f t="shared" si="112"/>
        <v>3.57500473233099E-2</v>
      </c>
      <c r="AG251" s="18">
        <f t="shared" si="114"/>
        <v>8.1916703980967887E-5</v>
      </c>
      <c r="AH251" s="18">
        <f t="shared" si="116"/>
        <v>1.7354985189333382E-2</v>
      </c>
      <c r="AJ251" s="18">
        <f>IF(ISNUMBER(Kernel!M251),Kernel!M251,"")</f>
        <v>-5.8955393980148652E-2</v>
      </c>
      <c r="AK251" s="18">
        <f t="shared" si="101"/>
        <v>3.4757384793545477E-3</v>
      </c>
      <c r="AN251" s="18">
        <f>IF(ISNUMBER(Volcanic!G251),Volcanic!G251,"")</f>
        <v>4.28E-3</v>
      </c>
    </row>
    <row r="252" spans="1:40">
      <c r="A252" s="18" t="str">
        <f>IF(Volcanic!A252="","",Volcanic!A252)</f>
        <v>1/1979</v>
      </c>
      <c r="B252" s="18">
        <f>IF(ISNUMBER(Volcanic!L252),Volcanic!L252,"")</f>
        <v>1979.0416666666667</v>
      </c>
      <c r="C252" s="18">
        <f>IF(ISNUMBER(Volcanic!J252),Volcanic!J252,"")</f>
        <v>-3.4597018159436901E-2</v>
      </c>
      <c r="D252" s="18">
        <f t="shared" si="94"/>
        <v>1.1969536655244068E-3</v>
      </c>
      <c r="E252" s="18">
        <f>IF(ISNUMBER(Volcanic!C252),Volcanic!C252,"")</f>
        <v>0.26363540356832926</v>
      </c>
      <c r="F252" s="18">
        <f>IF(ISNUMBER(Volcanic!D252),Volcanic!D252,"")</f>
        <v>-0.27</v>
      </c>
      <c r="G252" s="18">
        <f>IF(ISNUMBER(Volcanic!E252),Volcanic!E252,"")</f>
        <v>4.1399999999999996E-3</v>
      </c>
      <c r="H252" s="18">
        <f t="shared" si="95"/>
        <v>6.9503626014635833E-2</v>
      </c>
      <c r="I252" s="18">
        <f t="shared" si="96"/>
        <v>7.2900000000000006E-2</v>
      </c>
      <c r="J252" s="18">
        <f t="shared" si="97"/>
        <v>1.7139599999999998E-5</v>
      </c>
      <c r="K252" s="18">
        <f t="shared" si="98"/>
        <v>-7.118155896344891E-2</v>
      </c>
      <c r="L252" s="18">
        <f t="shared" si="99"/>
        <v>1.0914505707728831E-3</v>
      </c>
      <c r="M252" s="18">
        <f t="shared" si="100"/>
        <v>-1.1178E-3</v>
      </c>
      <c r="N252" s="18">
        <f t="shared" si="102"/>
        <v>2.1173576362036603E-4</v>
      </c>
      <c r="O252" s="18">
        <f t="shared" si="105"/>
        <v>1.797738369177375E-3</v>
      </c>
      <c r="P252" s="18">
        <f t="shared" si="107"/>
        <v>1.7801403545166497E-3</v>
      </c>
      <c r="Q252" s="18">
        <f t="shared" si="109"/>
        <v>5.306417243427739E-4</v>
      </c>
      <c r="R252" s="18">
        <f t="shared" si="111"/>
        <v>5.9209046437839974E-2</v>
      </c>
      <c r="S252" s="18">
        <f t="shared" si="113"/>
        <v>1.1642367089980919E-2</v>
      </c>
      <c r="T252" s="18">
        <f t="shared" si="115"/>
        <v>3.8650071178486199E-2</v>
      </c>
      <c r="U252" s="18">
        <f t="shared" si="117"/>
        <v>1.6639154735094391E-2</v>
      </c>
      <c r="V252" s="18">
        <f t="shared" si="118"/>
        <v>3.9579903597749076E-3</v>
      </c>
      <c r="W252" s="18">
        <f t="shared" si="119"/>
        <v>1.7000687089469505E-3</v>
      </c>
      <c r="X252" s="18">
        <f t="shared" si="120"/>
        <v>1.3662959595812211E-2</v>
      </c>
      <c r="Y252" s="18">
        <f t="shared" si="121"/>
        <v>1.9158974246876667E-2</v>
      </c>
      <c r="AA252" s="18">
        <f t="shared" si="103"/>
        <v>-2.7280670854494805E-2</v>
      </c>
      <c r="AB252" s="18">
        <f t="shared" si="104"/>
        <v>7.4423500227128233E-4</v>
      </c>
      <c r="AC252" s="18">
        <f t="shared" si="106"/>
        <v>1.2866446851082449E-3</v>
      </c>
      <c r="AD252" s="18">
        <f t="shared" si="108"/>
        <v>4.0467194902594553E-3</v>
      </c>
      <c r="AE252" s="18">
        <f t="shared" si="110"/>
        <v>9.3693090548430298E-4</v>
      </c>
      <c r="AF252" s="18">
        <f t="shared" si="112"/>
        <v>9.8626250222024429E-3</v>
      </c>
      <c r="AG252" s="18">
        <f t="shared" si="114"/>
        <v>3.57500473233099E-2</v>
      </c>
      <c r="AH252" s="18">
        <f t="shared" si="116"/>
        <v>8.1916703980967887E-5</v>
      </c>
      <c r="AJ252" s="18">
        <f>IF(ISNUMBER(Kernel!M252),Kernel!M252,"")</f>
        <v>-6.793305296112237E-2</v>
      </c>
      <c r="AK252" s="18">
        <f t="shared" si="101"/>
        <v>4.6148996846186565E-3</v>
      </c>
      <c r="AN252" s="18">
        <f>IF(ISNUMBER(Volcanic!G252),Volcanic!G252,"")</f>
        <v>5.2700000000000004E-3</v>
      </c>
    </row>
    <row r="253" spans="1:40">
      <c r="A253" s="18" t="str">
        <f>IF(Volcanic!A253="","",Volcanic!A253)</f>
        <v>2/1979</v>
      </c>
      <c r="B253" s="18">
        <f>IF(ISNUMBER(Volcanic!L253),Volcanic!L253,"")</f>
        <v>1979.125</v>
      </c>
      <c r="C253" s="18">
        <f>IF(ISNUMBER(Volcanic!J253),Volcanic!J253,"")</f>
        <v>-0.24941301351793824</v>
      </c>
      <c r="D253" s="18">
        <f t="shared" si="94"/>
        <v>6.2206851312099243E-2</v>
      </c>
      <c r="E253" s="18">
        <f>IF(ISNUMBER(Volcanic!C253),Volcanic!C253,"")</f>
        <v>0.2659940452734475</v>
      </c>
      <c r="F253" s="18">
        <f>IF(ISNUMBER(Volcanic!D253),Volcanic!D253,"")</f>
        <v>-7.0000000000000007E-2</v>
      </c>
      <c r="G253" s="18">
        <f>IF(ISNUMBER(Volcanic!E253),Volcanic!E253,"")</f>
        <v>4.2199999999999998E-3</v>
      </c>
      <c r="H253" s="18">
        <f t="shared" si="95"/>
        <v>7.0752832120932835E-2</v>
      </c>
      <c r="I253" s="18">
        <f t="shared" si="96"/>
        <v>4.9000000000000007E-3</v>
      </c>
      <c r="J253" s="18">
        <f t="shared" si="97"/>
        <v>1.7808399999999997E-5</v>
      </c>
      <c r="K253" s="18">
        <f t="shared" si="98"/>
        <v>-1.8619583169141328E-2</v>
      </c>
      <c r="L253" s="18">
        <f t="shared" si="99"/>
        <v>1.1224948710539483E-3</v>
      </c>
      <c r="M253" s="18">
        <f t="shared" si="100"/>
        <v>-2.9540000000000002E-4</v>
      </c>
      <c r="N253" s="18">
        <f t="shared" si="102"/>
        <v>1.1969536655244068E-3</v>
      </c>
      <c r="O253" s="18">
        <f t="shared" si="105"/>
        <v>2.1173576362036603E-4</v>
      </c>
      <c r="P253" s="18">
        <f t="shared" si="107"/>
        <v>1.797738369177375E-3</v>
      </c>
      <c r="Q253" s="18">
        <f t="shared" si="109"/>
        <v>1.7801403545166497E-3</v>
      </c>
      <c r="R253" s="18">
        <f t="shared" si="111"/>
        <v>5.306417243427739E-4</v>
      </c>
      <c r="S253" s="18">
        <f t="shared" si="113"/>
        <v>5.9209046437839974E-2</v>
      </c>
      <c r="T253" s="18">
        <f t="shared" si="115"/>
        <v>1.1642367089980919E-2</v>
      </c>
      <c r="U253" s="18">
        <f t="shared" si="117"/>
        <v>3.8650071178486199E-2</v>
      </c>
      <c r="V253" s="18">
        <f t="shared" si="118"/>
        <v>1.6639154735094391E-2</v>
      </c>
      <c r="W253" s="18">
        <f t="shared" si="119"/>
        <v>3.9579903597749076E-3</v>
      </c>
      <c r="X253" s="18">
        <f t="shared" si="120"/>
        <v>1.7000687089469505E-3</v>
      </c>
      <c r="Y253" s="18">
        <f t="shared" si="121"/>
        <v>1.3662959595812211E-2</v>
      </c>
      <c r="AA253" s="18">
        <f t="shared" si="103"/>
        <v>-0.23201755530796978</v>
      </c>
      <c r="AB253" s="18">
        <f t="shared" si="104"/>
        <v>5.3832145971086813E-2</v>
      </c>
      <c r="AC253" s="18">
        <f t="shared" si="106"/>
        <v>7.4423500227128233E-4</v>
      </c>
      <c r="AD253" s="18">
        <f t="shared" si="108"/>
        <v>1.2866446851082449E-3</v>
      </c>
      <c r="AE253" s="18">
        <f t="shared" si="110"/>
        <v>4.0467194902594553E-3</v>
      </c>
      <c r="AF253" s="18">
        <f t="shared" si="112"/>
        <v>9.3693090548430298E-4</v>
      </c>
      <c r="AG253" s="18">
        <f t="shared" si="114"/>
        <v>9.8626250222024429E-3</v>
      </c>
      <c r="AH253" s="18">
        <f t="shared" si="116"/>
        <v>3.57500473233099E-2</v>
      </c>
      <c r="AJ253" s="18">
        <f>IF(ISNUMBER(Kernel!M253),Kernel!M253,"")</f>
        <v>-0.26869011757137984</v>
      </c>
      <c r="AK253" s="18">
        <f t="shared" si="101"/>
        <v>7.2194379280521914E-2</v>
      </c>
      <c r="AN253" s="18">
        <f>IF(ISNUMBER(Volcanic!G253),Volcanic!G253,"")</f>
        <v>5.2500000000000003E-3</v>
      </c>
    </row>
    <row r="254" spans="1:40">
      <c r="A254" s="18" t="str">
        <f>IF(Volcanic!A254="","",Volcanic!A254)</f>
        <v>3/1979</v>
      </c>
      <c r="B254" s="18">
        <f>IF(ISNUMBER(Volcanic!L254),Volcanic!L254,"")</f>
        <v>1979.2083333333333</v>
      </c>
      <c r="C254" s="18">
        <f>IF(ISNUMBER(Volcanic!J254),Volcanic!J254,"")</f>
        <v>5.7038987657268003E-3</v>
      </c>
      <c r="D254" s="18">
        <f t="shared" si="94"/>
        <v>3.2534461129659716E-5</v>
      </c>
      <c r="E254" s="18">
        <f>IF(ISNUMBER(Volcanic!C254),Volcanic!C254,"")</f>
        <v>0.27274840798594358</v>
      </c>
      <c r="F254" s="18">
        <f>IF(ISNUMBER(Volcanic!D254),Volcanic!D254,"")</f>
        <v>0.11</v>
      </c>
      <c r="G254" s="18">
        <f>IF(ISNUMBER(Volcanic!E254),Volcanic!E254,"")</f>
        <v>4.3299999999999996E-3</v>
      </c>
      <c r="H254" s="18">
        <f t="shared" si="95"/>
        <v>7.4391694058866725E-2</v>
      </c>
      <c r="I254" s="18">
        <f t="shared" si="96"/>
        <v>1.21E-2</v>
      </c>
      <c r="J254" s="18">
        <f t="shared" si="97"/>
        <v>1.8748899999999996E-5</v>
      </c>
      <c r="K254" s="18">
        <f t="shared" si="98"/>
        <v>3.0002324878453793E-2</v>
      </c>
      <c r="L254" s="18">
        <f t="shared" si="99"/>
        <v>1.1810006065791356E-3</v>
      </c>
      <c r="M254" s="18">
        <f t="shared" si="100"/>
        <v>4.7629999999999998E-4</v>
      </c>
      <c r="N254" s="18">
        <f t="shared" si="102"/>
        <v>6.2206851312099243E-2</v>
      </c>
      <c r="O254" s="18">
        <f t="shared" si="105"/>
        <v>1.1969536655244068E-3</v>
      </c>
      <c r="P254" s="18">
        <f t="shared" si="107"/>
        <v>2.1173576362036603E-4</v>
      </c>
      <c r="Q254" s="18">
        <f t="shared" si="109"/>
        <v>1.797738369177375E-3</v>
      </c>
      <c r="R254" s="18">
        <f t="shared" si="111"/>
        <v>1.7801403545166497E-3</v>
      </c>
      <c r="S254" s="18">
        <f t="shared" si="113"/>
        <v>5.306417243427739E-4</v>
      </c>
      <c r="T254" s="18">
        <f t="shared" si="115"/>
        <v>5.9209046437839974E-2</v>
      </c>
      <c r="U254" s="18">
        <f t="shared" si="117"/>
        <v>1.1642367089980919E-2</v>
      </c>
      <c r="V254" s="18">
        <f t="shared" si="118"/>
        <v>3.8650071178486199E-2</v>
      </c>
      <c r="W254" s="18">
        <f t="shared" si="119"/>
        <v>1.6639154735094391E-2</v>
      </c>
      <c r="X254" s="18">
        <f t="shared" si="120"/>
        <v>3.9579903597749076E-3</v>
      </c>
      <c r="Y254" s="18">
        <f t="shared" si="121"/>
        <v>1.7000687089469505E-3</v>
      </c>
      <c r="AA254" s="18">
        <f t="shared" si="103"/>
        <v>0.13110932051853055</v>
      </c>
      <c r="AB254" s="18">
        <f t="shared" si="104"/>
        <v>1.7189653926830778E-2</v>
      </c>
      <c r="AC254" s="18">
        <f t="shared" si="106"/>
        <v>5.3832145971086813E-2</v>
      </c>
      <c r="AD254" s="18">
        <f t="shared" si="108"/>
        <v>7.4423500227128233E-4</v>
      </c>
      <c r="AE254" s="18">
        <f t="shared" si="110"/>
        <v>1.2866446851082449E-3</v>
      </c>
      <c r="AF254" s="18">
        <f t="shared" si="112"/>
        <v>4.0467194902594553E-3</v>
      </c>
      <c r="AG254" s="18">
        <f t="shared" si="114"/>
        <v>9.3693090548430298E-4</v>
      </c>
      <c r="AH254" s="18">
        <f t="shared" si="116"/>
        <v>9.8626250222024429E-3</v>
      </c>
      <c r="AJ254" s="18">
        <f>IF(ISNUMBER(Kernel!M254),Kernel!M254,"")</f>
        <v>-2.3842801531986924E-3</v>
      </c>
      <c r="AK254" s="18">
        <f t="shared" si="101"/>
        <v>5.6847918489371795E-6</v>
      </c>
      <c r="AN254" s="18">
        <f>IF(ISNUMBER(Volcanic!G254),Volcanic!G254,"")</f>
        <v>5.2300000000000003E-3</v>
      </c>
    </row>
    <row r="255" spans="1:40">
      <c r="A255" s="18" t="str">
        <f>IF(Volcanic!A255="","",Volcanic!A255)</f>
        <v>4/1979</v>
      </c>
      <c r="B255" s="18">
        <f>IF(ISNUMBER(Volcanic!L255),Volcanic!L255,"")</f>
        <v>1979.2916666666667</v>
      </c>
      <c r="C255" s="18">
        <f>IF(ISNUMBER(Volcanic!J255),Volcanic!J255,"")</f>
        <v>-4.7958224044430287E-2</v>
      </c>
      <c r="D255" s="18">
        <f t="shared" si="94"/>
        <v>2.2999912534957712E-3</v>
      </c>
      <c r="E255" s="18">
        <f>IF(ISNUMBER(Volcanic!C255),Volcanic!C255,"")</f>
        <v>0.27509220998275441</v>
      </c>
      <c r="F255" s="18">
        <f>IF(ISNUMBER(Volcanic!D255),Volcanic!D255,"")</f>
        <v>0.19</v>
      </c>
      <c r="G255" s="18">
        <f>IF(ISNUMBER(Volcanic!E255),Volcanic!E255,"")</f>
        <v>4.4000000000000003E-3</v>
      </c>
      <c r="H255" s="18">
        <f t="shared" si="95"/>
        <v>7.5675723993195845E-2</v>
      </c>
      <c r="I255" s="18">
        <f t="shared" si="96"/>
        <v>3.61E-2</v>
      </c>
      <c r="J255" s="18">
        <f t="shared" si="97"/>
        <v>1.9360000000000001E-5</v>
      </c>
      <c r="K255" s="18">
        <f t="shared" si="98"/>
        <v>5.226751989672334E-2</v>
      </c>
      <c r="L255" s="18">
        <f t="shared" si="99"/>
        <v>1.2104057239241196E-3</v>
      </c>
      <c r="M255" s="18">
        <f t="shared" si="100"/>
        <v>8.3600000000000005E-4</v>
      </c>
      <c r="N255" s="18">
        <f t="shared" si="102"/>
        <v>3.2534461129659716E-5</v>
      </c>
      <c r="O255" s="18">
        <f t="shared" si="105"/>
        <v>6.2206851312099243E-2</v>
      </c>
      <c r="P255" s="18">
        <f t="shared" si="107"/>
        <v>1.1969536655244068E-3</v>
      </c>
      <c r="Q255" s="18">
        <f t="shared" si="109"/>
        <v>2.1173576362036603E-4</v>
      </c>
      <c r="R255" s="18">
        <f t="shared" si="111"/>
        <v>1.797738369177375E-3</v>
      </c>
      <c r="S255" s="18">
        <f t="shared" si="113"/>
        <v>1.7801403545166497E-3</v>
      </c>
      <c r="T255" s="18">
        <f t="shared" si="115"/>
        <v>5.306417243427739E-4</v>
      </c>
      <c r="U255" s="18">
        <f t="shared" si="117"/>
        <v>5.9209046437839974E-2</v>
      </c>
      <c r="V255" s="18">
        <f t="shared" si="118"/>
        <v>1.1642367089980919E-2</v>
      </c>
      <c r="W255" s="18">
        <f t="shared" si="119"/>
        <v>3.8650071178486199E-2</v>
      </c>
      <c r="X255" s="18">
        <f t="shared" si="120"/>
        <v>1.6639154735094391E-2</v>
      </c>
      <c r="Y255" s="18">
        <f t="shared" si="121"/>
        <v>3.9579903597749076E-3</v>
      </c>
      <c r="AA255" s="18">
        <f t="shared" si="103"/>
        <v>-5.0826157117617024E-2</v>
      </c>
      <c r="AB255" s="18">
        <f t="shared" si="104"/>
        <v>2.5832982473446915E-3</v>
      </c>
      <c r="AC255" s="18">
        <f t="shared" si="106"/>
        <v>1.7189653926830778E-2</v>
      </c>
      <c r="AD255" s="18">
        <f t="shared" si="108"/>
        <v>5.3832145971086813E-2</v>
      </c>
      <c r="AE255" s="18">
        <f t="shared" si="110"/>
        <v>7.4423500227128233E-4</v>
      </c>
      <c r="AF255" s="18">
        <f t="shared" si="112"/>
        <v>1.2866446851082449E-3</v>
      </c>
      <c r="AG255" s="18">
        <f t="shared" si="114"/>
        <v>4.0467194902594553E-3</v>
      </c>
      <c r="AH255" s="18">
        <f t="shared" si="116"/>
        <v>9.3693090548430298E-4</v>
      </c>
      <c r="AJ255" s="18">
        <f>IF(ISNUMBER(Kernel!M255),Kernel!M255,"")</f>
        <v>-5.3969881930934022E-2</v>
      </c>
      <c r="AK255" s="18">
        <f t="shared" si="101"/>
        <v>2.9127481556389585E-3</v>
      </c>
      <c r="AN255" s="18">
        <f>IF(ISNUMBER(Volcanic!G255),Volcanic!G255,"")</f>
        <v>5.1700000000000001E-3</v>
      </c>
    </row>
    <row r="256" spans="1:40">
      <c r="A256" s="18" t="str">
        <f>IF(Volcanic!A256="","",Volcanic!A256)</f>
        <v>5/1979</v>
      </c>
      <c r="B256" s="18">
        <f>IF(ISNUMBER(Volcanic!L256),Volcanic!L256,"")</f>
        <v>1979.375</v>
      </c>
      <c r="C256" s="18">
        <f>IF(ISNUMBER(Volcanic!J256),Volcanic!J256,"")</f>
        <v>-0.17451269312468337</v>
      </c>
      <c r="D256" s="18">
        <f t="shared" si="94"/>
        <v>3.0454680061629911E-2</v>
      </c>
      <c r="E256" s="18">
        <f>IF(ISNUMBER(Volcanic!C256),Volcanic!C256,"")</f>
        <v>0.27687946183264034</v>
      </c>
      <c r="F256" s="18">
        <f>IF(ISNUMBER(Volcanic!D256),Volcanic!D256,"")</f>
        <v>0.21</v>
      </c>
      <c r="G256" s="18">
        <f>IF(ISNUMBER(Volcanic!E256),Volcanic!E256,"")</f>
        <v>4.4799999999999996E-3</v>
      </c>
      <c r="H256" s="18">
        <f t="shared" si="95"/>
        <v>7.6662236384732532E-2</v>
      </c>
      <c r="I256" s="18">
        <f t="shared" si="96"/>
        <v>4.4099999999999993E-2</v>
      </c>
      <c r="J256" s="18">
        <f t="shared" si="97"/>
        <v>2.0070399999999997E-5</v>
      </c>
      <c r="K256" s="18">
        <f t="shared" si="98"/>
        <v>5.814468698485447E-2</v>
      </c>
      <c r="L256" s="18">
        <f t="shared" si="99"/>
        <v>1.2404199890102285E-3</v>
      </c>
      <c r="M256" s="18">
        <f t="shared" si="100"/>
        <v>9.4079999999999988E-4</v>
      </c>
      <c r="N256" s="18">
        <f t="shared" si="102"/>
        <v>2.2999912534957712E-3</v>
      </c>
      <c r="O256" s="18">
        <f t="shared" si="105"/>
        <v>3.2534461129659716E-5</v>
      </c>
      <c r="P256" s="18">
        <f t="shared" si="107"/>
        <v>6.2206851312099243E-2</v>
      </c>
      <c r="Q256" s="18">
        <f t="shared" si="109"/>
        <v>1.1969536655244068E-3</v>
      </c>
      <c r="R256" s="18">
        <f t="shared" si="111"/>
        <v>2.1173576362036603E-4</v>
      </c>
      <c r="S256" s="18">
        <f t="shared" si="113"/>
        <v>1.797738369177375E-3</v>
      </c>
      <c r="T256" s="18">
        <f t="shared" si="115"/>
        <v>1.7801403545166497E-3</v>
      </c>
      <c r="U256" s="18">
        <f t="shared" si="117"/>
        <v>5.306417243427739E-4</v>
      </c>
      <c r="V256" s="18">
        <f t="shared" si="118"/>
        <v>5.9209046437839974E-2</v>
      </c>
      <c r="W256" s="18">
        <f t="shared" si="119"/>
        <v>1.1642367089980919E-2</v>
      </c>
      <c r="X256" s="18">
        <f t="shared" si="120"/>
        <v>3.8650071178486199E-2</v>
      </c>
      <c r="Y256" s="18">
        <f t="shared" si="121"/>
        <v>1.6639154735094391E-2</v>
      </c>
      <c r="AA256" s="18">
        <f t="shared" si="103"/>
        <v>-0.15039919067355853</v>
      </c>
      <c r="AB256" s="18">
        <f t="shared" si="104"/>
        <v>2.2619916555261414E-2</v>
      </c>
      <c r="AC256" s="18">
        <f t="shared" si="106"/>
        <v>2.5832982473446915E-3</v>
      </c>
      <c r="AD256" s="18">
        <f t="shared" si="108"/>
        <v>1.7189653926830778E-2</v>
      </c>
      <c r="AE256" s="18">
        <f t="shared" si="110"/>
        <v>5.3832145971086813E-2</v>
      </c>
      <c r="AF256" s="18">
        <f t="shared" si="112"/>
        <v>7.4423500227128233E-4</v>
      </c>
      <c r="AG256" s="18">
        <f t="shared" si="114"/>
        <v>1.2866446851082449E-3</v>
      </c>
      <c r="AH256" s="18">
        <f t="shared" si="116"/>
        <v>4.0467194902594553E-3</v>
      </c>
      <c r="AJ256" s="18">
        <f>IF(ISNUMBER(Kernel!M256),Kernel!M256,"")</f>
        <v>-0.18260461469974998</v>
      </c>
      <c r="AK256" s="18">
        <f t="shared" si="101"/>
        <v>3.3344445309644144E-2</v>
      </c>
      <c r="AN256" s="18">
        <f>IF(ISNUMBER(Volcanic!G256),Volcanic!G256,"")</f>
        <v>5.0899999999999999E-3</v>
      </c>
    </row>
    <row r="257" spans="1:40">
      <c r="A257" s="18" t="str">
        <f>IF(Volcanic!A257="","",Volcanic!A257)</f>
        <v>6/1979</v>
      </c>
      <c r="B257" s="18">
        <f>IF(ISNUMBER(Volcanic!L257),Volcanic!L257,"")</f>
        <v>1979.4583333333333</v>
      </c>
      <c r="C257" s="18">
        <f>IF(ISNUMBER(Volcanic!J257),Volcanic!J257,"")</f>
        <v>-7.2366299176516824E-2</v>
      </c>
      <c r="D257" s="18">
        <f t="shared" si="94"/>
        <v>5.2368812565051397E-3</v>
      </c>
      <c r="E257" s="18">
        <f>IF(ISNUMBER(Volcanic!C257),Volcanic!C257,"")</f>
        <v>0.27696451386160453</v>
      </c>
      <c r="F257" s="18">
        <f>IF(ISNUMBER(Volcanic!D257),Volcanic!D257,"")</f>
        <v>0.28999999999999998</v>
      </c>
      <c r="G257" s="18">
        <f>IF(ISNUMBER(Volcanic!E257),Volcanic!E257,"")</f>
        <v>4.3899999999999998E-3</v>
      </c>
      <c r="H257" s="18">
        <f t="shared" si="95"/>
        <v>7.6709341938594924E-2</v>
      </c>
      <c r="I257" s="18">
        <f t="shared" si="96"/>
        <v>8.4099999999999994E-2</v>
      </c>
      <c r="J257" s="18">
        <f t="shared" si="97"/>
        <v>1.9272099999999998E-5</v>
      </c>
      <c r="K257" s="18">
        <f t="shared" si="98"/>
        <v>8.0319709019865307E-2</v>
      </c>
      <c r="L257" s="18">
        <f t="shared" si="99"/>
        <v>1.2158742158524438E-3</v>
      </c>
      <c r="M257" s="18">
        <f t="shared" si="100"/>
        <v>1.2730999999999999E-3</v>
      </c>
      <c r="N257" s="18">
        <f t="shared" si="102"/>
        <v>3.0454680061629911E-2</v>
      </c>
      <c r="O257" s="18">
        <f t="shared" si="105"/>
        <v>2.2999912534957712E-3</v>
      </c>
      <c r="P257" s="18">
        <f t="shared" si="107"/>
        <v>3.2534461129659716E-5</v>
      </c>
      <c r="Q257" s="18">
        <f t="shared" si="109"/>
        <v>6.2206851312099243E-2</v>
      </c>
      <c r="R257" s="18">
        <f t="shared" si="111"/>
        <v>1.1969536655244068E-3</v>
      </c>
      <c r="S257" s="18">
        <f t="shared" si="113"/>
        <v>2.1173576362036603E-4</v>
      </c>
      <c r="T257" s="18">
        <f t="shared" si="115"/>
        <v>1.797738369177375E-3</v>
      </c>
      <c r="U257" s="18">
        <f t="shared" si="117"/>
        <v>1.7801403545166497E-3</v>
      </c>
      <c r="V257" s="18">
        <f t="shared" si="118"/>
        <v>5.306417243427739E-4</v>
      </c>
      <c r="W257" s="18">
        <f t="shared" si="119"/>
        <v>5.9209046437839974E-2</v>
      </c>
      <c r="X257" s="18">
        <f t="shared" si="120"/>
        <v>1.1642367089980919E-2</v>
      </c>
      <c r="Y257" s="18">
        <f t="shared" si="121"/>
        <v>3.8650071178486199E-2</v>
      </c>
      <c r="AA257" s="18">
        <f t="shared" si="103"/>
        <v>1.5379073744630031E-2</v>
      </c>
      <c r="AB257" s="18">
        <f t="shared" si="104"/>
        <v>2.3651590924276877E-4</v>
      </c>
      <c r="AC257" s="18">
        <f t="shared" si="106"/>
        <v>2.2619916555261414E-2</v>
      </c>
      <c r="AD257" s="18">
        <f t="shared" si="108"/>
        <v>2.5832982473446915E-3</v>
      </c>
      <c r="AE257" s="18">
        <f t="shared" si="110"/>
        <v>1.7189653926830778E-2</v>
      </c>
      <c r="AF257" s="18">
        <f t="shared" si="112"/>
        <v>5.3832145971086813E-2</v>
      </c>
      <c r="AG257" s="18">
        <f t="shared" si="114"/>
        <v>7.4423500227128233E-4</v>
      </c>
      <c r="AH257" s="18">
        <f t="shared" si="116"/>
        <v>1.2866446851082449E-3</v>
      </c>
      <c r="AJ257" s="18">
        <f>IF(ISNUMBER(Kernel!M257),Kernel!M257,"")</f>
        <v>-7.278537194744289E-2</v>
      </c>
      <c r="AK257" s="18">
        <f t="shared" si="101"/>
        <v>5.2977103695276062E-3</v>
      </c>
      <c r="AN257" s="18">
        <f>IF(ISNUMBER(Volcanic!G257),Volcanic!G257,"")</f>
        <v>5.1200000000000004E-3</v>
      </c>
    </row>
    <row r="258" spans="1:40">
      <c r="A258" s="18" t="str">
        <f>IF(Volcanic!A258="","",Volcanic!A258)</f>
        <v>7/1979</v>
      </c>
      <c r="B258" s="18">
        <f>IF(ISNUMBER(Volcanic!L258),Volcanic!L258,"")</f>
        <v>1979.5416666666667</v>
      </c>
      <c r="C258" s="18">
        <f>IF(ISNUMBER(Volcanic!J258),Volcanic!J258,"")</f>
        <v>-0.155392348285667</v>
      </c>
      <c r="D258" s="18">
        <f t="shared" ref="D258:D321" si="122">IF(ISNUMBER(C258),C258^2,"")</f>
        <v>2.4146781905734035E-2</v>
      </c>
      <c r="E258" s="18">
        <f>IF(ISNUMBER(Volcanic!C258),Volcanic!C258,"")</f>
        <v>0.26963165094043912</v>
      </c>
      <c r="F258" s="18">
        <f>IF(ISNUMBER(Volcanic!D258),Volcanic!D258,"")</f>
        <v>0.32</v>
      </c>
      <c r="G258" s="18">
        <f>IF(ISNUMBER(Volcanic!E258),Volcanic!E258,"")</f>
        <v>4.28E-3</v>
      </c>
      <c r="H258" s="18">
        <f t="shared" ref="H258:H321" si="123">IF(ISNUMBER(E258),E258^2,"")</f>
        <v>7.2701227188866804E-2</v>
      </c>
      <c r="I258" s="18">
        <f t="shared" ref="I258:I321" si="124">IF(ISNUMBER(F258),F258^2,"")</f>
        <v>0.1024</v>
      </c>
      <c r="J258" s="18">
        <f t="shared" ref="J258:J321" si="125">IF(ISNUMBER(G258),G258^2,"")</f>
        <v>1.8318400000000001E-5</v>
      </c>
      <c r="K258" s="18">
        <f t="shared" ref="K258:K321" si="126">IF(AND(ISNUMBER(E258),ISNUMBER(F258)),E258*F258,"")</f>
        <v>8.6282128300940522E-2</v>
      </c>
      <c r="L258" s="18">
        <f t="shared" ref="L258:L321" si="127">IF(AND(ISNUMBER(E258),ISNUMBER(G258)),E258*G258,"")</f>
        <v>1.1540234660250793E-3</v>
      </c>
      <c r="M258" s="18">
        <f t="shared" ref="M258:M321" si="128">IF(AND(ISNUMBER(F258),ISNUMBER(G258)),F258*G258,"")</f>
        <v>1.3696000000000001E-3</v>
      </c>
      <c r="N258" s="18">
        <f t="shared" si="102"/>
        <v>5.2368812565051397E-3</v>
      </c>
      <c r="O258" s="18">
        <f t="shared" si="105"/>
        <v>3.0454680061629911E-2</v>
      </c>
      <c r="P258" s="18">
        <f t="shared" si="107"/>
        <v>2.2999912534957712E-3</v>
      </c>
      <c r="Q258" s="18">
        <f t="shared" si="109"/>
        <v>3.2534461129659716E-5</v>
      </c>
      <c r="R258" s="18">
        <f t="shared" si="111"/>
        <v>6.2206851312099243E-2</v>
      </c>
      <c r="S258" s="18">
        <f t="shared" si="113"/>
        <v>1.1969536655244068E-3</v>
      </c>
      <c r="T258" s="18">
        <f t="shared" si="115"/>
        <v>2.1173576362036603E-4</v>
      </c>
      <c r="U258" s="18">
        <f t="shared" si="117"/>
        <v>1.797738369177375E-3</v>
      </c>
      <c r="V258" s="18">
        <f t="shared" si="118"/>
        <v>1.7801403545166497E-3</v>
      </c>
      <c r="W258" s="18">
        <f t="shared" si="119"/>
        <v>5.306417243427739E-4</v>
      </c>
      <c r="X258" s="18">
        <f t="shared" si="120"/>
        <v>5.9209046437839974E-2</v>
      </c>
      <c r="Y258" s="18">
        <f t="shared" si="121"/>
        <v>1.1642367089980919E-2</v>
      </c>
      <c r="AA258" s="18">
        <f t="shared" si="103"/>
        <v>-0.11900641099668122</v>
      </c>
      <c r="AB258" s="18">
        <f t="shared" si="104"/>
        <v>1.4162525858311008E-2</v>
      </c>
      <c r="AC258" s="18">
        <f t="shared" si="106"/>
        <v>2.3651590924276877E-4</v>
      </c>
      <c r="AD258" s="18">
        <f t="shared" si="108"/>
        <v>2.2619916555261414E-2</v>
      </c>
      <c r="AE258" s="18">
        <f t="shared" si="110"/>
        <v>2.5832982473446915E-3</v>
      </c>
      <c r="AF258" s="18">
        <f t="shared" si="112"/>
        <v>1.7189653926830778E-2</v>
      </c>
      <c r="AG258" s="18">
        <f t="shared" si="114"/>
        <v>5.3832145971086813E-2</v>
      </c>
      <c r="AH258" s="18">
        <f t="shared" si="116"/>
        <v>7.4423500227128233E-4</v>
      </c>
      <c r="AJ258" s="18">
        <f>IF(ISNUMBER(Kernel!M258),Kernel!M258,"")</f>
        <v>-0.15181367718100372</v>
      </c>
      <c r="AK258" s="18">
        <f t="shared" ref="AK258:AK321" si="129">IF(ISNUMBER(AJ258),AJ258^2,"")</f>
        <v>2.304739257921801E-2</v>
      </c>
      <c r="AN258" s="18">
        <f>IF(ISNUMBER(Volcanic!G258),Volcanic!G258,"")</f>
        <v>5.1500000000000001E-3</v>
      </c>
    </row>
    <row r="259" spans="1:40">
      <c r="A259" s="18" t="str">
        <f>IF(Volcanic!A259="","",Volcanic!A259)</f>
        <v>8/1979</v>
      </c>
      <c r="B259" s="18">
        <f>IF(ISNUMBER(Volcanic!L259),Volcanic!L259,"")</f>
        <v>1979.625</v>
      </c>
      <c r="C259" s="18">
        <f>IF(ISNUMBER(Volcanic!J259),Volcanic!J259,"")</f>
        <v>8.4375146764131825E-4</v>
      </c>
      <c r="D259" s="18">
        <f t="shared" si="122"/>
        <v>7.1191653914687856E-7</v>
      </c>
      <c r="E259" s="18">
        <f>IF(ISNUMBER(Volcanic!C259),Volcanic!C259,"")</f>
        <v>0.26183165875213665</v>
      </c>
      <c r="F259" s="18">
        <f>IF(ISNUMBER(Volcanic!D259),Volcanic!D259,"")</f>
        <v>0.28999999999999998</v>
      </c>
      <c r="G259" s="18">
        <f>IF(ISNUMBER(Volcanic!E259),Volcanic!E259,"")</f>
        <v>5.2700000000000004E-3</v>
      </c>
      <c r="H259" s="18">
        <f t="shared" si="123"/>
        <v>6.8555817524895341E-2</v>
      </c>
      <c r="I259" s="18">
        <f t="shared" si="124"/>
        <v>8.4099999999999994E-2</v>
      </c>
      <c r="J259" s="18">
        <f t="shared" si="125"/>
        <v>2.7772900000000003E-5</v>
      </c>
      <c r="K259" s="18">
        <f t="shared" si="126"/>
        <v>7.5931181038119619E-2</v>
      </c>
      <c r="L259" s="18">
        <f t="shared" si="127"/>
        <v>1.3798528416237603E-3</v>
      </c>
      <c r="M259" s="18">
        <f t="shared" si="128"/>
        <v>1.5283E-3</v>
      </c>
      <c r="N259" s="18">
        <f t="shared" ref="N259:N322" si="130">IF(ISNUMBER(D258),D258,"")</f>
        <v>2.4146781905734035E-2</v>
      </c>
      <c r="O259" s="18">
        <f t="shared" si="105"/>
        <v>5.2368812565051397E-3</v>
      </c>
      <c r="P259" s="18">
        <f t="shared" si="107"/>
        <v>3.0454680061629911E-2</v>
      </c>
      <c r="Q259" s="18">
        <f t="shared" si="109"/>
        <v>2.2999912534957712E-3</v>
      </c>
      <c r="R259" s="18">
        <f t="shared" si="111"/>
        <v>3.2534461129659716E-5</v>
      </c>
      <c r="S259" s="18">
        <f t="shared" si="113"/>
        <v>6.2206851312099243E-2</v>
      </c>
      <c r="T259" s="18">
        <f t="shared" si="115"/>
        <v>1.1969536655244068E-3</v>
      </c>
      <c r="U259" s="18">
        <f t="shared" si="117"/>
        <v>2.1173576362036603E-4</v>
      </c>
      <c r="V259" s="18">
        <f t="shared" si="118"/>
        <v>1.797738369177375E-3</v>
      </c>
      <c r="W259" s="18">
        <f t="shared" si="119"/>
        <v>1.7801403545166497E-3</v>
      </c>
      <c r="X259" s="18">
        <f t="shared" si="120"/>
        <v>5.306417243427739E-4</v>
      </c>
      <c r="Y259" s="18">
        <f t="shared" si="121"/>
        <v>5.9209046437839974E-2</v>
      </c>
      <c r="AA259" s="18">
        <f t="shared" ref="AA259:AA322" si="131">IF(AND(ISNUMBER(C259),ISNUMBER(C258)),C259-$AX$16*C258,"")</f>
        <v>7.8975372184060338E-2</v>
      </c>
      <c r="AB259" s="18">
        <f t="shared" ref="AB259:AB322" si="132">IF(ISNUMBER(AA259),AA259^2,"")</f>
        <v>6.2371094116108515E-3</v>
      </c>
      <c r="AC259" s="18">
        <f t="shared" si="106"/>
        <v>1.4162525858311008E-2</v>
      </c>
      <c r="AD259" s="18">
        <f t="shared" si="108"/>
        <v>2.3651590924276877E-4</v>
      </c>
      <c r="AE259" s="18">
        <f t="shared" si="110"/>
        <v>2.2619916555261414E-2</v>
      </c>
      <c r="AF259" s="18">
        <f t="shared" si="112"/>
        <v>2.5832982473446915E-3</v>
      </c>
      <c r="AG259" s="18">
        <f t="shared" si="114"/>
        <v>1.7189653926830778E-2</v>
      </c>
      <c r="AH259" s="18">
        <f t="shared" si="116"/>
        <v>5.3832145971086813E-2</v>
      </c>
      <c r="AJ259" s="18">
        <f>IF(ISNUMBER(Kernel!M259),Kernel!M259,"")</f>
        <v>-2.5152868639070347E-3</v>
      </c>
      <c r="AK259" s="18">
        <f t="shared" si="129"/>
        <v>6.3266680077432854E-6</v>
      </c>
      <c r="AN259" s="18">
        <f>IF(ISNUMBER(Volcanic!G259),Volcanic!G259,"")</f>
        <v>5.3200000000000001E-3</v>
      </c>
    </row>
    <row r="260" spans="1:40">
      <c r="A260" s="18" t="str">
        <f>IF(Volcanic!A260="","",Volcanic!A260)</f>
        <v>9/1979</v>
      </c>
      <c r="B260" s="18">
        <f>IF(ISNUMBER(Volcanic!L260),Volcanic!L260,"")</f>
        <v>1979.7083333333333</v>
      </c>
      <c r="C260" s="18">
        <f>IF(ISNUMBER(Volcanic!J260),Volcanic!J260,"")</f>
        <v>0.11528371269485529</v>
      </c>
      <c r="D260" s="18">
        <f t="shared" si="122"/>
        <v>1.329033441270994E-2</v>
      </c>
      <c r="E260" s="18">
        <f>IF(ISNUMBER(Volcanic!C260),Volcanic!C260,"")</f>
        <v>0.25429168632221816</v>
      </c>
      <c r="F260" s="18">
        <f>IF(ISNUMBER(Volcanic!D260),Volcanic!D260,"")</f>
        <v>0.14000000000000001</v>
      </c>
      <c r="G260" s="18">
        <f>IF(ISNUMBER(Volcanic!E260),Volcanic!E260,"")</f>
        <v>5.2500000000000003E-3</v>
      </c>
      <c r="H260" s="18">
        <f t="shared" si="123"/>
        <v>6.46642617325974E-2</v>
      </c>
      <c r="I260" s="18">
        <f t="shared" si="124"/>
        <v>1.9600000000000003E-2</v>
      </c>
      <c r="J260" s="18">
        <f t="shared" si="125"/>
        <v>2.7562500000000002E-5</v>
      </c>
      <c r="K260" s="18">
        <f t="shared" si="126"/>
        <v>3.5600836085110547E-2</v>
      </c>
      <c r="L260" s="18">
        <f t="shared" si="127"/>
        <v>1.3350313531916454E-3</v>
      </c>
      <c r="M260" s="18">
        <f t="shared" si="128"/>
        <v>7.3500000000000008E-4</v>
      </c>
      <c r="N260" s="18">
        <f t="shared" si="130"/>
        <v>7.1191653914687856E-7</v>
      </c>
      <c r="O260" s="18">
        <f t="shared" ref="O260:O323" si="133">IF(ISNUMBER(D258),D258,"")</f>
        <v>2.4146781905734035E-2</v>
      </c>
      <c r="P260" s="18">
        <f t="shared" si="107"/>
        <v>5.2368812565051397E-3</v>
      </c>
      <c r="Q260" s="18">
        <f t="shared" si="109"/>
        <v>3.0454680061629911E-2</v>
      </c>
      <c r="R260" s="18">
        <f t="shared" si="111"/>
        <v>2.2999912534957712E-3</v>
      </c>
      <c r="S260" s="18">
        <f t="shared" si="113"/>
        <v>3.2534461129659716E-5</v>
      </c>
      <c r="T260" s="18">
        <f t="shared" si="115"/>
        <v>6.2206851312099243E-2</v>
      </c>
      <c r="U260" s="18">
        <f t="shared" si="117"/>
        <v>1.1969536655244068E-3</v>
      </c>
      <c r="V260" s="18">
        <f t="shared" si="118"/>
        <v>2.1173576362036603E-4</v>
      </c>
      <c r="W260" s="18">
        <f t="shared" si="119"/>
        <v>1.797738369177375E-3</v>
      </c>
      <c r="X260" s="18">
        <f t="shared" si="120"/>
        <v>1.7801403545166497E-3</v>
      </c>
      <c r="Y260" s="18">
        <f t="shared" si="121"/>
        <v>5.306417243427739E-4</v>
      </c>
      <c r="AA260" s="18">
        <f t="shared" si="131"/>
        <v>0.11485947256735891</v>
      </c>
      <c r="AB260" s="18">
        <f t="shared" si="132"/>
        <v>1.3192698438451875E-2</v>
      </c>
      <c r="AC260" s="18">
        <f t="shared" ref="AC260:AC323" si="134">IF(ISNUMBER(AB259),AB259,"")</f>
        <v>6.2371094116108515E-3</v>
      </c>
      <c r="AD260" s="18">
        <f t="shared" si="108"/>
        <v>1.4162525858311008E-2</v>
      </c>
      <c r="AE260" s="18">
        <f t="shared" si="110"/>
        <v>2.3651590924276877E-4</v>
      </c>
      <c r="AF260" s="18">
        <f t="shared" si="112"/>
        <v>2.2619916555261414E-2</v>
      </c>
      <c r="AG260" s="18">
        <f t="shared" si="114"/>
        <v>2.5832982473446915E-3</v>
      </c>
      <c r="AH260" s="18">
        <f t="shared" si="116"/>
        <v>1.7189653926830778E-2</v>
      </c>
      <c r="AJ260" s="18">
        <f>IF(ISNUMBER(Kernel!M260),Kernel!M260,"")</f>
        <v>9.3835273496012256E-2</v>
      </c>
      <c r="AK260" s="18">
        <f t="shared" si="129"/>
        <v>8.8050585520714209E-3</v>
      </c>
      <c r="AN260" s="18">
        <f>IF(ISNUMBER(Volcanic!G260),Volcanic!G260,"")</f>
        <v>5.5700000000000003E-3</v>
      </c>
    </row>
    <row r="261" spans="1:40">
      <c r="A261" s="18" t="str">
        <f>IF(Volcanic!A261="","",Volcanic!A261)</f>
        <v>10/1979</v>
      </c>
      <c r="B261" s="18">
        <f>IF(ISNUMBER(Volcanic!L261),Volcanic!L261,"")</f>
        <v>1979.7916666666667</v>
      </c>
      <c r="C261" s="18">
        <f>IF(ISNUMBER(Volcanic!J261),Volcanic!J261,"")</f>
        <v>0.12669959416415646</v>
      </c>
      <c r="D261" s="18">
        <f t="shared" si="122"/>
        <v>1.605278716136195E-2</v>
      </c>
      <c r="E261" s="18">
        <f>IF(ISNUMBER(Volcanic!C261),Volcanic!C261,"")</f>
        <v>0.25545757034741712</v>
      </c>
      <c r="F261" s="18">
        <f>IF(ISNUMBER(Volcanic!D261),Volcanic!D261,"")</f>
        <v>0.09</v>
      </c>
      <c r="G261" s="18">
        <f>IF(ISNUMBER(Volcanic!E261),Volcanic!E261,"")</f>
        <v>5.2300000000000003E-3</v>
      </c>
      <c r="H261" s="18">
        <f t="shared" si="123"/>
        <v>6.525857024780557E-2</v>
      </c>
      <c r="I261" s="18">
        <f t="shared" si="124"/>
        <v>8.0999999999999996E-3</v>
      </c>
      <c r="J261" s="18">
        <f t="shared" si="125"/>
        <v>2.7352900000000004E-5</v>
      </c>
      <c r="K261" s="18">
        <f t="shared" si="126"/>
        <v>2.2991181331267541E-2</v>
      </c>
      <c r="L261" s="18">
        <f t="shared" si="127"/>
        <v>1.3360430929169917E-3</v>
      </c>
      <c r="M261" s="18">
        <f t="shared" si="128"/>
        <v>4.707E-4</v>
      </c>
      <c r="N261" s="18">
        <f t="shared" si="130"/>
        <v>1.329033441270994E-2</v>
      </c>
      <c r="O261" s="18">
        <f t="shared" si="133"/>
        <v>7.1191653914687856E-7</v>
      </c>
      <c r="P261" s="18">
        <f t="shared" ref="P261:P324" si="135">IF(ISNUMBER(D258),D258,"")</f>
        <v>2.4146781905734035E-2</v>
      </c>
      <c r="Q261" s="18">
        <f t="shared" si="109"/>
        <v>5.2368812565051397E-3</v>
      </c>
      <c r="R261" s="18">
        <f t="shared" si="111"/>
        <v>3.0454680061629911E-2</v>
      </c>
      <c r="S261" s="18">
        <f t="shared" si="113"/>
        <v>2.2999912534957712E-3</v>
      </c>
      <c r="T261" s="18">
        <f t="shared" si="115"/>
        <v>3.2534461129659716E-5</v>
      </c>
      <c r="U261" s="18">
        <f t="shared" si="117"/>
        <v>6.2206851312099243E-2</v>
      </c>
      <c r="V261" s="18">
        <f t="shared" si="118"/>
        <v>1.1969536655244068E-3</v>
      </c>
      <c r="W261" s="18">
        <f t="shared" si="119"/>
        <v>2.1173576362036603E-4</v>
      </c>
      <c r="X261" s="18">
        <f t="shared" si="120"/>
        <v>1.797738369177375E-3</v>
      </c>
      <c r="Y261" s="18">
        <f t="shared" si="121"/>
        <v>1.7801403545166497E-3</v>
      </c>
      <c r="AA261" s="18">
        <f t="shared" si="131"/>
        <v>6.8734685245369853E-2</v>
      </c>
      <c r="AB261" s="18">
        <f t="shared" si="132"/>
        <v>4.7244569557800646E-3</v>
      </c>
      <c r="AC261" s="18">
        <f t="shared" si="134"/>
        <v>1.3192698438451875E-2</v>
      </c>
      <c r="AD261" s="18">
        <f t="shared" ref="AD261:AD324" si="136">IF(ISNUMBER(AB259),AB259,"")</f>
        <v>6.2371094116108515E-3</v>
      </c>
      <c r="AE261" s="18">
        <f t="shared" si="110"/>
        <v>1.4162525858311008E-2</v>
      </c>
      <c r="AF261" s="18">
        <f t="shared" si="112"/>
        <v>2.3651590924276877E-4</v>
      </c>
      <c r="AG261" s="18">
        <f t="shared" si="114"/>
        <v>2.2619916555261414E-2</v>
      </c>
      <c r="AH261" s="18">
        <f t="shared" si="116"/>
        <v>2.5832982473446915E-3</v>
      </c>
      <c r="AJ261" s="18">
        <f>IF(ISNUMBER(Kernel!M261),Kernel!M261,"")</f>
        <v>9.4555401402352246E-2</v>
      </c>
      <c r="AK261" s="18">
        <f t="shared" si="129"/>
        <v>8.9407239343599568E-3</v>
      </c>
      <c r="AN261" s="18">
        <f>IF(ISNUMBER(Volcanic!G261),Volcanic!G261,"")</f>
        <v>5.9100000000000003E-3</v>
      </c>
    </row>
    <row r="262" spans="1:40">
      <c r="A262" s="18" t="str">
        <f>IF(Volcanic!A262="","",Volcanic!A262)</f>
        <v>11/1979</v>
      </c>
      <c r="B262" s="18">
        <f>IF(ISNUMBER(Volcanic!L262),Volcanic!L262,"")</f>
        <v>1979.875</v>
      </c>
      <c r="C262" s="18">
        <f>IF(ISNUMBER(Volcanic!J262),Volcanic!J262,"")</f>
        <v>0.12181040721842326</v>
      </c>
      <c r="D262" s="18">
        <f t="shared" si="122"/>
        <v>1.4837775306718102E-2</v>
      </c>
      <c r="E262" s="18">
        <f>IF(ISNUMBER(Volcanic!C262),Volcanic!C262,"")</f>
        <v>0.26011170737902828</v>
      </c>
      <c r="F262" s="18">
        <f>IF(ISNUMBER(Volcanic!D262),Volcanic!D262,"")</f>
        <v>0.22</v>
      </c>
      <c r="G262" s="18">
        <f>IF(ISNUMBER(Volcanic!E262),Volcanic!E262,"")</f>
        <v>5.1700000000000001E-3</v>
      </c>
      <c r="H262" s="18">
        <f t="shared" si="123"/>
        <v>6.7658100315633241E-2</v>
      </c>
      <c r="I262" s="18">
        <f t="shared" si="124"/>
        <v>4.8399999999999999E-2</v>
      </c>
      <c r="J262" s="18">
        <f t="shared" si="125"/>
        <v>2.6728900000000001E-5</v>
      </c>
      <c r="K262" s="18">
        <f t="shared" si="126"/>
        <v>5.7224575623386224E-2</v>
      </c>
      <c r="L262" s="18">
        <f t="shared" si="127"/>
        <v>1.3447775271495763E-3</v>
      </c>
      <c r="M262" s="18">
        <f t="shared" si="128"/>
        <v>1.1374E-3</v>
      </c>
      <c r="N262" s="18">
        <f t="shared" si="130"/>
        <v>1.605278716136195E-2</v>
      </c>
      <c r="O262" s="18">
        <f t="shared" si="133"/>
        <v>1.329033441270994E-2</v>
      </c>
      <c r="P262" s="18">
        <f t="shared" si="135"/>
        <v>7.1191653914687856E-7</v>
      </c>
      <c r="Q262" s="18">
        <f t="shared" ref="Q262:Q325" si="137">IF(ISNUMBER(D258),D258,"")</f>
        <v>2.4146781905734035E-2</v>
      </c>
      <c r="R262" s="18">
        <f t="shared" si="111"/>
        <v>5.2368812565051397E-3</v>
      </c>
      <c r="S262" s="18">
        <f t="shared" si="113"/>
        <v>3.0454680061629911E-2</v>
      </c>
      <c r="T262" s="18">
        <f t="shared" si="115"/>
        <v>2.2999912534957712E-3</v>
      </c>
      <c r="U262" s="18">
        <f t="shared" si="117"/>
        <v>3.2534461129659716E-5</v>
      </c>
      <c r="V262" s="18">
        <f t="shared" si="118"/>
        <v>6.2206851312099243E-2</v>
      </c>
      <c r="W262" s="18">
        <f t="shared" si="119"/>
        <v>1.1969536655244068E-3</v>
      </c>
      <c r="X262" s="18">
        <f t="shared" si="120"/>
        <v>2.1173576362036603E-4</v>
      </c>
      <c r="Y262" s="18">
        <f t="shared" si="121"/>
        <v>1.797738369177375E-3</v>
      </c>
      <c r="AA262" s="18">
        <f t="shared" si="131"/>
        <v>5.8105567531209573E-2</v>
      </c>
      <c r="AB262" s="18">
        <f t="shared" si="132"/>
        <v>3.3762569781239562E-3</v>
      </c>
      <c r="AC262" s="18">
        <f t="shared" si="134"/>
        <v>4.7244569557800646E-3</v>
      </c>
      <c r="AD262" s="18">
        <f t="shared" si="136"/>
        <v>1.3192698438451875E-2</v>
      </c>
      <c r="AE262" s="18">
        <f t="shared" ref="AE262:AE325" si="138">IF(ISNUMBER(AB259),AB259,"")</f>
        <v>6.2371094116108515E-3</v>
      </c>
      <c r="AF262" s="18">
        <f t="shared" si="112"/>
        <v>1.4162525858311008E-2</v>
      </c>
      <c r="AG262" s="18">
        <f t="shared" si="114"/>
        <v>2.3651590924276877E-4</v>
      </c>
      <c r="AH262" s="18">
        <f t="shared" si="116"/>
        <v>2.2619916555261414E-2</v>
      </c>
      <c r="AJ262" s="18">
        <f>IF(ISNUMBER(Kernel!M262),Kernel!M262,"")</f>
        <v>9.6200863400111442E-2</v>
      </c>
      <c r="AK262" s="18">
        <f t="shared" si="129"/>
        <v>9.2546061189269016E-3</v>
      </c>
      <c r="AN262" s="18">
        <f>IF(ISNUMBER(Volcanic!G262),Volcanic!G262,"")</f>
        <v>6.0800000000000003E-3</v>
      </c>
    </row>
    <row r="263" spans="1:40">
      <c r="A263" s="18" t="str">
        <f>IF(Volcanic!A263="","",Volcanic!A263)</f>
        <v>12/1979</v>
      </c>
      <c r="B263" s="18">
        <f>IF(ISNUMBER(Volcanic!L263),Volcanic!L263,"")</f>
        <v>1979.9583333333333</v>
      </c>
      <c r="C263" s="18">
        <f>IF(ISNUMBER(Volcanic!J263),Volcanic!J263,"")</f>
        <v>0.2830531650424391</v>
      </c>
      <c r="D263" s="18">
        <f t="shared" si="122"/>
        <v>8.0119094240542268E-2</v>
      </c>
      <c r="E263" s="18">
        <f>IF(ISNUMBER(Volcanic!C263),Volcanic!C263,"")</f>
        <v>0.26650814596160988</v>
      </c>
      <c r="F263" s="18">
        <f>IF(ISNUMBER(Volcanic!D263),Volcanic!D263,"")</f>
        <v>0.34</v>
      </c>
      <c r="G263" s="18">
        <f>IF(ISNUMBER(Volcanic!E263),Volcanic!E263,"")</f>
        <v>5.0899999999999999E-3</v>
      </c>
      <c r="H263" s="18">
        <f t="shared" si="123"/>
        <v>7.1026591863894761E-2</v>
      </c>
      <c r="I263" s="18">
        <f t="shared" si="124"/>
        <v>0.11560000000000002</v>
      </c>
      <c r="J263" s="18">
        <f t="shared" si="125"/>
        <v>2.59081E-5</v>
      </c>
      <c r="K263" s="18">
        <f t="shared" si="126"/>
        <v>9.0612769626947365E-2</v>
      </c>
      <c r="L263" s="18">
        <f t="shared" si="127"/>
        <v>1.3565264629445942E-3</v>
      </c>
      <c r="M263" s="18">
        <f t="shared" si="128"/>
        <v>1.7306000000000001E-3</v>
      </c>
      <c r="N263" s="18">
        <f t="shared" si="130"/>
        <v>1.4837775306718102E-2</v>
      </c>
      <c r="O263" s="18">
        <f t="shared" si="133"/>
        <v>1.605278716136195E-2</v>
      </c>
      <c r="P263" s="18">
        <f t="shared" si="135"/>
        <v>1.329033441270994E-2</v>
      </c>
      <c r="Q263" s="18">
        <f t="shared" si="137"/>
        <v>7.1191653914687856E-7</v>
      </c>
      <c r="R263" s="18">
        <f t="shared" ref="R263:R326" si="139">IF(ISNUMBER(D258),D258,"")</f>
        <v>2.4146781905734035E-2</v>
      </c>
      <c r="S263" s="18">
        <f t="shared" si="113"/>
        <v>5.2368812565051397E-3</v>
      </c>
      <c r="T263" s="18">
        <f t="shared" si="115"/>
        <v>3.0454680061629911E-2</v>
      </c>
      <c r="U263" s="18">
        <f t="shared" si="117"/>
        <v>2.2999912534957712E-3</v>
      </c>
      <c r="V263" s="18">
        <f t="shared" si="118"/>
        <v>3.2534461129659716E-5</v>
      </c>
      <c r="W263" s="18">
        <f t="shared" si="119"/>
        <v>6.2206851312099243E-2</v>
      </c>
      <c r="X263" s="18">
        <f t="shared" si="120"/>
        <v>1.1969536655244068E-3</v>
      </c>
      <c r="Y263" s="18">
        <f t="shared" si="121"/>
        <v>2.1173576362036603E-4</v>
      </c>
      <c r="AA263" s="18">
        <f t="shared" si="131"/>
        <v>0.22180661950078684</v>
      </c>
      <c r="AB263" s="18">
        <f t="shared" si="132"/>
        <v>4.9198176454366832E-2</v>
      </c>
      <c r="AC263" s="18">
        <f t="shared" si="134"/>
        <v>3.3762569781239562E-3</v>
      </c>
      <c r="AD263" s="18">
        <f t="shared" si="136"/>
        <v>4.7244569557800646E-3</v>
      </c>
      <c r="AE263" s="18">
        <f t="shared" si="138"/>
        <v>1.3192698438451875E-2</v>
      </c>
      <c r="AF263" s="18">
        <f t="shared" ref="AF263:AF326" si="140">IF(ISNUMBER(AB259),AB259,"")</f>
        <v>6.2371094116108515E-3</v>
      </c>
      <c r="AG263" s="18">
        <f t="shared" si="114"/>
        <v>1.4162525858311008E-2</v>
      </c>
      <c r="AH263" s="18">
        <f t="shared" si="116"/>
        <v>2.3651590924276877E-4</v>
      </c>
      <c r="AJ263" s="18">
        <f>IF(ISNUMBER(Kernel!M263),Kernel!M263,"")</f>
        <v>0.26104032597418403</v>
      </c>
      <c r="AK263" s="18">
        <f t="shared" si="129"/>
        <v>6.8142051784708252E-2</v>
      </c>
      <c r="AN263" s="18">
        <f>IF(ISNUMBER(Volcanic!G263),Volcanic!G263,"")</f>
        <v>6.1900000000000002E-3</v>
      </c>
    </row>
    <row r="264" spans="1:40">
      <c r="A264" s="18" t="str">
        <f>IF(Volcanic!A264="","",Volcanic!A264)</f>
        <v>1/1980</v>
      </c>
      <c r="B264" s="18">
        <f>IF(ISNUMBER(Volcanic!L264),Volcanic!L264,"")</f>
        <v>1980.0416666666667</v>
      </c>
      <c r="C264" s="18">
        <f>IF(ISNUMBER(Volcanic!J264),Volcanic!J264,"")</f>
        <v>8.8342262313426123E-2</v>
      </c>
      <c r="D264" s="18">
        <f t="shared" si="122"/>
        <v>7.8043553106541897E-3</v>
      </c>
      <c r="E264" s="18">
        <f>IF(ISNUMBER(Volcanic!C264),Volcanic!C264,"")</f>
        <v>0.2711695233314726</v>
      </c>
      <c r="F264" s="18">
        <f>IF(ISNUMBER(Volcanic!D264),Volcanic!D264,"")</f>
        <v>0.47</v>
      </c>
      <c r="G264" s="18">
        <f>IF(ISNUMBER(Volcanic!E264),Volcanic!E264,"")</f>
        <v>5.1200000000000004E-3</v>
      </c>
      <c r="H264" s="18">
        <f t="shared" si="123"/>
        <v>7.3532910383818054E-2</v>
      </c>
      <c r="I264" s="18">
        <f t="shared" si="124"/>
        <v>0.22089999999999999</v>
      </c>
      <c r="J264" s="18">
        <f t="shared" si="125"/>
        <v>2.6214400000000004E-5</v>
      </c>
      <c r="K264" s="18">
        <f t="shared" si="126"/>
        <v>0.12744967596579213</v>
      </c>
      <c r="L264" s="18">
        <f t="shared" si="127"/>
        <v>1.3883879594571399E-3</v>
      </c>
      <c r="M264" s="18">
        <f t="shared" si="128"/>
        <v>2.4063999999999999E-3</v>
      </c>
      <c r="N264" s="18">
        <f t="shared" si="130"/>
        <v>8.0119094240542268E-2</v>
      </c>
      <c r="O264" s="18">
        <f t="shared" si="133"/>
        <v>1.4837775306718102E-2</v>
      </c>
      <c r="P264" s="18">
        <f t="shared" si="135"/>
        <v>1.605278716136195E-2</v>
      </c>
      <c r="Q264" s="18">
        <f t="shared" si="137"/>
        <v>1.329033441270994E-2</v>
      </c>
      <c r="R264" s="18">
        <f t="shared" si="139"/>
        <v>7.1191653914687856E-7</v>
      </c>
      <c r="S264" s="18">
        <f t="shared" ref="S264:S327" si="141">IF(ISNUMBER(D258),D258,"")</f>
        <v>2.4146781905734035E-2</v>
      </c>
      <c r="T264" s="18">
        <f t="shared" si="115"/>
        <v>5.2368812565051397E-3</v>
      </c>
      <c r="U264" s="18">
        <f t="shared" si="117"/>
        <v>3.0454680061629911E-2</v>
      </c>
      <c r="V264" s="18">
        <f t="shared" si="118"/>
        <v>2.2999912534957712E-3</v>
      </c>
      <c r="W264" s="18">
        <f t="shared" si="119"/>
        <v>3.2534461129659716E-5</v>
      </c>
      <c r="X264" s="18">
        <f t="shared" si="120"/>
        <v>6.2206851312099243E-2</v>
      </c>
      <c r="Y264" s="18">
        <f t="shared" si="121"/>
        <v>1.1969536655244068E-3</v>
      </c>
      <c r="AA264" s="18">
        <f t="shared" si="131"/>
        <v>-5.3977502962414547E-2</v>
      </c>
      <c r="AB264" s="18">
        <f t="shared" si="132"/>
        <v>2.9135708260574714E-3</v>
      </c>
      <c r="AC264" s="18">
        <f t="shared" si="134"/>
        <v>4.9198176454366832E-2</v>
      </c>
      <c r="AD264" s="18">
        <f t="shared" si="136"/>
        <v>3.3762569781239562E-3</v>
      </c>
      <c r="AE264" s="18">
        <f t="shared" si="138"/>
        <v>4.7244569557800646E-3</v>
      </c>
      <c r="AF264" s="18">
        <f t="shared" si="140"/>
        <v>1.3192698438451875E-2</v>
      </c>
      <c r="AG264" s="18">
        <f t="shared" ref="AG264:AG327" si="142">IF(ISNUMBER(AB259),AB259,"")</f>
        <v>6.2371094116108515E-3</v>
      </c>
      <c r="AH264" s="18">
        <f t="shared" si="116"/>
        <v>1.4162525858311008E-2</v>
      </c>
      <c r="AJ264" s="18">
        <f>IF(ISNUMBER(Kernel!M264),Kernel!M264,"")</f>
        <v>7.2379344233253762E-2</v>
      </c>
      <c r="AK264" s="18">
        <f t="shared" si="129"/>
        <v>5.2387694716358449E-3</v>
      </c>
      <c r="AN264" s="18">
        <f>IF(ISNUMBER(Volcanic!G264),Volcanic!G264,"")</f>
        <v>6.7200000000000003E-3</v>
      </c>
    </row>
    <row r="265" spans="1:40">
      <c r="A265" s="18" t="str">
        <f>IF(Volcanic!A265="","",Volcanic!A265)</f>
        <v>2/1980</v>
      </c>
      <c r="B265" s="18">
        <f>IF(ISNUMBER(Volcanic!L265),Volcanic!L265,"")</f>
        <v>1980.125</v>
      </c>
      <c r="C265" s="18">
        <f>IF(ISNUMBER(Volcanic!J265),Volcanic!J265,"")</f>
        <v>0.17050395774940724</v>
      </c>
      <c r="D265" s="18">
        <f t="shared" si="122"/>
        <v>2.9071599608211651E-2</v>
      </c>
      <c r="E265" s="18">
        <f>IF(ISNUMBER(Volcanic!C265),Volcanic!C265,"")</f>
        <v>0.27304692161483607</v>
      </c>
      <c r="F265" s="18">
        <f>IF(ISNUMBER(Volcanic!D265),Volcanic!D265,"")</f>
        <v>0.5</v>
      </c>
      <c r="G265" s="18">
        <f>IF(ISNUMBER(Volcanic!E265),Volcanic!E265,"")</f>
        <v>5.1500000000000001E-3</v>
      </c>
      <c r="H265" s="18">
        <f t="shared" si="123"/>
        <v>7.4554621403338434E-2</v>
      </c>
      <c r="I265" s="18">
        <f t="shared" si="124"/>
        <v>0.25</v>
      </c>
      <c r="J265" s="18">
        <f t="shared" si="125"/>
        <v>2.6522500000000002E-5</v>
      </c>
      <c r="K265" s="18">
        <f t="shared" si="126"/>
        <v>0.13652346080741803</v>
      </c>
      <c r="L265" s="18">
        <f t="shared" si="127"/>
        <v>1.4061916463164058E-3</v>
      </c>
      <c r="M265" s="18">
        <f t="shared" si="128"/>
        <v>2.575E-3</v>
      </c>
      <c r="N265" s="18">
        <f t="shared" si="130"/>
        <v>7.8043553106541897E-3</v>
      </c>
      <c r="O265" s="18">
        <f t="shared" si="133"/>
        <v>8.0119094240542268E-2</v>
      </c>
      <c r="P265" s="18">
        <f t="shared" si="135"/>
        <v>1.4837775306718102E-2</v>
      </c>
      <c r="Q265" s="18">
        <f t="shared" si="137"/>
        <v>1.605278716136195E-2</v>
      </c>
      <c r="R265" s="18">
        <f t="shared" si="139"/>
        <v>1.329033441270994E-2</v>
      </c>
      <c r="S265" s="18">
        <f t="shared" si="141"/>
        <v>7.1191653914687856E-7</v>
      </c>
      <c r="T265" s="18">
        <f t="shared" ref="T265:T328" si="143">IF(ISNUMBER(D258),D258,"")</f>
        <v>2.4146781905734035E-2</v>
      </c>
      <c r="U265" s="18">
        <f t="shared" si="117"/>
        <v>5.2368812565051397E-3</v>
      </c>
      <c r="V265" s="18">
        <f t="shared" si="118"/>
        <v>3.0454680061629911E-2</v>
      </c>
      <c r="W265" s="18">
        <f t="shared" si="119"/>
        <v>2.2999912534957712E-3</v>
      </c>
      <c r="X265" s="18">
        <f t="shared" si="120"/>
        <v>3.2534461129659716E-5</v>
      </c>
      <c r="Y265" s="18">
        <f t="shared" si="121"/>
        <v>6.2206851312099243E-2</v>
      </c>
      <c r="AA265" s="18">
        <f t="shared" si="131"/>
        <v>0.12608527041729964</v>
      </c>
      <c r="AB265" s="18">
        <f t="shared" si="132"/>
        <v>1.5897495416203576E-2</v>
      </c>
      <c r="AC265" s="18">
        <f t="shared" si="134"/>
        <v>2.9135708260574714E-3</v>
      </c>
      <c r="AD265" s="18">
        <f t="shared" si="136"/>
        <v>4.9198176454366832E-2</v>
      </c>
      <c r="AE265" s="18">
        <f t="shared" si="138"/>
        <v>3.3762569781239562E-3</v>
      </c>
      <c r="AF265" s="18">
        <f t="shared" si="140"/>
        <v>4.7244569557800646E-3</v>
      </c>
      <c r="AG265" s="18">
        <f t="shared" si="142"/>
        <v>1.3192698438451875E-2</v>
      </c>
      <c r="AH265" s="18">
        <f t="shared" ref="AH265:AH328" si="144">IF(ISNUMBER(AB259),AB259,"")</f>
        <v>6.2371094116108515E-3</v>
      </c>
      <c r="AJ265" s="18">
        <f>IF(ISNUMBER(Kernel!M265),Kernel!M265,"")</f>
        <v>0.15543923116164476</v>
      </c>
      <c r="AK265" s="18">
        <f t="shared" si="129"/>
        <v>2.4161354584123235E-2</v>
      </c>
      <c r="AN265" s="18">
        <f>IF(ISNUMBER(Volcanic!G265),Volcanic!G265,"")</f>
        <v>6.6499999999999997E-3</v>
      </c>
    </row>
    <row r="266" spans="1:40">
      <c r="A266" s="18" t="str">
        <f>IF(Volcanic!A266="","",Volcanic!A266)</f>
        <v>3/1980</v>
      </c>
      <c r="B266" s="18">
        <f>IF(ISNUMBER(Volcanic!L266),Volcanic!L266,"")</f>
        <v>1980.2083333333333</v>
      </c>
      <c r="C266" s="18">
        <f>IF(ISNUMBER(Volcanic!J266),Volcanic!J266,"")</f>
        <v>3.7818336407217434E-2</v>
      </c>
      <c r="D266" s="18">
        <f t="shared" si="122"/>
        <v>1.4302265686094676E-3</v>
      </c>
      <c r="E266" s="18">
        <f>IF(ISNUMBER(Volcanic!C266),Volcanic!C266,"")</f>
        <v>0.28040491407037693</v>
      </c>
      <c r="F266" s="18">
        <f>IF(ISNUMBER(Volcanic!D266),Volcanic!D266,"")</f>
        <v>0.64</v>
      </c>
      <c r="G266" s="18">
        <f>IF(ISNUMBER(Volcanic!E266),Volcanic!E266,"")</f>
        <v>5.3200000000000001E-3</v>
      </c>
      <c r="H266" s="18">
        <f t="shared" si="123"/>
        <v>7.8626915834815472E-2</v>
      </c>
      <c r="I266" s="18">
        <f t="shared" si="124"/>
        <v>0.40960000000000002</v>
      </c>
      <c r="J266" s="18">
        <f t="shared" si="125"/>
        <v>2.8302400000000002E-5</v>
      </c>
      <c r="K266" s="18">
        <f t="shared" si="126"/>
        <v>0.17945914500504123</v>
      </c>
      <c r="L266" s="18">
        <f t="shared" si="127"/>
        <v>1.4917541428544053E-3</v>
      </c>
      <c r="M266" s="18">
        <f t="shared" si="128"/>
        <v>3.4047999999999999E-3</v>
      </c>
      <c r="N266" s="18">
        <f t="shared" si="130"/>
        <v>2.9071599608211651E-2</v>
      </c>
      <c r="O266" s="18">
        <f t="shared" si="133"/>
        <v>7.8043553106541897E-3</v>
      </c>
      <c r="P266" s="18">
        <f t="shared" si="135"/>
        <v>8.0119094240542268E-2</v>
      </c>
      <c r="Q266" s="18">
        <f t="shared" si="137"/>
        <v>1.4837775306718102E-2</v>
      </c>
      <c r="R266" s="18">
        <f t="shared" si="139"/>
        <v>1.605278716136195E-2</v>
      </c>
      <c r="S266" s="18">
        <f t="shared" si="141"/>
        <v>1.329033441270994E-2</v>
      </c>
      <c r="T266" s="18">
        <f t="shared" si="143"/>
        <v>7.1191653914687856E-7</v>
      </c>
      <c r="U266" s="18">
        <f t="shared" ref="U266:U329" si="145">IF(ISNUMBER(D258),D258,"")</f>
        <v>2.4146781905734035E-2</v>
      </c>
      <c r="V266" s="18">
        <f t="shared" si="118"/>
        <v>5.2368812565051397E-3</v>
      </c>
      <c r="W266" s="18">
        <f t="shared" si="119"/>
        <v>3.0454680061629911E-2</v>
      </c>
      <c r="X266" s="18">
        <f t="shared" si="120"/>
        <v>2.2999912534957712E-3</v>
      </c>
      <c r="Y266" s="18">
        <f t="shared" si="121"/>
        <v>3.2534461129659716E-5</v>
      </c>
      <c r="AA266" s="18">
        <f t="shared" si="131"/>
        <v>-4.7911435389749388E-2</v>
      </c>
      <c r="AB266" s="18">
        <f t="shared" si="132"/>
        <v>2.2955056411061302E-3</v>
      </c>
      <c r="AC266" s="18">
        <f t="shared" si="134"/>
        <v>1.5897495416203576E-2</v>
      </c>
      <c r="AD266" s="18">
        <f t="shared" si="136"/>
        <v>2.9135708260574714E-3</v>
      </c>
      <c r="AE266" s="18">
        <f t="shared" si="138"/>
        <v>4.9198176454366832E-2</v>
      </c>
      <c r="AF266" s="18">
        <f t="shared" si="140"/>
        <v>3.3762569781239562E-3</v>
      </c>
      <c r="AG266" s="18">
        <f t="shared" si="142"/>
        <v>4.7244569557800646E-3</v>
      </c>
      <c r="AH266" s="18">
        <f t="shared" si="144"/>
        <v>1.3192698438451875E-2</v>
      </c>
      <c r="AJ266" s="18">
        <f>IF(ISNUMBER(Kernel!M266),Kernel!M266,"")</f>
        <v>3.6562763065143167E-2</v>
      </c>
      <c r="AK266" s="18">
        <f t="shared" si="129"/>
        <v>1.3368356429577974E-3</v>
      </c>
      <c r="AN266" s="18">
        <f>IF(ISNUMBER(Volcanic!G266),Volcanic!G266,"")</f>
        <v>6.5399999999999998E-3</v>
      </c>
    </row>
    <row r="267" spans="1:40">
      <c r="A267" s="18" t="str">
        <f>IF(Volcanic!A267="","",Volcanic!A267)</f>
        <v>4/1980</v>
      </c>
      <c r="B267" s="18">
        <f>IF(ISNUMBER(Volcanic!L267),Volcanic!L267,"")</f>
        <v>1980.2916666666667</v>
      </c>
      <c r="C267" s="18">
        <f>IF(ISNUMBER(Volcanic!J267),Volcanic!J267,"")</f>
        <v>4.0286094356904778E-2</v>
      </c>
      <c r="D267" s="18">
        <f t="shared" si="122"/>
        <v>1.6229693985334349E-3</v>
      </c>
      <c r="E267" s="18">
        <f>IF(ISNUMBER(Volcanic!C267),Volcanic!C267,"")</f>
        <v>0.28404872727074498</v>
      </c>
      <c r="F267" s="18">
        <f>IF(ISNUMBER(Volcanic!D267),Volcanic!D267,"")</f>
        <v>0.62</v>
      </c>
      <c r="G267" s="18">
        <f>IF(ISNUMBER(Volcanic!E267),Volcanic!E267,"")</f>
        <v>5.5700000000000003E-3</v>
      </c>
      <c r="H267" s="18">
        <f t="shared" si="123"/>
        <v>8.0683679464130062E-2</v>
      </c>
      <c r="I267" s="18">
        <f t="shared" si="124"/>
        <v>0.38440000000000002</v>
      </c>
      <c r="J267" s="18">
        <f t="shared" si="125"/>
        <v>3.1024900000000002E-5</v>
      </c>
      <c r="K267" s="18">
        <f t="shared" si="126"/>
        <v>0.17611021090786189</v>
      </c>
      <c r="L267" s="18">
        <f t="shared" si="127"/>
        <v>1.5821514108980497E-3</v>
      </c>
      <c r="M267" s="18">
        <f t="shared" si="128"/>
        <v>3.4534000000000001E-3</v>
      </c>
      <c r="N267" s="18">
        <f t="shared" si="130"/>
        <v>1.4302265686094676E-3</v>
      </c>
      <c r="O267" s="18">
        <f t="shared" si="133"/>
        <v>2.9071599608211651E-2</v>
      </c>
      <c r="P267" s="18">
        <f t="shared" si="135"/>
        <v>7.8043553106541897E-3</v>
      </c>
      <c r="Q267" s="18">
        <f t="shared" si="137"/>
        <v>8.0119094240542268E-2</v>
      </c>
      <c r="R267" s="18">
        <f t="shared" si="139"/>
        <v>1.4837775306718102E-2</v>
      </c>
      <c r="S267" s="18">
        <f t="shared" si="141"/>
        <v>1.605278716136195E-2</v>
      </c>
      <c r="T267" s="18">
        <f t="shared" si="143"/>
        <v>1.329033441270994E-2</v>
      </c>
      <c r="U267" s="18">
        <f t="shared" si="145"/>
        <v>7.1191653914687856E-7</v>
      </c>
      <c r="V267" s="18">
        <f t="shared" ref="V267:V330" si="146">IF(ISNUMBER(D258),D258,"")</f>
        <v>2.4146781905734035E-2</v>
      </c>
      <c r="W267" s="18">
        <f t="shared" si="119"/>
        <v>5.2368812565051397E-3</v>
      </c>
      <c r="X267" s="18">
        <f t="shared" si="120"/>
        <v>3.0454680061629911E-2</v>
      </c>
      <c r="Y267" s="18">
        <f t="shared" si="121"/>
        <v>2.2999912534957712E-3</v>
      </c>
      <c r="AA267" s="18">
        <f t="shared" si="131"/>
        <v>2.127095011786764E-2</v>
      </c>
      <c r="AB267" s="18">
        <f t="shared" si="132"/>
        <v>4.5245331891681333E-4</v>
      </c>
      <c r="AC267" s="18">
        <f t="shared" si="134"/>
        <v>2.2955056411061302E-3</v>
      </c>
      <c r="AD267" s="18">
        <f t="shared" si="136"/>
        <v>1.5897495416203576E-2</v>
      </c>
      <c r="AE267" s="18">
        <f t="shared" si="138"/>
        <v>2.9135708260574714E-3</v>
      </c>
      <c r="AF267" s="18">
        <f t="shared" si="140"/>
        <v>4.9198176454366832E-2</v>
      </c>
      <c r="AG267" s="18">
        <f t="shared" si="142"/>
        <v>3.3762569781239562E-3</v>
      </c>
      <c r="AH267" s="18">
        <f t="shared" si="144"/>
        <v>4.7244569557800646E-3</v>
      </c>
      <c r="AJ267" s="18">
        <f>IF(ISNUMBER(Kernel!M267),Kernel!M267,"")</f>
        <v>3.7789308563402124E-2</v>
      </c>
      <c r="AK267" s="18">
        <f t="shared" si="129"/>
        <v>1.4280318417000172E-3</v>
      </c>
      <c r="AN267" s="18">
        <f>IF(ISNUMBER(Volcanic!G267),Volcanic!G267,"")</f>
        <v>6.45E-3</v>
      </c>
    </row>
    <row r="268" spans="1:40">
      <c r="A268" s="18" t="str">
        <f>IF(Volcanic!A268="","",Volcanic!A268)</f>
        <v>5/1980</v>
      </c>
      <c r="B268" s="18">
        <f>IF(ISNUMBER(Volcanic!L268),Volcanic!L268,"")</f>
        <v>1980.375</v>
      </c>
      <c r="C268" s="18">
        <f>IF(ISNUMBER(Volcanic!J268),Volcanic!J268,"")</f>
        <v>9.8956458431835925E-2</v>
      </c>
      <c r="D268" s="18">
        <f t="shared" si="122"/>
        <v>9.7923806653716708E-3</v>
      </c>
      <c r="E268" s="18">
        <f>IF(ISNUMBER(Volcanic!C268),Volcanic!C268,"")</f>
        <v>0.28624750673812982</v>
      </c>
      <c r="F268" s="18">
        <f>IF(ISNUMBER(Volcanic!D268),Volcanic!D268,"")</f>
        <v>0.47</v>
      </c>
      <c r="G268" s="18">
        <f>IF(ISNUMBER(Volcanic!E268),Volcanic!E268,"")</f>
        <v>5.9100000000000003E-3</v>
      </c>
      <c r="H268" s="18">
        <f t="shared" si="123"/>
        <v>8.1937635113795676E-2</v>
      </c>
      <c r="I268" s="18">
        <f t="shared" si="124"/>
        <v>0.22089999999999999</v>
      </c>
      <c r="J268" s="18">
        <f t="shared" si="125"/>
        <v>3.4928100000000002E-5</v>
      </c>
      <c r="K268" s="18">
        <f t="shared" si="126"/>
        <v>0.13453632816692102</v>
      </c>
      <c r="L268" s="18">
        <f t="shared" si="127"/>
        <v>1.6917227648223473E-3</v>
      </c>
      <c r="M268" s="18">
        <f t="shared" si="128"/>
        <v>2.7777000000000001E-3</v>
      </c>
      <c r="N268" s="18">
        <f t="shared" si="130"/>
        <v>1.6229693985334349E-3</v>
      </c>
      <c r="O268" s="18">
        <f t="shared" si="133"/>
        <v>1.4302265686094676E-3</v>
      </c>
      <c r="P268" s="18">
        <f t="shared" si="135"/>
        <v>2.9071599608211651E-2</v>
      </c>
      <c r="Q268" s="18">
        <f t="shared" si="137"/>
        <v>7.8043553106541897E-3</v>
      </c>
      <c r="R268" s="18">
        <f t="shared" si="139"/>
        <v>8.0119094240542268E-2</v>
      </c>
      <c r="S268" s="18">
        <f t="shared" si="141"/>
        <v>1.4837775306718102E-2</v>
      </c>
      <c r="T268" s="18">
        <f t="shared" si="143"/>
        <v>1.605278716136195E-2</v>
      </c>
      <c r="U268" s="18">
        <f t="shared" si="145"/>
        <v>1.329033441270994E-2</v>
      </c>
      <c r="V268" s="18">
        <f t="shared" si="146"/>
        <v>7.1191653914687856E-7</v>
      </c>
      <c r="W268" s="18">
        <f t="shared" ref="W268:W331" si="147">IF(ISNUMBER(D258),D258,"")</f>
        <v>2.4146781905734035E-2</v>
      </c>
      <c r="X268" s="18">
        <f t="shared" si="120"/>
        <v>5.2368812565051397E-3</v>
      </c>
      <c r="Y268" s="18">
        <f t="shared" si="121"/>
        <v>3.0454680061629911E-2</v>
      </c>
      <c r="AA268" s="18">
        <f t="shared" si="131"/>
        <v>7.8700519969196192E-2</v>
      </c>
      <c r="AB268" s="18">
        <f t="shared" si="132"/>
        <v>6.1937718434218487E-3</v>
      </c>
      <c r="AC268" s="18">
        <f t="shared" si="134"/>
        <v>4.5245331891681333E-4</v>
      </c>
      <c r="AD268" s="18">
        <f t="shared" si="136"/>
        <v>2.2955056411061302E-3</v>
      </c>
      <c r="AE268" s="18">
        <f t="shared" si="138"/>
        <v>1.5897495416203576E-2</v>
      </c>
      <c r="AF268" s="18">
        <f t="shared" si="140"/>
        <v>2.9135708260574714E-3</v>
      </c>
      <c r="AG268" s="18">
        <f t="shared" si="142"/>
        <v>4.9198176454366832E-2</v>
      </c>
      <c r="AH268" s="18">
        <f t="shared" si="144"/>
        <v>3.3762569781239562E-3</v>
      </c>
      <c r="AJ268" s="18">
        <f>IF(ISNUMBER(Kernel!M268),Kernel!M268,"")</f>
        <v>8.0364737084584248E-2</v>
      </c>
      <c r="AK268" s="18">
        <f t="shared" si="129"/>
        <v>6.4584909666743507E-3</v>
      </c>
      <c r="AN268" s="18">
        <f>IF(ISNUMBER(Volcanic!G268),Volcanic!G268,"")</f>
        <v>6.3400000000000001E-3</v>
      </c>
    </row>
    <row r="269" spans="1:40">
      <c r="A269" s="18" t="str">
        <f>IF(Volcanic!A269="","",Volcanic!A269)</f>
        <v>6/1980</v>
      </c>
      <c r="B269" s="18">
        <f>IF(ISNUMBER(Volcanic!L269),Volcanic!L269,"")</f>
        <v>1980.4583333333333</v>
      </c>
      <c r="C269" s="18">
        <f>IF(ISNUMBER(Volcanic!J269),Volcanic!J269,"")</f>
        <v>-3.8496789963049172E-2</v>
      </c>
      <c r="D269" s="18">
        <f t="shared" si="122"/>
        <v>1.4820028374591234E-3</v>
      </c>
      <c r="E269" s="18">
        <f>IF(ISNUMBER(Volcanic!C269),Volcanic!C269,"")</f>
        <v>0.28586718848142018</v>
      </c>
      <c r="F269" s="18">
        <f>IF(ISNUMBER(Volcanic!D269),Volcanic!D269,"")</f>
        <v>0.35</v>
      </c>
      <c r="G269" s="18">
        <f>IF(ISNUMBER(Volcanic!E269),Volcanic!E269,"")</f>
        <v>6.0800000000000003E-3</v>
      </c>
      <c r="H269" s="18">
        <f t="shared" si="123"/>
        <v>8.1720049450271809E-2</v>
      </c>
      <c r="I269" s="18">
        <f t="shared" si="124"/>
        <v>0.12249999999999998</v>
      </c>
      <c r="J269" s="18">
        <f t="shared" si="125"/>
        <v>3.6966400000000006E-5</v>
      </c>
      <c r="K269" s="18">
        <f t="shared" si="126"/>
        <v>0.10005351596849706</v>
      </c>
      <c r="L269" s="18">
        <f t="shared" si="127"/>
        <v>1.7380725059670348E-3</v>
      </c>
      <c r="M269" s="18">
        <f t="shared" si="128"/>
        <v>2.1280000000000001E-3</v>
      </c>
      <c r="N269" s="18">
        <f t="shared" si="130"/>
        <v>9.7923806653716708E-3</v>
      </c>
      <c r="O269" s="18">
        <f t="shared" si="133"/>
        <v>1.6229693985334349E-3</v>
      </c>
      <c r="P269" s="18">
        <f t="shared" si="135"/>
        <v>1.4302265686094676E-3</v>
      </c>
      <c r="Q269" s="18">
        <f t="shared" si="137"/>
        <v>2.9071599608211651E-2</v>
      </c>
      <c r="R269" s="18">
        <f t="shared" si="139"/>
        <v>7.8043553106541897E-3</v>
      </c>
      <c r="S269" s="18">
        <f t="shared" si="141"/>
        <v>8.0119094240542268E-2</v>
      </c>
      <c r="T269" s="18">
        <f t="shared" si="143"/>
        <v>1.4837775306718102E-2</v>
      </c>
      <c r="U269" s="18">
        <f t="shared" si="145"/>
        <v>1.605278716136195E-2</v>
      </c>
      <c r="V269" s="18">
        <f t="shared" si="146"/>
        <v>1.329033441270994E-2</v>
      </c>
      <c r="W269" s="18">
        <f t="shared" si="147"/>
        <v>7.1191653914687856E-7</v>
      </c>
      <c r="X269" s="18">
        <f t="shared" ref="X269:X332" si="148">IF(ISNUMBER(D258),D258,"")</f>
        <v>2.4146781905734035E-2</v>
      </c>
      <c r="Y269" s="18">
        <f t="shared" si="121"/>
        <v>5.2368812565051397E-3</v>
      </c>
      <c r="AA269" s="18">
        <f t="shared" si="131"/>
        <v>-8.8252318873795643E-2</v>
      </c>
      <c r="AB269" s="18">
        <f t="shared" si="132"/>
        <v>7.7884717866021063E-3</v>
      </c>
      <c r="AC269" s="18">
        <f t="shared" si="134"/>
        <v>6.1937718434218487E-3</v>
      </c>
      <c r="AD269" s="18">
        <f t="shared" si="136"/>
        <v>4.5245331891681333E-4</v>
      </c>
      <c r="AE269" s="18">
        <f t="shared" si="138"/>
        <v>2.2955056411061302E-3</v>
      </c>
      <c r="AF269" s="18">
        <f t="shared" si="140"/>
        <v>1.5897495416203576E-2</v>
      </c>
      <c r="AG269" s="18">
        <f t="shared" si="142"/>
        <v>2.9135708260574714E-3</v>
      </c>
      <c r="AH269" s="18">
        <f t="shared" si="144"/>
        <v>4.9198176454366832E-2</v>
      </c>
      <c r="AJ269" s="18">
        <f>IF(ISNUMBER(Kernel!M269),Kernel!M269,"")</f>
        <v>-6.8542055095992427E-2</v>
      </c>
      <c r="AK269" s="18">
        <f t="shared" si="129"/>
        <v>4.6980133167820615E-3</v>
      </c>
      <c r="AN269" s="18">
        <f>IF(ISNUMBER(Volcanic!G269),Volcanic!G269,"")</f>
        <v>7.1399999999999996E-3</v>
      </c>
    </row>
    <row r="270" spans="1:40">
      <c r="A270" s="18" t="str">
        <f>IF(Volcanic!A270="","",Volcanic!A270)</f>
        <v>7/1980</v>
      </c>
      <c r="B270" s="18">
        <f>IF(ISNUMBER(Volcanic!L270),Volcanic!L270,"")</f>
        <v>1980.5416666666667</v>
      </c>
      <c r="C270" s="18">
        <f>IF(ISNUMBER(Volcanic!J270),Volcanic!J270,"")</f>
        <v>4.7515214066639055E-3</v>
      </c>
      <c r="D270" s="18">
        <f t="shared" si="122"/>
        <v>2.2576955677985338E-5</v>
      </c>
      <c r="E270" s="18">
        <f>IF(ISNUMBER(Volcanic!C270),Volcanic!C270,"")</f>
        <v>0.27777225815571982</v>
      </c>
      <c r="F270" s="18">
        <f>IF(ISNUMBER(Volcanic!D270),Volcanic!D270,"")</f>
        <v>0.34</v>
      </c>
      <c r="G270" s="18">
        <f>IF(ISNUMBER(Volcanic!E270),Volcanic!E270,"")</f>
        <v>6.1900000000000002E-3</v>
      </c>
      <c r="H270" s="18">
        <f t="shared" si="123"/>
        <v>7.7157427400927861E-2</v>
      </c>
      <c r="I270" s="18">
        <f t="shared" si="124"/>
        <v>0.11560000000000002</v>
      </c>
      <c r="J270" s="18">
        <f t="shared" si="125"/>
        <v>3.8316100000000004E-5</v>
      </c>
      <c r="K270" s="18">
        <f t="shared" si="126"/>
        <v>9.4442567772944741E-2</v>
      </c>
      <c r="L270" s="18">
        <f t="shared" si="127"/>
        <v>1.7194102779839056E-3</v>
      </c>
      <c r="M270" s="18">
        <f t="shared" si="128"/>
        <v>2.1046000000000003E-3</v>
      </c>
      <c r="N270" s="18">
        <f t="shared" si="130"/>
        <v>1.4820028374591234E-3</v>
      </c>
      <c r="O270" s="18">
        <f t="shared" si="133"/>
        <v>9.7923806653716708E-3</v>
      </c>
      <c r="P270" s="18">
        <f t="shared" si="135"/>
        <v>1.6229693985334349E-3</v>
      </c>
      <c r="Q270" s="18">
        <f t="shared" si="137"/>
        <v>1.4302265686094676E-3</v>
      </c>
      <c r="R270" s="18">
        <f t="shared" si="139"/>
        <v>2.9071599608211651E-2</v>
      </c>
      <c r="S270" s="18">
        <f t="shared" si="141"/>
        <v>7.8043553106541897E-3</v>
      </c>
      <c r="T270" s="18">
        <f t="shared" si="143"/>
        <v>8.0119094240542268E-2</v>
      </c>
      <c r="U270" s="18">
        <f t="shared" si="145"/>
        <v>1.4837775306718102E-2</v>
      </c>
      <c r="V270" s="18">
        <f t="shared" si="146"/>
        <v>1.605278716136195E-2</v>
      </c>
      <c r="W270" s="18">
        <f t="shared" si="147"/>
        <v>1.329033441270994E-2</v>
      </c>
      <c r="X270" s="18">
        <f t="shared" si="148"/>
        <v>7.1191653914687856E-7</v>
      </c>
      <c r="Y270" s="18">
        <f t="shared" ref="Y270:Y333" si="149">IF(ISNUMBER(D258),D258,"")</f>
        <v>2.4146781905734035E-2</v>
      </c>
      <c r="AA270" s="18">
        <f t="shared" si="131"/>
        <v>2.410779361295785E-2</v>
      </c>
      <c r="AB270" s="18">
        <f t="shared" si="132"/>
        <v>5.8118571288497134E-4</v>
      </c>
      <c r="AC270" s="18">
        <f t="shared" si="134"/>
        <v>7.7884717866021063E-3</v>
      </c>
      <c r="AD270" s="18">
        <f t="shared" si="136"/>
        <v>6.1937718434218487E-3</v>
      </c>
      <c r="AE270" s="18">
        <f t="shared" si="138"/>
        <v>4.5245331891681333E-4</v>
      </c>
      <c r="AF270" s="18">
        <f t="shared" si="140"/>
        <v>2.2955056411061302E-3</v>
      </c>
      <c r="AG270" s="18">
        <f t="shared" si="142"/>
        <v>1.5897495416203576E-2</v>
      </c>
      <c r="AH270" s="18">
        <f t="shared" si="144"/>
        <v>2.9135708260574714E-3</v>
      </c>
      <c r="AJ270" s="18">
        <f>IF(ISNUMBER(Kernel!M270),Kernel!M270,"")</f>
        <v>-2.1564048964201693E-2</v>
      </c>
      <c r="AK270" s="18">
        <f t="shared" si="129"/>
        <v>4.6500820773048813E-4</v>
      </c>
      <c r="AN270" s="18">
        <f>IF(ISNUMBER(Volcanic!G270),Volcanic!G270,"")</f>
        <v>8.0099999999999998E-3</v>
      </c>
    </row>
    <row r="271" spans="1:40">
      <c r="A271" s="18" t="str">
        <f>IF(Volcanic!A271="","",Volcanic!A271)</f>
        <v>8/1980</v>
      </c>
      <c r="B271" s="18">
        <f>IF(ISNUMBER(Volcanic!L271),Volcanic!L271,"")</f>
        <v>1980.625</v>
      </c>
      <c r="C271" s="18">
        <f>IF(ISNUMBER(Volcanic!J271),Volcanic!J271,"")</f>
        <v>-2.3602012979834941E-2</v>
      </c>
      <c r="D271" s="18">
        <f t="shared" si="122"/>
        <v>5.5705501670029705E-4</v>
      </c>
      <c r="E271" s="18">
        <f>IF(ISNUMBER(Volcanic!C271),Volcanic!C271,"")</f>
        <v>0.2701871828716399</v>
      </c>
      <c r="F271" s="18">
        <f>IF(ISNUMBER(Volcanic!D271),Volcanic!D271,"")</f>
        <v>0.45</v>
      </c>
      <c r="G271" s="18">
        <f>IF(ISNUMBER(Volcanic!E271),Volcanic!E271,"")</f>
        <v>6.7200000000000003E-3</v>
      </c>
      <c r="H271" s="18">
        <f t="shared" si="123"/>
        <v>7.3001113788112984E-2</v>
      </c>
      <c r="I271" s="18">
        <f t="shared" si="124"/>
        <v>0.20250000000000001</v>
      </c>
      <c r="J271" s="18">
        <f t="shared" si="125"/>
        <v>4.5158400000000005E-5</v>
      </c>
      <c r="K271" s="18">
        <f t="shared" si="126"/>
        <v>0.12158423229223796</v>
      </c>
      <c r="L271" s="18">
        <f t="shared" si="127"/>
        <v>1.8156578688974202E-3</v>
      </c>
      <c r="M271" s="18">
        <f t="shared" si="128"/>
        <v>3.0240000000000002E-3</v>
      </c>
      <c r="N271" s="18">
        <f t="shared" si="130"/>
        <v>2.2576955677985338E-5</v>
      </c>
      <c r="O271" s="18">
        <f t="shared" si="133"/>
        <v>1.4820028374591234E-3</v>
      </c>
      <c r="P271" s="18">
        <f t="shared" si="135"/>
        <v>9.7923806653716708E-3</v>
      </c>
      <c r="Q271" s="18">
        <f t="shared" si="137"/>
        <v>1.6229693985334349E-3</v>
      </c>
      <c r="R271" s="18">
        <f t="shared" si="139"/>
        <v>1.4302265686094676E-3</v>
      </c>
      <c r="S271" s="18">
        <f t="shared" si="141"/>
        <v>2.9071599608211651E-2</v>
      </c>
      <c r="T271" s="18">
        <f t="shared" si="143"/>
        <v>7.8043553106541897E-3</v>
      </c>
      <c r="U271" s="18">
        <f t="shared" si="145"/>
        <v>8.0119094240542268E-2</v>
      </c>
      <c r="V271" s="18">
        <f t="shared" si="146"/>
        <v>1.4837775306718102E-2</v>
      </c>
      <c r="W271" s="18">
        <f t="shared" si="147"/>
        <v>1.605278716136195E-2</v>
      </c>
      <c r="X271" s="18">
        <f t="shared" si="148"/>
        <v>1.329033441270994E-2</v>
      </c>
      <c r="Y271" s="18">
        <f t="shared" si="149"/>
        <v>7.1191653914687856E-7</v>
      </c>
      <c r="AA271" s="18">
        <f t="shared" si="131"/>
        <v>-2.5991088584052788E-2</v>
      </c>
      <c r="AB271" s="18">
        <f t="shared" si="132"/>
        <v>6.7553668578407917E-4</v>
      </c>
      <c r="AC271" s="18">
        <f t="shared" si="134"/>
        <v>5.8118571288497134E-4</v>
      </c>
      <c r="AD271" s="18">
        <f t="shared" si="136"/>
        <v>7.7884717866021063E-3</v>
      </c>
      <c r="AE271" s="18">
        <f t="shared" si="138"/>
        <v>6.1937718434218487E-3</v>
      </c>
      <c r="AF271" s="18">
        <f t="shared" si="140"/>
        <v>4.5245331891681333E-4</v>
      </c>
      <c r="AG271" s="18">
        <f t="shared" si="142"/>
        <v>2.2955056411061302E-3</v>
      </c>
      <c r="AH271" s="18">
        <f t="shared" si="144"/>
        <v>1.5897495416203576E-2</v>
      </c>
      <c r="AJ271" s="18">
        <f>IF(ISNUMBER(Kernel!M271),Kernel!M271,"")</f>
        <v>-3.1343255752308452E-2</v>
      </c>
      <c r="AK271" s="18">
        <f t="shared" si="129"/>
        <v>9.8239968115461677E-4</v>
      </c>
      <c r="AN271" s="18">
        <f>IF(ISNUMBER(Volcanic!G271),Volcanic!G271,"")</f>
        <v>8.5900000000000004E-3</v>
      </c>
    </row>
    <row r="272" spans="1:40">
      <c r="A272" s="18" t="str">
        <f>IF(Volcanic!A272="","",Volcanic!A272)</f>
        <v>9/1980</v>
      </c>
      <c r="B272" s="18">
        <f>IF(ISNUMBER(Volcanic!L272),Volcanic!L272,"")</f>
        <v>1980.7083333333333</v>
      </c>
      <c r="C272" s="18">
        <f>IF(ISNUMBER(Volcanic!J272),Volcanic!J272,"")</f>
        <v>1.7465759830562699E-2</v>
      </c>
      <c r="D272" s="18">
        <f t="shared" si="122"/>
        <v>3.0505276645889759E-4</v>
      </c>
      <c r="E272" s="18">
        <f>IF(ISNUMBER(Volcanic!C272),Volcanic!C272,"")</f>
        <v>0.26410744049902013</v>
      </c>
      <c r="F272" s="18">
        <f>IF(ISNUMBER(Volcanic!D272),Volcanic!D272,"")</f>
        <v>0.4</v>
      </c>
      <c r="G272" s="18">
        <f>IF(ISNUMBER(Volcanic!E272),Volcanic!E272,"")</f>
        <v>6.6499999999999997E-3</v>
      </c>
      <c r="H272" s="18">
        <f t="shared" si="123"/>
        <v>6.9752740126943463E-2</v>
      </c>
      <c r="I272" s="18">
        <f t="shared" si="124"/>
        <v>0.16000000000000003</v>
      </c>
      <c r="J272" s="18">
        <f t="shared" si="125"/>
        <v>4.4222499999999999E-5</v>
      </c>
      <c r="K272" s="18">
        <f t="shared" si="126"/>
        <v>0.10564297619960805</v>
      </c>
      <c r="L272" s="18">
        <f t="shared" si="127"/>
        <v>1.7563144793184837E-3</v>
      </c>
      <c r="M272" s="18">
        <f t="shared" si="128"/>
        <v>2.66E-3</v>
      </c>
      <c r="N272" s="18">
        <f t="shared" si="130"/>
        <v>5.5705501670029705E-4</v>
      </c>
      <c r="O272" s="18">
        <f t="shared" si="133"/>
        <v>2.2576955677985338E-5</v>
      </c>
      <c r="P272" s="18">
        <f t="shared" si="135"/>
        <v>1.4820028374591234E-3</v>
      </c>
      <c r="Q272" s="18">
        <f t="shared" si="137"/>
        <v>9.7923806653716708E-3</v>
      </c>
      <c r="R272" s="18">
        <f t="shared" si="139"/>
        <v>1.6229693985334349E-3</v>
      </c>
      <c r="S272" s="18">
        <f t="shared" si="141"/>
        <v>1.4302265686094676E-3</v>
      </c>
      <c r="T272" s="18">
        <f t="shared" si="143"/>
        <v>2.9071599608211651E-2</v>
      </c>
      <c r="U272" s="18">
        <f t="shared" si="145"/>
        <v>7.8043553106541897E-3</v>
      </c>
      <c r="V272" s="18">
        <f t="shared" si="146"/>
        <v>8.0119094240542268E-2</v>
      </c>
      <c r="W272" s="18">
        <f t="shared" si="147"/>
        <v>1.4837775306718102E-2</v>
      </c>
      <c r="X272" s="18">
        <f t="shared" si="148"/>
        <v>1.605278716136195E-2</v>
      </c>
      <c r="Y272" s="18">
        <f t="shared" si="149"/>
        <v>1.329033441270994E-2</v>
      </c>
      <c r="AA272" s="18">
        <f t="shared" si="131"/>
        <v>2.9332904813109784E-2</v>
      </c>
      <c r="AB272" s="18">
        <f t="shared" si="132"/>
        <v>8.6041930477495914E-4</v>
      </c>
      <c r="AC272" s="18">
        <f t="shared" si="134"/>
        <v>6.7553668578407917E-4</v>
      </c>
      <c r="AD272" s="18">
        <f t="shared" si="136"/>
        <v>5.8118571288497134E-4</v>
      </c>
      <c r="AE272" s="18">
        <f t="shared" si="138"/>
        <v>7.7884717866021063E-3</v>
      </c>
      <c r="AF272" s="18">
        <f t="shared" si="140"/>
        <v>6.1937718434218487E-3</v>
      </c>
      <c r="AG272" s="18">
        <f t="shared" si="142"/>
        <v>4.5245331891681333E-4</v>
      </c>
      <c r="AH272" s="18">
        <f t="shared" si="144"/>
        <v>2.2955056411061302E-3</v>
      </c>
      <c r="AJ272" s="18">
        <f>IF(ISNUMBER(Kernel!M272),Kernel!M272,"")</f>
        <v>1.5799191023580378E-2</v>
      </c>
      <c r="AK272" s="18">
        <f t="shared" si="129"/>
        <v>2.4961443699958279E-4</v>
      </c>
      <c r="AN272" s="18">
        <f>IF(ISNUMBER(Volcanic!G272),Volcanic!G272,"")</f>
        <v>8.7600000000000004E-3</v>
      </c>
    </row>
    <row r="273" spans="1:40">
      <c r="A273" s="18" t="str">
        <f>IF(Volcanic!A273="","",Volcanic!A273)</f>
        <v>10/1980</v>
      </c>
      <c r="B273" s="18">
        <f>IF(ISNUMBER(Volcanic!L273),Volcanic!L273,"")</f>
        <v>1980.7916666666667</v>
      </c>
      <c r="C273" s="18">
        <f>IF(ISNUMBER(Volcanic!J273),Volcanic!J273,"")</f>
        <v>-3.1073929754388357E-2</v>
      </c>
      <c r="D273" s="18">
        <f t="shared" si="122"/>
        <v>9.6558911038066206E-4</v>
      </c>
      <c r="E273" s="18">
        <f>IF(ISNUMBER(Volcanic!C273),Volcanic!C273,"")</f>
        <v>0.26363540356832926</v>
      </c>
      <c r="F273" s="18">
        <f>IF(ISNUMBER(Volcanic!D273),Volcanic!D273,"")</f>
        <v>0.18</v>
      </c>
      <c r="G273" s="18">
        <f>IF(ISNUMBER(Volcanic!E273),Volcanic!E273,"")</f>
        <v>6.5399999999999998E-3</v>
      </c>
      <c r="H273" s="18">
        <f t="shared" si="123"/>
        <v>6.9503626014635833E-2</v>
      </c>
      <c r="I273" s="18">
        <f t="shared" si="124"/>
        <v>3.2399999999999998E-2</v>
      </c>
      <c r="J273" s="18">
        <f t="shared" si="125"/>
        <v>4.2771599999999996E-5</v>
      </c>
      <c r="K273" s="18">
        <f t="shared" si="126"/>
        <v>4.7454372642299264E-2</v>
      </c>
      <c r="L273" s="18">
        <f t="shared" si="127"/>
        <v>1.7241755393368732E-3</v>
      </c>
      <c r="M273" s="18">
        <f t="shared" si="128"/>
        <v>1.1772E-3</v>
      </c>
      <c r="N273" s="18">
        <f t="shared" si="130"/>
        <v>3.0505276645889759E-4</v>
      </c>
      <c r="O273" s="18">
        <f t="shared" si="133"/>
        <v>5.5705501670029705E-4</v>
      </c>
      <c r="P273" s="18">
        <f t="shared" si="135"/>
        <v>2.2576955677985338E-5</v>
      </c>
      <c r="Q273" s="18">
        <f t="shared" si="137"/>
        <v>1.4820028374591234E-3</v>
      </c>
      <c r="R273" s="18">
        <f t="shared" si="139"/>
        <v>9.7923806653716708E-3</v>
      </c>
      <c r="S273" s="18">
        <f t="shared" si="141"/>
        <v>1.6229693985334349E-3</v>
      </c>
      <c r="T273" s="18">
        <f t="shared" si="143"/>
        <v>1.4302265686094676E-3</v>
      </c>
      <c r="U273" s="18">
        <f t="shared" si="145"/>
        <v>2.9071599608211651E-2</v>
      </c>
      <c r="V273" s="18">
        <f t="shared" si="146"/>
        <v>7.8043553106541897E-3</v>
      </c>
      <c r="W273" s="18">
        <f t="shared" si="147"/>
        <v>8.0119094240542268E-2</v>
      </c>
      <c r="X273" s="18">
        <f t="shared" si="148"/>
        <v>1.4837775306718102E-2</v>
      </c>
      <c r="Y273" s="18">
        <f t="shared" si="149"/>
        <v>1.605278716136195E-2</v>
      </c>
      <c r="AA273" s="18">
        <f t="shared" si="131"/>
        <v>-3.9855752911452144E-2</v>
      </c>
      <c r="AB273" s="18">
        <f t="shared" si="132"/>
        <v>1.588481040138726E-3</v>
      </c>
      <c r="AC273" s="18">
        <f t="shared" si="134"/>
        <v>8.6041930477495914E-4</v>
      </c>
      <c r="AD273" s="18">
        <f t="shared" si="136"/>
        <v>6.7553668578407917E-4</v>
      </c>
      <c r="AE273" s="18">
        <f t="shared" si="138"/>
        <v>5.8118571288497134E-4</v>
      </c>
      <c r="AF273" s="18">
        <f t="shared" si="140"/>
        <v>7.7884717866021063E-3</v>
      </c>
      <c r="AG273" s="18">
        <f t="shared" si="142"/>
        <v>6.1937718434218487E-3</v>
      </c>
      <c r="AH273" s="18">
        <f t="shared" si="144"/>
        <v>4.5245331891681333E-4</v>
      </c>
      <c r="AJ273" s="18">
        <f>IF(ISNUMBER(Kernel!M273),Kernel!M273,"")</f>
        <v>-4.5927631423335114E-2</v>
      </c>
      <c r="AK273" s="18">
        <f t="shared" si="129"/>
        <v>2.109347328157719E-3</v>
      </c>
      <c r="AN273" s="18">
        <f>IF(ISNUMBER(Volcanic!G273),Volcanic!G273,"")</f>
        <v>8.9499999999999996E-3</v>
      </c>
    </row>
    <row r="274" spans="1:40">
      <c r="A274" s="18" t="str">
        <f>IF(Volcanic!A274="","",Volcanic!A274)</f>
        <v>11/1980</v>
      </c>
      <c r="B274" s="18">
        <f>IF(ISNUMBER(Volcanic!L274),Volcanic!L274,"")</f>
        <v>1980.875</v>
      </c>
      <c r="C274" s="18">
        <f>IF(ISNUMBER(Volcanic!J274),Volcanic!J274,"")</f>
        <v>0.14744329668234024</v>
      </c>
      <c r="D274" s="18">
        <f t="shared" si="122"/>
        <v>2.1739525736556606E-2</v>
      </c>
      <c r="E274" s="18">
        <f>IF(ISNUMBER(Volcanic!C274),Volcanic!C274,"")</f>
        <v>0.26860549118579774</v>
      </c>
      <c r="F274" s="18">
        <f>IF(ISNUMBER(Volcanic!D274),Volcanic!D274,"")</f>
        <v>-0.06</v>
      </c>
      <c r="G274" s="18">
        <f>IF(ISNUMBER(Volcanic!E274),Volcanic!E274,"")</f>
        <v>6.45E-3</v>
      </c>
      <c r="H274" s="18">
        <f t="shared" si="123"/>
        <v>7.2148909895163663E-2</v>
      </c>
      <c r="I274" s="18">
        <f t="shared" si="124"/>
        <v>3.5999999999999999E-3</v>
      </c>
      <c r="J274" s="18">
        <f t="shared" si="125"/>
        <v>4.16025E-5</v>
      </c>
      <c r="K274" s="18">
        <f t="shared" si="126"/>
        <v>-1.6116329471147862E-2</v>
      </c>
      <c r="L274" s="18">
        <f t="shared" si="127"/>
        <v>1.7325054181483953E-3</v>
      </c>
      <c r="M274" s="18">
        <f t="shared" si="128"/>
        <v>-3.8699999999999997E-4</v>
      </c>
      <c r="N274" s="18">
        <f t="shared" si="130"/>
        <v>9.6558911038066206E-4</v>
      </c>
      <c r="O274" s="18">
        <f t="shared" si="133"/>
        <v>3.0505276645889759E-4</v>
      </c>
      <c r="P274" s="18">
        <f t="shared" si="135"/>
        <v>5.5705501670029705E-4</v>
      </c>
      <c r="Q274" s="18">
        <f t="shared" si="137"/>
        <v>2.2576955677985338E-5</v>
      </c>
      <c r="R274" s="18">
        <f t="shared" si="139"/>
        <v>1.4820028374591234E-3</v>
      </c>
      <c r="S274" s="18">
        <f t="shared" si="141"/>
        <v>9.7923806653716708E-3</v>
      </c>
      <c r="T274" s="18">
        <f t="shared" si="143"/>
        <v>1.6229693985334349E-3</v>
      </c>
      <c r="U274" s="18">
        <f t="shared" si="145"/>
        <v>1.4302265686094676E-3</v>
      </c>
      <c r="V274" s="18">
        <f t="shared" si="146"/>
        <v>2.9071599608211651E-2</v>
      </c>
      <c r="W274" s="18">
        <f t="shared" si="147"/>
        <v>7.8043553106541897E-3</v>
      </c>
      <c r="X274" s="18">
        <f t="shared" si="148"/>
        <v>8.0119094240542268E-2</v>
      </c>
      <c r="Y274" s="18">
        <f t="shared" si="149"/>
        <v>1.4837775306718102E-2</v>
      </c>
      <c r="AA274" s="18">
        <f t="shared" si="131"/>
        <v>0.1630673381523568</v>
      </c>
      <c r="AB274" s="18">
        <f t="shared" si="132"/>
        <v>2.6590956772095081E-2</v>
      </c>
      <c r="AC274" s="18">
        <f t="shared" si="134"/>
        <v>1.588481040138726E-3</v>
      </c>
      <c r="AD274" s="18">
        <f t="shared" si="136"/>
        <v>8.6041930477495914E-4</v>
      </c>
      <c r="AE274" s="18">
        <f t="shared" si="138"/>
        <v>6.7553668578407917E-4</v>
      </c>
      <c r="AF274" s="18">
        <f t="shared" si="140"/>
        <v>5.8118571288497134E-4</v>
      </c>
      <c r="AG274" s="18">
        <f t="shared" si="142"/>
        <v>7.7884717866021063E-3</v>
      </c>
      <c r="AH274" s="18">
        <f t="shared" si="144"/>
        <v>6.1937718434218487E-3</v>
      </c>
      <c r="AJ274" s="18">
        <f>IF(ISNUMBER(Kernel!M274),Kernel!M274,"")</f>
        <v>0.11331694708475473</v>
      </c>
      <c r="AK274" s="18">
        <f t="shared" si="129"/>
        <v>1.2840730496609104E-2</v>
      </c>
      <c r="AN274" s="18">
        <f>IF(ISNUMBER(Volcanic!G274),Volcanic!G274,"")</f>
        <v>8.8000000000000005E-3</v>
      </c>
    </row>
    <row r="275" spans="1:40">
      <c r="A275" s="18" t="str">
        <f>IF(Volcanic!A275="","",Volcanic!A275)</f>
        <v>12/1980</v>
      </c>
      <c r="B275" s="18">
        <f>IF(ISNUMBER(Volcanic!L275),Volcanic!L275,"")</f>
        <v>1980.9583333333333</v>
      </c>
      <c r="C275" s="18">
        <f>IF(ISNUMBER(Volcanic!J275),Volcanic!J275,"")</f>
        <v>5.5876572870867447E-2</v>
      </c>
      <c r="D275" s="18">
        <f t="shared" si="122"/>
        <v>3.1221913957933597E-3</v>
      </c>
      <c r="E275" s="18">
        <f>IF(ISNUMBER(Volcanic!C275),Volcanic!C275,"")</f>
        <v>0.27283370389710077</v>
      </c>
      <c r="F275" s="18">
        <f>IF(ISNUMBER(Volcanic!D275),Volcanic!D275,"")</f>
        <v>-0.17</v>
      </c>
      <c r="G275" s="18">
        <f>IF(ISNUMBER(Volcanic!E275),Volcanic!E275,"")</f>
        <v>6.3400000000000001E-3</v>
      </c>
      <c r="H275" s="18">
        <f t="shared" si="123"/>
        <v>7.4438229982210863E-2</v>
      </c>
      <c r="I275" s="18">
        <f t="shared" si="124"/>
        <v>2.8900000000000006E-2</v>
      </c>
      <c r="J275" s="18">
        <f t="shared" si="125"/>
        <v>4.0195600000000005E-5</v>
      </c>
      <c r="K275" s="18">
        <f t="shared" si="126"/>
        <v>-4.6381729662507136E-2</v>
      </c>
      <c r="L275" s="18">
        <f t="shared" si="127"/>
        <v>1.7297656827076188E-3</v>
      </c>
      <c r="M275" s="18">
        <f t="shared" si="128"/>
        <v>-1.0778000000000001E-3</v>
      </c>
      <c r="N275" s="18">
        <f t="shared" si="130"/>
        <v>2.1739525736556606E-2</v>
      </c>
      <c r="O275" s="18">
        <f t="shared" si="133"/>
        <v>9.6558911038066206E-4</v>
      </c>
      <c r="P275" s="18">
        <f t="shared" si="135"/>
        <v>3.0505276645889759E-4</v>
      </c>
      <c r="Q275" s="18">
        <f t="shared" si="137"/>
        <v>5.5705501670029705E-4</v>
      </c>
      <c r="R275" s="18">
        <f t="shared" si="139"/>
        <v>2.2576955677985338E-5</v>
      </c>
      <c r="S275" s="18">
        <f t="shared" si="141"/>
        <v>1.4820028374591234E-3</v>
      </c>
      <c r="T275" s="18">
        <f t="shared" si="143"/>
        <v>9.7923806653716708E-3</v>
      </c>
      <c r="U275" s="18">
        <f t="shared" si="145"/>
        <v>1.6229693985334349E-3</v>
      </c>
      <c r="V275" s="18">
        <f t="shared" si="146"/>
        <v>1.4302265686094676E-3</v>
      </c>
      <c r="W275" s="18">
        <f t="shared" si="147"/>
        <v>2.9071599608211651E-2</v>
      </c>
      <c r="X275" s="18">
        <f t="shared" si="148"/>
        <v>7.8043553106541897E-3</v>
      </c>
      <c r="Y275" s="18">
        <f t="shared" si="149"/>
        <v>8.0119094240542268E-2</v>
      </c>
      <c r="AA275" s="18">
        <f t="shared" si="131"/>
        <v>-1.825824689763994E-2</v>
      </c>
      <c r="AB275" s="18">
        <f t="shared" si="132"/>
        <v>3.3336357977517848E-4</v>
      </c>
      <c r="AC275" s="18">
        <f t="shared" si="134"/>
        <v>2.6590956772095081E-2</v>
      </c>
      <c r="AD275" s="18">
        <f t="shared" si="136"/>
        <v>1.588481040138726E-3</v>
      </c>
      <c r="AE275" s="18">
        <f t="shared" si="138"/>
        <v>8.6041930477495914E-4</v>
      </c>
      <c r="AF275" s="18">
        <f t="shared" si="140"/>
        <v>6.7553668578407917E-4</v>
      </c>
      <c r="AG275" s="18">
        <f t="shared" si="142"/>
        <v>5.8118571288497134E-4</v>
      </c>
      <c r="AH275" s="18">
        <f t="shared" si="144"/>
        <v>7.7884717866021063E-3</v>
      </c>
      <c r="AJ275" s="18">
        <f>IF(ISNUMBER(Kernel!M275),Kernel!M275,"")</f>
        <v>1.7036125428846277E-2</v>
      </c>
      <c r="AK275" s="18">
        <f t="shared" si="129"/>
        <v>2.9022956962738273E-4</v>
      </c>
      <c r="AN275" s="18">
        <f>IF(ISNUMBER(Volcanic!G275),Volcanic!G275,"")</f>
        <v>8.8699999999999994E-3</v>
      </c>
    </row>
    <row r="276" spans="1:40">
      <c r="A276" s="18" t="str">
        <f>IF(Volcanic!A276="","",Volcanic!A276)</f>
        <v>1/1981</v>
      </c>
      <c r="B276" s="18">
        <f>IF(ISNUMBER(Volcanic!L276),Volcanic!L276,"")</f>
        <v>1981.0416666666667</v>
      </c>
      <c r="C276" s="18">
        <f>IF(ISNUMBER(Volcanic!J276),Volcanic!J276,"")</f>
        <v>0.35674294109704258</v>
      </c>
      <c r="D276" s="18">
        <f t="shared" si="122"/>
        <v>0.12726552602256799</v>
      </c>
      <c r="E276" s="18">
        <f>IF(ISNUMBER(Volcanic!C276),Volcanic!C276,"")</f>
        <v>0.27709208250431316</v>
      </c>
      <c r="F276" s="18">
        <f>IF(ISNUMBER(Volcanic!D276),Volcanic!D276,"")</f>
        <v>-7.0000000000000007E-2</v>
      </c>
      <c r="G276" s="18">
        <f>IF(ISNUMBER(Volcanic!E276),Volcanic!E276,"")</f>
        <v>7.1399999999999996E-3</v>
      </c>
      <c r="H276" s="18">
        <f t="shared" si="123"/>
        <v>7.678002218657709E-2</v>
      </c>
      <c r="I276" s="18">
        <f t="shared" si="124"/>
        <v>4.9000000000000007E-3</v>
      </c>
      <c r="J276" s="18">
        <f t="shared" si="125"/>
        <v>5.0979599999999996E-5</v>
      </c>
      <c r="K276" s="18">
        <f t="shared" si="126"/>
        <v>-1.9396445775301922E-2</v>
      </c>
      <c r="L276" s="18">
        <f t="shared" si="127"/>
        <v>1.9784374690807959E-3</v>
      </c>
      <c r="M276" s="18">
        <f t="shared" si="128"/>
        <v>-4.9980000000000001E-4</v>
      </c>
      <c r="N276" s="18">
        <f t="shared" si="130"/>
        <v>3.1221913957933597E-3</v>
      </c>
      <c r="O276" s="18">
        <f t="shared" si="133"/>
        <v>2.1739525736556606E-2</v>
      </c>
      <c r="P276" s="18">
        <f t="shared" si="135"/>
        <v>9.6558911038066206E-4</v>
      </c>
      <c r="Q276" s="18">
        <f t="shared" si="137"/>
        <v>3.0505276645889759E-4</v>
      </c>
      <c r="R276" s="18">
        <f t="shared" si="139"/>
        <v>5.5705501670029705E-4</v>
      </c>
      <c r="S276" s="18">
        <f t="shared" si="141"/>
        <v>2.2576955677985338E-5</v>
      </c>
      <c r="T276" s="18">
        <f t="shared" si="143"/>
        <v>1.4820028374591234E-3</v>
      </c>
      <c r="U276" s="18">
        <f t="shared" si="145"/>
        <v>9.7923806653716708E-3</v>
      </c>
      <c r="V276" s="18">
        <f t="shared" si="146"/>
        <v>1.6229693985334349E-3</v>
      </c>
      <c r="W276" s="18">
        <f t="shared" si="147"/>
        <v>1.4302265686094676E-3</v>
      </c>
      <c r="X276" s="18">
        <f t="shared" si="148"/>
        <v>2.9071599608211651E-2</v>
      </c>
      <c r="Y276" s="18">
        <f t="shared" si="149"/>
        <v>7.8043553106541897E-3</v>
      </c>
      <c r="AA276" s="18">
        <f t="shared" si="131"/>
        <v>0.32864807512298455</v>
      </c>
      <c r="AB276" s="18">
        <f t="shared" si="132"/>
        <v>0.1080095572820429</v>
      </c>
      <c r="AC276" s="18">
        <f t="shared" si="134"/>
        <v>3.3336357977517848E-4</v>
      </c>
      <c r="AD276" s="18">
        <f t="shared" si="136"/>
        <v>2.6590956772095081E-2</v>
      </c>
      <c r="AE276" s="18">
        <f t="shared" si="138"/>
        <v>1.588481040138726E-3</v>
      </c>
      <c r="AF276" s="18">
        <f t="shared" si="140"/>
        <v>8.6041930477495914E-4</v>
      </c>
      <c r="AG276" s="18">
        <f t="shared" si="142"/>
        <v>6.7553668578407917E-4</v>
      </c>
      <c r="AH276" s="18">
        <f t="shared" si="144"/>
        <v>5.8118571288497134E-4</v>
      </c>
      <c r="AJ276" s="18">
        <f>IF(ISNUMBER(Kernel!M276),Kernel!M276,"")</f>
        <v>0.33480575683914299</v>
      </c>
      <c r="AK276" s="18">
        <f t="shared" si="129"/>
        <v>0.11209489481263134</v>
      </c>
      <c r="AN276" s="18">
        <f>IF(ISNUMBER(Volcanic!G276),Volcanic!G276,"")</f>
        <v>9.2899999999999996E-3</v>
      </c>
    </row>
    <row r="277" spans="1:40">
      <c r="A277" s="18" t="str">
        <f>IF(Volcanic!A277="","",Volcanic!A277)</f>
        <v>2/1981</v>
      </c>
      <c r="B277" s="18">
        <f>IF(ISNUMBER(Volcanic!L277),Volcanic!L277,"")</f>
        <v>1981.125</v>
      </c>
      <c r="C277" s="18">
        <f>IF(ISNUMBER(Volcanic!J277),Volcanic!J277,"")</f>
        <v>0.2201524784722039</v>
      </c>
      <c r="D277" s="18">
        <f t="shared" si="122"/>
        <v>4.8467113777454204E-2</v>
      </c>
      <c r="E277" s="18">
        <f>IF(ISNUMBER(Volcanic!C277),Volcanic!C277,"")</f>
        <v>0.28243980500638693</v>
      </c>
      <c r="F277" s="18">
        <f>IF(ISNUMBER(Volcanic!D277),Volcanic!D277,"")</f>
        <v>0.08</v>
      </c>
      <c r="G277" s="18">
        <f>IF(ISNUMBER(Volcanic!E277),Volcanic!E277,"")</f>
        <v>8.0099999999999998E-3</v>
      </c>
      <c r="H277" s="18">
        <f t="shared" si="123"/>
        <v>7.977224345204588E-2</v>
      </c>
      <c r="I277" s="18">
        <f t="shared" si="124"/>
        <v>6.4000000000000003E-3</v>
      </c>
      <c r="J277" s="18">
        <f t="shared" si="125"/>
        <v>6.4160100000000003E-5</v>
      </c>
      <c r="K277" s="18">
        <f t="shared" si="126"/>
        <v>2.2595184400510955E-2</v>
      </c>
      <c r="L277" s="18">
        <f t="shared" si="127"/>
        <v>2.2623428381011593E-3</v>
      </c>
      <c r="M277" s="18">
        <f t="shared" si="128"/>
        <v>6.4079999999999996E-4</v>
      </c>
      <c r="N277" s="18">
        <f t="shared" si="130"/>
        <v>0.12726552602256799</v>
      </c>
      <c r="O277" s="18">
        <f t="shared" si="133"/>
        <v>3.1221913957933597E-3</v>
      </c>
      <c r="P277" s="18">
        <f t="shared" si="135"/>
        <v>2.1739525736556606E-2</v>
      </c>
      <c r="Q277" s="18">
        <f t="shared" si="137"/>
        <v>9.6558911038066206E-4</v>
      </c>
      <c r="R277" s="18">
        <f t="shared" si="139"/>
        <v>3.0505276645889759E-4</v>
      </c>
      <c r="S277" s="18">
        <f t="shared" si="141"/>
        <v>5.5705501670029705E-4</v>
      </c>
      <c r="T277" s="18">
        <f t="shared" si="143"/>
        <v>2.2576955677985338E-5</v>
      </c>
      <c r="U277" s="18">
        <f t="shared" si="145"/>
        <v>1.4820028374591234E-3</v>
      </c>
      <c r="V277" s="18">
        <f t="shared" si="146"/>
        <v>9.7923806653716708E-3</v>
      </c>
      <c r="W277" s="18">
        <f t="shared" si="147"/>
        <v>1.6229693985334349E-3</v>
      </c>
      <c r="X277" s="18">
        <f t="shared" si="148"/>
        <v>1.4302265686094676E-3</v>
      </c>
      <c r="Y277" s="18">
        <f t="shared" si="149"/>
        <v>2.9071599608211651E-2</v>
      </c>
      <c r="AA277" s="18">
        <f t="shared" si="131"/>
        <v>4.0781328769172676E-2</v>
      </c>
      <c r="AB277" s="18">
        <f t="shared" si="132"/>
        <v>1.6631167761793509E-3</v>
      </c>
      <c r="AC277" s="18">
        <f t="shared" si="134"/>
        <v>0.1080095572820429</v>
      </c>
      <c r="AD277" s="18">
        <f t="shared" si="136"/>
        <v>3.3336357977517848E-4</v>
      </c>
      <c r="AE277" s="18">
        <f t="shared" si="138"/>
        <v>2.6590956772095081E-2</v>
      </c>
      <c r="AF277" s="18">
        <f t="shared" si="140"/>
        <v>1.588481040138726E-3</v>
      </c>
      <c r="AG277" s="18">
        <f t="shared" si="142"/>
        <v>8.6041930477495914E-4</v>
      </c>
      <c r="AH277" s="18">
        <f t="shared" si="144"/>
        <v>6.7553668578407917E-4</v>
      </c>
      <c r="AJ277" s="18">
        <f>IF(ISNUMBER(Kernel!M277),Kernel!M277,"")</f>
        <v>0.22151807157033621</v>
      </c>
      <c r="AK277" s="18">
        <f t="shared" si="129"/>
        <v>4.9070256032240592E-2</v>
      </c>
      <c r="AN277" s="18">
        <f>IF(ISNUMBER(Volcanic!G277),Volcanic!G277,"")</f>
        <v>9.3500000000000007E-3</v>
      </c>
    </row>
    <row r="278" spans="1:40">
      <c r="A278" s="18" t="str">
        <f>IF(Volcanic!A278="","",Volcanic!A278)</f>
        <v>3/1981</v>
      </c>
      <c r="B278" s="18">
        <f>IF(ISNUMBER(Volcanic!L278),Volcanic!L278,"")</f>
        <v>1981.2083333333333</v>
      </c>
      <c r="C278" s="18">
        <f>IF(ISNUMBER(Volcanic!J278),Volcanic!J278,"")</f>
        <v>0.28103305082195551</v>
      </c>
      <c r="D278" s="18">
        <f t="shared" si="122"/>
        <v>7.8979575654295822E-2</v>
      </c>
      <c r="E278" s="18">
        <f>IF(ISNUMBER(Volcanic!C278),Volcanic!C278,"")</f>
        <v>0.28700784260909884</v>
      </c>
      <c r="F278" s="18">
        <f>IF(ISNUMBER(Volcanic!D278),Volcanic!D278,"")</f>
        <v>-0.05</v>
      </c>
      <c r="G278" s="18">
        <f>IF(ISNUMBER(Volcanic!E278),Volcanic!E278,"")</f>
        <v>8.5900000000000004E-3</v>
      </c>
      <c r="H278" s="18">
        <f t="shared" si="123"/>
        <v>8.2373501719129258E-2</v>
      </c>
      <c r="I278" s="18">
        <f t="shared" si="124"/>
        <v>2.5000000000000005E-3</v>
      </c>
      <c r="J278" s="18">
        <f t="shared" si="125"/>
        <v>7.3788100000000013E-5</v>
      </c>
      <c r="K278" s="18">
        <f t="shared" si="126"/>
        <v>-1.4350392130454942E-2</v>
      </c>
      <c r="L278" s="18">
        <f t="shared" si="127"/>
        <v>2.4653973680121592E-3</v>
      </c>
      <c r="M278" s="18">
        <f t="shared" si="128"/>
        <v>-4.2950000000000003E-4</v>
      </c>
      <c r="N278" s="18">
        <f t="shared" si="130"/>
        <v>4.8467113777454204E-2</v>
      </c>
      <c r="O278" s="18">
        <f t="shared" si="133"/>
        <v>0.12726552602256799</v>
      </c>
      <c r="P278" s="18">
        <f t="shared" si="135"/>
        <v>3.1221913957933597E-3</v>
      </c>
      <c r="Q278" s="18">
        <f t="shared" si="137"/>
        <v>2.1739525736556606E-2</v>
      </c>
      <c r="R278" s="18">
        <f t="shared" si="139"/>
        <v>9.6558911038066206E-4</v>
      </c>
      <c r="S278" s="18">
        <f t="shared" si="141"/>
        <v>3.0505276645889759E-4</v>
      </c>
      <c r="T278" s="18">
        <f t="shared" si="143"/>
        <v>5.5705501670029705E-4</v>
      </c>
      <c r="U278" s="18">
        <f t="shared" si="145"/>
        <v>2.2576955677985338E-5</v>
      </c>
      <c r="V278" s="18">
        <f t="shared" si="146"/>
        <v>1.4820028374591234E-3</v>
      </c>
      <c r="W278" s="18">
        <f t="shared" si="147"/>
        <v>9.7923806653716708E-3</v>
      </c>
      <c r="X278" s="18">
        <f t="shared" si="148"/>
        <v>1.6229693985334349E-3</v>
      </c>
      <c r="Y278" s="18">
        <f t="shared" si="149"/>
        <v>1.4302265686094676E-3</v>
      </c>
      <c r="AA278" s="18">
        <f t="shared" si="131"/>
        <v>0.17033989161859206</v>
      </c>
      <c r="AB278" s="18">
        <f t="shared" si="132"/>
        <v>2.901567867663369E-2</v>
      </c>
      <c r="AC278" s="18">
        <f t="shared" si="134"/>
        <v>1.6631167761793509E-3</v>
      </c>
      <c r="AD278" s="18">
        <f t="shared" si="136"/>
        <v>0.1080095572820429</v>
      </c>
      <c r="AE278" s="18">
        <f t="shared" si="138"/>
        <v>3.3336357977517848E-4</v>
      </c>
      <c r="AF278" s="18">
        <f t="shared" si="140"/>
        <v>2.6590956772095081E-2</v>
      </c>
      <c r="AG278" s="18">
        <f t="shared" si="142"/>
        <v>1.588481040138726E-3</v>
      </c>
      <c r="AH278" s="18">
        <f t="shared" si="144"/>
        <v>8.6041930477495914E-4</v>
      </c>
      <c r="AJ278" s="18">
        <f>IF(ISNUMBER(Kernel!M278),Kernel!M278,"")</f>
        <v>0.27841682298801007</v>
      </c>
      <c r="AK278" s="18">
        <f t="shared" si="129"/>
        <v>7.7515927322736933E-2</v>
      </c>
      <c r="AN278" s="18">
        <f>IF(ISNUMBER(Volcanic!G278),Volcanic!G278,"")</f>
        <v>9.2200000000000008E-3</v>
      </c>
    </row>
    <row r="279" spans="1:40">
      <c r="A279" s="18" t="str">
        <f>IF(Volcanic!A279="","",Volcanic!A279)</f>
        <v>4/1981</v>
      </c>
      <c r="B279" s="18">
        <f>IF(ISNUMBER(Volcanic!L279),Volcanic!L279,"")</f>
        <v>1981.2916666666667</v>
      </c>
      <c r="C279" s="18">
        <f>IF(ISNUMBER(Volcanic!J279),Volcanic!J279,"")</f>
        <v>0.13066552863311798</v>
      </c>
      <c r="D279" s="18">
        <f t="shared" si="122"/>
        <v>1.7073480372972172E-2</v>
      </c>
      <c r="E279" s="18">
        <f>IF(ISNUMBER(Volcanic!C279),Volcanic!C279,"")</f>
        <v>0.29109832425167037</v>
      </c>
      <c r="F279" s="18">
        <f>IF(ISNUMBER(Volcanic!D279),Volcanic!D279,"")</f>
        <v>-0.27</v>
      </c>
      <c r="G279" s="18">
        <f>IF(ISNUMBER(Volcanic!E279),Volcanic!E279,"")</f>
        <v>8.7600000000000004E-3</v>
      </c>
      <c r="H279" s="18">
        <f t="shared" si="123"/>
        <v>8.4738234382130628E-2</v>
      </c>
      <c r="I279" s="18">
        <f t="shared" si="124"/>
        <v>7.2900000000000006E-2</v>
      </c>
      <c r="J279" s="18">
        <f t="shared" si="125"/>
        <v>7.6737600000000009E-5</v>
      </c>
      <c r="K279" s="18">
        <f t="shared" si="126"/>
        <v>-7.8596547547951007E-2</v>
      </c>
      <c r="L279" s="18">
        <f t="shared" si="127"/>
        <v>2.5500213204446326E-3</v>
      </c>
      <c r="M279" s="18">
        <f t="shared" si="128"/>
        <v>-2.3652000000000005E-3</v>
      </c>
      <c r="N279" s="18">
        <f t="shared" si="130"/>
        <v>7.8979575654295822E-2</v>
      </c>
      <c r="O279" s="18">
        <f t="shared" si="133"/>
        <v>4.8467113777454204E-2</v>
      </c>
      <c r="P279" s="18">
        <f t="shared" si="135"/>
        <v>0.12726552602256799</v>
      </c>
      <c r="Q279" s="18">
        <f t="shared" si="137"/>
        <v>3.1221913957933597E-3</v>
      </c>
      <c r="R279" s="18">
        <f t="shared" si="139"/>
        <v>2.1739525736556606E-2</v>
      </c>
      <c r="S279" s="18">
        <f t="shared" si="141"/>
        <v>9.6558911038066206E-4</v>
      </c>
      <c r="T279" s="18">
        <f t="shared" si="143"/>
        <v>3.0505276645889759E-4</v>
      </c>
      <c r="U279" s="18">
        <f t="shared" si="145"/>
        <v>5.5705501670029705E-4</v>
      </c>
      <c r="V279" s="18">
        <f t="shared" si="146"/>
        <v>2.2576955677985338E-5</v>
      </c>
      <c r="W279" s="18">
        <f t="shared" si="147"/>
        <v>1.4820028374591234E-3</v>
      </c>
      <c r="X279" s="18">
        <f t="shared" si="148"/>
        <v>9.7923806653716708E-3</v>
      </c>
      <c r="Y279" s="18">
        <f t="shared" si="149"/>
        <v>1.6229693985334349E-3</v>
      </c>
      <c r="AA279" s="18">
        <f t="shared" si="131"/>
        <v>-1.0638518688653842E-2</v>
      </c>
      <c r="AB279" s="18">
        <f t="shared" si="132"/>
        <v>1.1317807988883706E-4</v>
      </c>
      <c r="AC279" s="18">
        <f t="shared" si="134"/>
        <v>2.901567867663369E-2</v>
      </c>
      <c r="AD279" s="18">
        <f t="shared" si="136"/>
        <v>1.6631167761793509E-3</v>
      </c>
      <c r="AE279" s="18">
        <f t="shared" si="138"/>
        <v>0.1080095572820429</v>
      </c>
      <c r="AF279" s="18">
        <f t="shared" si="140"/>
        <v>3.3336357977517848E-4</v>
      </c>
      <c r="AG279" s="18">
        <f t="shared" si="142"/>
        <v>2.6590956772095081E-2</v>
      </c>
      <c r="AH279" s="18">
        <f t="shared" si="144"/>
        <v>1.588481040138726E-3</v>
      </c>
      <c r="AJ279" s="18">
        <f>IF(ISNUMBER(Kernel!M279),Kernel!M279,"")</f>
        <v>0.11213845389335045</v>
      </c>
      <c r="AK279" s="18">
        <f t="shared" si="129"/>
        <v>1.2575032841591085E-2</v>
      </c>
      <c r="AN279" s="18">
        <f>IF(ISNUMBER(Volcanic!G279),Volcanic!G279,"")</f>
        <v>9.0200000000000002E-3</v>
      </c>
    </row>
    <row r="280" spans="1:40">
      <c r="A280" s="18" t="str">
        <f>IF(Volcanic!A280="","",Volcanic!A280)</f>
        <v>5/1981</v>
      </c>
      <c r="B280" s="18">
        <f>IF(ISNUMBER(Volcanic!L280),Volcanic!L280,"")</f>
        <v>1981.375</v>
      </c>
      <c r="C280" s="18">
        <f>IF(ISNUMBER(Volcanic!J280),Volcanic!J280,"")</f>
        <v>6.9952583889856618E-2</v>
      </c>
      <c r="D280" s="18">
        <f t="shared" si="122"/>
        <v>4.8933639928674276E-3</v>
      </c>
      <c r="E280" s="18">
        <f>IF(ISNUMBER(Volcanic!C280),Volcanic!C280,"")</f>
        <v>0.29294998373808151</v>
      </c>
      <c r="F280" s="18">
        <f>IF(ISNUMBER(Volcanic!D280),Volcanic!D280,"")</f>
        <v>-0.42</v>
      </c>
      <c r="G280" s="18">
        <f>IF(ISNUMBER(Volcanic!E280),Volcanic!E280,"")</f>
        <v>8.9499999999999996E-3</v>
      </c>
      <c r="H280" s="18">
        <f t="shared" si="123"/>
        <v>8.5819692972142217E-2</v>
      </c>
      <c r="I280" s="18">
        <f t="shared" si="124"/>
        <v>0.17639999999999997</v>
      </c>
      <c r="J280" s="18">
        <f t="shared" si="125"/>
        <v>8.0102499999999994E-5</v>
      </c>
      <c r="K280" s="18">
        <f t="shared" si="126"/>
        <v>-0.12303899316999423</v>
      </c>
      <c r="L280" s="18">
        <f t="shared" si="127"/>
        <v>2.6219023544558294E-3</v>
      </c>
      <c r="M280" s="18">
        <f t="shared" si="128"/>
        <v>-3.7589999999999998E-3</v>
      </c>
      <c r="N280" s="18">
        <f t="shared" si="130"/>
        <v>1.7073480372972172E-2</v>
      </c>
      <c r="O280" s="18">
        <f t="shared" si="133"/>
        <v>7.8979575654295822E-2</v>
      </c>
      <c r="P280" s="18">
        <f t="shared" si="135"/>
        <v>4.8467113777454204E-2</v>
      </c>
      <c r="Q280" s="18">
        <f t="shared" si="137"/>
        <v>0.12726552602256799</v>
      </c>
      <c r="R280" s="18">
        <f t="shared" si="139"/>
        <v>3.1221913957933597E-3</v>
      </c>
      <c r="S280" s="18">
        <f t="shared" si="141"/>
        <v>2.1739525736556606E-2</v>
      </c>
      <c r="T280" s="18">
        <f t="shared" si="143"/>
        <v>9.6558911038066206E-4</v>
      </c>
      <c r="U280" s="18">
        <f t="shared" si="145"/>
        <v>3.0505276645889759E-4</v>
      </c>
      <c r="V280" s="18">
        <f t="shared" si="146"/>
        <v>5.5705501670029705E-4</v>
      </c>
      <c r="W280" s="18">
        <f t="shared" si="147"/>
        <v>2.2576955677985338E-5</v>
      </c>
      <c r="X280" s="18">
        <f t="shared" si="148"/>
        <v>1.4820028374591234E-3</v>
      </c>
      <c r="Y280" s="18">
        <f t="shared" si="149"/>
        <v>9.7923806653716708E-3</v>
      </c>
      <c r="AA280" s="18">
        <f t="shared" si="131"/>
        <v>4.2536634700097581E-3</v>
      </c>
      <c r="AB280" s="18">
        <f t="shared" si="132"/>
        <v>1.8093652916095455E-5</v>
      </c>
      <c r="AC280" s="18">
        <f t="shared" si="134"/>
        <v>1.1317807988883706E-4</v>
      </c>
      <c r="AD280" s="18">
        <f t="shared" si="136"/>
        <v>2.901567867663369E-2</v>
      </c>
      <c r="AE280" s="18">
        <f t="shared" si="138"/>
        <v>1.6631167761793509E-3</v>
      </c>
      <c r="AF280" s="18">
        <f t="shared" si="140"/>
        <v>0.1080095572820429</v>
      </c>
      <c r="AG280" s="18">
        <f t="shared" si="142"/>
        <v>3.3336357977517848E-4</v>
      </c>
      <c r="AH280" s="18">
        <f t="shared" si="144"/>
        <v>2.6590956772095081E-2</v>
      </c>
      <c r="AJ280" s="18">
        <f>IF(ISNUMBER(Kernel!M280),Kernel!M280,"")</f>
        <v>4.1396015897799177E-2</v>
      </c>
      <c r="AK280" s="18">
        <f t="shared" si="129"/>
        <v>1.7136301322108422E-3</v>
      </c>
      <c r="AN280" s="18">
        <f>IF(ISNUMBER(Volcanic!G280),Volcanic!G280,"")</f>
        <v>8.8999999999999999E-3</v>
      </c>
    </row>
    <row r="281" spans="1:40">
      <c r="A281" s="18" t="str">
        <f>IF(Volcanic!A281="","",Volcanic!A281)</f>
        <v>6/1981</v>
      </c>
      <c r="B281" s="18">
        <f>IF(ISNUMBER(Volcanic!L281),Volcanic!L281,"")</f>
        <v>1981.4583333333333</v>
      </c>
      <c r="C281" s="18">
        <f>IF(ISNUMBER(Volcanic!J281),Volcanic!J281,"")</f>
        <v>0.11443401974979983</v>
      </c>
      <c r="D281" s="18">
        <f t="shared" si="122"/>
        <v>1.3095144876097578E-2</v>
      </c>
      <c r="E281" s="18">
        <f>IF(ISNUMBER(Volcanic!C281),Volcanic!C281,"")</f>
        <v>0.29084564099664334</v>
      </c>
      <c r="F281" s="18">
        <f>IF(ISNUMBER(Volcanic!D281),Volcanic!D281,"")</f>
        <v>-0.41</v>
      </c>
      <c r="G281" s="18">
        <f>IF(ISNUMBER(Volcanic!E281),Volcanic!E281,"")</f>
        <v>8.8000000000000005E-3</v>
      </c>
      <c r="H281" s="18">
        <f t="shared" si="123"/>
        <v>8.459118688674834E-2</v>
      </c>
      <c r="I281" s="18">
        <f t="shared" si="124"/>
        <v>0.16809999999999997</v>
      </c>
      <c r="J281" s="18">
        <f t="shared" si="125"/>
        <v>7.7440000000000004E-5</v>
      </c>
      <c r="K281" s="18">
        <f t="shared" si="126"/>
        <v>-0.11924671280862376</v>
      </c>
      <c r="L281" s="18">
        <f t="shared" si="127"/>
        <v>2.5594416407704614E-3</v>
      </c>
      <c r="M281" s="18">
        <f t="shared" si="128"/>
        <v>-3.6080000000000001E-3</v>
      </c>
      <c r="N281" s="18">
        <f t="shared" si="130"/>
        <v>4.8933639928674276E-3</v>
      </c>
      <c r="O281" s="18">
        <f t="shared" si="133"/>
        <v>1.7073480372972172E-2</v>
      </c>
      <c r="P281" s="18">
        <f t="shared" si="135"/>
        <v>7.8979575654295822E-2</v>
      </c>
      <c r="Q281" s="18">
        <f t="shared" si="137"/>
        <v>4.8467113777454204E-2</v>
      </c>
      <c r="R281" s="18">
        <f t="shared" si="139"/>
        <v>0.12726552602256799</v>
      </c>
      <c r="S281" s="18">
        <f t="shared" si="141"/>
        <v>3.1221913957933597E-3</v>
      </c>
      <c r="T281" s="18">
        <f t="shared" si="143"/>
        <v>2.1739525736556606E-2</v>
      </c>
      <c r="U281" s="18">
        <f t="shared" si="145"/>
        <v>9.6558911038066206E-4</v>
      </c>
      <c r="V281" s="18">
        <f t="shared" si="146"/>
        <v>3.0505276645889759E-4</v>
      </c>
      <c r="W281" s="18">
        <f t="shared" si="147"/>
        <v>5.5705501670029705E-4</v>
      </c>
      <c r="X281" s="18">
        <f t="shared" si="148"/>
        <v>2.2576955677985338E-5</v>
      </c>
      <c r="Y281" s="18">
        <f t="shared" si="149"/>
        <v>1.4820028374591234E-3</v>
      </c>
      <c r="AA281" s="18">
        <f t="shared" si="131"/>
        <v>7.9261703912419018E-2</v>
      </c>
      <c r="AB281" s="18">
        <f t="shared" si="132"/>
        <v>6.2824177070999803E-3</v>
      </c>
      <c r="AC281" s="18">
        <f t="shared" si="134"/>
        <v>1.8093652916095455E-5</v>
      </c>
      <c r="AD281" s="18">
        <f t="shared" si="136"/>
        <v>1.1317807988883706E-4</v>
      </c>
      <c r="AE281" s="18">
        <f t="shared" si="138"/>
        <v>2.901567867663369E-2</v>
      </c>
      <c r="AF281" s="18">
        <f t="shared" si="140"/>
        <v>1.6631167761793509E-3</v>
      </c>
      <c r="AG281" s="18">
        <f t="shared" si="142"/>
        <v>0.1080095572820429</v>
      </c>
      <c r="AH281" s="18">
        <f t="shared" si="144"/>
        <v>3.3336357977517848E-4</v>
      </c>
      <c r="AJ281" s="18">
        <f>IF(ISNUMBER(Kernel!M281),Kernel!M281,"")</f>
        <v>9.0601861847076859E-2</v>
      </c>
      <c r="AK281" s="18">
        <f t="shared" si="129"/>
        <v>8.208697370156802E-3</v>
      </c>
      <c r="AN281" s="18">
        <f>IF(ISNUMBER(Volcanic!G281),Volcanic!G281,"")</f>
        <v>9.2499999999999995E-3</v>
      </c>
    </row>
    <row r="282" spans="1:40">
      <c r="A282" s="18" t="str">
        <f>IF(Volcanic!A282="","",Volcanic!A282)</f>
        <v>7/1981</v>
      </c>
      <c r="B282" s="18">
        <f>IF(ISNUMBER(Volcanic!L282),Volcanic!L282,"")</f>
        <v>1981.5416666666667</v>
      </c>
      <c r="C282" s="18">
        <f>IF(ISNUMBER(Volcanic!J282),Volcanic!J282,"")</f>
        <v>0.1614045905476296</v>
      </c>
      <c r="D282" s="18">
        <f t="shared" si="122"/>
        <v>2.6051441849847961E-2</v>
      </c>
      <c r="E282" s="18">
        <f>IF(ISNUMBER(Volcanic!C282),Volcanic!C282,"")</f>
        <v>0.28358317111122905</v>
      </c>
      <c r="F282" s="18">
        <f>IF(ISNUMBER(Volcanic!D282),Volcanic!D282,"")</f>
        <v>-0.27</v>
      </c>
      <c r="G282" s="18">
        <f>IF(ISNUMBER(Volcanic!E282),Volcanic!E282,"")</f>
        <v>8.8699999999999994E-3</v>
      </c>
      <c r="H282" s="18">
        <f t="shared" si="123"/>
        <v>8.0419414937500613E-2</v>
      </c>
      <c r="I282" s="18">
        <f t="shared" si="124"/>
        <v>7.2900000000000006E-2</v>
      </c>
      <c r="J282" s="18">
        <f t="shared" si="125"/>
        <v>7.8676899999999985E-5</v>
      </c>
      <c r="K282" s="18">
        <f t="shared" si="126"/>
        <v>-7.6567456200031844E-2</v>
      </c>
      <c r="L282" s="18">
        <f t="shared" si="127"/>
        <v>2.5153827277566015E-3</v>
      </c>
      <c r="M282" s="18">
        <f t="shared" si="128"/>
        <v>-2.3949000000000002E-3</v>
      </c>
      <c r="N282" s="18">
        <f t="shared" si="130"/>
        <v>1.3095144876097578E-2</v>
      </c>
      <c r="O282" s="18">
        <f t="shared" si="133"/>
        <v>4.8933639928674276E-3</v>
      </c>
      <c r="P282" s="18">
        <f t="shared" si="135"/>
        <v>1.7073480372972172E-2</v>
      </c>
      <c r="Q282" s="18">
        <f t="shared" si="137"/>
        <v>7.8979575654295822E-2</v>
      </c>
      <c r="R282" s="18">
        <f t="shared" si="139"/>
        <v>4.8467113777454204E-2</v>
      </c>
      <c r="S282" s="18">
        <f t="shared" si="141"/>
        <v>0.12726552602256799</v>
      </c>
      <c r="T282" s="18">
        <f t="shared" si="143"/>
        <v>3.1221913957933597E-3</v>
      </c>
      <c r="U282" s="18">
        <f t="shared" si="145"/>
        <v>2.1739525736556606E-2</v>
      </c>
      <c r="V282" s="18">
        <f t="shared" si="146"/>
        <v>9.6558911038066206E-4</v>
      </c>
      <c r="W282" s="18">
        <f t="shared" si="147"/>
        <v>3.0505276645889759E-4</v>
      </c>
      <c r="X282" s="18">
        <f t="shared" si="148"/>
        <v>5.5705501670029705E-4</v>
      </c>
      <c r="Y282" s="18">
        <f t="shared" si="149"/>
        <v>2.2576955677985338E-5</v>
      </c>
      <c r="AA282" s="18">
        <f t="shared" si="131"/>
        <v>0.10386690914448903</v>
      </c>
      <c r="AB282" s="18">
        <f t="shared" si="132"/>
        <v>1.0788334815229539E-2</v>
      </c>
      <c r="AC282" s="18">
        <f t="shared" si="134"/>
        <v>6.2824177070999803E-3</v>
      </c>
      <c r="AD282" s="18">
        <f t="shared" si="136"/>
        <v>1.8093652916095455E-5</v>
      </c>
      <c r="AE282" s="18">
        <f t="shared" si="138"/>
        <v>1.1317807988883706E-4</v>
      </c>
      <c r="AF282" s="18">
        <f t="shared" si="140"/>
        <v>2.901567867663369E-2</v>
      </c>
      <c r="AG282" s="18">
        <f t="shared" si="142"/>
        <v>1.6631167761793509E-3</v>
      </c>
      <c r="AH282" s="18">
        <f t="shared" si="144"/>
        <v>0.1080095572820429</v>
      </c>
      <c r="AJ282" s="18">
        <f>IF(ISNUMBER(Kernel!M282),Kernel!M282,"")</f>
        <v>0.15357619075070114</v>
      </c>
      <c r="AK282" s="18">
        <f t="shared" si="129"/>
        <v>2.3585646365495743E-2</v>
      </c>
      <c r="AN282" s="18">
        <f>IF(ISNUMBER(Volcanic!G282),Volcanic!G282,"")</f>
        <v>9.6600000000000002E-3</v>
      </c>
    </row>
    <row r="283" spans="1:40">
      <c r="A283" s="18" t="str">
        <f>IF(Volcanic!A283="","",Volcanic!A283)</f>
        <v>8/1981</v>
      </c>
      <c r="B283" s="18">
        <f>IF(ISNUMBER(Volcanic!L283),Volcanic!L283,"")</f>
        <v>1981.625</v>
      </c>
      <c r="C283" s="18">
        <f>IF(ISNUMBER(Volcanic!J283),Volcanic!J283,"")</f>
        <v>0.21036568582610879</v>
      </c>
      <c r="D283" s="18">
        <f t="shared" si="122"/>
        <v>4.4253721773089109E-2</v>
      </c>
      <c r="E283" s="18">
        <f>IF(ISNUMBER(Volcanic!C283),Volcanic!C283,"")</f>
        <v>0.27364376363665927</v>
      </c>
      <c r="F283" s="18">
        <f>IF(ISNUMBER(Volcanic!D283),Volcanic!D283,"")</f>
        <v>-0.28000000000000003</v>
      </c>
      <c r="G283" s="18">
        <f>IF(ISNUMBER(Volcanic!E283),Volcanic!E283,"")</f>
        <v>9.2899999999999996E-3</v>
      </c>
      <c r="H283" s="18">
        <f t="shared" si="123"/>
        <v>7.4880909377235849E-2</v>
      </c>
      <c r="I283" s="18">
        <f t="shared" si="124"/>
        <v>7.8400000000000011E-2</v>
      </c>
      <c r="J283" s="18">
        <f t="shared" si="125"/>
        <v>8.6304099999999999E-5</v>
      </c>
      <c r="K283" s="18">
        <f t="shared" si="126"/>
        <v>-7.6620253818264608E-2</v>
      </c>
      <c r="L283" s="18">
        <f t="shared" si="127"/>
        <v>2.5421505641845645E-3</v>
      </c>
      <c r="M283" s="18">
        <f t="shared" si="128"/>
        <v>-2.6012000000000001E-3</v>
      </c>
      <c r="N283" s="18">
        <f t="shared" si="130"/>
        <v>2.6051441849847961E-2</v>
      </c>
      <c r="O283" s="18">
        <f t="shared" si="133"/>
        <v>1.3095144876097578E-2</v>
      </c>
      <c r="P283" s="18">
        <f t="shared" si="135"/>
        <v>4.8933639928674276E-3</v>
      </c>
      <c r="Q283" s="18">
        <f t="shared" si="137"/>
        <v>1.7073480372972172E-2</v>
      </c>
      <c r="R283" s="18">
        <f t="shared" si="139"/>
        <v>7.8979575654295822E-2</v>
      </c>
      <c r="S283" s="18">
        <f t="shared" si="141"/>
        <v>4.8467113777454204E-2</v>
      </c>
      <c r="T283" s="18">
        <f t="shared" si="143"/>
        <v>0.12726552602256799</v>
      </c>
      <c r="U283" s="18">
        <f t="shared" si="145"/>
        <v>3.1221913957933597E-3</v>
      </c>
      <c r="V283" s="18">
        <f t="shared" si="146"/>
        <v>2.1739525736556606E-2</v>
      </c>
      <c r="W283" s="18">
        <f t="shared" si="147"/>
        <v>9.6558911038066206E-4</v>
      </c>
      <c r="X283" s="18">
        <f t="shared" si="148"/>
        <v>3.0505276645889759E-4</v>
      </c>
      <c r="Y283" s="18">
        <f t="shared" si="149"/>
        <v>5.5705501670029705E-4</v>
      </c>
      <c r="AA283" s="18">
        <f t="shared" si="131"/>
        <v>0.12921109623606591</v>
      </c>
      <c r="AB283" s="18">
        <f t="shared" si="132"/>
        <v>1.6695507390525888E-2</v>
      </c>
      <c r="AC283" s="18">
        <f t="shared" si="134"/>
        <v>1.0788334815229539E-2</v>
      </c>
      <c r="AD283" s="18">
        <f t="shared" si="136"/>
        <v>6.2824177070999803E-3</v>
      </c>
      <c r="AE283" s="18">
        <f t="shared" si="138"/>
        <v>1.8093652916095455E-5</v>
      </c>
      <c r="AF283" s="18">
        <f t="shared" si="140"/>
        <v>1.1317807988883706E-4</v>
      </c>
      <c r="AG283" s="18">
        <f t="shared" si="142"/>
        <v>2.901567867663369E-2</v>
      </c>
      <c r="AH283" s="18">
        <f t="shared" si="144"/>
        <v>1.6631167761793509E-3</v>
      </c>
      <c r="AJ283" s="18">
        <f>IF(ISNUMBER(Kernel!M283),Kernel!M283,"")</f>
        <v>0.20231298720668384</v>
      </c>
      <c r="AK283" s="18">
        <f t="shared" si="129"/>
        <v>4.0930544792491814E-2</v>
      </c>
      <c r="AN283" s="18">
        <f>IF(ISNUMBER(Volcanic!G283),Volcanic!G283,"")</f>
        <v>9.9600000000000001E-3</v>
      </c>
    </row>
    <row r="284" spans="1:40">
      <c r="A284" s="18" t="str">
        <f>IF(Volcanic!A284="","",Volcanic!A284)</f>
        <v>9/1981</v>
      </c>
      <c r="B284" s="18">
        <f>IF(ISNUMBER(Volcanic!L284),Volcanic!L284,"")</f>
        <v>1981.7083333333333</v>
      </c>
      <c r="C284" s="18">
        <f>IF(ISNUMBER(Volcanic!J284),Volcanic!J284,"")</f>
        <v>2.7396389611526739E-2</v>
      </c>
      <c r="D284" s="18">
        <f t="shared" si="122"/>
        <v>7.5056216374657021E-4</v>
      </c>
      <c r="E284" s="18">
        <f>IF(ISNUMBER(Volcanic!C284),Volcanic!C284,"")</f>
        <v>0.26710769864693196</v>
      </c>
      <c r="F284" s="18">
        <f>IF(ISNUMBER(Volcanic!D284),Volcanic!D284,"")</f>
        <v>-0.27</v>
      </c>
      <c r="G284" s="18">
        <f>IF(ISNUMBER(Volcanic!E284),Volcanic!E284,"")</f>
        <v>9.3500000000000007E-3</v>
      </c>
      <c r="H284" s="18">
        <f t="shared" si="123"/>
        <v>7.1346522676460217E-2</v>
      </c>
      <c r="I284" s="18">
        <f t="shared" si="124"/>
        <v>7.2900000000000006E-2</v>
      </c>
      <c r="J284" s="18">
        <f t="shared" si="125"/>
        <v>8.7422500000000012E-5</v>
      </c>
      <c r="K284" s="18">
        <f t="shared" si="126"/>
        <v>-7.2119078634671638E-2</v>
      </c>
      <c r="L284" s="18">
        <f t="shared" si="127"/>
        <v>2.4974569823488142E-3</v>
      </c>
      <c r="M284" s="18">
        <f t="shared" si="128"/>
        <v>-2.5245000000000003E-3</v>
      </c>
      <c r="N284" s="18">
        <f t="shared" si="130"/>
        <v>4.4253721773089109E-2</v>
      </c>
      <c r="O284" s="18">
        <f t="shared" si="133"/>
        <v>2.6051441849847961E-2</v>
      </c>
      <c r="P284" s="18">
        <f t="shared" si="135"/>
        <v>1.3095144876097578E-2</v>
      </c>
      <c r="Q284" s="18">
        <f t="shared" si="137"/>
        <v>4.8933639928674276E-3</v>
      </c>
      <c r="R284" s="18">
        <f t="shared" si="139"/>
        <v>1.7073480372972172E-2</v>
      </c>
      <c r="S284" s="18">
        <f t="shared" si="141"/>
        <v>7.8979575654295822E-2</v>
      </c>
      <c r="T284" s="18">
        <f t="shared" si="143"/>
        <v>4.8467113777454204E-2</v>
      </c>
      <c r="U284" s="18">
        <f t="shared" si="145"/>
        <v>0.12726552602256799</v>
      </c>
      <c r="V284" s="18">
        <f t="shared" si="146"/>
        <v>3.1221913957933597E-3</v>
      </c>
      <c r="W284" s="18">
        <f t="shared" si="147"/>
        <v>2.1739525736556606E-2</v>
      </c>
      <c r="X284" s="18">
        <f t="shared" si="148"/>
        <v>9.6558911038066206E-4</v>
      </c>
      <c r="Y284" s="18">
        <f t="shared" si="149"/>
        <v>3.0505276645889759E-4</v>
      </c>
      <c r="AA284" s="18">
        <f t="shared" si="131"/>
        <v>-7.8375948332032944E-2</v>
      </c>
      <c r="AB284" s="18">
        <f t="shared" si="132"/>
        <v>6.1427892769454978E-3</v>
      </c>
      <c r="AC284" s="18">
        <f t="shared" si="134"/>
        <v>1.6695507390525888E-2</v>
      </c>
      <c r="AD284" s="18">
        <f t="shared" si="136"/>
        <v>1.0788334815229539E-2</v>
      </c>
      <c r="AE284" s="18">
        <f t="shared" si="138"/>
        <v>6.2824177070999803E-3</v>
      </c>
      <c r="AF284" s="18">
        <f t="shared" si="140"/>
        <v>1.8093652916095455E-5</v>
      </c>
      <c r="AG284" s="18">
        <f t="shared" si="142"/>
        <v>1.1317807988883706E-4</v>
      </c>
      <c r="AH284" s="18">
        <f t="shared" si="144"/>
        <v>2.901567867663369E-2</v>
      </c>
      <c r="AJ284" s="18">
        <f>IF(ISNUMBER(Kernel!M284),Kernel!M284,"")</f>
        <v>1.8278695596459171E-2</v>
      </c>
      <c r="AK284" s="18">
        <f t="shared" si="129"/>
        <v>3.3411071270801591E-4</v>
      </c>
      <c r="AN284" s="18">
        <f>IF(ISNUMBER(Volcanic!G284),Volcanic!G284,"")</f>
        <v>9.6900000000000007E-3</v>
      </c>
    </row>
    <row r="285" spans="1:40">
      <c r="A285" s="18" t="str">
        <f>IF(Volcanic!A285="","",Volcanic!A285)</f>
        <v>10/1981</v>
      </c>
      <c r="B285" s="18">
        <f>IF(ISNUMBER(Volcanic!L285),Volcanic!L285,"")</f>
        <v>1981.7916666666667</v>
      </c>
      <c r="C285" s="18">
        <f>IF(ISNUMBER(Volcanic!J285),Volcanic!J285,"")</f>
        <v>-3.1293154678628116E-3</v>
      </c>
      <c r="D285" s="18">
        <f t="shared" si="122"/>
        <v>9.7926152974054475E-6</v>
      </c>
      <c r="E285" s="18">
        <f>IF(ISNUMBER(Volcanic!C285),Volcanic!C285,"")</f>
        <v>0.26753579806873473</v>
      </c>
      <c r="F285" s="18">
        <f>IF(ISNUMBER(Volcanic!D285),Volcanic!D285,"")</f>
        <v>-0.28000000000000003</v>
      </c>
      <c r="G285" s="18">
        <f>IF(ISNUMBER(Volcanic!E285),Volcanic!E285,"")</f>
        <v>9.2200000000000008E-3</v>
      </c>
      <c r="H285" s="18">
        <f t="shared" si="123"/>
        <v>7.1575403248274813E-2</v>
      </c>
      <c r="I285" s="18">
        <f t="shared" si="124"/>
        <v>7.8400000000000011E-2</v>
      </c>
      <c r="J285" s="18">
        <f t="shared" si="125"/>
        <v>8.5008400000000011E-5</v>
      </c>
      <c r="K285" s="18">
        <f t="shared" si="126"/>
        <v>-7.4910023459245731E-2</v>
      </c>
      <c r="L285" s="18">
        <f t="shared" si="127"/>
        <v>2.4666800581937343E-3</v>
      </c>
      <c r="M285" s="18">
        <f t="shared" si="128"/>
        <v>-2.5816000000000003E-3</v>
      </c>
      <c r="N285" s="18">
        <f t="shared" si="130"/>
        <v>7.5056216374657021E-4</v>
      </c>
      <c r="O285" s="18">
        <f t="shared" si="133"/>
        <v>4.4253721773089109E-2</v>
      </c>
      <c r="P285" s="18">
        <f t="shared" si="135"/>
        <v>2.6051441849847961E-2</v>
      </c>
      <c r="Q285" s="18">
        <f t="shared" si="137"/>
        <v>1.3095144876097578E-2</v>
      </c>
      <c r="R285" s="18">
        <f t="shared" si="139"/>
        <v>4.8933639928674276E-3</v>
      </c>
      <c r="S285" s="18">
        <f t="shared" si="141"/>
        <v>1.7073480372972172E-2</v>
      </c>
      <c r="T285" s="18">
        <f t="shared" si="143"/>
        <v>7.8979575654295822E-2</v>
      </c>
      <c r="U285" s="18">
        <f t="shared" si="145"/>
        <v>4.8467113777454204E-2</v>
      </c>
      <c r="V285" s="18">
        <f t="shared" si="146"/>
        <v>0.12726552602256799</v>
      </c>
      <c r="W285" s="18">
        <f t="shared" si="147"/>
        <v>3.1221913957933597E-3</v>
      </c>
      <c r="X285" s="18">
        <f t="shared" si="148"/>
        <v>2.1739525736556606E-2</v>
      </c>
      <c r="Y285" s="18">
        <f t="shared" si="149"/>
        <v>9.6558911038066206E-4</v>
      </c>
      <c r="AA285" s="18">
        <f t="shared" si="131"/>
        <v>-1.6904281518263158E-2</v>
      </c>
      <c r="AB285" s="18">
        <f t="shared" si="132"/>
        <v>2.8575473364869338E-4</v>
      </c>
      <c r="AC285" s="18">
        <f t="shared" si="134"/>
        <v>6.1427892769454978E-3</v>
      </c>
      <c r="AD285" s="18">
        <f t="shared" si="136"/>
        <v>1.6695507390525888E-2</v>
      </c>
      <c r="AE285" s="18">
        <f t="shared" si="138"/>
        <v>1.0788334815229539E-2</v>
      </c>
      <c r="AF285" s="18">
        <f t="shared" si="140"/>
        <v>6.2824177070999803E-3</v>
      </c>
      <c r="AG285" s="18">
        <f t="shared" si="142"/>
        <v>1.8093652916095455E-5</v>
      </c>
      <c r="AH285" s="18">
        <f t="shared" si="144"/>
        <v>1.1317807988883706E-4</v>
      </c>
      <c r="AJ285" s="18">
        <f>IF(ISNUMBER(Kernel!M285),Kernel!M285,"")</f>
        <v>-1.2612087818793971E-2</v>
      </c>
      <c r="AK285" s="18">
        <f t="shared" si="129"/>
        <v>1.5906475914897127E-4</v>
      </c>
      <c r="AN285" s="18">
        <f>IF(ISNUMBER(Volcanic!G285),Volcanic!G285,"")</f>
        <v>9.4999999999999998E-3</v>
      </c>
    </row>
    <row r="286" spans="1:40">
      <c r="A286" s="18" t="str">
        <f>IF(Volcanic!A286="","",Volcanic!A286)</f>
        <v>11/1981</v>
      </c>
      <c r="B286" s="18">
        <f>IF(ISNUMBER(Volcanic!L286),Volcanic!L286,"")</f>
        <v>1981.875</v>
      </c>
      <c r="C286" s="18">
        <f>IF(ISNUMBER(Volcanic!J286),Volcanic!J286,"")</f>
        <v>8.3969507556390266E-2</v>
      </c>
      <c r="D286" s="18">
        <f t="shared" si="122"/>
        <v>7.0508781992626819E-3</v>
      </c>
      <c r="E286" s="18">
        <f>IF(ISNUMBER(Volcanic!C286),Volcanic!C286,"")</f>
        <v>0.27406992824581616</v>
      </c>
      <c r="F286" s="18">
        <f>IF(ISNUMBER(Volcanic!D286),Volcanic!D286,"")</f>
        <v>-0.23</v>
      </c>
      <c r="G286" s="18">
        <f>IF(ISNUMBER(Volcanic!E286),Volcanic!E286,"")</f>
        <v>9.0200000000000002E-3</v>
      </c>
      <c r="H286" s="18">
        <f t="shared" si="123"/>
        <v>7.5114325568666818E-2</v>
      </c>
      <c r="I286" s="18">
        <f t="shared" si="124"/>
        <v>5.2900000000000003E-2</v>
      </c>
      <c r="J286" s="18">
        <f t="shared" si="125"/>
        <v>8.1360400000000008E-5</v>
      </c>
      <c r="K286" s="18">
        <f t="shared" si="126"/>
        <v>-6.303608349653772E-2</v>
      </c>
      <c r="L286" s="18">
        <f t="shared" si="127"/>
        <v>2.472110752777262E-3</v>
      </c>
      <c r="M286" s="18">
        <f t="shared" si="128"/>
        <v>-2.0746000000000002E-3</v>
      </c>
      <c r="N286" s="18">
        <f t="shared" si="130"/>
        <v>9.7926152974054475E-6</v>
      </c>
      <c r="O286" s="18">
        <f t="shared" si="133"/>
        <v>7.5056216374657021E-4</v>
      </c>
      <c r="P286" s="18">
        <f t="shared" si="135"/>
        <v>4.4253721773089109E-2</v>
      </c>
      <c r="Q286" s="18">
        <f t="shared" si="137"/>
        <v>2.6051441849847961E-2</v>
      </c>
      <c r="R286" s="18">
        <f t="shared" si="139"/>
        <v>1.3095144876097578E-2</v>
      </c>
      <c r="S286" s="18">
        <f t="shared" si="141"/>
        <v>4.8933639928674276E-3</v>
      </c>
      <c r="T286" s="18">
        <f t="shared" si="143"/>
        <v>1.7073480372972172E-2</v>
      </c>
      <c r="U286" s="18">
        <f t="shared" si="145"/>
        <v>7.8979575654295822E-2</v>
      </c>
      <c r="V286" s="18">
        <f t="shared" si="146"/>
        <v>4.8467113777454204E-2</v>
      </c>
      <c r="W286" s="18">
        <f t="shared" si="147"/>
        <v>0.12726552602256799</v>
      </c>
      <c r="X286" s="18">
        <f t="shared" si="148"/>
        <v>3.1221913957933597E-3</v>
      </c>
      <c r="Y286" s="18">
        <f t="shared" si="149"/>
        <v>2.1739525736556606E-2</v>
      </c>
      <c r="AA286" s="18">
        <f t="shared" si="131"/>
        <v>8.5542934381677732E-2</v>
      </c>
      <c r="AB286" s="18">
        <f t="shared" si="132"/>
        <v>7.3175936226280219E-3</v>
      </c>
      <c r="AC286" s="18">
        <f t="shared" si="134"/>
        <v>2.8575473364869338E-4</v>
      </c>
      <c r="AD286" s="18">
        <f t="shared" si="136"/>
        <v>6.1427892769454978E-3</v>
      </c>
      <c r="AE286" s="18">
        <f t="shared" si="138"/>
        <v>1.6695507390525888E-2</v>
      </c>
      <c r="AF286" s="18">
        <f t="shared" si="140"/>
        <v>1.0788334815229539E-2</v>
      </c>
      <c r="AG286" s="18">
        <f t="shared" si="142"/>
        <v>6.2824177070999803E-3</v>
      </c>
      <c r="AH286" s="18">
        <f t="shared" si="144"/>
        <v>1.8093652916095455E-5</v>
      </c>
      <c r="AJ286" s="18">
        <f>IF(ISNUMBER(Kernel!M286),Kernel!M286,"")</f>
        <v>8.057371147249856E-2</v>
      </c>
      <c r="AK286" s="18">
        <f t="shared" si="129"/>
        <v>6.4921229804534462E-3</v>
      </c>
      <c r="AN286" s="18">
        <f>IF(ISNUMBER(Volcanic!G286),Volcanic!G286,"")</f>
        <v>9.3299999999999998E-3</v>
      </c>
    </row>
    <row r="287" spans="1:40">
      <c r="A287" s="18" t="str">
        <f>IF(Volcanic!A287="","",Volcanic!A287)</f>
        <v>12/1981</v>
      </c>
      <c r="B287" s="18">
        <f>IF(ISNUMBER(Volcanic!L287),Volcanic!L287,"")</f>
        <v>1981.9583333333333</v>
      </c>
      <c r="C287" s="18">
        <f>IF(ISNUMBER(Volcanic!J287),Volcanic!J287,"")</f>
        <v>0.23435975435957798</v>
      </c>
      <c r="D287" s="18">
        <f t="shared" si="122"/>
        <v>5.4924494463481729E-2</v>
      </c>
      <c r="E287" s="18">
        <f>IF(ISNUMBER(Volcanic!C287),Volcanic!C287,"")</f>
        <v>0.27972597877580269</v>
      </c>
      <c r="F287" s="18">
        <f>IF(ISNUMBER(Volcanic!D287),Volcanic!D287,"")</f>
        <v>-0.08</v>
      </c>
      <c r="G287" s="18">
        <f>IF(ISNUMBER(Volcanic!E287),Volcanic!E287,"")</f>
        <v>8.8999999999999999E-3</v>
      </c>
      <c r="H287" s="18">
        <f t="shared" si="123"/>
        <v>7.8246623202080812E-2</v>
      </c>
      <c r="I287" s="18">
        <f t="shared" si="124"/>
        <v>6.4000000000000003E-3</v>
      </c>
      <c r="J287" s="18">
        <f t="shared" si="125"/>
        <v>7.9209999999999995E-5</v>
      </c>
      <c r="K287" s="18">
        <f t="shared" si="126"/>
        <v>-2.2378078302064217E-2</v>
      </c>
      <c r="L287" s="18">
        <f t="shared" si="127"/>
        <v>2.4895612111046437E-3</v>
      </c>
      <c r="M287" s="18">
        <f t="shared" si="128"/>
        <v>-7.1199999999999996E-4</v>
      </c>
      <c r="N287" s="18">
        <f t="shared" si="130"/>
        <v>7.0508781992626819E-3</v>
      </c>
      <c r="O287" s="18">
        <f t="shared" si="133"/>
        <v>9.7926152974054475E-6</v>
      </c>
      <c r="P287" s="18">
        <f t="shared" si="135"/>
        <v>7.5056216374657021E-4</v>
      </c>
      <c r="Q287" s="18">
        <f t="shared" si="137"/>
        <v>4.4253721773089109E-2</v>
      </c>
      <c r="R287" s="18">
        <f t="shared" si="139"/>
        <v>2.6051441849847961E-2</v>
      </c>
      <c r="S287" s="18">
        <f t="shared" si="141"/>
        <v>1.3095144876097578E-2</v>
      </c>
      <c r="T287" s="18">
        <f t="shared" si="143"/>
        <v>4.8933639928674276E-3</v>
      </c>
      <c r="U287" s="18">
        <f t="shared" si="145"/>
        <v>1.7073480372972172E-2</v>
      </c>
      <c r="V287" s="18">
        <f t="shared" si="146"/>
        <v>7.8979575654295822E-2</v>
      </c>
      <c r="W287" s="18">
        <f t="shared" si="147"/>
        <v>4.8467113777454204E-2</v>
      </c>
      <c r="X287" s="18">
        <f t="shared" si="148"/>
        <v>0.12726552602256799</v>
      </c>
      <c r="Y287" s="18">
        <f t="shared" si="149"/>
        <v>3.1221913957933597E-3</v>
      </c>
      <c r="AA287" s="18">
        <f t="shared" si="131"/>
        <v>0.19213969791201413</v>
      </c>
      <c r="AB287" s="18">
        <f t="shared" si="132"/>
        <v>3.6917663513720049E-2</v>
      </c>
      <c r="AC287" s="18">
        <f t="shared" si="134"/>
        <v>7.3175936226280219E-3</v>
      </c>
      <c r="AD287" s="18">
        <f t="shared" si="136"/>
        <v>2.8575473364869338E-4</v>
      </c>
      <c r="AE287" s="18">
        <f t="shared" si="138"/>
        <v>6.1427892769454978E-3</v>
      </c>
      <c r="AF287" s="18">
        <f t="shared" si="140"/>
        <v>1.6695507390525888E-2</v>
      </c>
      <c r="AG287" s="18">
        <f t="shared" si="142"/>
        <v>1.0788334815229539E-2</v>
      </c>
      <c r="AH287" s="18">
        <f t="shared" si="144"/>
        <v>6.2824177070999803E-3</v>
      </c>
      <c r="AJ287" s="18">
        <f>IF(ISNUMBER(Kernel!M287),Kernel!M287,"")</f>
        <v>0.24466828905352905</v>
      </c>
      <c r="AK287" s="18">
        <f t="shared" si="129"/>
        <v>5.9862571668381243E-2</v>
      </c>
      <c r="AN287" s="18">
        <f>IF(ISNUMBER(Volcanic!G287),Volcanic!G287,"")</f>
        <v>8.3300000000000006E-3</v>
      </c>
    </row>
    <row r="288" spans="1:40">
      <c r="A288" s="18" t="str">
        <f>IF(Volcanic!A288="","",Volcanic!A288)</f>
        <v>1/1982</v>
      </c>
      <c r="B288" s="18">
        <f>IF(ISNUMBER(Volcanic!L288),Volcanic!L288,"")</f>
        <v>1982.0416666666667</v>
      </c>
      <c r="C288" s="18">
        <f>IF(ISNUMBER(Volcanic!J288),Volcanic!J288,"")</f>
        <v>-0.12923649722560165</v>
      </c>
      <c r="D288" s="18">
        <f t="shared" si="122"/>
        <v>1.6702072215142943E-2</v>
      </c>
      <c r="E288" s="18">
        <f>IF(ISNUMBER(Volcanic!C288),Volcanic!C288,"")</f>
        <v>0.28404872727074498</v>
      </c>
      <c r="F288" s="18">
        <f>IF(ISNUMBER(Volcanic!D288),Volcanic!D288,"")</f>
        <v>-0.16</v>
      </c>
      <c r="G288" s="18">
        <f>IF(ISNUMBER(Volcanic!E288),Volcanic!E288,"")</f>
        <v>9.2499999999999995E-3</v>
      </c>
      <c r="H288" s="18">
        <f t="shared" si="123"/>
        <v>8.0683679464130062E-2</v>
      </c>
      <c r="I288" s="18">
        <f t="shared" si="124"/>
        <v>2.5600000000000001E-2</v>
      </c>
      <c r="J288" s="18">
        <f t="shared" si="125"/>
        <v>8.5562499999999986E-5</v>
      </c>
      <c r="K288" s="18">
        <f t="shared" si="126"/>
        <v>-4.54477963633192E-2</v>
      </c>
      <c r="L288" s="18">
        <f t="shared" si="127"/>
        <v>2.6274507272543907E-3</v>
      </c>
      <c r="M288" s="18">
        <f t="shared" si="128"/>
        <v>-1.48E-3</v>
      </c>
      <c r="N288" s="18">
        <f t="shared" si="130"/>
        <v>5.4924494463481729E-2</v>
      </c>
      <c r="O288" s="18">
        <f t="shared" si="133"/>
        <v>7.0508781992626819E-3</v>
      </c>
      <c r="P288" s="18">
        <f t="shared" si="135"/>
        <v>9.7926152974054475E-6</v>
      </c>
      <c r="Q288" s="18">
        <f t="shared" si="137"/>
        <v>7.5056216374657021E-4</v>
      </c>
      <c r="R288" s="18">
        <f t="shared" si="139"/>
        <v>4.4253721773089109E-2</v>
      </c>
      <c r="S288" s="18">
        <f t="shared" si="141"/>
        <v>2.6051441849847961E-2</v>
      </c>
      <c r="T288" s="18">
        <f t="shared" si="143"/>
        <v>1.3095144876097578E-2</v>
      </c>
      <c r="U288" s="18">
        <f t="shared" si="145"/>
        <v>4.8933639928674276E-3</v>
      </c>
      <c r="V288" s="18">
        <f t="shared" si="146"/>
        <v>1.7073480372972172E-2</v>
      </c>
      <c r="W288" s="18">
        <f t="shared" si="147"/>
        <v>7.8979575654295822E-2</v>
      </c>
      <c r="X288" s="18">
        <f t="shared" si="148"/>
        <v>4.8467113777454204E-2</v>
      </c>
      <c r="Y288" s="18">
        <f t="shared" si="149"/>
        <v>0.12726552602256799</v>
      </c>
      <c r="AA288" s="18">
        <f t="shared" si="131"/>
        <v>-0.24707310656207712</v>
      </c>
      <c r="AB288" s="18">
        <f t="shared" si="132"/>
        <v>6.1045119986235519E-2</v>
      </c>
      <c r="AC288" s="18">
        <f t="shared" si="134"/>
        <v>3.6917663513720049E-2</v>
      </c>
      <c r="AD288" s="18">
        <f t="shared" si="136"/>
        <v>7.3175936226280219E-3</v>
      </c>
      <c r="AE288" s="18">
        <f t="shared" si="138"/>
        <v>2.8575473364869338E-4</v>
      </c>
      <c r="AF288" s="18">
        <f t="shared" si="140"/>
        <v>6.1427892769454978E-3</v>
      </c>
      <c r="AG288" s="18">
        <f t="shared" si="142"/>
        <v>1.6695507390525888E-2</v>
      </c>
      <c r="AH288" s="18">
        <f t="shared" si="144"/>
        <v>1.0788334815229539E-2</v>
      </c>
      <c r="AJ288" s="18">
        <f>IF(ISNUMBER(Kernel!M288),Kernel!M288,"")</f>
        <v>-0.12972522457871546</v>
      </c>
      <c r="AK288" s="18">
        <f t="shared" si="129"/>
        <v>1.6828633891998162E-2</v>
      </c>
      <c r="AN288" s="18">
        <f>IF(ISNUMBER(Volcanic!G288),Volcanic!G288,"")</f>
        <v>7.4599999999999996E-3</v>
      </c>
    </row>
    <row r="289" spans="1:40">
      <c r="A289" s="18" t="str">
        <f>IF(Volcanic!A289="","",Volcanic!A289)</f>
        <v>2/1982</v>
      </c>
      <c r="B289" s="18">
        <f>IF(ISNUMBER(Volcanic!L289),Volcanic!L289,"")</f>
        <v>1982.125</v>
      </c>
      <c r="C289" s="18">
        <f>IF(ISNUMBER(Volcanic!J289),Volcanic!J289,"")</f>
        <v>-3.511830604167307E-2</v>
      </c>
      <c r="D289" s="18">
        <f t="shared" si="122"/>
        <v>1.2332954192366113E-3</v>
      </c>
      <c r="E289" s="18">
        <f>IF(ISNUMBER(Volcanic!C289),Volcanic!C289,"")</f>
        <v>0.28755672496786289</v>
      </c>
      <c r="F289" s="18">
        <f>IF(ISNUMBER(Volcanic!D289),Volcanic!D289,"")</f>
        <v>-0.19</v>
      </c>
      <c r="G289" s="18">
        <f>IF(ISNUMBER(Volcanic!E289),Volcanic!E289,"")</f>
        <v>9.6600000000000002E-3</v>
      </c>
      <c r="H289" s="18">
        <f t="shared" si="123"/>
        <v>8.2688870074243137E-2</v>
      </c>
      <c r="I289" s="18">
        <f t="shared" si="124"/>
        <v>3.61E-2</v>
      </c>
      <c r="J289" s="18">
        <f t="shared" si="125"/>
        <v>9.3315599999999998E-5</v>
      </c>
      <c r="K289" s="18">
        <f t="shared" si="126"/>
        <v>-5.463577774389395E-2</v>
      </c>
      <c r="L289" s="18">
        <f t="shared" si="127"/>
        <v>2.7777979631895557E-3</v>
      </c>
      <c r="M289" s="18">
        <f t="shared" si="128"/>
        <v>-1.8354000000000001E-3</v>
      </c>
      <c r="N289" s="18">
        <f t="shared" si="130"/>
        <v>1.6702072215142943E-2</v>
      </c>
      <c r="O289" s="18">
        <f t="shared" si="133"/>
        <v>5.4924494463481729E-2</v>
      </c>
      <c r="P289" s="18">
        <f t="shared" si="135"/>
        <v>7.0508781992626819E-3</v>
      </c>
      <c r="Q289" s="18">
        <f t="shared" si="137"/>
        <v>9.7926152974054475E-6</v>
      </c>
      <c r="R289" s="18">
        <f t="shared" si="139"/>
        <v>7.5056216374657021E-4</v>
      </c>
      <c r="S289" s="18">
        <f t="shared" si="141"/>
        <v>4.4253721773089109E-2</v>
      </c>
      <c r="T289" s="18">
        <f t="shared" si="143"/>
        <v>2.6051441849847961E-2</v>
      </c>
      <c r="U289" s="18">
        <f t="shared" si="145"/>
        <v>1.3095144876097578E-2</v>
      </c>
      <c r="V289" s="18">
        <f t="shared" si="146"/>
        <v>4.8933639928674276E-3</v>
      </c>
      <c r="W289" s="18">
        <f t="shared" si="147"/>
        <v>1.7073480372972172E-2</v>
      </c>
      <c r="X289" s="18">
        <f t="shared" si="148"/>
        <v>7.8979575654295822E-2</v>
      </c>
      <c r="Y289" s="18">
        <f t="shared" si="149"/>
        <v>4.8467113777454204E-2</v>
      </c>
      <c r="AA289" s="18">
        <f t="shared" si="131"/>
        <v>2.9862094186184296E-2</v>
      </c>
      <c r="AB289" s="18">
        <f t="shared" si="132"/>
        <v>8.9174466918454196E-4</v>
      </c>
      <c r="AC289" s="18">
        <f t="shared" si="134"/>
        <v>6.1045119986235519E-2</v>
      </c>
      <c r="AD289" s="18">
        <f t="shared" si="136"/>
        <v>3.6917663513720049E-2</v>
      </c>
      <c r="AE289" s="18">
        <f t="shared" si="138"/>
        <v>7.3175936226280219E-3</v>
      </c>
      <c r="AF289" s="18">
        <f t="shared" si="140"/>
        <v>2.8575473364869338E-4</v>
      </c>
      <c r="AG289" s="18">
        <f t="shared" si="142"/>
        <v>6.1427892769454978E-3</v>
      </c>
      <c r="AH289" s="18">
        <f t="shared" si="144"/>
        <v>1.6695507390525888E-2</v>
      </c>
      <c r="AJ289" s="18">
        <f>IF(ISNUMBER(Kernel!M289),Kernel!M289,"")</f>
        <v>-4.3070910062212336E-2</v>
      </c>
      <c r="AK289" s="18">
        <f t="shared" si="129"/>
        <v>1.855103293587184E-3</v>
      </c>
      <c r="AN289" s="18">
        <f>IF(ISNUMBER(Volcanic!G289),Volcanic!G289,"")</f>
        <v>7.3299999999999997E-3</v>
      </c>
    </row>
    <row r="290" spans="1:40">
      <c r="A290" s="18" t="str">
        <f>IF(Volcanic!A290="","",Volcanic!A290)</f>
        <v>3/1982</v>
      </c>
      <c r="B290" s="18">
        <f>IF(ISNUMBER(Volcanic!L290),Volcanic!L290,"")</f>
        <v>1982.2083333333333</v>
      </c>
      <c r="C290" s="18">
        <f>IF(ISNUMBER(Volcanic!J290),Volcanic!J290,"")</f>
        <v>-0.17082420129006598</v>
      </c>
      <c r="D290" s="18">
        <f t="shared" si="122"/>
        <v>2.9180907746388981E-2</v>
      </c>
      <c r="E290" s="18">
        <f>IF(ISNUMBER(Volcanic!C290),Volcanic!C290,"")</f>
        <v>0.29185610858541344</v>
      </c>
      <c r="F290" s="18">
        <f>IF(ISNUMBER(Volcanic!D290),Volcanic!D290,"")</f>
        <v>-0.14000000000000001</v>
      </c>
      <c r="G290" s="18">
        <f>IF(ISNUMBER(Volcanic!E290),Volcanic!E290,"")</f>
        <v>9.9600000000000001E-3</v>
      </c>
      <c r="H290" s="18">
        <f t="shared" si="123"/>
        <v>8.5179988118620639E-2</v>
      </c>
      <c r="I290" s="18">
        <f t="shared" si="124"/>
        <v>1.9600000000000003E-2</v>
      </c>
      <c r="J290" s="18">
        <f t="shared" si="125"/>
        <v>9.9201600000000002E-5</v>
      </c>
      <c r="K290" s="18">
        <f t="shared" si="126"/>
        <v>-4.0859855201957888E-2</v>
      </c>
      <c r="L290" s="18">
        <f t="shared" si="127"/>
        <v>2.9068868415107179E-3</v>
      </c>
      <c r="M290" s="18">
        <f t="shared" si="128"/>
        <v>-1.3944000000000001E-3</v>
      </c>
      <c r="N290" s="18">
        <f t="shared" si="130"/>
        <v>1.2332954192366113E-3</v>
      </c>
      <c r="O290" s="18">
        <f t="shared" si="133"/>
        <v>1.6702072215142943E-2</v>
      </c>
      <c r="P290" s="18">
        <f t="shared" si="135"/>
        <v>5.4924494463481729E-2</v>
      </c>
      <c r="Q290" s="18">
        <f t="shared" si="137"/>
        <v>7.0508781992626819E-3</v>
      </c>
      <c r="R290" s="18">
        <f t="shared" si="139"/>
        <v>9.7926152974054475E-6</v>
      </c>
      <c r="S290" s="18">
        <f t="shared" si="141"/>
        <v>7.5056216374657021E-4</v>
      </c>
      <c r="T290" s="18">
        <f t="shared" si="143"/>
        <v>4.4253721773089109E-2</v>
      </c>
      <c r="U290" s="18">
        <f t="shared" si="145"/>
        <v>2.6051441849847961E-2</v>
      </c>
      <c r="V290" s="18">
        <f t="shared" si="146"/>
        <v>1.3095144876097578E-2</v>
      </c>
      <c r="W290" s="18">
        <f t="shared" si="147"/>
        <v>4.8933639928674276E-3</v>
      </c>
      <c r="X290" s="18">
        <f t="shared" si="148"/>
        <v>1.7073480372972172E-2</v>
      </c>
      <c r="Y290" s="18">
        <f t="shared" si="149"/>
        <v>7.8979575654295822E-2</v>
      </c>
      <c r="AA290" s="18">
        <f t="shared" si="131"/>
        <v>-0.15316663836549427</v>
      </c>
      <c r="AB290" s="18">
        <f t="shared" si="132"/>
        <v>2.3460019108186101E-2</v>
      </c>
      <c r="AC290" s="18">
        <f t="shared" si="134"/>
        <v>8.9174466918454196E-4</v>
      </c>
      <c r="AD290" s="18">
        <f t="shared" si="136"/>
        <v>6.1045119986235519E-2</v>
      </c>
      <c r="AE290" s="18">
        <f t="shared" si="138"/>
        <v>3.6917663513720049E-2</v>
      </c>
      <c r="AF290" s="18">
        <f t="shared" si="140"/>
        <v>7.3175936226280219E-3</v>
      </c>
      <c r="AG290" s="18">
        <f t="shared" si="142"/>
        <v>2.8575473364869338E-4</v>
      </c>
      <c r="AH290" s="18">
        <f t="shared" si="144"/>
        <v>6.1427892769454978E-3</v>
      </c>
      <c r="AJ290" s="18">
        <f>IF(ISNUMBER(Kernel!M290),Kernel!M290,"")</f>
        <v>-0.17897498592149708</v>
      </c>
      <c r="AK290" s="18">
        <f t="shared" si="129"/>
        <v>3.2032045585600077E-2</v>
      </c>
      <c r="AN290" s="18">
        <f>IF(ISNUMBER(Volcanic!G290),Volcanic!G290,"")</f>
        <v>7.6699999999999997E-3</v>
      </c>
    </row>
    <row r="291" spans="1:40">
      <c r="A291" s="18" t="str">
        <f>IF(Volcanic!A291="","",Volcanic!A291)</f>
        <v>4/1982</v>
      </c>
      <c r="B291" s="18">
        <f>IF(ISNUMBER(Volcanic!L291),Volcanic!L291,"")</f>
        <v>1982.2916666666667</v>
      </c>
      <c r="C291" s="18">
        <f>IF(ISNUMBER(Volcanic!J291),Volcanic!J291,"")</f>
        <v>-7.3292054872665907E-2</v>
      </c>
      <c r="D291" s="18">
        <f t="shared" si="122"/>
        <v>5.3717253074578707E-3</v>
      </c>
      <c r="E291" s="18">
        <f>IF(ISNUMBER(Volcanic!C291),Volcanic!C291,"")</f>
        <v>0.2968139727658512</v>
      </c>
      <c r="F291" s="18">
        <f>IF(ISNUMBER(Volcanic!D291),Volcanic!D291,"")</f>
        <v>-0.05</v>
      </c>
      <c r="G291" s="18">
        <f>IF(ISNUMBER(Volcanic!E291),Volcanic!E291,"")</f>
        <v>9.6900000000000007E-3</v>
      </c>
      <c r="H291" s="18">
        <f t="shared" si="123"/>
        <v>8.8098534429047456E-2</v>
      </c>
      <c r="I291" s="18">
        <f t="shared" si="124"/>
        <v>2.5000000000000005E-3</v>
      </c>
      <c r="J291" s="18">
        <f t="shared" si="125"/>
        <v>9.3896100000000017E-5</v>
      </c>
      <c r="K291" s="18">
        <f t="shared" si="126"/>
        <v>-1.4840698638292561E-2</v>
      </c>
      <c r="L291" s="18">
        <f t="shared" si="127"/>
        <v>2.8761273961010981E-3</v>
      </c>
      <c r="M291" s="18">
        <f t="shared" si="128"/>
        <v>-4.8450000000000007E-4</v>
      </c>
      <c r="N291" s="18">
        <f t="shared" si="130"/>
        <v>2.9180907746388981E-2</v>
      </c>
      <c r="O291" s="18">
        <f t="shared" si="133"/>
        <v>1.2332954192366113E-3</v>
      </c>
      <c r="P291" s="18">
        <f t="shared" si="135"/>
        <v>1.6702072215142943E-2</v>
      </c>
      <c r="Q291" s="18">
        <f t="shared" si="137"/>
        <v>5.4924494463481729E-2</v>
      </c>
      <c r="R291" s="18">
        <f t="shared" si="139"/>
        <v>7.0508781992626819E-3</v>
      </c>
      <c r="S291" s="18">
        <f t="shared" si="141"/>
        <v>9.7926152974054475E-6</v>
      </c>
      <c r="T291" s="18">
        <f t="shared" si="143"/>
        <v>7.5056216374657021E-4</v>
      </c>
      <c r="U291" s="18">
        <f t="shared" si="145"/>
        <v>4.4253721773089109E-2</v>
      </c>
      <c r="V291" s="18">
        <f t="shared" si="146"/>
        <v>2.6051441849847961E-2</v>
      </c>
      <c r="W291" s="18">
        <f t="shared" si="147"/>
        <v>1.3095144876097578E-2</v>
      </c>
      <c r="X291" s="18">
        <f t="shared" si="148"/>
        <v>4.8933639928674276E-3</v>
      </c>
      <c r="Y291" s="18">
        <f t="shared" si="149"/>
        <v>1.7073480372972172E-2</v>
      </c>
      <c r="AA291" s="18">
        <f t="shared" si="131"/>
        <v>1.259873609372382E-2</v>
      </c>
      <c r="AB291" s="18">
        <f t="shared" si="132"/>
        <v>1.5872815115929934E-4</v>
      </c>
      <c r="AC291" s="18">
        <f t="shared" si="134"/>
        <v>2.3460019108186101E-2</v>
      </c>
      <c r="AD291" s="18">
        <f t="shared" si="136"/>
        <v>8.9174466918454196E-4</v>
      </c>
      <c r="AE291" s="18">
        <f t="shared" si="138"/>
        <v>6.1045119986235519E-2</v>
      </c>
      <c r="AF291" s="18">
        <f t="shared" si="140"/>
        <v>3.6917663513720049E-2</v>
      </c>
      <c r="AG291" s="18">
        <f t="shared" si="142"/>
        <v>7.3175936226280219E-3</v>
      </c>
      <c r="AH291" s="18">
        <f t="shared" si="144"/>
        <v>2.8575473364869338E-4</v>
      </c>
      <c r="AJ291" s="18">
        <f>IF(ISNUMBER(Kernel!M291),Kernel!M291,"")</f>
        <v>-7.833778896033583E-2</v>
      </c>
      <c r="AK291" s="18">
        <f t="shared" si="129"/>
        <v>6.1368091791941144E-3</v>
      </c>
      <c r="AN291" s="18">
        <f>IF(ISNUMBER(Volcanic!G291),Volcanic!G291,"")</f>
        <v>2.0670000000000001E-2</v>
      </c>
    </row>
    <row r="292" spans="1:40">
      <c r="A292" s="18" t="str">
        <f>IF(Volcanic!A292="","",Volcanic!A292)</f>
        <v>5/1982</v>
      </c>
      <c r="B292" s="18">
        <f>IF(ISNUMBER(Volcanic!L292),Volcanic!L292,"")</f>
        <v>1982.375</v>
      </c>
      <c r="C292" s="18">
        <f>IF(ISNUMBER(Volcanic!J292),Volcanic!J292,"")</f>
        <v>-5.9461141293303932E-2</v>
      </c>
      <c r="D292" s="18">
        <f t="shared" si="122"/>
        <v>3.5356273239022539E-3</v>
      </c>
      <c r="E292" s="18">
        <f>IF(ISNUMBER(Volcanic!C292),Volcanic!C292,"")</f>
        <v>0.30020741728518119</v>
      </c>
      <c r="F292" s="18">
        <f>IF(ISNUMBER(Volcanic!D292),Volcanic!D292,"")</f>
        <v>0.02</v>
      </c>
      <c r="G292" s="18">
        <f>IF(ISNUMBER(Volcanic!E292),Volcanic!E292,"")</f>
        <v>9.4999999999999998E-3</v>
      </c>
      <c r="H292" s="18">
        <f t="shared" si="123"/>
        <v>9.0124493393038907E-2</v>
      </c>
      <c r="I292" s="18">
        <f t="shared" si="124"/>
        <v>4.0000000000000002E-4</v>
      </c>
      <c r="J292" s="18">
        <f t="shared" si="125"/>
        <v>9.0249999999999998E-5</v>
      </c>
      <c r="K292" s="18">
        <f t="shared" si="126"/>
        <v>6.0041483457036237E-3</v>
      </c>
      <c r="L292" s="18">
        <f t="shared" si="127"/>
        <v>2.8519704642092211E-3</v>
      </c>
      <c r="M292" s="18">
        <f t="shared" si="128"/>
        <v>1.9000000000000001E-4</v>
      </c>
      <c r="N292" s="18">
        <f t="shared" si="130"/>
        <v>5.3717253074578707E-3</v>
      </c>
      <c r="O292" s="18">
        <f t="shared" si="133"/>
        <v>2.9180907746388981E-2</v>
      </c>
      <c r="P292" s="18">
        <f t="shared" si="135"/>
        <v>1.2332954192366113E-3</v>
      </c>
      <c r="Q292" s="18">
        <f t="shared" si="137"/>
        <v>1.6702072215142943E-2</v>
      </c>
      <c r="R292" s="18">
        <f t="shared" si="139"/>
        <v>5.4924494463481729E-2</v>
      </c>
      <c r="S292" s="18">
        <f t="shared" si="141"/>
        <v>7.0508781992626819E-3</v>
      </c>
      <c r="T292" s="18">
        <f t="shared" si="143"/>
        <v>9.7926152974054475E-6</v>
      </c>
      <c r="U292" s="18">
        <f t="shared" si="145"/>
        <v>7.5056216374657021E-4</v>
      </c>
      <c r="V292" s="18">
        <f t="shared" si="146"/>
        <v>4.4253721773089109E-2</v>
      </c>
      <c r="W292" s="18">
        <f t="shared" si="147"/>
        <v>2.6051441849847961E-2</v>
      </c>
      <c r="X292" s="18">
        <f t="shared" si="148"/>
        <v>1.3095144876097578E-2</v>
      </c>
      <c r="Y292" s="18">
        <f t="shared" si="149"/>
        <v>4.8933639928674276E-3</v>
      </c>
      <c r="AA292" s="18">
        <f t="shared" si="131"/>
        <v>-2.2609731967081048E-2</v>
      </c>
      <c r="AB292" s="18">
        <f t="shared" si="132"/>
        <v>5.1119997962324661E-4</v>
      </c>
      <c r="AC292" s="18">
        <f t="shared" si="134"/>
        <v>1.5872815115929934E-4</v>
      </c>
      <c r="AD292" s="18">
        <f t="shared" si="136"/>
        <v>2.3460019108186101E-2</v>
      </c>
      <c r="AE292" s="18">
        <f t="shared" si="138"/>
        <v>8.9174466918454196E-4</v>
      </c>
      <c r="AF292" s="18">
        <f t="shared" si="140"/>
        <v>6.1045119986235519E-2</v>
      </c>
      <c r="AG292" s="18">
        <f t="shared" si="142"/>
        <v>3.6917663513720049E-2</v>
      </c>
      <c r="AH292" s="18">
        <f t="shared" si="144"/>
        <v>7.3175936226280219E-3</v>
      </c>
      <c r="AJ292" s="18">
        <f>IF(ISNUMBER(Kernel!M292),Kernel!M292,"")</f>
        <v>-6.8331327221147931E-2</v>
      </c>
      <c r="AK292" s="18">
        <f t="shared" si="129"/>
        <v>4.669170279803592E-3</v>
      </c>
      <c r="AN292" s="18">
        <f>IF(ISNUMBER(Volcanic!G292),Volcanic!G292,"")</f>
        <v>2.3220000000000001E-2</v>
      </c>
    </row>
    <row r="293" spans="1:40">
      <c r="A293" s="18" t="str">
        <f>IF(Volcanic!A293="","",Volcanic!A293)</f>
        <v>6/1982</v>
      </c>
      <c r="B293" s="18">
        <f>IF(ISNUMBER(Volcanic!L293),Volcanic!L293,"")</f>
        <v>1982.4583333333333</v>
      </c>
      <c r="C293" s="18">
        <f>IF(ISNUMBER(Volcanic!J293),Volcanic!J293,"")</f>
        <v>-0.1743042907352339</v>
      </c>
      <c r="D293" s="18">
        <f t="shared" si="122"/>
        <v>3.0381985768712948E-2</v>
      </c>
      <c r="E293" s="18">
        <f>IF(ISNUMBER(Volcanic!C293),Volcanic!C293,"")</f>
        <v>0.29647838424587125</v>
      </c>
      <c r="F293" s="18">
        <f>IF(ISNUMBER(Volcanic!D293),Volcanic!D293,"")</f>
        <v>7.0000000000000007E-2</v>
      </c>
      <c r="G293" s="18">
        <f>IF(ISNUMBER(Volcanic!E293),Volcanic!E293,"")</f>
        <v>9.3299999999999998E-3</v>
      </c>
      <c r="H293" s="18">
        <f t="shared" si="123"/>
        <v>8.7899432325042479E-2</v>
      </c>
      <c r="I293" s="18">
        <f t="shared" si="124"/>
        <v>4.9000000000000007E-3</v>
      </c>
      <c r="J293" s="18">
        <f t="shared" si="125"/>
        <v>8.7048899999999993E-5</v>
      </c>
      <c r="K293" s="18">
        <f t="shared" si="126"/>
        <v>2.0753486897210991E-2</v>
      </c>
      <c r="L293" s="18">
        <f t="shared" si="127"/>
        <v>2.7661433250139788E-3</v>
      </c>
      <c r="M293" s="18">
        <f t="shared" si="128"/>
        <v>6.5309999999999999E-4</v>
      </c>
      <c r="N293" s="18">
        <f t="shared" si="130"/>
        <v>3.5356273239022539E-3</v>
      </c>
      <c r="O293" s="18">
        <f t="shared" si="133"/>
        <v>5.3717253074578707E-3</v>
      </c>
      <c r="P293" s="18">
        <f t="shared" si="135"/>
        <v>2.9180907746388981E-2</v>
      </c>
      <c r="Q293" s="18">
        <f t="shared" si="137"/>
        <v>1.2332954192366113E-3</v>
      </c>
      <c r="R293" s="18">
        <f t="shared" si="139"/>
        <v>1.6702072215142943E-2</v>
      </c>
      <c r="S293" s="18">
        <f t="shared" si="141"/>
        <v>5.4924494463481729E-2</v>
      </c>
      <c r="T293" s="18">
        <f t="shared" si="143"/>
        <v>7.0508781992626819E-3</v>
      </c>
      <c r="U293" s="18">
        <f t="shared" si="145"/>
        <v>9.7926152974054475E-6</v>
      </c>
      <c r="V293" s="18">
        <f t="shared" si="146"/>
        <v>7.5056216374657021E-4</v>
      </c>
      <c r="W293" s="18">
        <f t="shared" si="147"/>
        <v>4.4253721773089109E-2</v>
      </c>
      <c r="X293" s="18">
        <f t="shared" si="148"/>
        <v>2.6051441849847961E-2</v>
      </c>
      <c r="Y293" s="18">
        <f t="shared" si="149"/>
        <v>1.3095144876097578E-2</v>
      </c>
      <c r="AA293" s="18">
        <f t="shared" si="131"/>
        <v>-0.14440709573079788</v>
      </c>
      <c r="AB293" s="18">
        <f t="shared" si="132"/>
        <v>2.0853409297403824E-2</v>
      </c>
      <c r="AC293" s="18">
        <f t="shared" si="134"/>
        <v>5.1119997962324661E-4</v>
      </c>
      <c r="AD293" s="18">
        <f t="shared" si="136"/>
        <v>1.5872815115929934E-4</v>
      </c>
      <c r="AE293" s="18">
        <f t="shared" si="138"/>
        <v>2.3460019108186101E-2</v>
      </c>
      <c r="AF293" s="18">
        <f t="shared" si="140"/>
        <v>8.9174466918454196E-4</v>
      </c>
      <c r="AG293" s="18">
        <f t="shared" si="142"/>
        <v>6.1045119986235519E-2</v>
      </c>
      <c r="AH293" s="18">
        <f t="shared" si="144"/>
        <v>3.6917663513720049E-2</v>
      </c>
      <c r="AJ293" s="18">
        <f>IF(ISNUMBER(Kernel!M293),Kernel!M293,"")</f>
        <v>-0.18805158880368464</v>
      </c>
      <c r="AK293" s="18">
        <f t="shared" si="129"/>
        <v>3.536340005159009E-2</v>
      </c>
      <c r="AN293" s="18">
        <f>IF(ISNUMBER(Volcanic!G293),Volcanic!G293,"")</f>
        <v>2.6190000000000001E-2</v>
      </c>
    </row>
    <row r="294" spans="1:40">
      <c r="A294" s="18" t="str">
        <f>IF(Volcanic!A294="","",Volcanic!A294)</f>
        <v>7/1982</v>
      </c>
      <c r="B294" s="18">
        <f>IF(ISNUMBER(Volcanic!L294),Volcanic!L294,"")</f>
        <v>1982.5416666666667</v>
      </c>
      <c r="C294" s="18">
        <f>IF(ISNUMBER(Volcanic!J294),Volcanic!J294,"")</f>
        <v>-0.10481769554912684</v>
      </c>
      <c r="D294" s="18">
        <f t="shared" si="122"/>
        <v>1.0986749300229446E-2</v>
      </c>
      <c r="E294" s="18">
        <f>IF(ISNUMBER(Volcanic!C294),Volcanic!C294,"")</f>
        <v>0.29034014167791555</v>
      </c>
      <c r="F294" s="18">
        <f>IF(ISNUMBER(Volcanic!D294),Volcanic!D294,"")</f>
        <v>0.34</v>
      </c>
      <c r="G294" s="18">
        <f>IF(ISNUMBER(Volcanic!E294),Volcanic!E294,"")</f>
        <v>8.3300000000000006E-3</v>
      </c>
      <c r="H294" s="18">
        <f t="shared" si="123"/>
        <v>8.4297397869552079E-2</v>
      </c>
      <c r="I294" s="18">
        <f t="shared" si="124"/>
        <v>0.11560000000000002</v>
      </c>
      <c r="J294" s="18">
        <f t="shared" si="125"/>
        <v>6.9388900000000016E-5</v>
      </c>
      <c r="K294" s="18">
        <f t="shared" si="126"/>
        <v>9.8715648170491291E-2</v>
      </c>
      <c r="L294" s="18">
        <f t="shared" si="127"/>
        <v>2.4185333801770366E-3</v>
      </c>
      <c r="M294" s="18">
        <f t="shared" si="128"/>
        <v>2.8322000000000004E-3</v>
      </c>
      <c r="N294" s="18">
        <f t="shared" si="130"/>
        <v>3.0381985768712948E-2</v>
      </c>
      <c r="O294" s="18">
        <f t="shared" si="133"/>
        <v>3.5356273239022539E-3</v>
      </c>
      <c r="P294" s="18">
        <f t="shared" si="135"/>
        <v>5.3717253074578707E-3</v>
      </c>
      <c r="Q294" s="18">
        <f t="shared" si="137"/>
        <v>2.9180907746388981E-2</v>
      </c>
      <c r="R294" s="18">
        <f t="shared" si="139"/>
        <v>1.2332954192366113E-3</v>
      </c>
      <c r="S294" s="18">
        <f t="shared" si="141"/>
        <v>1.6702072215142943E-2</v>
      </c>
      <c r="T294" s="18">
        <f t="shared" si="143"/>
        <v>5.4924494463481729E-2</v>
      </c>
      <c r="U294" s="18">
        <f t="shared" si="145"/>
        <v>7.0508781992626819E-3</v>
      </c>
      <c r="V294" s="18">
        <f t="shared" si="146"/>
        <v>9.7926152974054475E-6</v>
      </c>
      <c r="W294" s="18">
        <f t="shared" si="147"/>
        <v>7.5056216374657021E-4</v>
      </c>
      <c r="X294" s="18">
        <f t="shared" si="148"/>
        <v>4.4253721773089109E-2</v>
      </c>
      <c r="Y294" s="18">
        <f t="shared" si="149"/>
        <v>2.6051441849847961E-2</v>
      </c>
      <c r="AA294" s="18">
        <f t="shared" si="131"/>
        <v>-1.7177107816108594E-2</v>
      </c>
      <c r="AB294" s="18">
        <f t="shared" si="132"/>
        <v>2.9505303292621897E-4</v>
      </c>
      <c r="AC294" s="18">
        <f t="shared" si="134"/>
        <v>2.0853409297403824E-2</v>
      </c>
      <c r="AD294" s="18">
        <f t="shared" si="136"/>
        <v>5.1119997962324661E-4</v>
      </c>
      <c r="AE294" s="18">
        <f t="shared" si="138"/>
        <v>1.5872815115929934E-4</v>
      </c>
      <c r="AF294" s="18">
        <f t="shared" si="140"/>
        <v>2.3460019108186101E-2</v>
      </c>
      <c r="AG294" s="18">
        <f t="shared" si="142"/>
        <v>8.9174466918454196E-4</v>
      </c>
      <c r="AH294" s="18">
        <f t="shared" si="144"/>
        <v>6.1045119986235519E-2</v>
      </c>
      <c r="AJ294" s="18">
        <f>IF(ISNUMBER(Kernel!M294),Kernel!M294,"")</f>
        <v>-0.10024979085361727</v>
      </c>
      <c r="AK294" s="18">
        <f t="shared" si="129"/>
        <v>1.0050020566194005E-2</v>
      </c>
      <c r="AN294" s="18">
        <f>IF(ISNUMBER(Volcanic!G294),Volcanic!G294,"")</f>
        <v>2.7179999999999999E-2</v>
      </c>
    </row>
    <row r="295" spans="1:40">
      <c r="A295" s="18" t="str">
        <f>IF(Volcanic!A295="","",Volcanic!A295)</f>
        <v>8/1982</v>
      </c>
      <c r="B295" s="18">
        <f>IF(ISNUMBER(Volcanic!L295),Volcanic!L295,"")</f>
        <v>1982.625</v>
      </c>
      <c r="C295" s="18">
        <f>IF(ISNUMBER(Volcanic!J295),Volcanic!J295,"")</f>
        <v>-0.22036738536217637</v>
      </c>
      <c r="D295" s="18">
        <f t="shared" si="122"/>
        <v>4.8561784531361944E-2</v>
      </c>
      <c r="E295" s="18">
        <f>IF(ISNUMBER(Volcanic!C295),Volcanic!C295,"")</f>
        <v>0.28112593290607241</v>
      </c>
      <c r="F295" s="18">
        <f>IF(ISNUMBER(Volcanic!D295),Volcanic!D295,"")</f>
        <v>0.65</v>
      </c>
      <c r="G295" s="18">
        <f>IF(ISNUMBER(Volcanic!E295),Volcanic!E295,"")</f>
        <v>7.4599999999999996E-3</v>
      </c>
      <c r="H295" s="18">
        <f t="shared" si="123"/>
        <v>7.9031790152309531E-2</v>
      </c>
      <c r="I295" s="18">
        <f t="shared" si="124"/>
        <v>0.42250000000000004</v>
      </c>
      <c r="J295" s="18">
        <f t="shared" si="125"/>
        <v>5.5651599999999994E-5</v>
      </c>
      <c r="K295" s="18">
        <f t="shared" si="126"/>
        <v>0.18273185638894707</v>
      </c>
      <c r="L295" s="18">
        <f t="shared" si="127"/>
        <v>2.0971994594793002E-3</v>
      </c>
      <c r="M295" s="18">
        <f t="shared" si="128"/>
        <v>4.849E-3</v>
      </c>
      <c r="N295" s="18">
        <f t="shared" si="130"/>
        <v>1.0986749300229446E-2</v>
      </c>
      <c r="O295" s="18">
        <f t="shared" si="133"/>
        <v>3.0381985768712948E-2</v>
      </c>
      <c r="P295" s="18">
        <f t="shared" si="135"/>
        <v>3.5356273239022539E-3</v>
      </c>
      <c r="Q295" s="18">
        <f t="shared" si="137"/>
        <v>5.3717253074578707E-3</v>
      </c>
      <c r="R295" s="18">
        <f t="shared" si="139"/>
        <v>2.9180907746388981E-2</v>
      </c>
      <c r="S295" s="18">
        <f t="shared" si="141"/>
        <v>1.2332954192366113E-3</v>
      </c>
      <c r="T295" s="18">
        <f t="shared" si="143"/>
        <v>1.6702072215142943E-2</v>
      </c>
      <c r="U295" s="18">
        <f t="shared" si="145"/>
        <v>5.4924494463481729E-2</v>
      </c>
      <c r="V295" s="18">
        <f t="shared" si="146"/>
        <v>7.0508781992626819E-3</v>
      </c>
      <c r="W295" s="18">
        <f t="shared" si="147"/>
        <v>9.7926152974054475E-6</v>
      </c>
      <c r="X295" s="18">
        <f t="shared" si="148"/>
        <v>7.5056216374657021E-4</v>
      </c>
      <c r="Y295" s="18">
        <f t="shared" si="149"/>
        <v>4.4253721773089109E-2</v>
      </c>
      <c r="AA295" s="18">
        <f t="shared" si="131"/>
        <v>-0.16766481330272029</v>
      </c>
      <c r="AB295" s="18">
        <f t="shared" si="132"/>
        <v>2.811148961983605E-2</v>
      </c>
      <c r="AC295" s="18">
        <f t="shared" si="134"/>
        <v>2.9505303292621897E-4</v>
      </c>
      <c r="AD295" s="18">
        <f t="shared" si="136"/>
        <v>2.0853409297403824E-2</v>
      </c>
      <c r="AE295" s="18">
        <f t="shared" si="138"/>
        <v>5.1119997962324661E-4</v>
      </c>
      <c r="AF295" s="18">
        <f t="shared" si="140"/>
        <v>1.5872815115929934E-4</v>
      </c>
      <c r="AG295" s="18">
        <f t="shared" si="142"/>
        <v>2.3460019108186101E-2</v>
      </c>
      <c r="AH295" s="18">
        <f t="shared" si="144"/>
        <v>8.9174466918454196E-4</v>
      </c>
      <c r="AJ295" s="18">
        <f>IF(ISNUMBER(Kernel!M295),Kernel!M295,"")</f>
        <v>-0.19663280187590884</v>
      </c>
      <c r="AK295" s="18">
        <f t="shared" si="129"/>
        <v>3.8664458773570422E-2</v>
      </c>
      <c r="AN295" s="18">
        <f>IF(ISNUMBER(Volcanic!G295),Volcanic!G295,"")</f>
        <v>2.86E-2</v>
      </c>
    </row>
    <row r="296" spans="1:40">
      <c r="A296" s="18" t="str">
        <f>IF(Volcanic!A296="","",Volcanic!A296)</f>
        <v>9/1982</v>
      </c>
      <c r="B296" s="18">
        <f>IF(ISNUMBER(Volcanic!L296),Volcanic!L296,"")</f>
        <v>1982.7083333333333</v>
      </c>
      <c r="C296" s="18">
        <f>IF(ISNUMBER(Volcanic!J296),Volcanic!J296,"")</f>
        <v>-9.6391007982521176E-2</v>
      </c>
      <c r="D296" s="18">
        <f t="shared" si="122"/>
        <v>9.2912264198864603E-3</v>
      </c>
      <c r="E296" s="18">
        <f>IF(ISNUMBER(Volcanic!C296),Volcanic!C296,"")</f>
        <v>0.2731748371214936</v>
      </c>
      <c r="F296" s="18">
        <f>IF(ISNUMBER(Volcanic!D296),Volcanic!D296,"")</f>
        <v>0.73</v>
      </c>
      <c r="G296" s="18">
        <f>IF(ISNUMBER(Volcanic!E296),Volcanic!E296,"")</f>
        <v>7.3299999999999997E-3</v>
      </c>
      <c r="H296" s="18">
        <f t="shared" si="123"/>
        <v>7.4624491636354554E-2</v>
      </c>
      <c r="I296" s="18">
        <f t="shared" si="124"/>
        <v>0.53289999999999993</v>
      </c>
      <c r="J296" s="18">
        <f t="shared" si="125"/>
        <v>5.3728899999999993E-5</v>
      </c>
      <c r="K296" s="18">
        <f t="shared" si="126"/>
        <v>0.19941763109869032</v>
      </c>
      <c r="L296" s="18">
        <f t="shared" si="127"/>
        <v>2.0023715561005482E-3</v>
      </c>
      <c r="M296" s="18">
        <f t="shared" si="128"/>
        <v>5.3508999999999996E-3</v>
      </c>
      <c r="N296" s="18">
        <f t="shared" si="130"/>
        <v>4.8561784531361944E-2</v>
      </c>
      <c r="O296" s="18">
        <f t="shared" si="133"/>
        <v>1.0986749300229446E-2</v>
      </c>
      <c r="P296" s="18">
        <f t="shared" si="135"/>
        <v>3.0381985768712948E-2</v>
      </c>
      <c r="Q296" s="18">
        <f t="shared" si="137"/>
        <v>3.5356273239022539E-3</v>
      </c>
      <c r="R296" s="18">
        <f t="shared" si="139"/>
        <v>5.3717253074578707E-3</v>
      </c>
      <c r="S296" s="18">
        <f t="shared" si="141"/>
        <v>2.9180907746388981E-2</v>
      </c>
      <c r="T296" s="18">
        <f t="shared" si="143"/>
        <v>1.2332954192366113E-3</v>
      </c>
      <c r="U296" s="18">
        <f t="shared" si="145"/>
        <v>1.6702072215142943E-2</v>
      </c>
      <c r="V296" s="18">
        <f t="shared" si="146"/>
        <v>5.4924494463481729E-2</v>
      </c>
      <c r="W296" s="18">
        <f t="shared" si="147"/>
        <v>7.0508781992626819E-3</v>
      </c>
      <c r="X296" s="18">
        <f t="shared" si="148"/>
        <v>9.7926152974054475E-6</v>
      </c>
      <c r="Y296" s="18">
        <f t="shared" si="149"/>
        <v>7.5056216374657021E-4</v>
      </c>
      <c r="AA296" s="18">
        <f t="shared" si="131"/>
        <v>1.4410206886400573E-2</v>
      </c>
      <c r="AB296" s="18">
        <f t="shared" si="132"/>
        <v>2.0765406250886648E-4</v>
      </c>
      <c r="AC296" s="18">
        <f t="shared" si="134"/>
        <v>2.811148961983605E-2</v>
      </c>
      <c r="AD296" s="18">
        <f t="shared" si="136"/>
        <v>2.9505303292621897E-4</v>
      </c>
      <c r="AE296" s="18">
        <f t="shared" si="138"/>
        <v>2.0853409297403824E-2</v>
      </c>
      <c r="AF296" s="18">
        <f t="shared" si="140"/>
        <v>5.1119997962324661E-4</v>
      </c>
      <c r="AG296" s="18">
        <f t="shared" si="142"/>
        <v>1.5872815115929934E-4</v>
      </c>
      <c r="AH296" s="18">
        <f t="shared" si="144"/>
        <v>2.3460019108186101E-2</v>
      </c>
      <c r="AJ296" s="18">
        <f>IF(ISNUMBER(Kernel!M296),Kernel!M296,"")</f>
        <v>-8.3989858670934892E-2</v>
      </c>
      <c r="AK296" s="18">
        <f t="shared" si="129"/>
        <v>7.0542963595636166E-3</v>
      </c>
      <c r="AN296" s="18">
        <f>IF(ISNUMBER(Volcanic!G296),Volcanic!G296,"")</f>
        <v>2.9919999999999999E-2</v>
      </c>
    </row>
    <row r="297" spans="1:40">
      <c r="A297" s="18" t="str">
        <f>IF(Volcanic!A297="","",Volcanic!A297)</f>
        <v>10/1982</v>
      </c>
      <c r="B297" s="18">
        <f>IF(ISNUMBER(Volcanic!L297),Volcanic!L297,"")</f>
        <v>1982.7916666666667</v>
      </c>
      <c r="C297" s="18">
        <f>IF(ISNUMBER(Volcanic!J297),Volcanic!J297,"")</f>
        <v>-0.11074776429925876</v>
      </c>
      <c r="D297" s="18">
        <f t="shared" si="122"/>
        <v>1.2265067297284172E-2</v>
      </c>
      <c r="E297" s="18">
        <f>IF(ISNUMBER(Volcanic!C297),Volcanic!C297,"")</f>
        <v>0.27334537348989335</v>
      </c>
      <c r="F297" s="18">
        <f>IF(ISNUMBER(Volcanic!D297),Volcanic!D297,"")</f>
        <v>0.78</v>
      </c>
      <c r="G297" s="18">
        <f>IF(ISNUMBER(Volcanic!E297),Volcanic!E297,"")</f>
        <v>7.6699999999999997E-3</v>
      </c>
      <c r="H297" s="18">
        <f t="shared" si="123"/>
        <v>7.4717693208329286E-2</v>
      </c>
      <c r="I297" s="18">
        <f t="shared" si="124"/>
        <v>0.60840000000000005</v>
      </c>
      <c r="J297" s="18">
        <f t="shared" si="125"/>
        <v>5.8828899999999995E-5</v>
      </c>
      <c r="K297" s="18">
        <f t="shared" si="126"/>
        <v>0.21320939132211683</v>
      </c>
      <c r="L297" s="18">
        <f t="shared" si="127"/>
        <v>2.0965590146674821E-3</v>
      </c>
      <c r="M297" s="18">
        <f t="shared" si="128"/>
        <v>5.9826000000000002E-3</v>
      </c>
      <c r="N297" s="18">
        <f t="shared" si="130"/>
        <v>9.2912264198864603E-3</v>
      </c>
      <c r="O297" s="18">
        <f t="shared" si="133"/>
        <v>4.8561784531361944E-2</v>
      </c>
      <c r="P297" s="18">
        <f t="shared" si="135"/>
        <v>1.0986749300229446E-2</v>
      </c>
      <c r="Q297" s="18">
        <f t="shared" si="137"/>
        <v>3.0381985768712948E-2</v>
      </c>
      <c r="R297" s="18">
        <f t="shared" si="139"/>
        <v>3.5356273239022539E-3</v>
      </c>
      <c r="S297" s="18">
        <f t="shared" si="141"/>
        <v>5.3717253074578707E-3</v>
      </c>
      <c r="T297" s="18">
        <f t="shared" si="143"/>
        <v>2.9180907746388981E-2</v>
      </c>
      <c r="U297" s="18">
        <f t="shared" si="145"/>
        <v>1.2332954192366113E-3</v>
      </c>
      <c r="V297" s="18">
        <f t="shared" si="146"/>
        <v>1.6702072215142943E-2</v>
      </c>
      <c r="W297" s="18">
        <f t="shared" si="147"/>
        <v>5.4924494463481729E-2</v>
      </c>
      <c r="X297" s="18">
        <f t="shared" si="148"/>
        <v>7.0508781992626819E-3</v>
      </c>
      <c r="Y297" s="18">
        <f t="shared" si="149"/>
        <v>9.7926152974054475E-6</v>
      </c>
      <c r="AA297" s="18">
        <f t="shared" si="131"/>
        <v>-6.2282149619708148E-2</v>
      </c>
      <c r="AB297" s="18">
        <f t="shared" si="132"/>
        <v>3.8790661612517117E-3</v>
      </c>
      <c r="AC297" s="18">
        <f t="shared" si="134"/>
        <v>2.0765406250886648E-4</v>
      </c>
      <c r="AD297" s="18">
        <f t="shared" si="136"/>
        <v>2.811148961983605E-2</v>
      </c>
      <c r="AE297" s="18">
        <f t="shared" si="138"/>
        <v>2.9505303292621897E-4</v>
      </c>
      <c r="AF297" s="18">
        <f t="shared" si="140"/>
        <v>2.0853409297403824E-2</v>
      </c>
      <c r="AG297" s="18">
        <f t="shared" si="142"/>
        <v>5.1119997962324661E-4</v>
      </c>
      <c r="AH297" s="18">
        <f t="shared" si="144"/>
        <v>1.5872815115929934E-4</v>
      </c>
      <c r="AJ297" s="18">
        <f>IF(ISNUMBER(Kernel!M297),Kernel!M297,"")</f>
        <v>-0.11752839895259604</v>
      </c>
      <c r="AK297" s="18">
        <f t="shared" si="129"/>
        <v>1.3812924560360576E-2</v>
      </c>
      <c r="AN297" s="18">
        <f>IF(ISNUMBER(Volcanic!G297),Volcanic!G297,"")</f>
        <v>3.2079999999999997E-2</v>
      </c>
    </row>
    <row r="298" spans="1:40">
      <c r="A298" s="18" t="str">
        <f>IF(Volcanic!A298="","",Volcanic!A298)</f>
        <v>11/1982</v>
      </c>
      <c r="B298" s="18">
        <f>IF(ISNUMBER(Volcanic!L298),Volcanic!L298,"")</f>
        <v>1982.875</v>
      </c>
      <c r="C298" s="18">
        <f>IF(ISNUMBER(Volcanic!J298),Volcanic!J298,"")</f>
        <v>-6.3588218177039579E-2</v>
      </c>
      <c r="D298" s="18">
        <f t="shared" si="122"/>
        <v>4.0434614909307864E-3</v>
      </c>
      <c r="E298" s="18">
        <f>IF(ISNUMBER(Volcanic!C298),Volcanic!C298,"")</f>
        <v>0.27772975657104493</v>
      </c>
      <c r="F298" s="18">
        <f>IF(ISNUMBER(Volcanic!D298),Volcanic!D298,"")</f>
        <v>0.99</v>
      </c>
      <c r="G298" s="18">
        <f>IF(ISNUMBER(Volcanic!E298),Volcanic!E298,"")</f>
        <v>2.0670000000000001E-2</v>
      </c>
      <c r="H298" s="18">
        <f t="shared" si="123"/>
        <v>7.7133817685011874E-2</v>
      </c>
      <c r="I298" s="18">
        <f t="shared" si="124"/>
        <v>0.98009999999999997</v>
      </c>
      <c r="J298" s="18">
        <f t="shared" si="125"/>
        <v>4.2724890000000006E-4</v>
      </c>
      <c r="K298" s="18">
        <f t="shared" si="126"/>
        <v>0.27495245900533449</v>
      </c>
      <c r="L298" s="18">
        <f t="shared" si="127"/>
        <v>5.7406740683234991E-3</v>
      </c>
      <c r="M298" s="18">
        <f t="shared" si="128"/>
        <v>2.04633E-2</v>
      </c>
      <c r="N298" s="18">
        <f t="shared" si="130"/>
        <v>1.2265067297284172E-2</v>
      </c>
      <c r="O298" s="18">
        <f t="shared" si="133"/>
        <v>9.2912264198864603E-3</v>
      </c>
      <c r="P298" s="18">
        <f t="shared" si="135"/>
        <v>4.8561784531361944E-2</v>
      </c>
      <c r="Q298" s="18">
        <f t="shared" si="137"/>
        <v>1.0986749300229446E-2</v>
      </c>
      <c r="R298" s="18">
        <f t="shared" si="139"/>
        <v>3.0381985768712948E-2</v>
      </c>
      <c r="S298" s="18">
        <f t="shared" si="141"/>
        <v>3.5356273239022539E-3</v>
      </c>
      <c r="T298" s="18">
        <f t="shared" si="143"/>
        <v>5.3717253074578707E-3</v>
      </c>
      <c r="U298" s="18">
        <f t="shared" si="145"/>
        <v>2.9180907746388981E-2</v>
      </c>
      <c r="V298" s="18">
        <f t="shared" si="146"/>
        <v>1.2332954192366113E-3</v>
      </c>
      <c r="W298" s="18">
        <f t="shared" si="147"/>
        <v>1.6702072215142943E-2</v>
      </c>
      <c r="X298" s="18">
        <f t="shared" si="148"/>
        <v>5.4924494463481729E-2</v>
      </c>
      <c r="Y298" s="18">
        <f t="shared" si="149"/>
        <v>7.0508781992626819E-3</v>
      </c>
      <c r="AA298" s="18">
        <f t="shared" si="131"/>
        <v>-7.9039942697342394E-3</v>
      </c>
      <c r="AB298" s="18">
        <f t="shared" si="132"/>
        <v>6.2473125415991689E-5</v>
      </c>
      <c r="AC298" s="18">
        <f t="shared" si="134"/>
        <v>3.8790661612517117E-3</v>
      </c>
      <c r="AD298" s="18">
        <f t="shared" si="136"/>
        <v>2.0765406250886648E-4</v>
      </c>
      <c r="AE298" s="18">
        <f t="shared" si="138"/>
        <v>2.811148961983605E-2</v>
      </c>
      <c r="AF298" s="18">
        <f t="shared" si="140"/>
        <v>2.9505303292621897E-4</v>
      </c>
      <c r="AG298" s="18">
        <f t="shared" si="142"/>
        <v>2.0853409297403824E-2</v>
      </c>
      <c r="AH298" s="18">
        <f t="shared" si="144"/>
        <v>5.1119997962324661E-4</v>
      </c>
      <c r="AJ298" s="18">
        <f>IF(ISNUMBER(Kernel!M298),Kernel!M298,"")</f>
        <v>-0.10160797513203113</v>
      </c>
      <c r="AK298" s="18">
        <f t="shared" si="129"/>
        <v>1.0324180610431456E-2</v>
      </c>
      <c r="AN298" s="18">
        <f>IF(ISNUMBER(Volcanic!G298),Volcanic!G298,"")</f>
        <v>3.771E-2</v>
      </c>
    </row>
    <row r="299" spans="1:40">
      <c r="A299" s="18" t="str">
        <f>IF(Volcanic!A299="","",Volcanic!A299)</f>
        <v>12/1982</v>
      </c>
      <c r="B299" s="18">
        <f>IF(ISNUMBER(Volcanic!L299),Volcanic!L299,"")</f>
        <v>1982.9583333333333</v>
      </c>
      <c r="C299" s="18">
        <f>IF(ISNUMBER(Volcanic!J299),Volcanic!J299,"")</f>
        <v>0.13383405473367832</v>
      </c>
      <c r="D299" s="18">
        <f t="shared" si="122"/>
        <v>1.7911554206457205E-2</v>
      </c>
      <c r="E299" s="18">
        <f>IF(ISNUMBER(Volcanic!C299),Volcanic!C299,"")</f>
        <v>0.28341384070717457</v>
      </c>
      <c r="F299" s="18">
        <f>IF(ISNUMBER(Volcanic!D299),Volcanic!D299,"")</f>
        <v>1.45</v>
      </c>
      <c r="G299" s="18">
        <f>IF(ISNUMBER(Volcanic!E299),Volcanic!E299,"")</f>
        <v>2.3220000000000001E-2</v>
      </c>
      <c r="H299" s="18">
        <f t="shared" si="123"/>
        <v>8.0323405104391718E-2</v>
      </c>
      <c r="I299" s="18">
        <f t="shared" si="124"/>
        <v>2.1025</v>
      </c>
      <c r="J299" s="18">
        <f t="shared" si="125"/>
        <v>5.3916840000000005E-4</v>
      </c>
      <c r="K299" s="18">
        <f t="shared" si="126"/>
        <v>0.4109500690254031</v>
      </c>
      <c r="L299" s="18">
        <f t="shared" si="127"/>
        <v>6.5808693812205938E-3</v>
      </c>
      <c r="M299" s="18">
        <f t="shared" si="128"/>
        <v>3.3668999999999998E-2</v>
      </c>
      <c r="N299" s="18">
        <f t="shared" si="130"/>
        <v>4.0434614909307864E-3</v>
      </c>
      <c r="O299" s="18">
        <f t="shared" si="133"/>
        <v>1.2265067297284172E-2</v>
      </c>
      <c r="P299" s="18">
        <f t="shared" si="135"/>
        <v>9.2912264198864603E-3</v>
      </c>
      <c r="Q299" s="18">
        <f t="shared" si="137"/>
        <v>4.8561784531361944E-2</v>
      </c>
      <c r="R299" s="18">
        <f t="shared" si="139"/>
        <v>1.0986749300229446E-2</v>
      </c>
      <c r="S299" s="18">
        <f t="shared" si="141"/>
        <v>3.0381985768712948E-2</v>
      </c>
      <c r="T299" s="18">
        <f t="shared" si="143"/>
        <v>3.5356273239022539E-3</v>
      </c>
      <c r="U299" s="18">
        <f t="shared" si="145"/>
        <v>5.3717253074578707E-3</v>
      </c>
      <c r="V299" s="18">
        <f t="shared" si="146"/>
        <v>2.9180907746388981E-2</v>
      </c>
      <c r="W299" s="18">
        <f t="shared" si="147"/>
        <v>1.2332954192366113E-3</v>
      </c>
      <c r="X299" s="18">
        <f t="shared" si="148"/>
        <v>1.6702072215142943E-2</v>
      </c>
      <c r="Y299" s="18">
        <f t="shared" si="149"/>
        <v>5.4924494463481729E-2</v>
      </c>
      <c r="AA299" s="18">
        <f t="shared" si="131"/>
        <v>0.16580635323777151</v>
      </c>
      <c r="AB299" s="18">
        <f t="shared" si="132"/>
        <v>2.7491746774008664E-2</v>
      </c>
      <c r="AC299" s="18">
        <f t="shared" si="134"/>
        <v>6.2473125415991689E-5</v>
      </c>
      <c r="AD299" s="18">
        <f t="shared" si="136"/>
        <v>3.8790661612517117E-3</v>
      </c>
      <c r="AE299" s="18">
        <f t="shared" si="138"/>
        <v>2.0765406250886648E-4</v>
      </c>
      <c r="AF299" s="18">
        <f t="shared" si="140"/>
        <v>2.811148961983605E-2</v>
      </c>
      <c r="AG299" s="18">
        <f t="shared" si="142"/>
        <v>2.9505303292621897E-4</v>
      </c>
      <c r="AH299" s="18">
        <f t="shared" si="144"/>
        <v>2.0853409297403824E-2</v>
      </c>
      <c r="AJ299" s="18">
        <f>IF(ISNUMBER(Kernel!M299),Kernel!M299,"")</f>
        <v>0.11704597100355502</v>
      </c>
      <c r="AK299" s="18">
        <f t="shared" si="129"/>
        <v>1.3699759328165041E-2</v>
      </c>
      <c r="AN299" s="18">
        <f>IF(ISNUMBER(Volcanic!G299),Volcanic!G299,"")</f>
        <v>5.3809999999999997E-2</v>
      </c>
    </row>
    <row r="300" spans="1:40">
      <c r="A300" s="18" t="str">
        <f>IF(Volcanic!A300="","",Volcanic!A300)</f>
        <v>1/1983</v>
      </c>
      <c r="B300" s="18">
        <f>IF(ISNUMBER(Volcanic!L300),Volcanic!L300,"")</f>
        <v>1983.0416666666667</v>
      </c>
      <c r="C300" s="18">
        <f>IF(ISNUMBER(Volcanic!J300),Volcanic!J300,"")</f>
        <v>0.19692370318185559</v>
      </c>
      <c r="D300" s="18">
        <f t="shared" si="122"/>
        <v>3.8778944874855559E-2</v>
      </c>
      <c r="E300" s="18">
        <f>IF(ISNUMBER(Volcanic!C300),Volcanic!C300,"")</f>
        <v>0.28675444184014132</v>
      </c>
      <c r="F300" s="18">
        <f>IF(ISNUMBER(Volcanic!D300),Volcanic!D300,"")</f>
        <v>1.82</v>
      </c>
      <c r="G300" s="18">
        <f>IF(ISNUMBER(Volcanic!E300),Volcanic!E300,"")</f>
        <v>2.6190000000000001E-2</v>
      </c>
      <c r="H300" s="18">
        <f t="shared" si="123"/>
        <v>8.2228109915050987E-2</v>
      </c>
      <c r="I300" s="18">
        <f t="shared" si="124"/>
        <v>3.3124000000000002</v>
      </c>
      <c r="J300" s="18">
        <f t="shared" si="125"/>
        <v>6.859161000000001E-4</v>
      </c>
      <c r="K300" s="18">
        <f t="shared" si="126"/>
        <v>0.52189308414905722</v>
      </c>
      <c r="L300" s="18">
        <f t="shared" si="127"/>
        <v>7.5100988317933015E-3</v>
      </c>
      <c r="M300" s="18">
        <f t="shared" si="128"/>
        <v>4.7665800000000001E-2</v>
      </c>
      <c r="N300" s="18">
        <f t="shared" si="130"/>
        <v>1.7911554206457205E-2</v>
      </c>
      <c r="O300" s="18">
        <f t="shared" si="133"/>
        <v>4.0434614909307864E-3</v>
      </c>
      <c r="P300" s="18">
        <f t="shared" si="135"/>
        <v>1.2265067297284172E-2</v>
      </c>
      <c r="Q300" s="18">
        <f t="shared" si="137"/>
        <v>9.2912264198864603E-3</v>
      </c>
      <c r="R300" s="18">
        <f t="shared" si="139"/>
        <v>4.8561784531361944E-2</v>
      </c>
      <c r="S300" s="18">
        <f t="shared" si="141"/>
        <v>1.0986749300229446E-2</v>
      </c>
      <c r="T300" s="18">
        <f t="shared" si="143"/>
        <v>3.0381985768712948E-2</v>
      </c>
      <c r="U300" s="18">
        <f t="shared" si="145"/>
        <v>3.5356273239022539E-3</v>
      </c>
      <c r="V300" s="18">
        <f t="shared" si="146"/>
        <v>5.3717253074578707E-3</v>
      </c>
      <c r="W300" s="18">
        <f t="shared" si="147"/>
        <v>2.9180907746388981E-2</v>
      </c>
      <c r="X300" s="18">
        <f t="shared" si="148"/>
        <v>1.2332954192366113E-3</v>
      </c>
      <c r="Y300" s="18">
        <f t="shared" si="149"/>
        <v>1.6702072215142943E-2</v>
      </c>
      <c r="AA300" s="18">
        <f t="shared" si="131"/>
        <v>0.12963164074278943</v>
      </c>
      <c r="AB300" s="18">
        <f t="shared" si="132"/>
        <v>1.6804362281667626E-2</v>
      </c>
      <c r="AC300" s="18">
        <f t="shared" si="134"/>
        <v>2.7491746774008664E-2</v>
      </c>
      <c r="AD300" s="18">
        <f t="shared" si="136"/>
        <v>6.2473125415991689E-5</v>
      </c>
      <c r="AE300" s="18">
        <f t="shared" si="138"/>
        <v>3.8790661612517117E-3</v>
      </c>
      <c r="AF300" s="18">
        <f t="shared" si="140"/>
        <v>2.0765406250886648E-4</v>
      </c>
      <c r="AG300" s="18">
        <f t="shared" si="142"/>
        <v>2.811148961983605E-2</v>
      </c>
      <c r="AH300" s="18">
        <f t="shared" si="144"/>
        <v>2.9505303292621897E-4</v>
      </c>
      <c r="AJ300" s="18">
        <f>IF(ISNUMBER(Kernel!M300),Kernel!M300,"")</f>
        <v>0.19576691353412107</v>
      </c>
      <c r="AK300" s="18">
        <f t="shared" si="129"/>
        <v>3.8324684434676036E-2</v>
      </c>
      <c r="AN300" s="18">
        <f>IF(ISNUMBER(Volcanic!G300),Volcanic!G300,"")</f>
        <v>5.7509999999999999E-2</v>
      </c>
    </row>
    <row r="301" spans="1:40">
      <c r="A301" s="18" t="str">
        <f>IF(Volcanic!A301="","",Volcanic!A301)</f>
        <v>2/1983</v>
      </c>
      <c r="B301" s="18">
        <f>IF(ISNUMBER(Volcanic!L301),Volcanic!L301,"")</f>
        <v>1983.125</v>
      </c>
      <c r="C301" s="18">
        <f>IF(ISNUMBER(Volcanic!J301),Volcanic!J301,"")</f>
        <v>6.5700680733028816E-2</v>
      </c>
      <c r="D301" s="18">
        <f t="shared" si="122"/>
        <v>4.3165794487833838E-3</v>
      </c>
      <c r="E301" s="18">
        <f>IF(ISNUMBER(Volcanic!C301),Volcanic!C301,"")</f>
        <v>0.29185610858541344</v>
      </c>
      <c r="F301" s="18">
        <f>IF(ISNUMBER(Volcanic!D301),Volcanic!D301,"")</f>
        <v>2.0299999999999998</v>
      </c>
      <c r="G301" s="18">
        <f>IF(ISNUMBER(Volcanic!E301),Volcanic!E301,"")</f>
        <v>2.7179999999999999E-2</v>
      </c>
      <c r="H301" s="18">
        <f t="shared" si="123"/>
        <v>8.5179988118620639E-2</v>
      </c>
      <c r="I301" s="18">
        <f t="shared" si="124"/>
        <v>4.1208999999999989</v>
      </c>
      <c r="J301" s="18">
        <f t="shared" si="125"/>
        <v>7.3875239999999999E-4</v>
      </c>
      <c r="K301" s="18">
        <f t="shared" si="126"/>
        <v>0.59246790042838926</v>
      </c>
      <c r="L301" s="18">
        <f t="shared" si="127"/>
        <v>7.9326490313515376E-3</v>
      </c>
      <c r="M301" s="18">
        <f t="shared" si="128"/>
        <v>5.5175399999999993E-2</v>
      </c>
      <c r="N301" s="18">
        <f t="shared" si="130"/>
        <v>3.8778944874855559E-2</v>
      </c>
      <c r="O301" s="18">
        <f t="shared" si="133"/>
        <v>1.7911554206457205E-2</v>
      </c>
      <c r="P301" s="18">
        <f t="shared" si="135"/>
        <v>4.0434614909307864E-3</v>
      </c>
      <c r="Q301" s="18">
        <f t="shared" si="137"/>
        <v>1.2265067297284172E-2</v>
      </c>
      <c r="R301" s="18">
        <f t="shared" si="139"/>
        <v>9.2912264198864603E-3</v>
      </c>
      <c r="S301" s="18">
        <f t="shared" si="141"/>
        <v>4.8561784531361944E-2</v>
      </c>
      <c r="T301" s="18">
        <f t="shared" si="143"/>
        <v>1.0986749300229446E-2</v>
      </c>
      <c r="U301" s="18">
        <f t="shared" si="145"/>
        <v>3.0381985768712948E-2</v>
      </c>
      <c r="V301" s="18">
        <f t="shared" si="146"/>
        <v>3.5356273239022539E-3</v>
      </c>
      <c r="W301" s="18">
        <f t="shared" si="147"/>
        <v>5.3717253074578707E-3</v>
      </c>
      <c r="X301" s="18">
        <f t="shared" si="148"/>
        <v>2.9180907746388981E-2</v>
      </c>
      <c r="Y301" s="18">
        <f t="shared" si="149"/>
        <v>1.2332954192366113E-3</v>
      </c>
      <c r="AA301" s="18">
        <f t="shared" si="131"/>
        <v>-3.331299823392056E-2</v>
      </c>
      <c r="AB301" s="18">
        <f t="shared" si="132"/>
        <v>1.1097558513331943E-3</v>
      </c>
      <c r="AC301" s="18">
        <f t="shared" si="134"/>
        <v>1.6804362281667626E-2</v>
      </c>
      <c r="AD301" s="18">
        <f t="shared" si="136"/>
        <v>2.7491746774008664E-2</v>
      </c>
      <c r="AE301" s="18">
        <f t="shared" si="138"/>
        <v>6.2473125415991689E-5</v>
      </c>
      <c r="AF301" s="18">
        <f t="shared" si="140"/>
        <v>3.8790661612517117E-3</v>
      </c>
      <c r="AG301" s="18">
        <f t="shared" si="142"/>
        <v>2.0765406250886648E-4</v>
      </c>
      <c r="AH301" s="18">
        <f t="shared" si="144"/>
        <v>2.811148961983605E-2</v>
      </c>
      <c r="AJ301" s="18">
        <f>IF(ISNUMBER(Kernel!M301),Kernel!M301,"")</f>
        <v>7.7149973358562551E-2</v>
      </c>
      <c r="AK301" s="18">
        <f t="shared" si="129"/>
        <v>5.9521183892269113E-3</v>
      </c>
      <c r="AN301" s="18">
        <f>IF(ISNUMBER(Volcanic!G301),Volcanic!G301,"")</f>
        <v>5.6910000000000002E-2</v>
      </c>
    </row>
    <row r="302" spans="1:40">
      <c r="A302" s="18" t="str">
        <f>IF(Volcanic!A302="","",Volcanic!A302)</f>
        <v>3/1983</v>
      </c>
      <c r="B302" s="18">
        <f>IF(ISNUMBER(Volcanic!L302),Volcanic!L302,"")</f>
        <v>1983.2083333333333</v>
      </c>
      <c r="C302" s="18">
        <f>IF(ISNUMBER(Volcanic!J302),Volcanic!J302,"")</f>
        <v>4.3706717312938848E-2</v>
      </c>
      <c r="D302" s="18">
        <f t="shared" si="122"/>
        <v>1.9102771382731483E-3</v>
      </c>
      <c r="E302" s="18">
        <f>IF(ISNUMBER(Volcanic!C302),Volcanic!C302,"")</f>
        <v>0.29433717040544699</v>
      </c>
      <c r="F302" s="18">
        <f>IF(ISNUMBER(Volcanic!D302),Volcanic!D302,"")</f>
        <v>2.12</v>
      </c>
      <c r="G302" s="18">
        <f>IF(ISNUMBER(Volcanic!E302),Volcanic!E302,"")</f>
        <v>2.86E-2</v>
      </c>
      <c r="H302" s="18">
        <f t="shared" si="123"/>
        <v>8.6634369882285137E-2</v>
      </c>
      <c r="I302" s="18">
        <f t="shared" si="124"/>
        <v>4.4944000000000006</v>
      </c>
      <c r="J302" s="18">
        <f t="shared" si="125"/>
        <v>8.1796000000000006E-4</v>
      </c>
      <c r="K302" s="18">
        <f t="shared" si="126"/>
        <v>0.62399480125954765</v>
      </c>
      <c r="L302" s="18">
        <f t="shared" si="127"/>
        <v>8.418043073595784E-3</v>
      </c>
      <c r="M302" s="18">
        <f t="shared" si="128"/>
        <v>6.0632000000000005E-2</v>
      </c>
      <c r="N302" s="18">
        <f t="shared" si="130"/>
        <v>4.3165794487833838E-3</v>
      </c>
      <c r="O302" s="18">
        <f t="shared" si="133"/>
        <v>3.8778944874855559E-2</v>
      </c>
      <c r="P302" s="18">
        <f t="shared" si="135"/>
        <v>1.7911554206457205E-2</v>
      </c>
      <c r="Q302" s="18">
        <f t="shared" si="137"/>
        <v>4.0434614909307864E-3</v>
      </c>
      <c r="R302" s="18">
        <f t="shared" si="139"/>
        <v>1.2265067297284172E-2</v>
      </c>
      <c r="S302" s="18">
        <f t="shared" si="141"/>
        <v>9.2912264198864603E-3</v>
      </c>
      <c r="T302" s="18">
        <f t="shared" si="143"/>
        <v>4.8561784531361944E-2</v>
      </c>
      <c r="U302" s="18">
        <f t="shared" si="145"/>
        <v>1.0986749300229446E-2</v>
      </c>
      <c r="V302" s="18">
        <f t="shared" si="146"/>
        <v>3.0381985768712948E-2</v>
      </c>
      <c r="W302" s="18">
        <f t="shared" si="147"/>
        <v>3.5356273239022539E-3</v>
      </c>
      <c r="X302" s="18">
        <f t="shared" si="148"/>
        <v>5.3717253074578707E-3</v>
      </c>
      <c r="Y302" s="18">
        <f t="shared" si="149"/>
        <v>2.9180907746388981E-2</v>
      </c>
      <c r="AA302" s="18">
        <f t="shared" si="131"/>
        <v>1.0672267904872149E-2</v>
      </c>
      <c r="AB302" s="18">
        <f t="shared" si="132"/>
        <v>1.1389730223336416E-4</v>
      </c>
      <c r="AC302" s="18">
        <f t="shared" si="134"/>
        <v>1.1097558513331943E-3</v>
      </c>
      <c r="AD302" s="18">
        <f t="shared" si="136"/>
        <v>1.6804362281667626E-2</v>
      </c>
      <c r="AE302" s="18">
        <f t="shared" si="138"/>
        <v>2.7491746774008664E-2</v>
      </c>
      <c r="AF302" s="18">
        <f t="shared" si="140"/>
        <v>6.2473125415991689E-5</v>
      </c>
      <c r="AG302" s="18">
        <f t="shared" si="142"/>
        <v>3.8790661612517117E-3</v>
      </c>
      <c r="AH302" s="18">
        <f t="shared" si="144"/>
        <v>2.0765406250886648E-4</v>
      </c>
      <c r="AJ302" s="18">
        <f>IF(ISNUMBER(Kernel!M302),Kernel!M302,"")</f>
        <v>6.5457955282289759E-2</v>
      </c>
      <c r="AK302" s="18">
        <f t="shared" si="129"/>
        <v>4.2847439097382454E-3</v>
      </c>
      <c r="AN302" s="18">
        <f>IF(ISNUMBER(Volcanic!G302),Volcanic!G302,"")</f>
        <v>5.6890000000000003E-2</v>
      </c>
    </row>
    <row r="303" spans="1:40">
      <c r="A303" s="18" t="str">
        <f>IF(Volcanic!A303="","",Volcanic!A303)</f>
        <v>4/1983</v>
      </c>
      <c r="B303" s="18">
        <f>IF(ISNUMBER(Volcanic!L303),Volcanic!L303,"")</f>
        <v>1983.2916666666667</v>
      </c>
      <c r="C303" s="18">
        <f>IF(ISNUMBER(Volcanic!J303),Volcanic!J303,"")</f>
        <v>-0.11843898033411426</v>
      </c>
      <c r="D303" s="18">
        <f t="shared" si="122"/>
        <v>1.4027792062584706E-2</v>
      </c>
      <c r="E303" s="18">
        <f>IF(ISNUMBER(Volcanic!C303),Volcanic!C303,"")</f>
        <v>0.30284125569659542</v>
      </c>
      <c r="F303" s="18">
        <f>IF(ISNUMBER(Volcanic!D303),Volcanic!D303,"")</f>
        <v>2.14</v>
      </c>
      <c r="G303" s="18">
        <f>IF(ISNUMBER(Volcanic!E303),Volcanic!E303,"")</f>
        <v>2.9919999999999999E-2</v>
      </c>
      <c r="H303" s="18">
        <f t="shared" si="123"/>
        <v>9.1712826151890692E-2</v>
      </c>
      <c r="I303" s="18">
        <f t="shared" si="124"/>
        <v>4.5796000000000001</v>
      </c>
      <c r="J303" s="18">
        <f t="shared" si="125"/>
        <v>8.9520639999999987E-4</v>
      </c>
      <c r="K303" s="18">
        <f t="shared" si="126"/>
        <v>0.6480802871907142</v>
      </c>
      <c r="L303" s="18">
        <f t="shared" si="127"/>
        <v>9.0610103704421349E-3</v>
      </c>
      <c r="M303" s="18">
        <f t="shared" si="128"/>
        <v>6.4028799999999997E-2</v>
      </c>
      <c r="N303" s="18">
        <f t="shared" si="130"/>
        <v>1.9102771382731483E-3</v>
      </c>
      <c r="O303" s="18">
        <f t="shared" si="133"/>
        <v>4.3165794487833838E-3</v>
      </c>
      <c r="P303" s="18">
        <f t="shared" si="135"/>
        <v>3.8778944874855559E-2</v>
      </c>
      <c r="Q303" s="18">
        <f t="shared" si="137"/>
        <v>1.7911554206457205E-2</v>
      </c>
      <c r="R303" s="18">
        <f t="shared" si="139"/>
        <v>4.0434614909307864E-3</v>
      </c>
      <c r="S303" s="18">
        <f t="shared" si="141"/>
        <v>1.2265067297284172E-2</v>
      </c>
      <c r="T303" s="18">
        <f t="shared" si="143"/>
        <v>9.2912264198864603E-3</v>
      </c>
      <c r="U303" s="18">
        <f t="shared" si="145"/>
        <v>4.8561784531361944E-2</v>
      </c>
      <c r="V303" s="18">
        <f t="shared" si="146"/>
        <v>1.0986749300229446E-2</v>
      </c>
      <c r="W303" s="18">
        <f t="shared" si="147"/>
        <v>3.0381985768712948E-2</v>
      </c>
      <c r="X303" s="18">
        <f t="shared" si="148"/>
        <v>3.5356273239022539E-3</v>
      </c>
      <c r="Y303" s="18">
        <f t="shared" si="149"/>
        <v>5.3717253074578707E-3</v>
      </c>
      <c r="AA303" s="18">
        <f t="shared" si="131"/>
        <v>-0.14041481567947189</v>
      </c>
      <c r="AB303" s="18">
        <f t="shared" si="132"/>
        <v>1.9716320462300065E-2</v>
      </c>
      <c r="AC303" s="18">
        <f t="shared" si="134"/>
        <v>1.1389730223336416E-4</v>
      </c>
      <c r="AD303" s="18">
        <f t="shared" si="136"/>
        <v>1.1097558513331943E-3</v>
      </c>
      <c r="AE303" s="18">
        <f t="shared" si="138"/>
        <v>1.6804362281667626E-2</v>
      </c>
      <c r="AF303" s="18">
        <f t="shared" si="140"/>
        <v>2.7491746774008664E-2</v>
      </c>
      <c r="AG303" s="18">
        <f t="shared" si="142"/>
        <v>6.2473125415991689E-5</v>
      </c>
      <c r="AH303" s="18">
        <f t="shared" si="144"/>
        <v>3.8790661612517117E-3</v>
      </c>
      <c r="AJ303" s="18">
        <f>IF(ISNUMBER(Kernel!M303),Kernel!M303,"")</f>
        <v>-8.6268814313065323E-2</v>
      </c>
      <c r="AK303" s="18">
        <f t="shared" si="129"/>
        <v>7.4423083229821444E-3</v>
      </c>
      <c r="AN303" s="18">
        <f>IF(ISNUMBER(Volcanic!G303),Volcanic!G303,"")</f>
        <v>5.74E-2</v>
      </c>
    </row>
    <row r="304" spans="1:40">
      <c r="A304" s="18" t="str">
        <f>IF(Volcanic!A304="","",Volcanic!A304)</f>
        <v>5/1983</v>
      </c>
      <c r="B304" s="18">
        <f>IF(ISNUMBER(Volcanic!L304),Volcanic!L304,"")</f>
        <v>1983.375</v>
      </c>
      <c r="C304" s="18">
        <f>IF(ISNUMBER(Volcanic!J304),Volcanic!J304,"")</f>
        <v>-4.076452885426135E-2</v>
      </c>
      <c r="D304" s="18">
        <f t="shared" si="122"/>
        <v>1.6617468127099063E-3</v>
      </c>
      <c r="E304" s="18">
        <f>IF(ISNUMBER(Volcanic!C304),Volcanic!C304,"")</f>
        <v>0.30592884206251841</v>
      </c>
      <c r="F304" s="18">
        <f>IF(ISNUMBER(Volcanic!D304),Volcanic!D304,"")</f>
        <v>1.91</v>
      </c>
      <c r="G304" s="18">
        <f>IF(ISNUMBER(Volcanic!E304),Volcanic!E304,"")</f>
        <v>3.2079999999999997E-2</v>
      </c>
      <c r="H304" s="18">
        <f t="shared" si="123"/>
        <v>9.3592456405713342E-2</v>
      </c>
      <c r="I304" s="18">
        <f t="shared" si="124"/>
        <v>3.6480999999999999</v>
      </c>
      <c r="J304" s="18">
        <f t="shared" si="125"/>
        <v>1.0291263999999999E-3</v>
      </c>
      <c r="K304" s="18">
        <f t="shared" si="126"/>
        <v>0.58432408833941019</v>
      </c>
      <c r="L304" s="18">
        <f t="shared" si="127"/>
        <v>9.8141972533655891E-3</v>
      </c>
      <c r="M304" s="18">
        <f t="shared" si="128"/>
        <v>6.1272799999999995E-2</v>
      </c>
      <c r="N304" s="18">
        <f t="shared" si="130"/>
        <v>1.4027792062584706E-2</v>
      </c>
      <c r="O304" s="18">
        <f t="shared" si="133"/>
        <v>1.9102771382731483E-3</v>
      </c>
      <c r="P304" s="18">
        <f t="shared" si="135"/>
        <v>4.3165794487833838E-3</v>
      </c>
      <c r="Q304" s="18">
        <f t="shared" si="137"/>
        <v>3.8778944874855559E-2</v>
      </c>
      <c r="R304" s="18">
        <f t="shared" si="139"/>
        <v>1.7911554206457205E-2</v>
      </c>
      <c r="S304" s="18">
        <f t="shared" si="141"/>
        <v>4.0434614909307864E-3</v>
      </c>
      <c r="T304" s="18">
        <f t="shared" si="143"/>
        <v>1.2265067297284172E-2</v>
      </c>
      <c r="U304" s="18">
        <f t="shared" si="145"/>
        <v>9.2912264198864603E-3</v>
      </c>
      <c r="V304" s="18">
        <f t="shared" si="146"/>
        <v>4.8561784531361944E-2</v>
      </c>
      <c r="W304" s="18">
        <f t="shared" si="147"/>
        <v>1.0986749300229446E-2</v>
      </c>
      <c r="X304" s="18">
        <f t="shared" si="148"/>
        <v>3.0381985768712948E-2</v>
      </c>
      <c r="Y304" s="18">
        <f t="shared" si="149"/>
        <v>3.5356273239022539E-3</v>
      </c>
      <c r="AA304" s="18">
        <f t="shared" si="131"/>
        <v>1.8786855699710135E-2</v>
      </c>
      <c r="AB304" s="18">
        <f t="shared" si="132"/>
        <v>3.529459470817312E-4</v>
      </c>
      <c r="AC304" s="18">
        <f t="shared" si="134"/>
        <v>1.9716320462300065E-2</v>
      </c>
      <c r="AD304" s="18">
        <f t="shared" si="136"/>
        <v>1.1389730223336416E-4</v>
      </c>
      <c r="AE304" s="18">
        <f t="shared" si="138"/>
        <v>1.1097558513331943E-3</v>
      </c>
      <c r="AF304" s="18">
        <f t="shared" si="140"/>
        <v>1.6804362281667626E-2</v>
      </c>
      <c r="AG304" s="18">
        <f t="shared" si="142"/>
        <v>2.7491746774008664E-2</v>
      </c>
      <c r="AH304" s="18">
        <f t="shared" si="144"/>
        <v>6.2473125415991689E-5</v>
      </c>
      <c r="AJ304" s="18">
        <f>IF(ISNUMBER(Kernel!M304),Kernel!M304,"")</f>
        <v>-1.918372930069534E-2</v>
      </c>
      <c r="AK304" s="18">
        <f t="shared" si="129"/>
        <v>3.6801546988235695E-4</v>
      </c>
      <c r="AN304" s="18">
        <f>IF(ISNUMBER(Volcanic!G304),Volcanic!G304,"")</f>
        <v>5.4690000000000003E-2</v>
      </c>
    </row>
    <row r="305" spans="1:40">
      <c r="A305" s="18" t="str">
        <f>IF(Volcanic!A305="","",Volcanic!A305)</f>
        <v>6/1983</v>
      </c>
      <c r="B305" s="18">
        <f>IF(ISNUMBER(Volcanic!L305),Volcanic!L305,"")</f>
        <v>1983.4583333333333</v>
      </c>
      <c r="C305" s="18">
        <f>IF(ISNUMBER(Volcanic!J305),Volcanic!J305,"")</f>
        <v>-9.7864359850086569E-2</v>
      </c>
      <c r="D305" s="18">
        <f t="shared" si="122"/>
        <v>9.5774329288672352E-3</v>
      </c>
      <c r="E305" s="18">
        <f>IF(ISNUMBER(Volcanic!C305),Volcanic!C305,"")</f>
        <v>0.30434415013981614</v>
      </c>
      <c r="F305" s="18">
        <f>IF(ISNUMBER(Volcanic!D305),Volcanic!D305,"")</f>
        <v>1.52</v>
      </c>
      <c r="G305" s="18">
        <f>IF(ISNUMBER(Volcanic!E305),Volcanic!E305,"")</f>
        <v>3.771E-2</v>
      </c>
      <c r="H305" s="18">
        <f t="shared" si="123"/>
        <v>9.2625361724326949E-2</v>
      </c>
      <c r="I305" s="18">
        <f t="shared" si="124"/>
        <v>2.3104</v>
      </c>
      <c r="J305" s="18">
        <f t="shared" si="125"/>
        <v>1.4220440999999999E-3</v>
      </c>
      <c r="K305" s="18">
        <f t="shared" si="126"/>
        <v>0.46260310821252054</v>
      </c>
      <c r="L305" s="18">
        <f t="shared" si="127"/>
        <v>1.1476817901772466E-2</v>
      </c>
      <c r="M305" s="18">
        <f t="shared" si="128"/>
        <v>5.7319200000000001E-2</v>
      </c>
      <c r="N305" s="18">
        <f t="shared" si="130"/>
        <v>1.6617468127099063E-3</v>
      </c>
      <c r="O305" s="18">
        <f t="shared" si="133"/>
        <v>1.4027792062584706E-2</v>
      </c>
      <c r="P305" s="18">
        <f t="shared" si="135"/>
        <v>1.9102771382731483E-3</v>
      </c>
      <c r="Q305" s="18">
        <f t="shared" si="137"/>
        <v>4.3165794487833838E-3</v>
      </c>
      <c r="R305" s="18">
        <f t="shared" si="139"/>
        <v>3.8778944874855559E-2</v>
      </c>
      <c r="S305" s="18">
        <f t="shared" si="141"/>
        <v>1.7911554206457205E-2</v>
      </c>
      <c r="T305" s="18">
        <f t="shared" si="143"/>
        <v>4.0434614909307864E-3</v>
      </c>
      <c r="U305" s="18">
        <f t="shared" si="145"/>
        <v>1.2265067297284172E-2</v>
      </c>
      <c r="V305" s="18">
        <f t="shared" si="146"/>
        <v>9.2912264198864603E-3</v>
      </c>
      <c r="W305" s="18">
        <f t="shared" si="147"/>
        <v>4.8561784531361944E-2</v>
      </c>
      <c r="X305" s="18">
        <f t="shared" si="148"/>
        <v>1.0986749300229446E-2</v>
      </c>
      <c r="Y305" s="18">
        <f t="shared" si="149"/>
        <v>3.0381985768712948E-2</v>
      </c>
      <c r="AA305" s="18">
        <f t="shared" si="131"/>
        <v>-7.7367863450730434E-2</v>
      </c>
      <c r="AB305" s="18">
        <f t="shared" si="132"/>
        <v>5.9857862949308704E-3</v>
      </c>
      <c r="AC305" s="18">
        <f t="shared" si="134"/>
        <v>3.529459470817312E-4</v>
      </c>
      <c r="AD305" s="18">
        <f t="shared" si="136"/>
        <v>1.9716320462300065E-2</v>
      </c>
      <c r="AE305" s="18">
        <f t="shared" si="138"/>
        <v>1.1389730223336416E-4</v>
      </c>
      <c r="AF305" s="18">
        <f t="shared" si="140"/>
        <v>1.1097558513331943E-3</v>
      </c>
      <c r="AG305" s="18">
        <f t="shared" si="142"/>
        <v>1.6804362281667626E-2</v>
      </c>
      <c r="AH305" s="18">
        <f t="shared" si="144"/>
        <v>2.7491746774008664E-2</v>
      </c>
      <c r="AJ305" s="18">
        <f>IF(ISNUMBER(Kernel!M305),Kernel!M305,"")</f>
        <v>-0.10486234482011192</v>
      </c>
      <c r="AK305" s="18">
        <f t="shared" si="129"/>
        <v>1.0996111361172053E-2</v>
      </c>
      <c r="AN305" s="18">
        <f>IF(ISNUMBER(Volcanic!G305),Volcanic!G305,"")</f>
        <v>5.2319999999999998E-2</v>
      </c>
    </row>
    <row r="306" spans="1:40">
      <c r="A306" s="18" t="str">
        <f>IF(Volcanic!A306="","",Volcanic!A306)</f>
        <v>7/1983</v>
      </c>
      <c r="B306" s="18">
        <f>IF(ISNUMBER(Volcanic!L306),Volcanic!L306,"")</f>
        <v>1983.5416666666667</v>
      </c>
      <c r="C306" s="18">
        <f>IF(ISNUMBER(Volcanic!J306),Volcanic!J306,"")</f>
        <v>-6.9106318403611422E-2</v>
      </c>
      <c r="D306" s="18">
        <f t="shared" si="122"/>
        <v>4.7756832433013229E-3</v>
      </c>
      <c r="E306" s="18">
        <f>IF(ISNUMBER(Volcanic!C306),Volcanic!C306,"")</f>
        <v>0.29832315583693308</v>
      </c>
      <c r="F306" s="18">
        <f>IF(ISNUMBER(Volcanic!D306),Volcanic!D306,"")</f>
        <v>1.23</v>
      </c>
      <c r="G306" s="18">
        <f>IF(ISNUMBER(Volcanic!E306),Volcanic!E306,"")</f>
        <v>5.3809999999999997E-2</v>
      </c>
      <c r="H306" s="18">
        <f t="shared" si="123"/>
        <v>8.8996705308507063E-2</v>
      </c>
      <c r="I306" s="18">
        <f t="shared" si="124"/>
        <v>1.5128999999999999</v>
      </c>
      <c r="J306" s="18">
        <f t="shared" si="125"/>
        <v>2.8955160999999995E-3</v>
      </c>
      <c r="K306" s="18">
        <f t="shared" si="126"/>
        <v>0.36693748167942769</v>
      </c>
      <c r="L306" s="18">
        <f t="shared" si="127"/>
        <v>1.6052769015585368E-2</v>
      </c>
      <c r="M306" s="18">
        <f t="shared" si="128"/>
        <v>6.618629999999999E-2</v>
      </c>
      <c r="N306" s="18">
        <f t="shared" si="130"/>
        <v>9.5774329288672352E-3</v>
      </c>
      <c r="O306" s="18">
        <f t="shared" si="133"/>
        <v>1.6617468127099063E-3</v>
      </c>
      <c r="P306" s="18">
        <f t="shared" si="135"/>
        <v>1.4027792062584706E-2</v>
      </c>
      <c r="Q306" s="18">
        <f t="shared" si="137"/>
        <v>1.9102771382731483E-3</v>
      </c>
      <c r="R306" s="18">
        <f t="shared" si="139"/>
        <v>4.3165794487833838E-3</v>
      </c>
      <c r="S306" s="18">
        <f t="shared" si="141"/>
        <v>3.8778944874855559E-2</v>
      </c>
      <c r="T306" s="18">
        <f t="shared" si="143"/>
        <v>1.7911554206457205E-2</v>
      </c>
      <c r="U306" s="18">
        <f t="shared" si="145"/>
        <v>4.0434614909307864E-3</v>
      </c>
      <c r="V306" s="18">
        <f t="shared" si="146"/>
        <v>1.2265067297284172E-2</v>
      </c>
      <c r="W306" s="18">
        <f t="shared" si="147"/>
        <v>9.2912264198864603E-3</v>
      </c>
      <c r="X306" s="18">
        <f t="shared" si="148"/>
        <v>4.8561784531361944E-2</v>
      </c>
      <c r="Y306" s="18">
        <f t="shared" si="149"/>
        <v>1.0986749300229446E-2</v>
      </c>
      <c r="AA306" s="18">
        <f t="shared" si="131"/>
        <v>-1.9899899105503771E-2</v>
      </c>
      <c r="AB306" s="18">
        <f t="shared" si="132"/>
        <v>3.9600598440922981E-4</v>
      </c>
      <c r="AC306" s="18">
        <f t="shared" si="134"/>
        <v>5.9857862949308704E-3</v>
      </c>
      <c r="AD306" s="18">
        <f t="shared" si="136"/>
        <v>3.529459470817312E-4</v>
      </c>
      <c r="AE306" s="18">
        <f t="shared" si="138"/>
        <v>1.9716320462300065E-2</v>
      </c>
      <c r="AF306" s="18">
        <f t="shared" si="140"/>
        <v>1.1389730223336416E-4</v>
      </c>
      <c r="AG306" s="18">
        <f t="shared" si="142"/>
        <v>1.1097558513331943E-3</v>
      </c>
      <c r="AH306" s="18">
        <f t="shared" si="144"/>
        <v>1.6804362281667626E-2</v>
      </c>
      <c r="AJ306" s="18">
        <f>IF(ISNUMBER(Kernel!M306),Kernel!M306,"")</f>
        <v>-0.11446108428298019</v>
      </c>
      <c r="AK306" s="18">
        <f t="shared" si="129"/>
        <v>1.3101339815235494E-2</v>
      </c>
      <c r="AN306" s="18">
        <f>IF(ISNUMBER(Volcanic!G306),Volcanic!G306,"")</f>
        <v>4.7759999999999997E-2</v>
      </c>
    </row>
    <row r="307" spans="1:40">
      <c r="A307" s="18" t="str">
        <f>IF(Volcanic!A307="","",Volcanic!A307)</f>
        <v>8/1983</v>
      </c>
      <c r="B307" s="18">
        <f>IF(ISNUMBER(Volcanic!L307),Volcanic!L307,"")</f>
        <v>1983.625</v>
      </c>
      <c r="C307" s="18">
        <f>IF(ISNUMBER(Volcanic!J307),Volcanic!J307,"")</f>
        <v>0.16575658947016852</v>
      </c>
      <c r="D307" s="18">
        <f t="shared" si="122"/>
        <v>2.7475246952781984E-2</v>
      </c>
      <c r="E307" s="18">
        <f>IF(ISNUMBER(Volcanic!C307),Volcanic!C307,"")</f>
        <v>0.29071928277095344</v>
      </c>
      <c r="F307" s="18">
        <f>IF(ISNUMBER(Volcanic!D307),Volcanic!D307,"")</f>
        <v>0.95</v>
      </c>
      <c r="G307" s="18">
        <f>IF(ISNUMBER(Volcanic!E307),Volcanic!E307,"")</f>
        <v>5.7509999999999999E-2</v>
      </c>
      <c r="H307" s="18">
        <f t="shared" si="123"/>
        <v>8.4517701374857576E-2</v>
      </c>
      <c r="I307" s="18">
        <f t="shared" si="124"/>
        <v>0.90249999999999997</v>
      </c>
      <c r="J307" s="18">
        <f t="shared" si="125"/>
        <v>3.3074000999999999E-3</v>
      </c>
      <c r="K307" s="18">
        <f t="shared" si="126"/>
        <v>0.27618331863240575</v>
      </c>
      <c r="L307" s="18">
        <f t="shared" si="127"/>
        <v>1.671926595215753E-2</v>
      </c>
      <c r="M307" s="18">
        <f t="shared" si="128"/>
        <v>5.4634499999999996E-2</v>
      </c>
      <c r="N307" s="18">
        <f t="shared" si="130"/>
        <v>4.7756832433013229E-3</v>
      </c>
      <c r="O307" s="18">
        <f t="shared" si="133"/>
        <v>9.5774329288672352E-3</v>
      </c>
      <c r="P307" s="18">
        <f t="shared" si="135"/>
        <v>1.6617468127099063E-3</v>
      </c>
      <c r="Q307" s="18">
        <f t="shared" si="137"/>
        <v>1.4027792062584706E-2</v>
      </c>
      <c r="R307" s="18">
        <f t="shared" si="139"/>
        <v>1.9102771382731483E-3</v>
      </c>
      <c r="S307" s="18">
        <f t="shared" si="141"/>
        <v>4.3165794487833838E-3</v>
      </c>
      <c r="T307" s="18">
        <f t="shared" si="143"/>
        <v>3.8778944874855559E-2</v>
      </c>
      <c r="U307" s="18">
        <f t="shared" si="145"/>
        <v>1.7911554206457205E-2</v>
      </c>
      <c r="V307" s="18">
        <f t="shared" si="146"/>
        <v>4.0434614909307864E-3</v>
      </c>
      <c r="W307" s="18">
        <f t="shared" si="147"/>
        <v>1.2265067297284172E-2</v>
      </c>
      <c r="X307" s="18">
        <f t="shared" si="148"/>
        <v>9.2912264198864603E-3</v>
      </c>
      <c r="Y307" s="18">
        <f t="shared" si="149"/>
        <v>4.8561784531361944E-2</v>
      </c>
      <c r="AA307" s="18">
        <f t="shared" si="131"/>
        <v>0.20050340112586884</v>
      </c>
      <c r="AB307" s="18">
        <f t="shared" si="132"/>
        <v>4.0201613863041059E-2</v>
      </c>
      <c r="AC307" s="18">
        <f t="shared" si="134"/>
        <v>3.9600598440922981E-4</v>
      </c>
      <c r="AD307" s="18">
        <f t="shared" si="136"/>
        <v>5.9857862949308704E-3</v>
      </c>
      <c r="AE307" s="18">
        <f t="shared" si="138"/>
        <v>3.529459470817312E-4</v>
      </c>
      <c r="AF307" s="18">
        <f t="shared" si="140"/>
        <v>1.9716320462300065E-2</v>
      </c>
      <c r="AG307" s="18">
        <f t="shared" si="142"/>
        <v>1.1389730223336416E-4</v>
      </c>
      <c r="AH307" s="18">
        <f t="shared" si="144"/>
        <v>1.1097558513331943E-3</v>
      </c>
      <c r="AJ307" s="18">
        <f>IF(ISNUMBER(Kernel!M307),Kernel!M307,"")</f>
        <v>0.11182449684959822</v>
      </c>
      <c r="AK307" s="18">
        <f t="shared" si="129"/>
        <v>1.2504718095665803E-2</v>
      </c>
      <c r="AN307" s="18">
        <f>IF(ISNUMBER(Volcanic!G307),Volcanic!G307,"")</f>
        <v>4.1610000000000001E-2</v>
      </c>
    </row>
    <row r="308" spans="1:40">
      <c r="A308" s="18" t="str">
        <f>IF(Volcanic!A308="","",Volcanic!A308)</f>
        <v>9/1983</v>
      </c>
      <c r="B308" s="18">
        <f>IF(ISNUMBER(Volcanic!L308),Volcanic!L308,"")</f>
        <v>1983.7083333333333</v>
      </c>
      <c r="C308" s="18">
        <f>IF(ISNUMBER(Volcanic!J308),Volcanic!J308,"")</f>
        <v>0.22868042673007458</v>
      </c>
      <c r="D308" s="18">
        <f t="shared" si="122"/>
        <v>5.229473756944901E-2</v>
      </c>
      <c r="E308" s="18">
        <f>IF(ISNUMBER(Volcanic!C308),Volcanic!C308,"")</f>
        <v>0.28205848151793295</v>
      </c>
      <c r="F308" s="18">
        <f>IF(ISNUMBER(Volcanic!D308),Volcanic!D308,"")</f>
        <v>0.62</v>
      </c>
      <c r="G308" s="18">
        <f>IF(ISNUMBER(Volcanic!E308),Volcanic!E308,"")</f>
        <v>5.6910000000000002E-2</v>
      </c>
      <c r="H308" s="18">
        <f t="shared" si="123"/>
        <v>7.9556986996202117E-2</v>
      </c>
      <c r="I308" s="18">
        <f t="shared" si="124"/>
        <v>0.38440000000000002</v>
      </c>
      <c r="J308" s="18">
        <f t="shared" si="125"/>
        <v>3.2387481000000001E-3</v>
      </c>
      <c r="K308" s="18">
        <f t="shared" si="126"/>
        <v>0.17487625854111843</v>
      </c>
      <c r="L308" s="18">
        <f t="shared" si="127"/>
        <v>1.6051948183185564E-2</v>
      </c>
      <c r="M308" s="18">
        <f t="shared" si="128"/>
        <v>3.5284200000000002E-2</v>
      </c>
      <c r="N308" s="18">
        <f t="shared" si="130"/>
        <v>2.7475246952781984E-2</v>
      </c>
      <c r="O308" s="18">
        <f t="shared" si="133"/>
        <v>4.7756832433013229E-3</v>
      </c>
      <c r="P308" s="18">
        <f t="shared" si="135"/>
        <v>9.5774329288672352E-3</v>
      </c>
      <c r="Q308" s="18">
        <f t="shared" si="137"/>
        <v>1.6617468127099063E-3</v>
      </c>
      <c r="R308" s="18">
        <f t="shared" si="139"/>
        <v>1.4027792062584706E-2</v>
      </c>
      <c r="S308" s="18">
        <f t="shared" si="141"/>
        <v>1.9102771382731483E-3</v>
      </c>
      <c r="T308" s="18">
        <f t="shared" si="143"/>
        <v>4.3165794487833838E-3</v>
      </c>
      <c r="U308" s="18">
        <f t="shared" si="145"/>
        <v>3.8778944874855559E-2</v>
      </c>
      <c r="V308" s="18">
        <f t="shared" si="146"/>
        <v>1.7911554206457205E-2</v>
      </c>
      <c r="W308" s="18">
        <f t="shared" si="147"/>
        <v>4.0434614909307864E-3</v>
      </c>
      <c r="X308" s="18">
        <f t="shared" si="148"/>
        <v>1.2265067297284172E-2</v>
      </c>
      <c r="Y308" s="18">
        <f t="shared" si="149"/>
        <v>9.2912264198864603E-3</v>
      </c>
      <c r="AA308" s="18">
        <f t="shared" si="131"/>
        <v>0.14533764233555535</v>
      </c>
      <c r="AB308" s="18">
        <f t="shared" si="132"/>
        <v>2.1123030279657812E-2</v>
      </c>
      <c r="AC308" s="18">
        <f t="shared" si="134"/>
        <v>4.0201613863041059E-2</v>
      </c>
      <c r="AD308" s="18">
        <f t="shared" si="136"/>
        <v>3.9600598440922981E-4</v>
      </c>
      <c r="AE308" s="18">
        <f t="shared" si="138"/>
        <v>5.9857862949308704E-3</v>
      </c>
      <c r="AF308" s="18">
        <f t="shared" si="140"/>
        <v>3.529459470817312E-4</v>
      </c>
      <c r="AG308" s="18">
        <f t="shared" si="142"/>
        <v>1.9716320462300065E-2</v>
      </c>
      <c r="AH308" s="18">
        <f t="shared" si="144"/>
        <v>1.1389730223336416E-4</v>
      </c>
      <c r="AJ308" s="18">
        <f>IF(ISNUMBER(Kernel!M308),Kernel!M308,"")</f>
        <v>0.17432593250397477</v>
      </c>
      <c r="AK308" s="18">
        <f t="shared" si="129"/>
        <v>3.0389530743380366E-2</v>
      </c>
      <c r="AN308" s="18">
        <f>IF(ISNUMBER(Volcanic!G308),Volcanic!G308,"")</f>
        <v>3.857E-2</v>
      </c>
    </row>
    <row r="309" spans="1:40">
      <c r="A309" s="18" t="str">
        <f>IF(Volcanic!A309="","",Volcanic!A309)</f>
        <v>10/1983</v>
      </c>
      <c r="B309" s="18">
        <f>IF(ISNUMBER(Volcanic!L309),Volcanic!L309,"")</f>
        <v>1983.7916666666667</v>
      </c>
      <c r="C309" s="18">
        <f>IF(ISNUMBER(Volcanic!J309),Volcanic!J309,"")</f>
        <v>6.2161638255993468E-2</v>
      </c>
      <c r="D309" s="18">
        <f t="shared" si="122"/>
        <v>3.8640692706689906E-3</v>
      </c>
      <c r="E309" s="18">
        <f>IF(ISNUMBER(Volcanic!C309),Volcanic!C309,"")</f>
        <v>0.28235507516311997</v>
      </c>
      <c r="F309" s="18">
        <f>IF(ISNUMBER(Volcanic!D309),Volcanic!D309,"")</f>
        <v>0.25</v>
      </c>
      <c r="G309" s="18">
        <f>IF(ISNUMBER(Volcanic!E309),Volcanic!E309,"")</f>
        <v>5.6890000000000003E-2</v>
      </c>
      <c r="H309" s="18">
        <f t="shared" si="123"/>
        <v>7.9724388470371124E-2</v>
      </c>
      <c r="I309" s="18">
        <f t="shared" si="124"/>
        <v>6.25E-2</v>
      </c>
      <c r="J309" s="18">
        <f t="shared" si="125"/>
        <v>3.2364721000000003E-3</v>
      </c>
      <c r="K309" s="18">
        <f t="shared" si="126"/>
        <v>7.0588768790779993E-2</v>
      </c>
      <c r="L309" s="18">
        <f t="shared" si="127"/>
        <v>1.6063180226029896E-2</v>
      </c>
      <c r="M309" s="18">
        <f t="shared" si="128"/>
        <v>1.4222500000000001E-2</v>
      </c>
      <c r="N309" s="18">
        <f t="shared" si="130"/>
        <v>5.229473756944901E-2</v>
      </c>
      <c r="O309" s="18">
        <f t="shared" si="133"/>
        <v>2.7475246952781984E-2</v>
      </c>
      <c r="P309" s="18">
        <f t="shared" si="135"/>
        <v>4.7756832433013229E-3</v>
      </c>
      <c r="Q309" s="18">
        <f t="shared" si="137"/>
        <v>9.5774329288672352E-3</v>
      </c>
      <c r="R309" s="18">
        <f t="shared" si="139"/>
        <v>1.6617468127099063E-3</v>
      </c>
      <c r="S309" s="18">
        <f t="shared" si="141"/>
        <v>1.4027792062584706E-2</v>
      </c>
      <c r="T309" s="18">
        <f t="shared" si="143"/>
        <v>1.9102771382731483E-3</v>
      </c>
      <c r="U309" s="18">
        <f t="shared" si="145"/>
        <v>4.3165794487833838E-3</v>
      </c>
      <c r="V309" s="18">
        <f t="shared" si="146"/>
        <v>3.8778944874855559E-2</v>
      </c>
      <c r="W309" s="18">
        <f t="shared" si="147"/>
        <v>1.7911554206457205E-2</v>
      </c>
      <c r="X309" s="18">
        <f t="shared" si="148"/>
        <v>4.0434614909307864E-3</v>
      </c>
      <c r="Y309" s="18">
        <f t="shared" si="149"/>
        <v>1.2265067297284172E-2</v>
      </c>
      <c r="AA309" s="18">
        <f t="shared" si="131"/>
        <v>-5.2819392429615017E-2</v>
      </c>
      <c r="AB309" s="18">
        <f t="shared" si="132"/>
        <v>2.7898882166336723E-3</v>
      </c>
      <c r="AC309" s="18">
        <f t="shared" si="134"/>
        <v>2.1123030279657812E-2</v>
      </c>
      <c r="AD309" s="18">
        <f t="shared" si="136"/>
        <v>4.0201613863041059E-2</v>
      </c>
      <c r="AE309" s="18">
        <f t="shared" si="138"/>
        <v>3.9600598440922981E-4</v>
      </c>
      <c r="AF309" s="18">
        <f t="shared" si="140"/>
        <v>5.9857862949308704E-3</v>
      </c>
      <c r="AG309" s="18">
        <f t="shared" si="142"/>
        <v>3.529459470817312E-4</v>
      </c>
      <c r="AH309" s="18">
        <f t="shared" si="144"/>
        <v>1.9716320462300065E-2</v>
      </c>
      <c r="AJ309" s="18">
        <f>IF(ISNUMBER(Kernel!M309),Kernel!M309,"")</f>
        <v>4.2694037923743933E-3</v>
      </c>
      <c r="AK309" s="18">
        <f t="shared" si="129"/>
        <v>1.8227808742340851E-5</v>
      </c>
      <c r="AN309" s="18">
        <f>IF(ISNUMBER(Volcanic!G309),Volcanic!G309,"")</f>
        <v>3.4639999999999997E-2</v>
      </c>
    </row>
    <row r="310" spans="1:40">
      <c r="A310" s="18" t="str">
        <f>IF(Volcanic!A310="","",Volcanic!A310)</f>
        <v>11/1983</v>
      </c>
      <c r="B310" s="18">
        <f>IF(ISNUMBER(Volcanic!L310),Volcanic!L310,"")</f>
        <v>1983.875</v>
      </c>
      <c r="C310" s="18">
        <f>IF(ISNUMBER(Volcanic!J310),Volcanic!J310,"")</f>
        <v>0.20751776946415454</v>
      </c>
      <c r="D310" s="18">
        <f t="shared" si="122"/>
        <v>4.3063624643377992E-2</v>
      </c>
      <c r="E310" s="18">
        <f>IF(ISNUMBER(Volcanic!C310),Volcanic!C310,"")</f>
        <v>0.28768336047734855</v>
      </c>
      <c r="F310" s="18">
        <f>IF(ISNUMBER(Volcanic!D310),Volcanic!D310,"")</f>
        <v>-0.06</v>
      </c>
      <c r="G310" s="18">
        <f>IF(ISNUMBER(Volcanic!E310),Volcanic!E310,"")</f>
        <v>5.74E-2</v>
      </c>
      <c r="H310" s="18">
        <f t="shared" si="123"/>
        <v>8.2761715895540072E-2</v>
      </c>
      <c r="I310" s="18">
        <f t="shared" si="124"/>
        <v>3.5999999999999999E-3</v>
      </c>
      <c r="J310" s="18">
        <f t="shared" si="125"/>
        <v>3.2947599999999999E-3</v>
      </c>
      <c r="K310" s="18">
        <f t="shared" si="126"/>
        <v>-1.7261001628640912E-2</v>
      </c>
      <c r="L310" s="18">
        <f t="shared" si="127"/>
        <v>1.6513024891399806E-2</v>
      </c>
      <c r="M310" s="18">
        <f t="shared" si="128"/>
        <v>-3.444E-3</v>
      </c>
      <c r="N310" s="18">
        <f t="shared" si="130"/>
        <v>3.8640692706689906E-3</v>
      </c>
      <c r="O310" s="18">
        <f t="shared" si="133"/>
        <v>5.229473756944901E-2</v>
      </c>
      <c r="P310" s="18">
        <f t="shared" si="135"/>
        <v>2.7475246952781984E-2</v>
      </c>
      <c r="Q310" s="18">
        <f t="shared" si="137"/>
        <v>4.7756832433013229E-3</v>
      </c>
      <c r="R310" s="18">
        <f t="shared" si="139"/>
        <v>9.5774329288672352E-3</v>
      </c>
      <c r="S310" s="18">
        <f t="shared" si="141"/>
        <v>1.6617468127099063E-3</v>
      </c>
      <c r="T310" s="18">
        <f t="shared" si="143"/>
        <v>1.4027792062584706E-2</v>
      </c>
      <c r="U310" s="18">
        <f t="shared" si="145"/>
        <v>1.9102771382731483E-3</v>
      </c>
      <c r="V310" s="18">
        <f t="shared" si="146"/>
        <v>4.3165794487833838E-3</v>
      </c>
      <c r="W310" s="18">
        <f t="shared" si="147"/>
        <v>3.8778944874855559E-2</v>
      </c>
      <c r="X310" s="18">
        <f t="shared" si="148"/>
        <v>1.7911554206457205E-2</v>
      </c>
      <c r="Y310" s="18">
        <f t="shared" si="149"/>
        <v>4.0434614909307864E-3</v>
      </c>
      <c r="AA310" s="18">
        <f t="shared" si="131"/>
        <v>0.17626275853916357</v>
      </c>
      <c r="AB310" s="18">
        <f t="shared" si="132"/>
        <v>3.1068560047835477E-2</v>
      </c>
      <c r="AC310" s="18">
        <f t="shared" si="134"/>
        <v>2.7898882166336723E-3</v>
      </c>
      <c r="AD310" s="18">
        <f t="shared" si="136"/>
        <v>2.1123030279657812E-2</v>
      </c>
      <c r="AE310" s="18">
        <f t="shared" si="138"/>
        <v>4.0201613863041059E-2</v>
      </c>
      <c r="AF310" s="18">
        <f t="shared" si="140"/>
        <v>3.9600598440922981E-4</v>
      </c>
      <c r="AG310" s="18">
        <f t="shared" si="142"/>
        <v>5.9857862949308704E-3</v>
      </c>
      <c r="AH310" s="18">
        <f t="shared" si="144"/>
        <v>3.529459470817312E-4</v>
      </c>
      <c r="AJ310" s="18">
        <f>IF(ISNUMBER(Kernel!M310),Kernel!M310,"")</f>
        <v>0.15012844574601103</v>
      </c>
      <c r="AK310" s="18">
        <f t="shared" si="129"/>
        <v>2.2538550222112978E-2</v>
      </c>
      <c r="AN310" s="18">
        <f>IF(ISNUMBER(Volcanic!G310),Volcanic!G310,"")</f>
        <v>3.4439999999999998E-2</v>
      </c>
    </row>
    <row r="311" spans="1:40">
      <c r="A311" s="18" t="str">
        <f>IF(Volcanic!A311="","",Volcanic!A311)</f>
        <v>12/1983</v>
      </c>
      <c r="B311" s="18">
        <f>IF(ISNUMBER(Volcanic!L311),Volcanic!L311,"")</f>
        <v>1983.9583333333333</v>
      </c>
      <c r="C311" s="18">
        <f>IF(ISNUMBER(Volcanic!J311),Volcanic!J311,"")</f>
        <v>8.9689792287674153E-2</v>
      </c>
      <c r="D311" s="18">
        <f t="shared" si="122"/>
        <v>8.0442588406061336E-3</v>
      </c>
      <c r="E311" s="18">
        <f>IF(ISNUMBER(Volcanic!C311),Volcanic!C311,"")</f>
        <v>0.29362272566721687</v>
      </c>
      <c r="F311" s="18">
        <f>IF(ISNUMBER(Volcanic!D311),Volcanic!D311,"")</f>
        <v>-0.43</v>
      </c>
      <c r="G311" s="18">
        <f>IF(ISNUMBER(Volcanic!E311),Volcanic!E311,"")</f>
        <v>5.4690000000000003E-2</v>
      </c>
      <c r="H311" s="18">
        <f t="shared" si="123"/>
        <v>8.6214305028245689E-2</v>
      </c>
      <c r="I311" s="18">
        <f t="shared" si="124"/>
        <v>0.18489999999999998</v>
      </c>
      <c r="J311" s="18">
        <f t="shared" si="125"/>
        <v>2.9909961000000001E-3</v>
      </c>
      <c r="K311" s="18">
        <f t="shared" si="126"/>
        <v>-0.12625777203690325</v>
      </c>
      <c r="L311" s="18">
        <f t="shared" si="127"/>
        <v>1.6058226866740091E-2</v>
      </c>
      <c r="M311" s="18">
        <f t="shared" si="128"/>
        <v>-2.3516700000000001E-2</v>
      </c>
      <c r="N311" s="18">
        <f t="shared" si="130"/>
        <v>4.3063624643377992E-2</v>
      </c>
      <c r="O311" s="18">
        <f t="shared" si="133"/>
        <v>3.8640692706689906E-3</v>
      </c>
      <c r="P311" s="18">
        <f t="shared" si="135"/>
        <v>5.229473756944901E-2</v>
      </c>
      <c r="Q311" s="18">
        <f t="shared" si="137"/>
        <v>2.7475246952781984E-2</v>
      </c>
      <c r="R311" s="18">
        <f t="shared" si="139"/>
        <v>4.7756832433013229E-3</v>
      </c>
      <c r="S311" s="18">
        <f t="shared" si="141"/>
        <v>9.5774329288672352E-3</v>
      </c>
      <c r="T311" s="18">
        <f t="shared" si="143"/>
        <v>1.6617468127099063E-3</v>
      </c>
      <c r="U311" s="18">
        <f t="shared" si="145"/>
        <v>1.4027792062584706E-2</v>
      </c>
      <c r="V311" s="18">
        <f t="shared" si="146"/>
        <v>1.9102771382731483E-3</v>
      </c>
      <c r="W311" s="18">
        <f t="shared" si="147"/>
        <v>4.3165794487833838E-3</v>
      </c>
      <c r="X311" s="18">
        <f t="shared" si="148"/>
        <v>3.8778944874855559E-2</v>
      </c>
      <c r="Y311" s="18">
        <f t="shared" si="149"/>
        <v>1.7911554206457205E-2</v>
      </c>
      <c r="AA311" s="18">
        <f t="shared" si="131"/>
        <v>-1.4650606931237167E-2</v>
      </c>
      <c r="AB311" s="18">
        <f t="shared" si="132"/>
        <v>2.1464028345361452E-4</v>
      </c>
      <c r="AC311" s="18">
        <f t="shared" si="134"/>
        <v>3.1068560047835477E-2</v>
      </c>
      <c r="AD311" s="18">
        <f t="shared" si="136"/>
        <v>2.7898882166336723E-3</v>
      </c>
      <c r="AE311" s="18">
        <f t="shared" si="138"/>
        <v>2.1123030279657812E-2</v>
      </c>
      <c r="AF311" s="18">
        <f t="shared" si="140"/>
        <v>4.0201613863041059E-2</v>
      </c>
      <c r="AG311" s="18">
        <f t="shared" si="142"/>
        <v>3.9600598440922981E-4</v>
      </c>
      <c r="AH311" s="18">
        <f t="shared" si="144"/>
        <v>5.9857862949308704E-3</v>
      </c>
      <c r="AJ311" s="18">
        <f>IF(ISNUMBER(Kernel!M311),Kernel!M311,"")</f>
        <v>2.8834044054688313E-2</v>
      </c>
      <c r="AK311" s="18">
        <f t="shared" si="129"/>
        <v>8.3140209654770643E-4</v>
      </c>
      <c r="AN311" s="18">
        <f>IF(ISNUMBER(Volcanic!G311),Volcanic!G311,"")</f>
        <v>3.7019999999999997E-2</v>
      </c>
    </row>
    <row r="312" spans="1:40">
      <c r="A312" s="18" t="str">
        <f>IF(Volcanic!A312="","",Volcanic!A312)</f>
        <v>1/1984</v>
      </c>
      <c r="B312" s="18">
        <f>IF(ISNUMBER(Volcanic!L312),Volcanic!L312,"")</f>
        <v>1984.0416666666667</v>
      </c>
      <c r="C312" s="18">
        <f>IF(ISNUMBER(Volcanic!J312),Volcanic!J312,"")</f>
        <v>0.24353450410241295</v>
      </c>
      <c r="D312" s="18">
        <f t="shared" si="122"/>
        <v>5.9309054688408192E-2</v>
      </c>
      <c r="E312" s="18">
        <f>IF(ISNUMBER(Volcanic!C312),Volcanic!C312,"")</f>
        <v>0.29786218403948628</v>
      </c>
      <c r="F312" s="18">
        <f>IF(ISNUMBER(Volcanic!D312),Volcanic!D312,"")</f>
        <v>-0.76</v>
      </c>
      <c r="G312" s="18">
        <f>IF(ISNUMBER(Volcanic!E312),Volcanic!E312,"")</f>
        <v>5.2319999999999998E-2</v>
      </c>
      <c r="H312" s="18">
        <f t="shared" si="123"/>
        <v>8.8721880680772788E-2</v>
      </c>
      <c r="I312" s="18">
        <f t="shared" si="124"/>
        <v>0.5776</v>
      </c>
      <c r="J312" s="18">
        <f t="shared" si="125"/>
        <v>2.7373823999999997E-3</v>
      </c>
      <c r="K312" s="18">
        <f t="shared" si="126"/>
        <v>-0.22637525987000956</v>
      </c>
      <c r="L312" s="18">
        <f t="shared" si="127"/>
        <v>1.5584149468945922E-2</v>
      </c>
      <c r="M312" s="18">
        <f t="shared" si="128"/>
        <v>-3.9763199999999999E-2</v>
      </c>
      <c r="N312" s="18">
        <f t="shared" si="130"/>
        <v>8.0442588406061336E-3</v>
      </c>
      <c r="O312" s="18">
        <f t="shared" si="133"/>
        <v>4.3063624643377992E-2</v>
      </c>
      <c r="P312" s="18">
        <f t="shared" si="135"/>
        <v>3.8640692706689906E-3</v>
      </c>
      <c r="Q312" s="18">
        <f t="shared" si="137"/>
        <v>5.229473756944901E-2</v>
      </c>
      <c r="R312" s="18">
        <f t="shared" si="139"/>
        <v>2.7475246952781984E-2</v>
      </c>
      <c r="S312" s="18">
        <f t="shared" si="141"/>
        <v>4.7756832433013229E-3</v>
      </c>
      <c r="T312" s="18">
        <f t="shared" si="143"/>
        <v>9.5774329288672352E-3</v>
      </c>
      <c r="U312" s="18">
        <f t="shared" si="145"/>
        <v>1.6617468127099063E-3</v>
      </c>
      <c r="V312" s="18">
        <f t="shared" si="146"/>
        <v>1.4027792062584706E-2</v>
      </c>
      <c r="W312" s="18">
        <f t="shared" si="147"/>
        <v>1.9102771382731483E-3</v>
      </c>
      <c r="X312" s="18">
        <f t="shared" si="148"/>
        <v>4.3165794487833838E-3</v>
      </c>
      <c r="Y312" s="18">
        <f t="shared" si="149"/>
        <v>3.8778944874855559E-2</v>
      </c>
      <c r="AA312" s="18">
        <f t="shared" si="131"/>
        <v>0.19843827568148417</v>
      </c>
      <c r="AB312" s="18">
        <f t="shared" si="132"/>
        <v>3.9377749255440714E-2</v>
      </c>
      <c r="AC312" s="18">
        <f t="shared" si="134"/>
        <v>2.1464028345361452E-4</v>
      </c>
      <c r="AD312" s="18">
        <f t="shared" si="136"/>
        <v>3.1068560047835477E-2</v>
      </c>
      <c r="AE312" s="18">
        <f t="shared" si="138"/>
        <v>2.7898882166336723E-3</v>
      </c>
      <c r="AF312" s="18">
        <f t="shared" si="140"/>
        <v>2.1123030279657812E-2</v>
      </c>
      <c r="AG312" s="18">
        <f t="shared" si="142"/>
        <v>4.0201613863041059E-2</v>
      </c>
      <c r="AH312" s="18">
        <f t="shared" si="144"/>
        <v>3.9600598440922981E-4</v>
      </c>
      <c r="AJ312" s="18">
        <f>IF(ISNUMBER(Kernel!M312),Kernel!M312,"")</f>
        <v>0.1724037762301599</v>
      </c>
      <c r="AK312" s="18">
        <f t="shared" si="129"/>
        <v>2.9723062058419049E-2</v>
      </c>
      <c r="AN312" s="18">
        <f>IF(ISNUMBER(Volcanic!G312),Volcanic!G312,"")</f>
        <v>3.5860000000000003E-2</v>
      </c>
    </row>
    <row r="313" spans="1:40">
      <c r="A313" s="18" t="str">
        <f>IF(Volcanic!A313="","",Volcanic!A313)</f>
        <v>2/1984</v>
      </c>
      <c r="B313" s="18">
        <f>IF(ISNUMBER(Volcanic!L313),Volcanic!L313,"")</f>
        <v>1984.125</v>
      </c>
      <c r="C313" s="18">
        <f>IF(ISNUMBER(Volcanic!J313),Volcanic!J313,"")</f>
        <v>7.3951880454843785E-2</v>
      </c>
      <c r="D313" s="18">
        <f t="shared" si="122"/>
        <v>5.4688806228075058E-3</v>
      </c>
      <c r="E313" s="18">
        <f>IF(ISNUMBER(Volcanic!C313),Volcanic!C313,"")</f>
        <v>0.30083495794705978</v>
      </c>
      <c r="F313" s="18">
        <f>IF(ISNUMBER(Volcanic!D313),Volcanic!D313,"")</f>
        <v>-0.96</v>
      </c>
      <c r="G313" s="18">
        <f>IF(ISNUMBER(Volcanic!E313),Volcanic!E313,"")</f>
        <v>4.7759999999999997E-2</v>
      </c>
      <c r="H313" s="18">
        <f t="shared" si="123"/>
        <v>9.050167192300923E-2</v>
      </c>
      <c r="I313" s="18">
        <f t="shared" si="124"/>
        <v>0.92159999999999997</v>
      </c>
      <c r="J313" s="18">
        <f t="shared" si="125"/>
        <v>2.2810175999999995E-3</v>
      </c>
      <c r="K313" s="18">
        <f t="shared" si="126"/>
        <v>-0.28880155962917736</v>
      </c>
      <c r="L313" s="18">
        <f t="shared" si="127"/>
        <v>1.4367877591551574E-2</v>
      </c>
      <c r="M313" s="18">
        <f t="shared" si="128"/>
        <v>-4.5849599999999997E-2</v>
      </c>
      <c r="N313" s="18">
        <f t="shared" si="130"/>
        <v>5.9309054688408192E-2</v>
      </c>
      <c r="O313" s="18">
        <f t="shared" si="133"/>
        <v>8.0442588406061336E-3</v>
      </c>
      <c r="P313" s="18">
        <f t="shared" si="135"/>
        <v>4.3063624643377992E-2</v>
      </c>
      <c r="Q313" s="18">
        <f t="shared" si="137"/>
        <v>3.8640692706689906E-3</v>
      </c>
      <c r="R313" s="18">
        <f t="shared" si="139"/>
        <v>5.229473756944901E-2</v>
      </c>
      <c r="S313" s="18">
        <f t="shared" si="141"/>
        <v>2.7475246952781984E-2</v>
      </c>
      <c r="T313" s="18">
        <f t="shared" si="143"/>
        <v>4.7756832433013229E-3</v>
      </c>
      <c r="U313" s="18">
        <f t="shared" si="145"/>
        <v>9.5774329288672352E-3</v>
      </c>
      <c r="V313" s="18">
        <f t="shared" si="146"/>
        <v>1.6617468127099063E-3</v>
      </c>
      <c r="W313" s="18">
        <f t="shared" si="147"/>
        <v>1.4027792062584706E-2</v>
      </c>
      <c r="X313" s="18">
        <f t="shared" si="148"/>
        <v>1.9102771382731483E-3</v>
      </c>
      <c r="Y313" s="18">
        <f t="shared" si="149"/>
        <v>4.3165794487833838E-3</v>
      </c>
      <c r="AA313" s="18">
        <f t="shared" si="131"/>
        <v>-4.8497813599017114E-2</v>
      </c>
      <c r="AB313" s="18">
        <f t="shared" si="132"/>
        <v>2.3520379238850093E-3</v>
      </c>
      <c r="AC313" s="18">
        <f t="shared" si="134"/>
        <v>3.9377749255440714E-2</v>
      </c>
      <c r="AD313" s="18">
        <f t="shared" si="136"/>
        <v>2.1464028345361452E-4</v>
      </c>
      <c r="AE313" s="18">
        <f t="shared" si="138"/>
        <v>3.1068560047835477E-2</v>
      </c>
      <c r="AF313" s="18">
        <f t="shared" si="140"/>
        <v>2.7898882166336723E-3</v>
      </c>
      <c r="AG313" s="18">
        <f t="shared" si="142"/>
        <v>2.1123030279657812E-2</v>
      </c>
      <c r="AH313" s="18">
        <f t="shared" si="144"/>
        <v>4.0201613863041059E-2</v>
      </c>
      <c r="AJ313" s="18">
        <f>IF(ISNUMBER(Kernel!M313),Kernel!M313,"")</f>
        <v>3.9599840567509093E-3</v>
      </c>
      <c r="AK313" s="18">
        <f t="shared" si="129"/>
        <v>1.568147372972139E-5</v>
      </c>
      <c r="AN313" s="18">
        <f>IF(ISNUMBER(Volcanic!G313),Volcanic!G313,"")</f>
        <v>3.3930000000000002E-2</v>
      </c>
    </row>
    <row r="314" spans="1:40">
      <c r="A314" s="18" t="str">
        <f>IF(Volcanic!A314="","",Volcanic!A314)</f>
        <v>3/1984</v>
      </c>
      <c r="B314" s="18">
        <f>IF(ISNUMBER(Volcanic!L314),Volcanic!L314,"")</f>
        <v>1984.2083333333333</v>
      </c>
      <c r="C314" s="18">
        <f>IF(ISNUMBER(Volcanic!J314),Volcanic!J314,"")</f>
        <v>0.16526352873331374</v>
      </c>
      <c r="D314" s="18">
        <f t="shared" si="122"/>
        <v>2.7312033929386813E-2</v>
      </c>
      <c r="E314" s="18">
        <f>IF(ISNUMBER(Volcanic!C314),Volcanic!C314,"")</f>
        <v>0.30401030887004266</v>
      </c>
      <c r="F314" s="18">
        <f>IF(ISNUMBER(Volcanic!D314),Volcanic!D314,"")</f>
        <v>-0.89</v>
      </c>
      <c r="G314" s="18">
        <f>IF(ISNUMBER(Volcanic!E314),Volcanic!E314,"")</f>
        <v>4.1610000000000001E-2</v>
      </c>
      <c r="H314" s="18">
        <f t="shared" si="123"/>
        <v>9.2422267899258739E-2</v>
      </c>
      <c r="I314" s="18">
        <f t="shared" si="124"/>
        <v>0.79210000000000003</v>
      </c>
      <c r="J314" s="18">
        <f t="shared" si="125"/>
        <v>1.7313921E-3</v>
      </c>
      <c r="K314" s="18">
        <f t="shared" si="126"/>
        <v>-0.27056917489433796</v>
      </c>
      <c r="L314" s="18">
        <f t="shared" si="127"/>
        <v>1.2649868952082475E-2</v>
      </c>
      <c r="M314" s="18">
        <f t="shared" si="128"/>
        <v>-3.7032900000000001E-2</v>
      </c>
      <c r="N314" s="18">
        <f t="shared" si="130"/>
        <v>5.4688806228075058E-3</v>
      </c>
      <c r="O314" s="18">
        <f t="shared" si="133"/>
        <v>5.9309054688408192E-2</v>
      </c>
      <c r="P314" s="18">
        <f t="shared" si="135"/>
        <v>8.0442588406061336E-3</v>
      </c>
      <c r="Q314" s="18">
        <f t="shared" si="137"/>
        <v>4.3063624643377992E-2</v>
      </c>
      <c r="R314" s="18">
        <f t="shared" si="139"/>
        <v>3.8640692706689906E-3</v>
      </c>
      <c r="S314" s="18">
        <f t="shared" si="141"/>
        <v>5.229473756944901E-2</v>
      </c>
      <c r="T314" s="18">
        <f t="shared" si="143"/>
        <v>2.7475246952781984E-2</v>
      </c>
      <c r="U314" s="18">
        <f t="shared" si="145"/>
        <v>4.7756832433013229E-3</v>
      </c>
      <c r="V314" s="18">
        <f t="shared" si="146"/>
        <v>9.5774329288672352E-3</v>
      </c>
      <c r="W314" s="18">
        <f t="shared" si="147"/>
        <v>1.6617468127099063E-3</v>
      </c>
      <c r="X314" s="18">
        <f t="shared" si="148"/>
        <v>1.4027792062584706E-2</v>
      </c>
      <c r="Y314" s="18">
        <f t="shared" si="149"/>
        <v>1.9102771382731483E-3</v>
      </c>
      <c r="AA314" s="18">
        <f t="shared" si="131"/>
        <v>0.12808035762670422</v>
      </c>
      <c r="AB314" s="18">
        <f t="shared" si="132"/>
        <v>1.6404578009784451E-2</v>
      </c>
      <c r="AC314" s="18">
        <f t="shared" si="134"/>
        <v>2.3520379238850093E-3</v>
      </c>
      <c r="AD314" s="18">
        <f t="shared" si="136"/>
        <v>3.9377749255440714E-2</v>
      </c>
      <c r="AE314" s="18">
        <f t="shared" si="138"/>
        <v>2.1464028345361452E-4</v>
      </c>
      <c r="AF314" s="18">
        <f t="shared" si="140"/>
        <v>3.1068560047835477E-2</v>
      </c>
      <c r="AG314" s="18">
        <f t="shared" si="142"/>
        <v>2.7898882166336723E-3</v>
      </c>
      <c r="AH314" s="18">
        <f t="shared" si="144"/>
        <v>2.1123030279657812E-2</v>
      </c>
      <c r="AJ314" s="18">
        <f>IF(ISNUMBER(Kernel!M314),Kernel!M314,"")</f>
        <v>0.12005298622399091</v>
      </c>
      <c r="AK314" s="18">
        <f t="shared" si="129"/>
        <v>1.4412719501297751E-2</v>
      </c>
      <c r="AN314" s="18">
        <f>IF(ISNUMBER(Volcanic!G314),Volcanic!G314,"")</f>
        <v>3.1789999999999999E-2</v>
      </c>
    </row>
    <row r="315" spans="1:40">
      <c r="A315" s="18" t="str">
        <f>IF(Volcanic!A315="","",Volcanic!A315)</f>
        <v>4/1984</v>
      </c>
      <c r="B315" s="18">
        <f>IF(ISNUMBER(Volcanic!L315),Volcanic!L315,"")</f>
        <v>1984.2916666666667</v>
      </c>
      <c r="C315" s="18">
        <f>IF(ISNUMBER(Volcanic!J315),Volcanic!J315,"")</f>
        <v>-8.474248982653948E-2</v>
      </c>
      <c r="D315" s="18">
        <f t="shared" si="122"/>
        <v>7.1812895820011474E-3</v>
      </c>
      <c r="E315" s="18">
        <f>IF(ISNUMBER(Volcanic!C315),Volcanic!C315,"")</f>
        <v>0.31104633643445362</v>
      </c>
      <c r="F315" s="18">
        <f>IF(ISNUMBER(Volcanic!D315),Volcanic!D315,"")</f>
        <v>-0.63</v>
      </c>
      <c r="G315" s="18">
        <f>IF(ISNUMBER(Volcanic!E315),Volcanic!E315,"")</f>
        <v>3.857E-2</v>
      </c>
      <c r="H315" s="18">
        <f t="shared" si="123"/>
        <v>9.6749823409295305E-2</v>
      </c>
      <c r="I315" s="18">
        <f t="shared" si="124"/>
        <v>0.39690000000000003</v>
      </c>
      <c r="J315" s="18">
        <f t="shared" si="125"/>
        <v>1.4876449000000001E-3</v>
      </c>
      <c r="K315" s="18">
        <f t="shared" si="126"/>
        <v>-0.19595919195370579</v>
      </c>
      <c r="L315" s="18">
        <f t="shared" si="127"/>
        <v>1.1997057196276877E-2</v>
      </c>
      <c r="M315" s="18">
        <f t="shared" si="128"/>
        <v>-2.4299100000000001E-2</v>
      </c>
      <c r="N315" s="18">
        <f t="shared" si="130"/>
        <v>2.7312033929386813E-2</v>
      </c>
      <c r="O315" s="18">
        <f t="shared" si="133"/>
        <v>5.4688806228075058E-3</v>
      </c>
      <c r="P315" s="18">
        <f t="shared" si="135"/>
        <v>5.9309054688408192E-2</v>
      </c>
      <c r="Q315" s="18">
        <f t="shared" si="137"/>
        <v>8.0442588406061336E-3</v>
      </c>
      <c r="R315" s="18">
        <f t="shared" si="139"/>
        <v>4.3063624643377992E-2</v>
      </c>
      <c r="S315" s="18">
        <f t="shared" si="141"/>
        <v>3.8640692706689906E-3</v>
      </c>
      <c r="T315" s="18">
        <f t="shared" si="143"/>
        <v>5.229473756944901E-2</v>
      </c>
      <c r="U315" s="18">
        <f t="shared" si="145"/>
        <v>2.7475246952781984E-2</v>
      </c>
      <c r="V315" s="18">
        <f t="shared" si="146"/>
        <v>4.7756832433013229E-3</v>
      </c>
      <c r="W315" s="18">
        <f t="shared" si="147"/>
        <v>9.5774329288672352E-3</v>
      </c>
      <c r="X315" s="18">
        <f t="shared" si="148"/>
        <v>1.6617468127099063E-3</v>
      </c>
      <c r="Y315" s="18">
        <f t="shared" si="149"/>
        <v>1.4027792062584706E-2</v>
      </c>
      <c r="AA315" s="18">
        <f t="shared" si="131"/>
        <v>-0.16783736217836742</v>
      </c>
      <c r="AB315" s="18">
        <f t="shared" si="132"/>
        <v>2.816938014299248E-2</v>
      </c>
      <c r="AC315" s="18">
        <f t="shared" si="134"/>
        <v>1.6404578009784451E-2</v>
      </c>
      <c r="AD315" s="18">
        <f t="shared" si="136"/>
        <v>2.3520379238850093E-3</v>
      </c>
      <c r="AE315" s="18">
        <f t="shared" si="138"/>
        <v>3.9377749255440714E-2</v>
      </c>
      <c r="AF315" s="18">
        <f t="shared" si="140"/>
        <v>2.1464028345361452E-4</v>
      </c>
      <c r="AG315" s="18">
        <f t="shared" si="142"/>
        <v>3.1068560047835477E-2</v>
      </c>
      <c r="AH315" s="18">
        <f t="shared" si="144"/>
        <v>2.7898882166336723E-3</v>
      </c>
      <c r="AJ315" s="18">
        <f>IF(ISNUMBER(Kernel!M315),Kernel!M315,"")</f>
        <v>-9.3518733727439463E-2</v>
      </c>
      <c r="AK315" s="18">
        <f t="shared" si="129"/>
        <v>8.7457535579837237E-3</v>
      </c>
      <c r="AN315" s="18">
        <f>IF(ISNUMBER(Volcanic!G315),Volcanic!G315,"")</f>
        <v>3.0419999999999999E-2</v>
      </c>
    </row>
    <row r="316" spans="1:40">
      <c r="A316" s="18" t="str">
        <f>IF(Volcanic!A316="","",Volcanic!A316)</f>
        <v>5/1984</v>
      </c>
      <c r="B316" s="18">
        <f>IF(ISNUMBER(Volcanic!L316),Volcanic!L316,"")</f>
        <v>1984.375</v>
      </c>
      <c r="C316" s="18">
        <f>IF(ISNUMBER(Volcanic!J316),Volcanic!J316,"")</f>
        <v>0.16094631906050821</v>
      </c>
      <c r="D316" s="18">
        <f t="shared" si="122"/>
        <v>2.5903717619126909E-2</v>
      </c>
      <c r="E316" s="18">
        <f>IF(ISNUMBER(Volcanic!C316),Volcanic!C316,"")</f>
        <v>0.31270665832658501</v>
      </c>
      <c r="F316" s="18">
        <f>IF(ISNUMBER(Volcanic!D316),Volcanic!D316,"")</f>
        <v>-0.51</v>
      </c>
      <c r="G316" s="18">
        <f>IF(ISNUMBER(Volcanic!E316),Volcanic!E316,"")</f>
        <v>3.4639999999999997E-2</v>
      </c>
      <c r="H316" s="18">
        <f t="shared" si="123"/>
        <v>9.778545416177957E-2</v>
      </c>
      <c r="I316" s="18">
        <f t="shared" si="124"/>
        <v>0.2601</v>
      </c>
      <c r="J316" s="18">
        <f t="shared" si="125"/>
        <v>1.1999295999999997E-3</v>
      </c>
      <c r="K316" s="18">
        <f t="shared" si="126"/>
        <v>-0.15948039574655837</v>
      </c>
      <c r="L316" s="18">
        <f t="shared" si="127"/>
        <v>1.0832158644432904E-2</v>
      </c>
      <c r="M316" s="18">
        <f t="shared" si="128"/>
        <v>-1.7666399999999999E-2</v>
      </c>
      <c r="N316" s="18">
        <f t="shared" si="130"/>
        <v>7.1812895820011474E-3</v>
      </c>
      <c r="O316" s="18">
        <f t="shared" si="133"/>
        <v>2.7312033929386813E-2</v>
      </c>
      <c r="P316" s="18">
        <f t="shared" si="135"/>
        <v>5.4688806228075058E-3</v>
      </c>
      <c r="Q316" s="18">
        <f t="shared" si="137"/>
        <v>5.9309054688408192E-2</v>
      </c>
      <c r="R316" s="18">
        <f t="shared" si="139"/>
        <v>8.0442588406061336E-3</v>
      </c>
      <c r="S316" s="18">
        <f t="shared" si="141"/>
        <v>4.3063624643377992E-2</v>
      </c>
      <c r="T316" s="18">
        <f t="shared" si="143"/>
        <v>3.8640692706689906E-3</v>
      </c>
      <c r="U316" s="18">
        <f t="shared" si="145"/>
        <v>5.229473756944901E-2</v>
      </c>
      <c r="V316" s="18">
        <f t="shared" si="146"/>
        <v>2.7475246952781984E-2</v>
      </c>
      <c r="W316" s="18">
        <f t="shared" si="147"/>
        <v>4.7756832433013229E-3</v>
      </c>
      <c r="X316" s="18">
        <f t="shared" si="148"/>
        <v>9.5774329288672352E-3</v>
      </c>
      <c r="Y316" s="18">
        <f t="shared" si="149"/>
        <v>1.6617468127099063E-3</v>
      </c>
      <c r="AA316" s="18">
        <f t="shared" si="131"/>
        <v>0.20355503272458308</v>
      </c>
      <c r="AB316" s="18">
        <f t="shared" si="132"/>
        <v>4.1434651347506089E-2</v>
      </c>
      <c r="AC316" s="18">
        <f t="shared" si="134"/>
        <v>2.816938014299248E-2</v>
      </c>
      <c r="AD316" s="18">
        <f t="shared" si="136"/>
        <v>1.6404578009784451E-2</v>
      </c>
      <c r="AE316" s="18">
        <f t="shared" si="138"/>
        <v>2.3520379238850093E-3</v>
      </c>
      <c r="AF316" s="18">
        <f t="shared" si="140"/>
        <v>3.9377749255440714E-2</v>
      </c>
      <c r="AG316" s="18">
        <f t="shared" si="142"/>
        <v>2.1464028345361452E-4</v>
      </c>
      <c r="AH316" s="18">
        <f t="shared" si="144"/>
        <v>3.1068560047835477E-2</v>
      </c>
      <c r="AJ316" s="18">
        <f>IF(ISNUMBER(Kernel!M316),Kernel!M316,"")</f>
        <v>0.17786266654981941</v>
      </c>
      <c r="AK316" s="18">
        <f t="shared" si="129"/>
        <v>3.1635128152212248E-2</v>
      </c>
      <c r="AN316" s="18">
        <f>IF(ISNUMBER(Volcanic!G316),Volcanic!G316,"")</f>
        <v>2.904E-2</v>
      </c>
    </row>
    <row r="317" spans="1:40">
      <c r="A317" s="18" t="str">
        <f>IF(Volcanic!A317="","",Volcanic!A317)</f>
        <v>6/1984</v>
      </c>
      <c r="B317" s="18">
        <f>IF(ISNUMBER(Volcanic!L317),Volcanic!L317,"")</f>
        <v>1984.4583333333333</v>
      </c>
      <c r="C317" s="18">
        <f>IF(ISNUMBER(Volcanic!J317),Volcanic!J317,"")</f>
        <v>-0.15464919807103417</v>
      </c>
      <c r="D317" s="18">
        <f t="shared" si="122"/>
        <v>2.3916374464013956E-2</v>
      </c>
      <c r="E317" s="18">
        <f>IF(ISNUMBER(Volcanic!C317),Volcanic!C317,"")</f>
        <v>0.31017390193106481</v>
      </c>
      <c r="F317" s="18">
        <f>IF(ISNUMBER(Volcanic!D317),Volcanic!D317,"")</f>
        <v>-0.38</v>
      </c>
      <c r="G317" s="18">
        <f>IF(ISNUMBER(Volcanic!E317),Volcanic!E317,"")</f>
        <v>3.4439999999999998E-2</v>
      </c>
      <c r="H317" s="18">
        <f t="shared" si="123"/>
        <v>9.6207849439141804E-2</v>
      </c>
      <c r="I317" s="18">
        <f t="shared" si="124"/>
        <v>0.1444</v>
      </c>
      <c r="J317" s="18">
        <f t="shared" si="125"/>
        <v>1.1861135999999999E-3</v>
      </c>
      <c r="K317" s="18">
        <f t="shared" si="126"/>
        <v>-0.11786608273380463</v>
      </c>
      <c r="L317" s="18">
        <f t="shared" si="127"/>
        <v>1.0682389182505872E-2</v>
      </c>
      <c r="M317" s="18">
        <f t="shared" si="128"/>
        <v>-1.30872E-2</v>
      </c>
      <c r="N317" s="18">
        <f t="shared" si="130"/>
        <v>2.5903717619126909E-2</v>
      </c>
      <c r="O317" s="18">
        <f t="shared" si="133"/>
        <v>7.1812895820011474E-3</v>
      </c>
      <c r="P317" s="18">
        <f t="shared" si="135"/>
        <v>2.7312033929386813E-2</v>
      </c>
      <c r="Q317" s="18">
        <f t="shared" si="137"/>
        <v>5.4688806228075058E-3</v>
      </c>
      <c r="R317" s="18">
        <f t="shared" si="139"/>
        <v>5.9309054688408192E-2</v>
      </c>
      <c r="S317" s="18">
        <f t="shared" si="141"/>
        <v>8.0442588406061336E-3</v>
      </c>
      <c r="T317" s="18">
        <f t="shared" si="143"/>
        <v>4.3063624643377992E-2</v>
      </c>
      <c r="U317" s="18">
        <f t="shared" si="145"/>
        <v>3.8640692706689906E-3</v>
      </c>
      <c r="V317" s="18">
        <f t="shared" si="146"/>
        <v>5.229473756944901E-2</v>
      </c>
      <c r="W317" s="18">
        <f t="shared" si="147"/>
        <v>2.7475246952781984E-2</v>
      </c>
      <c r="X317" s="18">
        <f t="shared" si="148"/>
        <v>4.7756832433013229E-3</v>
      </c>
      <c r="Y317" s="18">
        <f t="shared" si="149"/>
        <v>9.5774329288672352E-3</v>
      </c>
      <c r="AA317" s="18">
        <f t="shared" si="131"/>
        <v>-0.23557336773106161</v>
      </c>
      <c r="AB317" s="18">
        <f t="shared" si="132"/>
        <v>5.549481158415398E-2</v>
      </c>
      <c r="AC317" s="18">
        <f t="shared" si="134"/>
        <v>4.1434651347506089E-2</v>
      </c>
      <c r="AD317" s="18">
        <f t="shared" si="136"/>
        <v>2.816938014299248E-2</v>
      </c>
      <c r="AE317" s="18">
        <f t="shared" si="138"/>
        <v>1.6404578009784451E-2</v>
      </c>
      <c r="AF317" s="18">
        <f t="shared" si="140"/>
        <v>2.3520379238850093E-3</v>
      </c>
      <c r="AG317" s="18">
        <f t="shared" si="142"/>
        <v>3.9377749255440714E-2</v>
      </c>
      <c r="AH317" s="18">
        <f t="shared" si="144"/>
        <v>2.1464028345361452E-4</v>
      </c>
      <c r="AJ317" s="18">
        <f>IF(ISNUMBER(Kernel!M317),Kernel!M317,"")</f>
        <v>-0.12124999657523433</v>
      </c>
      <c r="AK317" s="18">
        <f t="shared" si="129"/>
        <v>1.4701561669494337E-2</v>
      </c>
      <c r="AN317" s="18">
        <f>IF(ISNUMBER(Volcanic!G317),Volcanic!G317,"")</f>
        <v>2.8459999999999999E-2</v>
      </c>
    </row>
    <row r="318" spans="1:40">
      <c r="A318" s="18" t="str">
        <f>IF(Volcanic!A318="","",Volcanic!A318)</f>
        <v>7/1984</v>
      </c>
      <c r="B318" s="18">
        <f>IF(ISNUMBER(Volcanic!L318),Volcanic!L318,"")</f>
        <v>1984.5416666666667</v>
      </c>
      <c r="C318" s="18">
        <f>IF(ISNUMBER(Volcanic!J318),Volcanic!J318,"")</f>
        <v>4.4938084615370466E-2</v>
      </c>
      <c r="D318" s="18">
        <f t="shared" si="122"/>
        <v>2.0194314488981959E-3</v>
      </c>
      <c r="E318" s="18">
        <f>IF(ISNUMBER(Volcanic!C318),Volcanic!C318,"")</f>
        <v>0.30446932070233174</v>
      </c>
      <c r="F318" s="18">
        <f>IF(ISNUMBER(Volcanic!D318),Volcanic!D318,"")</f>
        <v>-0.47</v>
      </c>
      <c r="G318" s="18">
        <f>IF(ISNUMBER(Volcanic!E318),Volcanic!E318,"")</f>
        <v>3.7019999999999997E-2</v>
      </c>
      <c r="H318" s="18">
        <f t="shared" si="123"/>
        <v>9.2701567248939326E-2</v>
      </c>
      <c r="I318" s="18">
        <f t="shared" si="124"/>
        <v>0.22089999999999999</v>
      </c>
      <c r="J318" s="18">
        <f t="shared" si="125"/>
        <v>1.3704803999999998E-3</v>
      </c>
      <c r="K318" s="18">
        <f t="shared" si="126"/>
        <v>-0.14310058073009591</v>
      </c>
      <c r="L318" s="18">
        <f t="shared" si="127"/>
        <v>1.127145425240032E-2</v>
      </c>
      <c r="M318" s="18">
        <f t="shared" si="128"/>
        <v>-1.7399399999999999E-2</v>
      </c>
      <c r="N318" s="18">
        <f t="shared" si="130"/>
        <v>2.3916374464013956E-2</v>
      </c>
      <c r="O318" s="18">
        <f t="shared" si="133"/>
        <v>2.5903717619126909E-2</v>
      </c>
      <c r="P318" s="18">
        <f t="shared" si="135"/>
        <v>7.1812895820011474E-3</v>
      </c>
      <c r="Q318" s="18">
        <f t="shared" si="137"/>
        <v>2.7312033929386813E-2</v>
      </c>
      <c r="R318" s="18">
        <f t="shared" si="139"/>
        <v>5.4688806228075058E-3</v>
      </c>
      <c r="S318" s="18">
        <f t="shared" si="141"/>
        <v>5.9309054688408192E-2</v>
      </c>
      <c r="T318" s="18">
        <f t="shared" si="143"/>
        <v>8.0442588406061336E-3</v>
      </c>
      <c r="U318" s="18">
        <f t="shared" si="145"/>
        <v>4.3063624643377992E-2</v>
      </c>
      <c r="V318" s="18">
        <f t="shared" si="146"/>
        <v>3.8640692706689906E-3</v>
      </c>
      <c r="W318" s="18">
        <f t="shared" si="147"/>
        <v>5.229473756944901E-2</v>
      </c>
      <c r="X318" s="18">
        <f t="shared" si="148"/>
        <v>2.7475246952781984E-2</v>
      </c>
      <c r="Y318" s="18">
        <f t="shared" si="149"/>
        <v>4.7756832433013229E-3</v>
      </c>
      <c r="AA318" s="18">
        <f t="shared" si="131"/>
        <v>0.12269604773960048</v>
      </c>
      <c r="AB318" s="18">
        <f t="shared" si="132"/>
        <v>1.5054320130918321E-2</v>
      </c>
      <c r="AC318" s="18">
        <f t="shared" si="134"/>
        <v>5.549481158415398E-2</v>
      </c>
      <c r="AD318" s="18">
        <f t="shared" si="136"/>
        <v>4.1434651347506089E-2</v>
      </c>
      <c r="AE318" s="18">
        <f t="shared" si="138"/>
        <v>2.816938014299248E-2</v>
      </c>
      <c r="AF318" s="18">
        <f t="shared" si="140"/>
        <v>1.6404578009784451E-2</v>
      </c>
      <c r="AG318" s="18">
        <f t="shared" si="142"/>
        <v>2.3520379238850093E-3</v>
      </c>
      <c r="AH318" s="18">
        <f t="shared" si="144"/>
        <v>3.9377749255440714E-2</v>
      </c>
      <c r="AJ318" s="18">
        <f>IF(ISNUMBER(Kernel!M318),Kernel!M318,"")</f>
        <v>6.414229775784272E-2</v>
      </c>
      <c r="AK318" s="18">
        <f t="shared" si="129"/>
        <v>4.1142343616557553E-3</v>
      </c>
      <c r="AN318" s="18">
        <f>IF(ISNUMBER(Volcanic!G318),Volcanic!G318,"")</f>
        <v>2.6579999999999999E-2</v>
      </c>
    </row>
    <row r="319" spans="1:40">
      <c r="A319" s="18" t="str">
        <f>IF(Volcanic!A319="","",Volcanic!A319)</f>
        <v>8/1984</v>
      </c>
      <c r="B319" s="18">
        <f>IF(ISNUMBER(Volcanic!L319),Volcanic!L319,"")</f>
        <v>1984.625</v>
      </c>
      <c r="C319" s="18">
        <f>IF(ISNUMBER(Volcanic!J319),Volcanic!J319,"")</f>
        <v>7.3206239058529909E-2</v>
      </c>
      <c r="D319" s="18">
        <f t="shared" si="122"/>
        <v>5.3591534370946298E-3</v>
      </c>
      <c r="E319" s="18">
        <f>IF(ISNUMBER(Volcanic!C319),Volcanic!C319,"")</f>
        <v>0.29589091643366305</v>
      </c>
      <c r="F319" s="18">
        <f>IF(ISNUMBER(Volcanic!D319),Volcanic!D319,"")</f>
        <v>-0.55000000000000004</v>
      </c>
      <c r="G319" s="18">
        <f>IF(ISNUMBER(Volcanic!E319),Volcanic!E319,"")</f>
        <v>3.5860000000000003E-2</v>
      </c>
      <c r="H319" s="18">
        <f t="shared" si="123"/>
        <v>8.7551434427952976E-2</v>
      </c>
      <c r="I319" s="18">
        <f t="shared" si="124"/>
        <v>0.30250000000000005</v>
      </c>
      <c r="J319" s="18">
        <f t="shared" si="125"/>
        <v>1.2859396000000003E-3</v>
      </c>
      <c r="K319" s="18">
        <f t="shared" si="126"/>
        <v>-0.16274000403851469</v>
      </c>
      <c r="L319" s="18">
        <f t="shared" si="127"/>
        <v>1.0610648263311158E-2</v>
      </c>
      <c r="M319" s="18">
        <f t="shared" si="128"/>
        <v>-1.9723000000000004E-2</v>
      </c>
      <c r="N319" s="18">
        <f t="shared" si="130"/>
        <v>2.0194314488981959E-3</v>
      </c>
      <c r="O319" s="18">
        <f t="shared" si="133"/>
        <v>2.3916374464013956E-2</v>
      </c>
      <c r="P319" s="18">
        <f t="shared" si="135"/>
        <v>2.5903717619126909E-2</v>
      </c>
      <c r="Q319" s="18">
        <f t="shared" si="137"/>
        <v>7.1812895820011474E-3</v>
      </c>
      <c r="R319" s="18">
        <f t="shared" si="139"/>
        <v>2.7312033929386813E-2</v>
      </c>
      <c r="S319" s="18">
        <f t="shared" si="141"/>
        <v>5.4688806228075058E-3</v>
      </c>
      <c r="T319" s="18">
        <f t="shared" si="143"/>
        <v>5.9309054688408192E-2</v>
      </c>
      <c r="U319" s="18">
        <f t="shared" si="145"/>
        <v>8.0442588406061336E-3</v>
      </c>
      <c r="V319" s="18">
        <f t="shared" si="146"/>
        <v>4.3063624643377992E-2</v>
      </c>
      <c r="W319" s="18">
        <f t="shared" si="147"/>
        <v>3.8640692706689906E-3</v>
      </c>
      <c r="X319" s="18">
        <f t="shared" si="148"/>
        <v>5.229473756944901E-2</v>
      </c>
      <c r="Y319" s="18">
        <f t="shared" si="149"/>
        <v>2.7475246952781984E-2</v>
      </c>
      <c r="AA319" s="18">
        <f t="shared" si="131"/>
        <v>5.061126947588461E-2</v>
      </c>
      <c r="AB319" s="18">
        <f t="shared" si="132"/>
        <v>2.5615005979606094E-3</v>
      </c>
      <c r="AC319" s="18">
        <f t="shared" si="134"/>
        <v>1.5054320130918321E-2</v>
      </c>
      <c r="AD319" s="18">
        <f t="shared" si="136"/>
        <v>5.549481158415398E-2</v>
      </c>
      <c r="AE319" s="18">
        <f t="shared" si="138"/>
        <v>4.1434651347506089E-2</v>
      </c>
      <c r="AF319" s="18">
        <f t="shared" si="140"/>
        <v>2.816938014299248E-2</v>
      </c>
      <c r="AG319" s="18">
        <f t="shared" si="142"/>
        <v>1.6404578009784451E-2</v>
      </c>
      <c r="AH319" s="18">
        <f t="shared" si="144"/>
        <v>2.3520379238850093E-3</v>
      </c>
      <c r="AJ319" s="18">
        <f>IF(ISNUMBER(Kernel!M319),Kernel!M319,"")</f>
        <v>8.3027214413325376E-2</v>
      </c>
      <c r="AK319" s="18">
        <f t="shared" si="129"/>
        <v>6.8935183332363053E-3</v>
      </c>
      <c r="AN319" s="18">
        <f>IF(ISNUMBER(Volcanic!G319),Volcanic!G319,"")</f>
        <v>2.4930000000000001E-2</v>
      </c>
    </row>
    <row r="320" spans="1:40">
      <c r="A320" s="18" t="str">
        <f>IF(Volcanic!A320="","",Volcanic!A320)</f>
        <v>9/1984</v>
      </c>
      <c r="B320" s="18">
        <f>IF(ISNUMBER(Volcanic!L320),Volcanic!L320,"")</f>
        <v>1984.7083333333333</v>
      </c>
      <c r="C320" s="18">
        <f>IF(ISNUMBER(Volcanic!J320),Volcanic!J320,"")</f>
        <v>0.11086437524375699</v>
      </c>
      <c r="D320" s="18">
        <f t="shared" si="122"/>
        <v>1.2290909698188556E-2</v>
      </c>
      <c r="E320" s="18">
        <f>IF(ISNUMBER(Volcanic!C320),Volcanic!C320,"")</f>
        <v>0.28683891370859382</v>
      </c>
      <c r="F320" s="18">
        <f>IF(ISNUMBER(Volcanic!D320),Volcanic!D320,"")</f>
        <v>-0.52</v>
      </c>
      <c r="G320" s="18">
        <f>IF(ISNUMBER(Volcanic!E320),Volcanic!E320,"")</f>
        <v>3.3930000000000002E-2</v>
      </c>
      <c r="H320" s="18">
        <f t="shared" si="123"/>
        <v>8.2276562417526136E-2</v>
      </c>
      <c r="I320" s="18">
        <f t="shared" si="124"/>
        <v>0.27040000000000003</v>
      </c>
      <c r="J320" s="18">
        <f t="shared" si="125"/>
        <v>1.1512449000000001E-3</v>
      </c>
      <c r="K320" s="18">
        <f t="shared" si="126"/>
        <v>-0.14915623512846879</v>
      </c>
      <c r="L320" s="18">
        <f t="shared" si="127"/>
        <v>9.7324443421325894E-3</v>
      </c>
      <c r="M320" s="18">
        <f t="shared" si="128"/>
        <v>-1.7643600000000002E-2</v>
      </c>
      <c r="N320" s="18">
        <f t="shared" si="130"/>
        <v>5.3591534370946298E-3</v>
      </c>
      <c r="O320" s="18">
        <f t="shared" si="133"/>
        <v>2.0194314488981959E-3</v>
      </c>
      <c r="P320" s="18">
        <f t="shared" si="135"/>
        <v>2.3916374464013956E-2</v>
      </c>
      <c r="Q320" s="18">
        <f t="shared" si="137"/>
        <v>2.5903717619126909E-2</v>
      </c>
      <c r="R320" s="18">
        <f t="shared" si="139"/>
        <v>7.1812895820011474E-3</v>
      </c>
      <c r="S320" s="18">
        <f t="shared" si="141"/>
        <v>2.7312033929386813E-2</v>
      </c>
      <c r="T320" s="18">
        <f t="shared" si="143"/>
        <v>5.4688806228075058E-3</v>
      </c>
      <c r="U320" s="18">
        <f t="shared" si="145"/>
        <v>5.9309054688408192E-2</v>
      </c>
      <c r="V320" s="18">
        <f t="shared" si="146"/>
        <v>8.0442588406061336E-3</v>
      </c>
      <c r="W320" s="18">
        <f t="shared" si="147"/>
        <v>4.3063624643377992E-2</v>
      </c>
      <c r="X320" s="18">
        <f t="shared" si="148"/>
        <v>3.8640692706689906E-3</v>
      </c>
      <c r="Y320" s="18">
        <f t="shared" si="149"/>
        <v>5.229473756944901E-2</v>
      </c>
      <c r="AA320" s="18">
        <f t="shared" si="131"/>
        <v>7.4056114301064666E-2</v>
      </c>
      <c r="AB320" s="18">
        <f t="shared" si="132"/>
        <v>5.4843080653723545E-3</v>
      </c>
      <c r="AC320" s="18">
        <f t="shared" si="134"/>
        <v>2.5615005979606094E-3</v>
      </c>
      <c r="AD320" s="18">
        <f t="shared" si="136"/>
        <v>1.5054320130918321E-2</v>
      </c>
      <c r="AE320" s="18">
        <f t="shared" si="138"/>
        <v>5.549481158415398E-2</v>
      </c>
      <c r="AF320" s="18">
        <f t="shared" si="140"/>
        <v>4.1434651347506089E-2</v>
      </c>
      <c r="AG320" s="18">
        <f t="shared" si="142"/>
        <v>2.816938014299248E-2</v>
      </c>
      <c r="AH320" s="18">
        <f t="shared" si="144"/>
        <v>1.6404578009784451E-2</v>
      </c>
      <c r="AJ320" s="18">
        <f>IF(ISNUMBER(Kernel!M320),Kernel!M320,"")</f>
        <v>0.12561406042383727</v>
      </c>
      <c r="AK320" s="18">
        <f t="shared" si="129"/>
        <v>1.5778892176163441E-2</v>
      </c>
      <c r="AN320" s="18">
        <f>IF(ISNUMBER(Volcanic!G320),Volcanic!G320,"")</f>
        <v>2.4070000000000001E-2</v>
      </c>
    </row>
    <row r="321" spans="1:40">
      <c r="A321" s="18" t="str">
        <f>IF(Volcanic!A321="","",Volcanic!A321)</f>
        <v>10/1984</v>
      </c>
      <c r="B321" s="18">
        <f>IF(ISNUMBER(Volcanic!L321),Volcanic!L321,"")</f>
        <v>1984.7916666666667</v>
      </c>
      <c r="C321" s="18">
        <f>IF(ISNUMBER(Volcanic!J321),Volcanic!J321,"")</f>
        <v>1.0983313725700383E-2</v>
      </c>
      <c r="D321" s="18">
        <f t="shared" si="122"/>
        <v>1.2063318039715843E-4</v>
      </c>
      <c r="E321" s="18">
        <f>IF(ISNUMBER(Volcanic!C321),Volcanic!C321,"")</f>
        <v>0.28797880011229388</v>
      </c>
      <c r="F321" s="18">
        <f>IF(ISNUMBER(Volcanic!D321),Volcanic!D321,"")</f>
        <v>-0.39</v>
      </c>
      <c r="G321" s="18">
        <f>IF(ISNUMBER(Volcanic!E321),Volcanic!E321,"")</f>
        <v>3.1789999999999999E-2</v>
      </c>
      <c r="H321" s="18">
        <f t="shared" si="123"/>
        <v>8.2931789314116516E-2</v>
      </c>
      <c r="I321" s="18">
        <f t="shared" si="124"/>
        <v>0.15210000000000001</v>
      </c>
      <c r="J321" s="18">
        <f t="shared" si="125"/>
        <v>1.0106040999999998E-3</v>
      </c>
      <c r="K321" s="18">
        <f t="shared" si="126"/>
        <v>-0.11231173204379462</v>
      </c>
      <c r="L321" s="18">
        <f t="shared" si="127"/>
        <v>9.1548460555698225E-3</v>
      </c>
      <c r="M321" s="18">
        <f t="shared" si="128"/>
        <v>-1.23981E-2</v>
      </c>
      <c r="N321" s="18">
        <f t="shared" si="130"/>
        <v>1.2290909698188556E-2</v>
      </c>
      <c r="O321" s="18">
        <f t="shared" si="133"/>
        <v>5.3591534370946298E-3</v>
      </c>
      <c r="P321" s="18">
        <f t="shared" si="135"/>
        <v>2.0194314488981959E-3</v>
      </c>
      <c r="Q321" s="18">
        <f t="shared" si="137"/>
        <v>2.3916374464013956E-2</v>
      </c>
      <c r="R321" s="18">
        <f t="shared" si="139"/>
        <v>2.5903717619126909E-2</v>
      </c>
      <c r="S321" s="18">
        <f t="shared" si="141"/>
        <v>7.1812895820011474E-3</v>
      </c>
      <c r="T321" s="18">
        <f t="shared" si="143"/>
        <v>2.7312033929386813E-2</v>
      </c>
      <c r="U321" s="18">
        <f t="shared" si="145"/>
        <v>5.4688806228075058E-3</v>
      </c>
      <c r="V321" s="18">
        <f t="shared" si="146"/>
        <v>5.9309054688408192E-2</v>
      </c>
      <c r="W321" s="18">
        <f t="shared" si="147"/>
        <v>8.0442588406061336E-3</v>
      </c>
      <c r="X321" s="18">
        <f t="shared" si="148"/>
        <v>4.3063624643377992E-2</v>
      </c>
      <c r="Y321" s="18">
        <f t="shared" si="149"/>
        <v>3.8640692706689906E-3</v>
      </c>
      <c r="AA321" s="18">
        <f t="shared" si="131"/>
        <v>-4.4759542425646795E-2</v>
      </c>
      <c r="AB321" s="18">
        <f t="shared" si="132"/>
        <v>2.0034166381532755E-3</v>
      </c>
      <c r="AC321" s="18">
        <f t="shared" si="134"/>
        <v>5.4843080653723545E-3</v>
      </c>
      <c r="AD321" s="18">
        <f t="shared" si="136"/>
        <v>2.5615005979606094E-3</v>
      </c>
      <c r="AE321" s="18">
        <f t="shared" si="138"/>
        <v>1.5054320130918321E-2</v>
      </c>
      <c r="AF321" s="18">
        <f t="shared" si="140"/>
        <v>5.549481158415398E-2</v>
      </c>
      <c r="AG321" s="18">
        <f t="shared" si="142"/>
        <v>4.1434651347506089E-2</v>
      </c>
      <c r="AH321" s="18">
        <f t="shared" si="144"/>
        <v>2.816938014299248E-2</v>
      </c>
      <c r="AJ321" s="18">
        <f>IF(ISNUMBER(Kernel!M321),Kernel!M321,"")</f>
        <v>4.6769941537944393E-2</v>
      </c>
      <c r="AK321" s="18">
        <f t="shared" si="129"/>
        <v>2.1874274314627362E-3</v>
      </c>
      <c r="AN321" s="18">
        <f>IF(ISNUMBER(Volcanic!G321),Volcanic!G321,"")</f>
        <v>2.2290000000000001E-2</v>
      </c>
    </row>
    <row r="322" spans="1:40">
      <c r="A322" s="18" t="str">
        <f>IF(Volcanic!A322="","",Volcanic!A322)</f>
        <v>11/1984</v>
      </c>
      <c r="B322" s="18">
        <f>IF(ISNUMBER(Volcanic!L322),Volcanic!L322,"")</f>
        <v>1984.875</v>
      </c>
      <c r="C322" s="18">
        <f>IF(ISNUMBER(Volcanic!J322),Volcanic!J322,"")</f>
        <v>-9.4460675940733041E-2</v>
      </c>
      <c r="D322" s="18">
        <f t="shared" ref="D322:D385" si="150">IF(ISNUMBER(C322),C322^2,"")</f>
        <v>8.9228192991801826E-3</v>
      </c>
      <c r="E322" s="18">
        <f>IF(ISNUMBER(Volcanic!C322),Volcanic!C322,"")</f>
        <v>0.29408505383681638</v>
      </c>
      <c r="F322" s="18">
        <f>IF(ISNUMBER(Volcanic!D322),Volcanic!D322,"")</f>
        <v>-0.22</v>
      </c>
      <c r="G322" s="18">
        <f>IF(ISNUMBER(Volcanic!E322),Volcanic!E322,"")</f>
        <v>3.0419999999999999E-2</v>
      </c>
      <c r="H322" s="18">
        <f t="shared" ref="H322:H385" si="151">IF(ISNUMBER(E322),E322^2,"")</f>
        <v>8.6486018890203187E-2</v>
      </c>
      <c r="I322" s="18">
        <f t="shared" ref="I322:I385" si="152">IF(ISNUMBER(F322),F322^2,"")</f>
        <v>4.8399999999999999E-2</v>
      </c>
      <c r="J322" s="18">
        <f t="shared" ref="J322:J385" si="153">IF(ISNUMBER(G322),G322^2,"")</f>
        <v>9.2537639999999992E-4</v>
      </c>
      <c r="K322" s="18">
        <f t="shared" ref="K322:K385" si="154">IF(AND(ISNUMBER(E322),ISNUMBER(F322)),E322*F322,"")</f>
        <v>-6.4698711844099602E-2</v>
      </c>
      <c r="L322" s="18">
        <f t="shared" ref="L322:L385" si="155">IF(AND(ISNUMBER(E322),ISNUMBER(G322)),E322*G322,"")</f>
        <v>8.9460673377159544E-3</v>
      </c>
      <c r="M322" s="18">
        <f t="shared" ref="M322:M385" si="156">IF(AND(ISNUMBER(F322),ISNUMBER(G322)),F322*G322,"")</f>
        <v>-6.6924000000000003E-3</v>
      </c>
      <c r="N322" s="18">
        <f t="shared" si="130"/>
        <v>1.2063318039715843E-4</v>
      </c>
      <c r="O322" s="18">
        <f t="shared" si="133"/>
        <v>1.2290909698188556E-2</v>
      </c>
      <c r="P322" s="18">
        <f t="shared" si="135"/>
        <v>5.3591534370946298E-3</v>
      </c>
      <c r="Q322" s="18">
        <f t="shared" si="137"/>
        <v>2.0194314488981959E-3</v>
      </c>
      <c r="R322" s="18">
        <f t="shared" si="139"/>
        <v>2.3916374464013956E-2</v>
      </c>
      <c r="S322" s="18">
        <f t="shared" si="141"/>
        <v>2.5903717619126909E-2</v>
      </c>
      <c r="T322" s="18">
        <f t="shared" si="143"/>
        <v>7.1812895820011474E-3</v>
      </c>
      <c r="U322" s="18">
        <f t="shared" si="145"/>
        <v>2.7312033929386813E-2</v>
      </c>
      <c r="V322" s="18">
        <f t="shared" si="146"/>
        <v>5.4688806228075058E-3</v>
      </c>
      <c r="W322" s="18">
        <f t="shared" si="147"/>
        <v>5.9309054688408192E-2</v>
      </c>
      <c r="X322" s="18">
        <f t="shared" si="148"/>
        <v>8.0442588406061336E-3</v>
      </c>
      <c r="Y322" s="18">
        <f t="shared" si="149"/>
        <v>4.3063624643377992E-2</v>
      </c>
      <c r="AA322" s="18">
        <f t="shared" si="131"/>
        <v>-9.998311067894991E-2</v>
      </c>
      <c r="AB322" s="18">
        <f t="shared" si="132"/>
        <v>9.9966224210391481E-3</v>
      </c>
      <c r="AC322" s="18">
        <f t="shared" si="134"/>
        <v>2.0034166381532755E-3</v>
      </c>
      <c r="AD322" s="18">
        <f t="shared" si="136"/>
        <v>5.4843080653723545E-3</v>
      </c>
      <c r="AE322" s="18">
        <f t="shared" si="138"/>
        <v>2.5615005979606094E-3</v>
      </c>
      <c r="AF322" s="18">
        <f t="shared" si="140"/>
        <v>1.5054320130918321E-2</v>
      </c>
      <c r="AG322" s="18">
        <f t="shared" si="142"/>
        <v>5.549481158415398E-2</v>
      </c>
      <c r="AH322" s="18">
        <f t="shared" si="144"/>
        <v>4.1434651347506089E-2</v>
      </c>
      <c r="AJ322" s="18">
        <f>IF(ISNUMBER(Kernel!M322),Kernel!M322,"")</f>
        <v>-2.9499687758441973E-2</v>
      </c>
      <c r="AK322" s="18">
        <f t="shared" ref="AK322:AK385" si="157">IF(ISNUMBER(AJ322),AJ322^2,"")</f>
        <v>8.7023157784557115E-4</v>
      </c>
      <c r="AN322" s="18">
        <f>IF(ISNUMBER(Volcanic!G322),Volcanic!G322,"")</f>
        <v>2.12E-2</v>
      </c>
    </row>
    <row r="323" spans="1:40">
      <c r="A323" s="18" t="str">
        <f>IF(Volcanic!A323="","",Volcanic!A323)</f>
        <v>12/1984</v>
      </c>
      <c r="B323" s="18">
        <f>IF(ISNUMBER(Volcanic!L323),Volcanic!L323,"")</f>
        <v>1984.9583333333333</v>
      </c>
      <c r="C323" s="18">
        <f>IF(ISNUMBER(Volcanic!J323),Volcanic!J323,"")</f>
        <v>-0.20754005700085687</v>
      </c>
      <c r="D323" s="18">
        <f t="shared" si="150"/>
        <v>4.3072875259918916E-2</v>
      </c>
      <c r="E323" s="18">
        <f>IF(ISNUMBER(Volcanic!C323),Volcanic!C323,"")</f>
        <v>0.30116953472056501</v>
      </c>
      <c r="F323" s="18">
        <f>IF(ISNUMBER(Volcanic!D323),Volcanic!D323,"")</f>
        <v>-0.32</v>
      </c>
      <c r="G323" s="18">
        <f>IF(ISNUMBER(Volcanic!E323),Volcanic!E323,"")</f>
        <v>2.904E-2</v>
      </c>
      <c r="H323" s="18">
        <f t="shared" si="151"/>
        <v>9.070308864380161E-2</v>
      </c>
      <c r="I323" s="18">
        <f t="shared" si="152"/>
        <v>0.1024</v>
      </c>
      <c r="J323" s="18">
        <f t="shared" si="153"/>
        <v>8.4332159999999995E-4</v>
      </c>
      <c r="K323" s="18">
        <f t="shared" si="154"/>
        <v>-9.6374251110580803E-2</v>
      </c>
      <c r="L323" s="18">
        <f t="shared" si="155"/>
        <v>8.7459632882852072E-3</v>
      </c>
      <c r="M323" s="18">
        <f t="shared" si="156"/>
        <v>-9.2928000000000004E-3</v>
      </c>
      <c r="N323" s="18">
        <f t="shared" ref="N323:N386" si="158">IF(ISNUMBER(D322),D322,"")</f>
        <v>8.9228192991801826E-3</v>
      </c>
      <c r="O323" s="18">
        <f t="shared" si="133"/>
        <v>1.2063318039715843E-4</v>
      </c>
      <c r="P323" s="18">
        <f t="shared" si="135"/>
        <v>1.2290909698188556E-2</v>
      </c>
      <c r="Q323" s="18">
        <f t="shared" si="137"/>
        <v>5.3591534370946298E-3</v>
      </c>
      <c r="R323" s="18">
        <f t="shared" si="139"/>
        <v>2.0194314488981959E-3</v>
      </c>
      <c r="S323" s="18">
        <f t="shared" si="141"/>
        <v>2.3916374464013956E-2</v>
      </c>
      <c r="T323" s="18">
        <f t="shared" si="143"/>
        <v>2.5903717619126909E-2</v>
      </c>
      <c r="U323" s="18">
        <f t="shared" si="145"/>
        <v>7.1812895820011474E-3</v>
      </c>
      <c r="V323" s="18">
        <f t="shared" si="146"/>
        <v>2.7312033929386813E-2</v>
      </c>
      <c r="W323" s="18">
        <f t="shared" si="147"/>
        <v>5.4688806228075058E-3</v>
      </c>
      <c r="X323" s="18">
        <f t="shared" si="148"/>
        <v>5.9309054688408192E-2</v>
      </c>
      <c r="Y323" s="18">
        <f t="shared" si="149"/>
        <v>8.0442588406061336E-3</v>
      </c>
      <c r="AA323" s="18">
        <f t="shared" ref="AA323:AA386" si="159">IF(AND(ISNUMBER(C323),ISNUMBER(C322)),C323-$AX$16*C322,"")</f>
        <v>-0.16004501759486145</v>
      </c>
      <c r="AB323" s="18">
        <f t="shared" ref="AB323:AB386" si="160">IF(ISNUMBER(AA323),AA323^2,"")</f>
        <v>2.5614407656939512E-2</v>
      </c>
      <c r="AC323" s="18">
        <f t="shared" si="134"/>
        <v>9.9966224210391481E-3</v>
      </c>
      <c r="AD323" s="18">
        <f t="shared" si="136"/>
        <v>2.0034166381532755E-3</v>
      </c>
      <c r="AE323" s="18">
        <f t="shared" si="138"/>
        <v>5.4843080653723545E-3</v>
      </c>
      <c r="AF323" s="18">
        <f t="shared" si="140"/>
        <v>2.5615005979606094E-3</v>
      </c>
      <c r="AG323" s="18">
        <f t="shared" si="142"/>
        <v>1.5054320130918321E-2</v>
      </c>
      <c r="AH323" s="18">
        <f t="shared" si="144"/>
        <v>5.549481158415398E-2</v>
      </c>
      <c r="AJ323" s="18">
        <f>IF(ISNUMBER(Kernel!M323),Kernel!M323,"")</f>
        <v>-0.13825597526266803</v>
      </c>
      <c r="AK323" s="18">
        <f t="shared" si="157"/>
        <v>1.9114714695831474E-2</v>
      </c>
      <c r="AN323" s="18">
        <f>IF(ISNUMBER(Volcanic!G323),Volcanic!G323,"")</f>
        <v>1.9550000000000001E-2</v>
      </c>
    </row>
    <row r="324" spans="1:40">
      <c r="A324" s="18" t="str">
        <f>IF(Volcanic!A324="","",Volcanic!A324)</f>
        <v>1/1985</v>
      </c>
      <c r="B324" s="18">
        <f>IF(ISNUMBER(Volcanic!L324),Volcanic!L324,"")</f>
        <v>1985.0416666666667</v>
      </c>
      <c r="C324" s="18">
        <f>IF(ISNUMBER(Volcanic!J324),Volcanic!J324,"")</f>
        <v>7.3551482948684133E-2</v>
      </c>
      <c r="D324" s="18">
        <f t="shared" si="150"/>
        <v>5.4098206439505726E-3</v>
      </c>
      <c r="E324" s="18">
        <f>IF(ISNUMBER(Volcanic!C324),Volcanic!C324,"")</f>
        <v>0.30317536756489971</v>
      </c>
      <c r="F324" s="18">
        <f>IF(ISNUMBER(Volcanic!D324),Volcanic!D324,"")</f>
        <v>-0.62</v>
      </c>
      <c r="G324" s="18">
        <f>IF(ISNUMBER(Volcanic!E324),Volcanic!E324,"")</f>
        <v>2.8459999999999999E-2</v>
      </c>
      <c r="H324" s="18">
        <f t="shared" si="151"/>
        <v>9.1915303498112041E-2</v>
      </c>
      <c r="I324" s="18">
        <f t="shared" si="152"/>
        <v>0.38440000000000002</v>
      </c>
      <c r="J324" s="18">
        <f t="shared" si="153"/>
        <v>8.0997159999999992E-4</v>
      </c>
      <c r="K324" s="18">
        <f t="shared" si="154"/>
        <v>-0.18796872789023783</v>
      </c>
      <c r="L324" s="18">
        <f t="shared" si="155"/>
        <v>8.6283709608970457E-3</v>
      </c>
      <c r="M324" s="18">
        <f t="shared" si="156"/>
        <v>-1.76452E-2</v>
      </c>
      <c r="N324" s="18">
        <f t="shared" si="158"/>
        <v>4.3072875259918916E-2</v>
      </c>
      <c r="O324" s="18">
        <f t="shared" ref="O324:O387" si="161">IF(ISNUMBER(D322),D322,"")</f>
        <v>8.9228192991801826E-3</v>
      </c>
      <c r="P324" s="18">
        <f t="shared" si="135"/>
        <v>1.2063318039715843E-4</v>
      </c>
      <c r="Q324" s="18">
        <f t="shared" si="137"/>
        <v>1.2290909698188556E-2</v>
      </c>
      <c r="R324" s="18">
        <f t="shared" si="139"/>
        <v>5.3591534370946298E-3</v>
      </c>
      <c r="S324" s="18">
        <f t="shared" si="141"/>
        <v>2.0194314488981959E-3</v>
      </c>
      <c r="T324" s="18">
        <f t="shared" si="143"/>
        <v>2.3916374464013956E-2</v>
      </c>
      <c r="U324" s="18">
        <f t="shared" si="145"/>
        <v>2.5903717619126909E-2</v>
      </c>
      <c r="V324" s="18">
        <f t="shared" si="146"/>
        <v>7.1812895820011474E-3</v>
      </c>
      <c r="W324" s="18">
        <f t="shared" si="147"/>
        <v>2.7312033929386813E-2</v>
      </c>
      <c r="X324" s="18">
        <f t="shared" si="148"/>
        <v>5.4688806228075058E-3</v>
      </c>
      <c r="Y324" s="18">
        <f t="shared" si="149"/>
        <v>5.9309054688408192E-2</v>
      </c>
      <c r="AA324" s="18">
        <f t="shared" si="159"/>
        <v>0.17790308839096192</v>
      </c>
      <c r="AB324" s="18">
        <f t="shared" si="160"/>
        <v>3.1649508859042406E-2</v>
      </c>
      <c r="AC324" s="18">
        <f t="shared" ref="AC324:AC387" si="162">IF(ISNUMBER(AB323),AB323,"")</f>
        <v>2.5614407656939512E-2</v>
      </c>
      <c r="AD324" s="18">
        <f t="shared" si="136"/>
        <v>9.9966224210391481E-3</v>
      </c>
      <c r="AE324" s="18">
        <f t="shared" si="138"/>
        <v>2.0034166381532755E-3</v>
      </c>
      <c r="AF324" s="18">
        <f t="shared" si="140"/>
        <v>5.4843080653723545E-3</v>
      </c>
      <c r="AG324" s="18">
        <f t="shared" si="142"/>
        <v>2.5615005979606094E-3</v>
      </c>
      <c r="AH324" s="18">
        <f t="shared" si="144"/>
        <v>1.5054320130918321E-2</v>
      </c>
      <c r="AJ324" s="18">
        <f>IF(ISNUMBER(Kernel!M324),Kernel!M324,"")</f>
        <v>0.12356251993233329</v>
      </c>
      <c r="AK324" s="18">
        <f t="shared" si="157"/>
        <v>1.5267696332028262E-2</v>
      </c>
      <c r="AN324" s="18">
        <f>IF(ISNUMBER(Volcanic!G324),Volcanic!G324,"")</f>
        <v>1.8599999999999998E-2</v>
      </c>
    </row>
    <row r="325" spans="1:40">
      <c r="A325" s="18" t="str">
        <f>IF(Volcanic!A325="","",Volcanic!A325)</f>
        <v>2/1985</v>
      </c>
      <c r="B325" s="18">
        <f>IF(ISNUMBER(Volcanic!L325),Volcanic!L325,"")</f>
        <v>1985.125</v>
      </c>
      <c r="C325" s="18">
        <f>IF(ISNUMBER(Volcanic!J325),Volcanic!J325,"")</f>
        <v>-0.17054082623259365</v>
      </c>
      <c r="D325" s="18">
        <f t="shared" si="150"/>
        <v>2.9084173412095699E-2</v>
      </c>
      <c r="E325" s="18">
        <f>IF(ISNUMBER(Volcanic!C325),Volcanic!C325,"")</f>
        <v>0.30705375053345996</v>
      </c>
      <c r="F325" s="18">
        <f>IF(ISNUMBER(Volcanic!D325),Volcanic!D325,"")</f>
        <v>-0.95</v>
      </c>
      <c r="G325" s="18">
        <f>IF(ISNUMBER(Volcanic!E325),Volcanic!E325,"")</f>
        <v>2.6579999999999999E-2</v>
      </c>
      <c r="H325" s="18">
        <f t="shared" si="151"/>
        <v>9.4282005716664258E-2</v>
      </c>
      <c r="I325" s="18">
        <f t="shared" si="152"/>
        <v>0.90249999999999997</v>
      </c>
      <c r="J325" s="18">
        <f t="shared" si="153"/>
        <v>7.0649639999999995E-4</v>
      </c>
      <c r="K325" s="18">
        <f t="shared" si="154"/>
        <v>-0.29170106300678694</v>
      </c>
      <c r="L325" s="18">
        <f t="shared" si="155"/>
        <v>8.1614886891793661E-3</v>
      </c>
      <c r="M325" s="18">
        <f t="shared" si="156"/>
        <v>-2.5250999999999999E-2</v>
      </c>
      <c r="N325" s="18">
        <f t="shared" si="158"/>
        <v>5.4098206439505726E-3</v>
      </c>
      <c r="O325" s="18">
        <f t="shared" si="161"/>
        <v>4.3072875259918916E-2</v>
      </c>
      <c r="P325" s="18">
        <f t="shared" ref="P325:P388" si="163">IF(ISNUMBER(D322),D322,"")</f>
        <v>8.9228192991801826E-3</v>
      </c>
      <c r="Q325" s="18">
        <f t="shared" si="137"/>
        <v>1.2063318039715843E-4</v>
      </c>
      <c r="R325" s="18">
        <f t="shared" si="139"/>
        <v>1.2290909698188556E-2</v>
      </c>
      <c r="S325" s="18">
        <f t="shared" si="141"/>
        <v>5.3591534370946298E-3</v>
      </c>
      <c r="T325" s="18">
        <f t="shared" si="143"/>
        <v>2.0194314488981959E-3</v>
      </c>
      <c r="U325" s="18">
        <f t="shared" si="145"/>
        <v>2.3916374464013956E-2</v>
      </c>
      <c r="V325" s="18">
        <f t="shared" si="146"/>
        <v>2.5903717619126909E-2</v>
      </c>
      <c r="W325" s="18">
        <f t="shared" si="147"/>
        <v>7.1812895820011474E-3</v>
      </c>
      <c r="X325" s="18">
        <f t="shared" si="148"/>
        <v>2.7312033929386813E-2</v>
      </c>
      <c r="Y325" s="18">
        <f t="shared" si="149"/>
        <v>5.4688806228075058E-3</v>
      </c>
      <c r="AA325" s="18">
        <f t="shared" si="159"/>
        <v>-0.20752267657642304</v>
      </c>
      <c r="AB325" s="18">
        <f t="shared" si="160"/>
        <v>4.3065661293442678E-2</v>
      </c>
      <c r="AC325" s="18">
        <f t="shared" si="162"/>
        <v>3.1649508859042406E-2</v>
      </c>
      <c r="AD325" s="18">
        <f t="shared" ref="AD325:AD388" si="164">IF(ISNUMBER(AB323),AB323,"")</f>
        <v>2.5614407656939512E-2</v>
      </c>
      <c r="AE325" s="18">
        <f t="shared" si="138"/>
        <v>9.9966224210391481E-3</v>
      </c>
      <c r="AF325" s="18">
        <f t="shared" si="140"/>
        <v>2.0034166381532755E-3</v>
      </c>
      <c r="AG325" s="18">
        <f t="shared" si="142"/>
        <v>5.4843080653723545E-3</v>
      </c>
      <c r="AH325" s="18">
        <f t="shared" si="144"/>
        <v>2.5615005979606094E-3</v>
      </c>
      <c r="AJ325" s="18">
        <f>IF(ISNUMBER(Kernel!M325),Kernel!M325,"")</f>
        <v>-0.14460021612918261</v>
      </c>
      <c r="AK325" s="18">
        <f t="shared" si="157"/>
        <v>2.0909222504606324E-2</v>
      </c>
      <c r="AN325" s="18">
        <f>IF(ISNUMBER(Volcanic!G325),Volcanic!G325,"")</f>
        <v>1.737E-2</v>
      </c>
    </row>
    <row r="326" spans="1:40">
      <c r="A326" s="18" t="str">
        <f>IF(Volcanic!A326="","",Volcanic!A326)</f>
        <v>3/1985</v>
      </c>
      <c r="B326" s="18">
        <f>IF(ISNUMBER(Volcanic!L326),Volcanic!L326,"")</f>
        <v>1985.2083333333333</v>
      </c>
      <c r="C326" s="18">
        <f>IF(ISNUMBER(Volcanic!J326),Volcanic!J326,"")</f>
        <v>2.903444595228527E-2</v>
      </c>
      <c r="D326" s="18">
        <f t="shared" si="150"/>
        <v>8.4299905175617453E-4</v>
      </c>
      <c r="E326" s="18">
        <f>IF(ISNUMBER(Volcanic!C326),Volcanic!C326,"")</f>
        <v>0.31328731986192054</v>
      </c>
      <c r="F326" s="18">
        <f>IF(ISNUMBER(Volcanic!D326),Volcanic!D326,"")</f>
        <v>-1.06</v>
      </c>
      <c r="G326" s="18">
        <f>IF(ISNUMBER(Volcanic!E326),Volcanic!E326,"")</f>
        <v>2.4930000000000001E-2</v>
      </c>
      <c r="H326" s="18">
        <f t="shared" si="151"/>
        <v>9.8148944786265319E-2</v>
      </c>
      <c r="I326" s="18">
        <f t="shared" si="152"/>
        <v>1.1236000000000002</v>
      </c>
      <c r="J326" s="18">
        <f t="shared" si="153"/>
        <v>6.2150490000000003E-4</v>
      </c>
      <c r="K326" s="18">
        <f t="shared" si="154"/>
        <v>-0.33208455905363582</v>
      </c>
      <c r="L326" s="18">
        <f t="shared" si="155"/>
        <v>7.8102528841576795E-3</v>
      </c>
      <c r="M326" s="18">
        <f t="shared" si="156"/>
        <v>-2.6425800000000003E-2</v>
      </c>
      <c r="N326" s="18">
        <f t="shared" si="158"/>
        <v>2.9084173412095699E-2</v>
      </c>
      <c r="O326" s="18">
        <f t="shared" si="161"/>
        <v>5.4098206439505726E-3</v>
      </c>
      <c r="P326" s="18">
        <f t="shared" si="163"/>
        <v>4.3072875259918916E-2</v>
      </c>
      <c r="Q326" s="18">
        <f t="shared" ref="Q326:Q389" si="165">IF(ISNUMBER(D322),D322,"")</f>
        <v>8.9228192991801826E-3</v>
      </c>
      <c r="R326" s="18">
        <f t="shared" si="139"/>
        <v>1.2063318039715843E-4</v>
      </c>
      <c r="S326" s="18">
        <f t="shared" si="141"/>
        <v>1.2290909698188556E-2</v>
      </c>
      <c r="T326" s="18">
        <f t="shared" si="143"/>
        <v>5.3591534370946298E-3</v>
      </c>
      <c r="U326" s="18">
        <f t="shared" si="145"/>
        <v>2.0194314488981959E-3</v>
      </c>
      <c r="V326" s="18">
        <f t="shared" si="146"/>
        <v>2.3916374464013956E-2</v>
      </c>
      <c r="W326" s="18">
        <f t="shared" si="147"/>
        <v>2.5903717619126909E-2</v>
      </c>
      <c r="X326" s="18">
        <f t="shared" si="148"/>
        <v>7.1812895820011474E-3</v>
      </c>
      <c r="Y326" s="18">
        <f t="shared" si="149"/>
        <v>2.7312033929386813E-2</v>
      </c>
      <c r="AA326" s="18">
        <f t="shared" si="159"/>
        <v>0.11478275530516453</v>
      </c>
      <c r="AB326" s="18">
        <f t="shared" si="160"/>
        <v>1.3175080915445277E-2</v>
      </c>
      <c r="AC326" s="18">
        <f t="shared" si="162"/>
        <v>4.3065661293442678E-2</v>
      </c>
      <c r="AD326" s="18">
        <f t="shared" si="164"/>
        <v>3.1649508859042406E-2</v>
      </c>
      <c r="AE326" s="18">
        <f t="shared" ref="AE326:AE389" si="166">IF(ISNUMBER(AB323),AB323,"")</f>
        <v>2.5614407656939512E-2</v>
      </c>
      <c r="AF326" s="18">
        <f t="shared" si="140"/>
        <v>9.9966224210391481E-3</v>
      </c>
      <c r="AG326" s="18">
        <f t="shared" si="142"/>
        <v>2.0034166381532755E-3</v>
      </c>
      <c r="AH326" s="18">
        <f t="shared" si="144"/>
        <v>5.4843080653723545E-3</v>
      </c>
      <c r="AJ326" s="18">
        <f>IF(ISNUMBER(Kernel!M326),Kernel!M326,"")</f>
        <v>4.9718338301949577E-2</v>
      </c>
      <c r="AK326" s="18">
        <f t="shared" si="157"/>
        <v>2.4719131635071064E-3</v>
      </c>
      <c r="AN326" s="18">
        <f>IF(ISNUMBER(Volcanic!G326),Volcanic!G326,"")</f>
        <v>1.609E-2</v>
      </c>
    </row>
    <row r="327" spans="1:40">
      <c r="A327" s="18" t="str">
        <f>IF(Volcanic!A327="","",Volcanic!A327)</f>
        <v>4/1985</v>
      </c>
      <c r="B327" s="18">
        <f>IF(ISNUMBER(Volcanic!L327),Volcanic!L327,"")</f>
        <v>1985.2916666666667</v>
      </c>
      <c r="C327" s="18">
        <f>IF(ISNUMBER(Volcanic!J327),Volcanic!J327,"")</f>
        <v>-3.5970938464888413E-2</v>
      </c>
      <c r="D327" s="18">
        <f t="shared" si="150"/>
        <v>1.2939084140447888E-3</v>
      </c>
      <c r="E327" s="18">
        <f>IF(ISNUMBER(Volcanic!C327),Volcanic!C327,"")</f>
        <v>0.31639403332587512</v>
      </c>
      <c r="F327" s="18">
        <f>IF(ISNUMBER(Volcanic!D327),Volcanic!D327,"")</f>
        <v>-1.01</v>
      </c>
      <c r="G327" s="18">
        <f>IF(ISNUMBER(Volcanic!E327),Volcanic!E327,"")</f>
        <v>2.4070000000000001E-2</v>
      </c>
      <c r="H327" s="18">
        <f t="shared" si="151"/>
        <v>0.10010518432421497</v>
      </c>
      <c r="I327" s="18">
        <f t="shared" si="152"/>
        <v>1.0201</v>
      </c>
      <c r="J327" s="18">
        <f t="shared" si="153"/>
        <v>5.7936490000000005E-4</v>
      </c>
      <c r="K327" s="18">
        <f t="shared" si="154"/>
        <v>-0.31955797365913385</v>
      </c>
      <c r="L327" s="18">
        <f t="shared" si="155"/>
        <v>7.6156043821538144E-3</v>
      </c>
      <c r="M327" s="18">
        <f t="shared" si="156"/>
        <v>-2.4310700000000001E-2</v>
      </c>
      <c r="N327" s="18">
        <f t="shared" si="158"/>
        <v>8.4299905175617453E-4</v>
      </c>
      <c r="O327" s="18">
        <f t="shared" si="161"/>
        <v>2.9084173412095699E-2</v>
      </c>
      <c r="P327" s="18">
        <f t="shared" si="163"/>
        <v>5.4098206439505726E-3</v>
      </c>
      <c r="Q327" s="18">
        <f t="shared" si="165"/>
        <v>4.3072875259918916E-2</v>
      </c>
      <c r="R327" s="18">
        <f t="shared" ref="R327:R390" si="167">IF(ISNUMBER(D322),D322,"")</f>
        <v>8.9228192991801826E-3</v>
      </c>
      <c r="S327" s="18">
        <f t="shared" si="141"/>
        <v>1.2063318039715843E-4</v>
      </c>
      <c r="T327" s="18">
        <f t="shared" si="143"/>
        <v>1.2290909698188556E-2</v>
      </c>
      <c r="U327" s="18">
        <f t="shared" si="145"/>
        <v>5.3591534370946298E-3</v>
      </c>
      <c r="V327" s="18">
        <f t="shared" si="146"/>
        <v>2.0194314488981959E-3</v>
      </c>
      <c r="W327" s="18">
        <f t="shared" si="147"/>
        <v>2.3916374464013956E-2</v>
      </c>
      <c r="X327" s="18">
        <f t="shared" si="148"/>
        <v>2.5903717619126909E-2</v>
      </c>
      <c r="Y327" s="18">
        <f t="shared" si="149"/>
        <v>7.1812895820011474E-3</v>
      </c>
      <c r="AA327" s="18">
        <f t="shared" si="159"/>
        <v>-5.0569522911820042E-2</v>
      </c>
      <c r="AB327" s="18">
        <f t="shared" si="160"/>
        <v>2.5572766475290922E-3</v>
      </c>
      <c r="AC327" s="18">
        <f t="shared" si="162"/>
        <v>1.3175080915445277E-2</v>
      </c>
      <c r="AD327" s="18">
        <f t="shared" si="164"/>
        <v>4.3065661293442678E-2</v>
      </c>
      <c r="AE327" s="18">
        <f t="shared" si="166"/>
        <v>3.1649508859042406E-2</v>
      </c>
      <c r="AF327" s="18">
        <f t="shared" ref="AF327:AF390" si="168">IF(ISNUMBER(AB323),AB323,"")</f>
        <v>2.5614407656939512E-2</v>
      </c>
      <c r="AG327" s="18">
        <f t="shared" si="142"/>
        <v>9.9966224210391481E-3</v>
      </c>
      <c r="AH327" s="18">
        <f t="shared" si="144"/>
        <v>2.0034166381532755E-3</v>
      </c>
      <c r="AJ327" s="18">
        <f>IF(ISNUMBER(Kernel!M327),Kernel!M327,"")</f>
        <v>-9.3113037798642218E-3</v>
      </c>
      <c r="AK327" s="18">
        <f t="shared" si="157"/>
        <v>8.6700378080913738E-5</v>
      </c>
      <c r="AN327" s="18">
        <f>IF(ISNUMBER(Volcanic!G327),Volcanic!G327,"")</f>
        <v>1.4970000000000001E-2</v>
      </c>
    </row>
    <row r="328" spans="1:40">
      <c r="A328" s="18" t="str">
        <f>IF(Volcanic!A328="","",Volcanic!A328)</f>
        <v>5/1985</v>
      </c>
      <c r="B328" s="18">
        <f>IF(ISNUMBER(Volcanic!L328),Volcanic!L328,"")</f>
        <v>1985.375</v>
      </c>
      <c r="C328" s="18">
        <f>IF(ISNUMBER(Volcanic!J328),Volcanic!J328,"")</f>
        <v>-3.0797687486165598E-2</v>
      </c>
      <c r="D328" s="18">
        <f t="shared" si="150"/>
        <v>9.4849755449552108E-4</v>
      </c>
      <c r="E328" s="18">
        <f>IF(ISNUMBER(Volcanic!C328),Volcanic!C328,"")</f>
        <v>0.3189572082710998</v>
      </c>
      <c r="F328" s="18">
        <f>IF(ISNUMBER(Volcanic!D328),Volcanic!D328,"")</f>
        <v>-0.86</v>
      </c>
      <c r="G328" s="18">
        <f>IF(ISNUMBER(Volcanic!E328),Volcanic!E328,"")</f>
        <v>2.2290000000000001E-2</v>
      </c>
      <c r="H328" s="18">
        <f t="shared" si="151"/>
        <v>0.10173370070809373</v>
      </c>
      <c r="I328" s="18">
        <f t="shared" si="152"/>
        <v>0.73959999999999992</v>
      </c>
      <c r="J328" s="18">
        <f t="shared" si="153"/>
        <v>4.9684410000000001E-4</v>
      </c>
      <c r="K328" s="18">
        <f t="shared" si="154"/>
        <v>-0.27430319911314582</v>
      </c>
      <c r="L328" s="18">
        <f t="shared" si="155"/>
        <v>7.1095561723628145E-3</v>
      </c>
      <c r="M328" s="18">
        <f t="shared" si="156"/>
        <v>-1.91694E-2</v>
      </c>
      <c r="N328" s="18">
        <f t="shared" si="158"/>
        <v>1.2939084140447888E-3</v>
      </c>
      <c r="O328" s="18">
        <f t="shared" si="161"/>
        <v>8.4299905175617453E-4</v>
      </c>
      <c r="P328" s="18">
        <f t="shared" si="163"/>
        <v>2.9084173412095699E-2</v>
      </c>
      <c r="Q328" s="18">
        <f t="shared" si="165"/>
        <v>5.4098206439505726E-3</v>
      </c>
      <c r="R328" s="18">
        <f t="shared" si="167"/>
        <v>4.3072875259918916E-2</v>
      </c>
      <c r="S328" s="18">
        <f t="shared" ref="S328:S391" si="169">IF(ISNUMBER(D322),D322,"")</f>
        <v>8.9228192991801826E-3</v>
      </c>
      <c r="T328" s="18">
        <f t="shared" si="143"/>
        <v>1.2063318039715843E-4</v>
      </c>
      <c r="U328" s="18">
        <f t="shared" si="145"/>
        <v>1.2290909698188556E-2</v>
      </c>
      <c r="V328" s="18">
        <f t="shared" si="146"/>
        <v>5.3591534370946298E-3</v>
      </c>
      <c r="W328" s="18">
        <f t="shared" si="147"/>
        <v>2.0194314488981959E-3</v>
      </c>
      <c r="X328" s="18">
        <f t="shared" si="148"/>
        <v>2.3916374464013956E-2</v>
      </c>
      <c r="Y328" s="18">
        <f t="shared" si="149"/>
        <v>2.5903717619126909E-2</v>
      </c>
      <c r="AA328" s="18">
        <f t="shared" si="159"/>
        <v>-1.2711419069746151E-2</v>
      </c>
      <c r="AB328" s="18">
        <f t="shared" si="160"/>
        <v>1.6158017476670611E-4</v>
      </c>
      <c r="AC328" s="18">
        <f t="shared" si="162"/>
        <v>2.5572766475290922E-3</v>
      </c>
      <c r="AD328" s="18">
        <f t="shared" si="164"/>
        <v>1.3175080915445277E-2</v>
      </c>
      <c r="AE328" s="18">
        <f t="shared" si="166"/>
        <v>4.3065661293442678E-2</v>
      </c>
      <c r="AF328" s="18">
        <f t="shared" si="168"/>
        <v>3.1649508859042406E-2</v>
      </c>
      <c r="AG328" s="18">
        <f t="shared" ref="AG328:AG391" si="170">IF(ISNUMBER(AB323),AB323,"")</f>
        <v>2.5614407656939512E-2</v>
      </c>
      <c r="AH328" s="18">
        <f t="shared" si="144"/>
        <v>9.9966224210391481E-3</v>
      </c>
      <c r="AJ328" s="18">
        <f>IF(ISNUMBER(Kernel!M328),Kernel!M328,"")</f>
        <v>1.2440750182664106E-2</v>
      </c>
      <c r="AK328" s="18">
        <f t="shared" si="157"/>
        <v>1.54772265107457E-4</v>
      </c>
      <c r="AN328" s="18">
        <f>IF(ISNUMBER(Volcanic!G328),Volcanic!G328,"")</f>
        <v>1.376E-2</v>
      </c>
    </row>
    <row r="329" spans="1:40">
      <c r="A329" s="18" t="str">
        <f>IF(Volcanic!A329="","",Volcanic!A329)</f>
        <v>6/1985</v>
      </c>
      <c r="B329" s="18">
        <f>IF(ISNUMBER(Volcanic!L329),Volcanic!L329,"")</f>
        <v>1985.4583333333333</v>
      </c>
      <c r="C329" s="18">
        <f>IF(ISNUMBER(Volcanic!J329),Volcanic!J329,"")</f>
        <v>-2.7020294110857879E-2</v>
      </c>
      <c r="D329" s="18">
        <f t="shared" si="150"/>
        <v>7.3009629383726101E-4</v>
      </c>
      <c r="E329" s="18">
        <f>IF(ISNUMBER(Volcanic!C329),Volcanic!C329,"")</f>
        <v>0.31635265445446925</v>
      </c>
      <c r="F329" s="18">
        <f>IF(ISNUMBER(Volcanic!D329),Volcanic!D329,"")</f>
        <v>-0.85</v>
      </c>
      <c r="G329" s="18">
        <f>IF(ISNUMBER(Volcanic!E329),Volcanic!E329,"")</f>
        <v>2.12E-2</v>
      </c>
      <c r="H329" s="18">
        <f t="shared" si="151"/>
        <v>0.10007900198038883</v>
      </c>
      <c r="I329" s="18">
        <f t="shared" si="152"/>
        <v>0.72249999999999992</v>
      </c>
      <c r="J329" s="18">
        <f t="shared" si="153"/>
        <v>4.4944000000000001E-4</v>
      </c>
      <c r="K329" s="18">
        <f t="shared" si="154"/>
        <v>-0.26889975628629886</v>
      </c>
      <c r="L329" s="18">
        <f t="shared" si="155"/>
        <v>6.7066762744347483E-3</v>
      </c>
      <c r="M329" s="18">
        <f t="shared" si="156"/>
        <v>-1.8020000000000001E-2</v>
      </c>
      <c r="N329" s="18">
        <f t="shared" si="158"/>
        <v>9.4849755449552108E-4</v>
      </c>
      <c r="O329" s="18">
        <f t="shared" si="161"/>
        <v>1.2939084140447888E-3</v>
      </c>
      <c r="P329" s="18">
        <f t="shared" si="163"/>
        <v>8.4299905175617453E-4</v>
      </c>
      <c r="Q329" s="18">
        <f t="shared" si="165"/>
        <v>2.9084173412095699E-2</v>
      </c>
      <c r="R329" s="18">
        <f t="shared" si="167"/>
        <v>5.4098206439505726E-3</v>
      </c>
      <c r="S329" s="18">
        <f t="shared" si="169"/>
        <v>4.3072875259918916E-2</v>
      </c>
      <c r="T329" s="18">
        <f t="shared" ref="T329:T392" si="171">IF(ISNUMBER(D322),D322,"")</f>
        <v>8.9228192991801826E-3</v>
      </c>
      <c r="U329" s="18">
        <f t="shared" si="145"/>
        <v>1.2063318039715843E-4</v>
      </c>
      <c r="V329" s="18">
        <f t="shared" si="146"/>
        <v>1.2290909698188556E-2</v>
      </c>
      <c r="W329" s="18">
        <f t="shared" si="147"/>
        <v>5.3591534370946298E-3</v>
      </c>
      <c r="X329" s="18">
        <f t="shared" si="148"/>
        <v>2.0194314488981959E-3</v>
      </c>
      <c r="Y329" s="18">
        <f t="shared" si="149"/>
        <v>2.3916374464013956E-2</v>
      </c>
      <c r="AA329" s="18">
        <f t="shared" si="159"/>
        <v>-1.1535147871943336E-2</v>
      </c>
      <c r="AB329" s="18">
        <f t="shared" si="160"/>
        <v>1.3305963642759887E-4</v>
      </c>
      <c r="AC329" s="18">
        <f t="shared" si="162"/>
        <v>1.6158017476670611E-4</v>
      </c>
      <c r="AD329" s="18">
        <f t="shared" si="164"/>
        <v>2.5572766475290922E-3</v>
      </c>
      <c r="AE329" s="18">
        <f t="shared" si="166"/>
        <v>1.3175080915445277E-2</v>
      </c>
      <c r="AF329" s="18">
        <f t="shared" si="168"/>
        <v>4.3065661293442678E-2</v>
      </c>
      <c r="AG329" s="18">
        <f t="shared" si="170"/>
        <v>3.1649508859042406E-2</v>
      </c>
      <c r="AH329" s="18">
        <f t="shared" ref="AH329:AH392" si="172">IF(ISNUMBER(AB323),AB323,"")</f>
        <v>2.5614407656939512E-2</v>
      </c>
      <c r="AJ329" s="18">
        <f>IF(ISNUMBER(Kernel!M329),Kernel!M329,"")</f>
        <v>1.3872726392412299E-2</v>
      </c>
      <c r="AK329" s="18">
        <f t="shared" si="157"/>
        <v>1.9245253755873276E-4</v>
      </c>
      <c r="AN329" s="18">
        <f>IF(ISNUMBER(Volcanic!G329),Volcanic!G329,"")</f>
        <v>1.3259999999999999E-2</v>
      </c>
    </row>
    <row r="330" spans="1:40">
      <c r="A330" s="18" t="str">
        <f>IF(Volcanic!A330="","",Volcanic!A330)</f>
        <v>7/1985</v>
      </c>
      <c r="B330" s="18">
        <f>IF(ISNUMBER(Volcanic!L330),Volcanic!L330,"")</f>
        <v>1985.5416666666667</v>
      </c>
      <c r="C330" s="18">
        <f>IF(ISNUMBER(Volcanic!J330),Volcanic!J330,"")</f>
        <v>-0.1254904933602366</v>
      </c>
      <c r="D330" s="18">
        <f t="shared" si="150"/>
        <v>1.5747863923795586E-2</v>
      </c>
      <c r="E330" s="18">
        <f>IF(ISNUMBER(Volcanic!C330),Volcanic!C330,"")</f>
        <v>0.30909301345405343</v>
      </c>
      <c r="F330" s="18">
        <f>IF(ISNUMBER(Volcanic!D330),Volcanic!D330,"")</f>
        <v>-0.8</v>
      </c>
      <c r="G330" s="18">
        <f>IF(ISNUMBER(Volcanic!E330),Volcanic!E330,"")</f>
        <v>1.9550000000000001E-2</v>
      </c>
      <c r="H330" s="18">
        <f t="shared" si="151"/>
        <v>9.5538490966107656E-2</v>
      </c>
      <c r="I330" s="18">
        <f t="shared" si="152"/>
        <v>0.64000000000000012</v>
      </c>
      <c r="J330" s="18">
        <f t="shared" si="153"/>
        <v>3.8220250000000006E-4</v>
      </c>
      <c r="K330" s="18">
        <f t="shared" si="154"/>
        <v>-0.24727441076324275</v>
      </c>
      <c r="L330" s="18">
        <f t="shared" si="155"/>
        <v>6.0427684130267452E-3</v>
      </c>
      <c r="M330" s="18">
        <f t="shared" si="156"/>
        <v>-1.5640000000000001E-2</v>
      </c>
      <c r="N330" s="18">
        <f t="shared" si="158"/>
        <v>7.3009629383726101E-4</v>
      </c>
      <c r="O330" s="18">
        <f t="shared" si="161"/>
        <v>9.4849755449552108E-4</v>
      </c>
      <c r="P330" s="18">
        <f t="shared" si="163"/>
        <v>1.2939084140447888E-3</v>
      </c>
      <c r="Q330" s="18">
        <f t="shared" si="165"/>
        <v>8.4299905175617453E-4</v>
      </c>
      <c r="R330" s="18">
        <f t="shared" si="167"/>
        <v>2.9084173412095699E-2</v>
      </c>
      <c r="S330" s="18">
        <f t="shared" si="169"/>
        <v>5.4098206439505726E-3</v>
      </c>
      <c r="T330" s="18">
        <f t="shared" si="171"/>
        <v>4.3072875259918916E-2</v>
      </c>
      <c r="U330" s="18">
        <f t="shared" ref="U330:U393" si="173">IF(ISNUMBER(D322),D322,"")</f>
        <v>8.9228192991801826E-3</v>
      </c>
      <c r="V330" s="18">
        <f t="shared" si="146"/>
        <v>1.2063318039715843E-4</v>
      </c>
      <c r="W330" s="18">
        <f t="shared" si="147"/>
        <v>1.2290909698188556E-2</v>
      </c>
      <c r="X330" s="18">
        <f t="shared" si="148"/>
        <v>5.3591534370946298E-3</v>
      </c>
      <c r="Y330" s="18">
        <f t="shared" si="149"/>
        <v>2.0194314488981959E-3</v>
      </c>
      <c r="AA330" s="18">
        <f t="shared" si="159"/>
        <v>-0.11190462896983171</v>
      </c>
      <c r="AB330" s="18">
        <f t="shared" si="160"/>
        <v>1.2522645984875697E-2</v>
      </c>
      <c r="AC330" s="18">
        <f t="shared" si="162"/>
        <v>1.3305963642759887E-4</v>
      </c>
      <c r="AD330" s="18">
        <f t="shared" si="164"/>
        <v>1.6158017476670611E-4</v>
      </c>
      <c r="AE330" s="18">
        <f t="shared" si="166"/>
        <v>2.5572766475290922E-3</v>
      </c>
      <c r="AF330" s="18">
        <f t="shared" si="168"/>
        <v>1.3175080915445277E-2</v>
      </c>
      <c r="AG330" s="18">
        <f t="shared" si="170"/>
        <v>4.3065661293442678E-2</v>
      </c>
      <c r="AH330" s="18">
        <f t="shared" si="172"/>
        <v>3.1649508859042406E-2</v>
      </c>
      <c r="AJ330" s="18">
        <f>IF(ISNUMBER(Kernel!M330),Kernel!M330,"")</f>
        <v>-8.5115377615094939E-2</v>
      </c>
      <c r="AK330" s="18">
        <f t="shared" si="157"/>
        <v>7.2446275065602044E-3</v>
      </c>
      <c r="AN330" s="18">
        <f>IF(ISNUMBER(Volcanic!G330),Volcanic!G330,"")</f>
        <v>1.264E-2</v>
      </c>
    </row>
    <row r="331" spans="1:40">
      <c r="A331" s="18" t="str">
        <f>IF(Volcanic!A331="","",Volcanic!A331)</f>
        <v>8/1985</v>
      </c>
      <c r="B331" s="18">
        <f>IF(ISNUMBER(Volcanic!L331),Volcanic!L331,"")</f>
        <v>1985.625</v>
      </c>
      <c r="C331" s="18">
        <f>IF(ISNUMBER(Volcanic!J331),Volcanic!J331,"")</f>
        <v>2.0137650110067823E-2</v>
      </c>
      <c r="D331" s="18">
        <f t="shared" si="150"/>
        <v>4.0552495195551462E-4</v>
      </c>
      <c r="E331" s="18">
        <f>IF(ISNUMBER(Volcanic!C331),Volcanic!C331,"")</f>
        <v>0.30225637367507746</v>
      </c>
      <c r="F331" s="18">
        <f>IF(ISNUMBER(Volcanic!D331),Volcanic!D331,"")</f>
        <v>-0.79</v>
      </c>
      <c r="G331" s="18">
        <f>IF(ISNUMBER(Volcanic!E331),Volcanic!E331,"")</f>
        <v>1.8599999999999998E-2</v>
      </c>
      <c r="H331" s="18">
        <f t="shared" si="151"/>
        <v>9.1358915427208059E-2</v>
      </c>
      <c r="I331" s="18">
        <f t="shared" si="152"/>
        <v>0.6241000000000001</v>
      </c>
      <c r="J331" s="18">
        <f t="shared" si="153"/>
        <v>3.4595999999999992E-4</v>
      </c>
      <c r="K331" s="18">
        <f t="shared" si="154"/>
        <v>-0.23878253520331119</v>
      </c>
      <c r="L331" s="18">
        <f t="shared" si="155"/>
        <v>5.6219685503564407E-3</v>
      </c>
      <c r="M331" s="18">
        <f t="shared" si="156"/>
        <v>-1.4693999999999999E-2</v>
      </c>
      <c r="N331" s="18">
        <f t="shared" si="158"/>
        <v>1.5747863923795586E-2</v>
      </c>
      <c r="O331" s="18">
        <f t="shared" si="161"/>
        <v>7.3009629383726101E-4</v>
      </c>
      <c r="P331" s="18">
        <f t="shared" si="163"/>
        <v>9.4849755449552108E-4</v>
      </c>
      <c r="Q331" s="18">
        <f t="shared" si="165"/>
        <v>1.2939084140447888E-3</v>
      </c>
      <c r="R331" s="18">
        <f t="shared" si="167"/>
        <v>8.4299905175617453E-4</v>
      </c>
      <c r="S331" s="18">
        <f t="shared" si="169"/>
        <v>2.9084173412095699E-2</v>
      </c>
      <c r="T331" s="18">
        <f t="shared" si="171"/>
        <v>5.4098206439505726E-3</v>
      </c>
      <c r="U331" s="18">
        <f t="shared" si="173"/>
        <v>4.3072875259918916E-2</v>
      </c>
      <c r="V331" s="18">
        <f t="shared" ref="V331:V394" si="174">IF(ISNUMBER(D322),D322,"")</f>
        <v>8.9228192991801826E-3</v>
      </c>
      <c r="W331" s="18">
        <f t="shared" si="147"/>
        <v>1.2063318039715843E-4</v>
      </c>
      <c r="X331" s="18">
        <f t="shared" si="148"/>
        <v>1.2290909698188556E-2</v>
      </c>
      <c r="Y331" s="18">
        <f t="shared" si="149"/>
        <v>5.3591534370946298E-3</v>
      </c>
      <c r="AA331" s="18">
        <f t="shared" si="159"/>
        <v>8.3234551205310967E-2</v>
      </c>
      <c r="AB331" s="18">
        <f t="shared" si="160"/>
        <v>6.9279905143495336E-3</v>
      </c>
      <c r="AC331" s="18">
        <f t="shared" si="162"/>
        <v>1.2522645984875697E-2</v>
      </c>
      <c r="AD331" s="18">
        <f t="shared" si="164"/>
        <v>1.3305963642759887E-4</v>
      </c>
      <c r="AE331" s="18">
        <f t="shared" si="166"/>
        <v>1.6158017476670611E-4</v>
      </c>
      <c r="AF331" s="18">
        <f t="shared" si="168"/>
        <v>2.5572766475290922E-3</v>
      </c>
      <c r="AG331" s="18">
        <f t="shared" si="170"/>
        <v>1.3175080915445277E-2</v>
      </c>
      <c r="AH331" s="18">
        <f t="shared" si="172"/>
        <v>4.3065661293442678E-2</v>
      </c>
      <c r="AJ331" s="18">
        <f>IF(ISNUMBER(Kernel!M331),Kernel!M331,"")</f>
        <v>5.3390821634083666E-2</v>
      </c>
      <c r="AK331" s="18">
        <f t="shared" si="157"/>
        <v>2.8505798347625362E-3</v>
      </c>
      <c r="AN331" s="18">
        <f>IF(ISNUMBER(Volcanic!G331),Volcanic!G331,"")</f>
        <v>1.2370000000000001E-2</v>
      </c>
    </row>
    <row r="332" spans="1:40">
      <c r="A332" s="18" t="str">
        <f>IF(Volcanic!A332="","",Volcanic!A332)</f>
        <v>9/1985</v>
      </c>
      <c r="B332" s="18">
        <f>IF(ISNUMBER(Volcanic!L332),Volcanic!L332,"")</f>
        <v>1985.7083333333333</v>
      </c>
      <c r="C332" s="18">
        <f>IF(ISNUMBER(Volcanic!J332),Volcanic!J332,"")</f>
        <v>-1.9746577957398703E-2</v>
      </c>
      <c r="D332" s="18">
        <f t="shared" si="150"/>
        <v>3.8992734102762436E-4</v>
      </c>
      <c r="E332" s="18">
        <f>IF(ISNUMBER(Volcanic!C332),Volcanic!C332,"")</f>
        <v>0.29475726680375902</v>
      </c>
      <c r="F332" s="18">
        <f>IF(ISNUMBER(Volcanic!D332),Volcanic!D332,"")</f>
        <v>-0.6</v>
      </c>
      <c r="G332" s="18">
        <f>IF(ISNUMBER(Volcanic!E332),Volcanic!E332,"")</f>
        <v>1.737E-2</v>
      </c>
      <c r="H332" s="18">
        <f t="shared" si="151"/>
        <v>8.6881846333622378E-2</v>
      </c>
      <c r="I332" s="18">
        <f t="shared" si="152"/>
        <v>0.36</v>
      </c>
      <c r="J332" s="18">
        <f t="shared" si="153"/>
        <v>3.0171689999999998E-4</v>
      </c>
      <c r="K332" s="18">
        <f t="shared" si="154"/>
        <v>-0.17685436008225541</v>
      </c>
      <c r="L332" s="18">
        <f t="shared" si="155"/>
        <v>5.1199337243812938E-3</v>
      </c>
      <c r="M332" s="18">
        <f t="shared" si="156"/>
        <v>-1.0421999999999999E-2</v>
      </c>
      <c r="N332" s="18">
        <f t="shared" si="158"/>
        <v>4.0552495195551462E-4</v>
      </c>
      <c r="O332" s="18">
        <f t="shared" si="161"/>
        <v>1.5747863923795586E-2</v>
      </c>
      <c r="P332" s="18">
        <f t="shared" si="163"/>
        <v>7.3009629383726101E-4</v>
      </c>
      <c r="Q332" s="18">
        <f t="shared" si="165"/>
        <v>9.4849755449552108E-4</v>
      </c>
      <c r="R332" s="18">
        <f t="shared" si="167"/>
        <v>1.2939084140447888E-3</v>
      </c>
      <c r="S332" s="18">
        <f t="shared" si="169"/>
        <v>8.4299905175617453E-4</v>
      </c>
      <c r="T332" s="18">
        <f t="shared" si="171"/>
        <v>2.9084173412095699E-2</v>
      </c>
      <c r="U332" s="18">
        <f t="shared" si="173"/>
        <v>5.4098206439505726E-3</v>
      </c>
      <c r="V332" s="18">
        <f t="shared" si="174"/>
        <v>4.3072875259918916E-2</v>
      </c>
      <c r="W332" s="18">
        <f t="shared" ref="W332:W395" si="175">IF(ISNUMBER(D322),D322,"")</f>
        <v>8.9228192991801826E-3</v>
      </c>
      <c r="X332" s="18">
        <f t="shared" si="148"/>
        <v>1.2063318039715843E-4</v>
      </c>
      <c r="Y332" s="18">
        <f t="shared" si="149"/>
        <v>1.2290909698188556E-2</v>
      </c>
      <c r="AA332" s="18">
        <f t="shared" si="159"/>
        <v>-2.9871833530648179E-2</v>
      </c>
      <c r="AB332" s="18">
        <f t="shared" si="160"/>
        <v>8.9232643848275687E-4</v>
      </c>
      <c r="AC332" s="18">
        <f t="shared" si="162"/>
        <v>6.9279905143495336E-3</v>
      </c>
      <c r="AD332" s="18">
        <f t="shared" si="164"/>
        <v>1.2522645984875697E-2</v>
      </c>
      <c r="AE332" s="18">
        <f t="shared" si="166"/>
        <v>1.3305963642759887E-4</v>
      </c>
      <c r="AF332" s="18">
        <f t="shared" si="168"/>
        <v>1.6158017476670611E-4</v>
      </c>
      <c r="AG332" s="18">
        <f t="shared" si="170"/>
        <v>2.5572766475290922E-3</v>
      </c>
      <c r="AH332" s="18">
        <f t="shared" si="172"/>
        <v>1.3175080915445277E-2</v>
      </c>
      <c r="AJ332" s="18">
        <f>IF(ISNUMBER(Kernel!M332),Kernel!M332,"")</f>
        <v>2.4414319197793077E-2</v>
      </c>
      <c r="AK332" s="18">
        <f t="shared" si="157"/>
        <v>5.9605898189172765E-4</v>
      </c>
      <c r="AN332" s="18">
        <f>IF(ISNUMBER(Volcanic!G332),Volcanic!G332,"")</f>
        <v>1.179E-2</v>
      </c>
    </row>
    <row r="333" spans="1:40">
      <c r="A333" s="18" t="str">
        <f>IF(Volcanic!A333="","",Volcanic!A333)</f>
        <v>10/1985</v>
      </c>
      <c r="B333" s="18">
        <f>IF(ISNUMBER(Volcanic!L333),Volcanic!L333,"")</f>
        <v>1985.7916666666667</v>
      </c>
      <c r="C333" s="18">
        <f>IF(ISNUMBER(Volcanic!J333),Volcanic!J333,"")</f>
        <v>-4.603525313934681E-2</v>
      </c>
      <c r="D333" s="18">
        <f t="shared" si="150"/>
        <v>2.1192445316037404E-3</v>
      </c>
      <c r="E333" s="18">
        <f>IF(ISNUMBER(Volcanic!C333),Volcanic!C333,"")</f>
        <v>0.29425313644451412</v>
      </c>
      <c r="F333" s="18">
        <f>IF(ISNUMBER(Volcanic!D333),Volcanic!D333,"")</f>
        <v>-0.44</v>
      </c>
      <c r="G333" s="18">
        <f>IF(ISNUMBER(Volcanic!E333),Volcanic!E333,"")</f>
        <v>1.609E-2</v>
      </c>
      <c r="H333" s="18">
        <f t="shared" si="151"/>
        <v>8.6584908307433844E-2</v>
      </c>
      <c r="I333" s="18">
        <f t="shared" si="152"/>
        <v>0.19359999999999999</v>
      </c>
      <c r="J333" s="18">
        <f t="shared" si="153"/>
        <v>2.5888810000000001E-4</v>
      </c>
      <c r="K333" s="18">
        <f t="shared" si="154"/>
        <v>-0.12947138003558623</v>
      </c>
      <c r="L333" s="18">
        <f t="shared" si="155"/>
        <v>4.7345329653922319E-3</v>
      </c>
      <c r="M333" s="18">
        <f t="shared" si="156"/>
        <v>-7.0796000000000001E-3</v>
      </c>
      <c r="N333" s="18">
        <f t="shared" si="158"/>
        <v>3.8992734102762436E-4</v>
      </c>
      <c r="O333" s="18">
        <f t="shared" si="161"/>
        <v>4.0552495195551462E-4</v>
      </c>
      <c r="P333" s="18">
        <f t="shared" si="163"/>
        <v>1.5747863923795586E-2</v>
      </c>
      <c r="Q333" s="18">
        <f t="shared" si="165"/>
        <v>7.3009629383726101E-4</v>
      </c>
      <c r="R333" s="18">
        <f t="shared" si="167"/>
        <v>9.4849755449552108E-4</v>
      </c>
      <c r="S333" s="18">
        <f t="shared" si="169"/>
        <v>1.2939084140447888E-3</v>
      </c>
      <c r="T333" s="18">
        <f t="shared" si="171"/>
        <v>8.4299905175617453E-4</v>
      </c>
      <c r="U333" s="18">
        <f t="shared" si="173"/>
        <v>2.9084173412095699E-2</v>
      </c>
      <c r="V333" s="18">
        <f t="shared" si="174"/>
        <v>5.4098206439505726E-3</v>
      </c>
      <c r="W333" s="18">
        <f t="shared" si="175"/>
        <v>4.3072875259918916E-2</v>
      </c>
      <c r="X333" s="18">
        <f t="shared" ref="X333:X396" si="176">IF(ISNUMBER(D322),D322,"")</f>
        <v>8.9228192991801826E-3</v>
      </c>
      <c r="Y333" s="18">
        <f t="shared" si="149"/>
        <v>1.2063318039715843E-4</v>
      </c>
      <c r="AA333" s="18">
        <f t="shared" si="159"/>
        <v>-3.6106629520258463E-2</v>
      </c>
      <c r="AB333" s="18">
        <f t="shared" si="160"/>
        <v>1.3036886953131999E-3</v>
      </c>
      <c r="AC333" s="18">
        <f t="shared" si="162"/>
        <v>8.9232643848275687E-4</v>
      </c>
      <c r="AD333" s="18">
        <f t="shared" si="164"/>
        <v>6.9279905143495336E-3</v>
      </c>
      <c r="AE333" s="18">
        <f t="shared" si="166"/>
        <v>1.2522645984875697E-2</v>
      </c>
      <c r="AF333" s="18">
        <f t="shared" si="168"/>
        <v>1.3305963642759887E-4</v>
      </c>
      <c r="AG333" s="18">
        <f t="shared" si="170"/>
        <v>1.6158017476670611E-4</v>
      </c>
      <c r="AH333" s="18">
        <f t="shared" si="172"/>
        <v>2.5572766475290922E-3</v>
      </c>
      <c r="AJ333" s="18">
        <f>IF(ISNUMBER(Kernel!M333),Kernel!M333,"")</f>
        <v>7.4376101957764063E-3</v>
      </c>
      <c r="AK333" s="18">
        <f t="shared" si="157"/>
        <v>5.5318045424317155E-5</v>
      </c>
      <c r="AN333" s="18">
        <f>IF(ISNUMBER(Volcanic!G333),Volcanic!G333,"")</f>
        <v>1.15E-2</v>
      </c>
    </row>
    <row r="334" spans="1:40">
      <c r="A334" s="18" t="str">
        <f>IF(Volcanic!A334="","",Volcanic!A334)</f>
        <v>11/1985</v>
      </c>
      <c r="B334" s="18">
        <f>IF(ISNUMBER(Volcanic!L334),Volcanic!L334,"")</f>
        <v>1985.875</v>
      </c>
      <c r="C334" s="18">
        <f>IF(ISNUMBER(Volcanic!J334),Volcanic!J334,"")</f>
        <v>-0.14449041443035548</v>
      </c>
      <c r="D334" s="18">
        <f t="shared" si="150"/>
        <v>2.0877479862255882E-2</v>
      </c>
      <c r="E334" s="18">
        <f>IF(ISNUMBER(Volcanic!C334),Volcanic!C334,"")</f>
        <v>0.30004002699743576</v>
      </c>
      <c r="F334" s="18">
        <f>IF(ISNUMBER(Volcanic!D334),Volcanic!D334,"")</f>
        <v>-0.33</v>
      </c>
      <c r="G334" s="18">
        <f>IF(ISNUMBER(Volcanic!E334),Volcanic!E334,"")</f>
        <v>1.4970000000000001E-2</v>
      </c>
      <c r="H334" s="18">
        <f t="shared" si="151"/>
        <v>9.0024017800621983E-2</v>
      </c>
      <c r="I334" s="18">
        <f t="shared" si="152"/>
        <v>0.10890000000000001</v>
      </c>
      <c r="J334" s="18">
        <f t="shared" si="153"/>
        <v>2.2410090000000001E-4</v>
      </c>
      <c r="K334" s="18">
        <f t="shared" si="154"/>
        <v>-9.9013208909153799E-2</v>
      </c>
      <c r="L334" s="18">
        <f t="shared" si="155"/>
        <v>4.4915992041516138E-3</v>
      </c>
      <c r="M334" s="18">
        <f t="shared" si="156"/>
        <v>-4.9401000000000002E-3</v>
      </c>
      <c r="N334" s="18">
        <f t="shared" si="158"/>
        <v>2.1192445316037404E-3</v>
      </c>
      <c r="O334" s="18">
        <f t="shared" si="161"/>
        <v>3.8992734102762436E-4</v>
      </c>
      <c r="P334" s="18">
        <f t="shared" si="163"/>
        <v>4.0552495195551462E-4</v>
      </c>
      <c r="Q334" s="18">
        <f t="shared" si="165"/>
        <v>1.5747863923795586E-2</v>
      </c>
      <c r="R334" s="18">
        <f t="shared" si="167"/>
        <v>7.3009629383726101E-4</v>
      </c>
      <c r="S334" s="18">
        <f t="shared" si="169"/>
        <v>9.4849755449552108E-4</v>
      </c>
      <c r="T334" s="18">
        <f t="shared" si="171"/>
        <v>1.2939084140447888E-3</v>
      </c>
      <c r="U334" s="18">
        <f t="shared" si="173"/>
        <v>8.4299905175617453E-4</v>
      </c>
      <c r="V334" s="18">
        <f t="shared" si="174"/>
        <v>2.9084173412095699E-2</v>
      </c>
      <c r="W334" s="18">
        <f t="shared" si="175"/>
        <v>5.4098206439505726E-3</v>
      </c>
      <c r="X334" s="18">
        <f t="shared" si="176"/>
        <v>4.3072875259918916E-2</v>
      </c>
      <c r="Y334" s="18">
        <f t="shared" ref="Y334:Y397" si="177">IF(ISNUMBER(D322),D322,"")</f>
        <v>8.9228192991801826E-3</v>
      </c>
      <c r="AA334" s="18">
        <f t="shared" si="159"/>
        <v>-0.12134378605676559</v>
      </c>
      <c r="AB334" s="18">
        <f t="shared" si="160"/>
        <v>1.4724314414590099E-2</v>
      </c>
      <c r="AC334" s="18">
        <f t="shared" si="162"/>
        <v>1.3036886953131999E-3</v>
      </c>
      <c r="AD334" s="18">
        <f t="shared" si="164"/>
        <v>8.9232643848275687E-4</v>
      </c>
      <c r="AE334" s="18">
        <f t="shared" si="166"/>
        <v>6.9279905143495336E-3</v>
      </c>
      <c r="AF334" s="18">
        <f t="shared" si="168"/>
        <v>1.2522645984875697E-2</v>
      </c>
      <c r="AG334" s="18">
        <f t="shared" si="170"/>
        <v>1.3305963642759887E-4</v>
      </c>
      <c r="AH334" s="18">
        <f t="shared" si="172"/>
        <v>1.6158017476670611E-4</v>
      </c>
      <c r="AJ334" s="18">
        <f>IF(ISNUMBER(Kernel!M334),Kernel!M334,"")</f>
        <v>-8.6030675943850554E-2</v>
      </c>
      <c r="AK334" s="18">
        <f t="shared" si="157"/>
        <v>7.4012772033558265E-3</v>
      </c>
      <c r="AN334" s="18">
        <f>IF(ISNUMBER(Volcanic!G334),Volcanic!G334,"")</f>
        <v>1.103E-2</v>
      </c>
    </row>
    <row r="335" spans="1:40">
      <c r="A335" s="18" t="str">
        <f>IF(Volcanic!A335="","",Volcanic!A335)</f>
        <v>12/1985</v>
      </c>
      <c r="B335" s="18">
        <f>IF(ISNUMBER(Volcanic!L335),Volcanic!L335,"")</f>
        <v>1985.9583333333333</v>
      </c>
      <c r="C335" s="18">
        <f>IF(ISNUMBER(Volcanic!J335),Volcanic!J335,"")</f>
        <v>-7.4842685383551349E-2</v>
      </c>
      <c r="D335" s="18">
        <f t="shared" si="150"/>
        <v>5.6014275554212506E-3</v>
      </c>
      <c r="E335" s="18">
        <f>IF(ISNUMBER(Volcanic!C335),Volcanic!C335,"")</f>
        <v>0.30584548060634364</v>
      </c>
      <c r="F335" s="18">
        <f>IF(ISNUMBER(Volcanic!D335),Volcanic!D335,"")</f>
        <v>-0.31</v>
      </c>
      <c r="G335" s="18">
        <f>IF(ISNUMBER(Volcanic!E335),Volcanic!E335,"")</f>
        <v>1.376E-2</v>
      </c>
      <c r="H335" s="18">
        <f t="shared" si="151"/>
        <v>9.3541458007325329E-2</v>
      </c>
      <c r="I335" s="18">
        <f t="shared" si="152"/>
        <v>9.6100000000000005E-2</v>
      </c>
      <c r="J335" s="18">
        <f t="shared" si="153"/>
        <v>1.8933759999999999E-4</v>
      </c>
      <c r="K335" s="18">
        <f t="shared" si="154"/>
        <v>-9.4812098987966525E-2</v>
      </c>
      <c r="L335" s="18">
        <f t="shared" si="155"/>
        <v>4.2084338131432881E-3</v>
      </c>
      <c r="M335" s="18">
        <f t="shared" si="156"/>
        <v>-4.2655999999999996E-3</v>
      </c>
      <c r="N335" s="18">
        <f t="shared" si="158"/>
        <v>2.0877479862255882E-2</v>
      </c>
      <c r="O335" s="18">
        <f t="shared" si="161"/>
        <v>2.1192445316037404E-3</v>
      </c>
      <c r="P335" s="18">
        <f t="shared" si="163"/>
        <v>3.8992734102762436E-4</v>
      </c>
      <c r="Q335" s="18">
        <f t="shared" si="165"/>
        <v>4.0552495195551462E-4</v>
      </c>
      <c r="R335" s="18">
        <f t="shared" si="167"/>
        <v>1.5747863923795586E-2</v>
      </c>
      <c r="S335" s="18">
        <f t="shared" si="169"/>
        <v>7.3009629383726101E-4</v>
      </c>
      <c r="T335" s="18">
        <f t="shared" si="171"/>
        <v>9.4849755449552108E-4</v>
      </c>
      <c r="U335" s="18">
        <f t="shared" si="173"/>
        <v>1.2939084140447888E-3</v>
      </c>
      <c r="V335" s="18">
        <f t="shared" si="174"/>
        <v>8.4299905175617453E-4</v>
      </c>
      <c r="W335" s="18">
        <f t="shared" si="175"/>
        <v>2.9084173412095699E-2</v>
      </c>
      <c r="X335" s="18">
        <f t="shared" si="176"/>
        <v>5.4098206439505726E-3</v>
      </c>
      <c r="Y335" s="18">
        <f t="shared" si="177"/>
        <v>4.3072875259918916E-2</v>
      </c>
      <c r="AA335" s="18">
        <f t="shared" si="159"/>
        <v>-2.1925814242689107E-3</v>
      </c>
      <c r="AB335" s="18">
        <f t="shared" si="160"/>
        <v>4.8074133020490848E-6</v>
      </c>
      <c r="AC335" s="18">
        <f t="shared" si="162"/>
        <v>1.4724314414590099E-2</v>
      </c>
      <c r="AD335" s="18">
        <f t="shared" si="164"/>
        <v>1.3036886953131999E-3</v>
      </c>
      <c r="AE335" s="18">
        <f t="shared" si="166"/>
        <v>8.9232643848275687E-4</v>
      </c>
      <c r="AF335" s="18">
        <f t="shared" si="168"/>
        <v>6.9279905143495336E-3</v>
      </c>
      <c r="AG335" s="18">
        <f t="shared" si="170"/>
        <v>1.2522645984875697E-2</v>
      </c>
      <c r="AH335" s="18">
        <f t="shared" si="172"/>
        <v>1.3305963642759887E-4</v>
      </c>
      <c r="AJ335" s="18">
        <f>IF(ISNUMBER(Kernel!M335),Kernel!M335,"")</f>
        <v>-1.6319896808591305E-2</v>
      </c>
      <c r="AK335" s="18">
        <f t="shared" si="157"/>
        <v>2.6633903184306869E-4</v>
      </c>
      <c r="AN335" s="18">
        <f>IF(ISNUMBER(Volcanic!G335),Volcanic!G335,"")</f>
        <v>1.2829999999999999E-2</v>
      </c>
    </row>
    <row r="336" spans="1:40">
      <c r="A336" s="18" t="str">
        <f>IF(Volcanic!A336="","",Volcanic!A336)</f>
        <v>1/1986</v>
      </c>
      <c r="B336" s="18">
        <f>IF(ISNUMBER(Volcanic!L336),Volcanic!L336,"")</f>
        <v>1986.0416666666667</v>
      </c>
      <c r="C336" s="18">
        <f>IF(ISNUMBER(Volcanic!J336),Volcanic!J336,"")</f>
        <v>3.563316383600959E-2</v>
      </c>
      <c r="D336" s="18">
        <f t="shared" si="150"/>
        <v>1.2697223649639018E-3</v>
      </c>
      <c r="E336" s="18">
        <f>IF(ISNUMBER(Volcanic!C336),Volcanic!C336,"")</f>
        <v>0.30859386858427595</v>
      </c>
      <c r="F336" s="18">
        <f>IF(ISNUMBER(Volcanic!D336),Volcanic!D336,"")</f>
        <v>-0.3</v>
      </c>
      <c r="G336" s="18">
        <f>IF(ISNUMBER(Volcanic!E336),Volcanic!E336,"")</f>
        <v>1.3259999999999999E-2</v>
      </c>
      <c r="H336" s="18">
        <f t="shared" si="151"/>
        <v>9.5230175727809382E-2</v>
      </c>
      <c r="I336" s="18">
        <f t="shared" si="152"/>
        <v>0.09</v>
      </c>
      <c r="J336" s="18">
        <f t="shared" si="153"/>
        <v>1.7582759999999997E-4</v>
      </c>
      <c r="K336" s="18">
        <f t="shared" si="154"/>
        <v>-9.2578160575282786E-2</v>
      </c>
      <c r="L336" s="18">
        <f t="shared" si="155"/>
        <v>4.0919546974274986E-3</v>
      </c>
      <c r="M336" s="18">
        <f t="shared" si="156"/>
        <v>-3.9779999999999998E-3</v>
      </c>
      <c r="N336" s="18">
        <f t="shared" si="158"/>
        <v>5.6014275554212506E-3</v>
      </c>
      <c r="O336" s="18">
        <f t="shared" si="161"/>
        <v>2.0877479862255882E-2</v>
      </c>
      <c r="P336" s="18">
        <f t="shared" si="163"/>
        <v>2.1192445316037404E-3</v>
      </c>
      <c r="Q336" s="18">
        <f t="shared" si="165"/>
        <v>3.8992734102762436E-4</v>
      </c>
      <c r="R336" s="18">
        <f t="shared" si="167"/>
        <v>4.0552495195551462E-4</v>
      </c>
      <c r="S336" s="18">
        <f t="shared" si="169"/>
        <v>1.5747863923795586E-2</v>
      </c>
      <c r="T336" s="18">
        <f t="shared" si="171"/>
        <v>7.3009629383726101E-4</v>
      </c>
      <c r="U336" s="18">
        <f t="shared" si="173"/>
        <v>9.4849755449552108E-4</v>
      </c>
      <c r="V336" s="18">
        <f t="shared" si="174"/>
        <v>1.2939084140447888E-3</v>
      </c>
      <c r="W336" s="18">
        <f t="shared" si="175"/>
        <v>8.4299905175617453E-4</v>
      </c>
      <c r="X336" s="18">
        <f t="shared" si="176"/>
        <v>2.9084173412095699E-2</v>
      </c>
      <c r="Y336" s="18">
        <f t="shared" si="177"/>
        <v>5.4098206439505726E-3</v>
      </c>
      <c r="AA336" s="18">
        <f t="shared" si="159"/>
        <v>7.326423365571498E-2</v>
      </c>
      <c r="AB336" s="18">
        <f t="shared" si="160"/>
        <v>5.3676479331591998E-3</v>
      </c>
      <c r="AC336" s="18">
        <f t="shared" si="162"/>
        <v>4.8074133020490848E-6</v>
      </c>
      <c r="AD336" s="18">
        <f t="shared" si="164"/>
        <v>1.4724314414590099E-2</v>
      </c>
      <c r="AE336" s="18">
        <f t="shared" si="166"/>
        <v>1.3036886953131999E-3</v>
      </c>
      <c r="AF336" s="18">
        <f t="shared" si="168"/>
        <v>8.9232643848275687E-4</v>
      </c>
      <c r="AG336" s="18">
        <f t="shared" si="170"/>
        <v>6.9279905143495336E-3</v>
      </c>
      <c r="AH336" s="18">
        <f t="shared" si="172"/>
        <v>1.2522645984875697E-2</v>
      </c>
      <c r="AJ336" s="18">
        <f>IF(ISNUMBER(Kernel!M336),Kernel!M336,"")</f>
        <v>9.3727853464520894E-2</v>
      </c>
      <c r="AK336" s="18">
        <f t="shared" si="157"/>
        <v>8.784910515066701E-3</v>
      </c>
      <c r="AN336" s="18">
        <f>IF(ISNUMBER(Volcanic!G336),Volcanic!G336,"")</f>
        <v>1.519E-2</v>
      </c>
    </row>
    <row r="337" spans="1:40">
      <c r="A337" s="18" t="str">
        <f>IF(Volcanic!A337="","",Volcanic!A337)</f>
        <v>2/1986</v>
      </c>
      <c r="B337" s="18">
        <f>IF(ISNUMBER(Volcanic!L337),Volcanic!L337,"")</f>
        <v>1986.125</v>
      </c>
      <c r="C337" s="18">
        <f>IF(ISNUMBER(Volcanic!J337),Volcanic!J337,"")</f>
        <v>0.13447828988643007</v>
      </c>
      <c r="D337" s="18">
        <f t="shared" si="150"/>
        <v>1.8084410450778719E-2</v>
      </c>
      <c r="E337" s="18">
        <f>IF(ISNUMBER(Volcanic!C337),Volcanic!C337,"")</f>
        <v>0.31150311546826975</v>
      </c>
      <c r="F337" s="18">
        <f>IF(ISNUMBER(Volcanic!D337),Volcanic!D337,"")</f>
        <v>-0.28000000000000003</v>
      </c>
      <c r="G337" s="18">
        <f>IF(ISNUMBER(Volcanic!E337),Volcanic!E337,"")</f>
        <v>1.264E-2</v>
      </c>
      <c r="H337" s="18">
        <f t="shared" si="151"/>
        <v>9.7034190946438198E-2</v>
      </c>
      <c r="I337" s="18">
        <f t="shared" si="152"/>
        <v>7.8400000000000011E-2</v>
      </c>
      <c r="J337" s="18">
        <f t="shared" si="153"/>
        <v>1.597696E-4</v>
      </c>
      <c r="K337" s="18">
        <f t="shared" si="154"/>
        <v>-8.7220872331115543E-2</v>
      </c>
      <c r="L337" s="18">
        <f t="shared" si="155"/>
        <v>3.9373993795189296E-3</v>
      </c>
      <c r="M337" s="18">
        <f t="shared" si="156"/>
        <v>-3.5392000000000006E-3</v>
      </c>
      <c r="N337" s="18">
        <f t="shared" si="158"/>
        <v>1.2697223649639018E-3</v>
      </c>
      <c r="O337" s="18">
        <f t="shared" si="161"/>
        <v>5.6014275554212506E-3</v>
      </c>
      <c r="P337" s="18">
        <f t="shared" si="163"/>
        <v>2.0877479862255882E-2</v>
      </c>
      <c r="Q337" s="18">
        <f t="shared" si="165"/>
        <v>2.1192445316037404E-3</v>
      </c>
      <c r="R337" s="18">
        <f t="shared" si="167"/>
        <v>3.8992734102762436E-4</v>
      </c>
      <c r="S337" s="18">
        <f t="shared" si="169"/>
        <v>4.0552495195551462E-4</v>
      </c>
      <c r="T337" s="18">
        <f t="shared" si="171"/>
        <v>1.5747863923795586E-2</v>
      </c>
      <c r="U337" s="18">
        <f t="shared" si="173"/>
        <v>7.3009629383726101E-4</v>
      </c>
      <c r="V337" s="18">
        <f t="shared" si="174"/>
        <v>9.4849755449552108E-4</v>
      </c>
      <c r="W337" s="18">
        <f t="shared" si="175"/>
        <v>1.2939084140447888E-3</v>
      </c>
      <c r="X337" s="18">
        <f t="shared" si="176"/>
        <v>8.4299905175617453E-4</v>
      </c>
      <c r="Y337" s="18">
        <f t="shared" si="177"/>
        <v>2.9084173412095699E-2</v>
      </c>
      <c r="AA337" s="18">
        <f t="shared" si="159"/>
        <v>0.11656185530985114</v>
      </c>
      <c r="AB337" s="18">
        <f t="shared" si="160"/>
        <v>1.3586666113274672E-2</v>
      </c>
      <c r="AC337" s="18">
        <f t="shared" si="162"/>
        <v>5.3676479331591998E-3</v>
      </c>
      <c r="AD337" s="18">
        <f t="shared" si="164"/>
        <v>4.8074133020490848E-6</v>
      </c>
      <c r="AE337" s="18">
        <f t="shared" si="166"/>
        <v>1.4724314414590099E-2</v>
      </c>
      <c r="AF337" s="18">
        <f t="shared" si="168"/>
        <v>1.3036886953131999E-3</v>
      </c>
      <c r="AG337" s="18">
        <f t="shared" si="170"/>
        <v>8.9232643848275687E-4</v>
      </c>
      <c r="AH337" s="18">
        <f t="shared" si="172"/>
        <v>6.9279905143495336E-3</v>
      </c>
      <c r="AJ337" s="18">
        <f>IF(ISNUMBER(Kernel!M337),Kernel!M337,"")</f>
        <v>0.19342017826573693</v>
      </c>
      <c r="AK337" s="18">
        <f t="shared" si="157"/>
        <v>3.7411365360349454E-2</v>
      </c>
      <c r="AN337" s="18">
        <f>IF(ISNUMBER(Volcanic!G337),Volcanic!G337,"")</f>
        <v>1.5959999999999998E-2</v>
      </c>
    </row>
    <row r="338" spans="1:40">
      <c r="A338" s="18" t="str">
        <f>IF(Volcanic!A338="","",Volcanic!A338)</f>
        <v>3/1986</v>
      </c>
      <c r="B338" s="18">
        <f>IF(ISNUMBER(Volcanic!L338),Volcanic!L338,"")</f>
        <v>1986.2083333333333</v>
      </c>
      <c r="C338" s="18">
        <f>IF(ISNUMBER(Volcanic!J338),Volcanic!J338,"")</f>
        <v>6.2598006430729131E-2</v>
      </c>
      <c r="D338" s="18">
        <f t="shared" si="150"/>
        <v>3.9185104091016059E-3</v>
      </c>
      <c r="E338" s="18">
        <f>IF(ISNUMBER(Volcanic!C338),Volcanic!C338,"")</f>
        <v>0.31469652565628642</v>
      </c>
      <c r="F338" s="18">
        <f>IF(ISNUMBER(Volcanic!D338),Volcanic!D338,"")</f>
        <v>-0.36</v>
      </c>
      <c r="G338" s="18">
        <f>IF(ISNUMBER(Volcanic!E338),Volcanic!E338,"")</f>
        <v>1.2370000000000001E-2</v>
      </c>
      <c r="H338" s="18">
        <f t="shared" si="151"/>
        <v>9.9033903260137737E-2</v>
      </c>
      <c r="I338" s="18">
        <f t="shared" si="152"/>
        <v>0.12959999999999999</v>
      </c>
      <c r="J338" s="18">
        <f t="shared" si="153"/>
        <v>1.5301690000000002E-4</v>
      </c>
      <c r="K338" s="18">
        <f t="shared" si="154"/>
        <v>-0.1132907492362631</v>
      </c>
      <c r="L338" s="18">
        <f t="shared" si="155"/>
        <v>3.8927960223682631E-3</v>
      </c>
      <c r="M338" s="18">
        <f t="shared" si="156"/>
        <v>-4.4532E-3</v>
      </c>
      <c r="N338" s="18">
        <f t="shared" si="158"/>
        <v>1.8084410450778719E-2</v>
      </c>
      <c r="O338" s="18">
        <f t="shared" si="161"/>
        <v>1.2697223649639018E-3</v>
      </c>
      <c r="P338" s="18">
        <f t="shared" si="163"/>
        <v>5.6014275554212506E-3</v>
      </c>
      <c r="Q338" s="18">
        <f t="shared" si="165"/>
        <v>2.0877479862255882E-2</v>
      </c>
      <c r="R338" s="18">
        <f t="shared" si="167"/>
        <v>2.1192445316037404E-3</v>
      </c>
      <c r="S338" s="18">
        <f t="shared" si="169"/>
        <v>3.8992734102762436E-4</v>
      </c>
      <c r="T338" s="18">
        <f t="shared" si="171"/>
        <v>4.0552495195551462E-4</v>
      </c>
      <c r="U338" s="18">
        <f t="shared" si="173"/>
        <v>1.5747863923795586E-2</v>
      </c>
      <c r="V338" s="18">
        <f t="shared" si="174"/>
        <v>7.3009629383726101E-4</v>
      </c>
      <c r="W338" s="18">
        <f t="shared" si="175"/>
        <v>9.4849755449552108E-4</v>
      </c>
      <c r="X338" s="18">
        <f t="shared" si="176"/>
        <v>1.2939084140447888E-3</v>
      </c>
      <c r="Y338" s="18">
        <f t="shared" si="177"/>
        <v>8.4299905175617453E-4</v>
      </c>
      <c r="AA338" s="18">
        <f t="shared" si="159"/>
        <v>-5.0179788858937119E-3</v>
      </c>
      <c r="AB338" s="18">
        <f t="shared" si="160"/>
        <v>2.5180112099275096E-5</v>
      </c>
      <c r="AC338" s="18">
        <f t="shared" si="162"/>
        <v>1.3586666113274672E-2</v>
      </c>
      <c r="AD338" s="18">
        <f t="shared" si="164"/>
        <v>5.3676479331591998E-3</v>
      </c>
      <c r="AE338" s="18">
        <f t="shared" si="166"/>
        <v>4.8074133020490848E-6</v>
      </c>
      <c r="AF338" s="18">
        <f t="shared" si="168"/>
        <v>1.4724314414590099E-2</v>
      </c>
      <c r="AG338" s="18">
        <f t="shared" si="170"/>
        <v>1.3036886953131999E-3</v>
      </c>
      <c r="AH338" s="18">
        <f t="shared" si="172"/>
        <v>8.9232643848275687E-4</v>
      </c>
      <c r="AJ338" s="18">
        <f>IF(ISNUMBER(Kernel!M338),Kernel!M338,"")</f>
        <v>0.10970040671780248</v>
      </c>
      <c r="AK338" s="18">
        <f t="shared" si="157"/>
        <v>1.2034179234051284E-2</v>
      </c>
      <c r="AN338" s="18">
        <f>IF(ISNUMBER(Volcanic!G338),Volcanic!G338,"")</f>
        <v>1.5440000000000001E-2</v>
      </c>
    </row>
    <row r="339" spans="1:40">
      <c r="A339" s="18" t="str">
        <f>IF(Volcanic!A339="","",Volcanic!A339)</f>
        <v>4/1986</v>
      </c>
      <c r="B339" s="18">
        <f>IF(ISNUMBER(Volcanic!L339),Volcanic!L339,"")</f>
        <v>1986.2916666666667</v>
      </c>
      <c r="C339" s="18">
        <f>IF(ISNUMBER(Volcanic!J339),Volcanic!J339,"")</f>
        <v>-3.3115713938387026E-2</v>
      </c>
      <c r="D339" s="18">
        <f t="shared" si="150"/>
        <v>1.0966505096490808E-3</v>
      </c>
      <c r="E339" s="18">
        <f>IF(ISNUMBER(Volcanic!C339),Volcanic!C339,"")</f>
        <v>0.32135090142461681</v>
      </c>
      <c r="F339" s="18">
        <f>IF(ISNUMBER(Volcanic!D339),Volcanic!D339,"")</f>
        <v>-0.4</v>
      </c>
      <c r="G339" s="18">
        <f>IF(ISNUMBER(Volcanic!E339),Volcanic!E339,"")</f>
        <v>1.179E-2</v>
      </c>
      <c r="H339" s="18">
        <f t="shared" si="151"/>
        <v>0.10326640184641379</v>
      </c>
      <c r="I339" s="18">
        <f t="shared" si="152"/>
        <v>0.16000000000000003</v>
      </c>
      <c r="J339" s="18">
        <f t="shared" si="153"/>
        <v>1.3900410000000001E-4</v>
      </c>
      <c r="K339" s="18">
        <f t="shared" si="154"/>
        <v>-0.12854036056984672</v>
      </c>
      <c r="L339" s="18">
        <f t="shared" si="155"/>
        <v>3.7887271277962323E-3</v>
      </c>
      <c r="M339" s="18">
        <f t="shared" si="156"/>
        <v>-4.7160000000000006E-3</v>
      </c>
      <c r="N339" s="18">
        <f t="shared" si="158"/>
        <v>3.9185104091016059E-3</v>
      </c>
      <c r="O339" s="18">
        <f t="shared" si="161"/>
        <v>1.8084410450778719E-2</v>
      </c>
      <c r="P339" s="18">
        <f t="shared" si="163"/>
        <v>1.2697223649639018E-3</v>
      </c>
      <c r="Q339" s="18">
        <f t="shared" si="165"/>
        <v>5.6014275554212506E-3</v>
      </c>
      <c r="R339" s="18">
        <f t="shared" si="167"/>
        <v>2.0877479862255882E-2</v>
      </c>
      <c r="S339" s="18">
        <f t="shared" si="169"/>
        <v>2.1192445316037404E-3</v>
      </c>
      <c r="T339" s="18">
        <f t="shared" si="171"/>
        <v>3.8992734102762436E-4</v>
      </c>
      <c r="U339" s="18">
        <f t="shared" si="173"/>
        <v>4.0552495195551462E-4</v>
      </c>
      <c r="V339" s="18">
        <f t="shared" si="174"/>
        <v>1.5747863923795586E-2</v>
      </c>
      <c r="W339" s="18">
        <f t="shared" si="175"/>
        <v>7.3009629383726101E-4</v>
      </c>
      <c r="X339" s="18">
        <f t="shared" si="176"/>
        <v>9.4849755449552108E-4</v>
      </c>
      <c r="Y339" s="18">
        <f t="shared" si="177"/>
        <v>1.2939084140447888E-3</v>
      </c>
      <c r="AA339" s="18">
        <f t="shared" si="159"/>
        <v>-6.459013175887382E-2</v>
      </c>
      <c r="AB339" s="18">
        <f t="shared" si="160"/>
        <v>4.1718851206286808E-3</v>
      </c>
      <c r="AC339" s="18">
        <f t="shared" si="162"/>
        <v>2.5180112099275096E-5</v>
      </c>
      <c r="AD339" s="18">
        <f t="shared" si="164"/>
        <v>1.3586666113274672E-2</v>
      </c>
      <c r="AE339" s="18">
        <f t="shared" si="166"/>
        <v>5.3676479331591998E-3</v>
      </c>
      <c r="AF339" s="18">
        <f t="shared" si="168"/>
        <v>4.8074133020490848E-6</v>
      </c>
      <c r="AG339" s="18">
        <f t="shared" si="170"/>
        <v>1.4724314414590099E-2</v>
      </c>
      <c r="AH339" s="18">
        <f t="shared" si="172"/>
        <v>1.3036886953131999E-3</v>
      </c>
      <c r="AJ339" s="18">
        <f>IF(ISNUMBER(Kernel!M339),Kernel!M339,"")</f>
        <v>5.5021757758017265E-3</v>
      </c>
      <c r="AK339" s="18">
        <f t="shared" si="157"/>
        <v>3.0273938267819332E-5</v>
      </c>
      <c r="AN339" s="18">
        <f>IF(ISNUMBER(Volcanic!G339),Volcanic!G339,"")</f>
        <v>1.507E-2</v>
      </c>
    </row>
    <row r="340" spans="1:40">
      <c r="A340" s="18" t="str">
        <f>IF(Volcanic!A340="","",Volcanic!A340)</f>
        <v>5/1986</v>
      </c>
      <c r="B340" s="18">
        <f>IF(ISNUMBER(Volcanic!L340),Volcanic!L340,"")</f>
        <v>1986.375</v>
      </c>
      <c r="C340" s="18">
        <f>IF(ISNUMBER(Volcanic!J340),Volcanic!J340,"")</f>
        <v>-5.3025683937256762E-2</v>
      </c>
      <c r="D340" s="18">
        <f t="shared" si="150"/>
        <v>2.8117231570138498E-3</v>
      </c>
      <c r="E340" s="18">
        <f>IF(ISNUMBER(Volcanic!C340),Volcanic!C340,"")</f>
        <v>0.32406993683064367</v>
      </c>
      <c r="F340" s="18">
        <f>IF(ISNUMBER(Volcanic!D340),Volcanic!D340,"")</f>
        <v>-0.38</v>
      </c>
      <c r="G340" s="18">
        <f>IF(ISNUMBER(Volcanic!E340),Volcanic!E340,"")</f>
        <v>1.15E-2</v>
      </c>
      <c r="H340" s="18">
        <f t="shared" si="151"/>
        <v>0.10502132395741738</v>
      </c>
      <c r="I340" s="18">
        <f t="shared" si="152"/>
        <v>0.1444</v>
      </c>
      <c r="J340" s="18">
        <f t="shared" si="153"/>
        <v>1.3224999999999999E-4</v>
      </c>
      <c r="K340" s="18">
        <f t="shared" si="154"/>
        <v>-0.12314657599564459</v>
      </c>
      <c r="L340" s="18">
        <f t="shared" si="155"/>
        <v>3.7268042735524023E-3</v>
      </c>
      <c r="M340" s="18">
        <f t="shared" si="156"/>
        <v>-4.3699999999999998E-3</v>
      </c>
      <c r="N340" s="18">
        <f t="shared" si="158"/>
        <v>1.0966505096490808E-3</v>
      </c>
      <c r="O340" s="18">
        <f t="shared" si="161"/>
        <v>3.9185104091016059E-3</v>
      </c>
      <c r="P340" s="18">
        <f t="shared" si="163"/>
        <v>1.8084410450778719E-2</v>
      </c>
      <c r="Q340" s="18">
        <f t="shared" si="165"/>
        <v>1.2697223649639018E-3</v>
      </c>
      <c r="R340" s="18">
        <f t="shared" si="167"/>
        <v>5.6014275554212506E-3</v>
      </c>
      <c r="S340" s="18">
        <f t="shared" si="169"/>
        <v>2.0877479862255882E-2</v>
      </c>
      <c r="T340" s="18">
        <f t="shared" si="171"/>
        <v>2.1192445316037404E-3</v>
      </c>
      <c r="U340" s="18">
        <f t="shared" si="173"/>
        <v>3.8992734102762436E-4</v>
      </c>
      <c r="V340" s="18">
        <f t="shared" si="174"/>
        <v>4.0552495195551462E-4</v>
      </c>
      <c r="W340" s="18">
        <f t="shared" si="175"/>
        <v>1.5747863923795586E-2</v>
      </c>
      <c r="X340" s="18">
        <f t="shared" si="176"/>
        <v>7.3009629383726101E-4</v>
      </c>
      <c r="Y340" s="18">
        <f t="shared" si="177"/>
        <v>9.4849755449552108E-4</v>
      </c>
      <c r="AA340" s="18">
        <f t="shared" si="159"/>
        <v>-3.6375028806986495E-2</v>
      </c>
      <c r="AB340" s="18">
        <f t="shared" si="160"/>
        <v>1.3231427207090975E-3</v>
      </c>
      <c r="AC340" s="18">
        <f t="shared" si="162"/>
        <v>4.1718851206286808E-3</v>
      </c>
      <c r="AD340" s="18">
        <f t="shared" si="164"/>
        <v>2.5180112099275096E-5</v>
      </c>
      <c r="AE340" s="18">
        <f t="shared" si="166"/>
        <v>1.3586666113274672E-2</v>
      </c>
      <c r="AF340" s="18">
        <f t="shared" si="168"/>
        <v>5.3676479331591998E-3</v>
      </c>
      <c r="AG340" s="18">
        <f t="shared" si="170"/>
        <v>4.8074133020490848E-6</v>
      </c>
      <c r="AH340" s="18">
        <f t="shared" si="172"/>
        <v>1.4724314414590099E-2</v>
      </c>
      <c r="AJ340" s="18">
        <f>IF(ISNUMBER(Kernel!M340),Kernel!M340,"")</f>
        <v>-1.8922469071556147E-2</v>
      </c>
      <c r="AK340" s="18">
        <f t="shared" si="157"/>
        <v>3.5805983576399895E-4</v>
      </c>
      <c r="AN340" s="18">
        <f>IF(ISNUMBER(Volcanic!G340),Volcanic!G340,"")</f>
        <v>1.4999999999999999E-2</v>
      </c>
    </row>
    <row r="341" spans="1:40">
      <c r="A341" s="18" t="str">
        <f>IF(Volcanic!A341="","",Volcanic!A341)</f>
        <v>6/1986</v>
      </c>
      <c r="B341" s="18">
        <f>IF(ISNUMBER(Volcanic!L341),Volcanic!L341,"")</f>
        <v>1986.4583333333333</v>
      </c>
      <c r="C341" s="18">
        <f>IF(ISNUMBER(Volcanic!J341),Volcanic!J341,"")</f>
        <v>-0.15005663172949812</v>
      </c>
      <c r="D341" s="18">
        <f t="shared" si="150"/>
        <v>2.2516992726002223E-2</v>
      </c>
      <c r="E341" s="18">
        <f>IF(ISNUMBER(Volcanic!C341),Volcanic!C341,"")</f>
        <v>0.32184565281522998</v>
      </c>
      <c r="F341" s="18">
        <f>IF(ISNUMBER(Volcanic!D341),Volcanic!D341,"")</f>
        <v>-0.25</v>
      </c>
      <c r="G341" s="18">
        <f>IF(ISNUMBER(Volcanic!E341),Volcanic!E341,"")</f>
        <v>1.103E-2</v>
      </c>
      <c r="H341" s="18">
        <f t="shared" si="151"/>
        <v>0.10358462423606155</v>
      </c>
      <c r="I341" s="18">
        <f t="shared" si="152"/>
        <v>6.25E-2</v>
      </c>
      <c r="J341" s="18">
        <f t="shared" si="153"/>
        <v>1.2166089999999999E-4</v>
      </c>
      <c r="K341" s="18">
        <f t="shared" si="154"/>
        <v>-8.0461413203807494E-2</v>
      </c>
      <c r="L341" s="18">
        <f t="shared" si="155"/>
        <v>3.5499575505519867E-3</v>
      </c>
      <c r="M341" s="18">
        <f t="shared" si="156"/>
        <v>-2.7575E-3</v>
      </c>
      <c r="N341" s="18">
        <f t="shared" si="158"/>
        <v>2.8117231570138498E-3</v>
      </c>
      <c r="O341" s="18">
        <f t="shared" si="161"/>
        <v>1.0966505096490808E-3</v>
      </c>
      <c r="P341" s="18">
        <f t="shared" si="163"/>
        <v>3.9185104091016059E-3</v>
      </c>
      <c r="Q341" s="18">
        <f t="shared" si="165"/>
        <v>1.8084410450778719E-2</v>
      </c>
      <c r="R341" s="18">
        <f t="shared" si="167"/>
        <v>1.2697223649639018E-3</v>
      </c>
      <c r="S341" s="18">
        <f t="shared" si="169"/>
        <v>5.6014275554212506E-3</v>
      </c>
      <c r="T341" s="18">
        <f t="shared" si="171"/>
        <v>2.0877479862255882E-2</v>
      </c>
      <c r="U341" s="18">
        <f t="shared" si="173"/>
        <v>2.1192445316037404E-3</v>
      </c>
      <c r="V341" s="18">
        <f t="shared" si="174"/>
        <v>3.8992734102762436E-4</v>
      </c>
      <c r="W341" s="18">
        <f t="shared" si="175"/>
        <v>4.0552495195551462E-4</v>
      </c>
      <c r="X341" s="18">
        <f t="shared" si="176"/>
        <v>1.5747863923795586E-2</v>
      </c>
      <c r="Y341" s="18">
        <f t="shared" si="177"/>
        <v>7.3009629383726101E-4</v>
      </c>
      <c r="AA341" s="18">
        <f t="shared" si="159"/>
        <v>-0.12339519909577432</v>
      </c>
      <c r="AB341" s="18">
        <f t="shared" si="160"/>
        <v>1.5226375159885782E-2</v>
      </c>
      <c r="AC341" s="18">
        <f t="shared" si="162"/>
        <v>1.3231427207090975E-3</v>
      </c>
      <c r="AD341" s="18">
        <f t="shared" si="164"/>
        <v>4.1718851206286808E-3</v>
      </c>
      <c r="AE341" s="18">
        <f t="shared" si="166"/>
        <v>2.5180112099275096E-5</v>
      </c>
      <c r="AF341" s="18">
        <f t="shared" si="168"/>
        <v>1.3586666113274672E-2</v>
      </c>
      <c r="AG341" s="18">
        <f t="shared" si="170"/>
        <v>5.3676479331591998E-3</v>
      </c>
      <c r="AH341" s="18">
        <f t="shared" si="172"/>
        <v>4.8074133020490848E-6</v>
      </c>
      <c r="AJ341" s="18">
        <f>IF(ISNUMBER(Kernel!M341),Kernel!M341,"")</f>
        <v>-0.11160717297057934</v>
      </c>
      <c r="AK341" s="18">
        <f t="shared" si="157"/>
        <v>1.2456161058484816E-2</v>
      </c>
      <c r="AN341" s="18">
        <f>IF(ISNUMBER(Volcanic!G341),Volcanic!G341,"")</f>
        <v>1.4019999999999999E-2</v>
      </c>
    </row>
    <row r="342" spans="1:40">
      <c r="A342" s="18" t="str">
        <f>IF(Volcanic!A342="","",Volcanic!A342)</f>
        <v>7/1986</v>
      </c>
      <c r="B342" s="18">
        <f>IF(ISNUMBER(Volcanic!L342),Volcanic!L342,"")</f>
        <v>1986.5416666666667</v>
      </c>
      <c r="C342" s="18">
        <f>IF(ISNUMBER(Volcanic!J342),Volcanic!J342,"")</f>
        <v>-0.14402088448861056</v>
      </c>
      <c r="D342" s="18">
        <f t="shared" si="150"/>
        <v>2.0742015168881706E-2</v>
      </c>
      <c r="E342" s="18">
        <f>IF(ISNUMBER(Volcanic!C342),Volcanic!C342,"")</f>
        <v>0.31469652565628642</v>
      </c>
      <c r="F342" s="18">
        <f>IF(ISNUMBER(Volcanic!D342),Volcanic!D342,"")</f>
        <v>-0.17</v>
      </c>
      <c r="G342" s="18">
        <f>IF(ISNUMBER(Volcanic!E342),Volcanic!E342,"")</f>
        <v>1.2829999999999999E-2</v>
      </c>
      <c r="H342" s="18">
        <f t="shared" si="151"/>
        <v>9.9033903260137737E-2</v>
      </c>
      <c r="I342" s="18">
        <f t="shared" si="152"/>
        <v>2.8900000000000006E-2</v>
      </c>
      <c r="J342" s="18">
        <f t="shared" si="153"/>
        <v>1.6460889999999999E-4</v>
      </c>
      <c r="K342" s="18">
        <f t="shared" si="154"/>
        <v>-5.3498409361568695E-2</v>
      </c>
      <c r="L342" s="18">
        <f t="shared" si="155"/>
        <v>4.0375564241701542E-3</v>
      </c>
      <c r="M342" s="18">
        <f t="shared" si="156"/>
        <v>-2.1811000000000001E-3</v>
      </c>
      <c r="N342" s="18">
        <f t="shared" si="158"/>
        <v>2.2516992726002223E-2</v>
      </c>
      <c r="O342" s="18">
        <f t="shared" si="161"/>
        <v>2.8117231570138498E-3</v>
      </c>
      <c r="P342" s="18">
        <f t="shared" si="163"/>
        <v>1.0966505096490808E-3</v>
      </c>
      <c r="Q342" s="18">
        <f t="shared" si="165"/>
        <v>3.9185104091016059E-3</v>
      </c>
      <c r="R342" s="18">
        <f t="shared" si="167"/>
        <v>1.8084410450778719E-2</v>
      </c>
      <c r="S342" s="18">
        <f t="shared" si="169"/>
        <v>1.2697223649639018E-3</v>
      </c>
      <c r="T342" s="18">
        <f t="shared" si="171"/>
        <v>5.6014275554212506E-3</v>
      </c>
      <c r="U342" s="18">
        <f t="shared" si="173"/>
        <v>2.0877479862255882E-2</v>
      </c>
      <c r="V342" s="18">
        <f t="shared" si="174"/>
        <v>2.1192445316037404E-3</v>
      </c>
      <c r="W342" s="18">
        <f t="shared" si="175"/>
        <v>3.8992734102762436E-4</v>
      </c>
      <c r="X342" s="18">
        <f t="shared" si="176"/>
        <v>4.0552495195551462E-4</v>
      </c>
      <c r="Y342" s="18">
        <f t="shared" si="177"/>
        <v>1.5747863923795586E-2</v>
      </c>
      <c r="AA342" s="18">
        <f t="shared" si="159"/>
        <v>-6.8572074005875075E-2</v>
      </c>
      <c r="AB342" s="18">
        <f t="shared" si="160"/>
        <v>4.702129333467208E-3</v>
      </c>
      <c r="AC342" s="18">
        <f t="shared" si="162"/>
        <v>1.5226375159885782E-2</v>
      </c>
      <c r="AD342" s="18">
        <f t="shared" si="164"/>
        <v>1.3231427207090975E-3</v>
      </c>
      <c r="AE342" s="18">
        <f t="shared" si="166"/>
        <v>4.1718851206286808E-3</v>
      </c>
      <c r="AF342" s="18">
        <f t="shared" si="168"/>
        <v>2.5180112099275096E-5</v>
      </c>
      <c r="AG342" s="18">
        <f t="shared" si="170"/>
        <v>1.3586666113274672E-2</v>
      </c>
      <c r="AH342" s="18">
        <f t="shared" si="172"/>
        <v>5.3676479331591998E-3</v>
      </c>
      <c r="AJ342" s="18">
        <f>IF(ISNUMBER(Kernel!M342),Kernel!M342,"")</f>
        <v>-0.11453797408171668</v>
      </c>
      <c r="AK342" s="18">
        <f t="shared" si="157"/>
        <v>1.3118947506744002E-2</v>
      </c>
      <c r="AN342" s="18">
        <f>IF(ISNUMBER(Volcanic!G342),Volcanic!G342,"")</f>
        <v>1.3820000000000001E-2</v>
      </c>
    </row>
    <row r="343" spans="1:40">
      <c r="A343" s="18" t="str">
        <f>IF(Volcanic!A343="","",Volcanic!A343)</f>
        <v>8/1986</v>
      </c>
      <c r="B343" s="18">
        <f>IF(ISNUMBER(Volcanic!L343),Volcanic!L343,"")</f>
        <v>1986.625</v>
      </c>
      <c r="C343" s="18">
        <f>IF(ISNUMBER(Volcanic!J343),Volcanic!J343,"")</f>
        <v>-7.2679465937075916E-2</v>
      </c>
      <c r="D343" s="18">
        <f t="shared" si="150"/>
        <v>5.2823047688985783E-3</v>
      </c>
      <c r="E343" s="18">
        <f>IF(ISNUMBER(Volcanic!C343),Volcanic!C343,"")</f>
        <v>0.30605387521602989</v>
      </c>
      <c r="F343" s="18">
        <f>IF(ISNUMBER(Volcanic!D343),Volcanic!D343,"")</f>
        <v>-0.09</v>
      </c>
      <c r="G343" s="18">
        <f>IF(ISNUMBER(Volcanic!E343),Volcanic!E343,"")</f>
        <v>1.519E-2</v>
      </c>
      <c r="H343" s="18">
        <f t="shared" si="151"/>
        <v>9.3668974534749191E-2</v>
      </c>
      <c r="I343" s="18">
        <f t="shared" si="152"/>
        <v>8.0999999999999996E-3</v>
      </c>
      <c r="J343" s="18">
        <f t="shared" si="153"/>
        <v>2.307361E-4</v>
      </c>
      <c r="K343" s="18">
        <f t="shared" si="154"/>
        <v>-2.754484876944269E-2</v>
      </c>
      <c r="L343" s="18">
        <f t="shared" si="155"/>
        <v>4.6489583645314943E-3</v>
      </c>
      <c r="M343" s="18">
        <f t="shared" si="156"/>
        <v>-1.3671E-3</v>
      </c>
      <c r="N343" s="18">
        <f t="shared" si="158"/>
        <v>2.0742015168881706E-2</v>
      </c>
      <c r="O343" s="18">
        <f t="shared" si="161"/>
        <v>2.2516992726002223E-2</v>
      </c>
      <c r="P343" s="18">
        <f t="shared" si="163"/>
        <v>2.8117231570138498E-3</v>
      </c>
      <c r="Q343" s="18">
        <f t="shared" si="165"/>
        <v>1.0966505096490808E-3</v>
      </c>
      <c r="R343" s="18">
        <f t="shared" si="167"/>
        <v>3.9185104091016059E-3</v>
      </c>
      <c r="S343" s="18">
        <f t="shared" si="169"/>
        <v>1.8084410450778719E-2</v>
      </c>
      <c r="T343" s="18">
        <f t="shared" si="171"/>
        <v>1.2697223649639018E-3</v>
      </c>
      <c r="U343" s="18">
        <f t="shared" si="173"/>
        <v>5.6014275554212506E-3</v>
      </c>
      <c r="V343" s="18">
        <f t="shared" si="174"/>
        <v>2.0877479862255882E-2</v>
      </c>
      <c r="W343" s="18">
        <f t="shared" si="175"/>
        <v>2.1192445316037404E-3</v>
      </c>
      <c r="X343" s="18">
        <f t="shared" si="176"/>
        <v>3.8992734102762436E-4</v>
      </c>
      <c r="Y343" s="18">
        <f t="shared" si="177"/>
        <v>4.0552495195551462E-4</v>
      </c>
      <c r="AA343" s="18">
        <f t="shared" si="159"/>
        <v>-2.6544268400673088E-4</v>
      </c>
      <c r="AB343" s="18">
        <f t="shared" si="160"/>
        <v>7.0459818492697187E-8</v>
      </c>
      <c r="AC343" s="18">
        <f t="shared" si="162"/>
        <v>4.702129333467208E-3</v>
      </c>
      <c r="AD343" s="18">
        <f t="shared" si="164"/>
        <v>1.5226375159885782E-2</v>
      </c>
      <c r="AE343" s="18">
        <f t="shared" si="166"/>
        <v>1.3231427207090975E-3</v>
      </c>
      <c r="AF343" s="18">
        <f t="shared" si="168"/>
        <v>4.1718851206286808E-3</v>
      </c>
      <c r="AG343" s="18">
        <f t="shared" si="170"/>
        <v>2.5180112099275096E-5</v>
      </c>
      <c r="AH343" s="18">
        <f t="shared" si="172"/>
        <v>1.3586666113274672E-2</v>
      </c>
      <c r="AJ343" s="18">
        <f>IF(ISNUMBER(Kernel!M343),Kernel!M343,"")</f>
        <v>-5.6438925934124889E-2</v>
      </c>
      <c r="AK343" s="18">
        <f t="shared" si="157"/>
        <v>3.1853523605976349E-3</v>
      </c>
      <c r="AN343" s="18">
        <f>IF(ISNUMBER(Volcanic!G343),Volcanic!G343,"")</f>
        <v>1.3639999999999999E-2</v>
      </c>
    </row>
    <row r="344" spans="1:40">
      <c r="A344" s="18" t="str">
        <f>IF(Volcanic!A344="","",Volcanic!A344)</f>
        <v>9/1986</v>
      </c>
      <c r="B344" s="18">
        <f>IF(ISNUMBER(Volcanic!L344),Volcanic!L344,"")</f>
        <v>1986.7083333333333</v>
      </c>
      <c r="C344" s="18">
        <f>IF(ISNUMBER(Volcanic!J344),Volcanic!J344,"")</f>
        <v>-0.20334173015090076</v>
      </c>
      <c r="D344" s="18">
        <f t="shared" si="150"/>
        <v>4.1347859220761743E-2</v>
      </c>
      <c r="E344" s="18">
        <f>IF(ISNUMBER(Volcanic!C344),Volcanic!C344,"")</f>
        <v>0.30317536756489971</v>
      </c>
      <c r="F344" s="18">
        <f>IF(ISNUMBER(Volcanic!D344),Volcanic!D344,"")</f>
        <v>0.02</v>
      </c>
      <c r="G344" s="18">
        <f>IF(ISNUMBER(Volcanic!E344),Volcanic!E344,"")</f>
        <v>1.5959999999999998E-2</v>
      </c>
      <c r="H344" s="18">
        <f t="shared" si="151"/>
        <v>9.1915303498112041E-2</v>
      </c>
      <c r="I344" s="18">
        <f t="shared" si="152"/>
        <v>4.0000000000000002E-4</v>
      </c>
      <c r="J344" s="18">
        <f t="shared" si="153"/>
        <v>2.5472159999999995E-4</v>
      </c>
      <c r="K344" s="18">
        <f t="shared" si="154"/>
        <v>6.0635073512979943E-3</v>
      </c>
      <c r="L344" s="18">
        <f t="shared" si="155"/>
        <v>4.838678866335799E-3</v>
      </c>
      <c r="M344" s="18">
        <f t="shared" si="156"/>
        <v>3.1919999999999995E-4</v>
      </c>
      <c r="N344" s="18">
        <f t="shared" si="158"/>
        <v>5.2823047688985783E-3</v>
      </c>
      <c r="O344" s="18">
        <f t="shared" si="161"/>
        <v>2.0742015168881706E-2</v>
      </c>
      <c r="P344" s="18">
        <f t="shared" si="163"/>
        <v>2.2516992726002223E-2</v>
      </c>
      <c r="Q344" s="18">
        <f t="shared" si="165"/>
        <v>2.8117231570138498E-3</v>
      </c>
      <c r="R344" s="18">
        <f t="shared" si="167"/>
        <v>1.0966505096490808E-3</v>
      </c>
      <c r="S344" s="18">
        <f t="shared" si="169"/>
        <v>3.9185104091016059E-3</v>
      </c>
      <c r="T344" s="18">
        <f t="shared" si="171"/>
        <v>1.8084410450778719E-2</v>
      </c>
      <c r="U344" s="18">
        <f t="shared" si="173"/>
        <v>1.2697223649639018E-3</v>
      </c>
      <c r="V344" s="18">
        <f t="shared" si="174"/>
        <v>5.6014275554212506E-3</v>
      </c>
      <c r="W344" s="18">
        <f t="shared" si="175"/>
        <v>2.0877479862255882E-2</v>
      </c>
      <c r="X344" s="18">
        <f t="shared" si="176"/>
        <v>2.1192445316037404E-3</v>
      </c>
      <c r="Y344" s="18">
        <f t="shared" si="177"/>
        <v>3.8992734102762436E-4</v>
      </c>
      <c r="AA344" s="18">
        <f t="shared" si="159"/>
        <v>-0.16679833191337451</v>
      </c>
      <c r="AB344" s="18">
        <f t="shared" si="160"/>
        <v>2.7821683529084248E-2</v>
      </c>
      <c r="AC344" s="18">
        <f t="shared" si="162"/>
        <v>7.0459818492697187E-8</v>
      </c>
      <c r="AD344" s="18">
        <f t="shared" si="164"/>
        <v>4.702129333467208E-3</v>
      </c>
      <c r="AE344" s="18">
        <f t="shared" si="166"/>
        <v>1.5226375159885782E-2</v>
      </c>
      <c r="AF344" s="18">
        <f t="shared" si="168"/>
        <v>1.3231427207090975E-3</v>
      </c>
      <c r="AG344" s="18">
        <f t="shared" si="170"/>
        <v>4.1718851206286808E-3</v>
      </c>
      <c r="AH344" s="18">
        <f t="shared" si="172"/>
        <v>2.5180112099275096E-5</v>
      </c>
      <c r="AJ344" s="18">
        <f>IF(ISNUMBER(Kernel!M344),Kernel!M344,"")</f>
        <v>-0.19571619745602789</v>
      </c>
      <c r="AK344" s="18">
        <f t="shared" si="157"/>
        <v>3.8304829946646898E-2</v>
      </c>
      <c r="AN344" s="18">
        <f>IF(ISNUMBER(Volcanic!G344),Volcanic!G344,"")</f>
        <v>1.3050000000000001E-2</v>
      </c>
    </row>
    <row r="345" spans="1:40">
      <c r="A345" s="18" t="str">
        <f>IF(Volcanic!A345="","",Volcanic!A345)</f>
        <v>10/1986</v>
      </c>
      <c r="B345" s="18">
        <f>IF(ISNUMBER(Volcanic!L345),Volcanic!L345,"")</f>
        <v>1986.7916666666667</v>
      </c>
      <c r="C345" s="18">
        <f>IF(ISNUMBER(Volcanic!J345),Volcanic!J345,"")</f>
        <v>-9.7376558613249176E-2</v>
      </c>
      <c r="D345" s="18">
        <f t="shared" si="150"/>
        <v>9.4821941673595526E-3</v>
      </c>
      <c r="E345" s="18">
        <f>IF(ISNUMBER(Volcanic!C345),Volcanic!C345,"")</f>
        <v>0.30041662783687401</v>
      </c>
      <c r="F345" s="18">
        <f>IF(ISNUMBER(Volcanic!D345),Volcanic!D345,"")</f>
        <v>0.24</v>
      </c>
      <c r="G345" s="18">
        <f>IF(ISNUMBER(Volcanic!E345),Volcanic!E345,"")</f>
        <v>1.5440000000000001E-2</v>
      </c>
      <c r="H345" s="18">
        <f t="shared" si="151"/>
        <v>9.0250150280878863E-2</v>
      </c>
      <c r="I345" s="18">
        <f t="shared" si="152"/>
        <v>5.7599999999999998E-2</v>
      </c>
      <c r="J345" s="18">
        <f t="shared" si="153"/>
        <v>2.3839360000000001E-4</v>
      </c>
      <c r="K345" s="18">
        <f t="shared" si="154"/>
        <v>7.2099990680849754E-2</v>
      </c>
      <c r="L345" s="18">
        <f t="shared" si="155"/>
        <v>4.6384327338013344E-3</v>
      </c>
      <c r="M345" s="18">
        <f t="shared" si="156"/>
        <v>3.7055999999999999E-3</v>
      </c>
      <c r="N345" s="18">
        <f t="shared" si="158"/>
        <v>4.1347859220761743E-2</v>
      </c>
      <c r="O345" s="18">
        <f t="shared" si="161"/>
        <v>5.2823047688985783E-3</v>
      </c>
      <c r="P345" s="18">
        <f t="shared" si="163"/>
        <v>2.0742015168881706E-2</v>
      </c>
      <c r="Q345" s="18">
        <f t="shared" si="165"/>
        <v>2.2516992726002223E-2</v>
      </c>
      <c r="R345" s="18">
        <f t="shared" si="167"/>
        <v>2.8117231570138498E-3</v>
      </c>
      <c r="S345" s="18">
        <f t="shared" si="169"/>
        <v>1.0966505096490808E-3</v>
      </c>
      <c r="T345" s="18">
        <f t="shared" si="171"/>
        <v>3.9185104091016059E-3</v>
      </c>
      <c r="U345" s="18">
        <f t="shared" si="173"/>
        <v>1.8084410450778719E-2</v>
      </c>
      <c r="V345" s="18">
        <f t="shared" si="174"/>
        <v>1.2697223649639018E-3</v>
      </c>
      <c r="W345" s="18">
        <f t="shared" si="175"/>
        <v>5.6014275554212506E-3</v>
      </c>
      <c r="X345" s="18">
        <f t="shared" si="176"/>
        <v>2.0877479862255882E-2</v>
      </c>
      <c r="Y345" s="18">
        <f t="shared" si="177"/>
        <v>2.1192445316037404E-3</v>
      </c>
      <c r="AA345" s="18">
        <f t="shared" si="159"/>
        <v>4.8641186867927622E-3</v>
      </c>
      <c r="AB345" s="18">
        <f t="shared" si="160"/>
        <v>2.3659650599206546E-5</v>
      </c>
      <c r="AC345" s="18">
        <f t="shared" si="162"/>
        <v>2.7821683529084248E-2</v>
      </c>
      <c r="AD345" s="18">
        <f t="shared" si="164"/>
        <v>7.0459818492697187E-8</v>
      </c>
      <c r="AE345" s="18">
        <f t="shared" si="166"/>
        <v>4.702129333467208E-3</v>
      </c>
      <c r="AF345" s="18">
        <f t="shared" si="168"/>
        <v>1.5226375159885782E-2</v>
      </c>
      <c r="AG345" s="18">
        <f t="shared" si="170"/>
        <v>1.3231427207090975E-3</v>
      </c>
      <c r="AH345" s="18">
        <f t="shared" si="172"/>
        <v>4.1718851206286808E-3</v>
      </c>
      <c r="AJ345" s="18">
        <f>IF(ISNUMBER(Kernel!M345),Kernel!M345,"")</f>
        <v>-8.7579435507609327E-2</v>
      </c>
      <c r="AK345" s="18">
        <f t="shared" si="157"/>
        <v>7.6701575238315011E-3</v>
      </c>
      <c r="AN345" s="18">
        <f>IF(ISNUMBER(Volcanic!G345),Volcanic!G345,"")</f>
        <v>1.2919999999999999E-2</v>
      </c>
    </row>
    <row r="346" spans="1:40">
      <c r="A346" s="18" t="str">
        <f>IF(Volcanic!A346="","",Volcanic!A346)</f>
        <v>11/1986</v>
      </c>
      <c r="B346" s="18">
        <f>IF(ISNUMBER(Volcanic!L346),Volcanic!L346,"")</f>
        <v>1986.875</v>
      </c>
      <c r="C346" s="18">
        <f>IF(ISNUMBER(Volcanic!J346),Volcanic!J346,"")</f>
        <v>-0.1845490655234891</v>
      </c>
      <c r="D346" s="18">
        <f t="shared" si="150"/>
        <v>3.4058357585593071E-2</v>
      </c>
      <c r="E346" s="18">
        <f>IF(ISNUMBER(Volcanic!C346),Volcanic!C346,"")</f>
        <v>0.30626223972785099</v>
      </c>
      <c r="F346" s="18">
        <f>IF(ISNUMBER(Volcanic!D346),Volcanic!D346,"")</f>
        <v>0.46</v>
      </c>
      <c r="G346" s="18">
        <f>IF(ISNUMBER(Volcanic!E346),Volcanic!E346,"")</f>
        <v>1.507E-2</v>
      </c>
      <c r="H346" s="18">
        <f t="shared" si="151"/>
        <v>9.3796559483119671E-2</v>
      </c>
      <c r="I346" s="18">
        <f t="shared" si="152"/>
        <v>0.21160000000000001</v>
      </c>
      <c r="J346" s="18">
        <f t="shared" si="153"/>
        <v>2.2710490000000001E-4</v>
      </c>
      <c r="K346" s="18">
        <f t="shared" si="154"/>
        <v>0.14088063027481146</v>
      </c>
      <c r="L346" s="18">
        <f t="shared" si="155"/>
        <v>4.6153719526987142E-3</v>
      </c>
      <c r="M346" s="18">
        <f t="shared" si="156"/>
        <v>6.9322000000000003E-3</v>
      </c>
      <c r="N346" s="18">
        <f t="shared" si="158"/>
        <v>9.4821941673595526E-3</v>
      </c>
      <c r="O346" s="18">
        <f t="shared" si="161"/>
        <v>4.1347859220761743E-2</v>
      </c>
      <c r="P346" s="18">
        <f t="shared" si="163"/>
        <v>5.2823047688985783E-3</v>
      </c>
      <c r="Q346" s="18">
        <f t="shared" si="165"/>
        <v>2.0742015168881706E-2</v>
      </c>
      <c r="R346" s="18">
        <f t="shared" si="167"/>
        <v>2.2516992726002223E-2</v>
      </c>
      <c r="S346" s="18">
        <f t="shared" si="169"/>
        <v>2.8117231570138498E-3</v>
      </c>
      <c r="T346" s="18">
        <f t="shared" si="171"/>
        <v>1.0966505096490808E-3</v>
      </c>
      <c r="U346" s="18">
        <f t="shared" si="173"/>
        <v>3.9185104091016059E-3</v>
      </c>
      <c r="V346" s="18">
        <f t="shared" si="174"/>
        <v>1.8084410450778719E-2</v>
      </c>
      <c r="W346" s="18">
        <f t="shared" si="175"/>
        <v>1.2697223649639018E-3</v>
      </c>
      <c r="X346" s="18">
        <f t="shared" si="176"/>
        <v>5.6014275554212506E-3</v>
      </c>
      <c r="Y346" s="18">
        <f t="shared" si="177"/>
        <v>2.0877479862255882E-2</v>
      </c>
      <c r="AA346" s="18">
        <f t="shared" si="159"/>
        <v>-0.13558791377968543</v>
      </c>
      <c r="AB346" s="18">
        <f t="shared" si="160"/>
        <v>1.838408236312741E-2</v>
      </c>
      <c r="AC346" s="18">
        <f t="shared" si="162"/>
        <v>2.3659650599206546E-5</v>
      </c>
      <c r="AD346" s="18">
        <f t="shared" si="164"/>
        <v>2.7821683529084248E-2</v>
      </c>
      <c r="AE346" s="18">
        <f t="shared" si="166"/>
        <v>7.0459818492697187E-8</v>
      </c>
      <c r="AF346" s="18">
        <f t="shared" si="168"/>
        <v>4.702129333467208E-3</v>
      </c>
      <c r="AG346" s="18">
        <f t="shared" si="170"/>
        <v>1.5226375159885782E-2</v>
      </c>
      <c r="AH346" s="18">
        <f t="shared" si="172"/>
        <v>1.3231427207090975E-3</v>
      </c>
      <c r="AJ346" s="18">
        <f>IF(ISNUMBER(Kernel!M346),Kernel!M346,"")</f>
        <v>-0.17422876226278677</v>
      </c>
      <c r="AK346" s="18">
        <f t="shared" si="157"/>
        <v>3.0355661599622673E-2</v>
      </c>
      <c r="AN346" s="18">
        <f>IF(ISNUMBER(Volcanic!G346),Volcanic!G346,"")</f>
        <v>1.264E-2</v>
      </c>
    </row>
    <row r="347" spans="1:40">
      <c r="A347" s="18" t="str">
        <f>IF(Volcanic!A347="","",Volcanic!A347)</f>
        <v>12/1986</v>
      </c>
      <c r="B347" s="18">
        <f>IF(ISNUMBER(Volcanic!L347),Volcanic!L347,"")</f>
        <v>1986.9583333333333</v>
      </c>
      <c r="C347" s="18">
        <f>IF(ISNUMBER(Volcanic!J347),Volcanic!J347,"")</f>
        <v>-0.18570029310855007</v>
      </c>
      <c r="D347" s="18">
        <f t="shared" si="150"/>
        <v>3.4484598860601408E-2</v>
      </c>
      <c r="E347" s="18">
        <f>IF(ISNUMBER(Volcanic!C347),Volcanic!C347,"")</f>
        <v>0.31150311546826975</v>
      </c>
      <c r="F347" s="18">
        <f>IF(ISNUMBER(Volcanic!D347),Volcanic!D347,"")</f>
        <v>0.64</v>
      </c>
      <c r="G347" s="18">
        <f>IF(ISNUMBER(Volcanic!E347),Volcanic!E347,"")</f>
        <v>1.4999999999999999E-2</v>
      </c>
      <c r="H347" s="18">
        <f t="shared" si="151"/>
        <v>9.7034190946438198E-2</v>
      </c>
      <c r="I347" s="18">
        <f t="shared" si="152"/>
        <v>0.40960000000000002</v>
      </c>
      <c r="J347" s="18">
        <f t="shared" si="153"/>
        <v>2.2499999999999999E-4</v>
      </c>
      <c r="K347" s="18">
        <f t="shared" si="154"/>
        <v>0.19936199389969264</v>
      </c>
      <c r="L347" s="18">
        <f t="shared" si="155"/>
        <v>4.6725467320240461E-3</v>
      </c>
      <c r="M347" s="18">
        <f t="shared" si="156"/>
        <v>9.5999999999999992E-3</v>
      </c>
      <c r="N347" s="18">
        <f t="shared" si="158"/>
        <v>3.4058357585593071E-2</v>
      </c>
      <c r="O347" s="18">
        <f t="shared" si="161"/>
        <v>9.4821941673595526E-3</v>
      </c>
      <c r="P347" s="18">
        <f t="shared" si="163"/>
        <v>4.1347859220761743E-2</v>
      </c>
      <c r="Q347" s="18">
        <f t="shared" si="165"/>
        <v>5.2823047688985783E-3</v>
      </c>
      <c r="R347" s="18">
        <f t="shared" si="167"/>
        <v>2.0742015168881706E-2</v>
      </c>
      <c r="S347" s="18">
        <f t="shared" si="169"/>
        <v>2.2516992726002223E-2</v>
      </c>
      <c r="T347" s="18">
        <f t="shared" si="171"/>
        <v>2.8117231570138498E-3</v>
      </c>
      <c r="U347" s="18">
        <f t="shared" si="173"/>
        <v>1.0966505096490808E-3</v>
      </c>
      <c r="V347" s="18">
        <f t="shared" si="174"/>
        <v>3.9185104091016059E-3</v>
      </c>
      <c r="W347" s="18">
        <f t="shared" si="175"/>
        <v>1.8084410450778719E-2</v>
      </c>
      <c r="X347" s="18">
        <f t="shared" si="176"/>
        <v>1.2697223649639018E-3</v>
      </c>
      <c r="Y347" s="18">
        <f t="shared" si="177"/>
        <v>5.6014275554212506E-3</v>
      </c>
      <c r="AA347" s="18">
        <f t="shared" si="159"/>
        <v>-9.2908609669007158E-2</v>
      </c>
      <c r="AB347" s="18">
        <f t="shared" si="160"/>
        <v>8.6320097506279309E-3</v>
      </c>
      <c r="AC347" s="18">
        <f t="shared" si="162"/>
        <v>1.838408236312741E-2</v>
      </c>
      <c r="AD347" s="18">
        <f t="shared" si="164"/>
        <v>2.3659650599206546E-5</v>
      </c>
      <c r="AE347" s="18">
        <f t="shared" si="166"/>
        <v>2.7821683529084248E-2</v>
      </c>
      <c r="AF347" s="18">
        <f t="shared" si="168"/>
        <v>7.0459818492697187E-8</v>
      </c>
      <c r="AG347" s="18">
        <f t="shared" si="170"/>
        <v>4.702129333467208E-3</v>
      </c>
      <c r="AH347" s="18">
        <f t="shared" si="172"/>
        <v>1.5226375159885782E-2</v>
      </c>
      <c r="AJ347" s="18">
        <f>IF(ISNUMBER(Kernel!M347),Kernel!M347,"")</f>
        <v>-0.1794253845197058</v>
      </c>
      <c r="AK347" s="18">
        <f t="shared" si="157"/>
        <v>3.2193468610044282E-2</v>
      </c>
      <c r="AN347" s="18">
        <f>IF(ISNUMBER(Volcanic!G347),Volcanic!G347,"")</f>
        <v>1.243E-2</v>
      </c>
    </row>
    <row r="348" spans="1:40">
      <c r="A348" s="18" t="str">
        <f>IF(Volcanic!A348="","",Volcanic!A348)</f>
        <v>1/1987</v>
      </c>
      <c r="B348" s="18">
        <f>IF(ISNUMBER(Volcanic!L348),Volcanic!L348,"")</f>
        <v>1987.0416666666667</v>
      </c>
      <c r="C348" s="18">
        <f>IF(ISNUMBER(Volcanic!J348),Volcanic!J348,"")</f>
        <v>-3.2401071689994954E-2</v>
      </c>
      <c r="D348" s="18">
        <f t="shared" si="150"/>
        <v>1.0498294466601925E-3</v>
      </c>
      <c r="E348" s="18">
        <f>IF(ISNUMBER(Volcanic!C348),Volcanic!C348,"")</f>
        <v>0.31668365219967981</v>
      </c>
      <c r="F348" s="18">
        <f>IF(ISNUMBER(Volcanic!D348),Volcanic!D348,"")</f>
        <v>0.86</v>
      </c>
      <c r="G348" s="18">
        <f>IF(ISNUMBER(Volcanic!E348),Volcanic!E348,"")</f>
        <v>1.4019999999999999E-2</v>
      </c>
      <c r="H348" s="18">
        <f t="shared" si="151"/>
        <v>0.10028853557052776</v>
      </c>
      <c r="I348" s="18">
        <f t="shared" si="152"/>
        <v>0.73959999999999992</v>
      </c>
      <c r="J348" s="18">
        <f t="shared" si="153"/>
        <v>1.9656039999999998E-4</v>
      </c>
      <c r="K348" s="18">
        <f t="shared" si="154"/>
        <v>0.27234794089172465</v>
      </c>
      <c r="L348" s="18">
        <f t="shared" si="155"/>
        <v>4.4399048038395112E-3</v>
      </c>
      <c r="M348" s="18">
        <f t="shared" si="156"/>
        <v>1.2057199999999999E-2</v>
      </c>
      <c r="N348" s="18">
        <f t="shared" si="158"/>
        <v>3.4484598860601408E-2</v>
      </c>
      <c r="O348" s="18">
        <f t="shared" si="161"/>
        <v>3.4058357585593071E-2</v>
      </c>
      <c r="P348" s="18">
        <f t="shared" si="163"/>
        <v>9.4821941673595526E-3</v>
      </c>
      <c r="Q348" s="18">
        <f t="shared" si="165"/>
        <v>4.1347859220761743E-2</v>
      </c>
      <c r="R348" s="18">
        <f t="shared" si="167"/>
        <v>5.2823047688985783E-3</v>
      </c>
      <c r="S348" s="18">
        <f t="shared" si="169"/>
        <v>2.0742015168881706E-2</v>
      </c>
      <c r="T348" s="18">
        <f t="shared" si="171"/>
        <v>2.2516992726002223E-2</v>
      </c>
      <c r="U348" s="18">
        <f t="shared" si="173"/>
        <v>2.8117231570138498E-3</v>
      </c>
      <c r="V348" s="18">
        <f t="shared" si="174"/>
        <v>1.0966505096490808E-3</v>
      </c>
      <c r="W348" s="18">
        <f t="shared" si="175"/>
        <v>3.9185104091016059E-3</v>
      </c>
      <c r="X348" s="18">
        <f t="shared" si="176"/>
        <v>1.8084410450778719E-2</v>
      </c>
      <c r="Y348" s="18">
        <f t="shared" si="177"/>
        <v>1.2697223649639018E-3</v>
      </c>
      <c r="AA348" s="18">
        <f t="shared" si="159"/>
        <v>6.0969451557470217E-2</v>
      </c>
      <c r="AB348" s="18">
        <f t="shared" si="160"/>
        <v>3.7172740232187074E-3</v>
      </c>
      <c r="AC348" s="18">
        <f t="shared" si="162"/>
        <v>8.6320097506279309E-3</v>
      </c>
      <c r="AD348" s="18">
        <f t="shared" si="164"/>
        <v>1.838408236312741E-2</v>
      </c>
      <c r="AE348" s="18">
        <f t="shared" si="166"/>
        <v>2.3659650599206546E-5</v>
      </c>
      <c r="AF348" s="18">
        <f t="shared" si="168"/>
        <v>2.7821683529084248E-2</v>
      </c>
      <c r="AG348" s="18">
        <f t="shared" si="170"/>
        <v>7.0459818492697187E-8</v>
      </c>
      <c r="AH348" s="18">
        <f t="shared" si="172"/>
        <v>4.702129333467208E-3</v>
      </c>
      <c r="AJ348" s="18">
        <f>IF(ISNUMBER(Kernel!M348),Kernel!M348,"")</f>
        <v>-2.0752612515309299E-2</v>
      </c>
      <c r="AK348" s="18">
        <f t="shared" si="157"/>
        <v>4.3067092621057213E-4</v>
      </c>
      <c r="AN348" s="18">
        <f>IF(ISNUMBER(Volcanic!G348),Volcanic!G348,"")</f>
        <v>1.2070000000000001E-2</v>
      </c>
    </row>
    <row r="349" spans="1:40">
      <c r="A349" s="18" t="str">
        <f>IF(Volcanic!A349="","",Volcanic!A349)</f>
        <v>2/1987</v>
      </c>
      <c r="B349" s="18">
        <f>IF(ISNUMBER(Volcanic!L349),Volcanic!L349,"")</f>
        <v>1987.125</v>
      </c>
      <c r="C349" s="18">
        <f>IF(ISNUMBER(Volcanic!J349),Volcanic!J349,"")</f>
        <v>5.6456601430504572E-2</v>
      </c>
      <c r="D349" s="18">
        <f t="shared" si="150"/>
        <v>3.187347845082851E-3</v>
      </c>
      <c r="E349" s="18">
        <f>IF(ISNUMBER(Volcanic!C349),Volcanic!C349,"")</f>
        <v>0.31746946762158468</v>
      </c>
      <c r="F349" s="18">
        <f>IF(ISNUMBER(Volcanic!D349),Volcanic!D349,"")</f>
        <v>1.06</v>
      </c>
      <c r="G349" s="18">
        <f>IF(ISNUMBER(Volcanic!E349),Volcanic!E349,"")</f>
        <v>1.3820000000000001E-2</v>
      </c>
      <c r="H349" s="18">
        <f t="shared" si="151"/>
        <v>0.10078686287193241</v>
      </c>
      <c r="I349" s="18">
        <f t="shared" si="152"/>
        <v>1.1236000000000002</v>
      </c>
      <c r="J349" s="18">
        <f t="shared" si="153"/>
        <v>1.9099240000000002E-4</v>
      </c>
      <c r="K349" s="18">
        <f t="shared" si="154"/>
        <v>0.33651763567887977</v>
      </c>
      <c r="L349" s="18">
        <f t="shared" si="155"/>
        <v>4.3874280425303001E-3</v>
      </c>
      <c r="M349" s="18">
        <f t="shared" si="156"/>
        <v>1.4649200000000001E-2</v>
      </c>
      <c r="N349" s="18">
        <f t="shared" si="158"/>
        <v>1.0498294466601925E-3</v>
      </c>
      <c r="O349" s="18">
        <f t="shared" si="161"/>
        <v>3.4484598860601408E-2</v>
      </c>
      <c r="P349" s="18">
        <f t="shared" si="163"/>
        <v>3.4058357585593071E-2</v>
      </c>
      <c r="Q349" s="18">
        <f t="shared" si="165"/>
        <v>9.4821941673595526E-3</v>
      </c>
      <c r="R349" s="18">
        <f t="shared" si="167"/>
        <v>4.1347859220761743E-2</v>
      </c>
      <c r="S349" s="18">
        <f t="shared" si="169"/>
        <v>5.2823047688985783E-3</v>
      </c>
      <c r="T349" s="18">
        <f t="shared" si="171"/>
        <v>2.0742015168881706E-2</v>
      </c>
      <c r="U349" s="18">
        <f t="shared" si="173"/>
        <v>2.2516992726002223E-2</v>
      </c>
      <c r="V349" s="18">
        <f t="shared" si="174"/>
        <v>2.8117231570138498E-3</v>
      </c>
      <c r="W349" s="18">
        <f t="shared" si="175"/>
        <v>1.0966505096490808E-3</v>
      </c>
      <c r="X349" s="18">
        <f t="shared" si="176"/>
        <v>3.9185104091016059E-3</v>
      </c>
      <c r="Y349" s="18">
        <f t="shared" si="177"/>
        <v>1.8084410450778719E-2</v>
      </c>
      <c r="AA349" s="18">
        <f t="shared" si="159"/>
        <v>7.2747932837854773E-2</v>
      </c>
      <c r="AB349" s="18">
        <f t="shared" si="160"/>
        <v>5.2922617321810288E-3</v>
      </c>
      <c r="AC349" s="18">
        <f t="shared" si="162"/>
        <v>3.7172740232187074E-3</v>
      </c>
      <c r="AD349" s="18">
        <f t="shared" si="164"/>
        <v>8.6320097506279309E-3</v>
      </c>
      <c r="AE349" s="18">
        <f t="shared" si="166"/>
        <v>1.838408236312741E-2</v>
      </c>
      <c r="AF349" s="18">
        <f t="shared" si="168"/>
        <v>2.3659650599206546E-5</v>
      </c>
      <c r="AG349" s="18">
        <f t="shared" si="170"/>
        <v>2.7821683529084248E-2</v>
      </c>
      <c r="AH349" s="18">
        <f t="shared" si="172"/>
        <v>7.0459818492697187E-8</v>
      </c>
      <c r="AJ349" s="18">
        <f>IF(ISNUMBER(Kernel!M349),Kernel!M349,"")</f>
        <v>7.3278572096257266E-2</v>
      </c>
      <c r="AK349" s="18">
        <f t="shared" si="157"/>
        <v>5.3697491284663739E-3</v>
      </c>
      <c r="AN349" s="18">
        <f>IF(ISNUMBER(Volcanic!G349),Volcanic!G349,"")</f>
        <v>1.136E-2</v>
      </c>
    </row>
    <row r="350" spans="1:40">
      <c r="A350" s="18" t="str">
        <f>IF(Volcanic!A350="","",Volcanic!A350)</f>
        <v>3/1987</v>
      </c>
      <c r="B350" s="18">
        <f>IF(ISNUMBER(Volcanic!L350),Volcanic!L350,"")</f>
        <v>1987.2083333333333</v>
      </c>
      <c r="C350" s="18">
        <f>IF(ISNUMBER(Volcanic!J350),Volcanic!J350,"")</f>
        <v>-0.21788265164611054</v>
      </c>
      <c r="D350" s="18">
        <f t="shared" si="150"/>
        <v>4.7472849888340357E-2</v>
      </c>
      <c r="E350" s="18">
        <f>IF(ISNUMBER(Volcanic!C350),Volcanic!C350,"")</f>
        <v>0.32114470492578934</v>
      </c>
      <c r="F350" s="18">
        <f>IF(ISNUMBER(Volcanic!D350),Volcanic!D350,"")</f>
        <v>1.21</v>
      </c>
      <c r="G350" s="18">
        <f>IF(ISNUMBER(Volcanic!E350),Volcanic!E350,"")</f>
        <v>1.3639999999999999E-2</v>
      </c>
      <c r="H350" s="18">
        <f t="shared" si="151"/>
        <v>0.1031339215018723</v>
      </c>
      <c r="I350" s="18">
        <f t="shared" si="152"/>
        <v>1.4641</v>
      </c>
      <c r="J350" s="18">
        <f t="shared" si="153"/>
        <v>1.8604959999999999E-4</v>
      </c>
      <c r="K350" s="18">
        <f t="shared" si="154"/>
        <v>0.3885850929602051</v>
      </c>
      <c r="L350" s="18">
        <f t="shared" si="155"/>
        <v>4.3804137751877661E-3</v>
      </c>
      <c r="M350" s="18">
        <f t="shared" si="156"/>
        <v>1.6504399999999999E-2</v>
      </c>
      <c r="N350" s="18">
        <f t="shared" si="158"/>
        <v>3.187347845082851E-3</v>
      </c>
      <c r="O350" s="18">
        <f t="shared" si="161"/>
        <v>1.0498294466601925E-3</v>
      </c>
      <c r="P350" s="18">
        <f t="shared" si="163"/>
        <v>3.4484598860601408E-2</v>
      </c>
      <c r="Q350" s="18">
        <f t="shared" si="165"/>
        <v>3.4058357585593071E-2</v>
      </c>
      <c r="R350" s="18">
        <f t="shared" si="167"/>
        <v>9.4821941673595526E-3</v>
      </c>
      <c r="S350" s="18">
        <f t="shared" si="169"/>
        <v>4.1347859220761743E-2</v>
      </c>
      <c r="T350" s="18">
        <f t="shared" si="171"/>
        <v>5.2823047688985783E-3</v>
      </c>
      <c r="U350" s="18">
        <f t="shared" si="173"/>
        <v>2.0742015168881706E-2</v>
      </c>
      <c r="V350" s="18">
        <f t="shared" si="174"/>
        <v>2.2516992726002223E-2</v>
      </c>
      <c r="W350" s="18">
        <f t="shared" si="175"/>
        <v>2.8117231570138498E-3</v>
      </c>
      <c r="X350" s="18">
        <f t="shared" si="176"/>
        <v>1.0966505096490808E-3</v>
      </c>
      <c r="Y350" s="18">
        <f t="shared" si="177"/>
        <v>3.9185104091016059E-3</v>
      </c>
      <c r="AA350" s="18">
        <f t="shared" si="159"/>
        <v>-0.24626915727891774</v>
      </c>
      <c r="AB350" s="18">
        <f t="shared" si="160"/>
        <v>6.0648497826868319E-2</v>
      </c>
      <c r="AC350" s="18">
        <f t="shared" si="162"/>
        <v>5.2922617321810288E-3</v>
      </c>
      <c r="AD350" s="18">
        <f t="shared" si="164"/>
        <v>3.7172740232187074E-3</v>
      </c>
      <c r="AE350" s="18">
        <f t="shared" si="166"/>
        <v>8.6320097506279309E-3</v>
      </c>
      <c r="AF350" s="18">
        <f t="shared" si="168"/>
        <v>1.838408236312741E-2</v>
      </c>
      <c r="AG350" s="18">
        <f t="shared" si="170"/>
        <v>2.3659650599206546E-5</v>
      </c>
      <c r="AH350" s="18">
        <f t="shared" si="172"/>
        <v>2.7821683529084248E-2</v>
      </c>
      <c r="AJ350" s="18">
        <f>IF(ISNUMBER(Kernel!M350),Kernel!M350,"")</f>
        <v>-0.19620327541467131</v>
      </c>
      <c r="AK350" s="18">
        <f t="shared" si="157"/>
        <v>3.8495725283445359E-2</v>
      </c>
      <c r="AN350" s="18">
        <f>IF(ISNUMBER(Volcanic!G350),Volcanic!G350,"")</f>
        <v>1.09E-2</v>
      </c>
    </row>
    <row r="351" spans="1:40">
      <c r="A351" s="18" t="str">
        <f>IF(Volcanic!A351="","",Volcanic!A351)</f>
        <v>4/1987</v>
      </c>
      <c r="B351" s="18">
        <f>IF(ISNUMBER(Volcanic!L351),Volcanic!L351,"")</f>
        <v>1987.2916666666667</v>
      </c>
      <c r="C351" s="18">
        <f>IF(ISNUMBER(Volcanic!J351),Volcanic!J351,"")</f>
        <v>-0.17424162717066588</v>
      </c>
      <c r="D351" s="18">
        <f t="shared" si="150"/>
        <v>3.0360144639081332E-2</v>
      </c>
      <c r="E351" s="18">
        <f>IF(ISNUMBER(Volcanic!C351),Volcanic!C351,"")</f>
        <v>0.32768736417604716</v>
      </c>
      <c r="F351" s="18">
        <f>IF(ISNUMBER(Volcanic!D351),Volcanic!D351,"")</f>
        <v>1.18</v>
      </c>
      <c r="G351" s="18">
        <f>IF(ISNUMBER(Volcanic!E351),Volcanic!E351,"")</f>
        <v>1.3050000000000001E-2</v>
      </c>
      <c r="H351" s="18">
        <f t="shared" si="151"/>
        <v>0.10737900864064535</v>
      </c>
      <c r="I351" s="18">
        <f t="shared" si="152"/>
        <v>1.3923999999999999</v>
      </c>
      <c r="J351" s="18">
        <f t="shared" si="153"/>
        <v>1.7030250000000003E-4</v>
      </c>
      <c r="K351" s="18">
        <f t="shared" si="154"/>
        <v>0.38667108972773562</v>
      </c>
      <c r="L351" s="18">
        <f t="shared" si="155"/>
        <v>4.2763201024974161E-3</v>
      </c>
      <c r="M351" s="18">
        <f t="shared" si="156"/>
        <v>1.5398999999999999E-2</v>
      </c>
      <c r="N351" s="18">
        <f t="shared" si="158"/>
        <v>4.7472849888340357E-2</v>
      </c>
      <c r="O351" s="18">
        <f t="shared" si="161"/>
        <v>3.187347845082851E-3</v>
      </c>
      <c r="P351" s="18">
        <f t="shared" si="163"/>
        <v>1.0498294466601925E-3</v>
      </c>
      <c r="Q351" s="18">
        <f t="shared" si="165"/>
        <v>3.4484598860601408E-2</v>
      </c>
      <c r="R351" s="18">
        <f t="shared" si="167"/>
        <v>3.4058357585593071E-2</v>
      </c>
      <c r="S351" s="18">
        <f t="shared" si="169"/>
        <v>9.4821941673595526E-3</v>
      </c>
      <c r="T351" s="18">
        <f t="shared" si="171"/>
        <v>4.1347859220761743E-2</v>
      </c>
      <c r="U351" s="18">
        <f t="shared" si="173"/>
        <v>5.2823047688985783E-3</v>
      </c>
      <c r="V351" s="18">
        <f t="shared" si="174"/>
        <v>2.0742015168881706E-2</v>
      </c>
      <c r="W351" s="18">
        <f t="shared" si="175"/>
        <v>2.2516992726002223E-2</v>
      </c>
      <c r="X351" s="18">
        <f t="shared" si="176"/>
        <v>2.8117231570138498E-3</v>
      </c>
      <c r="Y351" s="18">
        <f t="shared" si="177"/>
        <v>1.0966505096490808E-3</v>
      </c>
      <c r="AA351" s="18">
        <f t="shared" si="159"/>
        <v>-6.468974197869877E-2</v>
      </c>
      <c r="AB351" s="18">
        <f t="shared" si="160"/>
        <v>4.1847627172706221E-3</v>
      </c>
      <c r="AC351" s="18">
        <f t="shared" si="162"/>
        <v>6.0648497826868319E-2</v>
      </c>
      <c r="AD351" s="18">
        <f t="shared" si="164"/>
        <v>5.2922617321810288E-3</v>
      </c>
      <c r="AE351" s="18">
        <f t="shared" si="166"/>
        <v>3.7172740232187074E-3</v>
      </c>
      <c r="AF351" s="18">
        <f t="shared" si="168"/>
        <v>8.6320097506279309E-3</v>
      </c>
      <c r="AG351" s="18">
        <f t="shared" si="170"/>
        <v>1.838408236312741E-2</v>
      </c>
      <c r="AH351" s="18">
        <f t="shared" si="172"/>
        <v>2.3659650599206546E-5</v>
      </c>
      <c r="AJ351" s="18">
        <f>IF(ISNUMBER(Kernel!M351),Kernel!M351,"")</f>
        <v>-0.16040250975230985</v>
      </c>
      <c r="AK351" s="18">
        <f t="shared" si="157"/>
        <v>2.5728965134839858E-2</v>
      </c>
      <c r="AN351" s="18">
        <f>IF(ISNUMBER(Volcanic!G351),Volcanic!G351,"")</f>
        <v>1.0619999999999999E-2</v>
      </c>
    </row>
    <row r="352" spans="1:40">
      <c r="A352" s="18" t="str">
        <f>IF(Volcanic!A352="","",Volcanic!A352)</f>
        <v>5/1987</v>
      </c>
      <c r="B352" s="18">
        <f>IF(ISNUMBER(Volcanic!L352),Volcanic!L352,"")</f>
        <v>1987.375</v>
      </c>
      <c r="C352" s="18">
        <f>IF(ISNUMBER(Volcanic!J352),Volcanic!J352,"")</f>
        <v>-0.15827718794199891</v>
      </c>
      <c r="D352" s="18">
        <f t="shared" si="150"/>
        <v>2.5051668222826846E-2</v>
      </c>
      <c r="E352" s="18">
        <f>IF(ISNUMBER(Volcanic!C352),Volcanic!C352,"")</f>
        <v>0.33076325555700942</v>
      </c>
      <c r="F352" s="18">
        <f>IF(ISNUMBER(Volcanic!D352),Volcanic!D352,"")</f>
        <v>1.1299999999999999</v>
      </c>
      <c r="G352" s="18">
        <f>IF(ISNUMBER(Volcanic!E352),Volcanic!E352,"")</f>
        <v>1.2919999999999999E-2</v>
      </c>
      <c r="H352" s="18">
        <f t="shared" si="151"/>
        <v>0.10940433122667152</v>
      </c>
      <c r="I352" s="18">
        <f t="shared" si="152"/>
        <v>1.2768999999999997</v>
      </c>
      <c r="J352" s="18">
        <f t="shared" si="153"/>
        <v>1.6692639999999997E-4</v>
      </c>
      <c r="K352" s="18">
        <f t="shared" si="154"/>
        <v>0.37376247877942059</v>
      </c>
      <c r="L352" s="18">
        <f t="shared" si="155"/>
        <v>4.2734612617965611E-3</v>
      </c>
      <c r="M352" s="18">
        <f t="shared" si="156"/>
        <v>1.4599599999999997E-2</v>
      </c>
      <c r="N352" s="18">
        <f t="shared" si="158"/>
        <v>3.0360144639081332E-2</v>
      </c>
      <c r="O352" s="18">
        <f t="shared" si="161"/>
        <v>4.7472849888340357E-2</v>
      </c>
      <c r="P352" s="18">
        <f t="shared" si="163"/>
        <v>3.187347845082851E-3</v>
      </c>
      <c r="Q352" s="18">
        <f t="shared" si="165"/>
        <v>1.0498294466601925E-3</v>
      </c>
      <c r="R352" s="18">
        <f t="shared" si="167"/>
        <v>3.4484598860601408E-2</v>
      </c>
      <c r="S352" s="18">
        <f t="shared" si="169"/>
        <v>3.4058357585593071E-2</v>
      </c>
      <c r="T352" s="18">
        <f t="shared" si="171"/>
        <v>9.4821941673595526E-3</v>
      </c>
      <c r="U352" s="18">
        <f t="shared" si="173"/>
        <v>4.1347859220761743E-2</v>
      </c>
      <c r="V352" s="18">
        <f t="shared" si="174"/>
        <v>5.2823047688985783E-3</v>
      </c>
      <c r="W352" s="18">
        <f t="shared" si="175"/>
        <v>2.0742015168881706E-2</v>
      </c>
      <c r="X352" s="18">
        <f t="shared" si="176"/>
        <v>2.2516992726002223E-2</v>
      </c>
      <c r="Y352" s="18">
        <f t="shared" si="177"/>
        <v>2.8117231570138498E-3</v>
      </c>
      <c r="AA352" s="18">
        <f t="shared" si="159"/>
        <v>-7.0668107589579407E-2</v>
      </c>
      <c r="AB352" s="18">
        <f t="shared" si="160"/>
        <v>4.9939814302923709E-3</v>
      </c>
      <c r="AC352" s="18">
        <f t="shared" si="162"/>
        <v>4.1847627172706221E-3</v>
      </c>
      <c r="AD352" s="18">
        <f t="shared" si="164"/>
        <v>6.0648497826868319E-2</v>
      </c>
      <c r="AE352" s="18">
        <f t="shared" si="166"/>
        <v>5.2922617321810288E-3</v>
      </c>
      <c r="AF352" s="18">
        <f t="shared" si="168"/>
        <v>3.7172740232187074E-3</v>
      </c>
      <c r="AG352" s="18">
        <f t="shared" si="170"/>
        <v>8.6320097506279309E-3</v>
      </c>
      <c r="AH352" s="18">
        <f t="shared" si="172"/>
        <v>1.838408236312741E-2</v>
      </c>
      <c r="AJ352" s="18">
        <f>IF(ISNUMBER(Kernel!M352),Kernel!M352,"")</f>
        <v>-0.15450203976034727</v>
      </c>
      <c r="AK352" s="18">
        <f t="shared" si="157"/>
        <v>2.3870880290107928E-2</v>
      </c>
      <c r="AN352" s="18">
        <f>IF(ISNUMBER(Volcanic!G352),Volcanic!G352,"")</f>
        <v>1.072E-2</v>
      </c>
    </row>
    <row r="353" spans="1:40">
      <c r="A353" s="18" t="str">
        <f>IF(Volcanic!A353="","",Volcanic!A353)</f>
        <v>6/1987</v>
      </c>
      <c r="B353" s="18">
        <f>IF(ISNUMBER(Volcanic!L353),Volcanic!L353,"")</f>
        <v>1987.4583333333333</v>
      </c>
      <c r="C353" s="18">
        <f>IF(ISNUMBER(Volcanic!J353),Volcanic!J353,"")</f>
        <v>-5.2311624719797833E-2</v>
      </c>
      <c r="D353" s="18">
        <f t="shared" si="150"/>
        <v>2.7365060808249636E-3</v>
      </c>
      <c r="E353" s="18">
        <f>IF(ISNUMBER(Volcanic!C353),Volcanic!C353,"")</f>
        <v>0.32842617641262656</v>
      </c>
      <c r="F353" s="18">
        <f>IF(ISNUMBER(Volcanic!D353),Volcanic!D353,"")</f>
        <v>1.02</v>
      </c>
      <c r="G353" s="18">
        <f>IF(ISNUMBER(Volcanic!E353),Volcanic!E353,"")</f>
        <v>1.264E-2</v>
      </c>
      <c r="H353" s="18">
        <f t="shared" si="151"/>
        <v>0.10786375335301771</v>
      </c>
      <c r="I353" s="18">
        <f t="shared" si="152"/>
        <v>1.0404</v>
      </c>
      <c r="J353" s="18">
        <f t="shared" si="153"/>
        <v>1.597696E-4</v>
      </c>
      <c r="K353" s="18">
        <f t="shared" si="154"/>
        <v>0.3349946999408791</v>
      </c>
      <c r="L353" s="18">
        <f t="shared" si="155"/>
        <v>4.1513068698555994E-3</v>
      </c>
      <c r="M353" s="18">
        <f t="shared" si="156"/>
        <v>1.2892800000000001E-2</v>
      </c>
      <c r="N353" s="18">
        <f t="shared" si="158"/>
        <v>2.5051668222826846E-2</v>
      </c>
      <c r="O353" s="18">
        <f t="shared" si="161"/>
        <v>3.0360144639081332E-2</v>
      </c>
      <c r="P353" s="18">
        <f t="shared" si="163"/>
        <v>4.7472849888340357E-2</v>
      </c>
      <c r="Q353" s="18">
        <f t="shared" si="165"/>
        <v>3.187347845082851E-3</v>
      </c>
      <c r="R353" s="18">
        <f t="shared" si="167"/>
        <v>1.0498294466601925E-3</v>
      </c>
      <c r="S353" s="18">
        <f t="shared" si="169"/>
        <v>3.4484598860601408E-2</v>
      </c>
      <c r="T353" s="18">
        <f t="shared" si="171"/>
        <v>3.4058357585593071E-2</v>
      </c>
      <c r="U353" s="18">
        <f t="shared" si="173"/>
        <v>9.4821941673595526E-3</v>
      </c>
      <c r="V353" s="18">
        <f t="shared" si="174"/>
        <v>4.1347859220761743E-2</v>
      </c>
      <c r="W353" s="18">
        <f t="shared" si="175"/>
        <v>5.2823047688985783E-3</v>
      </c>
      <c r="X353" s="18">
        <f t="shared" si="176"/>
        <v>2.0742015168881706E-2</v>
      </c>
      <c r="Y353" s="18">
        <f t="shared" si="177"/>
        <v>2.2516992726002223E-2</v>
      </c>
      <c r="AA353" s="18">
        <f t="shared" si="159"/>
        <v>2.7270499836371712E-2</v>
      </c>
      <c r="AB353" s="18">
        <f t="shared" si="160"/>
        <v>7.4368016132554953E-4</v>
      </c>
      <c r="AC353" s="18">
        <f t="shared" si="162"/>
        <v>4.9939814302923709E-3</v>
      </c>
      <c r="AD353" s="18">
        <f t="shared" si="164"/>
        <v>4.1847627172706221E-3</v>
      </c>
      <c r="AE353" s="18">
        <f t="shared" si="166"/>
        <v>6.0648497826868319E-2</v>
      </c>
      <c r="AF353" s="18">
        <f t="shared" si="168"/>
        <v>5.2922617321810288E-3</v>
      </c>
      <c r="AG353" s="18">
        <f t="shared" si="170"/>
        <v>3.7172740232187074E-3</v>
      </c>
      <c r="AH353" s="18">
        <f t="shared" si="172"/>
        <v>8.6320097506279309E-3</v>
      </c>
      <c r="AJ353" s="18">
        <f>IF(ISNUMBER(Kernel!M353),Kernel!M353,"")</f>
        <v>-6.6648202053304406E-2</v>
      </c>
      <c r="AK353" s="18">
        <f t="shared" si="157"/>
        <v>4.4419828369380897E-3</v>
      </c>
      <c r="AN353" s="18">
        <f>IF(ISNUMBER(Volcanic!G353),Volcanic!G353,"")</f>
        <v>1.061E-2</v>
      </c>
    </row>
    <row r="354" spans="1:40">
      <c r="A354" s="18" t="str">
        <f>IF(Volcanic!A354="","",Volcanic!A354)</f>
        <v>7/1987</v>
      </c>
      <c r="B354" s="18">
        <f>IF(ISNUMBER(Volcanic!L354),Volcanic!L354,"")</f>
        <v>1987.5416666666667</v>
      </c>
      <c r="C354" s="18">
        <f>IF(ISNUMBER(Volcanic!J354),Volcanic!J354,"")</f>
        <v>2.0012739987359307E-2</v>
      </c>
      <c r="D354" s="18">
        <f t="shared" si="150"/>
        <v>4.005097618016502E-4</v>
      </c>
      <c r="E354" s="18">
        <f>IF(ISNUMBER(Volcanic!C354),Volcanic!C354,"")</f>
        <v>0.32279345233061574</v>
      </c>
      <c r="F354" s="18">
        <f>IF(ISNUMBER(Volcanic!D354),Volcanic!D354,"")</f>
        <v>0.94</v>
      </c>
      <c r="G354" s="18">
        <f>IF(ISNUMBER(Volcanic!E354),Volcanic!E354,"")</f>
        <v>1.243E-2</v>
      </c>
      <c r="H354" s="18">
        <f t="shared" si="151"/>
        <v>0.1041956128675175</v>
      </c>
      <c r="I354" s="18">
        <f t="shared" si="152"/>
        <v>0.88359999999999994</v>
      </c>
      <c r="J354" s="18">
        <f t="shared" si="153"/>
        <v>1.5450490000000001E-4</v>
      </c>
      <c r="K354" s="18">
        <f t="shared" si="154"/>
        <v>0.30342584519077875</v>
      </c>
      <c r="L354" s="18">
        <f t="shared" si="155"/>
        <v>4.0123226124695538E-3</v>
      </c>
      <c r="M354" s="18">
        <f t="shared" si="156"/>
        <v>1.1684199999999999E-2</v>
      </c>
      <c r="N354" s="18">
        <f t="shared" si="158"/>
        <v>2.7365060808249636E-3</v>
      </c>
      <c r="O354" s="18">
        <f t="shared" si="161"/>
        <v>2.5051668222826846E-2</v>
      </c>
      <c r="P354" s="18">
        <f t="shared" si="163"/>
        <v>3.0360144639081332E-2</v>
      </c>
      <c r="Q354" s="18">
        <f t="shared" si="165"/>
        <v>4.7472849888340357E-2</v>
      </c>
      <c r="R354" s="18">
        <f t="shared" si="167"/>
        <v>3.187347845082851E-3</v>
      </c>
      <c r="S354" s="18">
        <f t="shared" si="169"/>
        <v>1.0498294466601925E-3</v>
      </c>
      <c r="T354" s="18">
        <f t="shared" si="171"/>
        <v>3.4484598860601408E-2</v>
      </c>
      <c r="U354" s="18">
        <f t="shared" si="173"/>
        <v>3.4058357585593071E-2</v>
      </c>
      <c r="V354" s="18">
        <f t="shared" si="174"/>
        <v>9.4821941673595526E-3</v>
      </c>
      <c r="W354" s="18">
        <f t="shared" si="175"/>
        <v>4.1347859220761743E-2</v>
      </c>
      <c r="X354" s="18">
        <f t="shared" si="176"/>
        <v>5.2823047688985783E-3</v>
      </c>
      <c r="Y354" s="18">
        <f t="shared" si="177"/>
        <v>2.0742015168881706E-2</v>
      </c>
      <c r="AA354" s="18">
        <f t="shared" si="159"/>
        <v>4.6315142047421917E-2</v>
      </c>
      <c r="AB354" s="18">
        <f t="shared" si="160"/>
        <v>2.1450923828728696E-3</v>
      </c>
      <c r="AC354" s="18">
        <f t="shared" si="162"/>
        <v>7.4368016132554953E-4</v>
      </c>
      <c r="AD354" s="18">
        <f t="shared" si="164"/>
        <v>4.9939814302923709E-3</v>
      </c>
      <c r="AE354" s="18">
        <f t="shared" si="166"/>
        <v>4.1847627172706221E-3</v>
      </c>
      <c r="AF354" s="18">
        <f t="shared" si="168"/>
        <v>6.0648497826868319E-2</v>
      </c>
      <c r="AG354" s="18">
        <f t="shared" si="170"/>
        <v>5.2922617321810288E-3</v>
      </c>
      <c r="AH354" s="18">
        <f t="shared" si="172"/>
        <v>3.7172740232187074E-3</v>
      </c>
      <c r="AJ354" s="18">
        <f>IF(ISNUMBER(Kernel!M354),Kernel!M354,"")</f>
        <v>-1.2892837592090145E-2</v>
      </c>
      <c r="AK354" s="18">
        <f t="shared" si="157"/>
        <v>1.662252611760128E-4</v>
      </c>
      <c r="AN354" s="18">
        <f>IF(ISNUMBER(Volcanic!G354),Volcanic!G354,"")</f>
        <v>1.0160000000000001E-2</v>
      </c>
    </row>
    <row r="355" spans="1:40">
      <c r="A355" s="18" t="str">
        <f>IF(Volcanic!A355="","",Volcanic!A355)</f>
        <v>8/1987</v>
      </c>
      <c r="B355" s="18">
        <f>IF(ISNUMBER(Volcanic!L355),Volcanic!L355,"")</f>
        <v>1987.625</v>
      </c>
      <c r="C355" s="18">
        <f>IF(ISNUMBER(Volcanic!J355),Volcanic!J355,"")</f>
        <v>-0.10905858379148969</v>
      </c>
      <c r="D355" s="18">
        <f t="shared" si="150"/>
        <v>1.1893774698605378E-2</v>
      </c>
      <c r="E355" s="18">
        <f>IF(ISNUMBER(Volcanic!C355),Volcanic!C355,"")</f>
        <v>0.31448937581877229</v>
      </c>
      <c r="F355" s="18">
        <f>IF(ISNUMBER(Volcanic!D355),Volcanic!D355,"")</f>
        <v>0.95</v>
      </c>
      <c r="G355" s="18">
        <f>IF(ISNUMBER(Volcanic!E355),Volcanic!E355,"")</f>
        <v>1.2070000000000001E-2</v>
      </c>
      <c r="H355" s="18">
        <f t="shared" si="151"/>
        <v>9.8903567502880999E-2</v>
      </c>
      <c r="I355" s="18">
        <f t="shared" si="152"/>
        <v>0.90249999999999997</v>
      </c>
      <c r="J355" s="18">
        <f t="shared" si="153"/>
        <v>1.4568490000000002E-4</v>
      </c>
      <c r="K355" s="18">
        <f t="shared" si="154"/>
        <v>0.29876490702783365</v>
      </c>
      <c r="L355" s="18">
        <f t="shared" si="155"/>
        <v>3.7958867661325819E-3</v>
      </c>
      <c r="M355" s="18">
        <f t="shared" si="156"/>
        <v>1.1466500000000001E-2</v>
      </c>
      <c r="N355" s="18">
        <f t="shared" si="158"/>
        <v>4.005097618016502E-4</v>
      </c>
      <c r="O355" s="18">
        <f t="shared" si="161"/>
        <v>2.7365060808249636E-3</v>
      </c>
      <c r="P355" s="18">
        <f t="shared" si="163"/>
        <v>2.5051668222826846E-2</v>
      </c>
      <c r="Q355" s="18">
        <f t="shared" si="165"/>
        <v>3.0360144639081332E-2</v>
      </c>
      <c r="R355" s="18">
        <f t="shared" si="167"/>
        <v>4.7472849888340357E-2</v>
      </c>
      <c r="S355" s="18">
        <f t="shared" si="169"/>
        <v>3.187347845082851E-3</v>
      </c>
      <c r="T355" s="18">
        <f t="shared" si="171"/>
        <v>1.0498294466601925E-3</v>
      </c>
      <c r="U355" s="18">
        <f t="shared" si="173"/>
        <v>3.4484598860601408E-2</v>
      </c>
      <c r="V355" s="18">
        <f t="shared" si="174"/>
        <v>3.4058357585593071E-2</v>
      </c>
      <c r="W355" s="18">
        <f t="shared" si="175"/>
        <v>9.4821941673595526E-3</v>
      </c>
      <c r="X355" s="18">
        <f t="shared" si="176"/>
        <v>4.1347859220761743E-2</v>
      </c>
      <c r="Y355" s="18">
        <f t="shared" si="177"/>
        <v>5.2823047688985783E-3</v>
      </c>
      <c r="AA355" s="18">
        <f t="shared" si="159"/>
        <v>-0.11912103427530733</v>
      </c>
      <c r="AB355" s="18">
        <f t="shared" si="160"/>
        <v>1.4189820806818944E-2</v>
      </c>
      <c r="AC355" s="18">
        <f t="shared" si="162"/>
        <v>2.1450923828728696E-3</v>
      </c>
      <c r="AD355" s="18">
        <f t="shared" si="164"/>
        <v>7.4368016132554953E-4</v>
      </c>
      <c r="AE355" s="18">
        <f t="shared" si="166"/>
        <v>4.9939814302923709E-3</v>
      </c>
      <c r="AF355" s="18">
        <f t="shared" si="168"/>
        <v>4.1847627172706221E-3</v>
      </c>
      <c r="AG355" s="18">
        <f t="shared" si="170"/>
        <v>6.0648497826868319E-2</v>
      </c>
      <c r="AH355" s="18">
        <f t="shared" si="172"/>
        <v>5.2922617321810288E-3</v>
      </c>
      <c r="AJ355" s="18">
        <f>IF(ISNUMBER(Kernel!M355),Kernel!M355,"")</f>
        <v>-0.15375560401076444</v>
      </c>
      <c r="AK355" s="18">
        <f t="shared" si="157"/>
        <v>2.3640785764715001E-2</v>
      </c>
      <c r="AN355" s="18">
        <f>IF(ISNUMBER(Volcanic!G355),Volcanic!G355,"")</f>
        <v>9.9299999999999996E-3</v>
      </c>
    </row>
    <row r="356" spans="1:40">
      <c r="A356" s="18" t="str">
        <f>IF(Volcanic!A356="","",Volcanic!A356)</f>
        <v>9/1987</v>
      </c>
      <c r="B356" s="18">
        <f>IF(ISNUMBER(Volcanic!L356),Volcanic!L356,"")</f>
        <v>1987.7083333333333</v>
      </c>
      <c r="C356" s="18">
        <f>IF(ISNUMBER(Volcanic!J356),Volcanic!J356,"")</f>
        <v>-8.0266255616908144E-3</v>
      </c>
      <c r="D356" s="18">
        <f t="shared" si="150"/>
        <v>6.442671790758838E-5</v>
      </c>
      <c r="E356" s="18">
        <f>IF(ISNUMBER(Volcanic!C356),Volcanic!C356,"")</f>
        <v>0.30809455096015637</v>
      </c>
      <c r="F356" s="18">
        <f>IF(ISNUMBER(Volcanic!D356),Volcanic!D356,"")</f>
        <v>1.1100000000000001</v>
      </c>
      <c r="G356" s="18">
        <f>IF(ISNUMBER(Volcanic!E356),Volcanic!E356,"")</f>
        <v>1.136E-2</v>
      </c>
      <c r="H356" s="18">
        <f t="shared" si="151"/>
        <v>9.4922252331340384E-2</v>
      </c>
      <c r="I356" s="18">
        <f t="shared" si="152"/>
        <v>1.2321000000000002</v>
      </c>
      <c r="J356" s="18">
        <f t="shared" si="153"/>
        <v>1.2904960000000002E-4</v>
      </c>
      <c r="K356" s="18">
        <f t="shared" si="154"/>
        <v>0.34198495156577358</v>
      </c>
      <c r="L356" s="18">
        <f t="shared" si="155"/>
        <v>3.4999540989073762E-3</v>
      </c>
      <c r="M356" s="18">
        <f t="shared" si="156"/>
        <v>1.2609600000000002E-2</v>
      </c>
      <c r="N356" s="18">
        <f t="shared" si="158"/>
        <v>1.1893774698605378E-2</v>
      </c>
      <c r="O356" s="18">
        <f t="shared" si="161"/>
        <v>4.005097618016502E-4</v>
      </c>
      <c r="P356" s="18">
        <f t="shared" si="163"/>
        <v>2.7365060808249636E-3</v>
      </c>
      <c r="Q356" s="18">
        <f t="shared" si="165"/>
        <v>2.5051668222826846E-2</v>
      </c>
      <c r="R356" s="18">
        <f t="shared" si="167"/>
        <v>3.0360144639081332E-2</v>
      </c>
      <c r="S356" s="18">
        <f t="shared" si="169"/>
        <v>4.7472849888340357E-2</v>
      </c>
      <c r="T356" s="18">
        <f t="shared" si="171"/>
        <v>3.187347845082851E-3</v>
      </c>
      <c r="U356" s="18">
        <f t="shared" si="173"/>
        <v>1.0498294466601925E-3</v>
      </c>
      <c r="V356" s="18">
        <f t="shared" si="174"/>
        <v>3.4484598860601408E-2</v>
      </c>
      <c r="W356" s="18">
        <f t="shared" si="175"/>
        <v>3.4058357585593071E-2</v>
      </c>
      <c r="X356" s="18">
        <f t="shared" si="176"/>
        <v>9.4821941673595526E-3</v>
      </c>
      <c r="Y356" s="18">
        <f t="shared" si="177"/>
        <v>4.1347859220761743E-2</v>
      </c>
      <c r="AA356" s="18">
        <f t="shared" si="159"/>
        <v>4.6808274603418694E-2</v>
      </c>
      <c r="AB356" s="18">
        <f t="shared" si="160"/>
        <v>2.1910145713490516E-3</v>
      </c>
      <c r="AC356" s="18">
        <f t="shared" si="162"/>
        <v>1.4189820806818944E-2</v>
      </c>
      <c r="AD356" s="18">
        <f t="shared" si="164"/>
        <v>2.1450923828728696E-3</v>
      </c>
      <c r="AE356" s="18">
        <f t="shared" si="166"/>
        <v>7.4368016132554953E-4</v>
      </c>
      <c r="AF356" s="18">
        <f t="shared" si="168"/>
        <v>4.9939814302923709E-3</v>
      </c>
      <c r="AG356" s="18">
        <f t="shared" si="170"/>
        <v>4.1847627172706221E-3</v>
      </c>
      <c r="AH356" s="18">
        <f t="shared" si="172"/>
        <v>6.0648497826868319E-2</v>
      </c>
      <c r="AJ356" s="18">
        <f>IF(ISNUMBER(Kernel!M356),Kernel!M356,"")</f>
        <v>-4.8536226971908403E-2</v>
      </c>
      <c r="AK356" s="18">
        <f t="shared" si="157"/>
        <v>2.3557653286686085E-3</v>
      </c>
      <c r="AN356" s="18">
        <f>IF(ISNUMBER(Volcanic!G356),Volcanic!G356,"")</f>
        <v>9.6500000000000006E-3</v>
      </c>
    </row>
    <row r="357" spans="1:40">
      <c r="A357" s="18" t="str">
        <f>IF(Volcanic!A357="","",Volcanic!A357)</f>
        <v>10/1987</v>
      </c>
      <c r="B357" s="18">
        <f>IF(ISNUMBER(Volcanic!L357),Volcanic!L357,"")</f>
        <v>1987.7916666666667</v>
      </c>
      <c r="C357" s="18">
        <f>IF(ISNUMBER(Volcanic!J357),Volcanic!J357,"")</f>
        <v>-4.7350825374921746E-2</v>
      </c>
      <c r="D357" s="18">
        <f t="shared" si="150"/>
        <v>2.2421006636863332E-3</v>
      </c>
      <c r="E357" s="18">
        <f>IF(ISNUMBER(Volcanic!C357),Volcanic!C357,"")</f>
        <v>0.30834423137398254</v>
      </c>
      <c r="F357" s="18">
        <f>IF(ISNUMBER(Volcanic!D357),Volcanic!D357,"")</f>
        <v>1.3</v>
      </c>
      <c r="G357" s="18">
        <f>IF(ISNUMBER(Volcanic!E357),Volcanic!E357,"")</f>
        <v>1.09E-2</v>
      </c>
      <c r="H357" s="18">
        <f t="shared" si="151"/>
        <v>9.5076165021612077E-2</v>
      </c>
      <c r="I357" s="18">
        <f t="shared" si="152"/>
        <v>1.6900000000000002</v>
      </c>
      <c r="J357" s="18">
        <f t="shared" si="153"/>
        <v>1.1881E-4</v>
      </c>
      <c r="K357" s="18">
        <f t="shared" si="154"/>
        <v>0.40084750078617731</v>
      </c>
      <c r="L357" s="18">
        <f t="shared" si="155"/>
        <v>3.3609521219764098E-3</v>
      </c>
      <c r="M357" s="18">
        <f t="shared" si="156"/>
        <v>1.417E-2</v>
      </c>
      <c r="N357" s="18">
        <f t="shared" si="158"/>
        <v>6.442671790758838E-5</v>
      </c>
      <c r="O357" s="18">
        <f t="shared" si="161"/>
        <v>1.1893774698605378E-2</v>
      </c>
      <c r="P357" s="18">
        <f t="shared" si="163"/>
        <v>4.005097618016502E-4</v>
      </c>
      <c r="Q357" s="18">
        <f t="shared" si="165"/>
        <v>2.7365060808249636E-3</v>
      </c>
      <c r="R357" s="18">
        <f t="shared" si="167"/>
        <v>2.5051668222826846E-2</v>
      </c>
      <c r="S357" s="18">
        <f t="shared" si="169"/>
        <v>3.0360144639081332E-2</v>
      </c>
      <c r="T357" s="18">
        <f t="shared" si="171"/>
        <v>4.7472849888340357E-2</v>
      </c>
      <c r="U357" s="18">
        <f t="shared" si="173"/>
        <v>3.187347845082851E-3</v>
      </c>
      <c r="V357" s="18">
        <f t="shared" si="174"/>
        <v>1.0498294466601925E-3</v>
      </c>
      <c r="W357" s="18">
        <f t="shared" si="175"/>
        <v>3.4484598860601408E-2</v>
      </c>
      <c r="X357" s="18">
        <f t="shared" si="176"/>
        <v>3.4058357585593071E-2</v>
      </c>
      <c r="Y357" s="18">
        <f t="shared" si="177"/>
        <v>9.4821941673595526E-3</v>
      </c>
      <c r="AA357" s="18">
        <f t="shared" si="159"/>
        <v>-4.3315020067019171E-2</v>
      </c>
      <c r="AB357" s="18">
        <f t="shared" si="160"/>
        <v>1.8761909634062734E-3</v>
      </c>
      <c r="AC357" s="18">
        <f t="shared" si="162"/>
        <v>2.1910145713490516E-3</v>
      </c>
      <c r="AD357" s="18">
        <f t="shared" si="164"/>
        <v>1.4189820806818944E-2</v>
      </c>
      <c r="AE357" s="18">
        <f t="shared" si="166"/>
        <v>2.1450923828728696E-3</v>
      </c>
      <c r="AF357" s="18">
        <f t="shared" si="168"/>
        <v>7.4368016132554953E-4</v>
      </c>
      <c r="AG357" s="18">
        <f t="shared" si="170"/>
        <v>4.9939814302923709E-3</v>
      </c>
      <c r="AH357" s="18">
        <f t="shared" si="172"/>
        <v>4.1847627172706221E-3</v>
      </c>
      <c r="AJ357" s="18">
        <f>IF(ISNUMBER(Kernel!M357),Kernel!M357,"")</f>
        <v>-7.7798564502074119E-2</v>
      </c>
      <c r="AK357" s="18">
        <f t="shared" si="157"/>
        <v>6.0526166385833869E-3</v>
      </c>
      <c r="AN357" s="18">
        <f>IF(ISNUMBER(Volcanic!G357),Volcanic!G357,"")</f>
        <v>9.5499999999999995E-3</v>
      </c>
    </row>
    <row r="358" spans="1:40">
      <c r="A358" s="18" t="str">
        <f>IF(Volcanic!A358="","",Volcanic!A358)</f>
        <v>11/1987</v>
      </c>
      <c r="B358" s="18">
        <f>IF(ISNUMBER(Volcanic!L358),Volcanic!L358,"")</f>
        <v>1987.875</v>
      </c>
      <c r="C358" s="18">
        <f>IF(ISNUMBER(Volcanic!J358),Volcanic!J358,"")</f>
        <v>-0.1182182554251156</v>
      </c>
      <c r="D358" s="18">
        <f t="shared" si="150"/>
        <v>1.3975555915757875E-2</v>
      </c>
      <c r="E358" s="18">
        <f>IF(ISNUMBER(Volcanic!C358),Volcanic!C358,"")</f>
        <v>0.31399209482083829</v>
      </c>
      <c r="F358" s="18">
        <f>IF(ISNUMBER(Volcanic!D358),Volcanic!D358,"")</f>
        <v>1.46</v>
      </c>
      <c r="G358" s="18">
        <f>IF(ISNUMBER(Volcanic!E358),Volcanic!E358,"")</f>
        <v>1.0619999999999999E-2</v>
      </c>
      <c r="H358" s="18">
        <f t="shared" si="151"/>
        <v>9.8591035609978298E-2</v>
      </c>
      <c r="I358" s="18">
        <f t="shared" si="152"/>
        <v>2.1315999999999997</v>
      </c>
      <c r="J358" s="18">
        <f t="shared" si="153"/>
        <v>1.1278439999999998E-4</v>
      </c>
      <c r="K358" s="18">
        <f t="shared" si="154"/>
        <v>0.45842845843842389</v>
      </c>
      <c r="L358" s="18">
        <f t="shared" si="155"/>
        <v>3.3345960469973023E-3</v>
      </c>
      <c r="M358" s="18">
        <f t="shared" si="156"/>
        <v>1.5505199999999998E-2</v>
      </c>
      <c r="N358" s="18">
        <f t="shared" si="158"/>
        <v>2.2421006636863332E-3</v>
      </c>
      <c r="O358" s="18">
        <f t="shared" si="161"/>
        <v>6.442671790758838E-5</v>
      </c>
      <c r="P358" s="18">
        <f t="shared" si="163"/>
        <v>1.1893774698605378E-2</v>
      </c>
      <c r="Q358" s="18">
        <f t="shared" si="165"/>
        <v>4.005097618016502E-4</v>
      </c>
      <c r="R358" s="18">
        <f t="shared" si="167"/>
        <v>2.7365060808249636E-3</v>
      </c>
      <c r="S358" s="18">
        <f t="shared" si="169"/>
        <v>2.5051668222826846E-2</v>
      </c>
      <c r="T358" s="18">
        <f t="shared" si="171"/>
        <v>3.0360144639081332E-2</v>
      </c>
      <c r="U358" s="18">
        <f t="shared" si="173"/>
        <v>4.7472849888340357E-2</v>
      </c>
      <c r="V358" s="18">
        <f t="shared" si="174"/>
        <v>3.187347845082851E-3</v>
      </c>
      <c r="W358" s="18">
        <f t="shared" si="175"/>
        <v>1.0498294466601925E-3</v>
      </c>
      <c r="X358" s="18">
        <f t="shared" si="176"/>
        <v>3.4484598860601408E-2</v>
      </c>
      <c r="Y358" s="18">
        <f t="shared" si="177"/>
        <v>3.4058357585593071E-2</v>
      </c>
      <c r="AA358" s="18">
        <f t="shared" si="159"/>
        <v>-9.4410154385278125E-2</v>
      </c>
      <c r="AB358" s="18">
        <f t="shared" si="160"/>
        <v>8.9132772510520496E-3</v>
      </c>
      <c r="AC358" s="18">
        <f t="shared" si="162"/>
        <v>1.8761909634062734E-3</v>
      </c>
      <c r="AD358" s="18">
        <f t="shared" si="164"/>
        <v>2.1910145713490516E-3</v>
      </c>
      <c r="AE358" s="18">
        <f t="shared" si="166"/>
        <v>1.4189820806818944E-2</v>
      </c>
      <c r="AF358" s="18">
        <f t="shared" si="168"/>
        <v>2.1450923828728696E-3</v>
      </c>
      <c r="AG358" s="18">
        <f t="shared" si="170"/>
        <v>7.4368016132554953E-4</v>
      </c>
      <c r="AH358" s="18">
        <f t="shared" si="172"/>
        <v>4.9939814302923709E-3</v>
      </c>
      <c r="AJ358" s="18">
        <f>IF(ISNUMBER(Kernel!M358),Kernel!M358,"")</f>
        <v>-0.13594693683267522</v>
      </c>
      <c r="AK358" s="18">
        <f t="shared" si="157"/>
        <v>1.8481569634187386E-2</v>
      </c>
      <c r="AN358" s="18">
        <f>IF(ISNUMBER(Volcanic!G358),Volcanic!G358,"")</f>
        <v>9.2300000000000004E-3</v>
      </c>
    </row>
    <row r="359" spans="1:40">
      <c r="A359" s="18" t="str">
        <f>IF(Volcanic!A359="","",Volcanic!A359)</f>
        <v>12/1987</v>
      </c>
      <c r="B359" s="18">
        <f>IF(ISNUMBER(Volcanic!L359),Volcanic!L359,"")</f>
        <v>1987.9583333333333</v>
      </c>
      <c r="C359" s="18">
        <f>IF(ISNUMBER(Volcanic!J359),Volcanic!J359,"")</f>
        <v>3.56759504124608E-2</v>
      </c>
      <c r="D359" s="18">
        <f t="shared" si="150"/>
        <v>1.272773437832362E-3</v>
      </c>
      <c r="E359" s="18">
        <f>IF(ISNUMBER(Volcanic!C359),Volcanic!C359,"")</f>
        <v>0.3189572082710998</v>
      </c>
      <c r="F359" s="18">
        <f>IF(ISNUMBER(Volcanic!D359),Volcanic!D359,"")</f>
        <v>1.49</v>
      </c>
      <c r="G359" s="18">
        <f>IF(ISNUMBER(Volcanic!E359),Volcanic!E359,"")</f>
        <v>1.072E-2</v>
      </c>
      <c r="H359" s="18">
        <f t="shared" si="151"/>
        <v>0.10173370070809373</v>
      </c>
      <c r="I359" s="18">
        <f t="shared" si="152"/>
        <v>2.2201</v>
      </c>
      <c r="J359" s="18">
        <f t="shared" si="153"/>
        <v>1.1491840000000001E-4</v>
      </c>
      <c r="K359" s="18">
        <f t="shared" si="154"/>
        <v>0.4752462403239387</v>
      </c>
      <c r="L359" s="18">
        <f t="shared" si="155"/>
        <v>3.41922127266619E-3</v>
      </c>
      <c r="M359" s="18">
        <f t="shared" si="156"/>
        <v>1.5972799999999999E-2</v>
      </c>
      <c r="N359" s="18">
        <f t="shared" si="158"/>
        <v>1.3975555915757875E-2</v>
      </c>
      <c r="O359" s="18">
        <f t="shared" si="161"/>
        <v>2.2421006636863332E-3</v>
      </c>
      <c r="P359" s="18">
        <f t="shared" si="163"/>
        <v>6.442671790758838E-5</v>
      </c>
      <c r="Q359" s="18">
        <f t="shared" si="165"/>
        <v>1.1893774698605378E-2</v>
      </c>
      <c r="R359" s="18">
        <f t="shared" si="167"/>
        <v>4.005097618016502E-4</v>
      </c>
      <c r="S359" s="18">
        <f t="shared" si="169"/>
        <v>2.7365060808249636E-3</v>
      </c>
      <c r="T359" s="18">
        <f t="shared" si="171"/>
        <v>2.5051668222826846E-2</v>
      </c>
      <c r="U359" s="18">
        <f t="shared" si="173"/>
        <v>3.0360144639081332E-2</v>
      </c>
      <c r="V359" s="18">
        <f t="shared" si="174"/>
        <v>4.7472849888340357E-2</v>
      </c>
      <c r="W359" s="18">
        <f t="shared" si="175"/>
        <v>3.187347845082851E-3</v>
      </c>
      <c r="X359" s="18">
        <f t="shared" si="176"/>
        <v>1.0498294466601925E-3</v>
      </c>
      <c r="Y359" s="18">
        <f t="shared" si="177"/>
        <v>3.4484598860601408E-2</v>
      </c>
      <c r="AA359" s="18">
        <f t="shared" si="159"/>
        <v>9.5116353987878266E-2</v>
      </c>
      <c r="AB359" s="18">
        <f t="shared" si="160"/>
        <v>9.0471207959473658E-3</v>
      </c>
      <c r="AC359" s="18">
        <f t="shared" si="162"/>
        <v>8.9132772510520496E-3</v>
      </c>
      <c r="AD359" s="18">
        <f t="shared" si="164"/>
        <v>1.8761909634062734E-3</v>
      </c>
      <c r="AE359" s="18">
        <f t="shared" si="166"/>
        <v>2.1910145713490516E-3</v>
      </c>
      <c r="AF359" s="18">
        <f t="shared" si="168"/>
        <v>1.4189820806818944E-2</v>
      </c>
      <c r="AG359" s="18">
        <f t="shared" si="170"/>
        <v>2.1450923828728696E-3</v>
      </c>
      <c r="AH359" s="18">
        <f t="shared" si="172"/>
        <v>7.4368016132554953E-4</v>
      </c>
      <c r="AJ359" s="18">
        <f>IF(ISNUMBER(Kernel!M359),Kernel!M359,"")</f>
        <v>2.237909612776845E-2</v>
      </c>
      <c r="AK359" s="18">
        <f t="shared" si="157"/>
        <v>5.0082394349590083E-4</v>
      </c>
      <c r="AN359" s="18">
        <f>IF(ISNUMBER(Volcanic!G359),Volcanic!G359,"")</f>
        <v>8.9499999999999996E-3</v>
      </c>
    </row>
    <row r="360" spans="1:40">
      <c r="A360" s="18" t="str">
        <f>IF(Volcanic!A360="","",Volcanic!A360)</f>
        <v>1/1988</v>
      </c>
      <c r="B360" s="18">
        <f>IF(ISNUMBER(Volcanic!L360),Volcanic!L360,"")</f>
        <v>1988.0416666666667</v>
      </c>
      <c r="C360" s="18">
        <f>IF(ISNUMBER(Volcanic!J360),Volcanic!J360,"")</f>
        <v>0.13902518364603528</v>
      </c>
      <c r="D360" s="18">
        <f t="shared" si="150"/>
        <v>1.9328001687813835E-2</v>
      </c>
      <c r="E360" s="18">
        <f>IF(ISNUMBER(Volcanic!C360),Volcanic!C360,"")</f>
        <v>0.32402877753529308</v>
      </c>
      <c r="F360" s="18">
        <f>IF(ISNUMBER(Volcanic!D360),Volcanic!D360,"")</f>
        <v>1.41</v>
      </c>
      <c r="G360" s="18">
        <f>IF(ISNUMBER(Volcanic!E360),Volcanic!E360,"")</f>
        <v>1.061E-2</v>
      </c>
      <c r="H360" s="18">
        <f t="shared" si="151"/>
        <v>0.10499464867101645</v>
      </c>
      <c r="I360" s="18">
        <f t="shared" si="152"/>
        <v>1.9880999999999998</v>
      </c>
      <c r="J360" s="18">
        <f t="shared" si="153"/>
        <v>1.1257209999999999E-4</v>
      </c>
      <c r="K360" s="18">
        <f t="shared" si="154"/>
        <v>0.4568805763247632</v>
      </c>
      <c r="L360" s="18">
        <f t="shared" si="155"/>
        <v>3.4379453296494596E-3</v>
      </c>
      <c r="M360" s="18">
        <f t="shared" si="156"/>
        <v>1.4960099999999999E-2</v>
      </c>
      <c r="N360" s="18">
        <f t="shared" si="158"/>
        <v>1.272773437832362E-3</v>
      </c>
      <c r="O360" s="18">
        <f t="shared" si="161"/>
        <v>1.3975555915757875E-2</v>
      </c>
      <c r="P360" s="18">
        <f t="shared" si="163"/>
        <v>2.2421006636863332E-3</v>
      </c>
      <c r="Q360" s="18">
        <f t="shared" si="165"/>
        <v>6.442671790758838E-5</v>
      </c>
      <c r="R360" s="18">
        <f t="shared" si="167"/>
        <v>1.1893774698605378E-2</v>
      </c>
      <c r="S360" s="18">
        <f t="shared" si="169"/>
        <v>4.005097618016502E-4</v>
      </c>
      <c r="T360" s="18">
        <f t="shared" si="171"/>
        <v>2.7365060808249636E-3</v>
      </c>
      <c r="U360" s="18">
        <f t="shared" si="173"/>
        <v>2.5051668222826846E-2</v>
      </c>
      <c r="V360" s="18">
        <f t="shared" si="174"/>
        <v>3.0360144639081332E-2</v>
      </c>
      <c r="W360" s="18">
        <f t="shared" si="175"/>
        <v>4.7472849888340357E-2</v>
      </c>
      <c r="X360" s="18">
        <f t="shared" si="176"/>
        <v>3.187347845082851E-3</v>
      </c>
      <c r="Y360" s="18">
        <f t="shared" si="177"/>
        <v>1.0498294466601925E-3</v>
      </c>
      <c r="AA360" s="18">
        <f t="shared" si="159"/>
        <v>0.12108723588299691</v>
      </c>
      <c r="AB360" s="18">
        <f t="shared" si="160"/>
        <v>1.4662118693784535E-2</v>
      </c>
      <c r="AC360" s="18">
        <f t="shared" si="162"/>
        <v>9.0471207959473658E-3</v>
      </c>
      <c r="AD360" s="18">
        <f t="shared" si="164"/>
        <v>8.9132772510520496E-3</v>
      </c>
      <c r="AE360" s="18">
        <f t="shared" si="166"/>
        <v>1.8761909634062734E-3</v>
      </c>
      <c r="AF360" s="18">
        <f t="shared" si="168"/>
        <v>2.1910145713490516E-3</v>
      </c>
      <c r="AG360" s="18">
        <f t="shared" si="170"/>
        <v>1.4189820806818944E-2</v>
      </c>
      <c r="AH360" s="18">
        <f t="shared" si="172"/>
        <v>2.1450923828728696E-3</v>
      </c>
      <c r="AJ360" s="18">
        <f>IF(ISNUMBER(Kernel!M360),Kernel!M360,"")</f>
        <v>0.12800434463499982</v>
      </c>
      <c r="AK360" s="18">
        <f t="shared" si="157"/>
        <v>1.6385112245435807E-2</v>
      </c>
      <c r="AN360" s="18">
        <f>IF(ISNUMBER(Volcanic!G360),Volcanic!G360,"")</f>
        <v>8.6199999999999992E-3</v>
      </c>
    </row>
    <row r="361" spans="1:40">
      <c r="A361" s="18" t="str">
        <f>IF(Volcanic!A361="","",Volcanic!A361)</f>
        <v>2/1988</v>
      </c>
      <c r="B361" s="18">
        <f>IF(ISNUMBER(Volcanic!L361),Volcanic!L361,"")</f>
        <v>1988.125</v>
      </c>
      <c r="C361" s="18">
        <f>IF(ISNUMBER(Volcanic!J361),Volcanic!J361,"")</f>
        <v>1.4185601548294458E-2</v>
      </c>
      <c r="D361" s="18">
        <f t="shared" si="150"/>
        <v>2.012312912869741E-4</v>
      </c>
      <c r="E361" s="18">
        <f>IF(ISNUMBER(Volcanic!C361),Volcanic!C361,"")</f>
        <v>0.32891850779297804</v>
      </c>
      <c r="F361" s="18">
        <f>IF(ISNUMBER(Volcanic!D361),Volcanic!D361,"")</f>
        <v>1.2</v>
      </c>
      <c r="G361" s="18">
        <f>IF(ISNUMBER(Volcanic!E361),Volcanic!E361,"")</f>
        <v>1.0160000000000001E-2</v>
      </c>
      <c r="H361" s="18">
        <f t="shared" si="151"/>
        <v>0.10818738476875936</v>
      </c>
      <c r="I361" s="18">
        <f t="shared" si="152"/>
        <v>1.44</v>
      </c>
      <c r="J361" s="18">
        <f t="shared" si="153"/>
        <v>1.0322560000000002E-4</v>
      </c>
      <c r="K361" s="18">
        <f t="shared" si="154"/>
        <v>0.39470220935157363</v>
      </c>
      <c r="L361" s="18">
        <f t="shared" si="155"/>
        <v>3.3418120391766571E-3</v>
      </c>
      <c r="M361" s="18">
        <f t="shared" si="156"/>
        <v>1.2192E-2</v>
      </c>
      <c r="N361" s="18">
        <f t="shared" si="158"/>
        <v>1.9328001687813835E-2</v>
      </c>
      <c r="O361" s="18">
        <f t="shared" si="161"/>
        <v>1.272773437832362E-3</v>
      </c>
      <c r="P361" s="18">
        <f t="shared" si="163"/>
        <v>1.3975555915757875E-2</v>
      </c>
      <c r="Q361" s="18">
        <f t="shared" si="165"/>
        <v>2.2421006636863332E-3</v>
      </c>
      <c r="R361" s="18">
        <f t="shared" si="167"/>
        <v>6.442671790758838E-5</v>
      </c>
      <c r="S361" s="18">
        <f t="shared" si="169"/>
        <v>1.1893774698605378E-2</v>
      </c>
      <c r="T361" s="18">
        <f t="shared" si="171"/>
        <v>4.005097618016502E-4</v>
      </c>
      <c r="U361" s="18">
        <f t="shared" si="173"/>
        <v>2.7365060808249636E-3</v>
      </c>
      <c r="V361" s="18">
        <f t="shared" si="174"/>
        <v>2.5051668222826846E-2</v>
      </c>
      <c r="W361" s="18">
        <f t="shared" si="175"/>
        <v>3.0360144639081332E-2</v>
      </c>
      <c r="X361" s="18">
        <f t="shared" si="176"/>
        <v>4.7472849888340357E-2</v>
      </c>
      <c r="Y361" s="18">
        <f t="shared" si="177"/>
        <v>3.187347845082851E-3</v>
      </c>
      <c r="AA361" s="18">
        <f t="shared" si="159"/>
        <v>-5.571657213334516E-2</v>
      </c>
      <c r="AB361" s="18">
        <f t="shared" si="160"/>
        <v>3.1043364102902545E-3</v>
      </c>
      <c r="AC361" s="18">
        <f t="shared" si="162"/>
        <v>1.4662118693784535E-2</v>
      </c>
      <c r="AD361" s="18">
        <f t="shared" si="164"/>
        <v>9.0471207959473658E-3</v>
      </c>
      <c r="AE361" s="18">
        <f t="shared" si="166"/>
        <v>8.9132772510520496E-3</v>
      </c>
      <c r="AF361" s="18">
        <f t="shared" si="168"/>
        <v>1.8761909634062734E-3</v>
      </c>
      <c r="AG361" s="18">
        <f t="shared" si="170"/>
        <v>2.1910145713490516E-3</v>
      </c>
      <c r="AH361" s="18">
        <f t="shared" si="172"/>
        <v>1.4189820806818944E-2</v>
      </c>
      <c r="AJ361" s="18">
        <f>IF(ISNUMBER(Kernel!M361),Kernel!M361,"")</f>
        <v>-1.8051653085048858E-3</v>
      </c>
      <c r="AK361" s="18">
        <f t="shared" si="157"/>
        <v>3.2586217910295394E-6</v>
      </c>
      <c r="AN361" s="18">
        <f>IF(ISNUMBER(Volcanic!G361),Volcanic!G361,"")</f>
        <v>8.4200000000000004E-3</v>
      </c>
    </row>
    <row r="362" spans="1:40">
      <c r="A362" s="18" t="str">
        <f>IF(Volcanic!A362="","",Volcanic!A362)</f>
        <v>3/1988</v>
      </c>
      <c r="B362" s="18">
        <f>IF(ISNUMBER(Volcanic!L362),Volcanic!L362,"")</f>
        <v>1988.2083333333333</v>
      </c>
      <c r="C362" s="18">
        <f>IF(ISNUMBER(Volcanic!J362),Volcanic!J362,"")</f>
        <v>0.10329823285065298</v>
      </c>
      <c r="D362" s="18">
        <f t="shared" si="150"/>
        <v>1.0670524910067723E-2</v>
      </c>
      <c r="E362" s="18">
        <f>IF(ISNUMBER(Volcanic!C362),Volcanic!C362,"")</f>
        <v>0.3321964303411894</v>
      </c>
      <c r="F362" s="18">
        <f>IF(ISNUMBER(Volcanic!D362),Volcanic!D362,"")</f>
        <v>1</v>
      </c>
      <c r="G362" s="18">
        <f>IF(ISNUMBER(Volcanic!E362),Volcanic!E362,"")</f>
        <v>9.9299999999999996E-3</v>
      </c>
      <c r="H362" s="18">
        <f t="shared" si="151"/>
        <v>0.1103544683314287</v>
      </c>
      <c r="I362" s="18">
        <f t="shared" si="152"/>
        <v>1</v>
      </c>
      <c r="J362" s="18">
        <f t="shared" si="153"/>
        <v>9.8604899999999988E-5</v>
      </c>
      <c r="K362" s="18">
        <f t="shared" si="154"/>
        <v>0.3321964303411894</v>
      </c>
      <c r="L362" s="18">
        <f t="shared" si="155"/>
        <v>3.2987105532880107E-3</v>
      </c>
      <c r="M362" s="18">
        <f t="shared" si="156"/>
        <v>9.9299999999999996E-3</v>
      </c>
      <c r="N362" s="18">
        <f t="shared" si="158"/>
        <v>2.012312912869741E-4</v>
      </c>
      <c r="O362" s="18">
        <f t="shared" si="161"/>
        <v>1.9328001687813835E-2</v>
      </c>
      <c r="P362" s="18">
        <f t="shared" si="163"/>
        <v>1.272773437832362E-3</v>
      </c>
      <c r="Q362" s="18">
        <f t="shared" si="165"/>
        <v>1.3975555915757875E-2</v>
      </c>
      <c r="R362" s="18">
        <f t="shared" si="167"/>
        <v>2.2421006636863332E-3</v>
      </c>
      <c r="S362" s="18">
        <f t="shared" si="169"/>
        <v>6.442671790758838E-5</v>
      </c>
      <c r="T362" s="18">
        <f t="shared" si="171"/>
        <v>1.1893774698605378E-2</v>
      </c>
      <c r="U362" s="18">
        <f t="shared" si="173"/>
        <v>4.005097618016502E-4</v>
      </c>
      <c r="V362" s="18">
        <f t="shared" si="174"/>
        <v>2.7365060808249636E-3</v>
      </c>
      <c r="W362" s="18">
        <f t="shared" si="175"/>
        <v>2.5051668222826846E-2</v>
      </c>
      <c r="X362" s="18">
        <f t="shared" si="176"/>
        <v>3.0360144639081332E-2</v>
      </c>
      <c r="Y362" s="18">
        <f t="shared" si="177"/>
        <v>4.7472849888340357E-2</v>
      </c>
      <c r="AA362" s="18">
        <f t="shared" si="159"/>
        <v>9.6165680623769498E-2</v>
      </c>
      <c r="AB362" s="18">
        <f t="shared" si="160"/>
        <v>9.2478381298328367E-3</v>
      </c>
      <c r="AC362" s="18">
        <f t="shared" si="162"/>
        <v>3.1043364102902545E-3</v>
      </c>
      <c r="AD362" s="18">
        <f t="shared" si="164"/>
        <v>1.4662118693784535E-2</v>
      </c>
      <c r="AE362" s="18">
        <f t="shared" si="166"/>
        <v>9.0471207959473658E-3</v>
      </c>
      <c r="AF362" s="18">
        <f t="shared" si="168"/>
        <v>8.9132772510520496E-3</v>
      </c>
      <c r="AG362" s="18">
        <f t="shared" si="170"/>
        <v>1.8761909634062734E-3</v>
      </c>
      <c r="AH362" s="18">
        <f t="shared" si="172"/>
        <v>2.1910145713490516E-3</v>
      </c>
      <c r="AJ362" s="18">
        <f>IF(ISNUMBER(Kernel!M362),Kernel!M362,"")</f>
        <v>8.9183448691340539E-2</v>
      </c>
      <c r="AK362" s="18">
        <f t="shared" si="157"/>
        <v>7.95368752048097E-3</v>
      </c>
      <c r="AN362" s="18">
        <f>IF(ISNUMBER(Volcanic!G362),Volcanic!G362,"")</f>
        <v>8.0599999999999995E-3</v>
      </c>
    </row>
    <row r="363" spans="1:40">
      <c r="A363" s="18" t="str">
        <f>IF(Volcanic!A363="","",Volcanic!A363)</f>
        <v>4/1988</v>
      </c>
      <c r="B363" s="18">
        <f>IF(ISNUMBER(Volcanic!L363),Volcanic!L363,"")</f>
        <v>1988.2916666666667</v>
      </c>
      <c r="C363" s="18">
        <f>IF(ISNUMBER(Volcanic!J363),Volcanic!J363,"")</f>
        <v>3.3977584143533524E-2</v>
      </c>
      <c r="D363" s="18">
        <f t="shared" si="150"/>
        <v>1.1544762242309008E-3</v>
      </c>
      <c r="E363" s="18">
        <f>IF(ISNUMBER(Volcanic!C363),Volcanic!C363,"")</f>
        <v>0.33697702068730562</v>
      </c>
      <c r="F363" s="18">
        <f>IF(ISNUMBER(Volcanic!D363),Volcanic!D363,"")</f>
        <v>0.63</v>
      </c>
      <c r="G363" s="18">
        <f>IF(ISNUMBER(Volcanic!E363),Volcanic!E363,"")</f>
        <v>9.6500000000000006E-3</v>
      </c>
      <c r="H363" s="18">
        <f t="shared" si="151"/>
        <v>0.11355351247129279</v>
      </c>
      <c r="I363" s="18">
        <f t="shared" si="152"/>
        <v>0.39690000000000003</v>
      </c>
      <c r="J363" s="18">
        <f t="shared" si="153"/>
        <v>9.3122500000000015E-5</v>
      </c>
      <c r="K363" s="18">
        <f t="shared" si="154"/>
        <v>0.21229552303300253</v>
      </c>
      <c r="L363" s="18">
        <f t="shared" si="155"/>
        <v>3.2518282496324996E-3</v>
      </c>
      <c r="M363" s="18">
        <f t="shared" si="156"/>
        <v>6.0795000000000007E-3</v>
      </c>
      <c r="N363" s="18">
        <f t="shared" si="158"/>
        <v>1.0670524910067723E-2</v>
      </c>
      <c r="O363" s="18">
        <f t="shared" si="161"/>
        <v>2.012312912869741E-4</v>
      </c>
      <c r="P363" s="18">
        <f t="shared" si="163"/>
        <v>1.9328001687813835E-2</v>
      </c>
      <c r="Q363" s="18">
        <f t="shared" si="165"/>
        <v>1.272773437832362E-3</v>
      </c>
      <c r="R363" s="18">
        <f t="shared" si="167"/>
        <v>1.3975555915757875E-2</v>
      </c>
      <c r="S363" s="18">
        <f t="shared" si="169"/>
        <v>2.2421006636863332E-3</v>
      </c>
      <c r="T363" s="18">
        <f t="shared" si="171"/>
        <v>6.442671790758838E-5</v>
      </c>
      <c r="U363" s="18">
        <f t="shared" si="173"/>
        <v>1.1893774698605378E-2</v>
      </c>
      <c r="V363" s="18">
        <f t="shared" si="174"/>
        <v>4.005097618016502E-4</v>
      </c>
      <c r="W363" s="18">
        <f t="shared" si="175"/>
        <v>2.7365060808249636E-3</v>
      </c>
      <c r="X363" s="18">
        <f t="shared" si="176"/>
        <v>2.5051668222826846E-2</v>
      </c>
      <c r="Y363" s="18">
        <f t="shared" si="177"/>
        <v>3.0360144639081332E-2</v>
      </c>
      <c r="AA363" s="18">
        <f t="shared" si="159"/>
        <v>-1.7960998668320349E-2</v>
      </c>
      <c r="AB363" s="18">
        <f t="shared" si="160"/>
        <v>3.2259747316340536E-4</v>
      </c>
      <c r="AC363" s="18">
        <f t="shared" si="162"/>
        <v>9.2478381298328367E-3</v>
      </c>
      <c r="AD363" s="18">
        <f t="shared" si="164"/>
        <v>3.1043364102902545E-3</v>
      </c>
      <c r="AE363" s="18">
        <f t="shared" si="166"/>
        <v>1.4662118693784535E-2</v>
      </c>
      <c r="AF363" s="18">
        <f t="shared" si="168"/>
        <v>9.0471207959473658E-3</v>
      </c>
      <c r="AG363" s="18">
        <f t="shared" si="170"/>
        <v>8.9132772510520496E-3</v>
      </c>
      <c r="AH363" s="18">
        <f t="shared" si="172"/>
        <v>1.8761909634062734E-3</v>
      </c>
      <c r="AJ363" s="18">
        <f>IF(ISNUMBER(Kernel!M363),Kernel!M363,"")</f>
        <v>1.2023737732450968E-2</v>
      </c>
      <c r="AK363" s="18">
        <f t="shared" si="157"/>
        <v>1.4457026905876513E-4</v>
      </c>
      <c r="AN363" s="18">
        <f>IF(ISNUMBER(Volcanic!G363),Volcanic!G363,"")</f>
        <v>7.8200000000000006E-3</v>
      </c>
    </row>
    <row r="364" spans="1:40">
      <c r="A364" s="18" t="str">
        <f>IF(Volcanic!A364="","",Volcanic!A364)</f>
        <v>5/1988</v>
      </c>
      <c r="B364" s="18">
        <f>IF(ISNUMBER(Volcanic!L364),Volcanic!L364,"")</f>
        <v>1988.375</v>
      </c>
      <c r="C364" s="18">
        <f>IF(ISNUMBER(Volcanic!J364),Volcanic!J364,"")</f>
        <v>6.0326007147587457E-2</v>
      </c>
      <c r="D364" s="18">
        <f t="shared" si="150"/>
        <v>3.6392271383707728E-3</v>
      </c>
      <c r="E364" s="18">
        <f>IF(ISNUMBER(Volcanic!C364),Volcanic!C364,"")</f>
        <v>0.33974822186649467</v>
      </c>
      <c r="F364" s="18">
        <f>IF(ISNUMBER(Volcanic!D364),Volcanic!D364,"")</f>
        <v>0.37</v>
      </c>
      <c r="G364" s="18">
        <f>IF(ISNUMBER(Volcanic!E364),Volcanic!E364,"")</f>
        <v>9.5499999999999995E-3</v>
      </c>
      <c r="H364" s="18">
        <f t="shared" si="151"/>
        <v>0.11542885426144489</v>
      </c>
      <c r="I364" s="18">
        <f t="shared" si="152"/>
        <v>0.13689999999999999</v>
      </c>
      <c r="J364" s="18">
        <f t="shared" si="153"/>
        <v>9.1202499999999993E-5</v>
      </c>
      <c r="K364" s="18">
        <f t="shared" si="154"/>
        <v>0.12570684209060304</v>
      </c>
      <c r="L364" s="18">
        <f t="shared" si="155"/>
        <v>3.244595518825024E-3</v>
      </c>
      <c r="M364" s="18">
        <f t="shared" si="156"/>
        <v>3.5334999999999997E-3</v>
      </c>
      <c r="N364" s="18">
        <f t="shared" si="158"/>
        <v>1.1544762242309008E-3</v>
      </c>
      <c r="O364" s="18">
        <f t="shared" si="161"/>
        <v>1.0670524910067723E-2</v>
      </c>
      <c r="P364" s="18">
        <f t="shared" si="163"/>
        <v>2.012312912869741E-4</v>
      </c>
      <c r="Q364" s="18">
        <f t="shared" si="165"/>
        <v>1.9328001687813835E-2</v>
      </c>
      <c r="R364" s="18">
        <f t="shared" si="167"/>
        <v>1.272773437832362E-3</v>
      </c>
      <c r="S364" s="18">
        <f t="shared" si="169"/>
        <v>1.3975555915757875E-2</v>
      </c>
      <c r="T364" s="18">
        <f t="shared" si="171"/>
        <v>2.2421006636863332E-3</v>
      </c>
      <c r="U364" s="18">
        <f t="shared" si="173"/>
        <v>6.442671790758838E-5</v>
      </c>
      <c r="V364" s="18">
        <f t="shared" si="174"/>
        <v>1.1893774698605378E-2</v>
      </c>
      <c r="W364" s="18">
        <f t="shared" si="175"/>
        <v>4.005097618016502E-4</v>
      </c>
      <c r="X364" s="18">
        <f t="shared" si="176"/>
        <v>2.7365060808249636E-3</v>
      </c>
      <c r="Y364" s="18">
        <f t="shared" si="177"/>
        <v>2.5051668222826846E-2</v>
      </c>
      <c r="AA364" s="18">
        <f t="shared" si="159"/>
        <v>4.3242001748026615E-2</v>
      </c>
      <c r="AB364" s="18">
        <f t="shared" si="160"/>
        <v>1.8698707151763368E-3</v>
      </c>
      <c r="AC364" s="18">
        <f t="shared" si="162"/>
        <v>3.2259747316340536E-4</v>
      </c>
      <c r="AD364" s="18">
        <f t="shared" si="164"/>
        <v>9.2478381298328367E-3</v>
      </c>
      <c r="AE364" s="18">
        <f t="shared" si="166"/>
        <v>3.1043364102902545E-3</v>
      </c>
      <c r="AF364" s="18">
        <f t="shared" si="168"/>
        <v>1.4662118693784535E-2</v>
      </c>
      <c r="AG364" s="18">
        <f t="shared" si="170"/>
        <v>9.0471207959473658E-3</v>
      </c>
      <c r="AH364" s="18">
        <f t="shared" si="172"/>
        <v>8.9132772510520496E-3</v>
      </c>
      <c r="AJ364" s="18">
        <f>IF(ISNUMBER(Kernel!M364),Kernel!M364,"")</f>
        <v>4.7881077933991378E-2</v>
      </c>
      <c r="AK364" s="18">
        <f t="shared" si="157"/>
        <v>2.2925976241209563E-3</v>
      </c>
      <c r="AN364" s="18">
        <f>IF(ISNUMBER(Volcanic!G364),Volcanic!G364,"")</f>
        <v>7.4900000000000001E-3</v>
      </c>
    </row>
    <row r="365" spans="1:40">
      <c r="A365" s="18" t="str">
        <f>IF(Volcanic!A365="","",Volcanic!A365)</f>
        <v>6/1988</v>
      </c>
      <c r="B365" s="18">
        <f>IF(ISNUMBER(Volcanic!L365),Volcanic!L365,"")</f>
        <v>1988.4583333333333</v>
      </c>
      <c r="C365" s="18">
        <f>IF(ISNUMBER(Volcanic!J365),Volcanic!J365,"")</f>
        <v>6.196243246262334E-2</v>
      </c>
      <c r="D365" s="18">
        <f t="shared" si="150"/>
        <v>3.8393430366851587E-3</v>
      </c>
      <c r="E365" s="18">
        <f>IF(ISNUMBER(Volcanic!C365),Volcanic!C365,"")</f>
        <v>0.33783340106320175</v>
      </c>
      <c r="F365" s="18">
        <f>IF(ISNUMBER(Volcanic!D365),Volcanic!D365,"")</f>
        <v>-0.03</v>
      </c>
      <c r="G365" s="18">
        <f>IF(ISNUMBER(Volcanic!E365),Volcanic!E365,"")</f>
        <v>9.2300000000000004E-3</v>
      </c>
      <c r="H365" s="18">
        <f t="shared" si="151"/>
        <v>0.11413140687393013</v>
      </c>
      <c r="I365" s="18">
        <f t="shared" si="152"/>
        <v>8.9999999999999998E-4</v>
      </c>
      <c r="J365" s="18">
        <f t="shared" si="153"/>
        <v>8.5192900000000002E-5</v>
      </c>
      <c r="K365" s="18">
        <f t="shared" si="154"/>
        <v>-1.0135002031896052E-2</v>
      </c>
      <c r="L365" s="18">
        <f t="shared" si="155"/>
        <v>3.1182022918133522E-3</v>
      </c>
      <c r="M365" s="18">
        <f t="shared" si="156"/>
        <v>-2.7690000000000001E-4</v>
      </c>
      <c r="N365" s="18">
        <f t="shared" si="158"/>
        <v>3.6392271383707728E-3</v>
      </c>
      <c r="O365" s="18">
        <f t="shared" si="161"/>
        <v>1.1544762242309008E-3</v>
      </c>
      <c r="P365" s="18">
        <f t="shared" si="163"/>
        <v>1.0670524910067723E-2</v>
      </c>
      <c r="Q365" s="18">
        <f t="shared" si="165"/>
        <v>2.012312912869741E-4</v>
      </c>
      <c r="R365" s="18">
        <f t="shared" si="167"/>
        <v>1.9328001687813835E-2</v>
      </c>
      <c r="S365" s="18">
        <f t="shared" si="169"/>
        <v>1.272773437832362E-3</v>
      </c>
      <c r="T365" s="18">
        <f t="shared" si="171"/>
        <v>1.3975555915757875E-2</v>
      </c>
      <c r="U365" s="18">
        <f t="shared" si="173"/>
        <v>2.2421006636863332E-3</v>
      </c>
      <c r="V365" s="18">
        <f t="shared" si="174"/>
        <v>6.442671790758838E-5</v>
      </c>
      <c r="W365" s="18">
        <f t="shared" si="175"/>
        <v>1.1893774698605378E-2</v>
      </c>
      <c r="X365" s="18">
        <f t="shared" si="176"/>
        <v>4.005097618016502E-4</v>
      </c>
      <c r="Y365" s="18">
        <f t="shared" si="177"/>
        <v>2.7365060808249636E-3</v>
      </c>
      <c r="AA365" s="18">
        <f t="shared" si="159"/>
        <v>3.1630380969801961E-2</v>
      </c>
      <c r="AB365" s="18">
        <f t="shared" si="160"/>
        <v>1.0004810002948101E-3</v>
      </c>
      <c r="AC365" s="18">
        <f t="shared" si="162"/>
        <v>1.8698707151763368E-3</v>
      </c>
      <c r="AD365" s="18">
        <f t="shared" si="164"/>
        <v>3.2259747316340536E-4</v>
      </c>
      <c r="AE365" s="18">
        <f t="shared" si="166"/>
        <v>9.2478381298328367E-3</v>
      </c>
      <c r="AF365" s="18">
        <f t="shared" si="168"/>
        <v>3.1043364102902545E-3</v>
      </c>
      <c r="AG365" s="18">
        <f t="shared" si="170"/>
        <v>1.4662118693784535E-2</v>
      </c>
      <c r="AH365" s="18">
        <f t="shared" si="172"/>
        <v>9.0471207959473658E-3</v>
      </c>
      <c r="AJ365" s="18">
        <f>IF(ISNUMBER(Kernel!M365),Kernel!M365,"")</f>
        <v>4.791605863159959E-2</v>
      </c>
      <c r="AK365" s="18">
        <f t="shared" si="157"/>
        <v>2.2959486747868895E-3</v>
      </c>
      <c r="AN365" s="18">
        <f>IF(ISNUMBER(Volcanic!G365),Volcanic!G365,"")</f>
        <v>7.4200000000000004E-3</v>
      </c>
    </row>
    <row r="366" spans="1:40">
      <c r="A366" s="18" t="str">
        <f>IF(Volcanic!A366="","",Volcanic!A366)</f>
        <v>7/1988</v>
      </c>
      <c r="B366" s="18">
        <f>IF(ISNUMBER(Volcanic!L366),Volcanic!L366,"")</f>
        <v>1988.5416666666667</v>
      </c>
      <c r="C366" s="18">
        <f>IF(ISNUMBER(Volcanic!J366),Volcanic!J366,"")</f>
        <v>4.2347281184011376E-2</v>
      </c>
      <c r="D366" s="18">
        <f t="shared" si="150"/>
        <v>1.7932922236777238E-3</v>
      </c>
      <c r="E366" s="18">
        <f>IF(ISNUMBER(Volcanic!C366),Volcanic!C366,"")</f>
        <v>0.3334237337251918</v>
      </c>
      <c r="F366" s="18">
        <f>IF(ISNUMBER(Volcanic!D366),Volcanic!D366,"")</f>
        <v>-0.45</v>
      </c>
      <c r="G366" s="18">
        <f>IF(ISNUMBER(Volcanic!E366),Volcanic!E366,"")</f>
        <v>8.9499999999999996E-3</v>
      </c>
      <c r="H366" s="18">
        <f t="shared" si="151"/>
        <v>0.1111713862112476</v>
      </c>
      <c r="I366" s="18">
        <f t="shared" si="152"/>
        <v>0.20250000000000001</v>
      </c>
      <c r="J366" s="18">
        <f t="shared" si="153"/>
        <v>8.0102499999999994E-5</v>
      </c>
      <c r="K366" s="18">
        <f t="shared" si="154"/>
        <v>-0.15004068017633632</v>
      </c>
      <c r="L366" s="18">
        <f t="shared" si="155"/>
        <v>2.9841424168404666E-3</v>
      </c>
      <c r="M366" s="18">
        <f t="shared" si="156"/>
        <v>-4.0274999999999998E-3</v>
      </c>
      <c r="N366" s="18">
        <f t="shared" si="158"/>
        <v>3.8393430366851587E-3</v>
      </c>
      <c r="O366" s="18">
        <f t="shared" si="161"/>
        <v>3.6392271383707728E-3</v>
      </c>
      <c r="P366" s="18">
        <f t="shared" si="163"/>
        <v>1.1544762242309008E-3</v>
      </c>
      <c r="Q366" s="18">
        <f t="shared" si="165"/>
        <v>1.0670524910067723E-2</v>
      </c>
      <c r="R366" s="18">
        <f t="shared" si="167"/>
        <v>2.012312912869741E-4</v>
      </c>
      <c r="S366" s="18">
        <f t="shared" si="169"/>
        <v>1.9328001687813835E-2</v>
      </c>
      <c r="T366" s="18">
        <f t="shared" si="171"/>
        <v>1.272773437832362E-3</v>
      </c>
      <c r="U366" s="18">
        <f t="shared" si="173"/>
        <v>1.3975555915757875E-2</v>
      </c>
      <c r="V366" s="18">
        <f t="shared" si="174"/>
        <v>2.2421006636863332E-3</v>
      </c>
      <c r="W366" s="18">
        <f t="shared" si="175"/>
        <v>6.442671790758838E-5</v>
      </c>
      <c r="X366" s="18">
        <f t="shared" si="176"/>
        <v>1.1893774698605378E-2</v>
      </c>
      <c r="Y366" s="18">
        <f t="shared" si="177"/>
        <v>4.005097618016502E-4</v>
      </c>
      <c r="AA366" s="18">
        <f t="shared" si="159"/>
        <v>1.1192431378044716E-2</v>
      </c>
      <c r="AB366" s="18">
        <f t="shared" si="160"/>
        <v>1.2527052015223994E-4</v>
      </c>
      <c r="AC366" s="18">
        <f t="shared" si="162"/>
        <v>1.0004810002948101E-3</v>
      </c>
      <c r="AD366" s="18">
        <f t="shared" si="164"/>
        <v>1.8698707151763368E-3</v>
      </c>
      <c r="AE366" s="18">
        <f t="shared" si="166"/>
        <v>3.2259747316340536E-4</v>
      </c>
      <c r="AF366" s="18">
        <f t="shared" si="168"/>
        <v>9.2478381298328367E-3</v>
      </c>
      <c r="AG366" s="18">
        <f t="shared" si="170"/>
        <v>3.1043364102902545E-3</v>
      </c>
      <c r="AH366" s="18">
        <f t="shared" si="172"/>
        <v>1.4662118693784535E-2</v>
      </c>
      <c r="AJ366" s="18">
        <f>IF(ISNUMBER(Kernel!M366),Kernel!M366,"")</f>
        <v>1.9268582920072219E-2</v>
      </c>
      <c r="AK366" s="18">
        <f t="shared" si="157"/>
        <v>3.7127828774769883E-4</v>
      </c>
      <c r="AN366" s="18">
        <f>IF(ISNUMBER(Volcanic!G366),Volcanic!G366,"")</f>
        <v>7.3800000000000003E-3</v>
      </c>
    </row>
    <row r="367" spans="1:40">
      <c r="A367" s="18" t="str">
        <f>IF(Volcanic!A367="","",Volcanic!A367)</f>
        <v>8/1988</v>
      </c>
      <c r="B367" s="18">
        <f>IF(ISNUMBER(Volcanic!L367),Volcanic!L367,"")</f>
        <v>1988.625</v>
      </c>
      <c r="C367" s="18">
        <f>IF(ISNUMBER(Volcanic!J367),Volcanic!J367,"")</f>
        <v>0.17757904745592973</v>
      </c>
      <c r="D367" s="18">
        <f t="shared" si="150"/>
        <v>3.153431809535534E-2</v>
      </c>
      <c r="E367" s="18">
        <f>IF(ISNUMBER(Volcanic!C367),Volcanic!C367,"")</f>
        <v>0.32394645542166806</v>
      </c>
      <c r="F367" s="18">
        <f>IF(ISNUMBER(Volcanic!D367),Volcanic!D367,"")</f>
        <v>-0.99</v>
      </c>
      <c r="G367" s="18">
        <f>IF(ISNUMBER(Volcanic!E367),Volcanic!E367,"")</f>
        <v>8.6199999999999992E-3</v>
      </c>
      <c r="H367" s="18">
        <f t="shared" si="151"/>
        <v>0.10494130598026277</v>
      </c>
      <c r="I367" s="18">
        <f t="shared" si="152"/>
        <v>0.98009999999999997</v>
      </c>
      <c r="J367" s="18">
        <f t="shared" si="153"/>
        <v>7.4304399999999986E-5</v>
      </c>
      <c r="K367" s="18">
        <f t="shared" si="154"/>
        <v>-0.32070699086745136</v>
      </c>
      <c r="L367" s="18">
        <f t="shared" si="155"/>
        <v>2.7924184457347786E-3</v>
      </c>
      <c r="M367" s="18">
        <f t="shared" si="156"/>
        <v>-8.5337999999999994E-3</v>
      </c>
      <c r="N367" s="18">
        <f t="shared" si="158"/>
        <v>1.7932922236777238E-3</v>
      </c>
      <c r="O367" s="18">
        <f t="shared" si="161"/>
        <v>3.8393430366851587E-3</v>
      </c>
      <c r="P367" s="18">
        <f t="shared" si="163"/>
        <v>3.6392271383707728E-3</v>
      </c>
      <c r="Q367" s="18">
        <f t="shared" si="165"/>
        <v>1.1544762242309008E-3</v>
      </c>
      <c r="R367" s="18">
        <f t="shared" si="167"/>
        <v>1.0670524910067723E-2</v>
      </c>
      <c r="S367" s="18">
        <f t="shared" si="169"/>
        <v>2.012312912869741E-4</v>
      </c>
      <c r="T367" s="18">
        <f t="shared" si="171"/>
        <v>1.9328001687813835E-2</v>
      </c>
      <c r="U367" s="18">
        <f t="shared" si="173"/>
        <v>1.272773437832362E-3</v>
      </c>
      <c r="V367" s="18">
        <f t="shared" si="174"/>
        <v>1.3975555915757875E-2</v>
      </c>
      <c r="W367" s="18">
        <f t="shared" si="175"/>
        <v>2.2421006636863332E-3</v>
      </c>
      <c r="X367" s="18">
        <f t="shared" si="176"/>
        <v>6.442671790758838E-5</v>
      </c>
      <c r="Y367" s="18">
        <f t="shared" si="177"/>
        <v>1.1893774698605378E-2</v>
      </c>
      <c r="AA367" s="18">
        <f t="shared" si="159"/>
        <v>0.15628673964062975</v>
      </c>
      <c r="AB367" s="18">
        <f t="shared" si="160"/>
        <v>2.442554498749799E-2</v>
      </c>
      <c r="AC367" s="18">
        <f t="shared" si="162"/>
        <v>1.2527052015223994E-4</v>
      </c>
      <c r="AD367" s="18">
        <f t="shared" si="164"/>
        <v>1.0004810002948101E-3</v>
      </c>
      <c r="AE367" s="18">
        <f t="shared" si="166"/>
        <v>1.8698707151763368E-3</v>
      </c>
      <c r="AF367" s="18">
        <f t="shared" si="168"/>
        <v>3.2259747316340536E-4</v>
      </c>
      <c r="AG367" s="18">
        <f t="shared" si="170"/>
        <v>9.2478381298328367E-3</v>
      </c>
      <c r="AH367" s="18">
        <f t="shared" si="172"/>
        <v>3.1043364102902545E-3</v>
      </c>
      <c r="AJ367" s="18">
        <f>IF(ISNUMBER(Kernel!M367),Kernel!M367,"")</f>
        <v>0.12634345333102548</v>
      </c>
      <c r="AK367" s="18">
        <f t="shared" si="157"/>
        <v>1.5962668199609013E-2</v>
      </c>
      <c r="AN367" s="18">
        <f>IF(ISNUMBER(Volcanic!G367),Volcanic!G367,"")</f>
        <v>7.62E-3</v>
      </c>
    </row>
    <row r="368" spans="1:40">
      <c r="A368" s="18" t="str">
        <f>IF(Volcanic!A368="","",Volcanic!A368)</f>
        <v>9/1988</v>
      </c>
      <c r="B368" s="18">
        <f>IF(ISNUMBER(Volcanic!L368),Volcanic!L368,"")</f>
        <v>1988.7083333333333</v>
      </c>
      <c r="C368" s="18">
        <f>IF(ISNUMBER(Volcanic!J368),Volcanic!J368,"")</f>
        <v>0.20300711591963855</v>
      </c>
      <c r="D368" s="18">
        <f t="shared" si="150"/>
        <v>4.121188911400956E-2</v>
      </c>
      <c r="E368" s="18">
        <f>IF(ISNUMBER(Volcanic!C368),Volcanic!C368,"")</f>
        <v>0.31767619003390707</v>
      </c>
      <c r="F368" s="18">
        <f>IF(ISNUMBER(Volcanic!D368),Volcanic!D368,"")</f>
        <v>-1.3</v>
      </c>
      <c r="G368" s="18">
        <f>IF(ISNUMBER(Volcanic!E368),Volcanic!E368,"")</f>
        <v>8.4200000000000004E-3</v>
      </c>
      <c r="H368" s="18">
        <f t="shared" si="151"/>
        <v>0.10091816171445904</v>
      </c>
      <c r="I368" s="18">
        <f t="shared" si="152"/>
        <v>1.6900000000000002</v>
      </c>
      <c r="J368" s="18">
        <f t="shared" si="153"/>
        <v>7.0896400000000008E-5</v>
      </c>
      <c r="K368" s="18">
        <f t="shared" si="154"/>
        <v>-0.41297904704407923</v>
      </c>
      <c r="L368" s="18">
        <f t="shared" si="155"/>
        <v>2.6748335200854978E-3</v>
      </c>
      <c r="M368" s="18">
        <f t="shared" si="156"/>
        <v>-1.0946000000000001E-2</v>
      </c>
      <c r="N368" s="18">
        <f t="shared" si="158"/>
        <v>3.153431809535534E-2</v>
      </c>
      <c r="O368" s="18">
        <f t="shared" si="161"/>
        <v>1.7932922236777238E-3</v>
      </c>
      <c r="P368" s="18">
        <f t="shared" si="163"/>
        <v>3.8393430366851587E-3</v>
      </c>
      <c r="Q368" s="18">
        <f t="shared" si="165"/>
        <v>3.6392271383707728E-3</v>
      </c>
      <c r="R368" s="18">
        <f t="shared" si="167"/>
        <v>1.1544762242309008E-3</v>
      </c>
      <c r="S368" s="18">
        <f t="shared" si="169"/>
        <v>1.0670524910067723E-2</v>
      </c>
      <c r="T368" s="18">
        <f t="shared" si="171"/>
        <v>2.012312912869741E-4</v>
      </c>
      <c r="U368" s="18">
        <f t="shared" si="173"/>
        <v>1.9328001687813835E-2</v>
      </c>
      <c r="V368" s="18">
        <f t="shared" si="174"/>
        <v>1.272773437832362E-3</v>
      </c>
      <c r="W368" s="18">
        <f t="shared" si="175"/>
        <v>1.3975555915757875E-2</v>
      </c>
      <c r="X368" s="18">
        <f t="shared" si="176"/>
        <v>2.2421006636863332E-3</v>
      </c>
      <c r="Y368" s="18">
        <f t="shared" si="177"/>
        <v>6.442671790758838E-5</v>
      </c>
      <c r="AA368" s="18">
        <f t="shared" si="159"/>
        <v>0.11371997317369532</v>
      </c>
      <c r="AB368" s="18">
        <f t="shared" si="160"/>
        <v>1.2932232298625983E-2</v>
      </c>
      <c r="AC368" s="18">
        <f t="shared" si="162"/>
        <v>2.442554498749799E-2</v>
      </c>
      <c r="AD368" s="18">
        <f t="shared" si="164"/>
        <v>1.2527052015223994E-4</v>
      </c>
      <c r="AE368" s="18">
        <f t="shared" si="166"/>
        <v>1.0004810002948101E-3</v>
      </c>
      <c r="AF368" s="18">
        <f t="shared" si="168"/>
        <v>1.8698707151763368E-3</v>
      </c>
      <c r="AG368" s="18">
        <f t="shared" si="170"/>
        <v>3.2259747316340536E-4</v>
      </c>
      <c r="AH368" s="18">
        <f t="shared" si="172"/>
        <v>9.2478381298328367E-3</v>
      </c>
      <c r="AJ368" s="18">
        <f>IF(ISNUMBER(Kernel!M368),Kernel!M368,"")</f>
        <v>0.1442444816039947</v>
      </c>
      <c r="AK368" s="18">
        <f t="shared" si="157"/>
        <v>2.0806470473205163E-2</v>
      </c>
      <c r="AN368" s="18">
        <f>IF(ISNUMBER(Volcanic!G368),Volcanic!G368,"")</f>
        <v>7.7200000000000003E-3</v>
      </c>
    </row>
    <row r="369" spans="1:40">
      <c r="A369" s="18" t="str">
        <f>IF(Volcanic!A369="","",Volcanic!A369)</f>
        <v>10/1988</v>
      </c>
      <c r="B369" s="18">
        <f>IF(ISNUMBER(Volcanic!L369),Volcanic!L369,"")</f>
        <v>1988.7916666666667</v>
      </c>
      <c r="C369" s="18">
        <f>IF(ISNUMBER(Volcanic!J369),Volcanic!J369,"")</f>
        <v>0.20770733470382721</v>
      </c>
      <c r="D369" s="18">
        <f t="shared" si="150"/>
        <v>4.3142336889767707E-2</v>
      </c>
      <c r="E369" s="18">
        <f>IF(ISNUMBER(Volcanic!C369),Volcanic!C369,"")</f>
        <v>0.3193289038394051</v>
      </c>
      <c r="F369" s="18">
        <f>IF(ISNUMBER(Volcanic!D369),Volcanic!D369,"")</f>
        <v>-1.3</v>
      </c>
      <c r="G369" s="18">
        <f>IF(ISNUMBER(Volcanic!E369),Volcanic!E369,"")</f>
        <v>8.0599999999999995E-3</v>
      </c>
      <c r="H369" s="18">
        <f t="shared" si="151"/>
        <v>0.10197094882727603</v>
      </c>
      <c r="I369" s="18">
        <f t="shared" si="152"/>
        <v>1.6900000000000002</v>
      </c>
      <c r="J369" s="18">
        <f t="shared" si="153"/>
        <v>6.4963599999999996E-5</v>
      </c>
      <c r="K369" s="18">
        <f t="shared" si="154"/>
        <v>-0.41512757499122666</v>
      </c>
      <c r="L369" s="18">
        <f t="shared" si="155"/>
        <v>2.573790964945605E-3</v>
      </c>
      <c r="M369" s="18">
        <f t="shared" si="156"/>
        <v>-1.0477999999999999E-2</v>
      </c>
      <c r="N369" s="18">
        <f t="shared" si="158"/>
        <v>4.121188911400956E-2</v>
      </c>
      <c r="O369" s="18">
        <f t="shared" si="161"/>
        <v>3.153431809535534E-2</v>
      </c>
      <c r="P369" s="18">
        <f t="shared" si="163"/>
        <v>1.7932922236777238E-3</v>
      </c>
      <c r="Q369" s="18">
        <f t="shared" si="165"/>
        <v>3.8393430366851587E-3</v>
      </c>
      <c r="R369" s="18">
        <f t="shared" si="167"/>
        <v>3.6392271383707728E-3</v>
      </c>
      <c r="S369" s="18">
        <f t="shared" si="169"/>
        <v>1.1544762242309008E-3</v>
      </c>
      <c r="T369" s="18">
        <f t="shared" si="171"/>
        <v>1.0670524910067723E-2</v>
      </c>
      <c r="U369" s="18">
        <f t="shared" si="173"/>
        <v>2.012312912869741E-4</v>
      </c>
      <c r="V369" s="18">
        <f t="shared" si="174"/>
        <v>1.9328001687813835E-2</v>
      </c>
      <c r="W369" s="18">
        <f t="shared" si="175"/>
        <v>1.272773437832362E-3</v>
      </c>
      <c r="X369" s="18">
        <f t="shared" si="176"/>
        <v>1.3975555915757875E-2</v>
      </c>
      <c r="Y369" s="18">
        <f t="shared" si="177"/>
        <v>2.2421006636863332E-3</v>
      </c>
      <c r="AA369" s="18">
        <f t="shared" si="159"/>
        <v>0.10563490218862651</v>
      </c>
      <c r="AB369" s="18">
        <f t="shared" si="160"/>
        <v>1.1158732560400689E-2</v>
      </c>
      <c r="AC369" s="18">
        <f t="shared" si="162"/>
        <v>1.2932232298625983E-2</v>
      </c>
      <c r="AD369" s="18">
        <f t="shared" si="164"/>
        <v>2.442554498749799E-2</v>
      </c>
      <c r="AE369" s="18">
        <f t="shared" si="166"/>
        <v>1.2527052015223994E-4</v>
      </c>
      <c r="AF369" s="18">
        <f t="shared" si="168"/>
        <v>1.0004810002948101E-3</v>
      </c>
      <c r="AG369" s="18">
        <f t="shared" si="170"/>
        <v>1.8698707151763368E-3</v>
      </c>
      <c r="AH369" s="18">
        <f t="shared" si="172"/>
        <v>3.2259747316340536E-4</v>
      </c>
      <c r="AJ369" s="18">
        <f>IF(ISNUMBER(Kernel!M369),Kernel!M369,"")</f>
        <v>0.17322662278756287</v>
      </c>
      <c r="AK369" s="18">
        <f t="shared" si="157"/>
        <v>3.0007462842384598E-2</v>
      </c>
      <c r="AN369" s="18">
        <f>IF(ISNUMBER(Volcanic!G369),Volcanic!G369,"")</f>
        <v>7.4200000000000004E-3</v>
      </c>
    </row>
    <row r="370" spans="1:40">
      <c r="A370" s="18" t="str">
        <f>IF(Volcanic!A370="","",Volcanic!A370)</f>
        <v>11/1988</v>
      </c>
      <c r="B370" s="18">
        <f>IF(ISNUMBER(Volcanic!L370),Volcanic!L370,"")</f>
        <v>1988.875</v>
      </c>
      <c r="C370" s="18">
        <f>IF(ISNUMBER(Volcanic!J370),Volcanic!J370,"")</f>
        <v>-7.9476034982671528E-2</v>
      </c>
      <c r="D370" s="18">
        <f t="shared" si="150"/>
        <v>6.3164401365668286E-3</v>
      </c>
      <c r="E370" s="18">
        <f>IF(ISNUMBER(Volcanic!C370),Volcanic!C370,"")</f>
        <v>0.32365829102624488</v>
      </c>
      <c r="F370" s="18">
        <f>IF(ISNUMBER(Volcanic!D370),Volcanic!D370,"")</f>
        <v>-1.1399999999999999</v>
      </c>
      <c r="G370" s="18">
        <f>IF(ISNUMBER(Volcanic!E370),Volcanic!E370,"")</f>
        <v>7.8200000000000006E-3</v>
      </c>
      <c r="H370" s="18">
        <f t="shared" si="151"/>
        <v>0.10475468935002943</v>
      </c>
      <c r="I370" s="18">
        <f t="shared" si="152"/>
        <v>1.2995999999999999</v>
      </c>
      <c r="J370" s="18">
        <f t="shared" si="153"/>
        <v>6.1152400000000014E-5</v>
      </c>
      <c r="K370" s="18">
        <f t="shared" si="154"/>
        <v>-0.36897045176991916</v>
      </c>
      <c r="L370" s="18">
        <f t="shared" si="155"/>
        <v>2.531007835825235E-3</v>
      </c>
      <c r="M370" s="18">
        <f t="shared" si="156"/>
        <v>-8.9148000000000005E-3</v>
      </c>
      <c r="N370" s="18">
        <f t="shared" si="158"/>
        <v>4.3142336889767707E-2</v>
      </c>
      <c r="O370" s="18">
        <f t="shared" si="161"/>
        <v>4.121188911400956E-2</v>
      </c>
      <c r="P370" s="18">
        <f t="shared" si="163"/>
        <v>3.153431809535534E-2</v>
      </c>
      <c r="Q370" s="18">
        <f t="shared" si="165"/>
        <v>1.7932922236777238E-3</v>
      </c>
      <c r="R370" s="18">
        <f t="shared" si="167"/>
        <v>3.8393430366851587E-3</v>
      </c>
      <c r="S370" s="18">
        <f t="shared" si="169"/>
        <v>3.6392271383707728E-3</v>
      </c>
      <c r="T370" s="18">
        <f t="shared" si="171"/>
        <v>1.1544762242309008E-3</v>
      </c>
      <c r="U370" s="18">
        <f t="shared" si="173"/>
        <v>1.0670524910067723E-2</v>
      </c>
      <c r="V370" s="18">
        <f t="shared" si="174"/>
        <v>2.012312912869741E-4</v>
      </c>
      <c r="W370" s="18">
        <f t="shared" si="175"/>
        <v>1.9328001687813835E-2</v>
      </c>
      <c r="X370" s="18">
        <f t="shared" si="176"/>
        <v>1.272773437832362E-3</v>
      </c>
      <c r="Y370" s="18">
        <f t="shared" si="177"/>
        <v>1.3975555915757875E-2</v>
      </c>
      <c r="AA370" s="18">
        <f t="shared" si="159"/>
        <v>-0.18391174802861823</v>
      </c>
      <c r="AB370" s="18">
        <f t="shared" si="160"/>
        <v>3.3823531062941961E-2</v>
      </c>
      <c r="AC370" s="18">
        <f t="shared" si="162"/>
        <v>1.1158732560400689E-2</v>
      </c>
      <c r="AD370" s="18">
        <f t="shared" si="164"/>
        <v>1.2932232298625983E-2</v>
      </c>
      <c r="AE370" s="18">
        <f t="shared" si="166"/>
        <v>2.442554498749799E-2</v>
      </c>
      <c r="AF370" s="18">
        <f t="shared" si="168"/>
        <v>1.2527052015223994E-4</v>
      </c>
      <c r="AG370" s="18">
        <f t="shared" si="170"/>
        <v>1.0004810002948101E-3</v>
      </c>
      <c r="AH370" s="18">
        <f t="shared" si="172"/>
        <v>1.8698707151763368E-3</v>
      </c>
      <c r="AJ370" s="18">
        <f>IF(ISNUMBER(Kernel!M370),Kernel!M370,"")</f>
        <v>-7.289124082429782E-2</v>
      </c>
      <c r="AK370" s="18">
        <f t="shared" si="157"/>
        <v>5.313132988905781E-3</v>
      </c>
      <c r="AN370" s="18">
        <f>IF(ISNUMBER(Volcanic!G370),Volcanic!G370,"")</f>
        <v>7.1900000000000002E-3</v>
      </c>
    </row>
    <row r="371" spans="1:40">
      <c r="A371" s="18" t="str">
        <f>IF(Volcanic!A371="","",Volcanic!A371)</f>
        <v>12/1988</v>
      </c>
      <c r="B371" s="18">
        <f>IF(ISNUMBER(Volcanic!L371),Volcanic!L371,"")</f>
        <v>1988.9583333333333</v>
      </c>
      <c r="C371" s="18">
        <f>IF(ISNUMBER(Volcanic!J371),Volcanic!J371,"")</f>
        <v>8.8409496767228479E-2</v>
      </c>
      <c r="D371" s="18">
        <f t="shared" si="150"/>
        <v>7.8162391186345822E-3</v>
      </c>
      <c r="E371" s="18">
        <f>IF(ISNUMBER(Volcanic!C371),Volcanic!C371,"")</f>
        <v>0.32859030554145996</v>
      </c>
      <c r="F371" s="18">
        <f>IF(ISNUMBER(Volcanic!D371),Volcanic!D371,"")</f>
        <v>-1.27</v>
      </c>
      <c r="G371" s="18">
        <f>IF(ISNUMBER(Volcanic!E371),Volcanic!E371,"")</f>
        <v>7.4900000000000001E-3</v>
      </c>
      <c r="H371" s="18">
        <f t="shared" si="151"/>
        <v>0.10797158889583001</v>
      </c>
      <c r="I371" s="18">
        <f t="shared" si="152"/>
        <v>1.6129</v>
      </c>
      <c r="J371" s="18">
        <f t="shared" si="153"/>
        <v>5.6100100000000002E-5</v>
      </c>
      <c r="K371" s="18">
        <f t="shared" si="154"/>
        <v>-0.41730968803765417</v>
      </c>
      <c r="L371" s="18">
        <f t="shared" si="155"/>
        <v>2.4611413885055351E-3</v>
      </c>
      <c r="M371" s="18">
        <f t="shared" si="156"/>
        <v>-9.5122999999999996E-3</v>
      </c>
      <c r="N371" s="18">
        <f t="shared" si="158"/>
        <v>6.3164401365668286E-3</v>
      </c>
      <c r="O371" s="18">
        <f t="shared" si="161"/>
        <v>4.3142336889767707E-2</v>
      </c>
      <c r="P371" s="18">
        <f t="shared" si="163"/>
        <v>4.121188911400956E-2</v>
      </c>
      <c r="Q371" s="18">
        <f t="shared" si="165"/>
        <v>3.153431809535534E-2</v>
      </c>
      <c r="R371" s="18">
        <f t="shared" si="167"/>
        <v>1.7932922236777238E-3</v>
      </c>
      <c r="S371" s="18">
        <f t="shared" si="169"/>
        <v>3.8393430366851587E-3</v>
      </c>
      <c r="T371" s="18">
        <f t="shared" si="171"/>
        <v>3.6392271383707728E-3</v>
      </c>
      <c r="U371" s="18">
        <f t="shared" si="173"/>
        <v>1.1544762242309008E-3</v>
      </c>
      <c r="V371" s="18">
        <f t="shared" si="174"/>
        <v>1.0670524910067723E-2</v>
      </c>
      <c r="W371" s="18">
        <f t="shared" si="175"/>
        <v>2.012312912869741E-4</v>
      </c>
      <c r="X371" s="18">
        <f t="shared" si="176"/>
        <v>1.9328001687813835E-2</v>
      </c>
      <c r="Y371" s="18">
        <f t="shared" si="177"/>
        <v>1.272773437832362E-3</v>
      </c>
      <c r="AA371" s="18">
        <f t="shared" si="159"/>
        <v>0.12837022514167507</v>
      </c>
      <c r="AB371" s="18">
        <f t="shared" si="160"/>
        <v>1.6478914702924344E-2</v>
      </c>
      <c r="AC371" s="18">
        <f t="shared" si="162"/>
        <v>3.3823531062941961E-2</v>
      </c>
      <c r="AD371" s="18">
        <f t="shared" si="164"/>
        <v>1.1158732560400689E-2</v>
      </c>
      <c r="AE371" s="18">
        <f t="shared" si="166"/>
        <v>1.2932232298625983E-2</v>
      </c>
      <c r="AF371" s="18">
        <f t="shared" si="168"/>
        <v>2.442554498749799E-2</v>
      </c>
      <c r="AG371" s="18">
        <f t="shared" si="170"/>
        <v>1.2527052015223994E-4</v>
      </c>
      <c r="AH371" s="18">
        <f t="shared" si="172"/>
        <v>1.0004810002948101E-3</v>
      </c>
      <c r="AJ371" s="18">
        <f>IF(ISNUMBER(Kernel!M371),Kernel!M371,"")</f>
        <v>0.10614968104255065</v>
      </c>
      <c r="AK371" s="18">
        <f t="shared" si="157"/>
        <v>1.1267754785435237E-2</v>
      </c>
      <c r="AN371" s="18">
        <f>IF(ISNUMBER(Volcanic!G371),Volcanic!G371,"")</f>
        <v>6.8199999999999997E-3</v>
      </c>
    </row>
    <row r="372" spans="1:40">
      <c r="A372" s="18" t="str">
        <f>IF(Volcanic!A372="","",Volcanic!A372)</f>
        <v>1/1989</v>
      </c>
      <c r="B372" s="18">
        <f>IF(ISNUMBER(Volcanic!L372),Volcanic!L372,"")</f>
        <v>1989.0416666666667</v>
      </c>
      <c r="C372" s="18">
        <f>IF(ISNUMBER(Volcanic!J372),Volcanic!J372,"")</f>
        <v>-7.2882899133951379E-2</v>
      </c>
      <c r="D372" s="18">
        <f t="shared" si="150"/>
        <v>5.3119169861697308E-3</v>
      </c>
      <c r="E372" s="18">
        <f>IF(ISNUMBER(Volcanic!C372),Volcanic!C372,"")</f>
        <v>0.33452741479971682</v>
      </c>
      <c r="F372" s="18">
        <f>IF(ISNUMBER(Volcanic!D372),Volcanic!D372,"")</f>
        <v>-1.54</v>
      </c>
      <c r="G372" s="18">
        <f>IF(ISNUMBER(Volcanic!E372),Volcanic!E372,"")</f>
        <v>7.4200000000000004E-3</v>
      </c>
      <c r="H372" s="18">
        <f t="shared" si="151"/>
        <v>0.11190859125258179</v>
      </c>
      <c r="I372" s="18">
        <f t="shared" si="152"/>
        <v>2.3715999999999999</v>
      </c>
      <c r="J372" s="18">
        <f t="shared" si="153"/>
        <v>5.5056400000000004E-5</v>
      </c>
      <c r="K372" s="18">
        <f t="shared" si="154"/>
        <v>-0.51517221879156394</v>
      </c>
      <c r="L372" s="18">
        <f t="shared" si="155"/>
        <v>2.4821934178138991E-3</v>
      </c>
      <c r="M372" s="18">
        <f t="shared" si="156"/>
        <v>-1.1426800000000001E-2</v>
      </c>
      <c r="N372" s="18">
        <f t="shared" si="158"/>
        <v>7.8162391186345822E-3</v>
      </c>
      <c r="O372" s="18">
        <f t="shared" si="161"/>
        <v>6.3164401365668286E-3</v>
      </c>
      <c r="P372" s="18">
        <f t="shared" si="163"/>
        <v>4.3142336889767707E-2</v>
      </c>
      <c r="Q372" s="18">
        <f t="shared" si="165"/>
        <v>4.121188911400956E-2</v>
      </c>
      <c r="R372" s="18">
        <f t="shared" si="167"/>
        <v>3.153431809535534E-2</v>
      </c>
      <c r="S372" s="18">
        <f t="shared" si="169"/>
        <v>1.7932922236777238E-3</v>
      </c>
      <c r="T372" s="18">
        <f t="shared" si="171"/>
        <v>3.8393430366851587E-3</v>
      </c>
      <c r="U372" s="18">
        <f t="shared" si="173"/>
        <v>3.6392271383707728E-3</v>
      </c>
      <c r="V372" s="18">
        <f t="shared" si="174"/>
        <v>1.1544762242309008E-3</v>
      </c>
      <c r="W372" s="18">
        <f t="shared" si="175"/>
        <v>1.0670524910067723E-2</v>
      </c>
      <c r="X372" s="18">
        <f t="shared" si="176"/>
        <v>2.012312912869741E-4</v>
      </c>
      <c r="Y372" s="18">
        <f t="shared" si="177"/>
        <v>1.9328001687813835E-2</v>
      </c>
      <c r="AA372" s="18">
        <f t="shared" si="159"/>
        <v>-0.11733539210000116</v>
      </c>
      <c r="AB372" s="18">
        <f t="shared" si="160"/>
        <v>1.3767594239261013E-2</v>
      </c>
      <c r="AC372" s="18">
        <f t="shared" si="162"/>
        <v>1.6478914702924344E-2</v>
      </c>
      <c r="AD372" s="18">
        <f t="shared" si="164"/>
        <v>3.3823531062941961E-2</v>
      </c>
      <c r="AE372" s="18">
        <f t="shared" si="166"/>
        <v>1.1158732560400689E-2</v>
      </c>
      <c r="AF372" s="18">
        <f t="shared" si="168"/>
        <v>1.2932232298625983E-2</v>
      </c>
      <c r="AG372" s="18">
        <f t="shared" si="170"/>
        <v>2.442554498749799E-2</v>
      </c>
      <c r="AH372" s="18">
        <f t="shared" si="172"/>
        <v>1.2527052015223994E-4</v>
      </c>
      <c r="AJ372" s="18">
        <f>IF(ISNUMBER(Kernel!M372),Kernel!M372,"")</f>
        <v>-6.5646524195102418E-2</v>
      </c>
      <c r="AK372" s="18">
        <f t="shared" si="157"/>
        <v>4.3094661388981669E-3</v>
      </c>
      <c r="AN372" s="18">
        <f>IF(ISNUMBER(Volcanic!G372),Volcanic!G372,"")</f>
        <v>6.5199999999999998E-3</v>
      </c>
    </row>
    <row r="373" spans="1:40">
      <c r="A373" s="18" t="str">
        <f>IF(Volcanic!A373="","",Volcanic!A373)</f>
        <v>2/1989</v>
      </c>
      <c r="B373" s="18">
        <f>IF(ISNUMBER(Volcanic!L373),Volcanic!L373,"")</f>
        <v>1989.125</v>
      </c>
      <c r="C373" s="18">
        <f>IF(ISNUMBER(Volcanic!J373),Volcanic!J373,"")</f>
        <v>0.12807370873898422</v>
      </c>
      <c r="D373" s="18">
        <f t="shared" si="150"/>
        <v>1.6402874870158162E-2</v>
      </c>
      <c r="E373" s="18">
        <f>IF(ISNUMBER(Volcanic!C373),Volcanic!C373,"")</f>
        <v>0.33599767738901826</v>
      </c>
      <c r="F373" s="18">
        <f>IF(ISNUMBER(Volcanic!D373),Volcanic!D373,"")</f>
        <v>-1.81</v>
      </c>
      <c r="G373" s="18">
        <f>IF(ISNUMBER(Volcanic!E373),Volcanic!E373,"")</f>
        <v>7.3800000000000003E-3</v>
      </c>
      <c r="H373" s="18">
        <f t="shared" si="151"/>
        <v>0.1128944392108148</v>
      </c>
      <c r="I373" s="18">
        <f t="shared" si="152"/>
        <v>3.2761</v>
      </c>
      <c r="J373" s="18">
        <f t="shared" si="153"/>
        <v>5.4464400000000007E-5</v>
      </c>
      <c r="K373" s="18">
        <f t="shared" si="154"/>
        <v>-0.60815579607412307</v>
      </c>
      <c r="L373" s="18">
        <f t="shared" si="155"/>
        <v>2.4796628591309548E-3</v>
      </c>
      <c r="M373" s="18">
        <f t="shared" si="156"/>
        <v>-1.3357800000000001E-2</v>
      </c>
      <c r="N373" s="18">
        <f t="shared" si="158"/>
        <v>5.3119169861697308E-3</v>
      </c>
      <c r="O373" s="18">
        <f t="shared" si="161"/>
        <v>7.8162391186345822E-3</v>
      </c>
      <c r="P373" s="18">
        <f t="shared" si="163"/>
        <v>6.3164401365668286E-3</v>
      </c>
      <c r="Q373" s="18">
        <f t="shared" si="165"/>
        <v>4.3142336889767707E-2</v>
      </c>
      <c r="R373" s="18">
        <f t="shared" si="167"/>
        <v>4.121188911400956E-2</v>
      </c>
      <c r="S373" s="18">
        <f t="shared" si="169"/>
        <v>3.153431809535534E-2</v>
      </c>
      <c r="T373" s="18">
        <f t="shared" si="171"/>
        <v>1.7932922236777238E-3</v>
      </c>
      <c r="U373" s="18">
        <f t="shared" si="173"/>
        <v>3.8393430366851587E-3</v>
      </c>
      <c r="V373" s="18">
        <f t="shared" si="174"/>
        <v>3.6392271383707728E-3</v>
      </c>
      <c r="W373" s="18">
        <f t="shared" si="175"/>
        <v>1.1544762242309008E-3</v>
      </c>
      <c r="X373" s="18">
        <f t="shared" si="176"/>
        <v>1.0670524910067723E-2</v>
      </c>
      <c r="Y373" s="18">
        <f t="shared" si="177"/>
        <v>2.012312912869741E-4</v>
      </c>
      <c r="AA373" s="18">
        <f t="shared" si="159"/>
        <v>0.16471939364348448</v>
      </c>
      <c r="AB373" s="18">
        <f t="shared" si="160"/>
        <v>2.7132478642277195E-2</v>
      </c>
      <c r="AC373" s="18">
        <f t="shared" si="162"/>
        <v>1.3767594239261013E-2</v>
      </c>
      <c r="AD373" s="18">
        <f t="shared" si="164"/>
        <v>1.6478914702924344E-2</v>
      </c>
      <c r="AE373" s="18">
        <f t="shared" si="166"/>
        <v>3.3823531062941961E-2</v>
      </c>
      <c r="AF373" s="18">
        <f t="shared" si="168"/>
        <v>1.1158732560400689E-2</v>
      </c>
      <c r="AG373" s="18">
        <f t="shared" si="170"/>
        <v>1.2932232298625983E-2</v>
      </c>
      <c r="AH373" s="18">
        <f t="shared" si="172"/>
        <v>2.442554498749799E-2</v>
      </c>
      <c r="AJ373" s="18">
        <f>IF(ISNUMBER(Kernel!M373),Kernel!M373,"")</f>
        <v>0.1167166440201165</v>
      </c>
      <c r="AK373" s="18">
        <f t="shared" si="157"/>
        <v>1.3622774991318597E-2</v>
      </c>
      <c r="AN373" s="18">
        <f>IF(ISNUMBER(Volcanic!G373),Volcanic!G373,"")</f>
        <v>6.3600000000000002E-3</v>
      </c>
    </row>
    <row r="374" spans="1:40">
      <c r="A374" s="18" t="str">
        <f>IF(Volcanic!A374="","",Volcanic!A374)</f>
        <v>3/1989</v>
      </c>
      <c r="B374" s="18">
        <f>IF(ISNUMBER(Volcanic!L374),Volcanic!L374,"")</f>
        <v>1989.2083333333333</v>
      </c>
      <c r="C374" s="18">
        <f>IF(ISNUMBER(Volcanic!J374),Volcanic!J374,"")</f>
        <v>0.185083592392077</v>
      </c>
      <c r="D374" s="18">
        <f t="shared" si="150"/>
        <v>3.4255936172756504E-2</v>
      </c>
      <c r="E374" s="18">
        <f>IF(ISNUMBER(Volcanic!C374),Volcanic!C374,"")</f>
        <v>0.33864852908132032</v>
      </c>
      <c r="F374" s="18">
        <f>IF(ISNUMBER(Volcanic!D374),Volcanic!D374,"")</f>
        <v>-1.85</v>
      </c>
      <c r="G374" s="18">
        <f>IF(ISNUMBER(Volcanic!E374),Volcanic!E374,"")</f>
        <v>7.62E-3</v>
      </c>
      <c r="H374" s="18">
        <f t="shared" si="151"/>
        <v>0.11468282624894185</v>
      </c>
      <c r="I374" s="18">
        <f t="shared" si="152"/>
        <v>3.4225000000000003</v>
      </c>
      <c r="J374" s="18">
        <f t="shared" si="153"/>
        <v>5.8064399999999999E-5</v>
      </c>
      <c r="K374" s="18">
        <f t="shared" si="154"/>
        <v>-0.62649977880044261</v>
      </c>
      <c r="L374" s="18">
        <f t="shared" si="155"/>
        <v>2.5805017915996606E-3</v>
      </c>
      <c r="M374" s="18">
        <f t="shared" si="156"/>
        <v>-1.4097E-2</v>
      </c>
      <c r="N374" s="18">
        <f t="shared" si="158"/>
        <v>1.6402874870158162E-2</v>
      </c>
      <c r="O374" s="18">
        <f t="shared" si="161"/>
        <v>5.3119169861697308E-3</v>
      </c>
      <c r="P374" s="18">
        <f t="shared" si="163"/>
        <v>7.8162391186345822E-3</v>
      </c>
      <c r="Q374" s="18">
        <f t="shared" si="165"/>
        <v>6.3164401365668286E-3</v>
      </c>
      <c r="R374" s="18">
        <f t="shared" si="167"/>
        <v>4.3142336889767707E-2</v>
      </c>
      <c r="S374" s="18">
        <f t="shared" si="169"/>
        <v>4.121188911400956E-2</v>
      </c>
      <c r="T374" s="18">
        <f t="shared" si="171"/>
        <v>3.153431809535534E-2</v>
      </c>
      <c r="U374" s="18">
        <f t="shared" si="173"/>
        <v>1.7932922236777238E-3</v>
      </c>
      <c r="V374" s="18">
        <f t="shared" si="174"/>
        <v>3.8393430366851587E-3</v>
      </c>
      <c r="W374" s="18">
        <f t="shared" si="175"/>
        <v>3.6392271383707728E-3</v>
      </c>
      <c r="X374" s="18">
        <f t="shared" si="176"/>
        <v>1.1544762242309008E-3</v>
      </c>
      <c r="Y374" s="18">
        <f t="shared" si="177"/>
        <v>1.0670524910067723E-2</v>
      </c>
      <c r="AA374" s="18">
        <f t="shared" si="159"/>
        <v>0.12068784481933491</v>
      </c>
      <c r="AB374" s="18">
        <f t="shared" si="160"/>
        <v>1.4565555887135864E-2</v>
      </c>
      <c r="AC374" s="18">
        <f t="shared" si="162"/>
        <v>2.7132478642277195E-2</v>
      </c>
      <c r="AD374" s="18">
        <f t="shared" si="164"/>
        <v>1.3767594239261013E-2</v>
      </c>
      <c r="AE374" s="18">
        <f t="shared" si="166"/>
        <v>1.6478914702924344E-2</v>
      </c>
      <c r="AF374" s="18">
        <f t="shared" si="168"/>
        <v>3.3823531062941961E-2</v>
      </c>
      <c r="AG374" s="18">
        <f t="shared" si="170"/>
        <v>1.1158732560400689E-2</v>
      </c>
      <c r="AH374" s="18">
        <f t="shared" si="172"/>
        <v>1.2932232298625983E-2</v>
      </c>
      <c r="AJ374" s="18">
        <f>IF(ISNUMBER(Kernel!M374),Kernel!M374,"")</f>
        <v>0.16847221028222426</v>
      </c>
      <c r="AK374" s="18">
        <f t="shared" si="157"/>
        <v>2.8382885637377987E-2</v>
      </c>
      <c r="AN374" s="18">
        <f>IF(ISNUMBER(Volcanic!G374),Volcanic!G374,"")</f>
        <v>5.9699999999999996E-3</v>
      </c>
    </row>
    <row r="375" spans="1:40">
      <c r="A375" s="18" t="str">
        <f>IF(Volcanic!A375="","",Volcanic!A375)</f>
        <v>4/1989</v>
      </c>
      <c r="B375" s="18">
        <f>IF(ISNUMBER(Volcanic!L375),Volcanic!L375,"")</f>
        <v>1989.2916666666667</v>
      </c>
      <c r="C375" s="18">
        <f>IF(ISNUMBER(Volcanic!J375),Volcanic!J375,"")</f>
        <v>7.7633650115686598E-2</v>
      </c>
      <c r="D375" s="18">
        <f t="shared" si="150"/>
        <v>6.0269836302848457E-3</v>
      </c>
      <c r="E375" s="18">
        <f>IF(ISNUMBER(Volcanic!C375),Volcanic!C375,"")</f>
        <v>0.3453152635906736</v>
      </c>
      <c r="F375" s="18">
        <f>IF(ISNUMBER(Volcanic!D375),Volcanic!D375,"")</f>
        <v>-1.64</v>
      </c>
      <c r="G375" s="18">
        <f>IF(ISNUMBER(Volcanic!E375),Volcanic!E375,"")</f>
        <v>7.7200000000000003E-3</v>
      </c>
      <c r="H375" s="18">
        <f t="shared" si="151"/>
        <v>0.11924263126869639</v>
      </c>
      <c r="I375" s="18">
        <f t="shared" si="152"/>
        <v>2.6895999999999995</v>
      </c>
      <c r="J375" s="18">
        <f t="shared" si="153"/>
        <v>5.9598400000000002E-5</v>
      </c>
      <c r="K375" s="18">
        <f t="shared" si="154"/>
        <v>-0.56631703228870467</v>
      </c>
      <c r="L375" s="18">
        <f t="shared" si="155"/>
        <v>2.6658338349200002E-3</v>
      </c>
      <c r="M375" s="18">
        <f t="shared" si="156"/>
        <v>-1.26608E-2</v>
      </c>
      <c r="N375" s="18">
        <f t="shared" si="158"/>
        <v>3.4255936172756504E-2</v>
      </c>
      <c r="O375" s="18">
        <f t="shared" si="161"/>
        <v>1.6402874870158162E-2</v>
      </c>
      <c r="P375" s="18">
        <f t="shared" si="163"/>
        <v>5.3119169861697308E-3</v>
      </c>
      <c r="Q375" s="18">
        <f t="shared" si="165"/>
        <v>7.8162391186345822E-3</v>
      </c>
      <c r="R375" s="18">
        <f t="shared" si="167"/>
        <v>6.3164401365668286E-3</v>
      </c>
      <c r="S375" s="18">
        <f t="shared" si="169"/>
        <v>4.3142336889767707E-2</v>
      </c>
      <c r="T375" s="18">
        <f t="shared" si="171"/>
        <v>4.121188911400956E-2</v>
      </c>
      <c r="U375" s="18">
        <f t="shared" si="173"/>
        <v>3.153431809535534E-2</v>
      </c>
      <c r="V375" s="18">
        <f t="shared" si="174"/>
        <v>1.7932922236777238E-3</v>
      </c>
      <c r="W375" s="18">
        <f t="shared" si="175"/>
        <v>3.8393430366851587E-3</v>
      </c>
      <c r="X375" s="18">
        <f t="shared" si="176"/>
        <v>3.6392271383707728E-3</v>
      </c>
      <c r="Y375" s="18">
        <f t="shared" si="177"/>
        <v>1.1544762242309008E-3</v>
      </c>
      <c r="AA375" s="18">
        <f t="shared" si="159"/>
        <v>-1.5426794630445689E-2</v>
      </c>
      <c r="AB375" s="18">
        <f t="shared" si="160"/>
        <v>2.3798599256994796E-4</v>
      </c>
      <c r="AC375" s="18">
        <f t="shared" si="162"/>
        <v>1.4565555887135864E-2</v>
      </c>
      <c r="AD375" s="18">
        <f t="shared" si="164"/>
        <v>2.7132478642277195E-2</v>
      </c>
      <c r="AE375" s="18">
        <f t="shared" si="166"/>
        <v>1.3767594239261013E-2</v>
      </c>
      <c r="AF375" s="18">
        <f t="shared" si="168"/>
        <v>1.6478914702924344E-2</v>
      </c>
      <c r="AG375" s="18">
        <f t="shared" si="170"/>
        <v>3.3823531062941961E-2</v>
      </c>
      <c r="AH375" s="18">
        <f t="shared" si="172"/>
        <v>1.1158732560400689E-2</v>
      </c>
      <c r="AJ375" s="18">
        <f>IF(ISNUMBER(Kernel!M375),Kernel!M375,"")</f>
        <v>7.4252490039105501E-2</v>
      </c>
      <c r="AK375" s="18">
        <f t="shared" si="157"/>
        <v>5.5134322770074616E-3</v>
      </c>
      <c r="AN375" s="18">
        <f>IF(ISNUMBER(Volcanic!G375),Volcanic!G375,"")</f>
        <v>5.8799999999999998E-3</v>
      </c>
    </row>
    <row r="376" spans="1:40">
      <c r="A376" s="18" t="str">
        <f>IF(Volcanic!A376="","",Volcanic!A376)</f>
        <v>5/1989</v>
      </c>
      <c r="B376" s="18">
        <f>IF(ISNUMBER(Volcanic!L376),Volcanic!L376,"")</f>
        <v>1989.375</v>
      </c>
      <c r="C376" s="18">
        <f>IF(ISNUMBER(Volcanic!J376),Volcanic!J376,"")</f>
        <v>-5.9696512853073175E-2</v>
      </c>
      <c r="D376" s="18">
        <f t="shared" si="150"/>
        <v>3.5636736468171309E-3</v>
      </c>
      <c r="E376" s="18">
        <f>IF(ISNUMBER(Volcanic!C376),Volcanic!C376,"")</f>
        <v>0.34624777408277535</v>
      </c>
      <c r="F376" s="18">
        <f>IF(ISNUMBER(Volcanic!D376),Volcanic!D376,"")</f>
        <v>-1.38</v>
      </c>
      <c r="G376" s="18">
        <f>IF(ISNUMBER(Volcanic!E376),Volcanic!E376,"")</f>
        <v>7.4200000000000004E-3</v>
      </c>
      <c r="H376" s="18">
        <f t="shared" si="151"/>
        <v>0.11988752105727664</v>
      </c>
      <c r="I376" s="18">
        <f t="shared" si="152"/>
        <v>1.9043999999999996</v>
      </c>
      <c r="J376" s="18">
        <f t="shared" si="153"/>
        <v>5.5056400000000004E-5</v>
      </c>
      <c r="K376" s="18">
        <f t="shared" si="154"/>
        <v>-0.47782192823422992</v>
      </c>
      <c r="L376" s="18">
        <f t="shared" si="155"/>
        <v>2.5691584836941934E-3</v>
      </c>
      <c r="M376" s="18">
        <f t="shared" si="156"/>
        <v>-1.02396E-2</v>
      </c>
      <c r="N376" s="18">
        <f t="shared" si="158"/>
        <v>6.0269836302848457E-3</v>
      </c>
      <c r="O376" s="18">
        <f t="shared" si="161"/>
        <v>3.4255936172756504E-2</v>
      </c>
      <c r="P376" s="18">
        <f t="shared" si="163"/>
        <v>1.6402874870158162E-2</v>
      </c>
      <c r="Q376" s="18">
        <f t="shared" si="165"/>
        <v>5.3119169861697308E-3</v>
      </c>
      <c r="R376" s="18">
        <f t="shared" si="167"/>
        <v>7.8162391186345822E-3</v>
      </c>
      <c r="S376" s="18">
        <f t="shared" si="169"/>
        <v>6.3164401365668286E-3</v>
      </c>
      <c r="T376" s="18">
        <f t="shared" si="171"/>
        <v>4.3142336889767707E-2</v>
      </c>
      <c r="U376" s="18">
        <f t="shared" si="173"/>
        <v>4.121188911400956E-2</v>
      </c>
      <c r="V376" s="18">
        <f t="shared" si="174"/>
        <v>3.153431809535534E-2</v>
      </c>
      <c r="W376" s="18">
        <f t="shared" si="175"/>
        <v>1.7932922236777238E-3</v>
      </c>
      <c r="X376" s="18">
        <f t="shared" si="176"/>
        <v>3.8393430366851587E-3</v>
      </c>
      <c r="Y376" s="18">
        <f t="shared" si="177"/>
        <v>3.6392271383707728E-3</v>
      </c>
      <c r="AA376" s="18">
        <f t="shared" si="159"/>
        <v>-9.8730885990411785E-2</v>
      </c>
      <c r="AB376" s="18">
        <f t="shared" si="160"/>
        <v>9.7477878484516899E-3</v>
      </c>
      <c r="AC376" s="18">
        <f t="shared" si="162"/>
        <v>2.3798599256994796E-4</v>
      </c>
      <c r="AD376" s="18">
        <f t="shared" si="164"/>
        <v>1.4565555887135864E-2</v>
      </c>
      <c r="AE376" s="18">
        <f t="shared" si="166"/>
        <v>2.7132478642277195E-2</v>
      </c>
      <c r="AF376" s="18">
        <f t="shared" si="168"/>
        <v>1.3767594239261013E-2</v>
      </c>
      <c r="AG376" s="18">
        <f t="shared" si="170"/>
        <v>1.6478914702924344E-2</v>
      </c>
      <c r="AH376" s="18">
        <f t="shared" si="172"/>
        <v>3.3823531062941961E-2</v>
      </c>
      <c r="AJ376" s="18">
        <f>IF(ISNUMBER(Kernel!M376),Kernel!M376,"")</f>
        <v>-4.8785720436067659E-2</v>
      </c>
      <c r="AK376" s="18">
        <f t="shared" si="157"/>
        <v>2.3800465184661496E-3</v>
      </c>
      <c r="AN376" s="18">
        <f>IF(ISNUMBER(Volcanic!G376),Volcanic!G376,"")</f>
        <v>5.7999999999999996E-3</v>
      </c>
    </row>
    <row r="377" spans="1:40">
      <c r="A377" s="18" t="str">
        <f>IF(Volcanic!A377="","",Volcanic!A377)</f>
        <v>6/1989</v>
      </c>
      <c r="B377" s="18">
        <f>IF(ISNUMBER(Volcanic!L377),Volcanic!L377,"")</f>
        <v>1989.4583333333333</v>
      </c>
      <c r="C377" s="18">
        <f>IF(ISNUMBER(Volcanic!J377),Volcanic!J377,"")</f>
        <v>-0.111471318506353</v>
      </c>
      <c r="D377" s="18">
        <f t="shared" si="150"/>
        <v>1.2425854849544797E-2</v>
      </c>
      <c r="E377" s="18">
        <f>IF(ISNUMBER(Volcanic!C377),Volcanic!C377,"")</f>
        <v>0.3441792192903127</v>
      </c>
      <c r="F377" s="18">
        <f>IF(ISNUMBER(Volcanic!D377),Volcanic!D377,"")</f>
        <v>-1.0900000000000001</v>
      </c>
      <c r="G377" s="18">
        <f>IF(ISNUMBER(Volcanic!E377),Volcanic!E377,"")</f>
        <v>7.1900000000000002E-3</v>
      </c>
      <c r="H377" s="18">
        <f t="shared" si="151"/>
        <v>0.11845933499128916</v>
      </c>
      <c r="I377" s="18">
        <f t="shared" si="152"/>
        <v>1.1881000000000002</v>
      </c>
      <c r="J377" s="18">
        <f t="shared" si="153"/>
        <v>5.1696100000000001E-5</v>
      </c>
      <c r="K377" s="18">
        <f t="shared" si="154"/>
        <v>-0.37515534902644088</v>
      </c>
      <c r="L377" s="18">
        <f t="shared" si="155"/>
        <v>2.4746485866973486E-3</v>
      </c>
      <c r="M377" s="18">
        <f t="shared" si="156"/>
        <v>-7.8371000000000014E-3</v>
      </c>
      <c r="N377" s="18">
        <f t="shared" si="158"/>
        <v>3.5636736468171309E-3</v>
      </c>
      <c r="O377" s="18">
        <f t="shared" si="161"/>
        <v>6.0269836302848457E-3</v>
      </c>
      <c r="P377" s="18">
        <f t="shared" si="163"/>
        <v>3.4255936172756504E-2</v>
      </c>
      <c r="Q377" s="18">
        <f t="shared" si="165"/>
        <v>1.6402874870158162E-2</v>
      </c>
      <c r="R377" s="18">
        <f t="shared" si="167"/>
        <v>5.3119169861697308E-3</v>
      </c>
      <c r="S377" s="18">
        <f t="shared" si="169"/>
        <v>7.8162391186345822E-3</v>
      </c>
      <c r="T377" s="18">
        <f t="shared" si="171"/>
        <v>6.3164401365668286E-3</v>
      </c>
      <c r="U377" s="18">
        <f t="shared" si="173"/>
        <v>4.3142336889767707E-2</v>
      </c>
      <c r="V377" s="18">
        <f t="shared" si="174"/>
        <v>4.121188911400956E-2</v>
      </c>
      <c r="W377" s="18">
        <f t="shared" si="175"/>
        <v>3.153431809535534E-2</v>
      </c>
      <c r="X377" s="18">
        <f t="shared" si="176"/>
        <v>1.7932922236777238E-3</v>
      </c>
      <c r="Y377" s="18">
        <f t="shared" si="177"/>
        <v>3.8393430366851587E-3</v>
      </c>
      <c r="AA377" s="18">
        <f t="shared" si="159"/>
        <v>-8.1455778154554612E-2</v>
      </c>
      <c r="AB377" s="18">
        <f t="shared" si="160"/>
        <v>6.6350437947640161E-3</v>
      </c>
      <c r="AC377" s="18">
        <f t="shared" si="162"/>
        <v>9.7477878484516899E-3</v>
      </c>
      <c r="AD377" s="18">
        <f t="shared" si="164"/>
        <v>2.3798599256994796E-4</v>
      </c>
      <c r="AE377" s="18">
        <f t="shared" si="166"/>
        <v>1.4565555887135864E-2</v>
      </c>
      <c r="AF377" s="18">
        <f t="shared" si="168"/>
        <v>2.7132478642277195E-2</v>
      </c>
      <c r="AG377" s="18">
        <f t="shared" si="170"/>
        <v>1.3767594239261013E-2</v>
      </c>
      <c r="AH377" s="18">
        <f t="shared" si="172"/>
        <v>1.6478914702924344E-2</v>
      </c>
      <c r="AJ377" s="18">
        <f>IF(ISNUMBER(Kernel!M377),Kernel!M377,"")</f>
        <v>-8.6711319431118566E-2</v>
      </c>
      <c r="AK377" s="18">
        <f t="shared" si="157"/>
        <v>7.5188529174854803E-3</v>
      </c>
      <c r="AN377" s="18">
        <f>IF(ISNUMBER(Volcanic!G377),Volcanic!G377,"")</f>
        <v>5.7400000000000003E-3</v>
      </c>
    </row>
    <row r="378" spans="1:40">
      <c r="A378" s="18" t="str">
        <f>IF(Volcanic!A378="","",Volcanic!A378)</f>
        <v>7/1989</v>
      </c>
      <c r="B378" s="18">
        <f>IF(ISNUMBER(Volcanic!L378),Volcanic!L378,"")</f>
        <v>1989.5416666666667</v>
      </c>
      <c r="C378" s="18">
        <f>IF(ISNUMBER(Volcanic!J378),Volcanic!J378,"")</f>
        <v>8.0861695158551905E-2</v>
      </c>
      <c r="D378" s="18">
        <f t="shared" si="150"/>
        <v>6.5386137439145762E-3</v>
      </c>
      <c r="E378" s="18">
        <f>IF(ISNUMBER(Volcanic!C378),Volcanic!C378,"")</f>
        <v>0.33852628923481626</v>
      </c>
      <c r="F378" s="18">
        <f>IF(ISNUMBER(Volcanic!D378),Volcanic!D378,"")</f>
        <v>-0.85</v>
      </c>
      <c r="G378" s="18">
        <f>IF(ISNUMBER(Volcanic!E378),Volcanic!E378,"")</f>
        <v>6.8199999999999997E-3</v>
      </c>
      <c r="H378" s="18">
        <f t="shared" si="151"/>
        <v>0.11460004850309448</v>
      </c>
      <c r="I378" s="18">
        <f t="shared" si="152"/>
        <v>0.72249999999999992</v>
      </c>
      <c r="J378" s="18">
        <f t="shared" si="153"/>
        <v>4.6512399999999999E-5</v>
      </c>
      <c r="K378" s="18">
        <f t="shared" si="154"/>
        <v>-0.28774734584959383</v>
      </c>
      <c r="L378" s="18">
        <f t="shared" si="155"/>
        <v>2.3087492925814466E-3</v>
      </c>
      <c r="M378" s="18">
        <f t="shared" si="156"/>
        <v>-5.7969999999999992E-3</v>
      </c>
      <c r="N378" s="18">
        <f t="shared" si="158"/>
        <v>1.2425854849544797E-2</v>
      </c>
      <c r="O378" s="18">
        <f t="shared" si="161"/>
        <v>3.5636736468171309E-3</v>
      </c>
      <c r="P378" s="18">
        <f t="shared" si="163"/>
        <v>6.0269836302848457E-3</v>
      </c>
      <c r="Q378" s="18">
        <f t="shared" si="165"/>
        <v>3.4255936172756504E-2</v>
      </c>
      <c r="R378" s="18">
        <f t="shared" si="167"/>
        <v>1.6402874870158162E-2</v>
      </c>
      <c r="S378" s="18">
        <f t="shared" si="169"/>
        <v>5.3119169861697308E-3</v>
      </c>
      <c r="T378" s="18">
        <f t="shared" si="171"/>
        <v>7.8162391186345822E-3</v>
      </c>
      <c r="U378" s="18">
        <f t="shared" si="173"/>
        <v>6.3164401365668286E-3</v>
      </c>
      <c r="V378" s="18">
        <f t="shared" si="174"/>
        <v>4.3142336889767707E-2</v>
      </c>
      <c r="W378" s="18">
        <f t="shared" si="175"/>
        <v>4.121188911400956E-2</v>
      </c>
      <c r="X378" s="18">
        <f t="shared" si="176"/>
        <v>3.153431809535534E-2</v>
      </c>
      <c r="Y378" s="18">
        <f t="shared" si="177"/>
        <v>1.7932922236777238E-3</v>
      </c>
      <c r="AA378" s="18">
        <f t="shared" si="159"/>
        <v>0.13690972374157095</v>
      </c>
      <c r="AB378" s="18">
        <f t="shared" si="160"/>
        <v>1.8744272454993278E-2</v>
      </c>
      <c r="AC378" s="18">
        <f t="shared" si="162"/>
        <v>6.6350437947640161E-3</v>
      </c>
      <c r="AD378" s="18">
        <f t="shared" si="164"/>
        <v>9.7477878484516899E-3</v>
      </c>
      <c r="AE378" s="18">
        <f t="shared" si="166"/>
        <v>2.3798599256994796E-4</v>
      </c>
      <c r="AF378" s="18">
        <f t="shared" si="168"/>
        <v>1.4565555887135864E-2</v>
      </c>
      <c r="AG378" s="18">
        <f t="shared" si="170"/>
        <v>2.7132478642277195E-2</v>
      </c>
      <c r="AH378" s="18">
        <f t="shared" si="172"/>
        <v>1.3767594239261013E-2</v>
      </c>
      <c r="AJ378" s="18">
        <f>IF(ISNUMBER(Kernel!M378),Kernel!M378,"")</f>
        <v>0.11640574949582086</v>
      </c>
      <c r="AK378" s="18">
        <f t="shared" si="157"/>
        <v>1.3550298515683798E-2</v>
      </c>
      <c r="AN378" s="18">
        <f>IF(ISNUMBER(Volcanic!G378),Volcanic!G378,"")</f>
        <v>5.64E-3</v>
      </c>
    </row>
    <row r="379" spans="1:40">
      <c r="A379" s="18" t="str">
        <f>IF(Volcanic!A379="","",Volcanic!A379)</f>
        <v>8/1989</v>
      </c>
      <c r="B379" s="18">
        <f>IF(ISNUMBER(Volcanic!L379),Volcanic!L379,"")</f>
        <v>1989.625</v>
      </c>
      <c r="C379" s="18">
        <f>IF(ISNUMBER(Volcanic!J379),Volcanic!J379,"")</f>
        <v>6.2569279542660505E-2</v>
      </c>
      <c r="D379" s="18">
        <f t="shared" si="150"/>
        <v>3.9149147424875942E-3</v>
      </c>
      <c r="E379" s="18">
        <f>IF(ISNUMBER(Volcanic!C379),Volcanic!C379,"")</f>
        <v>0.32949268213527677</v>
      </c>
      <c r="F379" s="18">
        <f>IF(ISNUMBER(Volcanic!D379),Volcanic!D379,"")</f>
        <v>-0.61</v>
      </c>
      <c r="G379" s="18">
        <f>IF(ISNUMBER(Volcanic!E379),Volcanic!E379,"")</f>
        <v>6.5199999999999998E-3</v>
      </c>
      <c r="H379" s="18">
        <f t="shared" si="151"/>
        <v>0.10856542758069854</v>
      </c>
      <c r="I379" s="18">
        <f t="shared" si="152"/>
        <v>0.37209999999999999</v>
      </c>
      <c r="J379" s="18">
        <f t="shared" si="153"/>
        <v>4.2510399999999999E-5</v>
      </c>
      <c r="K379" s="18">
        <f t="shared" si="154"/>
        <v>-0.20099053610251882</v>
      </c>
      <c r="L379" s="18">
        <f t="shared" si="155"/>
        <v>2.1482922875220045E-3</v>
      </c>
      <c r="M379" s="18">
        <f t="shared" si="156"/>
        <v>-3.9772000000000002E-3</v>
      </c>
      <c r="N379" s="18">
        <f t="shared" si="158"/>
        <v>6.5386137439145762E-3</v>
      </c>
      <c r="O379" s="18">
        <f t="shared" si="161"/>
        <v>1.2425854849544797E-2</v>
      </c>
      <c r="P379" s="18">
        <f t="shared" si="163"/>
        <v>3.5636736468171309E-3</v>
      </c>
      <c r="Q379" s="18">
        <f t="shared" si="165"/>
        <v>6.0269836302848457E-3</v>
      </c>
      <c r="R379" s="18">
        <f t="shared" si="167"/>
        <v>3.4255936172756504E-2</v>
      </c>
      <c r="S379" s="18">
        <f t="shared" si="169"/>
        <v>1.6402874870158162E-2</v>
      </c>
      <c r="T379" s="18">
        <f t="shared" si="171"/>
        <v>5.3119169861697308E-3</v>
      </c>
      <c r="U379" s="18">
        <f t="shared" si="173"/>
        <v>7.8162391186345822E-3</v>
      </c>
      <c r="V379" s="18">
        <f t="shared" si="174"/>
        <v>6.3164401365668286E-3</v>
      </c>
      <c r="W379" s="18">
        <f t="shared" si="175"/>
        <v>4.3142336889767707E-2</v>
      </c>
      <c r="X379" s="18">
        <f t="shared" si="176"/>
        <v>4.121188911400956E-2</v>
      </c>
      <c r="Y379" s="18">
        <f t="shared" si="177"/>
        <v>3.153431809535534E-2</v>
      </c>
      <c r="AA379" s="18">
        <f t="shared" si="159"/>
        <v>2.1911838128620062E-2</v>
      </c>
      <c r="AB379" s="18">
        <f t="shared" si="160"/>
        <v>4.8012865017484796E-4</v>
      </c>
      <c r="AC379" s="18">
        <f t="shared" si="162"/>
        <v>1.8744272454993278E-2</v>
      </c>
      <c r="AD379" s="18">
        <f t="shared" si="164"/>
        <v>6.6350437947640161E-3</v>
      </c>
      <c r="AE379" s="18">
        <f t="shared" si="166"/>
        <v>9.7477878484516899E-3</v>
      </c>
      <c r="AF379" s="18">
        <f t="shared" si="168"/>
        <v>2.3798599256994796E-4</v>
      </c>
      <c r="AG379" s="18">
        <f t="shared" si="170"/>
        <v>1.4565555887135864E-2</v>
      </c>
      <c r="AH379" s="18">
        <f t="shared" si="172"/>
        <v>2.7132478642277195E-2</v>
      </c>
      <c r="AJ379" s="18">
        <f>IF(ISNUMBER(Kernel!M379),Kernel!M379,"")</f>
        <v>0.11028599201260836</v>
      </c>
      <c r="AK379" s="18">
        <f t="shared" si="157"/>
        <v>1.2163000034205115E-2</v>
      </c>
      <c r="AN379" s="18">
        <f>IF(ISNUMBER(Volcanic!G379),Volcanic!G379,"")</f>
        <v>5.7000000000000002E-3</v>
      </c>
    </row>
    <row r="380" spans="1:40">
      <c r="A380" s="18" t="str">
        <f>IF(Volcanic!A380="","",Volcanic!A380)</f>
        <v>9/1989</v>
      </c>
      <c r="B380" s="18">
        <f>IF(ISNUMBER(Volcanic!L380),Volcanic!L380,"")</f>
        <v>1989.7083333333333</v>
      </c>
      <c r="C380" s="18">
        <f>IF(ISNUMBER(Volcanic!J380),Volcanic!J380,"")</f>
        <v>8.2350434040686982E-2</v>
      </c>
      <c r="D380" s="18">
        <f t="shared" si="150"/>
        <v>6.7815939866895372E-3</v>
      </c>
      <c r="E380" s="18">
        <f>IF(ISNUMBER(Volcanic!C380),Volcanic!C380,"")</f>
        <v>0.32229902592307286</v>
      </c>
      <c r="F380" s="18">
        <f>IF(ISNUMBER(Volcanic!D380),Volcanic!D380,"")</f>
        <v>-0.4</v>
      </c>
      <c r="G380" s="18">
        <f>IF(ISNUMBER(Volcanic!E380),Volcanic!E380,"")</f>
        <v>6.3600000000000002E-3</v>
      </c>
      <c r="H380" s="18">
        <f t="shared" si="151"/>
        <v>0.1038766621109616</v>
      </c>
      <c r="I380" s="18">
        <f t="shared" si="152"/>
        <v>0.16000000000000003</v>
      </c>
      <c r="J380" s="18">
        <f t="shared" si="153"/>
        <v>4.04496E-5</v>
      </c>
      <c r="K380" s="18">
        <f t="shared" si="154"/>
        <v>-0.12891961036922914</v>
      </c>
      <c r="L380" s="18">
        <f t="shared" si="155"/>
        <v>2.0498218048707433E-3</v>
      </c>
      <c r="M380" s="18">
        <f t="shared" si="156"/>
        <v>-2.5440000000000003E-3</v>
      </c>
      <c r="N380" s="18">
        <f t="shared" si="158"/>
        <v>3.9149147424875942E-3</v>
      </c>
      <c r="O380" s="18">
        <f t="shared" si="161"/>
        <v>6.5386137439145762E-3</v>
      </c>
      <c r="P380" s="18">
        <f t="shared" si="163"/>
        <v>1.2425854849544797E-2</v>
      </c>
      <c r="Q380" s="18">
        <f t="shared" si="165"/>
        <v>3.5636736468171309E-3</v>
      </c>
      <c r="R380" s="18">
        <f t="shared" si="167"/>
        <v>6.0269836302848457E-3</v>
      </c>
      <c r="S380" s="18">
        <f t="shared" si="169"/>
        <v>3.4255936172756504E-2</v>
      </c>
      <c r="T380" s="18">
        <f t="shared" si="171"/>
        <v>1.6402874870158162E-2</v>
      </c>
      <c r="U380" s="18">
        <f t="shared" si="173"/>
        <v>5.3119169861697308E-3</v>
      </c>
      <c r="V380" s="18">
        <f t="shared" si="174"/>
        <v>7.8162391186345822E-3</v>
      </c>
      <c r="W380" s="18">
        <f t="shared" si="175"/>
        <v>6.3164401365668286E-3</v>
      </c>
      <c r="X380" s="18">
        <f t="shared" si="176"/>
        <v>4.3142336889767707E-2</v>
      </c>
      <c r="Y380" s="18">
        <f t="shared" si="177"/>
        <v>4.121188911400956E-2</v>
      </c>
      <c r="AA380" s="18">
        <f t="shared" si="159"/>
        <v>5.0890460163854449E-2</v>
      </c>
      <c r="AB380" s="18">
        <f t="shared" si="160"/>
        <v>2.5898389356888568E-3</v>
      </c>
      <c r="AC380" s="18">
        <f t="shared" si="162"/>
        <v>4.8012865017484796E-4</v>
      </c>
      <c r="AD380" s="18">
        <f t="shared" si="164"/>
        <v>1.8744272454993278E-2</v>
      </c>
      <c r="AE380" s="18">
        <f t="shared" si="166"/>
        <v>6.6350437947640161E-3</v>
      </c>
      <c r="AF380" s="18">
        <f t="shared" si="168"/>
        <v>9.7477878484516899E-3</v>
      </c>
      <c r="AG380" s="18">
        <f t="shared" si="170"/>
        <v>2.3798599256994796E-4</v>
      </c>
      <c r="AH380" s="18">
        <f t="shared" si="172"/>
        <v>1.4565555887135864E-2</v>
      </c>
      <c r="AJ380" s="18">
        <f>IF(ISNUMBER(Kernel!M380),Kernel!M380,"")</f>
        <v>0.14014280208521371</v>
      </c>
      <c r="AK380" s="18">
        <f t="shared" si="157"/>
        <v>1.964000497629538E-2</v>
      </c>
      <c r="AN380" s="18">
        <f>IF(ISNUMBER(Volcanic!G380),Volcanic!G380,"")</f>
        <v>5.79E-3</v>
      </c>
    </row>
    <row r="381" spans="1:40">
      <c r="A381" s="18" t="str">
        <f>IF(Volcanic!A381="","",Volcanic!A381)</f>
        <v>10/1989</v>
      </c>
      <c r="B381" s="18">
        <f>IF(ISNUMBER(Volcanic!L381),Volcanic!L381,"")</f>
        <v>1989.7916666666667</v>
      </c>
      <c r="C381" s="18">
        <f>IF(ISNUMBER(Volcanic!J381),Volcanic!J381,"")</f>
        <v>1.6011885427023309E-2</v>
      </c>
      <c r="D381" s="18">
        <f t="shared" si="150"/>
        <v>2.5638047492812142E-4</v>
      </c>
      <c r="E381" s="18">
        <f>IF(ISNUMBER(Volcanic!C381),Volcanic!C381,"")</f>
        <v>0.32328770935119977</v>
      </c>
      <c r="F381" s="18">
        <f>IF(ISNUMBER(Volcanic!D381),Volcanic!D381,"")</f>
        <v>-0.37</v>
      </c>
      <c r="G381" s="18">
        <f>IF(ISNUMBER(Volcanic!E381),Volcanic!E381,"")</f>
        <v>5.9699999999999996E-3</v>
      </c>
      <c r="H381" s="18">
        <f t="shared" si="151"/>
        <v>0.10451494301754582</v>
      </c>
      <c r="I381" s="18">
        <f t="shared" si="152"/>
        <v>0.13689999999999999</v>
      </c>
      <c r="J381" s="18">
        <f t="shared" si="153"/>
        <v>3.5640899999999993E-5</v>
      </c>
      <c r="K381" s="18">
        <f t="shared" si="154"/>
        <v>-0.11961645245994391</v>
      </c>
      <c r="L381" s="18">
        <f t="shared" si="155"/>
        <v>1.9300276248266626E-3</v>
      </c>
      <c r="M381" s="18">
        <f t="shared" si="156"/>
        <v>-2.2088999999999998E-3</v>
      </c>
      <c r="N381" s="18">
        <f t="shared" si="158"/>
        <v>6.7815939866895372E-3</v>
      </c>
      <c r="O381" s="18">
        <f t="shared" si="161"/>
        <v>3.9149147424875942E-3</v>
      </c>
      <c r="P381" s="18">
        <f t="shared" si="163"/>
        <v>6.5386137439145762E-3</v>
      </c>
      <c r="Q381" s="18">
        <f t="shared" si="165"/>
        <v>1.2425854849544797E-2</v>
      </c>
      <c r="R381" s="18">
        <f t="shared" si="167"/>
        <v>3.5636736468171309E-3</v>
      </c>
      <c r="S381" s="18">
        <f t="shared" si="169"/>
        <v>6.0269836302848457E-3</v>
      </c>
      <c r="T381" s="18">
        <f t="shared" si="171"/>
        <v>3.4255936172756504E-2</v>
      </c>
      <c r="U381" s="18">
        <f t="shared" si="173"/>
        <v>1.6402874870158162E-2</v>
      </c>
      <c r="V381" s="18">
        <f t="shared" si="174"/>
        <v>5.3119169861697308E-3</v>
      </c>
      <c r="W381" s="18">
        <f t="shared" si="175"/>
        <v>7.8162391186345822E-3</v>
      </c>
      <c r="X381" s="18">
        <f t="shared" si="176"/>
        <v>6.3164401365668286E-3</v>
      </c>
      <c r="Y381" s="18">
        <f t="shared" si="177"/>
        <v>4.3142336889767707E-2</v>
      </c>
      <c r="AA381" s="18">
        <f t="shared" si="159"/>
        <v>-2.5394097230958756E-2</v>
      </c>
      <c r="AB381" s="18">
        <f t="shared" si="160"/>
        <v>6.4486017417538714E-4</v>
      </c>
      <c r="AC381" s="18">
        <f t="shared" si="162"/>
        <v>2.5898389356888568E-3</v>
      </c>
      <c r="AD381" s="18">
        <f t="shared" si="164"/>
        <v>4.8012865017484796E-4</v>
      </c>
      <c r="AE381" s="18">
        <f t="shared" si="166"/>
        <v>1.8744272454993278E-2</v>
      </c>
      <c r="AF381" s="18">
        <f t="shared" si="168"/>
        <v>6.6350437947640161E-3</v>
      </c>
      <c r="AG381" s="18">
        <f t="shared" si="170"/>
        <v>9.7477878484516899E-3</v>
      </c>
      <c r="AH381" s="18">
        <f t="shared" si="172"/>
        <v>2.3798599256994796E-4</v>
      </c>
      <c r="AJ381" s="18">
        <f>IF(ISNUMBER(Kernel!M381),Kernel!M381,"")</f>
        <v>6.7549452029766754E-2</v>
      </c>
      <c r="AK381" s="18">
        <f t="shared" si="157"/>
        <v>4.56292846952176E-3</v>
      </c>
      <c r="AN381" s="18">
        <f>IF(ISNUMBER(Volcanic!G381),Volcanic!G381,"")</f>
        <v>5.6899999999999997E-3</v>
      </c>
    </row>
    <row r="382" spans="1:40">
      <c r="A382" s="18" t="str">
        <f>IF(Volcanic!A382="","",Volcanic!A382)</f>
        <v>11/1989</v>
      </c>
      <c r="B382" s="18">
        <f>IF(ISNUMBER(Volcanic!L382),Volcanic!L382,"")</f>
        <v>1989.875</v>
      </c>
      <c r="C382" s="18">
        <f>IF(ISNUMBER(Volcanic!J382),Volcanic!J382,"")</f>
        <v>-8.8793113528263412E-2</v>
      </c>
      <c r="D382" s="18">
        <f t="shared" si="150"/>
        <v>7.8842170100430747E-3</v>
      </c>
      <c r="E382" s="18">
        <f>IF(ISNUMBER(Volcanic!C382),Volcanic!C382,"")</f>
        <v>0.32830306731117204</v>
      </c>
      <c r="F382" s="18">
        <f>IF(ISNUMBER(Volcanic!D382),Volcanic!D382,"")</f>
        <v>-0.36</v>
      </c>
      <c r="G382" s="18">
        <f>IF(ISNUMBER(Volcanic!E382),Volcanic!E382,"")</f>
        <v>5.8799999999999998E-3</v>
      </c>
      <c r="H382" s="18">
        <f t="shared" si="151"/>
        <v>0.10778290400592395</v>
      </c>
      <c r="I382" s="18">
        <f t="shared" si="152"/>
        <v>0.12959999999999999</v>
      </c>
      <c r="J382" s="18">
        <f t="shared" si="153"/>
        <v>3.4574399999999999E-5</v>
      </c>
      <c r="K382" s="18">
        <f t="shared" si="154"/>
        <v>-0.11818910423202193</v>
      </c>
      <c r="L382" s="18">
        <f t="shared" si="155"/>
        <v>1.9304220357896915E-3</v>
      </c>
      <c r="M382" s="18">
        <f t="shared" si="156"/>
        <v>-2.1167999999999998E-3</v>
      </c>
      <c r="N382" s="18">
        <f t="shared" si="158"/>
        <v>2.5638047492812142E-4</v>
      </c>
      <c r="O382" s="18">
        <f t="shared" si="161"/>
        <v>6.7815939866895372E-3</v>
      </c>
      <c r="P382" s="18">
        <f t="shared" si="163"/>
        <v>3.9149147424875942E-3</v>
      </c>
      <c r="Q382" s="18">
        <f t="shared" si="165"/>
        <v>6.5386137439145762E-3</v>
      </c>
      <c r="R382" s="18">
        <f t="shared" si="167"/>
        <v>1.2425854849544797E-2</v>
      </c>
      <c r="S382" s="18">
        <f t="shared" si="169"/>
        <v>3.5636736468171309E-3</v>
      </c>
      <c r="T382" s="18">
        <f t="shared" si="171"/>
        <v>6.0269836302848457E-3</v>
      </c>
      <c r="U382" s="18">
        <f t="shared" si="173"/>
        <v>3.4255936172756504E-2</v>
      </c>
      <c r="V382" s="18">
        <f t="shared" si="174"/>
        <v>1.6402874870158162E-2</v>
      </c>
      <c r="W382" s="18">
        <f t="shared" si="175"/>
        <v>5.3119169861697308E-3</v>
      </c>
      <c r="X382" s="18">
        <f t="shared" si="176"/>
        <v>7.8162391186345822E-3</v>
      </c>
      <c r="Y382" s="18">
        <f t="shared" si="177"/>
        <v>6.3164401365668286E-3</v>
      </c>
      <c r="AA382" s="18">
        <f t="shared" si="159"/>
        <v>-9.6843925379301865E-2</v>
      </c>
      <c r="AB382" s="18">
        <f t="shared" si="160"/>
        <v>9.3787458828717887E-3</v>
      </c>
      <c r="AC382" s="18">
        <f t="shared" si="162"/>
        <v>6.4486017417538714E-4</v>
      </c>
      <c r="AD382" s="18">
        <f t="shared" si="164"/>
        <v>2.5898389356888568E-3</v>
      </c>
      <c r="AE382" s="18">
        <f t="shared" si="166"/>
        <v>4.8012865017484796E-4</v>
      </c>
      <c r="AF382" s="18">
        <f t="shared" si="168"/>
        <v>1.8744272454993278E-2</v>
      </c>
      <c r="AG382" s="18">
        <f t="shared" si="170"/>
        <v>6.6350437947640161E-3</v>
      </c>
      <c r="AH382" s="18">
        <f t="shared" si="172"/>
        <v>9.7477878484516899E-3</v>
      </c>
      <c r="AJ382" s="18">
        <f>IF(ISNUMBER(Kernel!M382),Kernel!M382,"")</f>
        <v>-4.7313439787701639E-2</v>
      </c>
      <c r="AK382" s="18">
        <f t="shared" si="157"/>
        <v>2.2385615845444684E-3</v>
      </c>
      <c r="AN382" s="18">
        <f>IF(ISNUMBER(Volcanic!G382),Volcanic!G382,"")</f>
        <v>5.4999999999999997E-3</v>
      </c>
    </row>
    <row r="383" spans="1:40">
      <c r="A383" s="18" t="str">
        <f>IF(Volcanic!A383="","",Volcanic!A383)</f>
        <v>12/1989</v>
      </c>
      <c r="B383" s="18">
        <f>IF(ISNUMBER(Volcanic!L383),Volcanic!L383,"")</f>
        <v>1989.9583333333333</v>
      </c>
      <c r="C383" s="18">
        <f>IF(ISNUMBER(Volcanic!J383),Volcanic!J383,"")</f>
        <v>6.3054110557431431E-2</v>
      </c>
      <c r="D383" s="18">
        <f t="shared" si="150"/>
        <v>3.9758208581887862E-3</v>
      </c>
      <c r="E383" s="18">
        <f>IF(ISNUMBER(Volcanic!C383),Volcanic!C383,"")</f>
        <v>0.33387348349714652</v>
      </c>
      <c r="F383" s="18">
        <f>IF(ISNUMBER(Volcanic!D383),Volcanic!D383,"")</f>
        <v>-0.33</v>
      </c>
      <c r="G383" s="18">
        <f>IF(ISNUMBER(Volcanic!E383),Volcanic!E383,"")</f>
        <v>5.7999999999999996E-3</v>
      </c>
      <c r="H383" s="18">
        <f t="shared" si="151"/>
        <v>0.11147150298251937</v>
      </c>
      <c r="I383" s="18">
        <f t="shared" si="152"/>
        <v>0.10890000000000001</v>
      </c>
      <c r="J383" s="18">
        <f t="shared" si="153"/>
        <v>3.3639999999999996E-5</v>
      </c>
      <c r="K383" s="18">
        <f t="shared" si="154"/>
        <v>-0.11017824955405836</v>
      </c>
      <c r="L383" s="18">
        <f t="shared" si="155"/>
        <v>1.9364662042834497E-3</v>
      </c>
      <c r="M383" s="18">
        <f t="shared" si="156"/>
        <v>-1.9139999999999999E-3</v>
      </c>
      <c r="N383" s="18">
        <f t="shared" si="158"/>
        <v>7.8842170100430747E-3</v>
      </c>
      <c r="O383" s="18">
        <f t="shared" si="161"/>
        <v>2.5638047492812142E-4</v>
      </c>
      <c r="P383" s="18">
        <f t="shared" si="163"/>
        <v>6.7815939866895372E-3</v>
      </c>
      <c r="Q383" s="18">
        <f t="shared" si="165"/>
        <v>3.9149147424875942E-3</v>
      </c>
      <c r="R383" s="18">
        <f t="shared" si="167"/>
        <v>6.5386137439145762E-3</v>
      </c>
      <c r="S383" s="18">
        <f t="shared" si="169"/>
        <v>1.2425854849544797E-2</v>
      </c>
      <c r="T383" s="18">
        <f t="shared" si="171"/>
        <v>3.5636736468171309E-3</v>
      </c>
      <c r="U383" s="18">
        <f t="shared" si="173"/>
        <v>6.0269836302848457E-3</v>
      </c>
      <c r="V383" s="18">
        <f t="shared" si="174"/>
        <v>3.4255936172756504E-2</v>
      </c>
      <c r="W383" s="18">
        <f t="shared" si="175"/>
        <v>1.6402874870158162E-2</v>
      </c>
      <c r="X383" s="18">
        <f t="shared" si="176"/>
        <v>5.3119169861697308E-3</v>
      </c>
      <c r="Y383" s="18">
        <f t="shared" si="177"/>
        <v>7.8162391186345822E-3</v>
      </c>
      <c r="AA383" s="18">
        <f t="shared" si="159"/>
        <v>0.10769948689003245</v>
      </c>
      <c r="AB383" s="18">
        <f t="shared" si="160"/>
        <v>1.1599179476376271E-2</v>
      </c>
      <c r="AC383" s="18">
        <f t="shared" si="162"/>
        <v>9.3787458828717887E-3</v>
      </c>
      <c r="AD383" s="18">
        <f t="shared" si="164"/>
        <v>6.4486017417538714E-4</v>
      </c>
      <c r="AE383" s="18">
        <f t="shared" si="166"/>
        <v>2.5898389356888568E-3</v>
      </c>
      <c r="AF383" s="18">
        <f t="shared" si="168"/>
        <v>4.8012865017484796E-4</v>
      </c>
      <c r="AG383" s="18">
        <f t="shared" si="170"/>
        <v>1.8744272454993278E-2</v>
      </c>
      <c r="AH383" s="18">
        <f t="shared" si="172"/>
        <v>6.6350437947640161E-3</v>
      </c>
      <c r="AJ383" s="18">
        <f>IF(ISNUMBER(Kernel!M383),Kernel!M383,"")</f>
        <v>9.6257935984327136E-2</v>
      </c>
      <c r="AK383" s="18">
        <f t="shared" si="157"/>
        <v>9.2655902399628211E-3</v>
      </c>
      <c r="AN383" s="18">
        <f>IF(ISNUMBER(Volcanic!G383),Volcanic!G383,"")</f>
        <v>5.3899999999999998E-3</v>
      </c>
    </row>
    <row r="384" spans="1:40">
      <c r="A384" s="18" t="str">
        <f>IF(Volcanic!A384="","",Volcanic!A384)</f>
        <v>1/1990</v>
      </c>
      <c r="B384" s="18">
        <f>IF(ISNUMBER(Volcanic!L384),Volcanic!L384,"")</f>
        <v>1990.0416666666667</v>
      </c>
      <c r="C384" s="18">
        <f>IF(ISNUMBER(Volcanic!J384),Volcanic!J384,"")</f>
        <v>9.4920495753316292E-2</v>
      </c>
      <c r="D384" s="18">
        <f t="shared" si="150"/>
        <v>9.009900514055336E-3</v>
      </c>
      <c r="E384" s="18">
        <f>IF(ISNUMBER(Volcanic!C384),Volcanic!C384,"")</f>
        <v>0.33775186292539572</v>
      </c>
      <c r="F384" s="18">
        <f>IF(ISNUMBER(Volcanic!D384),Volcanic!D384,"")</f>
        <v>-0.25</v>
      </c>
      <c r="G384" s="18">
        <f>IF(ISNUMBER(Volcanic!E384),Volcanic!E384,"")</f>
        <v>5.7400000000000003E-3</v>
      </c>
      <c r="H384" s="18">
        <f t="shared" si="151"/>
        <v>0.1140763209095753</v>
      </c>
      <c r="I384" s="18">
        <f t="shared" si="152"/>
        <v>6.25E-2</v>
      </c>
      <c r="J384" s="18">
        <f t="shared" si="153"/>
        <v>3.2947600000000003E-5</v>
      </c>
      <c r="K384" s="18">
        <f t="shared" si="154"/>
        <v>-8.443796573134893E-2</v>
      </c>
      <c r="L384" s="18">
        <f t="shared" si="155"/>
        <v>1.9386956931917716E-3</v>
      </c>
      <c r="M384" s="18">
        <f t="shared" si="156"/>
        <v>-1.4350000000000001E-3</v>
      </c>
      <c r="N384" s="18">
        <f t="shared" si="158"/>
        <v>3.9758208581887862E-3</v>
      </c>
      <c r="O384" s="18">
        <f t="shared" si="161"/>
        <v>7.8842170100430747E-3</v>
      </c>
      <c r="P384" s="18">
        <f t="shared" si="163"/>
        <v>2.5638047492812142E-4</v>
      </c>
      <c r="Q384" s="18">
        <f t="shared" si="165"/>
        <v>6.7815939866895372E-3</v>
      </c>
      <c r="R384" s="18">
        <f t="shared" si="167"/>
        <v>3.9149147424875942E-3</v>
      </c>
      <c r="S384" s="18">
        <f t="shared" si="169"/>
        <v>6.5386137439145762E-3</v>
      </c>
      <c r="T384" s="18">
        <f t="shared" si="171"/>
        <v>1.2425854849544797E-2</v>
      </c>
      <c r="U384" s="18">
        <f t="shared" si="173"/>
        <v>3.5636736468171309E-3</v>
      </c>
      <c r="V384" s="18">
        <f t="shared" si="174"/>
        <v>6.0269836302848457E-3</v>
      </c>
      <c r="W384" s="18">
        <f t="shared" si="175"/>
        <v>3.4255936172756504E-2</v>
      </c>
      <c r="X384" s="18">
        <f t="shared" si="176"/>
        <v>1.6402874870158162E-2</v>
      </c>
      <c r="Y384" s="18">
        <f t="shared" si="177"/>
        <v>5.3119169861697308E-3</v>
      </c>
      <c r="AA384" s="18">
        <f t="shared" si="159"/>
        <v>6.3216747756486558E-2</v>
      </c>
      <c r="AB384" s="18">
        <f t="shared" si="160"/>
        <v>3.9963571969072482E-3</v>
      </c>
      <c r="AC384" s="18">
        <f t="shared" si="162"/>
        <v>1.1599179476376271E-2</v>
      </c>
      <c r="AD384" s="18">
        <f t="shared" si="164"/>
        <v>9.3787458828717887E-3</v>
      </c>
      <c r="AE384" s="18">
        <f t="shared" si="166"/>
        <v>6.4486017417538714E-4</v>
      </c>
      <c r="AF384" s="18">
        <f t="shared" si="168"/>
        <v>2.5898389356888568E-3</v>
      </c>
      <c r="AG384" s="18">
        <f t="shared" si="170"/>
        <v>4.8012865017484796E-4</v>
      </c>
      <c r="AH384" s="18">
        <f t="shared" si="172"/>
        <v>1.8744272454993278E-2</v>
      </c>
      <c r="AJ384" s="18">
        <f>IF(ISNUMBER(Kernel!M384),Kernel!M384,"")</f>
        <v>0.12130688636610243</v>
      </c>
      <c r="AK384" s="18">
        <f t="shared" si="157"/>
        <v>1.4715360679838488E-2</v>
      </c>
      <c r="AN384" s="18">
        <f>IF(ISNUMBER(Volcanic!G384),Volcanic!G384,"")</f>
        <v>5.2399999999999999E-3</v>
      </c>
    </row>
    <row r="385" spans="1:40">
      <c r="A385" s="18" t="str">
        <f>IF(Volcanic!A385="","",Volcanic!A385)</f>
        <v>2/1990</v>
      </c>
      <c r="B385" s="18">
        <f>IF(ISNUMBER(Volcanic!L385),Volcanic!L385,"")</f>
        <v>1990.125</v>
      </c>
      <c r="C385" s="18">
        <f>IF(ISNUMBER(Volcanic!J385),Volcanic!J385,"")</f>
        <v>8.8872689422823004E-2</v>
      </c>
      <c r="D385" s="18">
        <f t="shared" si="150"/>
        <v>7.8983549252455553E-3</v>
      </c>
      <c r="E385" s="18">
        <f>IF(ISNUMBER(Volcanic!C385),Volcanic!C385,"")</f>
        <v>0.34279853318864284</v>
      </c>
      <c r="F385" s="18">
        <f>IF(ISNUMBER(Volcanic!D385),Volcanic!D385,"")</f>
        <v>-0.12</v>
      </c>
      <c r="G385" s="18">
        <f>IF(ISNUMBER(Volcanic!E385),Volcanic!E385,"")</f>
        <v>5.64E-3</v>
      </c>
      <c r="H385" s="18">
        <f t="shared" si="151"/>
        <v>0.11751083435628507</v>
      </c>
      <c r="I385" s="18">
        <f t="shared" si="152"/>
        <v>1.44E-2</v>
      </c>
      <c r="J385" s="18">
        <f t="shared" si="153"/>
        <v>3.1809600000000001E-5</v>
      </c>
      <c r="K385" s="18">
        <f t="shared" si="154"/>
        <v>-4.113582398263714E-2</v>
      </c>
      <c r="L385" s="18">
        <f t="shared" si="155"/>
        <v>1.9333837271839455E-3</v>
      </c>
      <c r="M385" s="18">
        <f t="shared" si="156"/>
        <v>-6.7679999999999997E-4</v>
      </c>
      <c r="N385" s="18">
        <f t="shared" si="158"/>
        <v>9.009900514055336E-3</v>
      </c>
      <c r="O385" s="18">
        <f t="shared" si="161"/>
        <v>3.9758208581887862E-3</v>
      </c>
      <c r="P385" s="18">
        <f t="shared" si="163"/>
        <v>7.8842170100430747E-3</v>
      </c>
      <c r="Q385" s="18">
        <f t="shared" si="165"/>
        <v>2.5638047492812142E-4</v>
      </c>
      <c r="R385" s="18">
        <f t="shared" si="167"/>
        <v>6.7815939866895372E-3</v>
      </c>
      <c r="S385" s="18">
        <f t="shared" si="169"/>
        <v>3.9149147424875942E-3</v>
      </c>
      <c r="T385" s="18">
        <f t="shared" si="171"/>
        <v>6.5386137439145762E-3</v>
      </c>
      <c r="U385" s="18">
        <f t="shared" si="173"/>
        <v>1.2425854849544797E-2</v>
      </c>
      <c r="V385" s="18">
        <f t="shared" si="174"/>
        <v>3.5636736468171309E-3</v>
      </c>
      <c r="W385" s="18">
        <f t="shared" si="175"/>
        <v>6.0269836302848457E-3</v>
      </c>
      <c r="X385" s="18">
        <f t="shared" si="176"/>
        <v>3.4255936172756504E-2</v>
      </c>
      <c r="Y385" s="18">
        <f t="shared" si="177"/>
        <v>1.6402874870158162E-2</v>
      </c>
      <c r="AA385" s="18">
        <f t="shared" si="159"/>
        <v>4.114645158530246E-2</v>
      </c>
      <c r="AB385" s="18">
        <f t="shared" si="160"/>
        <v>1.6930304780616392E-3</v>
      </c>
      <c r="AC385" s="18">
        <f t="shared" si="162"/>
        <v>3.9963571969072482E-3</v>
      </c>
      <c r="AD385" s="18">
        <f t="shared" si="164"/>
        <v>1.1599179476376271E-2</v>
      </c>
      <c r="AE385" s="18">
        <f t="shared" si="166"/>
        <v>9.3787458828717887E-3</v>
      </c>
      <c r="AF385" s="18">
        <f t="shared" si="168"/>
        <v>6.4486017417538714E-4</v>
      </c>
      <c r="AG385" s="18">
        <f t="shared" si="170"/>
        <v>2.5898389356888568E-3</v>
      </c>
      <c r="AH385" s="18">
        <f t="shared" si="172"/>
        <v>4.8012865017484796E-4</v>
      </c>
      <c r="AJ385" s="18">
        <f>IF(ISNUMBER(Kernel!M385),Kernel!M385,"")</f>
        <v>0.11517788338170082</v>
      </c>
      <c r="AK385" s="18">
        <f t="shared" si="157"/>
        <v>1.3265944820288674E-2</v>
      </c>
      <c r="AN385" s="18">
        <f>IF(ISNUMBER(Volcanic!G385),Volcanic!G385,"")</f>
        <v>5.2900000000000004E-3</v>
      </c>
    </row>
    <row r="386" spans="1:40">
      <c r="A386" s="18" t="str">
        <f>IF(Volcanic!A386="","",Volcanic!A386)</f>
        <v>3/1990</v>
      </c>
      <c r="B386" s="18">
        <f>IF(ISNUMBER(Volcanic!L386),Volcanic!L386,"")</f>
        <v>1990.2083333333333</v>
      </c>
      <c r="C386" s="18">
        <f>IF(ISNUMBER(Volcanic!J386),Volcanic!J386,"")</f>
        <v>0.43438507871024529</v>
      </c>
      <c r="D386" s="18">
        <f t="shared" ref="D386:D449" si="178">IF(ISNUMBER(C386),C386^2,"")</f>
        <v>0.18869039660610598</v>
      </c>
      <c r="E386" s="18">
        <f>IF(ISNUMBER(Volcanic!C386),Volcanic!C386,"")</f>
        <v>0.34543692958151601</v>
      </c>
      <c r="F386" s="18">
        <f>IF(ISNUMBER(Volcanic!D386),Volcanic!D386,"")</f>
        <v>-0.04</v>
      </c>
      <c r="G386" s="18">
        <f>IF(ISNUMBER(Volcanic!E386),Volcanic!E386,"")</f>
        <v>5.7000000000000002E-3</v>
      </c>
      <c r="H386" s="18">
        <f t="shared" ref="H386:H449" si="179">IF(ISNUMBER(E386),E386^2,"")</f>
        <v>0.11932667231870525</v>
      </c>
      <c r="I386" s="18">
        <f t="shared" ref="I386:I449" si="180">IF(ISNUMBER(F386),F386^2,"")</f>
        <v>1.6000000000000001E-3</v>
      </c>
      <c r="J386" s="18">
        <f t="shared" ref="J386:J449" si="181">IF(ISNUMBER(G386),G386^2,"")</f>
        <v>3.2490000000000002E-5</v>
      </c>
      <c r="K386" s="18">
        <f t="shared" ref="K386:K449" si="182">IF(AND(ISNUMBER(E386),ISNUMBER(F386)),E386*F386,"")</f>
        <v>-1.3817477183260641E-2</v>
      </c>
      <c r="L386" s="18">
        <f t="shared" ref="L386:L449" si="183">IF(AND(ISNUMBER(E386),ISNUMBER(G386)),E386*G386,"")</f>
        <v>1.9689904986146412E-3</v>
      </c>
      <c r="M386" s="18">
        <f t="shared" ref="M386:M449" si="184">IF(AND(ISNUMBER(F386),ISNUMBER(G386)),F386*G386,"")</f>
        <v>-2.2800000000000001E-4</v>
      </c>
      <c r="N386" s="18">
        <f t="shared" si="158"/>
        <v>7.8983549252455553E-3</v>
      </c>
      <c r="O386" s="18">
        <f t="shared" si="161"/>
        <v>9.009900514055336E-3</v>
      </c>
      <c r="P386" s="18">
        <f t="shared" si="163"/>
        <v>3.9758208581887862E-3</v>
      </c>
      <c r="Q386" s="18">
        <f t="shared" si="165"/>
        <v>7.8842170100430747E-3</v>
      </c>
      <c r="R386" s="18">
        <f t="shared" si="167"/>
        <v>2.5638047492812142E-4</v>
      </c>
      <c r="S386" s="18">
        <f t="shared" si="169"/>
        <v>6.7815939866895372E-3</v>
      </c>
      <c r="T386" s="18">
        <f t="shared" si="171"/>
        <v>3.9149147424875942E-3</v>
      </c>
      <c r="U386" s="18">
        <f t="shared" si="173"/>
        <v>6.5386137439145762E-3</v>
      </c>
      <c r="V386" s="18">
        <f t="shared" si="174"/>
        <v>1.2425854849544797E-2</v>
      </c>
      <c r="W386" s="18">
        <f t="shared" si="175"/>
        <v>3.5636736468171309E-3</v>
      </c>
      <c r="X386" s="18">
        <f t="shared" si="176"/>
        <v>6.0269836302848457E-3</v>
      </c>
      <c r="Y386" s="18">
        <f t="shared" si="177"/>
        <v>3.4255936172756504E-2</v>
      </c>
      <c r="AA386" s="18">
        <f t="shared" si="159"/>
        <v>0.38969969143965089</v>
      </c>
      <c r="AB386" s="18">
        <f t="shared" si="160"/>
        <v>0.15186584950815912</v>
      </c>
      <c r="AC386" s="18">
        <f t="shared" si="162"/>
        <v>1.6930304780616392E-3</v>
      </c>
      <c r="AD386" s="18">
        <f t="shared" si="164"/>
        <v>3.9963571969072482E-3</v>
      </c>
      <c r="AE386" s="18">
        <f t="shared" si="166"/>
        <v>1.1599179476376271E-2</v>
      </c>
      <c r="AF386" s="18">
        <f t="shared" si="168"/>
        <v>9.3787458828717887E-3</v>
      </c>
      <c r="AG386" s="18">
        <f t="shared" si="170"/>
        <v>6.4486017417538714E-4</v>
      </c>
      <c r="AH386" s="18">
        <f t="shared" si="172"/>
        <v>2.5898389356888568E-3</v>
      </c>
      <c r="AJ386" s="18">
        <f>IF(ISNUMBER(Kernel!M386),Kernel!M386,"")</f>
        <v>0.45520059282202191</v>
      </c>
      <c r="AK386" s="18">
        <f t="shared" ref="AK386:AK449" si="185">IF(ISNUMBER(AJ386),AJ386^2,"")</f>
        <v>0.20720757970552017</v>
      </c>
      <c r="AN386" s="18">
        <f>IF(ISNUMBER(Volcanic!G386),Volcanic!G386,"")</f>
        <v>5.7999999999999996E-3</v>
      </c>
    </row>
    <row r="387" spans="1:40">
      <c r="A387" s="18" t="str">
        <f>IF(Volcanic!A387="","",Volcanic!A387)</f>
        <v>4/1990</v>
      </c>
      <c r="B387" s="18">
        <f>IF(ISNUMBER(Volcanic!L387),Volcanic!L387,"")</f>
        <v>1990.2916666666667</v>
      </c>
      <c r="C387" s="18">
        <f>IF(ISNUMBER(Volcanic!J387),Volcanic!J387,"")</f>
        <v>0.16720612918163325</v>
      </c>
      <c r="D387" s="18">
        <f t="shared" si="178"/>
        <v>2.7957889635905026E-2</v>
      </c>
      <c r="E387" s="18">
        <f>IF(ISNUMBER(Volcanic!C387),Volcanic!C387,"")</f>
        <v>0.34798954810025179</v>
      </c>
      <c r="F387" s="18">
        <f>IF(ISNUMBER(Volcanic!D387),Volcanic!D387,"")</f>
        <v>0.18</v>
      </c>
      <c r="G387" s="18">
        <f>IF(ISNUMBER(Volcanic!E387),Volcanic!E387,"")</f>
        <v>5.79E-3</v>
      </c>
      <c r="H387" s="18">
        <f t="shared" si="179"/>
        <v>0.12109672558701745</v>
      </c>
      <c r="I387" s="18">
        <f t="shared" si="180"/>
        <v>3.2399999999999998E-2</v>
      </c>
      <c r="J387" s="18">
        <f t="shared" si="181"/>
        <v>3.35241E-5</v>
      </c>
      <c r="K387" s="18">
        <f t="shared" si="182"/>
        <v>6.2638118658045319E-2</v>
      </c>
      <c r="L387" s="18">
        <f t="shared" si="183"/>
        <v>2.0148594835004579E-3</v>
      </c>
      <c r="M387" s="18">
        <f t="shared" si="184"/>
        <v>1.0422000000000001E-3</v>
      </c>
      <c r="N387" s="18">
        <f t="shared" ref="N387:N450" si="186">IF(ISNUMBER(D386),D386,"")</f>
        <v>0.18869039660610598</v>
      </c>
      <c r="O387" s="18">
        <f t="shared" si="161"/>
        <v>7.8983549252455553E-3</v>
      </c>
      <c r="P387" s="18">
        <f t="shared" si="163"/>
        <v>9.009900514055336E-3</v>
      </c>
      <c r="Q387" s="18">
        <f t="shared" si="165"/>
        <v>3.9758208581887862E-3</v>
      </c>
      <c r="R387" s="18">
        <f t="shared" si="167"/>
        <v>7.8842170100430747E-3</v>
      </c>
      <c r="S387" s="18">
        <f t="shared" si="169"/>
        <v>2.5638047492812142E-4</v>
      </c>
      <c r="T387" s="18">
        <f t="shared" si="171"/>
        <v>6.7815939866895372E-3</v>
      </c>
      <c r="U387" s="18">
        <f t="shared" si="173"/>
        <v>3.9149147424875942E-3</v>
      </c>
      <c r="V387" s="18">
        <f t="shared" si="174"/>
        <v>6.5386137439145762E-3</v>
      </c>
      <c r="W387" s="18">
        <f t="shared" si="175"/>
        <v>1.2425854849544797E-2</v>
      </c>
      <c r="X387" s="18">
        <f t="shared" si="176"/>
        <v>3.5636736468171309E-3</v>
      </c>
      <c r="Y387" s="18">
        <f t="shared" si="177"/>
        <v>6.0269836302848457E-3</v>
      </c>
      <c r="AA387" s="18">
        <f t="shared" ref="AA387:AA450" si="187">IF(AND(ISNUMBER(C387),ISNUMBER(C386)),C387-$AX$16*C386,"")</f>
        <v>-5.1203661191495303E-2</v>
      </c>
      <c r="AB387" s="18">
        <f t="shared" ref="AB387:AB450" si="188">IF(ISNUMBER(AA387),AA387^2,"")</f>
        <v>2.6218149194134422E-3</v>
      </c>
      <c r="AC387" s="18">
        <f t="shared" si="162"/>
        <v>0.15186584950815912</v>
      </c>
      <c r="AD387" s="18">
        <f t="shared" si="164"/>
        <v>1.6930304780616392E-3</v>
      </c>
      <c r="AE387" s="18">
        <f t="shared" si="166"/>
        <v>3.9963571969072482E-3</v>
      </c>
      <c r="AF387" s="18">
        <f t="shared" si="168"/>
        <v>1.1599179476376271E-2</v>
      </c>
      <c r="AG387" s="18">
        <f t="shared" si="170"/>
        <v>9.3787458828717887E-3</v>
      </c>
      <c r="AH387" s="18">
        <f t="shared" si="172"/>
        <v>6.4486017417538714E-4</v>
      </c>
      <c r="AJ387" s="18">
        <f>IF(ISNUMBER(Kernel!M387),Kernel!M387,"")</f>
        <v>0.19810894946611118</v>
      </c>
      <c r="AK387" s="18">
        <f t="shared" si="185"/>
        <v>3.9247155858566196E-2</v>
      </c>
      <c r="AN387" s="18">
        <f>IF(ISNUMBER(Volcanic!G387),Volcanic!G387,"")</f>
        <v>5.9899999999999997E-3</v>
      </c>
    </row>
    <row r="388" spans="1:40">
      <c r="A388" s="18" t="str">
        <f>IF(Volcanic!A388="","",Volcanic!A388)</f>
        <v>5/1990</v>
      </c>
      <c r="B388" s="18">
        <f>IF(ISNUMBER(Volcanic!L388),Volcanic!L388,"")</f>
        <v>1990.375</v>
      </c>
      <c r="C388" s="18">
        <f>IF(ISNUMBER(Volcanic!J388),Volcanic!J388,"")</f>
        <v>5.5032459072420936E-2</v>
      </c>
      <c r="D388" s="18">
        <f t="shared" si="178"/>
        <v>3.0285715515576852E-3</v>
      </c>
      <c r="E388" s="18">
        <f>IF(ISNUMBER(Volcanic!C388),Volcanic!C388,"")</f>
        <v>0.35203207215550791</v>
      </c>
      <c r="F388" s="18">
        <f>IF(ISNUMBER(Volcanic!D388),Volcanic!D388,"")</f>
        <v>0.19</v>
      </c>
      <c r="G388" s="18">
        <f>IF(ISNUMBER(Volcanic!E388),Volcanic!E388,"")</f>
        <v>5.6899999999999997E-3</v>
      </c>
      <c r="H388" s="18">
        <f t="shared" si="179"/>
        <v>0.12392657982610072</v>
      </c>
      <c r="I388" s="18">
        <f t="shared" si="180"/>
        <v>3.61E-2</v>
      </c>
      <c r="J388" s="18">
        <f t="shared" si="181"/>
        <v>3.2376099999999997E-5</v>
      </c>
      <c r="K388" s="18">
        <f t="shared" si="182"/>
        <v>6.6886093709546499E-2</v>
      </c>
      <c r="L388" s="18">
        <f t="shared" si="183"/>
        <v>2.00306249056484E-3</v>
      </c>
      <c r="M388" s="18">
        <f t="shared" si="184"/>
        <v>1.0811E-3</v>
      </c>
      <c r="N388" s="18">
        <f t="shared" si="186"/>
        <v>2.7957889635905026E-2</v>
      </c>
      <c r="O388" s="18">
        <f t="shared" ref="O388:O451" si="189">IF(ISNUMBER(D386),D386,"")</f>
        <v>0.18869039660610598</v>
      </c>
      <c r="P388" s="18">
        <f t="shared" si="163"/>
        <v>7.8983549252455553E-3</v>
      </c>
      <c r="Q388" s="18">
        <f t="shared" si="165"/>
        <v>9.009900514055336E-3</v>
      </c>
      <c r="R388" s="18">
        <f t="shared" si="167"/>
        <v>3.9758208581887862E-3</v>
      </c>
      <c r="S388" s="18">
        <f t="shared" si="169"/>
        <v>7.8842170100430747E-3</v>
      </c>
      <c r="T388" s="18">
        <f t="shared" si="171"/>
        <v>2.5638047492812142E-4</v>
      </c>
      <c r="U388" s="18">
        <f t="shared" si="173"/>
        <v>6.7815939866895372E-3</v>
      </c>
      <c r="V388" s="18">
        <f t="shared" si="174"/>
        <v>3.9149147424875942E-3</v>
      </c>
      <c r="W388" s="18">
        <f t="shared" si="175"/>
        <v>6.5386137439145762E-3</v>
      </c>
      <c r="X388" s="18">
        <f t="shared" si="176"/>
        <v>1.2425854849544797E-2</v>
      </c>
      <c r="Y388" s="18">
        <f t="shared" si="177"/>
        <v>3.5636736468171309E-3</v>
      </c>
      <c r="AA388" s="18">
        <f t="shared" si="187"/>
        <v>-2.9039157135241009E-2</v>
      </c>
      <c r="AB388" s="18">
        <f t="shared" si="188"/>
        <v>8.4327264712521881E-4</v>
      </c>
      <c r="AC388" s="18">
        <f t="shared" ref="AC388:AC451" si="190">IF(ISNUMBER(AB387),AB387,"")</f>
        <v>2.6218149194134422E-3</v>
      </c>
      <c r="AD388" s="18">
        <f t="shared" si="164"/>
        <v>0.15186584950815912</v>
      </c>
      <c r="AE388" s="18">
        <f t="shared" si="166"/>
        <v>1.6930304780616392E-3</v>
      </c>
      <c r="AF388" s="18">
        <f t="shared" si="168"/>
        <v>3.9963571969072482E-3</v>
      </c>
      <c r="AG388" s="18">
        <f t="shared" si="170"/>
        <v>1.1599179476376271E-2</v>
      </c>
      <c r="AH388" s="18">
        <f t="shared" si="172"/>
        <v>9.3787458828717887E-3</v>
      </c>
      <c r="AJ388" s="18">
        <f>IF(ISNUMBER(Kernel!M388),Kernel!M388,"")</f>
        <v>7.9028758934465704E-2</v>
      </c>
      <c r="AK388" s="18">
        <f t="shared" si="185"/>
        <v>6.2455447387218931E-3</v>
      </c>
      <c r="AN388" s="18">
        <f>IF(ISNUMBER(Volcanic!G388),Volcanic!G388,"")</f>
        <v>6.1999999999999998E-3</v>
      </c>
    </row>
    <row r="389" spans="1:40">
      <c r="A389" s="18" t="str">
        <f>IF(Volcanic!A389="","",Volcanic!A389)</f>
        <v>6/1990</v>
      </c>
      <c r="B389" s="18">
        <f>IF(ISNUMBER(Volcanic!L389),Volcanic!L389,"")</f>
        <v>1990.4583333333333</v>
      </c>
      <c r="C389" s="18">
        <f>IF(ISNUMBER(Volcanic!J389),Volcanic!J389,"")</f>
        <v>-3.4677784753726903E-2</v>
      </c>
      <c r="D389" s="18">
        <f t="shared" si="178"/>
        <v>1.202548755425814E-3</v>
      </c>
      <c r="E389" s="18">
        <f>IF(ISNUMBER(Volcanic!C389),Volcanic!C389,"")</f>
        <v>0.34803002946285083</v>
      </c>
      <c r="F389" s="18">
        <f>IF(ISNUMBER(Volcanic!D389),Volcanic!D389,"")</f>
        <v>0.3</v>
      </c>
      <c r="G389" s="18">
        <f>IF(ISNUMBER(Volcanic!E389),Volcanic!E389,"")</f>
        <v>5.4999999999999997E-3</v>
      </c>
      <c r="H389" s="18">
        <f t="shared" si="179"/>
        <v>0.12112490140791282</v>
      </c>
      <c r="I389" s="18">
        <f t="shared" si="180"/>
        <v>0.09</v>
      </c>
      <c r="J389" s="18">
        <f t="shared" si="181"/>
        <v>3.0249999999999997E-5</v>
      </c>
      <c r="K389" s="18">
        <f t="shared" si="182"/>
        <v>0.10440900883885525</v>
      </c>
      <c r="L389" s="18">
        <f t="shared" si="183"/>
        <v>1.9141651620456794E-3</v>
      </c>
      <c r="M389" s="18">
        <f t="shared" si="184"/>
        <v>1.6499999999999998E-3</v>
      </c>
      <c r="N389" s="18">
        <f t="shared" si="186"/>
        <v>3.0285715515576852E-3</v>
      </c>
      <c r="O389" s="18">
        <f t="shared" si="189"/>
        <v>2.7957889635905026E-2</v>
      </c>
      <c r="P389" s="18">
        <f t="shared" ref="P389:P452" si="191">IF(ISNUMBER(D386),D386,"")</f>
        <v>0.18869039660610598</v>
      </c>
      <c r="Q389" s="18">
        <f t="shared" si="165"/>
        <v>7.8983549252455553E-3</v>
      </c>
      <c r="R389" s="18">
        <f t="shared" si="167"/>
        <v>9.009900514055336E-3</v>
      </c>
      <c r="S389" s="18">
        <f t="shared" si="169"/>
        <v>3.9758208581887862E-3</v>
      </c>
      <c r="T389" s="18">
        <f t="shared" si="171"/>
        <v>7.8842170100430747E-3</v>
      </c>
      <c r="U389" s="18">
        <f t="shared" si="173"/>
        <v>2.5638047492812142E-4</v>
      </c>
      <c r="V389" s="18">
        <f t="shared" si="174"/>
        <v>6.7815939866895372E-3</v>
      </c>
      <c r="W389" s="18">
        <f t="shared" si="175"/>
        <v>3.9149147424875942E-3</v>
      </c>
      <c r="X389" s="18">
        <f t="shared" si="176"/>
        <v>6.5386137439145762E-3</v>
      </c>
      <c r="Y389" s="18">
        <f t="shared" si="177"/>
        <v>1.2425854849544797E-2</v>
      </c>
      <c r="AA389" s="18">
        <f t="shared" si="187"/>
        <v>-6.2348228419548291E-2</v>
      </c>
      <c r="AB389" s="18">
        <f t="shared" si="188"/>
        <v>3.887301587056169E-3</v>
      </c>
      <c r="AC389" s="18">
        <f t="shared" si="190"/>
        <v>8.4327264712521881E-4</v>
      </c>
      <c r="AD389" s="18">
        <f t="shared" ref="AD389:AD452" si="192">IF(ISNUMBER(AB387),AB387,"")</f>
        <v>2.6218149194134422E-3</v>
      </c>
      <c r="AE389" s="18">
        <f t="shared" si="166"/>
        <v>0.15186584950815912</v>
      </c>
      <c r="AF389" s="18">
        <f t="shared" si="168"/>
        <v>1.6930304780616392E-3</v>
      </c>
      <c r="AG389" s="18">
        <f t="shared" si="170"/>
        <v>3.9963571969072482E-3</v>
      </c>
      <c r="AH389" s="18">
        <f t="shared" si="172"/>
        <v>1.1599179476376271E-2</v>
      </c>
      <c r="AJ389" s="18">
        <f>IF(ISNUMBER(Kernel!M389),Kernel!M389,"")</f>
        <v>-7.0390159176163536E-3</v>
      </c>
      <c r="AK389" s="18">
        <f t="shared" si="185"/>
        <v>4.9547745088456399E-5</v>
      </c>
      <c r="AN389" s="18">
        <f>IF(ISNUMBER(Volcanic!G389),Volcanic!G389,"")</f>
        <v>6.2599999999999999E-3</v>
      </c>
    </row>
    <row r="390" spans="1:40">
      <c r="A390" s="18" t="str">
        <f>IF(Volcanic!A390="","",Volcanic!A390)</f>
        <v>7/1990</v>
      </c>
      <c r="B390" s="18">
        <f>IF(ISNUMBER(Volcanic!L390),Volcanic!L390,"")</f>
        <v>1990.5416666666667</v>
      </c>
      <c r="C390" s="18">
        <f>IF(ISNUMBER(Volcanic!J390),Volcanic!J390,"")</f>
        <v>7.4460232220157963E-2</v>
      </c>
      <c r="D390" s="18">
        <f t="shared" si="178"/>
        <v>5.5443261822798497E-3</v>
      </c>
      <c r="E390" s="18">
        <f>IF(ISNUMBER(Volcanic!C390),Volcanic!C390,"")</f>
        <v>0.34194509590805666</v>
      </c>
      <c r="F390" s="18">
        <f>IF(ISNUMBER(Volcanic!D390),Volcanic!D390,"")</f>
        <v>0.27</v>
      </c>
      <c r="G390" s="18">
        <f>IF(ISNUMBER(Volcanic!E390),Volcanic!E390,"")</f>
        <v>5.3899999999999998E-3</v>
      </c>
      <c r="H390" s="18">
        <f t="shared" si="179"/>
        <v>0.11692644861557007</v>
      </c>
      <c r="I390" s="18">
        <f t="shared" si="180"/>
        <v>7.2900000000000006E-2</v>
      </c>
      <c r="J390" s="18">
        <f t="shared" si="181"/>
        <v>2.9052099999999999E-5</v>
      </c>
      <c r="K390" s="18">
        <f t="shared" si="182"/>
        <v>9.2325175895175304E-2</v>
      </c>
      <c r="L390" s="18">
        <f t="shared" si="183"/>
        <v>1.8430840669444253E-3</v>
      </c>
      <c r="M390" s="18">
        <f t="shared" si="184"/>
        <v>1.4553000000000001E-3</v>
      </c>
      <c r="N390" s="18">
        <f t="shared" si="186"/>
        <v>1.202548755425814E-3</v>
      </c>
      <c r="O390" s="18">
        <f t="shared" si="189"/>
        <v>3.0285715515576852E-3</v>
      </c>
      <c r="P390" s="18">
        <f t="shared" si="191"/>
        <v>2.7957889635905026E-2</v>
      </c>
      <c r="Q390" s="18">
        <f t="shared" ref="Q390:Q453" si="193">IF(ISNUMBER(D386),D386,"")</f>
        <v>0.18869039660610598</v>
      </c>
      <c r="R390" s="18">
        <f t="shared" si="167"/>
        <v>7.8983549252455553E-3</v>
      </c>
      <c r="S390" s="18">
        <f t="shared" si="169"/>
        <v>9.009900514055336E-3</v>
      </c>
      <c r="T390" s="18">
        <f t="shared" si="171"/>
        <v>3.9758208581887862E-3</v>
      </c>
      <c r="U390" s="18">
        <f t="shared" si="173"/>
        <v>7.8842170100430747E-3</v>
      </c>
      <c r="V390" s="18">
        <f t="shared" si="174"/>
        <v>2.5638047492812142E-4</v>
      </c>
      <c r="W390" s="18">
        <f t="shared" si="175"/>
        <v>6.7815939866895372E-3</v>
      </c>
      <c r="X390" s="18">
        <f t="shared" si="176"/>
        <v>3.9149147424875942E-3</v>
      </c>
      <c r="Y390" s="18">
        <f t="shared" si="177"/>
        <v>6.5386137439145762E-3</v>
      </c>
      <c r="AA390" s="18">
        <f t="shared" si="187"/>
        <v>9.1896300054610788E-2</v>
      </c>
      <c r="AB390" s="18">
        <f t="shared" si="188"/>
        <v>8.4449299637270586E-3</v>
      </c>
      <c r="AC390" s="18">
        <f t="shared" si="190"/>
        <v>3.887301587056169E-3</v>
      </c>
      <c r="AD390" s="18">
        <f t="shared" si="192"/>
        <v>8.4327264712521881E-4</v>
      </c>
      <c r="AE390" s="18">
        <f t="shared" ref="AE390:AE453" si="194">IF(ISNUMBER(AB387),AB387,"")</f>
        <v>2.6218149194134422E-3</v>
      </c>
      <c r="AF390" s="18">
        <f t="shared" si="168"/>
        <v>0.15186584950815912</v>
      </c>
      <c r="AG390" s="18">
        <f t="shared" si="170"/>
        <v>1.6930304780616392E-3</v>
      </c>
      <c r="AH390" s="18">
        <f t="shared" si="172"/>
        <v>3.9963571969072482E-3</v>
      </c>
      <c r="AJ390" s="18">
        <f>IF(ISNUMBER(Kernel!M390),Kernel!M390,"")</f>
        <v>9.3370834628825783E-2</v>
      </c>
      <c r="AK390" s="18">
        <f t="shared" si="185"/>
        <v>8.718112759283532E-3</v>
      </c>
      <c r="AN390" s="18">
        <f>IF(ISNUMBER(Volcanic!G390),Volcanic!G390,"")</f>
        <v>6.3E-3</v>
      </c>
    </row>
    <row r="391" spans="1:40">
      <c r="A391" s="18" t="str">
        <f>IF(Volcanic!A391="","",Volcanic!A391)</f>
        <v>8/1990</v>
      </c>
      <c r="B391" s="18">
        <f>IF(ISNUMBER(Volcanic!L391),Volcanic!L391,"")</f>
        <v>1990.625</v>
      </c>
      <c r="C391" s="18">
        <f>IF(ISNUMBER(Volcanic!J391),Volcanic!J391,"")</f>
        <v>-2.367129674157914E-2</v>
      </c>
      <c r="D391" s="18">
        <f t="shared" si="178"/>
        <v>5.6033028942789522E-4</v>
      </c>
      <c r="E391" s="18">
        <f>IF(ISNUMBER(Volcanic!C391),Volcanic!C391,"")</f>
        <v>0.3344865527759821</v>
      </c>
      <c r="F391" s="18">
        <f>IF(ISNUMBER(Volcanic!D391),Volcanic!D391,"")</f>
        <v>0.25</v>
      </c>
      <c r="G391" s="18">
        <f>IF(ISNUMBER(Volcanic!E391),Volcanic!E391,"")</f>
        <v>5.2399999999999999E-3</v>
      </c>
      <c r="H391" s="18">
        <f t="shared" si="179"/>
        <v>0.11188125398795987</v>
      </c>
      <c r="I391" s="18">
        <f t="shared" si="180"/>
        <v>6.25E-2</v>
      </c>
      <c r="J391" s="18">
        <f t="shared" si="181"/>
        <v>2.7457599999999999E-5</v>
      </c>
      <c r="K391" s="18">
        <f t="shared" si="182"/>
        <v>8.3621638193995526E-2</v>
      </c>
      <c r="L391" s="18">
        <f t="shared" si="183"/>
        <v>1.7527095365461461E-3</v>
      </c>
      <c r="M391" s="18">
        <f t="shared" si="184"/>
        <v>1.31E-3</v>
      </c>
      <c r="N391" s="18">
        <f t="shared" si="186"/>
        <v>5.5443261822798497E-3</v>
      </c>
      <c r="O391" s="18">
        <f t="shared" si="189"/>
        <v>1.202548755425814E-3</v>
      </c>
      <c r="P391" s="18">
        <f t="shared" si="191"/>
        <v>3.0285715515576852E-3</v>
      </c>
      <c r="Q391" s="18">
        <f t="shared" si="193"/>
        <v>2.7957889635905026E-2</v>
      </c>
      <c r="R391" s="18">
        <f t="shared" ref="R391:R454" si="195">IF(ISNUMBER(D386),D386,"")</f>
        <v>0.18869039660610598</v>
      </c>
      <c r="S391" s="18">
        <f t="shared" si="169"/>
        <v>7.8983549252455553E-3</v>
      </c>
      <c r="T391" s="18">
        <f t="shared" si="171"/>
        <v>9.009900514055336E-3</v>
      </c>
      <c r="U391" s="18">
        <f t="shared" si="173"/>
        <v>3.9758208581887862E-3</v>
      </c>
      <c r="V391" s="18">
        <f t="shared" si="174"/>
        <v>7.8842170100430747E-3</v>
      </c>
      <c r="W391" s="18">
        <f t="shared" si="175"/>
        <v>2.5638047492812142E-4</v>
      </c>
      <c r="X391" s="18">
        <f t="shared" si="176"/>
        <v>6.7815939866895372E-3</v>
      </c>
      <c r="Y391" s="18">
        <f t="shared" si="177"/>
        <v>3.9149147424875942E-3</v>
      </c>
      <c r="AA391" s="18">
        <f t="shared" si="187"/>
        <v>-6.1110068254233312E-2</v>
      </c>
      <c r="AB391" s="18">
        <f t="shared" si="188"/>
        <v>3.734440442037054E-3</v>
      </c>
      <c r="AC391" s="18">
        <f t="shared" si="190"/>
        <v>8.4449299637270586E-3</v>
      </c>
      <c r="AD391" s="18">
        <f t="shared" si="192"/>
        <v>3.887301587056169E-3</v>
      </c>
      <c r="AE391" s="18">
        <f t="shared" si="194"/>
        <v>8.4327264712521881E-4</v>
      </c>
      <c r="AF391" s="18">
        <f t="shared" ref="AF391:AF454" si="196">IF(ISNUMBER(AB387),AB387,"")</f>
        <v>2.6218149194134422E-3</v>
      </c>
      <c r="AG391" s="18">
        <f t="shared" si="170"/>
        <v>0.15186584950815912</v>
      </c>
      <c r="AH391" s="18">
        <f t="shared" si="172"/>
        <v>1.6930304780616392E-3</v>
      </c>
      <c r="AJ391" s="18">
        <f>IF(ISNUMBER(Kernel!M391),Kernel!M391,"")</f>
        <v>-1.2806243475117107E-2</v>
      </c>
      <c r="AK391" s="18">
        <f t="shared" si="185"/>
        <v>1.6399987194397949E-4</v>
      </c>
      <c r="AN391" s="18">
        <f>IF(ISNUMBER(Volcanic!G391),Volcanic!G391,"")</f>
        <v>6.5799999999999999E-3</v>
      </c>
    </row>
    <row r="392" spans="1:40">
      <c r="A392" s="18" t="str">
        <f>IF(Volcanic!A392="","",Volcanic!A392)</f>
        <v>9/1990</v>
      </c>
      <c r="B392" s="18">
        <f>IF(ISNUMBER(Volcanic!L392),Volcanic!L392,"")</f>
        <v>1990.7083333333333</v>
      </c>
      <c r="C392" s="18">
        <f>IF(ISNUMBER(Volcanic!J392),Volcanic!J392,"")</f>
        <v>-0.11479303739863528</v>
      </c>
      <c r="D392" s="18">
        <f t="shared" si="178"/>
        <v>1.3177441435204478E-2</v>
      </c>
      <c r="E392" s="18">
        <f>IF(ISNUMBER(Volcanic!C392),Volcanic!C392,"")</f>
        <v>0.32760525056773293</v>
      </c>
      <c r="F392" s="18">
        <f>IF(ISNUMBER(Volcanic!D392),Volcanic!D392,"")</f>
        <v>0.25</v>
      </c>
      <c r="G392" s="18">
        <f>IF(ISNUMBER(Volcanic!E392),Volcanic!E392,"")</f>
        <v>5.2900000000000004E-3</v>
      </c>
      <c r="H392" s="18">
        <f t="shared" si="179"/>
        <v>0.10732520019954708</v>
      </c>
      <c r="I392" s="18">
        <f t="shared" si="180"/>
        <v>6.25E-2</v>
      </c>
      <c r="J392" s="18">
        <f t="shared" si="181"/>
        <v>2.7984100000000005E-5</v>
      </c>
      <c r="K392" s="18">
        <f t="shared" si="182"/>
        <v>8.1901312641933233E-2</v>
      </c>
      <c r="L392" s="18">
        <f t="shared" si="183"/>
        <v>1.7330317755033073E-3</v>
      </c>
      <c r="M392" s="18">
        <f t="shared" si="184"/>
        <v>1.3225000000000001E-3</v>
      </c>
      <c r="N392" s="18">
        <f t="shared" si="186"/>
        <v>5.6033028942789522E-4</v>
      </c>
      <c r="O392" s="18">
        <f t="shared" si="189"/>
        <v>5.5443261822798497E-3</v>
      </c>
      <c r="P392" s="18">
        <f t="shared" si="191"/>
        <v>1.202548755425814E-3</v>
      </c>
      <c r="Q392" s="18">
        <f t="shared" si="193"/>
        <v>3.0285715515576852E-3</v>
      </c>
      <c r="R392" s="18">
        <f t="shared" si="195"/>
        <v>2.7957889635905026E-2</v>
      </c>
      <c r="S392" s="18">
        <f t="shared" ref="S392:S455" si="197">IF(ISNUMBER(D386),D386,"")</f>
        <v>0.18869039660610598</v>
      </c>
      <c r="T392" s="18">
        <f t="shared" si="171"/>
        <v>7.8983549252455553E-3</v>
      </c>
      <c r="U392" s="18">
        <f t="shared" si="173"/>
        <v>9.009900514055336E-3</v>
      </c>
      <c r="V392" s="18">
        <f t="shared" si="174"/>
        <v>3.9758208581887862E-3</v>
      </c>
      <c r="W392" s="18">
        <f t="shared" si="175"/>
        <v>7.8842170100430747E-3</v>
      </c>
      <c r="X392" s="18">
        <f t="shared" si="176"/>
        <v>2.5638047492812142E-4</v>
      </c>
      <c r="Y392" s="18">
        <f t="shared" si="177"/>
        <v>6.7815939866895372E-3</v>
      </c>
      <c r="AA392" s="18">
        <f t="shared" si="187"/>
        <v>-0.10289105638552347</v>
      </c>
      <c r="AB392" s="18">
        <f t="shared" si="188"/>
        <v>1.058656948412897E-2</v>
      </c>
      <c r="AC392" s="18">
        <f t="shared" si="190"/>
        <v>3.734440442037054E-3</v>
      </c>
      <c r="AD392" s="18">
        <f t="shared" si="192"/>
        <v>8.4449299637270586E-3</v>
      </c>
      <c r="AE392" s="18">
        <f t="shared" si="194"/>
        <v>3.887301587056169E-3</v>
      </c>
      <c r="AF392" s="18">
        <f t="shared" si="196"/>
        <v>8.4327264712521881E-4</v>
      </c>
      <c r="AG392" s="18">
        <f t="shared" ref="AG392:AG455" si="198">IF(ISNUMBER(AB387),AB387,"")</f>
        <v>2.6218149194134422E-3</v>
      </c>
      <c r="AH392" s="18">
        <f t="shared" si="172"/>
        <v>0.15186584950815912</v>
      </c>
      <c r="AJ392" s="18">
        <f>IF(ISNUMBER(Kernel!M392),Kernel!M392,"")</f>
        <v>-0.10934739008380878</v>
      </c>
      <c r="AK392" s="18">
        <f t="shared" si="185"/>
        <v>1.1956851718140643E-2</v>
      </c>
      <c r="AN392" s="18">
        <f>IF(ISNUMBER(Volcanic!G392),Volcanic!G392,"")</f>
        <v>6.6E-3</v>
      </c>
    </row>
    <row r="393" spans="1:40">
      <c r="A393" s="18" t="str">
        <f>IF(Volcanic!A393="","",Volcanic!A393)</f>
        <v>10/1990</v>
      </c>
      <c r="B393" s="18">
        <f>IF(ISNUMBER(Volcanic!L393),Volcanic!L393,"")</f>
        <v>1990.7916666666667</v>
      </c>
      <c r="C393" s="18">
        <f>IF(ISNUMBER(Volcanic!J393),Volcanic!J393,"")</f>
        <v>0.10193126262947799</v>
      </c>
      <c r="D393" s="18">
        <f t="shared" si="178"/>
        <v>1.0389982301239617E-2</v>
      </c>
      <c r="E393" s="18">
        <f>IF(ISNUMBER(Volcanic!C393),Volcanic!C393,"")</f>
        <v>0.32887748659446853</v>
      </c>
      <c r="F393" s="18">
        <f>IF(ISNUMBER(Volcanic!D393),Volcanic!D393,"")</f>
        <v>0.26</v>
      </c>
      <c r="G393" s="18">
        <f>IF(ISNUMBER(Volcanic!E393),Volcanic!E393,"")</f>
        <v>5.7999999999999996E-3</v>
      </c>
      <c r="H393" s="18">
        <f t="shared" si="179"/>
        <v>0.10816040118869483</v>
      </c>
      <c r="I393" s="18">
        <f t="shared" si="180"/>
        <v>6.7600000000000007E-2</v>
      </c>
      <c r="J393" s="18">
        <f t="shared" si="181"/>
        <v>3.3639999999999996E-5</v>
      </c>
      <c r="K393" s="18">
        <f t="shared" si="182"/>
        <v>8.5508146514561817E-2</v>
      </c>
      <c r="L393" s="18">
        <f t="shared" si="183"/>
        <v>1.9074894222479172E-3</v>
      </c>
      <c r="M393" s="18">
        <f t="shared" si="184"/>
        <v>1.508E-3</v>
      </c>
      <c r="N393" s="18">
        <f t="shared" si="186"/>
        <v>1.3177441435204478E-2</v>
      </c>
      <c r="O393" s="18">
        <f t="shared" si="189"/>
        <v>5.6033028942789522E-4</v>
      </c>
      <c r="P393" s="18">
        <f t="shared" si="191"/>
        <v>5.5443261822798497E-3</v>
      </c>
      <c r="Q393" s="18">
        <f t="shared" si="193"/>
        <v>1.202548755425814E-3</v>
      </c>
      <c r="R393" s="18">
        <f t="shared" si="195"/>
        <v>3.0285715515576852E-3</v>
      </c>
      <c r="S393" s="18">
        <f t="shared" si="197"/>
        <v>2.7957889635905026E-2</v>
      </c>
      <c r="T393" s="18">
        <f t="shared" ref="T393:T456" si="199">IF(ISNUMBER(D386),D386,"")</f>
        <v>0.18869039660610598</v>
      </c>
      <c r="U393" s="18">
        <f t="shared" si="173"/>
        <v>7.8983549252455553E-3</v>
      </c>
      <c r="V393" s="18">
        <f t="shared" si="174"/>
        <v>9.009900514055336E-3</v>
      </c>
      <c r="W393" s="18">
        <f t="shared" si="175"/>
        <v>3.9758208581887862E-3</v>
      </c>
      <c r="X393" s="18">
        <f t="shared" si="176"/>
        <v>7.8842170100430747E-3</v>
      </c>
      <c r="Y393" s="18">
        <f t="shared" si="177"/>
        <v>2.5638047492812142E-4</v>
      </c>
      <c r="AA393" s="18">
        <f t="shared" si="187"/>
        <v>0.15964945891046661</v>
      </c>
      <c r="AB393" s="18">
        <f t="shared" si="188"/>
        <v>2.5487949730404767E-2</v>
      </c>
      <c r="AC393" s="18">
        <f t="shared" si="190"/>
        <v>1.058656948412897E-2</v>
      </c>
      <c r="AD393" s="18">
        <f t="shared" si="192"/>
        <v>3.734440442037054E-3</v>
      </c>
      <c r="AE393" s="18">
        <f t="shared" si="194"/>
        <v>8.4449299637270586E-3</v>
      </c>
      <c r="AF393" s="18">
        <f t="shared" si="196"/>
        <v>3.887301587056169E-3</v>
      </c>
      <c r="AG393" s="18">
        <f t="shared" si="198"/>
        <v>8.4327264712521881E-4</v>
      </c>
      <c r="AH393" s="18">
        <f t="shared" ref="AH393:AH456" si="200">IF(ISNUMBER(AB387),AB387,"")</f>
        <v>2.6218149194134422E-3</v>
      </c>
      <c r="AJ393" s="18">
        <f>IF(ISNUMBER(Kernel!M393),Kernel!M393,"")</f>
        <v>0.10362596000257851</v>
      </c>
      <c r="AK393" s="18">
        <f t="shared" si="185"/>
        <v>1.0738339586456001E-2</v>
      </c>
      <c r="AN393" s="18">
        <f>IF(ISNUMBER(Volcanic!G393),Volcanic!G393,"")</f>
        <v>6.2500000000000003E-3</v>
      </c>
    </row>
    <row r="394" spans="1:40">
      <c r="A394" s="18" t="str">
        <f>IF(Volcanic!A394="","",Volcanic!A394)</f>
        <v>11/1990</v>
      </c>
      <c r="B394" s="18">
        <f>IF(ISNUMBER(Volcanic!L394),Volcanic!L394,"")</f>
        <v>1990.875</v>
      </c>
      <c r="C394" s="18">
        <f>IF(ISNUMBER(Volcanic!J394),Volcanic!J394,"")</f>
        <v>9.0591819602126089E-2</v>
      </c>
      <c r="D394" s="18">
        <f t="shared" si="178"/>
        <v>8.2068777788241575E-3</v>
      </c>
      <c r="E394" s="18">
        <f>IF(ISNUMBER(Volcanic!C394),Volcanic!C394,"")</f>
        <v>0.33481341656461083</v>
      </c>
      <c r="F394" s="18">
        <f>IF(ISNUMBER(Volcanic!D394),Volcanic!D394,"")</f>
        <v>0.32</v>
      </c>
      <c r="G394" s="18">
        <f>IF(ISNUMBER(Volcanic!E394),Volcanic!E394,"")</f>
        <v>5.9899999999999997E-3</v>
      </c>
      <c r="H394" s="18">
        <f t="shared" si="179"/>
        <v>0.11210002391166762</v>
      </c>
      <c r="I394" s="18">
        <f t="shared" si="180"/>
        <v>0.1024</v>
      </c>
      <c r="J394" s="18">
        <f t="shared" si="181"/>
        <v>3.5880099999999996E-5</v>
      </c>
      <c r="K394" s="18">
        <f t="shared" si="182"/>
        <v>0.10714029330067547</v>
      </c>
      <c r="L394" s="18">
        <f t="shared" si="183"/>
        <v>2.0055323652220188E-3</v>
      </c>
      <c r="M394" s="18">
        <f t="shared" si="184"/>
        <v>1.9168E-3</v>
      </c>
      <c r="N394" s="18">
        <f t="shared" si="186"/>
        <v>1.0389982301239617E-2</v>
      </c>
      <c r="O394" s="18">
        <f t="shared" si="189"/>
        <v>1.3177441435204478E-2</v>
      </c>
      <c r="P394" s="18">
        <f t="shared" si="191"/>
        <v>5.6033028942789522E-4</v>
      </c>
      <c r="Q394" s="18">
        <f t="shared" si="193"/>
        <v>5.5443261822798497E-3</v>
      </c>
      <c r="R394" s="18">
        <f t="shared" si="195"/>
        <v>1.202548755425814E-3</v>
      </c>
      <c r="S394" s="18">
        <f t="shared" si="197"/>
        <v>3.0285715515576852E-3</v>
      </c>
      <c r="T394" s="18">
        <f t="shared" si="199"/>
        <v>2.7957889635905026E-2</v>
      </c>
      <c r="U394" s="18">
        <f t="shared" ref="U394:U457" si="201">IF(ISNUMBER(D386),D386,"")</f>
        <v>0.18869039660610598</v>
      </c>
      <c r="V394" s="18">
        <f t="shared" si="174"/>
        <v>7.8983549252455553E-3</v>
      </c>
      <c r="W394" s="18">
        <f t="shared" si="175"/>
        <v>9.009900514055336E-3</v>
      </c>
      <c r="X394" s="18">
        <f t="shared" si="176"/>
        <v>3.9758208581887862E-3</v>
      </c>
      <c r="Y394" s="18">
        <f t="shared" si="177"/>
        <v>7.8842170100430747E-3</v>
      </c>
      <c r="AA394" s="18">
        <f t="shared" si="187"/>
        <v>3.9340552478784374E-2</v>
      </c>
      <c r="AB394" s="18">
        <f t="shared" si="188"/>
        <v>1.5476790693359874E-3</v>
      </c>
      <c r="AC394" s="18">
        <f t="shared" si="190"/>
        <v>2.5487949730404767E-2</v>
      </c>
      <c r="AD394" s="18">
        <f t="shared" si="192"/>
        <v>1.058656948412897E-2</v>
      </c>
      <c r="AE394" s="18">
        <f t="shared" si="194"/>
        <v>3.734440442037054E-3</v>
      </c>
      <c r="AF394" s="18">
        <f t="shared" si="196"/>
        <v>8.4449299637270586E-3</v>
      </c>
      <c r="AG394" s="18">
        <f t="shared" si="198"/>
        <v>3.887301587056169E-3</v>
      </c>
      <c r="AH394" s="18">
        <f t="shared" si="200"/>
        <v>8.4327264712521881E-4</v>
      </c>
      <c r="AJ394" s="18">
        <f>IF(ISNUMBER(Kernel!M394),Kernel!M394,"")</f>
        <v>9.3641285507164496E-2</v>
      </c>
      <c r="AK394" s="18">
        <f t="shared" si="185"/>
        <v>8.7686903514342957E-3</v>
      </c>
      <c r="AN394" s="18">
        <f>IF(ISNUMBER(Volcanic!G394),Volcanic!G394,"")</f>
        <v>6.1599999999999997E-3</v>
      </c>
    </row>
    <row r="395" spans="1:40">
      <c r="A395" s="18" t="str">
        <f>IF(Volcanic!A395="","",Volcanic!A395)</f>
        <v>12/1990</v>
      </c>
      <c r="B395" s="18">
        <f>IF(ISNUMBER(Volcanic!L395),Volcanic!L395,"")</f>
        <v>1990.9583333333333</v>
      </c>
      <c r="C395" s="18">
        <f>IF(ISNUMBER(Volcanic!J395),Volcanic!J395,"")</f>
        <v>1.7856320497697753E-2</v>
      </c>
      <c r="D395" s="18">
        <f t="shared" si="178"/>
        <v>3.1884818171650094E-4</v>
      </c>
      <c r="E395" s="18">
        <f>IF(ISNUMBER(Volcanic!C395),Volcanic!C395,"")</f>
        <v>0.33999248424772416</v>
      </c>
      <c r="F395" s="18">
        <f>IF(ISNUMBER(Volcanic!D395),Volcanic!D395,"")</f>
        <v>0.31</v>
      </c>
      <c r="G395" s="18">
        <f>IF(ISNUMBER(Volcanic!E395),Volcanic!E395,"")</f>
        <v>6.1999999999999998E-3</v>
      </c>
      <c r="H395" s="18">
        <f t="shared" si="179"/>
        <v>0.11559488934493896</v>
      </c>
      <c r="I395" s="18">
        <f t="shared" si="180"/>
        <v>9.6100000000000005E-2</v>
      </c>
      <c r="J395" s="18">
        <f t="shared" si="181"/>
        <v>3.8439999999999998E-5</v>
      </c>
      <c r="K395" s="18">
        <f t="shared" si="182"/>
        <v>0.10539767011679449</v>
      </c>
      <c r="L395" s="18">
        <f t="shared" si="183"/>
        <v>2.1079534023358895E-3</v>
      </c>
      <c r="M395" s="18">
        <f t="shared" si="184"/>
        <v>1.9219999999999999E-3</v>
      </c>
      <c r="N395" s="18">
        <f t="shared" si="186"/>
        <v>8.2068777788241575E-3</v>
      </c>
      <c r="O395" s="18">
        <f t="shared" si="189"/>
        <v>1.0389982301239617E-2</v>
      </c>
      <c r="P395" s="18">
        <f t="shared" si="191"/>
        <v>1.3177441435204478E-2</v>
      </c>
      <c r="Q395" s="18">
        <f t="shared" si="193"/>
        <v>5.6033028942789522E-4</v>
      </c>
      <c r="R395" s="18">
        <f t="shared" si="195"/>
        <v>5.5443261822798497E-3</v>
      </c>
      <c r="S395" s="18">
        <f t="shared" si="197"/>
        <v>1.202548755425814E-3</v>
      </c>
      <c r="T395" s="18">
        <f t="shared" si="199"/>
        <v>3.0285715515576852E-3</v>
      </c>
      <c r="U395" s="18">
        <f t="shared" si="201"/>
        <v>2.7957889635905026E-2</v>
      </c>
      <c r="V395" s="18">
        <f t="shared" ref="V395:V458" si="202">IF(ISNUMBER(D386),D386,"")</f>
        <v>0.18869039660610598</v>
      </c>
      <c r="W395" s="18">
        <f t="shared" si="175"/>
        <v>7.8983549252455553E-3</v>
      </c>
      <c r="X395" s="18">
        <f t="shared" si="176"/>
        <v>9.009900514055336E-3</v>
      </c>
      <c r="Y395" s="18">
        <f t="shared" si="177"/>
        <v>3.9758208581887862E-3</v>
      </c>
      <c r="AA395" s="18">
        <f t="shared" si="187"/>
        <v>-2.7693449277011513E-2</v>
      </c>
      <c r="AB395" s="18">
        <f t="shared" si="188"/>
        <v>7.6692713285840953E-4</v>
      </c>
      <c r="AC395" s="18">
        <f t="shared" si="190"/>
        <v>1.5476790693359874E-3</v>
      </c>
      <c r="AD395" s="18">
        <f t="shared" si="192"/>
        <v>2.5487949730404767E-2</v>
      </c>
      <c r="AE395" s="18">
        <f t="shared" si="194"/>
        <v>1.058656948412897E-2</v>
      </c>
      <c r="AF395" s="18">
        <f t="shared" si="196"/>
        <v>3.734440442037054E-3</v>
      </c>
      <c r="AG395" s="18">
        <f t="shared" si="198"/>
        <v>8.4449299637270586E-3</v>
      </c>
      <c r="AH395" s="18">
        <f t="shared" si="200"/>
        <v>3.887301587056169E-3</v>
      </c>
      <c r="AJ395" s="18">
        <f>IF(ISNUMBER(Kernel!M395),Kernel!M395,"")</f>
        <v>1.5576439897853789E-2</v>
      </c>
      <c r="AK395" s="18">
        <f t="shared" si="185"/>
        <v>2.4262547989145134E-4</v>
      </c>
      <c r="AN395" s="18">
        <f>IF(ISNUMBER(Volcanic!G395),Volcanic!G395,"")</f>
        <v>5.8900000000000003E-3</v>
      </c>
    </row>
    <row r="396" spans="1:40">
      <c r="A396" s="18" t="str">
        <f>IF(Volcanic!A396="","",Volcanic!A396)</f>
        <v>1/1991</v>
      </c>
      <c r="B396" s="18">
        <f>IF(ISNUMBER(Volcanic!L396),Volcanic!L396,"")</f>
        <v>1991.0416666666667</v>
      </c>
      <c r="C396" s="18">
        <f>IF(ISNUMBER(Volcanic!J396),Volcanic!J396,"")</f>
        <v>4.593106356759008E-2</v>
      </c>
      <c r="D396" s="18">
        <f t="shared" si="178"/>
        <v>2.1096626004500009E-3</v>
      </c>
      <c r="E396" s="18">
        <f>IF(ISNUMBER(Volcanic!C396),Volcanic!C396,"")</f>
        <v>0.3421076943180667</v>
      </c>
      <c r="F396" s="18">
        <f>IF(ISNUMBER(Volcanic!D396),Volcanic!D396,"")</f>
        <v>0.27</v>
      </c>
      <c r="G396" s="18">
        <f>IF(ISNUMBER(Volcanic!E396),Volcanic!E396,"")</f>
        <v>6.2599999999999999E-3</v>
      </c>
      <c r="H396" s="18">
        <f t="shared" si="179"/>
        <v>0.11703767451162377</v>
      </c>
      <c r="I396" s="18">
        <f t="shared" si="180"/>
        <v>7.2900000000000006E-2</v>
      </c>
      <c r="J396" s="18">
        <f t="shared" si="181"/>
        <v>3.9187599999999997E-5</v>
      </c>
      <c r="K396" s="18">
        <f t="shared" si="182"/>
        <v>9.2369077465878011E-2</v>
      </c>
      <c r="L396" s="18">
        <f t="shared" si="183"/>
        <v>2.1415941664310973E-3</v>
      </c>
      <c r="M396" s="18">
        <f t="shared" si="184"/>
        <v>1.6902E-3</v>
      </c>
      <c r="N396" s="18">
        <f t="shared" si="186"/>
        <v>3.1884818171650094E-4</v>
      </c>
      <c r="O396" s="18">
        <f t="shared" si="189"/>
        <v>8.2068777788241575E-3</v>
      </c>
      <c r="P396" s="18">
        <f t="shared" si="191"/>
        <v>1.0389982301239617E-2</v>
      </c>
      <c r="Q396" s="18">
        <f t="shared" si="193"/>
        <v>1.3177441435204478E-2</v>
      </c>
      <c r="R396" s="18">
        <f t="shared" si="195"/>
        <v>5.6033028942789522E-4</v>
      </c>
      <c r="S396" s="18">
        <f t="shared" si="197"/>
        <v>5.5443261822798497E-3</v>
      </c>
      <c r="T396" s="18">
        <f t="shared" si="199"/>
        <v>1.202548755425814E-3</v>
      </c>
      <c r="U396" s="18">
        <f t="shared" si="201"/>
        <v>3.0285715515576852E-3</v>
      </c>
      <c r="V396" s="18">
        <f t="shared" si="202"/>
        <v>2.7957889635905026E-2</v>
      </c>
      <c r="W396" s="18">
        <f t="shared" ref="W396:W459" si="203">IF(ISNUMBER(D386),D386,"")</f>
        <v>0.18869039660610598</v>
      </c>
      <c r="X396" s="18">
        <f t="shared" si="176"/>
        <v>7.8983549252455553E-3</v>
      </c>
      <c r="Y396" s="18">
        <f t="shared" si="177"/>
        <v>9.009900514055336E-3</v>
      </c>
      <c r="AA396" s="18">
        <f t="shared" si="187"/>
        <v>3.695286563243716E-2</v>
      </c>
      <c r="AB396" s="18">
        <f t="shared" si="188"/>
        <v>1.3655142784489553E-3</v>
      </c>
      <c r="AC396" s="18">
        <f t="shared" si="190"/>
        <v>7.6692713285840953E-4</v>
      </c>
      <c r="AD396" s="18">
        <f t="shared" si="192"/>
        <v>1.5476790693359874E-3</v>
      </c>
      <c r="AE396" s="18">
        <f t="shared" si="194"/>
        <v>2.5487949730404767E-2</v>
      </c>
      <c r="AF396" s="18">
        <f t="shared" si="196"/>
        <v>1.058656948412897E-2</v>
      </c>
      <c r="AG396" s="18">
        <f t="shared" si="198"/>
        <v>3.734440442037054E-3</v>
      </c>
      <c r="AH396" s="18">
        <f t="shared" si="200"/>
        <v>8.4449299637270586E-3</v>
      </c>
      <c r="AJ396" s="18">
        <f>IF(ISNUMBER(Kernel!M396),Kernel!M396,"")</f>
        <v>3.6161314944030798E-2</v>
      </c>
      <c r="AK396" s="18">
        <f t="shared" si="185"/>
        <v>1.307640698481385E-3</v>
      </c>
      <c r="AN396" s="18">
        <f>IF(ISNUMBER(Volcanic!G396),Volcanic!G396,"")</f>
        <v>5.7800000000000004E-3</v>
      </c>
    </row>
    <row r="397" spans="1:40">
      <c r="A397" s="18" t="str">
        <f>IF(Volcanic!A397="","",Volcanic!A397)</f>
        <v>2/1991</v>
      </c>
      <c r="B397" s="18">
        <f>IF(ISNUMBER(Volcanic!L397),Volcanic!L397,"")</f>
        <v>1991.125</v>
      </c>
      <c r="C397" s="18">
        <f>IF(ISNUMBER(Volcanic!J397),Volcanic!J397,"")</f>
        <v>0.10245286182709973</v>
      </c>
      <c r="D397" s="18">
        <f t="shared" si="178"/>
        <v>1.0496588896562789E-2</v>
      </c>
      <c r="E397" s="18">
        <f>IF(ISNUMBER(Volcanic!C397),Volcanic!C397,"")</f>
        <v>0.34572077699832093</v>
      </c>
      <c r="F397" s="18">
        <f>IF(ISNUMBER(Volcanic!D397),Volcanic!D397,"")</f>
        <v>0.31</v>
      </c>
      <c r="G397" s="18">
        <f>IF(ISNUMBER(Volcanic!E397),Volcanic!E397,"")</f>
        <v>6.3E-3</v>
      </c>
      <c r="H397" s="18">
        <f t="shared" si="179"/>
        <v>0.11952285564832275</v>
      </c>
      <c r="I397" s="18">
        <f t="shared" si="180"/>
        <v>9.6100000000000005E-2</v>
      </c>
      <c r="J397" s="18">
        <f t="shared" si="181"/>
        <v>3.9690000000000001E-5</v>
      </c>
      <c r="K397" s="18">
        <f t="shared" si="182"/>
        <v>0.10717344086947948</v>
      </c>
      <c r="L397" s="18">
        <f t="shared" si="183"/>
        <v>2.1780408950894219E-3</v>
      </c>
      <c r="M397" s="18">
        <f t="shared" si="184"/>
        <v>1.9530000000000001E-3</v>
      </c>
      <c r="N397" s="18">
        <f t="shared" si="186"/>
        <v>2.1096626004500009E-3</v>
      </c>
      <c r="O397" s="18">
        <f t="shared" si="189"/>
        <v>3.1884818171650094E-4</v>
      </c>
      <c r="P397" s="18">
        <f t="shared" si="191"/>
        <v>8.2068777788241575E-3</v>
      </c>
      <c r="Q397" s="18">
        <f t="shared" si="193"/>
        <v>1.0389982301239617E-2</v>
      </c>
      <c r="R397" s="18">
        <f t="shared" si="195"/>
        <v>1.3177441435204478E-2</v>
      </c>
      <c r="S397" s="18">
        <f t="shared" si="197"/>
        <v>5.6033028942789522E-4</v>
      </c>
      <c r="T397" s="18">
        <f t="shared" si="199"/>
        <v>5.5443261822798497E-3</v>
      </c>
      <c r="U397" s="18">
        <f t="shared" si="201"/>
        <v>1.202548755425814E-3</v>
      </c>
      <c r="V397" s="18">
        <f t="shared" si="202"/>
        <v>3.0285715515576852E-3</v>
      </c>
      <c r="W397" s="18">
        <f t="shared" si="203"/>
        <v>2.7957889635905026E-2</v>
      </c>
      <c r="X397" s="18">
        <f t="shared" ref="X397:X460" si="204">IF(ISNUMBER(D386),D386,"")</f>
        <v>0.18869039660610598</v>
      </c>
      <c r="Y397" s="18">
        <f t="shared" si="177"/>
        <v>7.8983549252455553E-3</v>
      </c>
      <c r="AA397" s="18">
        <f t="shared" si="187"/>
        <v>7.9358620203519803E-2</v>
      </c>
      <c r="AB397" s="18">
        <f t="shared" si="188"/>
        <v>6.2977906006065013E-3</v>
      </c>
      <c r="AC397" s="18">
        <f t="shared" si="190"/>
        <v>1.3655142784489553E-3</v>
      </c>
      <c r="AD397" s="18">
        <f t="shared" si="192"/>
        <v>7.6692713285840953E-4</v>
      </c>
      <c r="AE397" s="18">
        <f t="shared" si="194"/>
        <v>1.5476790693359874E-3</v>
      </c>
      <c r="AF397" s="18">
        <f t="shared" si="196"/>
        <v>2.5487949730404767E-2</v>
      </c>
      <c r="AG397" s="18">
        <f t="shared" si="198"/>
        <v>1.058656948412897E-2</v>
      </c>
      <c r="AH397" s="18">
        <f t="shared" si="200"/>
        <v>3.734440442037054E-3</v>
      </c>
      <c r="AJ397" s="18">
        <f>IF(ISNUMBER(Kernel!M397),Kernel!M397,"")</f>
        <v>9.5191186894521995E-2</v>
      </c>
      <c r="AK397" s="18">
        <f t="shared" si="185"/>
        <v>9.0613620623878153E-3</v>
      </c>
      <c r="AN397" s="18">
        <f>IF(ISNUMBER(Volcanic!G397),Volcanic!G397,"")</f>
        <v>5.7499999999999999E-3</v>
      </c>
    </row>
    <row r="398" spans="1:40">
      <c r="A398" s="18" t="str">
        <f>IF(Volcanic!A398="","",Volcanic!A398)</f>
        <v>3/1991</v>
      </c>
      <c r="B398" s="18">
        <f>IF(ISNUMBER(Volcanic!L398),Volcanic!L398,"")</f>
        <v>1991.2083333333333</v>
      </c>
      <c r="C398" s="18">
        <f>IF(ISNUMBER(Volcanic!J398),Volcanic!J398,"")</f>
        <v>-5.6377928652251497E-2</v>
      </c>
      <c r="D398" s="18">
        <f t="shared" si="178"/>
        <v>3.1784708391183604E-3</v>
      </c>
      <c r="E398" s="18">
        <f>IF(ISNUMBER(Volcanic!C398),Volcanic!C398,"")</f>
        <v>0.35183021475275128</v>
      </c>
      <c r="F398" s="18">
        <f>IF(ISNUMBER(Volcanic!D398),Volcanic!D398,"")</f>
        <v>0.34</v>
      </c>
      <c r="G398" s="18">
        <f>IF(ISNUMBER(Volcanic!E398),Volcanic!E398,"")</f>
        <v>6.5799999999999999E-3</v>
      </c>
      <c r="H398" s="18">
        <f t="shared" si="179"/>
        <v>0.12378450001296709</v>
      </c>
      <c r="I398" s="18">
        <f t="shared" si="180"/>
        <v>0.11560000000000002</v>
      </c>
      <c r="J398" s="18">
        <f t="shared" si="181"/>
        <v>4.3296400000000001E-5</v>
      </c>
      <c r="K398" s="18">
        <f t="shared" si="182"/>
        <v>0.11962227301593545</v>
      </c>
      <c r="L398" s="18">
        <f t="shared" si="183"/>
        <v>2.3150428130731034E-3</v>
      </c>
      <c r="M398" s="18">
        <f t="shared" si="184"/>
        <v>2.2372E-3</v>
      </c>
      <c r="N398" s="18">
        <f t="shared" si="186"/>
        <v>1.0496588896562789E-2</v>
      </c>
      <c r="O398" s="18">
        <f t="shared" si="189"/>
        <v>2.1096626004500009E-3</v>
      </c>
      <c r="P398" s="18">
        <f t="shared" si="191"/>
        <v>3.1884818171650094E-4</v>
      </c>
      <c r="Q398" s="18">
        <f t="shared" si="193"/>
        <v>8.2068777788241575E-3</v>
      </c>
      <c r="R398" s="18">
        <f t="shared" si="195"/>
        <v>1.0389982301239617E-2</v>
      </c>
      <c r="S398" s="18">
        <f t="shared" si="197"/>
        <v>1.3177441435204478E-2</v>
      </c>
      <c r="T398" s="18">
        <f t="shared" si="199"/>
        <v>5.6033028942789522E-4</v>
      </c>
      <c r="U398" s="18">
        <f t="shared" si="201"/>
        <v>5.5443261822798497E-3</v>
      </c>
      <c r="V398" s="18">
        <f t="shared" si="202"/>
        <v>1.202548755425814E-3</v>
      </c>
      <c r="W398" s="18">
        <f t="shared" si="203"/>
        <v>3.0285715515576852E-3</v>
      </c>
      <c r="X398" s="18">
        <f t="shared" si="204"/>
        <v>2.7957889635905026E-2</v>
      </c>
      <c r="Y398" s="18">
        <f t="shared" ref="Y398:Y461" si="205">IF(ISNUMBER(D386),D386,"")</f>
        <v>0.18869039660610598</v>
      </c>
      <c r="AA398" s="18">
        <f t="shared" si="187"/>
        <v>-0.1078914570202695</v>
      </c>
      <c r="AB398" s="18">
        <f t="shared" si="188"/>
        <v>1.1640566497956662E-2</v>
      </c>
      <c r="AC398" s="18">
        <f t="shared" si="190"/>
        <v>6.2977906006065013E-3</v>
      </c>
      <c r="AD398" s="18">
        <f t="shared" si="192"/>
        <v>1.3655142784489553E-3</v>
      </c>
      <c r="AE398" s="18">
        <f t="shared" si="194"/>
        <v>7.6692713285840953E-4</v>
      </c>
      <c r="AF398" s="18">
        <f t="shared" si="196"/>
        <v>1.5476790693359874E-3</v>
      </c>
      <c r="AG398" s="18">
        <f t="shared" si="198"/>
        <v>2.5487949730404767E-2</v>
      </c>
      <c r="AH398" s="18">
        <f t="shared" si="200"/>
        <v>1.058656948412897E-2</v>
      </c>
      <c r="AJ398" s="18">
        <f>IF(ISNUMBER(Kernel!M398),Kernel!M398,"")</f>
        <v>-6.1740932942216609E-2</v>
      </c>
      <c r="AK398" s="18">
        <f t="shared" si="185"/>
        <v>3.8119428005752879E-3</v>
      </c>
      <c r="AN398" s="18">
        <f>IF(ISNUMBER(Volcanic!G398),Volcanic!G398,"")</f>
        <v>5.6299999999999996E-3</v>
      </c>
    </row>
    <row r="399" spans="1:40">
      <c r="A399" s="18" t="str">
        <f>IF(Volcanic!A399="","",Volcanic!A399)</f>
        <v>4/1991</v>
      </c>
      <c r="B399" s="18">
        <f>IF(ISNUMBER(Volcanic!L399),Volcanic!L399,"")</f>
        <v>1991.2916666666667</v>
      </c>
      <c r="C399" s="18">
        <f>IF(ISNUMBER(Volcanic!J399),Volcanic!J399,"")</f>
        <v>7.6913012479698784E-2</v>
      </c>
      <c r="D399" s="18">
        <f t="shared" si="178"/>
        <v>5.9156114887023012E-3</v>
      </c>
      <c r="E399" s="18">
        <f>IF(ISNUMBER(Volcanic!C399),Volcanic!C399,"")</f>
        <v>0.35763243136807038</v>
      </c>
      <c r="F399" s="18">
        <f>IF(ISNUMBER(Volcanic!D399),Volcanic!D399,"")</f>
        <v>0.35</v>
      </c>
      <c r="G399" s="18">
        <f>IF(ISNUMBER(Volcanic!E399),Volcanic!E399,"")</f>
        <v>6.6E-3</v>
      </c>
      <c r="H399" s="18">
        <f t="shared" si="179"/>
        <v>0.12790095596623757</v>
      </c>
      <c r="I399" s="18">
        <f t="shared" si="180"/>
        <v>0.12249999999999998</v>
      </c>
      <c r="J399" s="18">
        <f t="shared" si="181"/>
        <v>4.3559999999999996E-5</v>
      </c>
      <c r="K399" s="18">
        <f t="shared" si="182"/>
        <v>0.12517135097882462</v>
      </c>
      <c r="L399" s="18">
        <f t="shared" si="183"/>
        <v>2.3603740470292643E-3</v>
      </c>
      <c r="M399" s="18">
        <f t="shared" si="184"/>
        <v>2.31E-3</v>
      </c>
      <c r="N399" s="18">
        <f t="shared" si="186"/>
        <v>3.1784708391183604E-3</v>
      </c>
      <c r="O399" s="18">
        <f t="shared" si="189"/>
        <v>1.0496588896562789E-2</v>
      </c>
      <c r="P399" s="18">
        <f t="shared" si="191"/>
        <v>2.1096626004500009E-3</v>
      </c>
      <c r="Q399" s="18">
        <f t="shared" si="193"/>
        <v>3.1884818171650094E-4</v>
      </c>
      <c r="R399" s="18">
        <f t="shared" si="195"/>
        <v>8.2068777788241575E-3</v>
      </c>
      <c r="S399" s="18">
        <f t="shared" si="197"/>
        <v>1.0389982301239617E-2</v>
      </c>
      <c r="T399" s="18">
        <f t="shared" si="199"/>
        <v>1.3177441435204478E-2</v>
      </c>
      <c r="U399" s="18">
        <f t="shared" si="201"/>
        <v>5.6033028942789522E-4</v>
      </c>
      <c r="V399" s="18">
        <f t="shared" si="202"/>
        <v>5.5443261822798497E-3</v>
      </c>
      <c r="W399" s="18">
        <f t="shared" si="203"/>
        <v>1.202548755425814E-3</v>
      </c>
      <c r="X399" s="18">
        <f t="shared" si="204"/>
        <v>3.0285715515576852E-3</v>
      </c>
      <c r="Y399" s="18">
        <f t="shared" si="205"/>
        <v>2.7957889635905026E-2</v>
      </c>
      <c r="AA399" s="18">
        <f t="shared" si="187"/>
        <v>0.10525996126341405</v>
      </c>
      <c r="AB399" s="18">
        <f t="shared" si="188"/>
        <v>1.1079659445175426E-2</v>
      </c>
      <c r="AC399" s="18">
        <f t="shared" si="190"/>
        <v>1.1640566497956662E-2</v>
      </c>
      <c r="AD399" s="18">
        <f t="shared" si="192"/>
        <v>6.2977906006065013E-3</v>
      </c>
      <c r="AE399" s="18">
        <f t="shared" si="194"/>
        <v>1.3655142784489553E-3</v>
      </c>
      <c r="AF399" s="18">
        <f t="shared" si="196"/>
        <v>7.6692713285840953E-4</v>
      </c>
      <c r="AG399" s="18">
        <f t="shared" si="198"/>
        <v>1.5476790693359874E-3</v>
      </c>
      <c r="AH399" s="18">
        <f t="shared" si="200"/>
        <v>2.5487949730404767E-2</v>
      </c>
      <c r="AJ399" s="18">
        <f>IF(ISNUMBER(Kernel!M399),Kernel!M399,"")</f>
        <v>7.0890350500198263E-2</v>
      </c>
      <c r="AK399" s="18">
        <f t="shared" si="185"/>
        <v>5.02544179404096E-3</v>
      </c>
      <c r="AN399" s="18">
        <f>IF(ISNUMBER(Volcanic!G399),Volcanic!G399,"")</f>
        <v>5.5700000000000003E-3</v>
      </c>
    </row>
    <row r="400" spans="1:40">
      <c r="A400" s="18" t="str">
        <f>IF(Volcanic!A400="","",Volcanic!A400)</f>
        <v>5/1991</v>
      </c>
      <c r="B400" s="18">
        <f>IF(ISNUMBER(Volcanic!L400),Volcanic!L400,"")</f>
        <v>1991.375</v>
      </c>
      <c r="C400" s="18">
        <f>IF(ISNUMBER(Volcanic!J400),Volcanic!J400,"")</f>
        <v>-9.0547421223835023E-2</v>
      </c>
      <c r="D400" s="18">
        <f t="shared" si="178"/>
        <v>8.1988354902866097E-3</v>
      </c>
      <c r="E400" s="18">
        <f>IF(ISNUMBER(Volcanic!C400),Volcanic!C400,"")</f>
        <v>0.3594810102249153</v>
      </c>
      <c r="F400" s="18">
        <f>IF(ISNUMBER(Volcanic!D400),Volcanic!D400,"")</f>
        <v>0.26</v>
      </c>
      <c r="G400" s="18">
        <f>IF(ISNUMBER(Volcanic!E400),Volcanic!E400,"")</f>
        <v>6.2500000000000003E-3</v>
      </c>
      <c r="H400" s="18">
        <f t="shared" si="179"/>
        <v>0.12922659671232567</v>
      </c>
      <c r="I400" s="18">
        <f t="shared" si="180"/>
        <v>6.7600000000000007E-2</v>
      </c>
      <c r="J400" s="18">
        <f t="shared" si="181"/>
        <v>3.9062500000000008E-5</v>
      </c>
      <c r="K400" s="18">
        <f t="shared" si="182"/>
        <v>9.3465062658477982E-2</v>
      </c>
      <c r="L400" s="18">
        <f t="shared" si="183"/>
        <v>2.2467563139057208E-3</v>
      </c>
      <c r="M400" s="18">
        <f t="shared" si="184"/>
        <v>1.6250000000000001E-3</v>
      </c>
      <c r="N400" s="18">
        <f t="shared" si="186"/>
        <v>5.9156114887023012E-3</v>
      </c>
      <c r="O400" s="18">
        <f t="shared" si="189"/>
        <v>3.1784708391183604E-3</v>
      </c>
      <c r="P400" s="18">
        <f t="shared" si="191"/>
        <v>1.0496588896562789E-2</v>
      </c>
      <c r="Q400" s="18">
        <f t="shared" si="193"/>
        <v>2.1096626004500009E-3</v>
      </c>
      <c r="R400" s="18">
        <f t="shared" si="195"/>
        <v>3.1884818171650094E-4</v>
      </c>
      <c r="S400" s="18">
        <f t="shared" si="197"/>
        <v>8.2068777788241575E-3</v>
      </c>
      <c r="T400" s="18">
        <f t="shared" si="199"/>
        <v>1.0389982301239617E-2</v>
      </c>
      <c r="U400" s="18">
        <f t="shared" si="201"/>
        <v>1.3177441435204478E-2</v>
      </c>
      <c r="V400" s="18">
        <f t="shared" si="202"/>
        <v>5.6033028942789522E-4</v>
      </c>
      <c r="W400" s="18">
        <f t="shared" si="203"/>
        <v>5.5443261822798497E-3</v>
      </c>
      <c r="X400" s="18">
        <f t="shared" si="204"/>
        <v>1.202548755425814E-3</v>
      </c>
      <c r="Y400" s="18">
        <f t="shared" si="205"/>
        <v>3.0285715515576852E-3</v>
      </c>
      <c r="AA400" s="18">
        <f t="shared" si="187"/>
        <v>-0.12921945614394387</v>
      </c>
      <c r="AB400" s="18">
        <f t="shared" si="188"/>
        <v>1.6697667846136632E-2</v>
      </c>
      <c r="AC400" s="18">
        <f t="shared" si="190"/>
        <v>1.1079659445175426E-2</v>
      </c>
      <c r="AD400" s="18">
        <f t="shared" si="192"/>
        <v>1.1640566497956662E-2</v>
      </c>
      <c r="AE400" s="18">
        <f t="shared" si="194"/>
        <v>6.2977906006065013E-3</v>
      </c>
      <c r="AF400" s="18">
        <f t="shared" si="196"/>
        <v>1.3655142784489553E-3</v>
      </c>
      <c r="AG400" s="18">
        <f t="shared" si="198"/>
        <v>7.6692713285840953E-4</v>
      </c>
      <c r="AH400" s="18">
        <f t="shared" si="200"/>
        <v>1.5476790693359874E-3</v>
      </c>
      <c r="AJ400" s="18">
        <f>IF(ISNUMBER(Kernel!M400),Kernel!M400,"")</f>
        <v>-0.10988210438534651</v>
      </c>
      <c r="AK400" s="18">
        <f t="shared" si="185"/>
        <v>1.2074076864152187E-2</v>
      </c>
      <c r="AN400" s="18">
        <f>IF(ISNUMBER(Volcanic!G400),Volcanic!G400,"")</f>
        <v>5.5500000000000002E-3</v>
      </c>
    </row>
    <row r="401" spans="1:40">
      <c r="A401" s="18" t="str">
        <f>IF(Volcanic!A401="","",Volcanic!A401)</f>
        <v>6/1991</v>
      </c>
      <c r="B401" s="18">
        <f>IF(ISNUMBER(Volcanic!L401),Volcanic!L401,"")</f>
        <v>1991.4583333333333</v>
      </c>
      <c r="C401" s="18">
        <f>IF(ISNUMBER(Volcanic!J401),Volcanic!J401,"")</f>
        <v>0.1130072218353414</v>
      </c>
      <c r="D401" s="18">
        <f t="shared" si="178"/>
        <v>1.2770632186942061E-2</v>
      </c>
      <c r="E401" s="18">
        <f>IF(ISNUMBER(Volcanic!C401),Volcanic!C401,"")</f>
        <v>0.35545933382447809</v>
      </c>
      <c r="F401" s="18">
        <f>IF(ISNUMBER(Volcanic!D401),Volcanic!D401,"")</f>
        <v>0.23</v>
      </c>
      <c r="G401" s="18">
        <f>IF(ISNUMBER(Volcanic!E401),Volcanic!E401,"")</f>
        <v>6.1599999999999997E-3</v>
      </c>
      <c r="H401" s="18">
        <f t="shared" si="179"/>
        <v>0.12635133800294174</v>
      </c>
      <c r="I401" s="18">
        <f t="shared" si="180"/>
        <v>5.2900000000000003E-2</v>
      </c>
      <c r="J401" s="18">
        <f t="shared" si="181"/>
        <v>3.7945599999999998E-5</v>
      </c>
      <c r="K401" s="18">
        <f t="shared" si="182"/>
        <v>8.1755646779629959E-2</v>
      </c>
      <c r="L401" s="18">
        <f t="shared" si="183"/>
        <v>2.189629496358785E-3</v>
      </c>
      <c r="M401" s="18">
        <f t="shared" si="184"/>
        <v>1.4168E-3</v>
      </c>
      <c r="N401" s="18">
        <f t="shared" si="186"/>
        <v>8.1988354902866097E-3</v>
      </c>
      <c r="O401" s="18">
        <f t="shared" si="189"/>
        <v>5.9156114887023012E-3</v>
      </c>
      <c r="P401" s="18">
        <f t="shared" si="191"/>
        <v>3.1784708391183604E-3</v>
      </c>
      <c r="Q401" s="18">
        <f t="shared" si="193"/>
        <v>1.0496588896562789E-2</v>
      </c>
      <c r="R401" s="18">
        <f t="shared" si="195"/>
        <v>2.1096626004500009E-3</v>
      </c>
      <c r="S401" s="18">
        <f t="shared" si="197"/>
        <v>3.1884818171650094E-4</v>
      </c>
      <c r="T401" s="18">
        <f t="shared" si="199"/>
        <v>8.2068777788241575E-3</v>
      </c>
      <c r="U401" s="18">
        <f t="shared" si="201"/>
        <v>1.0389982301239617E-2</v>
      </c>
      <c r="V401" s="18">
        <f t="shared" si="202"/>
        <v>1.3177441435204478E-2</v>
      </c>
      <c r="W401" s="18">
        <f t="shared" si="203"/>
        <v>5.6033028942789522E-4</v>
      </c>
      <c r="X401" s="18">
        <f t="shared" si="204"/>
        <v>5.5443261822798497E-3</v>
      </c>
      <c r="Y401" s="18">
        <f t="shared" si="205"/>
        <v>1.202548755425814E-3</v>
      </c>
      <c r="AA401" s="18">
        <f t="shared" si="187"/>
        <v>0.15853466800601654</v>
      </c>
      <c r="AB401" s="18">
        <f t="shared" si="188"/>
        <v>2.5133240959777883E-2</v>
      </c>
      <c r="AC401" s="18">
        <f t="shared" si="190"/>
        <v>1.6697667846136632E-2</v>
      </c>
      <c r="AD401" s="18">
        <f t="shared" si="192"/>
        <v>1.1079659445175426E-2</v>
      </c>
      <c r="AE401" s="18">
        <f t="shared" si="194"/>
        <v>1.1640566497956662E-2</v>
      </c>
      <c r="AF401" s="18">
        <f t="shared" si="196"/>
        <v>6.2977906006065013E-3</v>
      </c>
      <c r="AG401" s="18">
        <f t="shared" si="198"/>
        <v>1.3655142784489553E-3</v>
      </c>
      <c r="AH401" s="18">
        <f t="shared" si="200"/>
        <v>7.6692713285840953E-4</v>
      </c>
      <c r="AJ401" s="18">
        <f>IF(ISNUMBER(Kernel!M401),Kernel!M401,"")</f>
        <v>8.3184061983116508E-2</v>
      </c>
      <c r="AK401" s="18">
        <f t="shared" si="185"/>
        <v>6.9195881680109688E-3</v>
      </c>
      <c r="AN401" s="18">
        <f>IF(ISNUMBER(Volcanic!G401),Volcanic!G401,"")</f>
        <v>6.0099999999999997E-3</v>
      </c>
    </row>
    <row r="402" spans="1:40">
      <c r="A402" s="18" t="str">
        <f>IF(Volcanic!A402="","",Volcanic!A402)</f>
        <v>7/1991</v>
      </c>
      <c r="B402" s="18">
        <f>IF(ISNUMBER(Volcanic!L402),Volcanic!L402,"")</f>
        <v>1991.5416666666667</v>
      </c>
      <c r="C402" s="18">
        <f>IF(ISNUMBER(Volcanic!J402),Volcanic!J402,"")</f>
        <v>7.8102103571609849E-2</v>
      </c>
      <c r="D402" s="18">
        <f t="shared" si="178"/>
        <v>6.0999385823104716E-3</v>
      </c>
      <c r="E402" s="18">
        <f>IF(ISNUMBER(Volcanic!C402),Volcanic!C402,"")</f>
        <v>0.34766565630097057</v>
      </c>
      <c r="F402" s="18">
        <f>IF(ISNUMBER(Volcanic!D402),Volcanic!D402,"")</f>
        <v>0.28999999999999998</v>
      </c>
      <c r="G402" s="18">
        <f>IF(ISNUMBER(Volcanic!E402),Volcanic!E402,"")</f>
        <v>5.8900000000000003E-3</v>
      </c>
      <c r="H402" s="18">
        <f t="shared" si="179"/>
        <v>0.1208714085711846</v>
      </c>
      <c r="I402" s="18">
        <f t="shared" si="180"/>
        <v>8.4099999999999994E-2</v>
      </c>
      <c r="J402" s="18">
        <f t="shared" si="181"/>
        <v>3.4692100000000006E-5</v>
      </c>
      <c r="K402" s="18">
        <f t="shared" si="182"/>
        <v>0.10082304032728145</v>
      </c>
      <c r="L402" s="18">
        <f t="shared" si="183"/>
        <v>2.0477507156127167E-3</v>
      </c>
      <c r="M402" s="18">
        <f t="shared" si="184"/>
        <v>1.7080999999999999E-3</v>
      </c>
      <c r="N402" s="18">
        <f t="shared" si="186"/>
        <v>1.2770632186942061E-2</v>
      </c>
      <c r="O402" s="18">
        <f t="shared" si="189"/>
        <v>8.1988354902866097E-3</v>
      </c>
      <c r="P402" s="18">
        <f t="shared" si="191"/>
        <v>5.9156114887023012E-3</v>
      </c>
      <c r="Q402" s="18">
        <f t="shared" si="193"/>
        <v>3.1784708391183604E-3</v>
      </c>
      <c r="R402" s="18">
        <f t="shared" si="195"/>
        <v>1.0496588896562789E-2</v>
      </c>
      <c r="S402" s="18">
        <f t="shared" si="197"/>
        <v>2.1096626004500009E-3</v>
      </c>
      <c r="T402" s="18">
        <f t="shared" si="199"/>
        <v>3.1884818171650094E-4</v>
      </c>
      <c r="U402" s="18">
        <f t="shared" si="201"/>
        <v>8.2068777788241575E-3</v>
      </c>
      <c r="V402" s="18">
        <f t="shared" si="202"/>
        <v>1.0389982301239617E-2</v>
      </c>
      <c r="W402" s="18">
        <f t="shared" si="203"/>
        <v>1.3177441435204478E-2</v>
      </c>
      <c r="X402" s="18">
        <f t="shared" si="204"/>
        <v>5.6033028942789522E-4</v>
      </c>
      <c r="Y402" s="18">
        <f t="shared" si="205"/>
        <v>5.5443261822798497E-3</v>
      </c>
      <c r="AA402" s="18">
        <f t="shared" si="187"/>
        <v>2.1281819355147398E-2</v>
      </c>
      <c r="AB402" s="18">
        <f t="shared" si="188"/>
        <v>4.5291583506512639E-4</v>
      </c>
      <c r="AC402" s="18">
        <f t="shared" si="190"/>
        <v>2.5133240959777883E-2</v>
      </c>
      <c r="AD402" s="18">
        <f t="shared" si="192"/>
        <v>1.6697667846136632E-2</v>
      </c>
      <c r="AE402" s="18">
        <f t="shared" si="194"/>
        <v>1.1079659445175426E-2</v>
      </c>
      <c r="AF402" s="18">
        <f t="shared" si="196"/>
        <v>1.1640566497956662E-2</v>
      </c>
      <c r="AG402" s="18">
        <f t="shared" si="198"/>
        <v>6.2977906006065013E-3</v>
      </c>
      <c r="AH402" s="18">
        <f t="shared" si="200"/>
        <v>1.3655142784489553E-3</v>
      </c>
      <c r="AJ402" s="18">
        <f>IF(ISNUMBER(Kernel!M402),Kernel!M402,"")</f>
        <v>4.9874849873585647E-2</v>
      </c>
      <c r="AK402" s="18">
        <f t="shared" si="185"/>
        <v>2.4875006499127062E-3</v>
      </c>
      <c r="AN402" s="18">
        <f>IF(ISNUMBER(Volcanic!G402),Volcanic!G402,"")</f>
        <v>2.5409999999999999E-2</v>
      </c>
    </row>
    <row r="403" spans="1:40">
      <c r="A403" s="18" t="str">
        <f>IF(Volcanic!A403="","",Volcanic!A403)</f>
        <v>8/1991</v>
      </c>
      <c r="B403" s="18">
        <f>IF(ISNUMBER(Volcanic!L403),Volcanic!L403,"")</f>
        <v>1991.625</v>
      </c>
      <c r="C403" s="18">
        <f>IF(ISNUMBER(Volcanic!J403),Volcanic!J403,"")</f>
        <v>-4.8827869040066196E-3</v>
      </c>
      <c r="D403" s="18">
        <f t="shared" si="178"/>
        <v>2.3841607949938551E-5</v>
      </c>
      <c r="E403" s="18">
        <f>IF(ISNUMBER(Volcanic!C403),Volcanic!C403,"")</f>
        <v>0.33820026566553218</v>
      </c>
      <c r="F403" s="18">
        <f>IF(ISNUMBER(Volcanic!D403),Volcanic!D403,"")</f>
        <v>0.49</v>
      </c>
      <c r="G403" s="18">
        <f>IF(ISNUMBER(Volcanic!E403),Volcanic!E403,"")</f>
        <v>5.7800000000000004E-3</v>
      </c>
      <c r="H403" s="18">
        <f t="shared" si="179"/>
        <v>0.11437941969623655</v>
      </c>
      <c r="I403" s="18">
        <f t="shared" si="180"/>
        <v>0.24009999999999998</v>
      </c>
      <c r="J403" s="18">
        <f t="shared" si="181"/>
        <v>3.3408400000000004E-5</v>
      </c>
      <c r="K403" s="18">
        <f t="shared" si="182"/>
        <v>0.16571813017611076</v>
      </c>
      <c r="L403" s="18">
        <f t="shared" si="183"/>
        <v>1.9547975355467761E-3</v>
      </c>
      <c r="M403" s="18">
        <f t="shared" si="184"/>
        <v>2.8322E-3</v>
      </c>
      <c r="N403" s="18">
        <f t="shared" si="186"/>
        <v>6.0999385823104716E-3</v>
      </c>
      <c r="O403" s="18">
        <f t="shared" si="189"/>
        <v>1.2770632186942061E-2</v>
      </c>
      <c r="P403" s="18">
        <f t="shared" si="191"/>
        <v>8.1988354902866097E-3</v>
      </c>
      <c r="Q403" s="18">
        <f t="shared" si="193"/>
        <v>5.9156114887023012E-3</v>
      </c>
      <c r="R403" s="18">
        <f t="shared" si="195"/>
        <v>3.1784708391183604E-3</v>
      </c>
      <c r="S403" s="18">
        <f t="shared" si="197"/>
        <v>1.0496588896562789E-2</v>
      </c>
      <c r="T403" s="18">
        <f t="shared" si="199"/>
        <v>2.1096626004500009E-3</v>
      </c>
      <c r="U403" s="18">
        <f t="shared" si="201"/>
        <v>3.1884818171650094E-4</v>
      </c>
      <c r="V403" s="18">
        <f t="shared" si="202"/>
        <v>8.2068777788241575E-3</v>
      </c>
      <c r="W403" s="18">
        <f t="shared" si="203"/>
        <v>1.0389982301239617E-2</v>
      </c>
      <c r="X403" s="18">
        <f t="shared" si="204"/>
        <v>1.3177441435204478E-2</v>
      </c>
      <c r="Y403" s="18">
        <f t="shared" si="205"/>
        <v>5.6033028942789522E-4</v>
      </c>
      <c r="AA403" s="18">
        <f t="shared" si="187"/>
        <v>-4.4152699488076576E-2</v>
      </c>
      <c r="AB403" s="18">
        <f t="shared" si="188"/>
        <v>1.9494608720843976E-3</v>
      </c>
      <c r="AC403" s="18">
        <f t="shared" si="190"/>
        <v>4.5291583506512639E-4</v>
      </c>
      <c r="AD403" s="18">
        <f t="shared" si="192"/>
        <v>2.5133240959777883E-2</v>
      </c>
      <c r="AE403" s="18">
        <f t="shared" si="194"/>
        <v>1.6697667846136632E-2</v>
      </c>
      <c r="AF403" s="18">
        <f t="shared" si="196"/>
        <v>1.1079659445175426E-2</v>
      </c>
      <c r="AG403" s="18">
        <f t="shared" si="198"/>
        <v>1.1640566497956662E-2</v>
      </c>
      <c r="AH403" s="18">
        <f t="shared" si="200"/>
        <v>6.2977906006065013E-3</v>
      </c>
      <c r="AJ403" s="18">
        <f>IF(ISNUMBER(Kernel!M403),Kernel!M403,"")</f>
        <v>-9.0610809692537875E-3</v>
      </c>
      <c r="AK403" s="18">
        <f t="shared" si="185"/>
        <v>8.2103188331373157E-5</v>
      </c>
      <c r="AN403" s="18">
        <f>IF(ISNUMBER(Volcanic!G403),Volcanic!G403,"")</f>
        <v>4.9849999999999998E-2</v>
      </c>
    </row>
    <row r="404" spans="1:40">
      <c r="A404" s="18" t="str">
        <f>IF(Volcanic!A404="","",Volcanic!A404)</f>
        <v>9/1991</v>
      </c>
      <c r="B404" s="18">
        <f>IF(ISNUMBER(Volcanic!L404),Volcanic!L404,"")</f>
        <v>1991.7083333333333</v>
      </c>
      <c r="C404" s="18">
        <f>IF(ISNUMBER(Volcanic!J404),Volcanic!J404,"")</f>
        <v>5.0221350043471114E-2</v>
      </c>
      <c r="D404" s="18">
        <f t="shared" si="178"/>
        <v>2.5221840001888561E-3</v>
      </c>
      <c r="E404" s="18">
        <f>IF(ISNUMBER(Volcanic!C404),Volcanic!C404,"")</f>
        <v>0.33154144137771635</v>
      </c>
      <c r="F404" s="18">
        <f>IF(ISNUMBER(Volcanic!D404),Volcanic!D404,"")</f>
        <v>0.63</v>
      </c>
      <c r="G404" s="18">
        <f>IF(ISNUMBER(Volcanic!E404),Volcanic!E404,"")</f>
        <v>5.7499999999999999E-3</v>
      </c>
      <c r="H404" s="18">
        <f t="shared" si="179"/>
        <v>0.10991972735081373</v>
      </c>
      <c r="I404" s="18">
        <f t="shared" si="180"/>
        <v>0.39690000000000003</v>
      </c>
      <c r="J404" s="18">
        <f t="shared" si="181"/>
        <v>3.3062499999999997E-5</v>
      </c>
      <c r="K404" s="18">
        <f t="shared" si="182"/>
        <v>0.2088711080679613</v>
      </c>
      <c r="L404" s="18">
        <f t="shared" si="183"/>
        <v>1.906363287921869E-3</v>
      </c>
      <c r="M404" s="18">
        <f t="shared" si="184"/>
        <v>3.6224999999999999E-3</v>
      </c>
      <c r="N404" s="18">
        <f t="shared" si="186"/>
        <v>2.3841607949938551E-5</v>
      </c>
      <c r="O404" s="18">
        <f t="shared" si="189"/>
        <v>6.0999385823104716E-3</v>
      </c>
      <c r="P404" s="18">
        <f t="shared" si="191"/>
        <v>1.2770632186942061E-2</v>
      </c>
      <c r="Q404" s="18">
        <f t="shared" si="193"/>
        <v>8.1988354902866097E-3</v>
      </c>
      <c r="R404" s="18">
        <f t="shared" si="195"/>
        <v>5.9156114887023012E-3</v>
      </c>
      <c r="S404" s="18">
        <f t="shared" si="197"/>
        <v>3.1784708391183604E-3</v>
      </c>
      <c r="T404" s="18">
        <f t="shared" si="199"/>
        <v>1.0496588896562789E-2</v>
      </c>
      <c r="U404" s="18">
        <f t="shared" si="201"/>
        <v>2.1096626004500009E-3</v>
      </c>
      <c r="V404" s="18">
        <f t="shared" si="202"/>
        <v>3.1884818171650094E-4</v>
      </c>
      <c r="W404" s="18">
        <f t="shared" si="203"/>
        <v>8.2068777788241575E-3</v>
      </c>
      <c r="X404" s="18">
        <f t="shared" si="204"/>
        <v>1.0389982301239617E-2</v>
      </c>
      <c r="Y404" s="18">
        <f t="shared" si="205"/>
        <v>1.3177441435204478E-2</v>
      </c>
      <c r="AA404" s="18">
        <f t="shared" si="187"/>
        <v>5.2676426233719612E-2</v>
      </c>
      <c r="AB404" s="18">
        <f t="shared" si="188"/>
        <v>2.7748058807565037E-3</v>
      </c>
      <c r="AC404" s="18">
        <f t="shared" si="190"/>
        <v>1.9494608720843976E-3</v>
      </c>
      <c r="AD404" s="18">
        <f t="shared" si="192"/>
        <v>4.5291583506512639E-4</v>
      </c>
      <c r="AE404" s="18">
        <f t="shared" si="194"/>
        <v>2.5133240959777883E-2</v>
      </c>
      <c r="AF404" s="18">
        <f t="shared" si="196"/>
        <v>1.6697667846136632E-2</v>
      </c>
      <c r="AG404" s="18">
        <f t="shared" si="198"/>
        <v>1.1079659445175426E-2</v>
      </c>
      <c r="AH404" s="18">
        <f t="shared" si="200"/>
        <v>1.1640566497956662E-2</v>
      </c>
      <c r="AJ404" s="18">
        <f>IF(ISNUMBER(Kernel!M404),Kernel!M404,"")</f>
        <v>6.9996172398324341E-2</v>
      </c>
      <c r="AK404" s="18">
        <f t="shared" si="185"/>
        <v>4.8994641504159419E-3</v>
      </c>
      <c r="AN404" s="18">
        <f>IF(ISNUMBER(Volcanic!G404),Volcanic!G404,"")</f>
        <v>7.442E-2</v>
      </c>
    </row>
    <row r="405" spans="1:40">
      <c r="A405" s="18" t="str">
        <f>IF(Volcanic!A405="","",Volcanic!A405)</f>
        <v>10/1991</v>
      </c>
      <c r="B405" s="18">
        <f>IF(ISNUMBER(Volcanic!L405),Volcanic!L405,"")</f>
        <v>1991.7916666666667</v>
      </c>
      <c r="C405" s="18">
        <f>IF(ISNUMBER(Volcanic!J405),Volcanic!J405,"")</f>
        <v>-0.114038963239814</v>
      </c>
      <c r="D405" s="18">
        <f t="shared" si="178"/>
        <v>1.3004885136811648E-2</v>
      </c>
      <c r="E405" s="18">
        <f>IF(ISNUMBER(Volcanic!C405),Volcanic!C405,"")</f>
        <v>0.3319099092591129</v>
      </c>
      <c r="F405" s="18">
        <f>IF(ISNUMBER(Volcanic!D405),Volcanic!D405,"")</f>
        <v>0.77</v>
      </c>
      <c r="G405" s="18">
        <f>IF(ISNUMBER(Volcanic!E405),Volcanic!E405,"")</f>
        <v>5.6299999999999996E-3</v>
      </c>
      <c r="H405" s="18">
        <f t="shared" si="179"/>
        <v>0.11016418786439255</v>
      </c>
      <c r="I405" s="18">
        <f t="shared" si="180"/>
        <v>0.59289999999999998</v>
      </c>
      <c r="J405" s="18">
        <f t="shared" si="181"/>
        <v>3.1696899999999998E-5</v>
      </c>
      <c r="K405" s="18">
        <f t="shared" si="182"/>
        <v>0.25557063012951692</v>
      </c>
      <c r="L405" s="18">
        <f t="shared" si="183"/>
        <v>1.8686527891288054E-3</v>
      </c>
      <c r="M405" s="18">
        <f t="shared" si="184"/>
        <v>4.3350999999999997E-3</v>
      </c>
      <c r="N405" s="18">
        <f t="shared" si="186"/>
        <v>2.5221840001888561E-3</v>
      </c>
      <c r="O405" s="18">
        <f t="shared" si="189"/>
        <v>2.3841607949938551E-5</v>
      </c>
      <c r="P405" s="18">
        <f t="shared" si="191"/>
        <v>6.0999385823104716E-3</v>
      </c>
      <c r="Q405" s="18">
        <f t="shared" si="193"/>
        <v>1.2770632186942061E-2</v>
      </c>
      <c r="R405" s="18">
        <f t="shared" si="195"/>
        <v>8.1988354902866097E-3</v>
      </c>
      <c r="S405" s="18">
        <f t="shared" si="197"/>
        <v>5.9156114887023012E-3</v>
      </c>
      <c r="T405" s="18">
        <f t="shared" si="199"/>
        <v>3.1784708391183604E-3</v>
      </c>
      <c r="U405" s="18">
        <f t="shared" si="201"/>
        <v>1.0496588896562789E-2</v>
      </c>
      <c r="V405" s="18">
        <f t="shared" si="202"/>
        <v>2.1096626004500009E-3</v>
      </c>
      <c r="W405" s="18">
        <f t="shared" si="203"/>
        <v>3.1884818171650094E-4</v>
      </c>
      <c r="X405" s="18">
        <f t="shared" si="204"/>
        <v>8.2068777788241575E-3</v>
      </c>
      <c r="Y405" s="18">
        <f t="shared" si="205"/>
        <v>1.0389982301239617E-2</v>
      </c>
      <c r="AA405" s="18">
        <f t="shared" si="187"/>
        <v>-0.13929037051148677</v>
      </c>
      <c r="AB405" s="18">
        <f t="shared" si="188"/>
        <v>1.9401807317227262E-2</v>
      </c>
      <c r="AC405" s="18">
        <f t="shared" si="190"/>
        <v>2.7748058807565037E-3</v>
      </c>
      <c r="AD405" s="18">
        <f t="shared" si="192"/>
        <v>1.9494608720843976E-3</v>
      </c>
      <c r="AE405" s="18">
        <f t="shared" si="194"/>
        <v>4.5291583506512639E-4</v>
      </c>
      <c r="AF405" s="18">
        <f t="shared" si="196"/>
        <v>2.5133240959777883E-2</v>
      </c>
      <c r="AG405" s="18">
        <f t="shared" si="198"/>
        <v>1.6697667846136632E-2</v>
      </c>
      <c r="AH405" s="18">
        <f t="shared" si="200"/>
        <v>1.1079659445175426E-2</v>
      </c>
      <c r="AJ405" s="18">
        <f>IF(ISNUMBER(Kernel!M405),Kernel!M405,"")</f>
        <v>-6.5959826586085013E-2</v>
      </c>
      <c r="AK405" s="18">
        <f t="shared" si="185"/>
        <v>4.3506987232664069E-3</v>
      </c>
      <c r="AN405" s="18">
        <f>IF(ISNUMBER(Volcanic!G405),Volcanic!G405,"")</f>
        <v>9.9510000000000001E-2</v>
      </c>
    </row>
    <row r="406" spans="1:40">
      <c r="A406" s="18" t="str">
        <f>IF(Volcanic!A406="","",Volcanic!A406)</f>
        <v>11/1991</v>
      </c>
      <c r="B406" s="18">
        <f>IF(ISNUMBER(Volcanic!L406),Volcanic!L406,"")</f>
        <v>1991.875</v>
      </c>
      <c r="C406" s="18">
        <f>IF(ISNUMBER(Volcanic!J406),Volcanic!J406,"")</f>
        <v>-0.11115855756602322</v>
      </c>
      <c r="D406" s="18">
        <f t="shared" si="178"/>
        <v>1.2356224920158898E-2</v>
      </c>
      <c r="E406" s="18">
        <f>IF(ISNUMBER(Volcanic!C406),Volcanic!C406,"")</f>
        <v>0.3378741684040325</v>
      </c>
      <c r="F406" s="18">
        <f>IF(ISNUMBER(Volcanic!D406),Volcanic!D406,"")</f>
        <v>0.67</v>
      </c>
      <c r="G406" s="18">
        <f>IF(ISNUMBER(Volcanic!E406),Volcanic!E406,"")</f>
        <v>5.5700000000000003E-3</v>
      </c>
      <c r="H406" s="18">
        <f t="shared" si="179"/>
        <v>0.11415895367471651</v>
      </c>
      <c r="I406" s="18">
        <f t="shared" si="180"/>
        <v>0.44890000000000008</v>
      </c>
      <c r="J406" s="18">
        <f t="shared" si="181"/>
        <v>3.1024900000000002E-5</v>
      </c>
      <c r="K406" s="18">
        <f t="shared" si="182"/>
        <v>0.2263756928307018</v>
      </c>
      <c r="L406" s="18">
        <f t="shared" si="183"/>
        <v>1.8819591180104611E-3</v>
      </c>
      <c r="M406" s="18">
        <f t="shared" si="184"/>
        <v>3.7319000000000002E-3</v>
      </c>
      <c r="N406" s="18">
        <f t="shared" si="186"/>
        <v>1.3004885136811648E-2</v>
      </c>
      <c r="O406" s="18">
        <f t="shared" si="189"/>
        <v>2.5221840001888561E-3</v>
      </c>
      <c r="P406" s="18">
        <f t="shared" si="191"/>
        <v>2.3841607949938551E-5</v>
      </c>
      <c r="Q406" s="18">
        <f t="shared" si="193"/>
        <v>6.0999385823104716E-3</v>
      </c>
      <c r="R406" s="18">
        <f t="shared" si="195"/>
        <v>1.2770632186942061E-2</v>
      </c>
      <c r="S406" s="18">
        <f t="shared" si="197"/>
        <v>8.1988354902866097E-3</v>
      </c>
      <c r="T406" s="18">
        <f t="shared" si="199"/>
        <v>5.9156114887023012E-3</v>
      </c>
      <c r="U406" s="18">
        <f t="shared" si="201"/>
        <v>3.1784708391183604E-3</v>
      </c>
      <c r="V406" s="18">
        <f t="shared" si="202"/>
        <v>1.0496588896562789E-2</v>
      </c>
      <c r="W406" s="18">
        <f t="shared" si="203"/>
        <v>2.1096626004500009E-3</v>
      </c>
      <c r="X406" s="18">
        <f t="shared" si="204"/>
        <v>3.1884818171650094E-4</v>
      </c>
      <c r="Y406" s="18">
        <f t="shared" si="205"/>
        <v>8.2068777788241575E-3</v>
      </c>
      <c r="AA406" s="18">
        <f t="shared" si="187"/>
        <v>-5.3819511460825524E-2</v>
      </c>
      <c r="AB406" s="18">
        <f t="shared" si="188"/>
        <v>2.8965398138819298E-3</v>
      </c>
      <c r="AC406" s="18">
        <f t="shared" si="190"/>
        <v>1.9401807317227262E-2</v>
      </c>
      <c r="AD406" s="18">
        <f t="shared" si="192"/>
        <v>2.7748058807565037E-3</v>
      </c>
      <c r="AE406" s="18">
        <f t="shared" si="194"/>
        <v>1.9494608720843976E-3</v>
      </c>
      <c r="AF406" s="18">
        <f t="shared" si="196"/>
        <v>4.5291583506512639E-4</v>
      </c>
      <c r="AG406" s="18">
        <f t="shared" si="198"/>
        <v>2.5133240959777883E-2</v>
      </c>
      <c r="AH406" s="18">
        <f t="shared" si="200"/>
        <v>1.6697667846136632E-2</v>
      </c>
      <c r="AJ406" s="18">
        <f>IF(ISNUMBER(Kernel!M406),Kernel!M406,"")</f>
        <v>-6.2883573378986646E-2</v>
      </c>
      <c r="AK406" s="18">
        <f t="shared" si="185"/>
        <v>3.9543438009103978E-3</v>
      </c>
      <c r="AN406" s="18">
        <f>IF(ISNUMBER(Volcanic!G406),Volcanic!G406,"")</f>
        <v>0.10833</v>
      </c>
    </row>
    <row r="407" spans="1:40">
      <c r="A407" s="18" t="str">
        <f>IF(Volcanic!A407="","",Volcanic!A407)</f>
        <v>12/1991</v>
      </c>
      <c r="B407" s="18">
        <f>IF(ISNUMBER(Volcanic!L407),Volcanic!L407,"")</f>
        <v>1991.9583333333333</v>
      </c>
      <c r="C407" s="18">
        <f>IF(ISNUMBER(Volcanic!J407),Volcanic!J407,"")</f>
        <v>-0.11049187061104904</v>
      </c>
      <c r="D407" s="18">
        <f t="shared" si="178"/>
        <v>1.2208453471128802E-2</v>
      </c>
      <c r="E407" s="18">
        <f>IF(ISNUMBER(Volcanic!C407),Volcanic!C407,"")</f>
        <v>0.34324537036048725</v>
      </c>
      <c r="F407" s="18">
        <f>IF(ISNUMBER(Volcanic!D407),Volcanic!D407,"")</f>
        <v>0.72</v>
      </c>
      <c r="G407" s="18">
        <f>IF(ISNUMBER(Volcanic!E407),Volcanic!E407,"")</f>
        <v>5.5500000000000002E-3</v>
      </c>
      <c r="H407" s="18">
        <f t="shared" si="179"/>
        <v>0.11781738427390806</v>
      </c>
      <c r="I407" s="18">
        <f t="shared" si="180"/>
        <v>0.51839999999999997</v>
      </c>
      <c r="J407" s="18">
        <f t="shared" si="181"/>
        <v>3.0802500000000002E-5</v>
      </c>
      <c r="K407" s="18">
        <f t="shared" si="182"/>
        <v>0.24713666665955081</v>
      </c>
      <c r="L407" s="18">
        <f t="shared" si="183"/>
        <v>1.9050118055007042E-3</v>
      </c>
      <c r="M407" s="18">
        <f t="shared" si="184"/>
        <v>3.9960000000000004E-3</v>
      </c>
      <c r="N407" s="18">
        <f t="shared" si="186"/>
        <v>1.2356224920158898E-2</v>
      </c>
      <c r="O407" s="18">
        <f t="shared" si="189"/>
        <v>1.3004885136811648E-2</v>
      </c>
      <c r="P407" s="18">
        <f t="shared" si="191"/>
        <v>2.5221840001888561E-3</v>
      </c>
      <c r="Q407" s="18">
        <f t="shared" si="193"/>
        <v>2.3841607949938551E-5</v>
      </c>
      <c r="R407" s="18">
        <f t="shared" si="195"/>
        <v>6.0999385823104716E-3</v>
      </c>
      <c r="S407" s="18">
        <f t="shared" si="197"/>
        <v>1.2770632186942061E-2</v>
      </c>
      <c r="T407" s="18">
        <f t="shared" si="199"/>
        <v>8.1988354902866097E-3</v>
      </c>
      <c r="U407" s="18">
        <f t="shared" si="201"/>
        <v>5.9156114887023012E-3</v>
      </c>
      <c r="V407" s="18">
        <f t="shared" si="202"/>
        <v>3.1784708391183604E-3</v>
      </c>
      <c r="W407" s="18">
        <f t="shared" si="203"/>
        <v>1.0496588896562789E-2</v>
      </c>
      <c r="X407" s="18">
        <f t="shared" si="204"/>
        <v>2.1096626004500009E-3</v>
      </c>
      <c r="Y407" s="18">
        <f t="shared" si="205"/>
        <v>3.1884818171650094E-4</v>
      </c>
      <c r="AA407" s="18">
        <f t="shared" si="187"/>
        <v>-5.4601098929250344E-2</v>
      </c>
      <c r="AB407" s="18">
        <f t="shared" si="188"/>
        <v>2.981280004281783E-3</v>
      </c>
      <c r="AC407" s="18">
        <f t="shared" si="190"/>
        <v>2.8965398138819298E-3</v>
      </c>
      <c r="AD407" s="18">
        <f t="shared" si="192"/>
        <v>1.9401807317227262E-2</v>
      </c>
      <c r="AE407" s="18">
        <f t="shared" si="194"/>
        <v>2.7748058807565037E-3</v>
      </c>
      <c r="AF407" s="18">
        <f t="shared" si="196"/>
        <v>1.9494608720843976E-3</v>
      </c>
      <c r="AG407" s="18">
        <f t="shared" si="198"/>
        <v>4.5291583506512639E-4</v>
      </c>
      <c r="AH407" s="18">
        <f t="shared" si="200"/>
        <v>2.5133240959777883E-2</v>
      </c>
      <c r="AJ407" s="18">
        <f>IF(ISNUMBER(Kernel!M407),Kernel!M407,"")</f>
        <v>-5.3377875036616063E-2</v>
      </c>
      <c r="AK407" s="18">
        <f t="shared" si="185"/>
        <v>2.8491975434246004E-3</v>
      </c>
      <c r="AN407" s="18">
        <f>IF(ISNUMBER(Volcanic!G407),Volcanic!G407,"")</f>
        <v>0.10814</v>
      </c>
    </row>
    <row r="408" spans="1:40">
      <c r="A408" s="18" t="str">
        <f>IF(Volcanic!A408="","",Volcanic!A408)</f>
        <v>1/1992</v>
      </c>
      <c r="B408" s="18">
        <f>IF(ISNUMBER(Volcanic!L408),Volcanic!L408,"")</f>
        <v>1992.0416666666667</v>
      </c>
      <c r="C408" s="18">
        <f>IF(ISNUMBER(Volcanic!J408),Volcanic!J408,"")</f>
        <v>2.781511721462282E-2</v>
      </c>
      <c r="D408" s="18">
        <f t="shared" si="178"/>
        <v>7.7368074566320675E-4</v>
      </c>
      <c r="E408" s="18">
        <f>IF(ISNUMBER(Volcanic!C408),Volcanic!C408,"")</f>
        <v>0.34782761129001444</v>
      </c>
      <c r="F408" s="18">
        <f>IF(ISNUMBER(Volcanic!D408),Volcanic!D408,"")</f>
        <v>0.83</v>
      </c>
      <c r="G408" s="18">
        <f>IF(ISNUMBER(Volcanic!E408),Volcanic!E408,"")</f>
        <v>6.0099999999999997E-3</v>
      </c>
      <c r="H408" s="18">
        <f t="shared" si="179"/>
        <v>0.12098404717571738</v>
      </c>
      <c r="I408" s="18">
        <f t="shared" si="180"/>
        <v>0.68889999999999996</v>
      </c>
      <c r="J408" s="18">
        <f t="shared" si="181"/>
        <v>3.61201E-5</v>
      </c>
      <c r="K408" s="18">
        <f t="shared" si="182"/>
        <v>0.28869691737071196</v>
      </c>
      <c r="L408" s="18">
        <f t="shared" si="183"/>
        <v>2.0904439438529866E-3</v>
      </c>
      <c r="M408" s="18">
        <f t="shared" si="184"/>
        <v>4.9882999999999993E-3</v>
      </c>
      <c r="N408" s="18">
        <f t="shared" si="186"/>
        <v>1.2208453471128802E-2</v>
      </c>
      <c r="O408" s="18">
        <f t="shared" si="189"/>
        <v>1.2356224920158898E-2</v>
      </c>
      <c r="P408" s="18">
        <f t="shared" si="191"/>
        <v>1.3004885136811648E-2</v>
      </c>
      <c r="Q408" s="18">
        <f t="shared" si="193"/>
        <v>2.5221840001888561E-3</v>
      </c>
      <c r="R408" s="18">
        <f t="shared" si="195"/>
        <v>2.3841607949938551E-5</v>
      </c>
      <c r="S408" s="18">
        <f t="shared" si="197"/>
        <v>6.0999385823104716E-3</v>
      </c>
      <c r="T408" s="18">
        <f t="shared" si="199"/>
        <v>1.2770632186942061E-2</v>
      </c>
      <c r="U408" s="18">
        <f t="shared" si="201"/>
        <v>8.1988354902866097E-3</v>
      </c>
      <c r="V408" s="18">
        <f t="shared" si="202"/>
        <v>5.9156114887023012E-3</v>
      </c>
      <c r="W408" s="18">
        <f t="shared" si="203"/>
        <v>3.1784708391183604E-3</v>
      </c>
      <c r="X408" s="18">
        <f t="shared" si="204"/>
        <v>1.0496588896562789E-2</v>
      </c>
      <c r="Y408" s="18">
        <f t="shared" si="205"/>
        <v>2.1096626004500009E-3</v>
      </c>
      <c r="AA408" s="18">
        <f t="shared" si="187"/>
        <v>8.3370677202426968E-2</v>
      </c>
      <c r="AB408" s="18">
        <f t="shared" si="188"/>
        <v>6.9506698171912761E-3</v>
      </c>
      <c r="AC408" s="18">
        <f t="shared" si="190"/>
        <v>2.981280004281783E-3</v>
      </c>
      <c r="AD408" s="18">
        <f t="shared" si="192"/>
        <v>2.8965398138819298E-3</v>
      </c>
      <c r="AE408" s="18">
        <f t="shared" si="194"/>
        <v>1.9401807317227262E-2</v>
      </c>
      <c r="AF408" s="18">
        <f t="shared" si="196"/>
        <v>2.7748058807565037E-3</v>
      </c>
      <c r="AG408" s="18">
        <f t="shared" si="198"/>
        <v>1.9494608720843976E-3</v>
      </c>
      <c r="AH408" s="18">
        <f t="shared" si="200"/>
        <v>4.5291583506512639E-4</v>
      </c>
      <c r="AJ408" s="18">
        <f>IF(ISNUMBER(Kernel!M408),Kernel!M408,"")</f>
        <v>9.7156637587169525E-2</v>
      </c>
      <c r="AK408" s="18">
        <f t="shared" si="185"/>
        <v>9.4394122272446028E-3</v>
      </c>
      <c r="AN408" s="18">
        <f>IF(ISNUMBER(Volcanic!G408),Volcanic!G408,"")</f>
        <v>0.10936</v>
      </c>
    </row>
    <row r="409" spans="1:40">
      <c r="A409" s="18" t="str">
        <f>IF(Volcanic!A409="","",Volcanic!A409)</f>
        <v>2/1992</v>
      </c>
      <c r="B409" s="18">
        <f>IF(ISNUMBER(Volcanic!L409),Volcanic!L409,"")</f>
        <v>1992.125</v>
      </c>
      <c r="C409" s="18">
        <f>IF(ISNUMBER(Volcanic!J409),Volcanic!J409,"")</f>
        <v>-5.1571471794814361E-2</v>
      </c>
      <c r="D409" s="18">
        <f t="shared" si="178"/>
        <v>2.6596167030833329E-3</v>
      </c>
      <c r="E409" s="18">
        <f>IF(ISNUMBER(Volcanic!C409),Volcanic!C409,"")</f>
        <v>0.35134564172245408</v>
      </c>
      <c r="F409" s="18">
        <f>IF(ISNUMBER(Volcanic!D409),Volcanic!D409,"")</f>
        <v>1.18</v>
      </c>
      <c r="G409" s="18">
        <f>IF(ISNUMBER(Volcanic!E409),Volcanic!E409,"")</f>
        <v>2.5409999999999999E-2</v>
      </c>
      <c r="H409" s="18">
        <f t="shared" si="179"/>
        <v>0.12344375995736306</v>
      </c>
      <c r="I409" s="18">
        <f t="shared" si="180"/>
        <v>1.3923999999999999</v>
      </c>
      <c r="J409" s="18">
        <f t="shared" si="181"/>
        <v>6.4566809999999988E-4</v>
      </c>
      <c r="K409" s="18">
        <f t="shared" si="182"/>
        <v>0.4145878572324958</v>
      </c>
      <c r="L409" s="18">
        <f t="shared" si="183"/>
        <v>8.9276927561675583E-3</v>
      </c>
      <c r="M409" s="18">
        <f t="shared" si="184"/>
        <v>2.9983799999999998E-2</v>
      </c>
      <c r="N409" s="18">
        <f t="shared" si="186"/>
        <v>7.7368074566320675E-4</v>
      </c>
      <c r="O409" s="18">
        <f t="shared" si="189"/>
        <v>1.2208453471128802E-2</v>
      </c>
      <c r="P409" s="18">
        <f t="shared" si="191"/>
        <v>1.2356224920158898E-2</v>
      </c>
      <c r="Q409" s="18">
        <f t="shared" si="193"/>
        <v>1.3004885136811648E-2</v>
      </c>
      <c r="R409" s="18">
        <f t="shared" si="195"/>
        <v>2.5221840001888561E-3</v>
      </c>
      <c r="S409" s="18">
        <f t="shared" si="197"/>
        <v>2.3841607949938551E-5</v>
      </c>
      <c r="T409" s="18">
        <f t="shared" si="199"/>
        <v>6.0999385823104716E-3</v>
      </c>
      <c r="U409" s="18">
        <f t="shared" si="201"/>
        <v>1.2770632186942061E-2</v>
      </c>
      <c r="V409" s="18">
        <f t="shared" si="202"/>
        <v>8.1988354902866097E-3</v>
      </c>
      <c r="W409" s="18">
        <f t="shared" si="203"/>
        <v>5.9156114887023012E-3</v>
      </c>
      <c r="X409" s="18">
        <f t="shared" si="204"/>
        <v>3.1784708391183604E-3</v>
      </c>
      <c r="Y409" s="18">
        <f t="shared" si="205"/>
        <v>1.0496588896562789E-2</v>
      </c>
      <c r="AA409" s="18">
        <f t="shared" si="187"/>
        <v>-6.5556975021784397E-2</v>
      </c>
      <c r="AB409" s="18">
        <f t="shared" si="188"/>
        <v>4.297716974006863E-3</v>
      </c>
      <c r="AC409" s="18">
        <f t="shared" si="190"/>
        <v>6.9506698171912761E-3</v>
      </c>
      <c r="AD409" s="18">
        <f t="shared" si="192"/>
        <v>2.981280004281783E-3</v>
      </c>
      <c r="AE409" s="18">
        <f t="shared" si="194"/>
        <v>2.8965398138819298E-3</v>
      </c>
      <c r="AF409" s="18">
        <f t="shared" si="196"/>
        <v>1.9401807317227262E-2</v>
      </c>
      <c r="AG409" s="18">
        <f t="shared" si="198"/>
        <v>2.7748058807565037E-3</v>
      </c>
      <c r="AH409" s="18">
        <f t="shared" si="200"/>
        <v>1.9494608720843976E-3</v>
      </c>
      <c r="AJ409" s="18">
        <f>IF(ISNUMBER(Kernel!M409),Kernel!M409,"")</f>
        <v>1.2644351239056828E-2</v>
      </c>
      <c r="AK409" s="18">
        <f t="shared" si="185"/>
        <v>1.5987961825663795E-4</v>
      </c>
      <c r="AN409" s="18">
        <f>IF(ISNUMBER(Volcanic!G409),Volcanic!G409,"")</f>
        <v>0.11007</v>
      </c>
    </row>
    <row r="410" spans="1:40">
      <c r="A410" s="18" t="str">
        <f>IF(Volcanic!A410="","",Volcanic!A410)</f>
        <v>3/1992</v>
      </c>
      <c r="B410" s="18">
        <f>IF(ISNUMBER(Volcanic!L410),Volcanic!L410,"")</f>
        <v>1992.2083333333333</v>
      </c>
      <c r="C410" s="18">
        <f>IF(ISNUMBER(Volcanic!J410),Volcanic!J410,"")</f>
        <v>5.0643502933499396E-2</v>
      </c>
      <c r="D410" s="18">
        <f t="shared" si="178"/>
        <v>2.564764389375362E-3</v>
      </c>
      <c r="E410" s="18">
        <f>IF(ISNUMBER(Volcanic!C410),Volcanic!C410,"")</f>
        <v>0.35441185902104577</v>
      </c>
      <c r="F410" s="18">
        <f>IF(ISNUMBER(Volcanic!D410),Volcanic!D410,"")</f>
        <v>1.43</v>
      </c>
      <c r="G410" s="18">
        <f>IF(ISNUMBER(Volcanic!E410),Volcanic!E410,"")</f>
        <v>4.9849999999999998E-2</v>
      </c>
      <c r="H410" s="18">
        <f t="shared" si="179"/>
        <v>0.12560776581475364</v>
      </c>
      <c r="I410" s="18">
        <f t="shared" si="180"/>
        <v>2.0448999999999997</v>
      </c>
      <c r="J410" s="18">
        <f t="shared" si="181"/>
        <v>2.4850224999999997E-3</v>
      </c>
      <c r="K410" s="18">
        <f t="shared" si="182"/>
        <v>0.50680895840009543</v>
      </c>
      <c r="L410" s="18">
        <f t="shared" si="183"/>
        <v>1.7667431172199131E-2</v>
      </c>
      <c r="M410" s="18">
        <f t="shared" si="184"/>
        <v>7.1285500000000002E-2</v>
      </c>
      <c r="N410" s="18">
        <f t="shared" si="186"/>
        <v>2.6596167030833329E-3</v>
      </c>
      <c r="O410" s="18">
        <f t="shared" si="189"/>
        <v>7.7368074566320675E-4</v>
      </c>
      <c r="P410" s="18">
        <f t="shared" si="191"/>
        <v>1.2208453471128802E-2</v>
      </c>
      <c r="Q410" s="18">
        <f t="shared" si="193"/>
        <v>1.2356224920158898E-2</v>
      </c>
      <c r="R410" s="18">
        <f t="shared" si="195"/>
        <v>1.3004885136811648E-2</v>
      </c>
      <c r="S410" s="18">
        <f t="shared" si="197"/>
        <v>2.5221840001888561E-3</v>
      </c>
      <c r="T410" s="18">
        <f t="shared" si="199"/>
        <v>2.3841607949938551E-5</v>
      </c>
      <c r="U410" s="18">
        <f t="shared" si="201"/>
        <v>6.0999385823104716E-3</v>
      </c>
      <c r="V410" s="18">
        <f t="shared" si="202"/>
        <v>1.2770632186942061E-2</v>
      </c>
      <c r="W410" s="18">
        <f t="shared" si="203"/>
        <v>8.1988354902866097E-3</v>
      </c>
      <c r="X410" s="18">
        <f t="shared" si="204"/>
        <v>5.9156114887023012E-3</v>
      </c>
      <c r="Y410" s="18">
        <f t="shared" si="205"/>
        <v>3.1784708391183604E-3</v>
      </c>
      <c r="AA410" s="18">
        <f t="shared" si="187"/>
        <v>7.6573754445321079E-2</v>
      </c>
      <c r="AB410" s="18">
        <f t="shared" si="188"/>
        <v>5.86353986985233E-3</v>
      </c>
      <c r="AC410" s="18">
        <f t="shared" si="190"/>
        <v>4.297716974006863E-3</v>
      </c>
      <c r="AD410" s="18">
        <f t="shared" si="192"/>
        <v>6.9506698171912761E-3</v>
      </c>
      <c r="AE410" s="18">
        <f t="shared" si="194"/>
        <v>2.981280004281783E-3</v>
      </c>
      <c r="AF410" s="18">
        <f t="shared" si="196"/>
        <v>2.8965398138819298E-3</v>
      </c>
      <c r="AG410" s="18">
        <f t="shared" si="198"/>
        <v>1.9401807317227262E-2</v>
      </c>
      <c r="AH410" s="18">
        <f t="shared" si="200"/>
        <v>2.7748058807565037E-3</v>
      </c>
      <c r="AJ410" s="18">
        <f>IF(ISNUMBER(Kernel!M410),Kernel!M410,"")</f>
        <v>9.2049829895824109E-2</v>
      </c>
      <c r="AK410" s="18">
        <f t="shared" si="185"/>
        <v>8.4731711838501537E-3</v>
      </c>
      <c r="AN410" s="18">
        <f>IF(ISNUMBER(Volcanic!G410),Volcanic!G410,"")</f>
        <v>0.10983</v>
      </c>
    </row>
    <row r="411" spans="1:40">
      <c r="A411" s="18" t="str">
        <f>IF(Volcanic!A411="","",Volcanic!A411)</f>
        <v>4/1992</v>
      </c>
      <c r="B411" s="18">
        <f>IF(ISNUMBER(Volcanic!L411),Volcanic!L411,"")</f>
        <v>1992.2916666666667</v>
      </c>
      <c r="C411" s="18">
        <f>IF(ISNUMBER(Volcanic!J411),Volcanic!J411,"")</f>
        <v>-0.11921749111175511</v>
      </c>
      <c r="D411" s="18">
        <f t="shared" si="178"/>
        <v>1.4212810186981409E-2</v>
      </c>
      <c r="E411" s="18">
        <f>IF(ISNUMBER(Volcanic!C411),Volcanic!C411,"")</f>
        <v>0.35944084890426714</v>
      </c>
      <c r="F411" s="18">
        <f>IF(ISNUMBER(Volcanic!D411),Volcanic!D411,"")</f>
        <v>1.54</v>
      </c>
      <c r="G411" s="18">
        <f>IF(ISNUMBER(Volcanic!E411),Volcanic!E411,"")</f>
        <v>7.442E-2</v>
      </c>
      <c r="H411" s="18">
        <f t="shared" si="179"/>
        <v>0.12919772386102021</v>
      </c>
      <c r="I411" s="18">
        <f t="shared" si="180"/>
        <v>2.3715999999999999</v>
      </c>
      <c r="J411" s="18">
        <f t="shared" si="181"/>
        <v>5.5383363999999997E-3</v>
      </c>
      <c r="K411" s="18">
        <f t="shared" si="182"/>
        <v>0.55353890731257138</v>
      </c>
      <c r="L411" s="18">
        <f t="shared" si="183"/>
        <v>2.6749587975455562E-2</v>
      </c>
      <c r="M411" s="18">
        <f t="shared" si="184"/>
        <v>0.11460680000000001</v>
      </c>
      <c r="N411" s="18">
        <f t="shared" si="186"/>
        <v>2.564764389375362E-3</v>
      </c>
      <c r="O411" s="18">
        <f t="shared" si="189"/>
        <v>2.6596167030833329E-3</v>
      </c>
      <c r="P411" s="18">
        <f t="shared" si="191"/>
        <v>7.7368074566320675E-4</v>
      </c>
      <c r="Q411" s="18">
        <f t="shared" si="193"/>
        <v>1.2208453471128802E-2</v>
      </c>
      <c r="R411" s="18">
        <f t="shared" si="195"/>
        <v>1.2356224920158898E-2</v>
      </c>
      <c r="S411" s="18">
        <f t="shared" si="197"/>
        <v>1.3004885136811648E-2</v>
      </c>
      <c r="T411" s="18">
        <f t="shared" si="199"/>
        <v>2.5221840001888561E-3</v>
      </c>
      <c r="U411" s="18">
        <f t="shared" si="201"/>
        <v>2.3841607949938551E-5</v>
      </c>
      <c r="V411" s="18">
        <f t="shared" si="202"/>
        <v>6.0999385823104716E-3</v>
      </c>
      <c r="W411" s="18">
        <f t="shared" si="203"/>
        <v>1.2770632186942061E-2</v>
      </c>
      <c r="X411" s="18">
        <f t="shared" si="204"/>
        <v>8.1988354902866097E-3</v>
      </c>
      <c r="Y411" s="18">
        <f t="shared" si="205"/>
        <v>5.9156114887023012E-3</v>
      </c>
      <c r="AA411" s="18">
        <f t="shared" si="187"/>
        <v>-0.14468115780193797</v>
      </c>
      <c r="AB411" s="18">
        <f t="shared" si="188"/>
        <v>2.0932637422909274E-2</v>
      </c>
      <c r="AC411" s="18">
        <f t="shared" si="190"/>
        <v>5.86353986985233E-3</v>
      </c>
      <c r="AD411" s="18">
        <f t="shared" si="192"/>
        <v>4.297716974006863E-3</v>
      </c>
      <c r="AE411" s="18">
        <f t="shared" si="194"/>
        <v>6.9506698171912761E-3</v>
      </c>
      <c r="AF411" s="18">
        <f t="shared" si="196"/>
        <v>2.981280004281783E-3</v>
      </c>
      <c r="AG411" s="18">
        <f t="shared" si="198"/>
        <v>2.8965398138819298E-3</v>
      </c>
      <c r="AH411" s="18">
        <f t="shared" si="200"/>
        <v>1.9401807317227262E-2</v>
      </c>
      <c r="AJ411" s="18">
        <f>IF(ISNUMBER(Kernel!M411),Kernel!M411,"")</f>
        <v>-0.11216679367549626</v>
      </c>
      <c r="AK411" s="18">
        <f t="shared" si="185"/>
        <v>1.2581389603441347E-2</v>
      </c>
      <c r="AN411" s="18">
        <f>IF(ISNUMBER(Volcanic!G411),Volcanic!G411,"")</f>
        <v>0.10781</v>
      </c>
    </row>
    <row r="412" spans="1:40">
      <c r="A412" s="18" t="str">
        <f>IF(Volcanic!A412="","",Volcanic!A412)</f>
        <v>5/1992</v>
      </c>
      <c r="B412" s="18">
        <f>IF(ISNUMBER(Volcanic!L412),Volcanic!L412,"")</f>
        <v>1992.375</v>
      </c>
      <c r="C412" s="18">
        <f>IF(ISNUMBER(Volcanic!J412),Volcanic!J412,"")</f>
        <v>-3.5662584031061928E-2</v>
      </c>
      <c r="D412" s="18">
        <f t="shared" si="178"/>
        <v>1.2718198997725533E-3</v>
      </c>
      <c r="E412" s="18">
        <f>IF(ISNUMBER(Volcanic!C412),Volcanic!C412,"")</f>
        <v>0.36140744003135555</v>
      </c>
      <c r="F412" s="18">
        <f>IF(ISNUMBER(Volcanic!D412),Volcanic!D412,"")</f>
        <v>1.5</v>
      </c>
      <c r="G412" s="18">
        <f>IF(ISNUMBER(Volcanic!E412),Volcanic!E412,"")</f>
        <v>9.9510000000000001E-2</v>
      </c>
      <c r="H412" s="18">
        <f t="shared" si="179"/>
        <v>0.13061533771001785</v>
      </c>
      <c r="I412" s="18">
        <f t="shared" si="180"/>
        <v>2.25</v>
      </c>
      <c r="J412" s="18">
        <f t="shared" si="181"/>
        <v>9.902240100000001E-3</v>
      </c>
      <c r="K412" s="18">
        <f t="shared" si="182"/>
        <v>0.5421111600470333</v>
      </c>
      <c r="L412" s="18">
        <f t="shared" si="183"/>
        <v>3.5963654357520192E-2</v>
      </c>
      <c r="M412" s="18">
        <f t="shared" si="184"/>
        <v>0.14926500000000001</v>
      </c>
      <c r="N412" s="18">
        <f t="shared" si="186"/>
        <v>1.4212810186981409E-2</v>
      </c>
      <c r="O412" s="18">
        <f t="shared" si="189"/>
        <v>2.564764389375362E-3</v>
      </c>
      <c r="P412" s="18">
        <f t="shared" si="191"/>
        <v>2.6596167030833329E-3</v>
      </c>
      <c r="Q412" s="18">
        <f t="shared" si="193"/>
        <v>7.7368074566320675E-4</v>
      </c>
      <c r="R412" s="18">
        <f t="shared" si="195"/>
        <v>1.2208453471128802E-2</v>
      </c>
      <c r="S412" s="18">
        <f t="shared" si="197"/>
        <v>1.2356224920158898E-2</v>
      </c>
      <c r="T412" s="18">
        <f t="shared" si="199"/>
        <v>1.3004885136811648E-2</v>
      </c>
      <c r="U412" s="18">
        <f t="shared" si="201"/>
        <v>2.5221840001888561E-3</v>
      </c>
      <c r="V412" s="18">
        <f t="shared" si="202"/>
        <v>2.3841607949938551E-5</v>
      </c>
      <c r="W412" s="18">
        <f t="shared" si="203"/>
        <v>6.0999385823104716E-3</v>
      </c>
      <c r="X412" s="18">
        <f t="shared" si="204"/>
        <v>1.2770632186942061E-2</v>
      </c>
      <c r="Y412" s="18">
        <f t="shared" si="205"/>
        <v>8.1988354902866097E-3</v>
      </c>
      <c r="AA412" s="18">
        <f t="shared" si="187"/>
        <v>2.4280237485368346E-2</v>
      </c>
      <c r="AB412" s="18">
        <f t="shared" si="188"/>
        <v>5.8952993234588614E-4</v>
      </c>
      <c r="AC412" s="18">
        <f t="shared" si="190"/>
        <v>2.0932637422909274E-2</v>
      </c>
      <c r="AD412" s="18">
        <f t="shared" si="192"/>
        <v>5.86353986985233E-3</v>
      </c>
      <c r="AE412" s="18">
        <f t="shared" si="194"/>
        <v>4.297716974006863E-3</v>
      </c>
      <c r="AF412" s="18">
        <f t="shared" si="196"/>
        <v>6.9506698171912761E-3</v>
      </c>
      <c r="AG412" s="18">
        <f t="shared" si="198"/>
        <v>2.981280004281783E-3</v>
      </c>
      <c r="AH412" s="18">
        <f t="shared" si="200"/>
        <v>2.8965398138819298E-3</v>
      </c>
      <c r="AJ412" s="18">
        <f>IF(ISNUMBER(Kernel!M412),Kernel!M412,"")</f>
        <v>-7.27564640003589E-2</v>
      </c>
      <c r="AK412" s="18">
        <f t="shared" si="185"/>
        <v>5.2935030538355209E-3</v>
      </c>
      <c r="AN412" s="18">
        <f>IF(ISNUMBER(Volcanic!G412),Volcanic!G412,"")</f>
        <v>0.11117</v>
      </c>
    </row>
    <row r="413" spans="1:40">
      <c r="A413" s="18" t="str">
        <f>IF(Volcanic!A413="","",Volcanic!A413)</f>
        <v>6/1992</v>
      </c>
      <c r="B413" s="18">
        <f>IF(ISNUMBER(Volcanic!L413),Volcanic!L413,"")</f>
        <v>1992.4583333333333</v>
      </c>
      <c r="C413" s="18">
        <f>IF(ISNUMBER(Volcanic!J413),Volcanic!J413,"")</f>
        <v>-5.4021354539721234E-2</v>
      </c>
      <c r="D413" s="18">
        <f t="shared" si="178"/>
        <v>2.9183067463062601E-3</v>
      </c>
      <c r="E413" s="18">
        <f>IF(ISNUMBER(Volcanic!C413),Volcanic!C413,"")</f>
        <v>0.36032413980374728</v>
      </c>
      <c r="F413" s="18">
        <f>IF(ISNUMBER(Volcanic!D413),Volcanic!D413,"")</f>
        <v>1.4</v>
      </c>
      <c r="G413" s="18">
        <f>IF(ISNUMBER(Volcanic!E413),Volcanic!E413,"")</f>
        <v>0.10833</v>
      </c>
      <c r="H413" s="18">
        <f t="shared" si="179"/>
        <v>0.12983348572531042</v>
      </c>
      <c r="I413" s="18">
        <f t="shared" si="180"/>
        <v>1.9599999999999997</v>
      </c>
      <c r="J413" s="18">
        <f t="shared" si="181"/>
        <v>1.1735388899999999E-2</v>
      </c>
      <c r="K413" s="18">
        <f t="shared" si="182"/>
        <v>0.50445379572524618</v>
      </c>
      <c r="L413" s="18">
        <f t="shared" si="183"/>
        <v>3.9033914064939938E-2</v>
      </c>
      <c r="M413" s="18">
        <f t="shared" si="184"/>
        <v>0.15166199999999999</v>
      </c>
      <c r="N413" s="18">
        <f t="shared" si="186"/>
        <v>1.2718198997725533E-3</v>
      </c>
      <c r="O413" s="18">
        <f t="shared" si="189"/>
        <v>1.4212810186981409E-2</v>
      </c>
      <c r="P413" s="18">
        <f t="shared" si="191"/>
        <v>2.564764389375362E-3</v>
      </c>
      <c r="Q413" s="18">
        <f t="shared" si="193"/>
        <v>2.6596167030833329E-3</v>
      </c>
      <c r="R413" s="18">
        <f t="shared" si="195"/>
        <v>7.7368074566320675E-4</v>
      </c>
      <c r="S413" s="18">
        <f t="shared" si="197"/>
        <v>1.2208453471128802E-2</v>
      </c>
      <c r="T413" s="18">
        <f t="shared" si="199"/>
        <v>1.2356224920158898E-2</v>
      </c>
      <c r="U413" s="18">
        <f t="shared" si="201"/>
        <v>1.3004885136811648E-2</v>
      </c>
      <c r="V413" s="18">
        <f t="shared" si="202"/>
        <v>2.5221840001888561E-3</v>
      </c>
      <c r="W413" s="18">
        <f t="shared" si="203"/>
        <v>2.3841607949938551E-5</v>
      </c>
      <c r="X413" s="18">
        <f t="shared" si="204"/>
        <v>6.0999385823104716E-3</v>
      </c>
      <c r="Y413" s="18">
        <f t="shared" si="205"/>
        <v>1.2770632186942061E-2</v>
      </c>
      <c r="AA413" s="18">
        <f t="shared" si="187"/>
        <v>-3.6090127423183987E-2</v>
      </c>
      <c r="AB413" s="18">
        <f t="shared" si="188"/>
        <v>1.3024972974216569E-3</v>
      </c>
      <c r="AC413" s="18">
        <f t="shared" si="190"/>
        <v>5.8952993234588614E-4</v>
      </c>
      <c r="AD413" s="18">
        <f t="shared" si="192"/>
        <v>2.0932637422909274E-2</v>
      </c>
      <c r="AE413" s="18">
        <f t="shared" si="194"/>
        <v>5.86353986985233E-3</v>
      </c>
      <c r="AF413" s="18">
        <f t="shared" si="196"/>
        <v>4.297716974006863E-3</v>
      </c>
      <c r="AG413" s="18">
        <f t="shared" si="198"/>
        <v>6.9506698171912761E-3</v>
      </c>
      <c r="AH413" s="18">
        <f t="shared" si="200"/>
        <v>2.981280004281783E-3</v>
      </c>
      <c r="AJ413" s="18">
        <f>IF(ISNUMBER(Kernel!M413),Kernel!M413,"")</f>
        <v>-9.7575765510453993E-2</v>
      </c>
      <c r="AK413" s="18">
        <f t="shared" si="185"/>
        <v>9.5210300149511026E-3</v>
      </c>
      <c r="AN413" s="18">
        <f>IF(ISNUMBER(Volcanic!G413),Volcanic!G413,"")</f>
        <v>0.11448</v>
      </c>
    </row>
    <row r="414" spans="1:40">
      <c r="A414" s="18" t="str">
        <f>IF(Volcanic!A414="","",Volcanic!A414)</f>
        <v>7/1992</v>
      </c>
      <c r="B414" s="18">
        <f>IF(ISNUMBER(Volcanic!L414),Volcanic!L414,"")</f>
        <v>1992.5416666666667</v>
      </c>
      <c r="C414" s="18">
        <f>IF(ISNUMBER(Volcanic!J414),Volcanic!J414,"")</f>
        <v>-0.19001074686639119</v>
      </c>
      <c r="D414" s="18">
        <f t="shared" si="178"/>
        <v>3.6104083924723786E-2</v>
      </c>
      <c r="E414" s="18">
        <f>IF(ISNUMBER(Volcanic!C414),Volcanic!C414,"")</f>
        <v>0.35110329415916136</v>
      </c>
      <c r="F414" s="18">
        <f>IF(ISNUMBER(Volcanic!D414),Volcanic!D414,"")</f>
        <v>1.3</v>
      </c>
      <c r="G414" s="18">
        <f>IF(ISNUMBER(Volcanic!E414),Volcanic!E414,"")</f>
        <v>0.10814</v>
      </c>
      <c r="H414" s="18">
        <f t="shared" si="179"/>
        <v>0.12327352316941459</v>
      </c>
      <c r="I414" s="18">
        <f t="shared" si="180"/>
        <v>1.6900000000000002</v>
      </c>
      <c r="J414" s="18">
        <f t="shared" si="181"/>
        <v>1.16942596E-2</v>
      </c>
      <c r="K414" s="18">
        <f t="shared" si="182"/>
        <v>0.45643428240690981</v>
      </c>
      <c r="L414" s="18">
        <f t="shared" si="183"/>
        <v>3.7968310230371713E-2</v>
      </c>
      <c r="M414" s="18">
        <f t="shared" si="184"/>
        <v>0.14058200000000001</v>
      </c>
      <c r="N414" s="18">
        <f t="shared" si="186"/>
        <v>2.9183067463062601E-3</v>
      </c>
      <c r="O414" s="18">
        <f t="shared" si="189"/>
        <v>1.2718198997725533E-3</v>
      </c>
      <c r="P414" s="18">
        <f t="shared" si="191"/>
        <v>1.4212810186981409E-2</v>
      </c>
      <c r="Q414" s="18">
        <f t="shared" si="193"/>
        <v>2.564764389375362E-3</v>
      </c>
      <c r="R414" s="18">
        <f t="shared" si="195"/>
        <v>2.6596167030833329E-3</v>
      </c>
      <c r="S414" s="18">
        <f t="shared" si="197"/>
        <v>7.7368074566320675E-4</v>
      </c>
      <c r="T414" s="18">
        <f t="shared" si="199"/>
        <v>1.2208453471128802E-2</v>
      </c>
      <c r="U414" s="18">
        <f t="shared" si="201"/>
        <v>1.2356224920158898E-2</v>
      </c>
      <c r="V414" s="18">
        <f t="shared" si="202"/>
        <v>1.3004885136811648E-2</v>
      </c>
      <c r="W414" s="18">
        <f t="shared" si="203"/>
        <v>2.5221840001888561E-3</v>
      </c>
      <c r="X414" s="18">
        <f t="shared" si="204"/>
        <v>2.3841607949938551E-5</v>
      </c>
      <c r="Y414" s="18">
        <f t="shared" si="205"/>
        <v>6.0999385823104716E-3</v>
      </c>
      <c r="AA414" s="18">
        <f t="shared" si="187"/>
        <v>-0.16284868882396172</v>
      </c>
      <c r="AB414" s="18">
        <f t="shared" si="188"/>
        <v>2.6519695451683516E-2</v>
      </c>
      <c r="AC414" s="18">
        <f t="shared" si="190"/>
        <v>1.3024972974216569E-3</v>
      </c>
      <c r="AD414" s="18">
        <f t="shared" si="192"/>
        <v>5.8952993234588614E-4</v>
      </c>
      <c r="AE414" s="18">
        <f t="shared" si="194"/>
        <v>2.0932637422909274E-2</v>
      </c>
      <c r="AF414" s="18">
        <f t="shared" si="196"/>
        <v>5.86353986985233E-3</v>
      </c>
      <c r="AG414" s="18">
        <f t="shared" si="198"/>
        <v>4.297716974006863E-3</v>
      </c>
      <c r="AH414" s="18">
        <f t="shared" si="200"/>
        <v>6.9506698171912761E-3</v>
      </c>
      <c r="AJ414" s="18">
        <f>IF(ISNUMBER(Kernel!M414),Kernel!M414,"")</f>
        <v>-0.21651661539363276</v>
      </c>
      <c r="AK414" s="18">
        <f t="shared" si="185"/>
        <v>4.6879444741514294E-2</v>
      </c>
      <c r="AN414" s="18">
        <f>IF(ISNUMBER(Volcanic!G414),Volcanic!G414,"")</f>
        <v>0.10786999999999999</v>
      </c>
    </row>
    <row r="415" spans="1:40">
      <c r="A415" s="18" t="str">
        <f>IF(Volcanic!A415="","",Volcanic!A415)</f>
        <v>8/1992</v>
      </c>
      <c r="B415" s="18">
        <f>IF(ISNUMBER(Volcanic!L415),Volcanic!L415,"")</f>
        <v>1992.625</v>
      </c>
      <c r="C415" s="18">
        <f>IF(ISNUMBER(Volcanic!J415),Volcanic!J415,"")</f>
        <v>-0.15304170085129173</v>
      </c>
      <c r="D415" s="18">
        <f t="shared" si="178"/>
        <v>2.342176219945627E-2</v>
      </c>
      <c r="E415" s="18">
        <f>IF(ISNUMBER(Volcanic!C415),Volcanic!C415,"")</f>
        <v>0.34235155757775643</v>
      </c>
      <c r="F415" s="18">
        <f>IF(ISNUMBER(Volcanic!D415),Volcanic!D415,"")</f>
        <v>1.08</v>
      </c>
      <c r="G415" s="18">
        <f>IF(ISNUMBER(Volcanic!E415),Volcanic!E415,"")</f>
        <v>0.10936</v>
      </c>
      <c r="H415" s="18">
        <f t="shared" si="179"/>
        <v>0.11720458897591587</v>
      </c>
      <c r="I415" s="18">
        <f t="shared" si="180"/>
        <v>1.1664000000000001</v>
      </c>
      <c r="J415" s="18">
        <f t="shared" si="181"/>
        <v>1.1959609600000001E-2</v>
      </c>
      <c r="K415" s="18">
        <f t="shared" si="182"/>
        <v>0.36973968218397696</v>
      </c>
      <c r="L415" s="18">
        <f t="shared" si="183"/>
        <v>3.7439566336703443E-2</v>
      </c>
      <c r="M415" s="18">
        <f t="shared" si="184"/>
        <v>0.1181088</v>
      </c>
      <c r="N415" s="18">
        <f t="shared" si="186"/>
        <v>3.6104083924723786E-2</v>
      </c>
      <c r="O415" s="18">
        <f t="shared" si="189"/>
        <v>2.9183067463062601E-3</v>
      </c>
      <c r="P415" s="18">
        <f t="shared" si="191"/>
        <v>1.2718198997725533E-3</v>
      </c>
      <c r="Q415" s="18">
        <f t="shared" si="193"/>
        <v>1.4212810186981409E-2</v>
      </c>
      <c r="R415" s="18">
        <f t="shared" si="195"/>
        <v>2.564764389375362E-3</v>
      </c>
      <c r="S415" s="18">
        <f t="shared" si="197"/>
        <v>2.6596167030833329E-3</v>
      </c>
      <c r="T415" s="18">
        <f t="shared" si="199"/>
        <v>7.7368074566320675E-4</v>
      </c>
      <c r="U415" s="18">
        <f t="shared" si="201"/>
        <v>1.2208453471128802E-2</v>
      </c>
      <c r="V415" s="18">
        <f t="shared" si="202"/>
        <v>1.2356224920158898E-2</v>
      </c>
      <c r="W415" s="18">
        <f t="shared" si="203"/>
        <v>1.3004885136811648E-2</v>
      </c>
      <c r="X415" s="18">
        <f t="shared" si="204"/>
        <v>2.5221840001888561E-3</v>
      </c>
      <c r="Y415" s="18">
        <f t="shared" si="205"/>
        <v>2.3841607949938551E-5</v>
      </c>
      <c r="AA415" s="18">
        <f t="shared" si="187"/>
        <v>-5.7503871801199924E-2</v>
      </c>
      <c r="AB415" s="18">
        <f t="shared" si="188"/>
        <v>3.3066952721288356E-3</v>
      </c>
      <c r="AC415" s="18">
        <f t="shared" si="190"/>
        <v>2.6519695451683516E-2</v>
      </c>
      <c r="AD415" s="18">
        <f t="shared" si="192"/>
        <v>1.3024972974216569E-3</v>
      </c>
      <c r="AE415" s="18">
        <f t="shared" si="194"/>
        <v>5.8952993234588614E-4</v>
      </c>
      <c r="AF415" s="18">
        <f t="shared" si="196"/>
        <v>2.0932637422909274E-2</v>
      </c>
      <c r="AG415" s="18">
        <f t="shared" si="198"/>
        <v>5.86353986985233E-3</v>
      </c>
      <c r="AH415" s="18">
        <f t="shared" si="200"/>
        <v>4.297716974006863E-3</v>
      </c>
      <c r="AJ415" s="18">
        <f>IF(ISNUMBER(Kernel!M415),Kernel!M415,"")</f>
        <v>-0.17518011587033966</v>
      </c>
      <c r="AK415" s="18">
        <f t="shared" si="185"/>
        <v>3.0688072996345628E-2</v>
      </c>
      <c r="AN415" s="18">
        <f>IF(ISNUMBER(Volcanic!G415),Volcanic!G415,"")</f>
        <v>0.10366</v>
      </c>
    </row>
    <row r="416" spans="1:40">
      <c r="A416" s="18" t="str">
        <f>IF(Volcanic!A416="","",Volcanic!A416)</f>
        <v>9/1992</v>
      </c>
      <c r="B416" s="18">
        <f>IF(ISNUMBER(Volcanic!L416),Volcanic!L416,"")</f>
        <v>1992.7083333333333</v>
      </c>
      <c r="C416" s="18">
        <f>IF(ISNUMBER(Volcanic!J416),Volcanic!J416,"")</f>
        <v>-0.18606473945244476</v>
      </c>
      <c r="D416" s="18">
        <f t="shared" si="178"/>
        <v>3.462008726750615E-2</v>
      </c>
      <c r="E416" s="18">
        <f>IF(ISNUMBER(Volcanic!C416),Volcanic!C416,"")</f>
        <v>0.3342822252952366</v>
      </c>
      <c r="F416" s="18">
        <f>IF(ISNUMBER(Volcanic!D416),Volcanic!D416,"")</f>
        <v>0.72</v>
      </c>
      <c r="G416" s="18">
        <f>IF(ISNUMBER(Volcanic!E416),Volcanic!E416,"")</f>
        <v>0.11007</v>
      </c>
      <c r="H416" s="18">
        <f t="shared" si="179"/>
        <v>0.11174460614833533</v>
      </c>
      <c r="I416" s="18">
        <f t="shared" si="180"/>
        <v>0.51839999999999997</v>
      </c>
      <c r="J416" s="18">
        <f t="shared" si="181"/>
        <v>1.21154049E-2</v>
      </c>
      <c r="K416" s="18">
        <f t="shared" si="182"/>
        <v>0.24068320221257034</v>
      </c>
      <c r="L416" s="18">
        <f t="shared" si="183"/>
        <v>3.6794444538246693E-2</v>
      </c>
      <c r="M416" s="18">
        <f t="shared" si="184"/>
        <v>7.9250399999999999E-2</v>
      </c>
      <c r="N416" s="18">
        <f t="shared" si="186"/>
        <v>2.342176219945627E-2</v>
      </c>
      <c r="O416" s="18">
        <f t="shared" si="189"/>
        <v>3.6104083924723786E-2</v>
      </c>
      <c r="P416" s="18">
        <f t="shared" si="191"/>
        <v>2.9183067463062601E-3</v>
      </c>
      <c r="Q416" s="18">
        <f t="shared" si="193"/>
        <v>1.2718198997725533E-3</v>
      </c>
      <c r="R416" s="18">
        <f t="shared" si="195"/>
        <v>1.4212810186981409E-2</v>
      </c>
      <c r="S416" s="18">
        <f t="shared" si="197"/>
        <v>2.564764389375362E-3</v>
      </c>
      <c r="T416" s="18">
        <f t="shared" si="199"/>
        <v>2.6596167030833329E-3</v>
      </c>
      <c r="U416" s="18">
        <f t="shared" si="201"/>
        <v>7.7368074566320675E-4</v>
      </c>
      <c r="V416" s="18">
        <f t="shared" si="202"/>
        <v>1.2208453471128802E-2</v>
      </c>
      <c r="W416" s="18">
        <f t="shared" si="203"/>
        <v>1.2356224920158898E-2</v>
      </c>
      <c r="X416" s="18">
        <f t="shared" si="204"/>
        <v>1.3004885136811648E-2</v>
      </c>
      <c r="Y416" s="18">
        <f t="shared" si="205"/>
        <v>2.5221840001888561E-3</v>
      </c>
      <c r="AA416" s="18">
        <f t="shared" si="187"/>
        <v>-0.10911502953026252</v>
      </c>
      <c r="AB416" s="18">
        <f t="shared" si="188"/>
        <v>1.1906089669390061E-2</v>
      </c>
      <c r="AC416" s="18">
        <f t="shared" si="190"/>
        <v>3.3066952721288356E-3</v>
      </c>
      <c r="AD416" s="18">
        <f t="shared" si="192"/>
        <v>2.6519695451683516E-2</v>
      </c>
      <c r="AE416" s="18">
        <f t="shared" si="194"/>
        <v>1.3024972974216569E-3</v>
      </c>
      <c r="AF416" s="18">
        <f t="shared" si="196"/>
        <v>5.8952993234588614E-4</v>
      </c>
      <c r="AG416" s="18">
        <f t="shared" si="198"/>
        <v>2.0932637422909274E-2</v>
      </c>
      <c r="AH416" s="18">
        <f t="shared" si="200"/>
        <v>5.86353986985233E-3</v>
      </c>
      <c r="AJ416" s="18">
        <f>IF(ISNUMBER(Kernel!M416),Kernel!M416,"")</f>
        <v>-0.21527678641400211</v>
      </c>
      <c r="AK416" s="18">
        <f t="shared" si="185"/>
        <v>4.634409476873988E-2</v>
      </c>
      <c r="AN416" s="18">
        <f>IF(ISNUMBER(Volcanic!G416),Volcanic!G416,"")</f>
        <v>9.9900000000000003E-2</v>
      </c>
    </row>
    <row r="417" spans="1:40">
      <c r="A417" s="18" t="str">
        <f>IF(Volcanic!A417="","",Volcanic!A417)</f>
        <v>10/1992</v>
      </c>
      <c r="B417" s="18">
        <f>IF(ISNUMBER(Volcanic!L417),Volcanic!L417,"")</f>
        <v>1992.7916666666667</v>
      </c>
      <c r="C417" s="18">
        <f>IF(ISNUMBER(Volcanic!J417),Volcanic!J417,"")</f>
        <v>-7.6603423364939915E-2</v>
      </c>
      <c r="D417" s="18">
        <f t="shared" si="178"/>
        <v>5.8680844712282222E-3</v>
      </c>
      <c r="E417" s="18">
        <f>IF(ISNUMBER(Volcanic!C417),Volcanic!C417,"")</f>
        <v>0.33587521271928794</v>
      </c>
      <c r="F417" s="18">
        <f>IF(ISNUMBER(Volcanic!D417),Volcanic!D417,"")</f>
        <v>0.35</v>
      </c>
      <c r="G417" s="18">
        <f>IF(ISNUMBER(Volcanic!E417),Volcanic!E417,"")</f>
        <v>0.10983</v>
      </c>
      <c r="H417" s="18">
        <f t="shared" si="179"/>
        <v>0.11281215851922692</v>
      </c>
      <c r="I417" s="18">
        <f t="shared" si="180"/>
        <v>0.12249999999999998</v>
      </c>
      <c r="J417" s="18">
        <f t="shared" si="181"/>
        <v>1.2062628899999999E-2</v>
      </c>
      <c r="K417" s="18">
        <f t="shared" si="182"/>
        <v>0.11755632445175077</v>
      </c>
      <c r="L417" s="18">
        <f t="shared" si="183"/>
        <v>3.6889174612959395E-2</v>
      </c>
      <c r="M417" s="18">
        <f t="shared" si="184"/>
        <v>3.8440499999999996E-2</v>
      </c>
      <c r="N417" s="18">
        <f t="shared" si="186"/>
        <v>3.462008726750615E-2</v>
      </c>
      <c r="O417" s="18">
        <f t="shared" si="189"/>
        <v>2.342176219945627E-2</v>
      </c>
      <c r="P417" s="18">
        <f t="shared" si="191"/>
        <v>3.6104083924723786E-2</v>
      </c>
      <c r="Q417" s="18">
        <f t="shared" si="193"/>
        <v>2.9183067463062601E-3</v>
      </c>
      <c r="R417" s="18">
        <f t="shared" si="195"/>
        <v>1.2718198997725533E-3</v>
      </c>
      <c r="S417" s="18">
        <f t="shared" si="197"/>
        <v>1.4212810186981409E-2</v>
      </c>
      <c r="T417" s="18">
        <f t="shared" si="199"/>
        <v>2.564764389375362E-3</v>
      </c>
      <c r="U417" s="18">
        <f t="shared" si="201"/>
        <v>2.6596167030833329E-3</v>
      </c>
      <c r="V417" s="18">
        <f t="shared" si="202"/>
        <v>7.7368074566320675E-4</v>
      </c>
      <c r="W417" s="18">
        <f t="shared" si="203"/>
        <v>1.2208453471128802E-2</v>
      </c>
      <c r="X417" s="18">
        <f t="shared" si="204"/>
        <v>1.2356224920158898E-2</v>
      </c>
      <c r="Y417" s="18">
        <f t="shared" si="205"/>
        <v>1.3004885136811648E-2</v>
      </c>
      <c r="AA417" s="18">
        <f t="shared" si="187"/>
        <v>1.6950344320406582E-2</v>
      </c>
      <c r="AB417" s="18">
        <f t="shared" si="188"/>
        <v>2.8731417258033966E-4</v>
      </c>
      <c r="AC417" s="18">
        <f t="shared" si="190"/>
        <v>1.1906089669390061E-2</v>
      </c>
      <c r="AD417" s="18">
        <f t="shared" si="192"/>
        <v>3.3066952721288356E-3</v>
      </c>
      <c r="AE417" s="18">
        <f t="shared" si="194"/>
        <v>2.6519695451683516E-2</v>
      </c>
      <c r="AF417" s="18">
        <f t="shared" si="196"/>
        <v>1.3024972974216569E-3</v>
      </c>
      <c r="AG417" s="18">
        <f t="shared" si="198"/>
        <v>5.8952993234588614E-4</v>
      </c>
      <c r="AH417" s="18">
        <f t="shared" si="200"/>
        <v>2.0932637422909274E-2</v>
      </c>
      <c r="AJ417" s="18">
        <f>IF(ISNUMBER(Kernel!M417),Kernel!M417,"")</f>
        <v>-0.11624749977247761</v>
      </c>
      <c r="AK417" s="18">
        <f t="shared" si="185"/>
        <v>1.3513481203352183E-2</v>
      </c>
      <c r="AN417" s="18">
        <f>IF(ISNUMBER(Volcanic!G417),Volcanic!G417,"")</f>
        <v>9.0620000000000006E-2</v>
      </c>
    </row>
    <row r="418" spans="1:40">
      <c r="A418" s="18" t="str">
        <f>IF(Volcanic!A418="","",Volcanic!A418)</f>
        <v>11/1992</v>
      </c>
      <c r="B418" s="18">
        <f>IF(ISNUMBER(Volcanic!L418),Volcanic!L418,"")</f>
        <v>1992.875</v>
      </c>
      <c r="C418" s="18">
        <f>IF(ISNUMBER(Volcanic!J418),Volcanic!J418,"")</f>
        <v>-0.10733405725986961</v>
      </c>
      <c r="D418" s="18">
        <f t="shared" si="178"/>
        <v>1.1520599847864969E-2</v>
      </c>
      <c r="E418" s="18">
        <f>IF(ISNUMBER(Volcanic!C418),Volcanic!C418,"")</f>
        <v>0.34003319062417492</v>
      </c>
      <c r="F418" s="18">
        <f>IF(ISNUMBER(Volcanic!D418),Volcanic!D418,"")</f>
        <v>0.08</v>
      </c>
      <c r="G418" s="18">
        <f>IF(ISNUMBER(Volcanic!E418),Volcanic!E418,"")</f>
        <v>0.10781</v>
      </c>
      <c r="H418" s="18">
        <f t="shared" si="179"/>
        <v>0.11562257072605647</v>
      </c>
      <c r="I418" s="18">
        <f t="shared" si="180"/>
        <v>6.4000000000000003E-3</v>
      </c>
      <c r="J418" s="18">
        <f t="shared" si="181"/>
        <v>1.1622996100000001E-2</v>
      </c>
      <c r="K418" s="18">
        <f t="shared" si="182"/>
        <v>2.7202655249933993E-2</v>
      </c>
      <c r="L418" s="18">
        <f t="shared" si="183"/>
        <v>3.66589782811923E-2</v>
      </c>
      <c r="M418" s="18">
        <f t="shared" si="184"/>
        <v>8.6248000000000002E-3</v>
      </c>
      <c r="N418" s="18">
        <f t="shared" si="186"/>
        <v>5.8680844712282222E-3</v>
      </c>
      <c r="O418" s="18">
        <f t="shared" si="189"/>
        <v>3.462008726750615E-2</v>
      </c>
      <c r="P418" s="18">
        <f t="shared" si="191"/>
        <v>2.342176219945627E-2</v>
      </c>
      <c r="Q418" s="18">
        <f t="shared" si="193"/>
        <v>3.6104083924723786E-2</v>
      </c>
      <c r="R418" s="18">
        <f t="shared" si="195"/>
        <v>2.9183067463062601E-3</v>
      </c>
      <c r="S418" s="18">
        <f t="shared" si="197"/>
        <v>1.2718198997725533E-3</v>
      </c>
      <c r="T418" s="18">
        <f t="shared" si="199"/>
        <v>1.4212810186981409E-2</v>
      </c>
      <c r="U418" s="18">
        <f t="shared" si="201"/>
        <v>2.564764389375362E-3</v>
      </c>
      <c r="V418" s="18">
        <f t="shared" si="202"/>
        <v>2.6596167030833329E-3</v>
      </c>
      <c r="W418" s="18">
        <f t="shared" si="203"/>
        <v>7.7368074566320675E-4</v>
      </c>
      <c r="X418" s="18">
        <f t="shared" si="204"/>
        <v>1.2208453471128802E-2</v>
      </c>
      <c r="Y418" s="18">
        <f t="shared" si="205"/>
        <v>1.2356224920158898E-2</v>
      </c>
      <c r="AA418" s="18">
        <f t="shared" si="187"/>
        <v>-6.881768443998082E-2</v>
      </c>
      <c r="AB418" s="18">
        <f t="shared" si="188"/>
        <v>4.7358736916807784E-3</v>
      </c>
      <c r="AC418" s="18">
        <f t="shared" si="190"/>
        <v>2.8731417258033966E-4</v>
      </c>
      <c r="AD418" s="18">
        <f t="shared" si="192"/>
        <v>1.1906089669390061E-2</v>
      </c>
      <c r="AE418" s="18">
        <f t="shared" si="194"/>
        <v>3.3066952721288356E-3</v>
      </c>
      <c r="AF418" s="18">
        <f t="shared" si="196"/>
        <v>2.6519695451683516E-2</v>
      </c>
      <c r="AG418" s="18">
        <f t="shared" si="198"/>
        <v>1.3024972974216569E-3</v>
      </c>
      <c r="AH418" s="18">
        <f t="shared" si="200"/>
        <v>5.8952993234588614E-4</v>
      </c>
      <c r="AJ418" s="18">
        <f>IF(ISNUMBER(Kernel!M418),Kernel!M418,"")</f>
        <v>-0.14893710186580589</v>
      </c>
      <c r="AK418" s="18">
        <f t="shared" si="185"/>
        <v>2.2182260312185439E-2</v>
      </c>
      <c r="AN418" s="18">
        <f>IF(ISNUMBER(Volcanic!G418),Volcanic!G418,"")</f>
        <v>8.3360000000000004E-2</v>
      </c>
    </row>
    <row r="419" spans="1:40">
      <c r="A419" s="18" t="str">
        <f>IF(Volcanic!A419="","",Volcanic!A419)</f>
        <v>12/1992</v>
      </c>
      <c r="B419" s="18">
        <f>IF(ISNUMBER(Volcanic!L419),Volcanic!L419,"")</f>
        <v>1992.9583333333333</v>
      </c>
      <c r="C419" s="18">
        <f>IF(ISNUMBER(Volcanic!J419),Volcanic!J419,"")</f>
        <v>9.7438007539773275E-2</v>
      </c>
      <c r="D419" s="18">
        <f t="shared" si="178"/>
        <v>9.4941653133209132E-3</v>
      </c>
      <c r="E419" s="18">
        <f>IF(ISNUMBER(Volcanic!C419),Volcanic!C419,"")</f>
        <v>0.34515302630729883</v>
      </c>
      <c r="F419" s="18">
        <f>IF(ISNUMBER(Volcanic!D419),Volcanic!D419,"")</f>
        <v>-0.15</v>
      </c>
      <c r="G419" s="18">
        <f>IF(ISNUMBER(Volcanic!E419),Volcanic!E419,"")</f>
        <v>0.11117</v>
      </c>
      <c r="H419" s="18">
        <f t="shared" si="179"/>
        <v>0.11913061156908691</v>
      </c>
      <c r="I419" s="18">
        <f t="shared" si="180"/>
        <v>2.2499999999999999E-2</v>
      </c>
      <c r="J419" s="18">
        <f t="shared" si="181"/>
        <v>1.2358768900000001E-2</v>
      </c>
      <c r="K419" s="18">
        <f t="shared" si="182"/>
        <v>-5.1772953946094824E-2</v>
      </c>
      <c r="L419" s="18">
        <f t="shared" si="183"/>
        <v>3.8370661934582412E-2</v>
      </c>
      <c r="M419" s="18">
        <f t="shared" si="184"/>
        <v>-1.6675499999999999E-2</v>
      </c>
      <c r="N419" s="18">
        <f t="shared" si="186"/>
        <v>1.1520599847864969E-2</v>
      </c>
      <c r="O419" s="18">
        <f t="shared" si="189"/>
        <v>5.8680844712282222E-3</v>
      </c>
      <c r="P419" s="18">
        <f t="shared" si="191"/>
        <v>3.462008726750615E-2</v>
      </c>
      <c r="Q419" s="18">
        <f t="shared" si="193"/>
        <v>2.342176219945627E-2</v>
      </c>
      <c r="R419" s="18">
        <f t="shared" si="195"/>
        <v>3.6104083924723786E-2</v>
      </c>
      <c r="S419" s="18">
        <f t="shared" si="197"/>
        <v>2.9183067463062601E-3</v>
      </c>
      <c r="T419" s="18">
        <f t="shared" si="199"/>
        <v>1.2718198997725533E-3</v>
      </c>
      <c r="U419" s="18">
        <f t="shared" si="201"/>
        <v>1.4212810186981409E-2</v>
      </c>
      <c r="V419" s="18">
        <f t="shared" si="202"/>
        <v>2.564764389375362E-3</v>
      </c>
      <c r="W419" s="18">
        <f t="shared" si="203"/>
        <v>2.6596167030833329E-3</v>
      </c>
      <c r="X419" s="18">
        <f t="shared" si="204"/>
        <v>7.7368074566320675E-4</v>
      </c>
      <c r="Y419" s="18">
        <f t="shared" si="205"/>
        <v>1.2208453471128802E-2</v>
      </c>
      <c r="AA419" s="18">
        <f t="shared" si="187"/>
        <v>0.15140581190273789</v>
      </c>
      <c r="AB419" s="18">
        <f t="shared" si="188"/>
        <v>2.2923719877927247E-2</v>
      </c>
      <c r="AC419" s="18">
        <f t="shared" si="190"/>
        <v>4.7358736916807784E-3</v>
      </c>
      <c r="AD419" s="18">
        <f t="shared" si="192"/>
        <v>2.8731417258033966E-4</v>
      </c>
      <c r="AE419" s="18">
        <f t="shared" si="194"/>
        <v>1.1906089669390061E-2</v>
      </c>
      <c r="AF419" s="18">
        <f t="shared" si="196"/>
        <v>3.3066952721288356E-3</v>
      </c>
      <c r="AG419" s="18">
        <f t="shared" si="198"/>
        <v>2.6519695451683516E-2</v>
      </c>
      <c r="AH419" s="18">
        <f t="shared" si="200"/>
        <v>1.3024972974216569E-3</v>
      </c>
      <c r="AJ419" s="18">
        <f>IF(ISNUMBER(Kernel!M419),Kernel!M419,"")</f>
        <v>3.7889454343772722E-2</v>
      </c>
      <c r="AK419" s="18">
        <f t="shared" si="185"/>
        <v>1.4356107504688376E-3</v>
      </c>
      <c r="AN419" s="18">
        <f>IF(ISNUMBER(Volcanic!G419),Volcanic!G419,"")</f>
        <v>7.9369999999999996E-2</v>
      </c>
    </row>
    <row r="420" spans="1:40">
      <c r="A420" s="18" t="str">
        <f>IF(Volcanic!A420="","",Volcanic!A420)</f>
        <v>1/1993</v>
      </c>
      <c r="B420" s="18">
        <f>IF(ISNUMBER(Volcanic!L420),Volcanic!L420,"")</f>
        <v>1993.0416666666667</v>
      </c>
      <c r="C420" s="18">
        <f>IF(ISNUMBER(Volcanic!J420),Volcanic!J420,"")</f>
        <v>0.22553881572675971</v>
      </c>
      <c r="D420" s="18">
        <f t="shared" si="178"/>
        <v>5.0867757399429274E-2</v>
      </c>
      <c r="E420" s="18">
        <f>IF(ISNUMBER(Volcanic!C420),Volcanic!C420,"")</f>
        <v>0.35090130675373682</v>
      </c>
      <c r="F420" s="18">
        <f>IF(ISNUMBER(Volcanic!D420),Volcanic!D420,"")</f>
        <v>-0.22</v>
      </c>
      <c r="G420" s="18">
        <f>IF(ISNUMBER(Volcanic!E420),Volcanic!E420,"")</f>
        <v>0.11448</v>
      </c>
      <c r="H420" s="18">
        <f t="shared" si="179"/>
        <v>0.12313172708148011</v>
      </c>
      <c r="I420" s="18">
        <f t="shared" si="180"/>
        <v>4.8399999999999999E-2</v>
      </c>
      <c r="J420" s="18">
        <f t="shared" si="181"/>
        <v>1.31056704E-2</v>
      </c>
      <c r="K420" s="18">
        <f t="shared" si="182"/>
        <v>-7.7198287485822095E-2</v>
      </c>
      <c r="L420" s="18">
        <f t="shared" si="183"/>
        <v>4.0171181597167788E-2</v>
      </c>
      <c r="M420" s="18">
        <f t="shared" si="184"/>
        <v>-2.5185599999999999E-2</v>
      </c>
      <c r="N420" s="18">
        <f t="shared" si="186"/>
        <v>9.4941653133209132E-3</v>
      </c>
      <c r="O420" s="18">
        <f t="shared" si="189"/>
        <v>1.1520599847864969E-2</v>
      </c>
      <c r="P420" s="18">
        <f t="shared" si="191"/>
        <v>5.8680844712282222E-3</v>
      </c>
      <c r="Q420" s="18">
        <f t="shared" si="193"/>
        <v>3.462008726750615E-2</v>
      </c>
      <c r="R420" s="18">
        <f t="shared" si="195"/>
        <v>2.342176219945627E-2</v>
      </c>
      <c r="S420" s="18">
        <f t="shared" si="197"/>
        <v>3.6104083924723786E-2</v>
      </c>
      <c r="T420" s="18">
        <f t="shared" si="199"/>
        <v>2.9183067463062601E-3</v>
      </c>
      <c r="U420" s="18">
        <f t="shared" si="201"/>
        <v>1.2718198997725533E-3</v>
      </c>
      <c r="V420" s="18">
        <f t="shared" si="202"/>
        <v>1.4212810186981409E-2</v>
      </c>
      <c r="W420" s="18">
        <f t="shared" si="203"/>
        <v>2.564764389375362E-3</v>
      </c>
      <c r="X420" s="18">
        <f t="shared" si="204"/>
        <v>2.6596167030833329E-3</v>
      </c>
      <c r="Y420" s="18">
        <f t="shared" si="205"/>
        <v>7.7368074566320675E-4</v>
      </c>
      <c r="AA420" s="18">
        <f t="shared" si="187"/>
        <v>0.17654676732508595</v>
      </c>
      <c r="AB420" s="18">
        <f t="shared" si="188"/>
        <v>3.1168761052938036E-2</v>
      </c>
      <c r="AC420" s="18">
        <f t="shared" si="190"/>
        <v>2.2923719877927247E-2</v>
      </c>
      <c r="AD420" s="18">
        <f t="shared" si="192"/>
        <v>4.7358736916807784E-3</v>
      </c>
      <c r="AE420" s="18">
        <f t="shared" si="194"/>
        <v>2.8731417258033966E-4</v>
      </c>
      <c r="AF420" s="18">
        <f t="shared" si="196"/>
        <v>1.1906089669390061E-2</v>
      </c>
      <c r="AG420" s="18">
        <f t="shared" si="198"/>
        <v>3.3066952721288356E-3</v>
      </c>
      <c r="AH420" s="18">
        <f t="shared" si="200"/>
        <v>2.6519695451683516E-2</v>
      </c>
      <c r="AJ420" s="18">
        <f>IF(ISNUMBER(Kernel!M420),Kernel!M420,"")</f>
        <v>0.1551875897317157</v>
      </c>
      <c r="AK420" s="18">
        <f t="shared" si="185"/>
        <v>2.4083188006739312E-2</v>
      </c>
      <c r="AN420" s="18">
        <f>IF(ISNUMBER(Volcanic!G420),Volcanic!G420,"")</f>
        <v>7.0660000000000001E-2</v>
      </c>
    </row>
    <row r="421" spans="1:40">
      <c r="A421" s="18" t="str">
        <f>IF(Volcanic!A421="","",Volcanic!A421)</f>
        <v>2/1993</v>
      </c>
      <c r="B421" s="18">
        <f>IF(ISNUMBER(Volcanic!L421),Volcanic!L421,"")</f>
        <v>1993.125</v>
      </c>
      <c r="C421" s="18">
        <f>IF(ISNUMBER(Volcanic!J421),Volcanic!J421,"")</f>
        <v>0.2293259234059383</v>
      </c>
      <c r="D421" s="18">
        <f t="shared" si="178"/>
        <v>5.2590379145986278E-2</v>
      </c>
      <c r="E421" s="18">
        <f>IF(ISNUMBER(Volcanic!C421),Volcanic!C421,"")</f>
        <v>0.35219353774503176</v>
      </c>
      <c r="F421" s="18">
        <f>IF(ISNUMBER(Volcanic!D421),Volcanic!D421,"")</f>
        <v>-0.24</v>
      </c>
      <c r="G421" s="18">
        <f>IF(ISNUMBER(Volcanic!E421),Volcanic!E421,"")</f>
        <v>0.10786999999999999</v>
      </c>
      <c r="H421" s="18">
        <f t="shared" si="179"/>
        <v>0.12404028802936111</v>
      </c>
      <c r="I421" s="18">
        <f t="shared" si="180"/>
        <v>5.7599999999999998E-2</v>
      </c>
      <c r="J421" s="18">
        <f t="shared" si="181"/>
        <v>1.1635936899999999E-2</v>
      </c>
      <c r="K421" s="18">
        <f t="shared" si="182"/>
        <v>-8.4526449058807615E-2</v>
      </c>
      <c r="L421" s="18">
        <f t="shared" si="183"/>
        <v>3.7991116916556572E-2</v>
      </c>
      <c r="M421" s="18">
        <f t="shared" si="184"/>
        <v>-2.5888799999999997E-2</v>
      </c>
      <c r="N421" s="18">
        <f t="shared" si="186"/>
        <v>5.0867757399429274E-2</v>
      </c>
      <c r="O421" s="18">
        <f t="shared" si="189"/>
        <v>9.4941653133209132E-3</v>
      </c>
      <c r="P421" s="18">
        <f t="shared" si="191"/>
        <v>1.1520599847864969E-2</v>
      </c>
      <c r="Q421" s="18">
        <f t="shared" si="193"/>
        <v>5.8680844712282222E-3</v>
      </c>
      <c r="R421" s="18">
        <f t="shared" si="195"/>
        <v>3.462008726750615E-2</v>
      </c>
      <c r="S421" s="18">
        <f t="shared" si="197"/>
        <v>2.342176219945627E-2</v>
      </c>
      <c r="T421" s="18">
        <f t="shared" si="199"/>
        <v>3.6104083924723786E-2</v>
      </c>
      <c r="U421" s="18">
        <f t="shared" si="201"/>
        <v>2.9183067463062601E-3</v>
      </c>
      <c r="V421" s="18">
        <f t="shared" si="202"/>
        <v>1.2718198997725533E-3</v>
      </c>
      <c r="W421" s="18">
        <f t="shared" si="203"/>
        <v>1.4212810186981409E-2</v>
      </c>
      <c r="X421" s="18">
        <f t="shared" si="204"/>
        <v>2.564764389375362E-3</v>
      </c>
      <c r="Y421" s="18">
        <f t="shared" si="205"/>
        <v>2.6596167030833329E-3</v>
      </c>
      <c r="AA421" s="18">
        <f t="shared" si="187"/>
        <v>0.11592450176837821</v>
      </c>
      <c r="AB421" s="18">
        <f t="shared" si="188"/>
        <v>1.3438490110246722E-2</v>
      </c>
      <c r="AC421" s="18">
        <f t="shared" si="190"/>
        <v>3.1168761052938036E-2</v>
      </c>
      <c r="AD421" s="18">
        <f t="shared" si="192"/>
        <v>2.2923719877927247E-2</v>
      </c>
      <c r="AE421" s="18">
        <f t="shared" si="194"/>
        <v>4.7358736916807784E-3</v>
      </c>
      <c r="AF421" s="18">
        <f t="shared" si="196"/>
        <v>2.8731417258033966E-4</v>
      </c>
      <c r="AG421" s="18">
        <f t="shared" si="198"/>
        <v>1.1906089669390061E-2</v>
      </c>
      <c r="AH421" s="18">
        <f t="shared" si="200"/>
        <v>3.3066952721288356E-3</v>
      </c>
      <c r="AJ421" s="18">
        <f>IF(ISNUMBER(Kernel!M421),Kernel!M421,"")</f>
        <v>0.16968469207064307</v>
      </c>
      <c r="AK421" s="18">
        <f t="shared" si="185"/>
        <v>2.8792894723108961E-2</v>
      </c>
      <c r="AN421" s="18">
        <f>IF(ISNUMBER(Volcanic!G421),Volcanic!G421,"")</f>
        <v>6.9159999999999999E-2</v>
      </c>
    </row>
    <row r="422" spans="1:40">
      <c r="A422" s="18" t="str">
        <f>IF(Volcanic!A422="","",Volcanic!A422)</f>
        <v>3/1993</v>
      </c>
      <c r="B422" s="18">
        <f>IF(ISNUMBER(Volcanic!L422),Volcanic!L422,"")</f>
        <v>1993.2083333333333</v>
      </c>
      <c r="C422" s="18">
        <f>IF(ISNUMBER(Volcanic!J422),Volcanic!J422,"")</f>
        <v>0.1795718706114296</v>
      </c>
      <c r="D422" s="18">
        <f t="shared" si="178"/>
        <v>3.2246056714888012E-2</v>
      </c>
      <c r="E422" s="18">
        <f>IF(ISNUMBER(Volcanic!C422),Volcanic!C422,"")</f>
        <v>0.3569084291577157</v>
      </c>
      <c r="F422" s="18">
        <f>IF(ISNUMBER(Volcanic!D422),Volcanic!D422,"")</f>
        <v>-0.05</v>
      </c>
      <c r="G422" s="18">
        <f>IF(ISNUMBER(Volcanic!E422),Volcanic!E422,"")</f>
        <v>0.10366</v>
      </c>
      <c r="H422" s="18">
        <f t="shared" si="179"/>
        <v>0.12738362680382817</v>
      </c>
      <c r="I422" s="18">
        <f t="shared" si="180"/>
        <v>2.5000000000000005E-3</v>
      </c>
      <c r="J422" s="18">
        <f t="shared" si="181"/>
        <v>1.0745395600000001E-2</v>
      </c>
      <c r="K422" s="18">
        <f t="shared" si="182"/>
        <v>-1.7845421457885785E-2</v>
      </c>
      <c r="L422" s="18">
        <f t="shared" si="183"/>
        <v>3.6997127766488808E-2</v>
      </c>
      <c r="M422" s="18">
        <f t="shared" si="184"/>
        <v>-5.1830000000000001E-3</v>
      </c>
      <c r="N422" s="18">
        <f t="shared" si="186"/>
        <v>5.2590379145986278E-2</v>
      </c>
      <c r="O422" s="18">
        <f t="shared" si="189"/>
        <v>5.0867757399429274E-2</v>
      </c>
      <c r="P422" s="18">
        <f t="shared" si="191"/>
        <v>9.4941653133209132E-3</v>
      </c>
      <c r="Q422" s="18">
        <f t="shared" si="193"/>
        <v>1.1520599847864969E-2</v>
      </c>
      <c r="R422" s="18">
        <f t="shared" si="195"/>
        <v>5.8680844712282222E-3</v>
      </c>
      <c r="S422" s="18">
        <f t="shared" si="197"/>
        <v>3.462008726750615E-2</v>
      </c>
      <c r="T422" s="18">
        <f t="shared" si="199"/>
        <v>2.342176219945627E-2</v>
      </c>
      <c r="U422" s="18">
        <f t="shared" si="201"/>
        <v>3.6104083924723786E-2</v>
      </c>
      <c r="V422" s="18">
        <f t="shared" si="202"/>
        <v>2.9183067463062601E-3</v>
      </c>
      <c r="W422" s="18">
        <f t="shared" si="203"/>
        <v>1.2718198997725533E-3</v>
      </c>
      <c r="X422" s="18">
        <f t="shared" si="204"/>
        <v>1.4212810186981409E-2</v>
      </c>
      <c r="Y422" s="18">
        <f t="shared" si="205"/>
        <v>2.564764389375362E-3</v>
      </c>
      <c r="AA422" s="18">
        <f t="shared" si="187"/>
        <v>6.4266282751618567E-2</v>
      </c>
      <c r="AB422" s="18">
        <f t="shared" si="188"/>
        <v>4.1301550987109864E-3</v>
      </c>
      <c r="AC422" s="18">
        <f t="shared" si="190"/>
        <v>1.3438490110246722E-2</v>
      </c>
      <c r="AD422" s="18">
        <f t="shared" si="192"/>
        <v>3.1168761052938036E-2</v>
      </c>
      <c r="AE422" s="18">
        <f t="shared" si="194"/>
        <v>2.2923719877927247E-2</v>
      </c>
      <c r="AF422" s="18">
        <f t="shared" si="196"/>
        <v>4.7358736916807784E-3</v>
      </c>
      <c r="AG422" s="18">
        <f t="shared" si="198"/>
        <v>2.8731417258033966E-4</v>
      </c>
      <c r="AH422" s="18">
        <f t="shared" si="200"/>
        <v>1.1906089669390061E-2</v>
      </c>
      <c r="AJ422" s="18">
        <f>IF(ISNUMBER(Kernel!M422),Kernel!M422,"")</f>
        <v>0.13978198103584422</v>
      </c>
      <c r="AK422" s="18">
        <f t="shared" si="185"/>
        <v>1.9539002222305112E-2</v>
      </c>
      <c r="AN422" s="18">
        <f>IF(ISNUMBER(Volcanic!G422),Volcanic!G422,"")</f>
        <v>6.4710000000000004E-2</v>
      </c>
    </row>
    <row r="423" spans="1:40">
      <c r="A423" s="18" t="str">
        <f>IF(Volcanic!A423="","",Volcanic!A423)</f>
        <v>4/1993</v>
      </c>
      <c r="B423" s="18">
        <f>IF(ISNUMBER(Volcanic!L423),Volcanic!L423,"")</f>
        <v>1993.2916666666667</v>
      </c>
      <c r="C423" s="18">
        <f>IF(ISNUMBER(Volcanic!J423),Volcanic!J423,"")</f>
        <v>6.5826741332223437E-2</v>
      </c>
      <c r="D423" s="18">
        <f t="shared" si="178"/>
        <v>4.3331598744194531E-3</v>
      </c>
      <c r="E423" s="18">
        <f>IF(ISNUMBER(Volcanic!C423),Volcanic!C423,"")</f>
        <v>0.36012343935395846</v>
      </c>
      <c r="F423" s="18">
        <f>IF(ISNUMBER(Volcanic!D423),Volcanic!D423,"")</f>
        <v>0.13</v>
      </c>
      <c r="G423" s="18">
        <f>IF(ISNUMBER(Volcanic!E423),Volcanic!E423,"")</f>
        <v>9.9900000000000003E-2</v>
      </c>
      <c r="H423" s="18">
        <f t="shared" si="179"/>
        <v>0.12968889157212421</v>
      </c>
      <c r="I423" s="18">
        <f t="shared" si="180"/>
        <v>1.6900000000000002E-2</v>
      </c>
      <c r="J423" s="18">
        <f t="shared" si="181"/>
        <v>9.980010000000001E-3</v>
      </c>
      <c r="K423" s="18">
        <f t="shared" si="182"/>
        <v>4.68160471160146E-2</v>
      </c>
      <c r="L423" s="18">
        <f t="shared" si="183"/>
        <v>3.597633159146045E-2</v>
      </c>
      <c r="M423" s="18">
        <f t="shared" si="184"/>
        <v>1.2987E-2</v>
      </c>
      <c r="N423" s="18">
        <f t="shared" si="186"/>
        <v>3.2246056714888012E-2</v>
      </c>
      <c r="O423" s="18">
        <f t="shared" si="189"/>
        <v>5.2590379145986278E-2</v>
      </c>
      <c r="P423" s="18">
        <f t="shared" si="191"/>
        <v>5.0867757399429274E-2</v>
      </c>
      <c r="Q423" s="18">
        <f t="shared" si="193"/>
        <v>9.4941653133209132E-3</v>
      </c>
      <c r="R423" s="18">
        <f t="shared" si="195"/>
        <v>1.1520599847864969E-2</v>
      </c>
      <c r="S423" s="18">
        <f t="shared" si="197"/>
        <v>5.8680844712282222E-3</v>
      </c>
      <c r="T423" s="18">
        <f t="shared" si="199"/>
        <v>3.462008726750615E-2</v>
      </c>
      <c r="U423" s="18">
        <f t="shared" si="201"/>
        <v>2.342176219945627E-2</v>
      </c>
      <c r="V423" s="18">
        <f t="shared" si="202"/>
        <v>3.6104083924723786E-2</v>
      </c>
      <c r="W423" s="18">
        <f t="shared" si="203"/>
        <v>2.9183067463062601E-3</v>
      </c>
      <c r="X423" s="18">
        <f t="shared" si="204"/>
        <v>1.2718198997725533E-3</v>
      </c>
      <c r="Y423" s="18">
        <f t="shared" si="205"/>
        <v>1.4212810186981409E-2</v>
      </c>
      <c r="AA423" s="18">
        <f t="shared" si="187"/>
        <v>-2.4462397359196947E-2</v>
      </c>
      <c r="AB423" s="18">
        <f t="shared" si="188"/>
        <v>5.9840888455924576E-4</v>
      </c>
      <c r="AC423" s="18">
        <f t="shared" si="190"/>
        <v>4.1301550987109864E-3</v>
      </c>
      <c r="AD423" s="18">
        <f t="shared" si="192"/>
        <v>1.3438490110246722E-2</v>
      </c>
      <c r="AE423" s="18">
        <f t="shared" si="194"/>
        <v>3.1168761052938036E-2</v>
      </c>
      <c r="AF423" s="18">
        <f t="shared" si="196"/>
        <v>2.2923719877927247E-2</v>
      </c>
      <c r="AG423" s="18">
        <f t="shared" si="198"/>
        <v>4.7358736916807784E-3</v>
      </c>
      <c r="AH423" s="18">
        <f t="shared" si="200"/>
        <v>2.8731417258033966E-4</v>
      </c>
      <c r="AJ423" s="18">
        <f>IF(ISNUMBER(Kernel!M423),Kernel!M423,"")</f>
        <v>3.9753091196957441E-2</v>
      </c>
      <c r="AK423" s="18">
        <f t="shared" si="185"/>
        <v>1.5803082597136151E-3</v>
      </c>
      <c r="AN423" s="18">
        <f>IF(ISNUMBER(Volcanic!G423),Volcanic!G423,"")</f>
        <v>6.4380000000000007E-2</v>
      </c>
    </row>
    <row r="424" spans="1:40">
      <c r="A424" s="18" t="str">
        <f>IF(Volcanic!A424="","",Volcanic!A424)</f>
        <v>5/1993</v>
      </c>
      <c r="B424" s="18">
        <f>IF(ISNUMBER(Volcanic!L424),Volcanic!L424,"")</f>
        <v>1993.375</v>
      </c>
      <c r="C424" s="18">
        <f>IF(ISNUMBER(Volcanic!J424),Volcanic!J424,"")</f>
        <v>1.8753669312497667E-2</v>
      </c>
      <c r="D424" s="18">
        <f t="shared" si="178"/>
        <v>3.5170011268251673E-4</v>
      </c>
      <c r="E424" s="18">
        <f>IF(ISNUMBER(Volcanic!C424),Volcanic!C424,"")</f>
        <v>0.36377182459446167</v>
      </c>
      <c r="F424" s="18">
        <f>IF(ISNUMBER(Volcanic!D424),Volcanic!D424,"")</f>
        <v>0.31</v>
      </c>
      <c r="G424" s="18">
        <f>IF(ISNUMBER(Volcanic!E424),Volcanic!E424,"")</f>
        <v>9.0620000000000006E-2</v>
      </c>
      <c r="H424" s="18">
        <f t="shared" si="179"/>
        <v>0.13232994036878379</v>
      </c>
      <c r="I424" s="18">
        <f t="shared" si="180"/>
        <v>9.6100000000000005E-2</v>
      </c>
      <c r="J424" s="18">
        <f t="shared" si="181"/>
        <v>8.2119844000000004E-3</v>
      </c>
      <c r="K424" s="18">
        <f t="shared" si="182"/>
        <v>0.11276926562428312</v>
      </c>
      <c r="L424" s="18">
        <f t="shared" si="183"/>
        <v>3.2965002744750116E-2</v>
      </c>
      <c r="M424" s="18">
        <f t="shared" si="184"/>
        <v>2.8092200000000001E-2</v>
      </c>
      <c r="N424" s="18">
        <f t="shared" si="186"/>
        <v>4.3331598744194531E-3</v>
      </c>
      <c r="O424" s="18">
        <f t="shared" si="189"/>
        <v>3.2246056714888012E-2</v>
      </c>
      <c r="P424" s="18">
        <f t="shared" si="191"/>
        <v>5.2590379145986278E-2</v>
      </c>
      <c r="Q424" s="18">
        <f t="shared" si="193"/>
        <v>5.0867757399429274E-2</v>
      </c>
      <c r="R424" s="18">
        <f t="shared" si="195"/>
        <v>9.4941653133209132E-3</v>
      </c>
      <c r="S424" s="18">
        <f t="shared" si="197"/>
        <v>1.1520599847864969E-2</v>
      </c>
      <c r="T424" s="18">
        <f t="shared" si="199"/>
        <v>5.8680844712282222E-3</v>
      </c>
      <c r="U424" s="18">
        <f t="shared" si="201"/>
        <v>3.462008726750615E-2</v>
      </c>
      <c r="V424" s="18">
        <f t="shared" si="202"/>
        <v>2.342176219945627E-2</v>
      </c>
      <c r="W424" s="18">
        <f t="shared" si="203"/>
        <v>3.6104083924723786E-2</v>
      </c>
      <c r="X424" s="18">
        <f t="shared" si="204"/>
        <v>2.9183067463062601E-3</v>
      </c>
      <c r="Y424" s="18">
        <f t="shared" si="205"/>
        <v>1.2718198997725533E-3</v>
      </c>
      <c r="AA424" s="18">
        <f t="shared" si="187"/>
        <v>-1.4344163647154545E-2</v>
      </c>
      <c r="AB424" s="18">
        <f t="shared" si="188"/>
        <v>2.0575503073634997E-4</v>
      </c>
      <c r="AC424" s="18">
        <f t="shared" si="190"/>
        <v>5.9840888455924576E-4</v>
      </c>
      <c r="AD424" s="18">
        <f t="shared" si="192"/>
        <v>4.1301550987109864E-3</v>
      </c>
      <c r="AE424" s="18">
        <f t="shared" si="194"/>
        <v>1.3438490110246722E-2</v>
      </c>
      <c r="AF424" s="18">
        <f t="shared" si="196"/>
        <v>3.1168761052938036E-2</v>
      </c>
      <c r="AG424" s="18">
        <f t="shared" si="198"/>
        <v>2.2923719877927247E-2</v>
      </c>
      <c r="AH424" s="18">
        <f t="shared" si="200"/>
        <v>4.7358736916807784E-3</v>
      </c>
      <c r="AJ424" s="18">
        <f>IF(ISNUMBER(Kernel!M424),Kernel!M424,"")</f>
        <v>1.8123727460049865E-2</v>
      </c>
      <c r="AK424" s="18">
        <f t="shared" si="185"/>
        <v>3.2846949704616553E-4</v>
      </c>
      <c r="AN424" s="18">
        <f>IF(ISNUMBER(Volcanic!G424),Volcanic!G424,"")</f>
        <v>5.951E-2</v>
      </c>
    </row>
    <row r="425" spans="1:40">
      <c r="A425" s="18" t="str">
        <f>IF(Volcanic!A425="","",Volcanic!A425)</f>
        <v>6/1993</v>
      </c>
      <c r="B425" s="18">
        <f>IF(ISNUMBER(Volcanic!L425),Volcanic!L425,"")</f>
        <v>1993.4583333333333</v>
      </c>
      <c r="C425" s="18">
        <f>IF(ISNUMBER(Volcanic!J425),Volcanic!J425,"")</f>
        <v>-5.7637457477539122E-2</v>
      </c>
      <c r="D425" s="18">
        <f t="shared" si="178"/>
        <v>3.3220765044751307E-3</v>
      </c>
      <c r="E425" s="18">
        <f>IF(ISNUMBER(Volcanic!C425),Volcanic!C425,"")</f>
        <v>0.36112666251503961</v>
      </c>
      <c r="F425" s="18">
        <f>IF(ISNUMBER(Volcanic!D425),Volcanic!D425,"")</f>
        <v>0.5</v>
      </c>
      <c r="G425" s="18">
        <f>IF(ISNUMBER(Volcanic!E425),Volcanic!E425,"")</f>
        <v>8.3360000000000004E-2</v>
      </c>
      <c r="H425" s="18">
        <f t="shared" si="179"/>
        <v>0.1304124663792513</v>
      </c>
      <c r="I425" s="18">
        <f t="shared" si="180"/>
        <v>0.25</v>
      </c>
      <c r="J425" s="18">
        <f t="shared" si="181"/>
        <v>6.9488896000000008E-3</v>
      </c>
      <c r="K425" s="18">
        <f t="shared" si="182"/>
        <v>0.1805633312575198</v>
      </c>
      <c r="L425" s="18">
        <f t="shared" si="183"/>
        <v>3.0103518587253703E-2</v>
      </c>
      <c r="M425" s="18">
        <f t="shared" si="184"/>
        <v>4.1680000000000002E-2</v>
      </c>
      <c r="N425" s="18">
        <f t="shared" si="186"/>
        <v>3.5170011268251673E-4</v>
      </c>
      <c r="O425" s="18">
        <f t="shared" si="189"/>
        <v>4.3331598744194531E-3</v>
      </c>
      <c r="P425" s="18">
        <f t="shared" si="191"/>
        <v>3.2246056714888012E-2</v>
      </c>
      <c r="Q425" s="18">
        <f t="shared" si="193"/>
        <v>5.2590379145986278E-2</v>
      </c>
      <c r="R425" s="18">
        <f t="shared" si="195"/>
        <v>5.0867757399429274E-2</v>
      </c>
      <c r="S425" s="18">
        <f t="shared" si="197"/>
        <v>9.4941653133209132E-3</v>
      </c>
      <c r="T425" s="18">
        <f t="shared" si="199"/>
        <v>1.1520599847864969E-2</v>
      </c>
      <c r="U425" s="18">
        <f t="shared" si="201"/>
        <v>5.8680844712282222E-3</v>
      </c>
      <c r="V425" s="18">
        <f t="shared" si="202"/>
        <v>3.462008726750615E-2</v>
      </c>
      <c r="W425" s="18">
        <f t="shared" si="203"/>
        <v>2.342176219945627E-2</v>
      </c>
      <c r="X425" s="18">
        <f t="shared" si="204"/>
        <v>3.6104083924723786E-2</v>
      </c>
      <c r="Y425" s="18">
        <f t="shared" si="205"/>
        <v>2.9183067463062601E-3</v>
      </c>
      <c r="AA425" s="18">
        <f t="shared" si="187"/>
        <v>-6.7066844406370063E-2</v>
      </c>
      <c r="AB425" s="18">
        <f t="shared" si="188"/>
        <v>4.497961618628251E-3</v>
      </c>
      <c r="AC425" s="18">
        <f t="shared" si="190"/>
        <v>2.0575503073634997E-4</v>
      </c>
      <c r="AD425" s="18">
        <f t="shared" si="192"/>
        <v>5.9840888455924576E-4</v>
      </c>
      <c r="AE425" s="18">
        <f t="shared" si="194"/>
        <v>4.1301550987109864E-3</v>
      </c>
      <c r="AF425" s="18">
        <f t="shared" si="196"/>
        <v>1.3438490110246722E-2</v>
      </c>
      <c r="AG425" s="18">
        <f t="shared" si="198"/>
        <v>3.1168761052938036E-2</v>
      </c>
      <c r="AH425" s="18">
        <f t="shared" si="200"/>
        <v>2.2923719877927247E-2</v>
      </c>
      <c r="AJ425" s="18">
        <f>IF(ISNUMBER(Kernel!M425),Kernel!M425,"")</f>
        <v>-3.186124201338203E-2</v>
      </c>
      <c r="AK425" s="18">
        <f t="shared" si="185"/>
        <v>1.0151387426353001E-3</v>
      </c>
      <c r="AN425" s="18">
        <f>IF(ISNUMBER(Volcanic!G425),Volcanic!G425,"")</f>
        <v>5.4960000000000002E-2</v>
      </c>
    </row>
    <row r="426" spans="1:40">
      <c r="A426" s="18" t="str">
        <f>IF(Volcanic!A426="","",Volcanic!A426)</f>
        <v>7/1993</v>
      </c>
      <c r="B426" s="18">
        <f>IF(ISNUMBER(Volcanic!L426),Volcanic!L426,"")</f>
        <v>1993.5416666666667</v>
      </c>
      <c r="C426" s="18">
        <f>IF(ISNUMBER(Volcanic!J426),Volcanic!J426,"")</f>
        <v>-4.3725537581177032E-2</v>
      </c>
      <c r="D426" s="18">
        <f t="shared" si="178"/>
        <v>1.9119226367629249E-3</v>
      </c>
      <c r="E426" s="18">
        <f>IF(ISNUMBER(Volcanic!C426),Volcanic!C426,"")</f>
        <v>0.35231462507909828</v>
      </c>
      <c r="F426" s="18">
        <f>IF(ISNUMBER(Volcanic!D426),Volcanic!D426,"")</f>
        <v>0.73</v>
      </c>
      <c r="G426" s="18">
        <f>IF(ISNUMBER(Volcanic!E426),Volcanic!E426,"")</f>
        <v>7.9369999999999996E-2</v>
      </c>
      <c r="H426" s="18">
        <f t="shared" si="179"/>
        <v>0.12412559504462559</v>
      </c>
      <c r="I426" s="18">
        <f t="shared" si="180"/>
        <v>0.53289999999999993</v>
      </c>
      <c r="J426" s="18">
        <f t="shared" si="181"/>
        <v>6.2995968999999992E-3</v>
      </c>
      <c r="K426" s="18">
        <f t="shared" si="182"/>
        <v>0.25718967630774175</v>
      </c>
      <c r="L426" s="18">
        <f t="shared" si="183"/>
        <v>2.7963211792528028E-2</v>
      </c>
      <c r="M426" s="18">
        <f t="shared" si="184"/>
        <v>5.7940099999999994E-2</v>
      </c>
      <c r="N426" s="18">
        <f t="shared" si="186"/>
        <v>3.3220765044751307E-3</v>
      </c>
      <c r="O426" s="18">
        <f t="shared" si="189"/>
        <v>3.5170011268251673E-4</v>
      </c>
      <c r="P426" s="18">
        <f t="shared" si="191"/>
        <v>4.3331598744194531E-3</v>
      </c>
      <c r="Q426" s="18">
        <f t="shared" si="193"/>
        <v>3.2246056714888012E-2</v>
      </c>
      <c r="R426" s="18">
        <f t="shared" si="195"/>
        <v>5.2590379145986278E-2</v>
      </c>
      <c r="S426" s="18">
        <f t="shared" si="197"/>
        <v>5.0867757399429274E-2</v>
      </c>
      <c r="T426" s="18">
        <f t="shared" si="199"/>
        <v>9.4941653133209132E-3</v>
      </c>
      <c r="U426" s="18">
        <f t="shared" si="201"/>
        <v>1.1520599847864969E-2</v>
      </c>
      <c r="V426" s="18">
        <f t="shared" si="202"/>
        <v>5.8680844712282222E-3</v>
      </c>
      <c r="W426" s="18">
        <f t="shared" si="203"/>
        <v>3.462008726750615E-2</v>
      </c>
      <c r="X426" s="18">
        <f t="shared" si="204"/>
        <v>2.342176219945627E-2</v>
      </c>
      <c r="Y426" s="18">
        <f t="shared" si="205"/>
        <v>3.6104083924723786E-2</v>
      </c>
      <c r="AA426" s="18">
        <f t="shared" si="187"/>
        <v>-1.4745294883414865E-2</v>
      </c>
      <c r="AB426" s="18">
        <f t="shared" si="188"/>
        <v>2.174237211988606E-4</v>
      </c>
      <c r="AC426" s="18">
        <f t="shared" si="190"/>
        <v>4.497961618628251E-3</v>
      </c>
      <c r="AD426" s="18">
        <f t="shared" si="192"/>
        <v>2.0575503073634997E-4</v>
      </c>
      <c r="AE426" s="18">
        <f t="shared" si="194"/>
        <v>5.9840888455924576E-4</v>
      </c>
      <c r="AF426" s="18">
        <f t="shared" si="196"/>
        <v>4.1301550987109864E-3</v>
      </c>
      <c r="AG426" s="18">
        <f t="shared" si="198"/>
        <v>1.3438490110246722E-2</v>
      </c>
      <c r="AH426" s="18">
        <f t="shared" si="200"/>
        <v>3.1168761052938036E-2</v>
      </c>
      <c r="AJ426" s="18">
        <f>IF(ISNUMBER(Kernel!M426),Kernel!M426,"")</f>
        <v>1.0543146220728272E-2</v>
      </c>
      <c r="AK426" s="18">
        <f t="shared" si="185"/>
        <v>1.1115793223165685E-4</v>
      </c>
      <c r="AN426" s="18">
        <f>IF(ISNUMBER(Volcanic!G426),Volcanic!G426,"")</f>
        <v>5.0900000000000001E-2</v>
      </c>
    </row>
    <row r="427" spans="1:40">
      <c r="A427" s="18" t="str">
        <f>IF(Volcanic!A427="","",Volcanic!A427)</f>
        <v>8/1993</v>
      </c>
      <c r="B427" s="18">
        <f>IF(ISNUMBER(Volcanic!L427),Volcanic!L427,"")</f>
        <v>1993.625</v>
      </c>
      <c r="C427" s="18">
        <f>IF(ISNUMBER(Volcanic!J427),Volcanic!J427,"")</f>
        <v>-0.18702665690417541</v>
      </c>
      <c r="D427" s="18">
        <f t="shared" si="178"/>
        <v>3.4978970392752148E-2</v>
      </c>
      <c r="E427" s="18">
        <f>IF(ISNUMBER(Volcanic!C427),Volcanic!C427,"")</f>
        <v>0.34547748263181688</v>
      </c>
      <c r="F427" s="18">
        <f>IF(ISNUMBER(Volcanic!D427),Volcanic!D427,"")</f>
        <v>0.76</v>
      </c>
      <c r="G427" s="18">
        <f>IF(ISNUMBER(Volcanic!E427),Volcanic!E427,"")</f>
        <v>7.0660000000000001E-2</v>
      </c>
      <c r="H427" s="18">
        <f t="shared" si="179"/>
        <v>0.11935469100561734</v>
      </c>
      <c r="I427" s="18">
        <f t="shared" si="180"/>
        <v>0.5776</v>
      </c>
      <c r="J427" s="18">
        <f t="shared" si="181"/>
        <v>4.9928356000000004E-3</v>
      </c>
      <c r="K427" s="18">
        <f t="shared" si="182"/>
        <v>0.26256288680018081</v>
      </c>
      <c r="L427" s="18">
        <f t="shared" si="183"/>
        <v>2.4411438922764182E-2</v>
      </c>
      <c r="M427" s="18">
        <f t="shared" si="184"/>
        <v>5.3701600000000002E-2</v>
      </c>
      <c r="N427" s="18">
        <f t="shared" si="186"/>
        <v>1.9119226367629249E-3</v>
      </c>
      <c r="O427" s="18">
        <f t="shared" si="189"/>
        <v>3.3220765044751307E-3</v>
      </c>
      <c r="P427" s="18">
        <f t="shared" si="191"/>
        <v>3.5170011268251673E-4</v>
      </c>
      <c r="Q427" s="18">
        <f t="shared" si="193"/>
        <v>4.3331598744194531E-3</v>
      </c>
      <c r="R427" s="18">
        <f t="shared" si="195"/>
        <v>3.2246056714888012E-2</v>
      </c>
      <c r="S427" s="18">
        <f t="shared" si="197"/>
        <v>5.2590379145986278E-2</v>
      </c>
      <c r="T427" s="18">
        <f t="shared" si="199"/>
        <v>5.0867757399429274E-2</v>
      </c>
      <c r="U427" s="18">
        <f t="shared" si="201"/>
        <v>9.4941653133209132E-3</v>
      </c>
      <c r="V427" s="18">
        <f t="shared" si="202"/>
        <v>1.1520599847864969E-2</v>
      </c>
      <c r="W427" s="18">
        <f t="shared" si="203"/>
        <v>5.8680844712282222E-3</v>
      </c>
      <c r="X427" s="18">
        <f t="shared" si="204"/>
        <v>3.462008726750615E-2</v>
      </c>
      <c r="Y427" s="18">
        <f t="shared" si="205"/>
        <v>2.342176219945627E-2</v>
      </c>
      <c r="AA427" s="18">
        <f t="shared" si="187"/>
        <v>-0.16504135868579997</v>
      </c>
      <c r="AB427" s="18">
        <f t="shared" si="188"/>
        <v>2.7238650076854883E-2</v>
      </c>
      <c r="AC427" s="18">
        <f t="shared" si="190"/>
        <v>2.174237211988606E-4</v>
      </c>
      <c r="AD427" s="18">
        <f t="shared" si="192"/>
        <v>4.497961618628251E-3</v>
      </c>
      <c r="AE427" s="18">
        <f t="shared" si="194"/>
        <v>2.0575503073634997E-4</v>
      </c>
      <c r="AF427" s="18">
        <f t="shared" si="196"/>
        <v>5.9840888455924576E-4</v>
      </c>
      <c r="AG427" s="18">
        <f t="shared" si="198"/>
        <v>4.1301550987109864E-3</v>
      </c>
      <c r="AH427" s="18">
        <f t="shared" si="200"/>
        <v>1.3438490110246722E-2</v>
      </c>
      <c r="AJ427" s="18">
        <f>IF(ISNUMBER(Kernel!M427),Kernel!M427,"")</f>
        <v>-0.11245231472610329</v>
      </c>
      <c r="AK427" s="18">
        <f t="shared" si="185"/>
        <v>1.2645523087258586E-2</v>
      </c>
      <c r="AN427" s="18">
        <f>IF(ISNUMBER(Volcanic!G427),Volcanic!G427,"")</f>
        <v>4.6559999999999997E-2</v>
      </c>
    </row>
    <row r="428" spans="1:40">
      <c r="A428" s="18" t="str">
        <f>IF(Volcanic!A428="","",Volcanic!A428)</f>
        <v>9/1993</v>
      </c>
      <c r="B428" s="18">
        <f>IF(ISNUMBER(Volcanic!L428),Volcanic!L428,"")</f>
        <v>1993.7083333333333</v>
      </c>
      <c r="C428" s="18">
        <f>IF(ISNUMBER(Volcanic!J428),Volcanic!J428,"")</f>
        <v>-0.15380943303120875</v>
      </c>
      <c r="D428" s="18">
        <f t="shared" si="178"/>
        <v>2.365734168938189E-2</v>
      </c>
      <c r="E428" s="18">
        <f>IF(ISNUMBER(Volcanic!C428),Volcanic!C428,"")</f>
        <v>0.33889297770649457</v>
      </c>
      <c r="F428" s="18">
        <f>IF(ISNUMBER(Volcanic!D428),Volcanic!D428,"")</f>
        <v>0.56000000000000005</v>
      </c>
      <c r="G428" s="18">
        <f>IF(ISNUMBER(Volcanic!E428),Volcanic!E428,"")</f>
        <v>6.9159999999999999E-2</v>
      </c>
      <c r="H428" s="18">
        <f t="shared" si="179"/>
        <v>0.11484845033877462</v>
      </c>
      <c r="I428" s="18">
        <f t="shared" si="180"/>
        <v>0.31360000000000005</v>
      </c>
      <c r="J428" s="18">
        <f t="shared" si="181"/>
        <v>4.7831055999999995E-3</v>
      </c>
      <c r="K428" s="18">
        <f t="shared" si="182"/>
        <v>0.18978006751563697</v>
      </c>
      <c r="L428" s="18">
        <f t="shared" si="183"/>
        <v>2.3437838338181163E-2</v>
      </c>
      <c r="M428" s="18">
        <f t="shared" si="184"/>
        <v>3.8729600000000003E-2</v>
      </c>
      <c r="N428" s="18">
        <f t="shared" si="186"/>
        <v>3.4978970392752148E-2</v>
      </c>
      <c r="O428" s="18">
        <f t="shared" si="189"/>
        <v>1.9119226367629249E-3</v>
      </c>
      <c r="P428" s="18">
        <f t="shared" si="191"/>
        <v>3.3220765044751307E-3</v>
      </c>
      <c r="Q428" s="18">
        <f t="shared" si="193"/>
        <v>3.5170011268251673E-4</v>
      </c>
      <c r="R428" s="18">
        <f t="shared" si="195"/>
        <v>4.3331598744194531E-3</v>
      </c>
      <c r="S428" s="18">
        <f t="shared" si="197"/>
        <v>3.2246056714888012E-2</v>
      </c>
      <c r="T428" s="18">
        <f t="shared" si="199"/>
        <v>5.2590379145986278E-2</v>
      </c>
      <c r="U428" s="18">
        <f t="shared" si="201"/>
        <v>5.0867757399429274E-2</v>
      </c>
      <c r="V428" s="18">
        <f t="shared" si="202"/>
        <v>9.4941653133209132E-3</v>
      </c>
      <c r="W428" s="18">
        <f t="shared" si="203"/>
        <v>1.1520599847864969E-2</v>
      </c>
      <c r="X428" s="18">
        <f t="shared" si="204"/>
        <v>5.8680844712282222E-3</v>
      </c>
      <c r="Y428" s="18">
        <f t="shared" si="205"/>
        <v>3.462008726750615E-2</v>
      </c>
      <c r="AA428" s="18">
        <f t="shared" si="187"/>
        <v>-5.9772011096935154E-2</v>
      </c>
      <c r="AB428" s="18">
        <f t="shared" si="188"/>
        <v>3.5726933105721392E-3</v>
      </c>
      <c r="AC428" s="18">
        <f t="shared" si="190"/>
        <v>2.7238650076854883E-2</v>
      </c>
      <c r="AD428" s="18">
        <f t="shared" si="192"/>
        <v>2.174237211988606E-4</v>
      </c>
      <c r="AE428" s="18">
        <f t="shared" si="194"/>
        <v>4.497961618628251E-3</v>
      </c>
      <c r="AF428" s="18">
        <f t="shared" si="196"/>
        <v>2.0575503073634997E-4</v>
      </c>
      <c r="AG428" s="18">
        <f t="shared" si="198"/>
        <v>5.9840888455924576E-4</v>
      </c>
      <c r="AH428" s="18">
        <f t="shared" si="200"/>
        <v>4.1301550987109864E-3</v>
      </c>
      <c r="AJ428" s="18">
        <f>IF(ISNUMBER(Kernel!M428),Kernel!M428,"")</f>
        <v>-9.7029122384363869E-2</v>
      </c>
      <c r="AK428" s="18">
        <f t="shared" si="185"/>
        <v>9.414650590679861E-3</v>
      </c>
      <c r="AN428" s="18">
        <f>IF(ISNUMBER(Volcanic!G428),Volcanic!G428,"")</f>
        <v>4.249E-2</v>
      </c>
    </row>
    <row r="429" spans="1:40">
      <c r="A429" s="18" t="str">
        <f>IF(Volcanic!A429="","",Volcanic!A429)</f>
        <v>10/1993</v>
      </c>
      <c r="B429" s="18">
        <f>IF(ISNUMBER(Volcanic!L429),Volcanic!L429,"")</f>
        <v>1993.7916666666667</v>
      </c>
      <c r="C429" s="18">
        <f>IF(ISNUMBER(Volcanic!J429),Volcanic!J429,"")</f>
        <v>-8.6182576898088115E-3</v>
      </c>
      <c r="D429" s="18">
        <f t="shared" si="178"/>
        <v>7.4274365607948715E-5</v>
      </c>
      <c r="E429" s="18">
        <f>IF(ISNUMBER(Volcanic!C429),Volcanic!C429,"")</f>
        <v>0.33925957300098403</v>
      </c>
      <c r="F429" s="18">
        <f>IF(ISNUMBER(Volcanic!D429),Volcanic!D429,"")</f>
        <v>0.28000000000000003</v>
      </c>
      <c r="G429" s="18">
        <f>IF(ISNUMBER(Volcanic!E429),Volcanic!E429,"")</f>
        <v>6.4710000000000004E-2</v>
      </c>
      <c r="H429" s="18">
        <f t="shared" si="179"/>
        <v>0.11509705787281001</v>
      </c>
      <c r="I429" s="18">
        <f t="shared" si="180"/>
        <v>7.8400000000000011E-2</v>
      </c>
      <c r="J429" s="18">
        <f t="shared" si="181"/>
        <v>4.1873841000000002E-3</v>
      </c>
      <c r="K429" s="18">
        <f t="shared" si="182"/>
        <v>9.4992680440275534E-2</v>
      </c>
      <c r="L429" s="18">
        <f t="shared" si="183"/>
        <v>2.1953486968893678E-2</v>
      </c>
      <c r="M429" s="18">
        <f t="shared" si="184"/>
        <v>1.8118800000000004E-2</v>
      </c>
      <c r="N429" s="18">
        <f t="shared" si="186"/>
        <v>2.365734168938189E-2</v>
      </c>
      <c r="O429" s="18">
        <f t="shared" si="189"/>
        <v>3.4978970392752148E-2</v>
      </c>
      <c r="P429" s="18">
        <f t="shared" si="191"/>
        <v>1.9119226367629249E-3</v>
      </c>
      <c r="Q429" s="18">
        <f t="shared" si="193"/>
        <v>3.3220765044751307E-3</v>
      </c>
      <c r="R429" s="18">
        <f t="shared" si="195"/>
        <v>3.5170011268251673E-4</v>
      </c>
      <c r="S429" s="18">
        <f t="shared" si="197"/>
        <v>4.3331598744194531E-3</v>
      </c>
      <c r="T429" s="18">
        <f t="shared" si="199"/>
        <v>3.2246056714888012E-2</v>
      </c>
      <c r="U429" s="18">
        <f t="shared" si="201"/>
        <v>5.2590379145986278E-2</v>
      </c>
      <c r="V429" s="18">
        <f t="shared" si="202"/>
        <v>5.0867757399429274E-2</v>
      </c>
      <c r="W429" s="18">
        <f t="shared" si="203"/>
        <v>9.4941653133209132E-3</v>
      </c>
      <c r="X429" s="18">
        <f t="shared" si="204"/>
        <v>1.1520599847864969E-2</v>
      </c>
      <c r="Y429" s="18">
        <f t="shared" si="205"/>
        <v>5.8680844712282222E-3</v>
      </c>
      <c r="AA429" s="18">
        <f t="shared" si="187"/>
        <v>6.8717469691758196E-2</v>
      </c>
      <c r="AB429" s="18">
        <f t="shared" si="188"/>
        <v>4.7220906408377058E-3</v>
      </c>
      <c r="AC429" s="18">
        <f t="shared" si="190"/>
        <v>3.5726933105721392E-3</v>
      </c>
      <c r="AD429" s="18">
        <f t="shared" si="192"/>
        <v>2.7238650076854883E-2</v>
      </c>
      <c r="AE429" s="18">
        <f t="shared" si="194"/>
        <v>2.174237211988606E-4</v>
      </c>
      <c r="AF429" s="18">
        <f t="shared" si="196"/>
        <v>4.497961618628251E-3</v>
      </c>
      <c r="AG429" s="18">
        <f t="shared" si="198"/>
        <v>2.0575503073634997E-4</v>
      </c>
      <c r="AH429" s="18">
        <f t="shared" si="200"/>
        <v>5.9840888455924576E-4</v>
      </c>
      <c r="AJ429" s="18">
        <f>IF(ISNUMBER(Kernel!M429),Kernel!M429,"")</f>
        <v>2.8597399600337303E-2</v>
      </c>
      <c r="AK429" s="18">
        <f t="shared" si="185"/>
        <v>8.178112639013721E-4</v>
      </c>
      <c r="AN429" s="18">
        <f>IF(ISNUMBER(Volcanic!G429),Volcanic!G429,"")</f>
        <v>3.9300000000000002E-2</v>
      </c>
    </row>
    <row r="430" spans="1:40">
      <c r="A430" s="18" t="str">
        <f>IF(Volcanic!A430="","",Volcanic!A430)</f>
        <v>11/1993</v>
      </c>
      <c r="B430" s="18">
        <f>IF(ISNUMBER(Volcanic!L430),Volcanic!L430,"")</f>
        <v>1993.875</v>
      </c>
      <c r="C430" s="18">
        <f>IF(ISNUMBER(Volcanic!J430),Volcanic!J430,"")</f>
        <v>-0.21819084863369909</v>
      </c>
      <c r="D430" s="18">
        <f t="shared" si="178"/>
        <v>4.7607246427493789E-2</v>
      </c>
      <c r="E430" s="18">
        <f>IF(ISNUMBER(Volcanic!C430),Volcanic!C430,"")</f>
        <v>0.34454447395471077</v>
      </c>
      <c r="F430" s="18">
        <f>IF(ISNUMBER(Volcanic!D430),Volcanic!D430,"")</f>
        <v>0.22</v>
      </c>
      <c r="G430" s="18">
        <f>IF(ISNUMBER(Volcanic!E430),Volcanic!E430,"")</f>
        <v>6.4380000000000007E-2</v>
      </c>
      <c r="H430" s="18">
        <f t="shared" si="179"/>
        <v>0.11871089453272837</v>
      </c>
      <c r="I430" s="18">
        <f t="shared" si="180"/>
        <v>4.8399999999999999E-2</v>
      </c>
      <c r="J430" s="18">
        <f t="shared" si="181"/>
        <v>4.1447844000000005E-3</v>
      </c>
      <c r="K430" s="18">
        <f t="shared" si="182"/>
        <v>7.5799784270036377E-2</v>
      </c>
      <c r="L430" s="18">
        <f t="shared" si="183"/>
        <v>2.2181773233204281E-2</v>
      </c>
      <c r="M430" s="18">
        <f t="shared" si="184"/>
        <v>1.4163600000000002E-2</v>
      </c>
      <c r="N430" s="18">
        <f t="shared" si="186"/>
        <v>7.4274365607948715E-5</v>
      </c>
      <c r="O430" s="18">
        <f t="shared" si="189"/>
        <v>2.365734168938189E-2</v>
      </c>
      <c r="P430" s="18">
        <f t="shared" si="191"/>
        <v>3.4978970392752148E-2</v>
      </c>
      <c r="Q430" s="18">
        <f t="shared" si="193"/>
        <v>1.9119226367629249E-3</v>
      </c>
      <c r="R430" s="18">
        <f t="shared" si="195"/>
        <v>3.3220765044751307E-3</v>
      </c>
      <c r="S430" s="18">
        <f t="shared" si="197"/>
        <v>3.5170011268251673E-4</v>
      </c>
      <c r="T430" s="18">
        <f t="shared" si="199"/>
        <v>4.3331598744194531E-3</v>
      </c>
      <c r="U430" s="18">
        <f t="shared" si="201"/>
        <v>3.2246056714888012E-2</v>
      </c>
      <c r="V430" s="18">
        <f t="shared" si="202"/>
        <v>5.2590379145986278E-2</v>
      </c>
      <c r="W430" s="18">
        <f t="shared" si="203"/>
        <v>5.0867757399429274E-2</v>
      </c>
      <c r="X430" s="18">
        <f t="shared" si="204"/>
        <v>9.4941653133209132E-3</v>
      </c>
      <c r="Y430" s="18">
        <f t="shared" si="205"/>
        <v>1.1520599847864969E-2</v>
      </c>
      <c r="AA430" s="18">
        <f t="shared" si="187"/>
        <v>-0.2138575693668292</v>
      </c>
      <c r="AB430" s="18">
        <f t="shared" si="188"/>
        <v>4.5735059975488164E-2</v>
      </c>
      <c r="AC430" s="18">
        <f t="shared" si="190"/>
        <v>4.7220906408377058E-3</v>
      </c>
      <c r="AD430" s="18">
        <f t="shared" si="192"/>
        <v>3.5726933105721392E-3</v>
      </c>
      <c r="AE430" s="18">
        <f t="shared" si="194"/>
        <v>2.7238650076854883E-2</v>
      </c>
      <c r="AF430" s="18">
        <f t="shared" si="196"/>
        <v>2.174237211988606E-4</v>
      </c>
      <c r="AG430" s="18">
        <f t="shared" si="198"/>
        <v>4.497961618628251E-3</v>
      </c>
      <c r="AH430" s="18">
        <f t="shared" si="200"/>
        <v>2.0575503073634997E-4</v>
      </c>
      <c r="AJ430" s="18">
        <f>IF(ISNUMBER(Kernel!M430),Kernel!M430,"")</f>
        <v>-0.18998659259014403</v>
      </c>
      <c r="AK430" s="18">
        <f t="shared" si="185"/>
        <v>3.6094905364013372E-2</v>
      </c>
      <c r="AN430" s="18">
        <f>IF(ISNUMBER(Volcanic!G430),Volcanic!G430,"")</f>
        <v>3.5959999999999999E-2</v>
      </c>
    </row>
    <row r="431" spans="1:40">
      <c r="A431" s="18" t="str">
        <f>IF(Volcanic!A431="","",Volcanic!A431)</f>
        <v>12/1993</v>
      </c>
      <c r="B431" s="18">
        <f>IF(ISNUMBER(Volcanic!L431),Volcanic!L431,"")</f>
        <v>1993.9583333333333</v>
      </c>
      <c r="C431" s="18">
        <f>IF(ISNUMBER(Volcanic!J431),Volcanic!J431,"")</f>
        <v>-0.10361705652832898</v>
      </c>
      <c r="D431" s="18">
        <f t="shared" si="178"/>
        <v>1.0736494403594922E-2</v>
      </c>
      <c r="E431" s="18">
        <f>IF(ISNUMBER(Volcanic!C431),Volcanic!C431,"")</f>
        <v>0.35061847686790176</v>
      </c>
      <c r="F431" s="18">
        <f>IF(ISNUMBER(Volcanic!D431),Volcanic!D431,"")</f>
        <v>0.2</v>
      </c>
      <c r="G431" s="18">
        <f>IF(ISNUMBER(Volcanic!E431),Volcanic!E431,"")</f>
        <v>5.951E-2</v>
      </c>
      <c r="H431" s="18">
        <f t="shared" si="179"/>
        <v>0.12293331632116736</v>
      </c>
      <c r="I431" s="18">
        <f t="shared" si="180"/>
        <v>4.0000000000000008E-2</v>
      </c>
      <c r="J431" s="18">
        <f t="shared" si="181"/>
        <v>3.5414400999999999E-3</v>
      </c>
      <c r="K431" s="18">
        <f t="shared" si="182"/>
        <v>7.0123695373580361E-2</v>
      </c>
      <c r="L431" s="18">
        <f t="shared" si="183"/>
        <v>2.0865305558408834E-2</v>
      </c>
      <c r="M431" s="18">
        <f t="shared" si="184"/>
        <v>1.1902000000000001E-2</v>
      </c>
      <c r="N431" s="18">
        <f t="shared" si="186"/>
        <v>4.7607246427493789E-2</v>
      </c>
      <c r="O431" s="18">
        <f t="shared" si="189"/>
        <v>7.4274365607948715E-5</v>
      </c>
      <c r="P431" s="18">
        <f t="shared" si="191"/>
        <v>2.365734168938189E-2</v>
      </c>
      <c r="Q431" s="18">
        <f t="shared" si="193"/>
        <v>3.4978970392752148E-2</v>
      </c>
      <c r="R431" s="18">
        <f t="shared" si="195"/>
        <v>1.9119226367629249E-3</v>
      </c>
      <c r="S431" s="18">
        <f t="shared" si="197"/>
        <v>3.3220765044751307E-3</v>
      </c>
      <c r="T431" s="18">
        <f t="shared" si="199"/>
        <v>3.5170011268251673E-4</v>
      </c>
      <c r="U431" s="18">
        <f t="shared" si="201"/>
        <v>4.3331598744194531E-3</v>
      </c>
      <c r="V431" s="18">
        <f t="shared" si="202"/>
        <v>3.2246056714888012E-2</v>
      </c>
      <c r="W431" s="18">
        <f t="shared" si="203"/>
        <v>5.2590379145986278E-2</v>
      </c>
      <c r="X431" s="18">
        <f t="shared" si="204"/>
        <v>5.0867757399429274E-2</v>
      </c>
      <c r="Y431" s="18">
        <f t="shared" si="205"/>
        <v>9.4941653133209132E-3</v>
      </c>
      <c r="AA431" s="18">
        <f t="shared" si="187"/>
        <v>6.0897907991993017E-3</v>
      </c>
      <c r="AB431" s="18">
        <f t="shared" si="188"/>
        <v>3.7085551978012466E-5</v>
      </c>
      <c r="AC431" s="18">
        <f t="shared" si="190"/>
        <v>4.5735059975488164E-2</v>
      </c>
      <c r="AD431" s="18">
        <f t="shared" si="192"/>
        <v>4.7220906408377058E-3</v>
      </c>
      <c r="AE431" s="18">
        <f t="shared" si="194"/>
        <v>3.5726933105721392E-3</v>
      </c>
      <c r="AF431" s="18">
        <f t="shared" si="196"/>
        <v>2.7238650076854883E-2</v>
      </c>
      <c r="AG431" s="18">
        <f t="shared" si="198"/>
        <v>2.174237211988606E-4</v>
      </c>
      <c r="AH431" s="18">
        <f t="shared" si="200"/>
        <v>4.497961618628251E-3</v>
      </c>
      <c r="AJ431" s="18">
        <f>IF(ISNUMBER(Kernel!M431),Kernel!M431,"")</f>
        <v>-7.1258927612060652E-2</v>
      </c>
      <c r="AK431" s="18">
        <f t="shared" si="185"/>
        <v>5.0778347644208997E-3</v>
      </c>
      <c r="AN431" s="18">
        <f>IF(ISNUMBER(Volcanic!G431),Volcanic!G431,"")</f>
        <v>3.2710000000000003E-2</v>
      </c>
    </row>
    <row r="432" spans="1:40">
      <c r="A432" s="18" t="str">
        <f>IF(Volcanic!A432="","",Volcanic!A432)</f>
        <v>1/1994</v>
      </c>
      <c r="B432" s="18">
        <f>IF(ISNUMBER(Volcanic!L432),Volcanic!L432,"")</f>
        <v>1994.0416666666667</v>
      </c>
      <c r="C432" s="18">
        <f>IF(ISNUMBER(Volcanic!J432),Volcanic!J432,"")</f>
        <v>-4.8259415285954343E-2</v>
      </c>
      <c r="D432" s="18">
        <f t="shared" si="178"/>
        <v>2.3289711637422038E-3</v>
      </c>
      <c r="E432" s="18">
        <f>IF(ISNUMBER(Volcanic!C432),Volcanic!C432,"")</f>
        <v>0.35598278616786283</v>
      </c>
      <c r="F432" s="18">
        <f>IF(ISNUMBER(Volcanic!D432),Volcanic!D432,"")</f>
        <v>0.2</v>
      </c>
      <c r="G432" s="18">
        <f>IF(ISNUMBER(Volcanic!E432),Volcanic!E432,"")</f>
        <v>5.4960000000000002E-2</v>
      </c>
      <c r="H432" s="18">
        <f t="shared" si="179"/>
        <v>0.12672374404783435</v>
      </c>
      <c r="I432" s="18">
        <f t="shared" si="180"/>
        <v>4.0000000000000008E-2</v>
      </c>
      <c r="J432" s="18">
        <f t="shared" si="181"/>
        <v>3.0206016000000001E-3</v>
      </c>
      <c r="K432" s="18">
        <f t="shared" si="182"/>
        <v>7.1196557233572572E-2</v>
      </c>
      <c r="L432" s="18">
        <f t="shared" si="183"/>
        <v>1.9564813927785741E-2</v>
      </c>
      <c r="M432" s="18">
        <f t="shared" si="184"/>
        <v>1.0992000000000002E-2</v>
      </c>
      <c r="N432" s="18">
        <f t="shared" si="186"/>
        <v>1.0736494403594922E-2</v>
      </c>
      <c r="O432" s="18">
        <f t="shared" si="189"/>
        <v>4.7607246427493789E-2</v>
      </c>
      <c r="P432" s="18">
        <f t="shared" si="191"/>
        <v>7.4274365607948715E-5</v>
      </c>
      <c r="Q432" s="18">
        <f t="shared" si="193"/>
        <v>2.365734168938189E-2</v>
      </c>
      <c r="R432" s="18">
        <f t="shared" si="195"/>
        <v>3.4978970392752148E-2</v>
      </c>
      <c r="S432" s="18">
        <f t="shared" si="197"/>
        <v>1.9119226367629249E-3</v>
      </c>
      <c r="T432" s="18">
        <f t="shared" si="199"/>
        <v>3.3220765044751307E-3</v>
      </c>
      <c r="U432" s="18">
        <f t="shared" si="201"/>
        <v>3.5170011268251673E-4</v>
      </c>
      <c r="V432" s="18">
        <f t="shared" si="202"/>
        <v>4.3331598744194531E-3</v>
      </c>
      <c r="W432" s="18">
        <f t="shared" si="203"/>
        <v>3.2246056714888012E-2</v>
      </c>
      <c r="X432" s="18">
        <f t="shared" si="204"/>
        <v>5.2590379145986278E-2</v>
      </c>
      <c r="Y432" s="18">
        <f t="shared" si="205"/>
        <v>5.0867757399429274E-2</v>
      </c>
      <c r="AA432" s="18">
        <f t="shared" si="187"/>
        <v>3.8394727850349433E-3</v>
      </c>
      <c r="AB432" s="18">
        <f t="shared" si="188"/>
        <v>1.4741551267023985E-5</v>
      </c>
      <c r="AC432" s="18">
        <f t="shared" si="190"/>
        <v>3.7085551978012466E-5</v>
      </c>
      <c r="AD432" s="18">
        <f t="shared" si="192"/>
        <v>4.5735059975488164E-2</v>
      </c>
      <c r="AE432" s="18">
        <f t="shared" si="194"/>
        <v>4.7220906408377058E-3</v>
      </c>
      <c r="AF432" s="18">
        <f t="shared" si="196"/>
        <v>3.5726933105721392E-3</v>
      </c>
      <c r="AG432" s="18">
        <f t="shared" si="198"/>
        <v>2.7238650076854883E-2</v>
      </c>
      <c r="AH432" s="18">
        <f t="shared" si="200"/>
        <v>2.174237211988606E-4</v>
      </c>
      <c r="AJ432" s="18">
        <f>IF(ISNUMBER(Kernel!M432),Kernel!M432,"")</f>
        <v>-8.643405182054642E-3</v>
      </c>
      <c r="AK432" s="18">
        <f t="shared" si="185"/>
        <v>7.4708453141169041E-5</v>
      </c>
      <c r="AN432" s="18">
        <f>IF(ISNUMBER(Volcanic!G432),Volcanic!G432,"")</f>
        <v>2.9739999999999999E-2</v>
      </c>
    </row>
    <row r="433" spans="1:40">
      <c r="A433" s="18" t="str">
        <f>IF(Volcanic!A433="","",Volcanic!A433)</f>
        <v>2/1994</v>
      </c>
      <c r="B433" s="18">
        <f>IF(ISNUMBER(Volcanic!L433),Volcanic!L433,"")</f>
        <v>1994.125</v>
      </c>
      <c r="C433" s="18">
        <f>IF(ISNUMBER(Volcanic!J433),Volcanic!J433,"")</f>
        <v>-0.30465226717130134</v>
      </c>
      <c r="D433" s="18">
        <f t="shared" si="178"/>
        <v>9.2813003892613974E-2</v>
      </c>
      <c r="E433" s="18">
        <f>IF(ISNUMBER(Volcanic!C433),Volcanic!C433,"")</f>
        <v>0.35871775388910165</v>
      </c>
      <c r="F433" s="18">
        <f>IF(ISNUMBER(Volcanic!D433),Volcanic!D433,"")</f>
        <v>0.2</v>
      </c>
      <c r="G433" s="18">
        <f>IF(ISNUMBER(Volcanic!E433),Volcanic!E433,"")</f>
        <v>5.0900000000000001E-2</v>
      </c>
      <c r="H433" s="18">
        <f t="shared" si="179"/>
        <v>0.12867842695524209</v>
      </c>
      <c r="I433" s="18">
        <f t="shared" si="180"/>
        <v>4.0000000000000008E-2</v>
      </c>
      <c r="J433" s="18">
        <f t="shared" si="181"/>
        <v>2.5908100000000002E-3</v>
      </c>
      <c r="K433" s="18">
        <f t="shared" si="182"/>
        <v>7.1743550777820339E-2</v>
      </c>
      <c r="L433" s="18">
        <f t="shared" si="183"/>
        <v>1.8258733672955274E-2</v>
      </c>
      <c r="M433" s="18">
        <f t="shared" si="184"/>
        <v>1.0180000000000002E-2</v>
      </c>
      <c r="N433" s="18">
        <f t="shared" si="186"/>
        <v>2.3289711637422038E-3</v>
      </c>
      <c r="O433" s="18">
        <f t="shared" si="189"/>
        <v>1.0736494403594922E-2</v>
      </c>
      <c r="P433" s="18">
        <f t="shared" si="191"/>
        <v>4.7607246427493789E-2</v>
      </c>
      <c r="Q433" s="18">
        <f t="shared" si="193"/>
        <v>7.4274365607948715E-5</v>
      </c>
      <c r="R433" s="18">
        <f t="shared" si="195"/>
        <v>2.365734168938189E-2</v>
      </c>
      <c r="S433" s="18">
        <f t="shared" si="197"/>
        <v>3.4978970392752148E-2</v>
      </c>
      <c r="T433" s="18">
        <f t="shared" si="199"/>
        <v>1.9119226367629249E-3</v>
      </c>
      <c r="U433" s="18">
        <f t="shared" si="201"/>
        <v>3.3220765044751307E-3</v>
      </c>
      <c r="V433" s="18">
        <f t="shared" si="202"/>
        <v>3.5170011268251673E-4</v>
      </c>
      <c r="W433" s="18">
        <f t="shared" si="203"/>
        <v>4.3331598744194531E-3</v>
      </c>
      <c r="X433" s="18">
        <f t="shared" si="204"/>
        <v>3.2246056714888012E-2</v>
      </c>
      <c r="Y433" s="18">
        <f t="shared" si="205"/>
        <v>5.2590379145986278E-2</v>
      </c>
      <c r="AA433" s="18">
        <f t="shared" si="187"/>
        <v>-0.28038732508942582</v>
      </c>
      <c r="AB433" s="18">
        <f t="shared" si="188"/>
        <v>7.8617052070803356E-2</v>
      </c>
      <c r="AC433" s="18">
        <f t="shared" si="190"/>
        <v>1.4741551267023985E-5</v>
      </c>
      <c r="AD433" s="18">
        <f t="shared" si="192"/>
        <v>3.7085551978012466E-5</v>
      </c>
      <c r="AE433" s="18">
        <f t="shared" si="194"/>
        <v>4.5735059975488164E-2</v>
      </c>
      <c r="AF433" s="18">
        <f t="shared" si="196"/>
        <v>4.7220906408377058E-3</v>
      </c>
      <c r="AG433" s="18">
        <f t="shared" si="198"/>
        <v>3.5726933105721392E-3</v>
      </c>
      <c r="AH433" s="18">
        <f t="shared" si="200"/>
        <v>2.7238650076854883E-2</v>
      </c>
      <c r="AJ433" s="18">
        <f>IF(ISNUMBER(Kernel!M433),Kernel!M433,"")</f>
        <v>-0.25884994321936483</v>
      </c>
      <c r="AK433" s="18">
        <f t="shared" si="185"/>
        <v>6.7003293104668391E-2</v>
      </c>
      <c r="AN433" s="18">
        <f>IF(ISNUMBER(Volcanic!G433),Volcanic!G433,"")</f>
        <v>2.4920000000000001E-2</v>
      </c>
    </row>
    <row r="434" spans="1:40">
      <c r="A434" s="18" t="str">
        <f>IF(Volcanic!A434="","",Volcanic!A434)</f>
        <v>3/1994</v>
      </c>
      <c r="B434" s="18">
        <f>IF(ISNUMBER(Volcanic!L434),Volcanic!L434,"")</f>
        <v>1994.2083333333333</v>
      </c>
      <c r="C434" s="18">
        <f>IF(ISNUMBER(Volcanic!J434),Volcanic!J434,"")</f>
        <v>-5.4982907773870437E-2</v>
      </c>
      <c r="D434" s="18">
        <f t="shared" si="178"/>
        <v>3.0231201472699421E-3</v>
      </c>
      <c r="E434" s="18">
        <f>IF(ISNUMBER(Volcanic!C434),Volcanic!C434,"")</f>
        <v>0.36301083553510793</v>
      </c>
      <c r="F434" s="18">
        <f>IF(ISNUMBER(Volcanic!D434),Volcanic!D434,"")</f>
        <v>0.19</v>
      </c>
      <c r="G434" s="18">
        <f>IF(ISNUMBER(Volcanic!E434),Volcanic!E434,"")</f>
        <v>4.6559999999999997E-2</v>
      </c>
      <c r="H434" s="18">
        <f t="shared" si="179"/>
        <v>0.13177686671589717</v>
      </c>
      <c r="I434" s="18">
        <f t="shared" si="180"/>
        <v>3.61E-2</v>
      </c>
      <c r="J434" s="18">
        <f t="shared" si="181"/>
        <v>2.1678335999999999E-3</v>
      </c>
      <c r="K434" s="18">
        <f t="shared" si="182"/>
        <v>6.8972058751670506E-2</v>
      </c>
      <c r="L434" s="18">
        <f t="shared" si="183"/>
        <v>1.6901784502514623E-2</v>
      </c>
      <c r="M434" s="18">
        <f t="shared" si="184"/>
        <v>8.8463999999999991E-3</v>
      </c>
      <c r="N434" s="18">
        <f t="shared" si="186"/>
        <v>9.2813003892613974E-2</v>
      </c>
      <c r="O434" s="18">
        <f t="shared" si="189"/>
        <v>2.3289711637422038E-3</v>
      </c>
      <c r="P434" s="18">
        <f t="shared" si="191"/>
        <v>1.0736494403594922E-2</v>
      </c>
      <c r="Q434" s="18">
        <f t="shared" si="193"/>
        <v>4.7607246427493789E-2</v>
      </c>
      <c r="R434" s="18">
        <f t="shared" si="195"/>
        <v>7.4274365607948715E-5</v>
      </c>
      <c r="S434" s="18">
        <f t="shared" si="197"/>
        <v>2.365734168938189E-2</v>
      </c>
      <c r="T434" s="18">
        <f t="shared" si="199"/>
        <v>3.4978970392752148E-2</v>
      </c>
      <c r="U434" s="18">
        <f t="shared" si="201"/>
        <v>1.9119226367629249E-3</v>
      </c>
      <c r="V434" s="18">
        <f t="shared" si="202"/>
        <v>3.3220765044751307E-3</v>
      </c>
      <c r="W434" s="18">
        <f t="shared" si="203"/>
        <v>3.5170011268251673E-4</v>
      </c>
      <c r="X434" s="18">
        <f t="shared" si="204"/>
        <v>4.3331598744194531E-3</v>
      </c>
      <c r="Y434" s="18">
        <f t="shared" si="205"/>
        <v>3.2246056714888012E-2</v>
      </c>
      <c r="AA434" s="18">
        <f t="shared" si="187"/>
        <v>9.8196934423165183E-2</v>
      </c>
      <c r="AB434" s="18">
        <f t="shared" si="188"/>
        <v>9.6426379301074033E-3</v>
      </c>
      <c r="AC434" s="18">
        <f t="shared" si="190"/>
        <v>7.8617052070803356E-2</v>
      </c>
      <c r="AD434" s="18">
        <f t="shared" si="192"/>
        <v>1.4741551267023985E-5</v>
      </c>
      <c r="AE434" s="18">
        <f t="shared" si="194"/>
        <v>3.7085551978012466E-5</v>
      </c>
      <c r="AF434" s="18">
        <f t="shared" si="196"/>
        <v>4.5735059975488164E-2</v>
      </c>
      <c r="AG434" s="18">
        <f t="shared" si="198"/>
        <v>4.7220906408377058E-3</v>
      </c>
      <c r="AH434" s="18">
        <f t="shared" si="200"/>
        <v>3.5726933105721392E-3</v>
      </c>
      <c r="AJ434" s="18">
        <f>IF(ISNUMBER(Kernel!M434),Kernel!M434,"")</f>
        <v>-5.2844479641115383E-3</v>
      </c>
      <c r="AK434" s="18">
        <f t="shared" si="185"/>
        <v>2.7925390285402583E-5</v>
      </c>
      <c r="AN434" s="18">
        <f>IF(ISNUMBER(Volcanic!G434),Volcanic!G434,"")</f>
        <v>2.1430000000000001E-2</v>
      </c>
    </row>
    <row r="435" spans="1:40">
      <c r="A435" s="18" t="str">
        <f>IF(Volcanic!A435="","",Volcanic!A435)</f>
        <v>4/1994</v>
      </c>
      <c r="B435" s="18">
        <f>IF(ISNUMBER(Volcanic!L435),Volcanic!L435,"")</f>
        <v>1994.2916666666667</v>
      </c>
      <c r="C435" s="18">
        <f>IF(ISNUMBER(Volcanic!J435),Volcanic!J435,"")</f>
        <v>5.3562232477779415E-2</v>
      </c>
      <c r="D435" s="18">
        <f t="shared" si="178"/>
        <v>2.868912748003688E-3</v>
      </c>
      <c r="E435" s="18">
        <f>IF(ISNUMBER(Volcanic!C435),Volcanic!C435,"")</f>
        <v>0.36800999171782506</v>
      </c>
      <c r="F435" s="18">
        <f>IF(ISNUMBER(Volcanic!D435),Volcanic!D435,"")</f>
        <v>7.0000000000000007E-2</v>
      </c>
      <c r="G435" s="18">
        <f>IF(ISNUMBER(Volcanic!E435),Volcanic!E435,"")</f>
        <v>4.249E-2</v>
      </c>
      <c r="H435" s="18">
        <f t="shared" si="179"/>
        <v>0.13543135400415368</v>
      </c>
      <c r="I435" s="18">
        <f t="shared" si="180"/>
        <v>4.9000000000000007E-3</v>
      </c>
      <c r="J435" s="18">
        <f t="shared" si="181"/>
        <v>1.8054001E-3</v>
      </c>
      <c r="K435" s="18">
        <f t="shared" si="182"/>
        <v>2.5760699420247758E-2</v>
      </c>
      <c r="L435" s="18">
        <f t="shared" si="183"/>
        <v>1.5636744548090387E-2</v>
      </c>
      <c r="M435" s="18">
        <f t="shared" si="184"/>
        <v>2.9743000000000005E-3</v>
      </c>
      <c r="N435" s="18">
        <f t="shared" si="186"/>
        <v>3.0231201472699421E-3</v>
      </c>
      <c r="O435" s="18">
        <f t="shared" si="189"/>
        <v>9.2813003892613974E-2</v>
      </c>
      <c r="P435" s="18">
        <f t="shared" si="191"/>
        <v>2.3289711637422038E-3</v>
      </c>
      <c r="Q435" s="18">
        <f t="shared" si="193"/>
        <v>1.0736494403594922E-2</v>
      </c>
      <c r="R435" s="18">
        <f t="shared" si="195"/>
        <v>4.7607246427493789E-2</v>
      </c>
      <c r="S435" s="18">
        <f t="shared" si="197"/>
        <v>7.4274365607948715E-5</v>
      </c>
      <c r="T435" s="18">
        <f t="shared" si="199"/>
        <v>2.365734168938189E-2</v>
      </c>
      <c r="U435" s="18">
        <f t="shared" si="201"/>
        <v>3.4978970392752148E-2</v>
      </c>
      <c r="V435" s="18">
        <f t="shared" si="202"/>
        <v>1.9119226367629249E-3</v>
      </c>
      <c r="W435" s="18">
        <f t="shared" si="203"/>
        <v>3.3220765044751307E-3</v>
      </c>
      <c r="X435" s="18">
        <f t="shared" si="204"/>
        <v>3.5170011268251673E-4</v>
      </c>
      <c r="Y435" s="18">
        <f t="shared" si="205"/>
        <v>4.3331598744194531E-3</v>
      </c>
      <c r="AA435" s="18">
        <f t="shared" si="187"/>
        <v>8.1207761639720363E-2</v>
      </c>
      <c r="AB435" s="18">
        <f t="shared" si="188"/>
        <v>6.594700550533638E-3</v>
      </c>
      <c r="AC435" s="18">
        <f t="shared" si="190"/>
        <v>9.6426379301074033E-3</v>
      </c>
      <c r="AD435" s="18">
        <f t="shared" si="192"/>
        <v>7.8617052070803356E-2</v>
      </c>
      <c r="AE435" s="18">
        <f t="shared" si="194"/>
        <v>1.4741551267023985E-5</v>
      </c>
      <c r="AF435" s="18">
        <f t="shared" si="196"/>
        <v>3.7085551978012466E-5</v>
      </c>
      <c r="AG435" s="18">
        <f t="shared" si="198"/>
        <v>4.5735059975488164E-2</v>
      </c>
      <c r="AH435" s="18">
        <f t="shared" si="200"/>
        <v>4.7220906408377058E-3</v>
      </c>
      <c r="AJ435" s="18">
        <f>IF(ISNUMBER(Kernel!M435),Kernel!M435,"")</f>
        <v>9.2884713960454779E-2</v>
      </c>
      <c r="AK435" s="18">
        <f t="shared" si="185"/>
        <v>8.6275700875155029E-3</v>
      </c>
      <c r="AN435" s="18">
        <f>IF(ISNUMBER(Volcanic!G435),Volcanic!G435,"")</f>
        <v>1.8630000000000001E-2</v>
      </c>
    </row>
    <row r="436" spans="1:40">
      <c r="A436" s="18" t="str">
        <f>IF(Volcanic!A436="","",Volcanic!A436)</f>
        <v>5/1994</v>
      </c>
      <c r="B436" s="18">
        <f>IF(ISNUMBER(Volcanic!L436),Volcanic!L436,"")</f>
        <v>1994.375</v>
      </c>
      <c r="C436" s="18">
        <f>IF(ISNUMBER(Volcanic!J436),Volcanic!J436,"")</f>
        <v>-8.1531958312448638E-2</v>
      </c>
      <c r="D436" s="18">
        <f t="shared" si="178"/>
        <v>6.6474602262628626E-3</v>
      </c>
      <c r="E436" s="18">
        <f>IF(ISNUMBER(Volcanic!C436),Volcanic!C436,"")</f>
        <v>0.36968582761490204</v>
      </c>
      <c r="F436" s="18">
        <f>IF(ISNUMBER(Volcanic!D436),Volcanic!D436,"")</f>
        <v>0</v>
      </c>
      <c r="G436" s="18">
        <f>IF(ISNUMBER(Volcanic!E436),Volcanic!E436,"")</f>
        <v>3.9300000000000002E-2</v>
      </c>
      <c r="H436" s="18">
        <f t="shared" si="179"/>
        <v>0.13666761113931508</v>
      </c>
      <c r="I436" s="18">
        <f t="shared" si="180"/>
        <v>0</v>
      </c>
      <c r="J436" s="18">
        <f t="shared" si="181"/>
        <v>1.5444900000000001E-3</v>
      </c>
      <c r="K436" s="18">
        <f t="shared" si="182"/>
        <v>0</v>
      </c>
      <c r="L436" s="18">
        <f t="shared" si="183"/>
        <v>1.4528653025265651E-2</v>
      </c>
      <c r="M436" s="18">
        <f t="shared" si="184"/>
        <v>0</v>
      </c>
      <c r="N436" s="18">
        <f t="shared" si="186"/>
        <v>2.868912748003688E-3</v>
      </c>
      <c r="O436" s="18">
        <f t="shared" si="189"/>
        <v>3.0231201472699421E-3</v>
      </c>
      <c r="P436" s="18">
        <f t="shared" si="191"/>
        <v>9.2813003892613974E-2</v>
      </c>
      <c r="Q436" s="18">
        <f t="shared" si="193"/>
        <v>2.3289711637422038E-3</v>
      </c>
      <c r="R436" s="18">
        <f t="shared" si="195"/>
        <v>1.0736494403594922E-2</v>
      </c>
      <c r="S436" s="18">
        <f t="shared" si="197"/>
        <v>4.7607246427493789E-2</v>
      </c>
      <c r="T436" s="18">
        <f t="shared" si="199"/>
        <v>7.4274365607948715E-5</v>
      </c>
      <c r="U436" s="18">
        <f t="shared" si="201"/>
        <v>2.365734168938189E-2</v>
      </c>
      <c r="V436" s="18">
        <f t="shared" si="202"/>
        <v>3.4978970392752148E-2</v>
      </c>
      <c r="W436" s="18">
        <f t="shared" si="203"/>
        <v>1.9119226367629249E-3</v>
      </c>
      <c r="X436" s="18">
        <f t="shared" si="204"/>
        <v>3.3220765044751307E-3</v>
      </c>
      <c r="Y436" s="18">
        <f t="shared" si="205"/>
        <v>3.5170011268251673E-4</v>
      </c>
      <c r="AA436" s="18">
        <f t="shared" si="187"/>
        <v>-0.10846316875393811</v>
      </c>
      <c r="AB436" s="18">
        <f t="shared" si="188"/>
        <v>1.1764258976145255E-2</v>
      </c>
      <c r="AC436" s="18">
        <f t="shared" si="190"/>
        <v>6.594700550533638E-3</v>
      </c>
      <c r="AD436" s="18">
        <f t="shared" si="192"/>
        <v>9.6426379301074033E-3</v>
      </c>
      <c r="AE436" s="18">
        <f t="shared" si="194"/>
        <v>7.8617052070803356E-2</v>
      </c>
      <c r="AF436" s="18">
        <f t="shared" si="196"/>
        <v>1.4741551267023985E-5</v>
      </c>
      <c r="AG436" s="18">
        <f t="shared" si="198"/>
        <v>3.7085551978012466E-5</v>
      </c>
      <c r="AH436" s="18">
        <f t="shared" si="200"/>
        <v>4.5735059975488164E-2</v>
      </c>
      <c r="AJ436" s="18">
        <f>IF(ISNUMBER(Kernel!M436),Kernel!M436,"")</f>
        <v>-5.1554807697542671E-2</v>
      </c>
      <c r="AK436" s="18">
        <f t="shared" si="185"/>
        <v>2.657898196730605E-3</v>
      </c>
      <c r="AN436" s="18">
        <f>IF(ISNUMBER(Volcanic!G436),Volcanic!G436,"")</f>
        <v>1.685E-2</v>
      </c>
    </row>
    <row r="437" spans="1:40">
      <c r="A437" s="18" t="str">
        <f>IF(Volcanic!A437="","",Volcanic!A437)</f>
        <v>6/1994</v>
      </c>
      <c r="B437" s="18">
        <f>IF(ISNUMBER(Volcanic!L437),Volcanic!L437,"")</f>
        <v>1994.4583333333333</v>
      </c>
      <c r="C437" s="18">
        <f>IF(ISNUMBER(Volcanic!J437),Volcanic!J437,"")</f>
        <v>6.6553816462926019E-2</v>
      </c>
      <c r="D437" s="18">
        <f t="shared" si="178"/>
        <v>4.4294104857808426E-3</v>
      </c>
      <c r="E437" s="18">
        <f>IF(ISNUMBER(Volcanic!C437),Volcanic!C437,"")</f>
        <v>0.36633220690413326</v>
      </c>
      <c r="F437" s="18">
        <f>IF(ISNUMBER(Volcanic!D437),Volcanic!D437,"")</f>
        <v>0.04</v>
      </c>
      <c r="G437" s="18">
        <f>IF(ISNUMBER(Volcanic!E437),Volcanic!E437,"")</f>
        <v>3.5959999999999999E-2</v>
      </c>
      <c r="H437" s="18">
        <f t="shared" si="179"/>
        <v>0.1341992858152527</v>
      </c>
      <c r="I437" s="18">
        <f t="shared" si="180"/>
        <v>1.6000000000000001E-3</v>
      </c>
      <c r="J437" s="18">
        <f t="shared" si="181"/>
        <v>1.2931215999999999E-3</v>
      </c>
      <c r="K437" s="18">
        <f t="shared" si="182"/>
        <v>1.4653288276165331E-2</v>
      </c>
      <c r="L437" s="18">
        <f t="shared" si="183"/>
        <v>1.3173306160272631E-2</v>
      </c>
      <c r="M437" s="18">
        <f t="shared" si="184"/>
        <v>1.4384000000000001E-3</v>
      </c>
      <c r="N437" s="18">
        <f t="shared" si="186"/>
        <v>6.6474602262628626E-3</v>
      </c>
      <c r="O437" s="18">
        <f t="shared" si="189"/>
        <v>2.868912748003688E-3</v>
      </c>
      <c r="P437" s="18">
        <f t="shared" si="191"/>
        <v>3.0231201472699421E-3</v>
      </c>
      <c r="Q437" s="18">
        <f t="shared" si="193"/>
        <v>9.2813003892613974E-2</v>
      </c>
      <c r="R437" s="18">
        <f t="shared" si="195"/>
        <v>2.3289711637422038E-3</v>
      </c>
      <c r="S437" s="18">
        <f t="shared" si="197"/>
        <v>1.0736494403594922E-2</v>
      </c>
      <c r="T437" s="18">
        <f t="shared" si="199"/>
        <v>4.7607246427493789E-2</v>
      </c>
      <c r="U437" s="18">
        <f t="shared" si="201"/>
        <v>7.4274365607948715E-5</v>
      </c>
      <c r="V437" s="18">
        <f t="shared" si="202"/>
        <v>2.365734168938189E-2</v>
      </c>
      <c r="W437" s="18">
        <f t="shared" si="203"/>
        <v>3.4978970392752148E-2</v>
      </c>
      <c r="X437" s="18">
        <f t="shared" si="204"/>
        <v>1.9119226367629249E-3</v>
      </c>
      <c r="Y437" s="18">
        <f t="shared" si="205"/>
        <v>3.3220765044751307E-3</v>
      </c>
      <c r="AA437" s="18">
        <f t="shared" si="187"/>
        <v>0.10754826769178809</v>
      </c>
      <c r="AB437" s="18">
        <f t="shared" si="188"/>
        <v>1.1566629883504509E-2</v>
      </c>
      <c r="AC437" s="18">
        <f t="shared" si="190"/>
        <v>1.1764258976145255E-2</v>
      </c>
      <c r="AD437" s="18">
        <f t="shared" si="192"/>
        <v>6.594700550533638E-3</v>
      </c>
      <c r="AE437" s="18">
        <f t="shared" si="194"/>
        <v>9.6426379301074033E-3</v>
      </c>
      <c r="AF437" s="18">
        <f t="shared" si="196"/>
        <v>7.8617052070803356E-2</v>
      </c>
      <c r="AG437" s="18">
        <f t="shared" si="198"/>
        <v>1.4741551267023985E-5</v>
      </c>
      <c r="AH437" s="18">
        <f t="shared" si="200"/>
        <v>3.7085551978012466E-5</v>
      </c>
      <c r="AJ437" s="18">
        <f>IF(ISNUMBER(Kernel!M437),Kernel!M437,"")</f>
        <v>9.8609868002706325E-2</v>
      </c>
      <c r="AK437" s="18">
        <f t="shared" si="185"/>
        <v>9.7239060675111642E-3</v>
      </c>
      <c r="AN437" s="18">
        <f>IF(ISNUMBER(Volcanic!G437),Volcanic!G437,"")</f>
        <v>1.5699999999999999E-2</v>
      </c>
    </row>
    <row r="438" spans="1:40">
      <c r="A438" s="18" t="str">
        <f>IF(Volcanic!A438="","",Volcanic!A438)</f>
        <v>7/1994</v>
      </c>
      <c r="B438" s="18">
        <f>IF(ISNUMBER(Volcanic!L438),Volcanic!L438,"")</f>
        <v>1994.5416666666667</v>
      </c>
      <c r="C438" s="18">
        <f>IF(ISNUMBER(Volcanic!J438),Volcanic!J438,"")</f>
        <v>-6.7040348609132439E-2</v>
      </c>
      <c r="D438" s="18">
        <f t="shared" si="178"/>
        <v>4.4944083416340059E-3</v>
      </c>
      <c r="E438" s="18">
        <f>IF(ISNUMBER(Volcanic!C438),Volcanic!C438,"")</f>
        <v>0.36060507353538723</v>
      </c>
      <c r="F438" s="18">
        <f>IF(ISNUMBER(Volcanic!D438),Volcanic!D438,"")</f>
        <v>0.17</v>
      </c>
      <c r="G438" s="18">
        <f>IF(ISNUMBER(Volcanic!E438),Volcanic!E438,"")</f>
        <v>3.2710000000000003E-2</v>
      </c>
      <c r="H438" s="18">
        <f t="shared" si="179"/>
        <v>0.13003601905946202</v>
      </c>
      <c r="I438" s="18">
        <f t="shared" si="180"/>
        <v>2.8900000000000006E-2</v>
      </c>
      <c r="J438" s="18">
        <f t="shared" si="181"/>
        <v>1.0699441000000002E-3</v>
      </c>
      <c r="K438" s="18">
        <f t="shared" si="182"/>
        <v>6.1302862501015833E-2</v>
      </c>
      <c r="L438" s="18">
        <f t="shared" si="183"/>
        <v>1.1795391955342517E-2</v>
      </c>
      <c r="M438" s="18">
        <f t="shared" si="184"/>
        <v>5.5607000000000009E-3</v>
      </c>
      <c r="N438" s="18">
        <f t="shared" si="186"/>
        <v>4.4294104857808426E-3</v>
      </c>
      <c r="O438" s="18">
        <f t="shared" si="189"/>
        <v>6.6474602262628626E-3</v>
      </c>
      <c r="P438" s="18">
        <f t="shared" si="191"/>
        <v>2.868912748003688E-3</v>
      </c>
      <c r="Q438" s="18">
        <f t="shared" si="193"/>
        <v>3.0231201472699421E-3</v>
      </c>
      <c r="R438" s="18">
        <f t="shared" si="195"/>
        <v>9.2813003892613974E-2</v>
      </c>
      <c r="S438" s="18">
        <f t="shared" si="197"/>
        <v>2.3289711637422038E-3</v>
      </c>
      <c r="T438" s="18">
        <f t="shared" si="199"/>
        <v>1.0736494403594922E-2</v>
      </c>
      <c r="U438" s="18">
        <f t="shared" si="201"/>
        <v>4.7607246427493789E-2</v>
      </c>
      <c r="V438" s="18">
        <f t="shared" si="202"/>
        <v>7.4274365607948715E-5</v>
      </c>
      <c r="W438" s="18">
        <f t="shared" si="203"/>
        <v>2.365734168938189E-2</v>
      </c>
      <c r="X438" s="18">
        <f t="shared" si="204"/>
        <v>3.4978970392752148E-2</v>
      </c>
      <c r="Y438" s="18">
        <f t="shared" si="205"/>
        <v>1.9119226367629249E-3</v>
      </c>
      <c r="AA438" s="18">
        <f t="shared" si="187"/>
        <v>-0.10050375657277366</v>
      </c>
      <c r="AB438" s="18">
        <f t="shared" si="188"/>
        <v>1.0101005085239345E-2</v>
      </c>
      <c r="AC438" s="18">
        <f t="shared" si="190"/>
        <v>1.1566629883504509E-2</v>
      </c>
      <c r="AD438" s="18">
        <f t="shared" si="192"/>
        <v>1.1764258976145255E-2</v>
      </c>
      <c r="AE438" s="18">
        <f t="shared" si="194"/>
        <v>6.594700550533638E-3</v>
      </c>
      <c r="AF438" s="18">
        <f t="shared" si="196"/>
        <v>9.6426379301074033E-3</v>
      </c>
      <c r="AG438" s="18">
        <f t="shared" si="198"/>
        <v>7.8617052070803356E-2</v>
      </c>
      <c r="AH438" s="18">
        <f t="shared" si="200"/>
        <v>1.4741551267023985E-5</v>
      </c>
      <c r="AJ438" s="18">
        <f>IF(ISNUMBER(Kernel!M438),Kernel!M438,"")</f>
        <v>-2.5805935977866679E-2</v>
      </c>
      <c r="AK438" s="18">
        <f t="shared" si="185"/>
        <v>6.6594633169375389E-4</v>
      </c>
      <c r="AN438" s="18">
        <f>IF(ISNUMBER(Volcanic!G438),Volcanic!G438,"")</f>
        <v>1.482E-2</v>
      </c>
    </row>
    <row r="439" spans="1:40">
      <c r="A439" s="18" t="str">
        <f>IF(Volcanic!A439="","",Volcanic!A439)</f>
        <v>8/1994</v>
      </c>
      <c r="B439" s="18">
        <f>IF(ISNUMBER(Volcanic!L439),Volcanic!L439,"")</f>
        <v>1994.625</v>
      </c>
      <c r="C439" s="18">
        <f>IF(ISNUMBER(Volcanic!J439),Volcanic!J439,"")</f>
        <v>-0.1399282440325933</v>
      </c>
      <c r="D439" s="18">
        <f t="shared" si="178"/>
        <v>1.9579913478044983E-2</v>
      </c>
      <c r="E439" s="18">
        <f>IF(ISNUMBER(Volcanic!C439),Volcanic!C439,"")</f>
        <v>0.35287956496583295</v>
      </c>
      <c r="F439" s="18">
        <f>IF(ISNUMBER(Volcanic!D439),Volcanic!D439,"")</f>
        <v>0.25</v>
      </c>
      <c r="G439" s="18">
        <f>IF(ISNUMBER(Volcanic!E439),Volcanic!E439,"")</f>
        <v>2.9739999999999999E-2</v>
      </c>
      <c r="H439" s="18">
        <f t="shared" si="179"/>
        <v>0.12452398737047551</v>
      </c>
      <c r="I439" s="18">
        <f t="shared" si="180"/>
        <v>6.25E-2</v>
      </c>
      <c r="J439" s="18">
        <f t="shared" si="181"/>
        <v>8.8446759999999999E-4</v>
      </c>
      <c r="K439" s="18">
        <f t="shared" si="182"/>
        <v>8.8219891241458237E-2</v>
      </c>
      <c r="L439" s="18">
        <f t="shared" si="183"/>
        <v>1.0494638262083871E-2</v>
      </c>
      <c r="M439" s="18">
        <f t="shared" si="184"/>
        <v>7.4349999999999998E-3</v>
      </c>
      <c r="N439" s="18">
        <f t="shared" si="186"/>
        <v>4.4944083416340059E-3</v>
      </c>
      <c r="O439" s="18">
        <f t="shared" si="189"/>
        <v>4.4294104857808426E-3</v>
      </c>
      <c r="P439" s="18">
        <f t="shared" si="191"/>
        <v>6.6474602262628626E-3</v>
      </c>
      <c r="Q439" s="18">
        <f t="shared" si="193"/>
        <v>2.868912748003688E-3</v>
      </c>
      <c r="R439" s="18">
        <f t="shared" si="195"/>
        <v>3.0231201472699421E-3</v>
      </c>
      <c r="S439" s="18">
        <f t="shared" si="197"/>
        <v>9.2813003892613974E-2</v>
      </c>
      <c r="T439" s="18">
        <f t="shared" si="199"/>
        <v>2.3289711637422038E-3</v>
      </c>
      <c r="U439" s="18">
        <f t="shared" si="201"/>
        <v>1.0736494403594922E-2</v>
      </c>
      <c r="V439" s="18">
        <f t="shared" si="202"/>
        <v>4.7607246427493789E-2</v>
      </c>
      <c r="W439" s="18">
        <f t="shared" si="203"/>
        <v>7.4274365607948715E-5</v>
      </c>
      <c r="X439" s="18">
        <f t="shared" si="204"/>
        <v>2.365734168938189E-2</v>
      </c>
      <c r="Y439" s="18">
        <f t="shared" si="205"/>
        <v>3.4978970392752148E-2</v>
      </c>
      <c r="AA439" s="18">
        <f t="shared" si="187"/>
        <v>-0.10622020661625944</v>
      </c>
      <c r="AB439" s="18">
        <f t="shared" si="188"/>
        <v>1.1282732293600847E-2</v>
      </c>
      <c r="AC439" s="18">
        <f t="shared" si="190"/>
        <v>1.0101005085239345E-2</v>
      </c>
      <c r="AD439" s="18">
        <f t="shared" si="192"/>
        <v>1.1566629883504509E-2</v>
      </c>
      <c r="AE439" s="18">
        <f t="shared" si="194"/>
        <v>1.1764258976145255E-2</v>
      </c>
      <c r="AF439" s="18">
        <f t="shared" si="196"/>
        <v>6.594700550533638E-3</v>
      </c>
      <c r="AG439" s="18">
        <f t="shared" si="198"/>
        <v>9.6426379301074033E-3</v>
      </c>
      <c r="AH439" s="18">
        <f t="shared" si="200"/>
        <v>7.8617052070803356E-2</v>
      </c>
      <c r="AJ439" s="18">
        <f>IF(ISNUMBER(Kernel!M439),Kernel!M439,"")</f>
        <v>-9.4058564073511597E-2</v>
      </c>
      <c r="AK439" s="18">
        <f t="shared" si="185"/>
        <v>8.8470134755708873E-3</v>
      </c>
      <c r="AN439" s="18">
        <f>IF(ISNUMBER(Volcanic!G439),Volcanic!G439,"")</f>
        <v>1.4149999999999999E-2</v>
      </c>
    </row>
    <row r="440" spans="1:40">
      <c r="A440" s="18" t="str">
        <f>IF(Volcanic!A440="","",Volcanic!A440)</f>
        <v>9/1994</v>
      </c>
      <c r="B440" s="18">
        <f>IF(ISNUMBER(Volcanic!L440),Volcanic!L440,"")</f>
        <v>1994.7083333333333</v>
      </c>
      <c r="C440" s="18">
        <f>IF(ISNUMBER(Volcanic!J440),Volcanic!J440,"")</f>
        <v>-3.959529407712048E-2</v>
      </c>
      <c r="D440" s="18">
        <f t="shared" si="178"/>
        <v>1.5677873130536522E-3</v>
      </c>
      <c r="E440" s="18">
        <f>IF(ISNUMBER(Volcanic!C440),Volcanic!C440,"")</f>
        <v>0.34588295045182915</v>
      </c>
      <c r="F440" s="18">
        <f>IF(ISNUMBER(Volcanic!D440),Volcanic!D440,"")</f>
        <v>0.23</v>
      </c>
      <c r="G440" s="18">
        <f>IF(ISNUMBER(Volcanic!E440),Volcanic!E440,"")</f>
        <v>2.4920000000000001E-2</v>
      </c>
      <c r="H440" s="18">
        <f t="shared" si="179"/>
        <v>0.1196350154132625</v>
      </c>
      <c r="I440" s="18">
        <f t="shared" si="180"/>
        <v>5.2900000000000003E-2</v>
      </c>
      <c r="J440" s="18">
        <f t="shared" si="181"/>
        <v>6.2100640000000004E-4</v>
      </c>
      <c r="K440" s="18">
        <f t="shared" si="182"/>
        <v>7.9553078603920704E-2</v>
      </c>
      <c r="L440" s="18">
        <f t="shared" si="183"/>
        <v>8.6194031252595834E-3</v>
      </c>
      <c r="M440" s="18">
        <f t="shared" si="184"/>
        <v>5.7316000000000008E-3</v>
      </c>
      <c r="N440" s="18">
        <f t="shared" si="186"/>
        <v>1.9579913478044983E-2</v>
      </c>
      <c r="O440" s="18">
        <f t="shared" si="189"/>
        <v>4.4944083416340059E-3</v>
      </c>
      <c r="P440" s="18">
        <f t="shared" si="191"/>
        <v>4.4294104857808426E-3</v>
      </c>
      <c r="Q440" s="18">
        <f t="shared" si="193"/>
        <v>6.6474602262628626E-3</v>
      </c>
      <c r="R440" s="18">
        <f t="shared" si="195"/>
        <v>2.868912748003688E-3</v>
      </c>
      <c r="S440" s="18">
        <f t="shared" si="197"/>
        <v>3.0231201472699421E-3</v>
      </c>
      <c r="T440" s="18">
        <f t="shared" si="199"/>
        <v>9.2813003892613974E-2</v>
      </c>
      <c r="U440" s="18">
        <f t="shared" si="201"/>
        <v>2.3289711637422038E-3</v>
      </c>
      <c r="V440" s="18">
        <f t="shared" si="202"/>
        <v>1.0736494403594922E-2</v>
      </c>
      <c r="W440" s="18">
        <f t="shared" si="203"/>
        <v>4.7607246427493789E-2</v>
      </c>
      <c r="X440" s="18">
        <f t="shared" si="204"/>
        <v>7.4274365607948715E-5</v>
      </c>
      <c r="Y440" s="18">
        <f t="shared" si="205"/>
        <v>2.365734168938189E-2</v>
      </c>
      <c r="AA440" s="18">
        <f t="shared" si="187"/>
        <v>3.0760940389268104E-2</v>
      </c>
      <c r="AB440" s="18">
        <f t="shared" si="188"/>
        <v>9.4623545363210575E-4</v>
      </c>
      <c r="AC440" s="18">
        <f t="shared" si="190"/>
        <v>1.1282732293600847E-2</v>
      </c>
      <c r="AD440" s="18">
        <f t="shared" si="192"/>
        <v>1.0101005085239345E-2</v>
      </c>
      <c r="AE440" s="18">
        <f t="shared" si="194"/>
        <v>1.1566629883504509E-2</v>
      </c>
      <c r="AF440" s="18">
        <f t="shared" si="196"/>
        <v>1.1764258976145255E-2</v>
      </c>
      <c r="AG440" s="18">
        <f t="shared" si="198"/>
        <v>6.594700550533638E-3</v>
      </c>
      <c r="AH440" s="18">
        <f t="shared" si="200"/>
        <v>9.6426379301074033E-3</v>
      </c>
      <c r="AJ440" s="18">
        <f>IF(ISNUMBER(Kernel!M440),Kernel!M440,"")</f>
        <v>2.7537792573526509E-3</v>
      </c>
      <c r="AK440" s="18">
        <f t="shared" si="185"/>
        <v>7.5833001982257182E-6</v>
      </c>
      <c r="AN440" s="18">
        <f>IF(ISNUMBER(Volcanic!G440),Volcanic!G440,"")</f>
        <v>1.3639999999999999E-2</v>
      </c>
    </row>
    <row r="441" spans="1:40">
      <c r="A441" s="18" t="str">
        <f>IF(Volcanic!A441="","",Volcanic!A441)</f>
        <v>10/1994</v>
      </c>
      <c r="B441" s="18">
        <f>IF(ISNUMBER(Volcanic!L441),Volcanic!L441,"")</f>
        <v>1994.7916666666667</v>
      </c>
      <c r="C441" s="18">
        <f>IF(ISNUMBER(Volcanic!J441),Volcanic!J441,"")</f>
        <v>6.2361679260275027E-2</v>
      </c>
      <c r="D441" s="18">
        <f t="shared" si="178"/>
        <v>3.8889790401614166E-3</v>
      </c>
      <c r="E441" s="18">
        <f>IF(ISNUMBER(Volcanic!C441),Volcanic!C441,"")</f>
        <v>0.34730119108821406</v>
      </c>
      <c r="F441" s="18">
        <f>IF(ISNUMBER(Volcanic!D441),Volcanic!D441,"")</f>
        <v>0.3</v>
      </c>
      <c r="G441" s="18">
        <f>IF(ISNUMBER(Volcanic!E441),Volcanic!E441,"")</f>
        <v>2.1430000000000001E-2</v>
      </c>
      <c r="H441" s="18">
        <f t="shared" si="179"/>
        <v>0.12061811733129217</v>
      </c>
      <c r="I441" s="18">
        <f t="shared" si="180"/>
        <v>0.09</v>
      </c>
      <c r="J441" s="18">
        <f t="shared" si="181"/>
        <v>4.5924490000000007E-4</v>
      </c>
      <c r="K441" s="18">
        <f t="shared" si="182"/>
        <v>0.10419035732646421</v>
      </c>
      <c r="L441" s="18">
        <f t="shared" si="183"/>
        <v>7.4426645250204281E-3</v>
      </c>
      <c r="M441" s="18">
        <f t="shared" si="184"/>
        <v>6.4289999999999998E-3</v>
      </c>
      <c r="N441" s="18">
        <f t="shared" si="186"/>
        <v>1.5677873130536522E-3</v>
      </c>
      <c r="O441" s="18">
        <f t="shared" si="189"/>
        <v>1.9579913478044983E-2</v>
      </c>
      <c r="P441" s="18">
        <f t="shared" si="191"/>
        <v>4.4944083416340059E-3</v>
      </c>
      <c r="Q441" s="18">
        <f t="shared" si="193"/>
        <v>4.4294104857808426E-3</v>
      </c>
      <c r="R441" s="18">
        <f t="shared" si="195"/>
        <v>6.6474602262628626E-3</v>
      </c>
      <c r="S441" s="18">
        <f t="shared" si="197"/>
        <v>2.868912748003688E-3</v>
      </c>
      <c r="T441" s="18">
        <f t="shared" si="199"/>
        <v>3.0231201472699421E-3</v>
      </c>
      <c r="U441" s="18">
        <f t="shared" si="201"/>
        <v>9.2813003892613974E-2</v>
      </c>
      <c r="V441" s="18">
        <f t="shared" si="202"/>
        <v>2.3289711637422038E-3</v>
      </c>
      <c r="W441" s="18">
        <f t="shared" si="203"/>
        <v>1.0736494403594922E-2</v>
      </c>
      <c r="X441" s="18">
        <f t="shared" si="204"/>
        <v>4.7607246427493789E-2</v>
      </c>
      <c r="Y441" s="18">
        <f t="shared" si="205"/>
        <v>7.4274365607948715E-5</v>
      </c>
      <c r="AA441" s="18">
        <f t="shared" si="187"/>
        <v>8.2270281795204347E-2</v>
      </c>
      <c r="AB441" s="18">
        <f t="shared" si="188"/>
        <v>6.7683992666623316E-3</v>
      </c>
      <c r="AC441" s="18">
        <f t="shared" si="190"/>
        <v>9.4623545363210575E-4</v>
      </c>
      <c r="AD441" s="18">
        <f t="shared" si="192"/>
        <v>1.1282732293600847E-2</v>
      </c>
      <c r="AE441" s="18">
        <f t="shared" si="194"/>
        <v>1.0101005085239345E-2</v>
      </c>
      <c r="AF441" s="18">
        <f t="shared" si="196"/>
        <v>1.1566629883504509E-2</v>
      </c>
      <c r="AG441" s="18">
        <f t="shared" si="198"/>
        <v>1.1764258976145255E-2</v>
      </c>
      <c r="AH441" s="18">
        <f t="shared" si="200"/>
        <v>6.594700550533638E-3</v>
      </c>
      <c r="AJ441" s="18">
        <f>IF(ISNUMBER(Kernel!M441),Kernel!M441,"")</f>
        <v>0.10394284520235419</v>
      </c>
      <c r="AK441" s="18">
        <f t="shared" si="185"/>
        <v>1.0804115068760566E-2</v>
      </c>
      <c r="AN441" s="18">
        <f>IF(ISNUMBER(Volcanic!G441),Volcanic!G441,"")</f>
        <v>1.328E-2</v>
      </c>
    </row>
    <row r="442" spans="1:40">
      <c r="A442" s="18" t="str">
        <f>IF(Volcanic!A442="","",Volcanic!A442)</f>
        <v>11/1994</v>
      </c>
      <c r="B442" s="18">
        <f>IF(ISNUMBER(Volcanic!L442),Volcanic!L442,"")</f>
        <v>1994.875</v>
      </c>
      <c r="C442" s="18">
        <f>IF(ISNUMBER(Volcanic!J442),Volcanic!J442,"")</f>
        <v>6.0325919904934577E-2</v>
      </c>
      <c r="D442" s="18">
        <f t="shared" si="178"/>
        <v>3.639216612376582E-3</v>
      </c>
      <c r="E442" s="18">
        <f>IF(ISNUMBER(Volcanic!C442),Volcanic!C442,"")</f>
        <v>0.35312161435528655</v>
      </c>
      <c r="F442" s="18">
        <f>IF(ISNUMBER(Volcanic!D442),Volcanic!D442,"")</f>
        <v>0.3</v>
      </c>
      <c r="G442" s="18">
        <f>IF(ISNUMBER(Volcanic!E442),Volcanic!E442,"")</f>
        <v>1.8630000000000001E-2</v>
      </c>
      <c r="H442" s="18">
        <f t="shared" si="179"/>
        <v>0.12469487452488372</v>
      </c>
      <c r="I442" s="18">
        <f t="shared" si="180"/>
        <v>0.09</v>
      </c>
      <c r="J442" s="18">
        <f t="shared" si="181"/>
        <v>3.4707690000000002E-4</v>
      </c>
      <c r="K442" s="18">
        <f t="shared" si="182"/>
        <v>0.10593648430658596</v>
      </c>
      <c r="L442" s="18">
        <f t="shared" si="183"/>
        <v>6.5786556754389887E-3</v>
      </c>
      <c r="M442" s="18">
        <f t="shared" si="184"/>
        <v>5.5890000000000002E-3</v>
      </c>
      <c r="N442" s="18">
        <f t="shared" si="186"/>
        <v>3.8889790401614166E-3</v>
      </c>
      <c r="O442" s="18">
        <f t="shared" si="189"/>
        <v>1.5677873130536522E-3</v>
      </c>
      <c r="P442" s="18">
        <f t="shared" si="191"/>
        <v>1.9579913478044983E-2</v>
      </c>
      <c r="Q442" s="18">
        <f t="shared" si="193"/>
        <v>4.4944083416340059E-3</v>
      </c>
      <c r="R442" s="18">
        <f t="shared" si="195"/>
        <v>4.4294104857808426E-3</v>
      </c>
      <c r="S442" s="18">
        <f t="shared" si="197"/>
        <v>6.6474602262628626E-3</v>
      </c>
      <c r="T442" s="18">
        <f t="shared" si="199"/>
        <v>2.868912748003688E-3</v>
      </c>
      <c r="U442" s="18">
        <f t="shared" si="201"/>
        <v>3.0231201472699421E-3</v>
      </c>
      <c r="V442" s="18">
        <f t="shared" si="202"/>
        <v>9.2813003892613974E-2</v>
      </c>
      <c r="W442" s="18">
        <f t="shared" si="203"/>
        <v>2.3289711637422038E-3</v>
      </c>
      <c r="X442" s="18">
        <f t="shared" si="204"/>
        <v>1.0736494403594922E-2</v>
      </c>
      <c r="Y442" s="18">
        <f t="shared" si="205"/>
        <v>4.7607246427493789E-2</v>
      </c>
      <c r="AA442" s="18">
        <f t="shared" si="187"/>
        <v>2.8970327915002585E-2</v>
      </c>
      <c r="AB442" s="18">
        <f t="shared" si="188"/>
        <v>8.3927989950277799E-4</v>
      </c>
      <c r="AC442" s="18">
        <f t="shared" si="190"/>
        <v>6.7683992666623316E-3</v>
      </c>
      <c r="AD442" s="18">
        <f t="shared" si="192"/>
        <v>9.4623545363210575E-4</v>
      </c>
      <c r="AE442" s="18">
        <f t="shared" si="194"/>
        <v>1.1282732293600847E-2</v>
      </c>
      <c r="AF442" s="18">
        <f t="shared" si="196"/>
        <v>1.0101005085239345E-2</v>
      </c>
      <c r="AG442" s="18">
        <f t="shared" si="198"/>
        <v>1.1566629883504509E-2</v>
      </c>
      <c r="AH442" s="18">
        <f t="shared" si="200"/>
        <v>1.1764258976145255E-2</v>
      </c>
      <c r="AJ442" s="18">
        <f>IF(ISNUMBER(Kernel!M442),Kernel!M442,"")</f>
        <v>8.89784897741972E-2</v>
      </c>
      <c r="AK442" s="18">
        <f t="shared" si="185"/>
        <v>7.9171716424969157E-3</v>
      </c>
      <c r="AN442" s="18">
        <f>IF(ISNUMBER(Volcanic!G442),Volcanic!G442,"")</f>
        <v>1.247E-2</v>
      </c>
    </row>
    <row r="443" spans="1:40">
      <c r="A443" s="18" t="str">
        <f>IF(Volcanic!A443="","",Volcanic!A443)</f>
        <v>12/1994</v>
      </c>
      <c r="B443" s="18">
        <f>IF(ISNUMBER(Volcanic!L443),Volcanic!L443,"")</f>
        <v>1994.9583333333333</v>
      </c>
      <c r="C443" s="18">
        <f>IF(ISNUMBER(Volcanic!J443),Volcanic!J443,"")</f>
        <v>-3.5286421396103385E-2</v>
      </c>
      <c r="D443" s="18">
        <f t="shared" si="178"/>
        <v>1.2451315349433828E-3</v>
      </c>
      <c r="E443" s="18">
        <f>IF(ISNUMBER(Volcanic!C443),Volcanic!C443,"")</f>
        <v>0.35895882583232935</v>
      </c>
      <c r="F443" s="18">
        <f>IF(ISNUMBER(Volcanic!D443),Volcanic!D443,"")</f>
        <v>0.47</v>
      </c>
      <c r="G443" s="18">
        <f>IF(ISNUMBER(Volcanic!E443),Volcanic!E443,"")</f>
        <v>1.685E-2</v>
      </c>
      <c r="H443" s="18">
        <f t="shared" si="179"/>
        <v>0.12885143864292456</v>
      </c>
      <c r="I443" s="18">
        <f t="shared" si="180"/>
        <v>0.22089999999999999</v>
      </c>
      <c r="J443" s="18">
        <f t="shared" si="181"/>
        <v>2.8392249999999999E-4</v>
      </c>
      <c r="K443" s="18">
        <f t="shared" si="182"/>
        <v>0.1687106481411948</v>
      </c>
      <c r="L443" s="18">
        <f t="shared" si="183"/>
        <v>6.0484562152747501E-3</v>
      </c>
      <c r="M443" s="18">
        <f t="shared" si="184"/>
        <v>7.9194999999999995E-3</v>
      </c>
      <c r="N443" s="18">
        <f t="shared" si="186"/>
        <v>3.639216612376582E-3</v>
      </c>
      <c r="O443" s="18">
        <f t="shared" si="189"/>
        <v>3.8889790401614166E-3</v>
      </c>
      <c r="P443" s="18">
        <f t="shared" si="191"/>
        <v>1.5677873130536522E-3</v>
      </c>
      <c r="Q443" s="18">
        <f t="shared" si="193"/>
        <v>1.9579913478044983E-2</v>
      </c>
      <c r="R443" s="18">
        <f t="shared" si="195"/>
        <v>4.4944083416340059E-3</v>
      </c>
      <c r="S443" s="18">
        <f t="shared" si="197"/>
        <v>4.4294104857808426E-3</v>
      </c>
      <c r="T443" s="18">
        <f t="shared" si="199"/>
        <v>6.6474602262628626E-3</v>
      </c>
      <c r="U443" s="18">
        <f t="shared" si="201"/>
        <v>2.868912748003688E-3</v>
      </c>
      <c r="V443" s="18">
        <f t="shared" si="202"/>
        <v>3.0231201472699421E-3</v>
      </c>
      <c r="W443" s="18">
        <f t="shared" si="203"/>
        <v>9.2813003892613974E-2</v>
      </c>
      <c r="X443" s="18">
        <f t="shared" si="204"/>
        <v>2.3289711637422038E-3</v>
      </c>
      <c r="Y443" s="18">
        <f t="shared" si="205"/>
        <v>1.0736494403594922E-2</v>
      </c>
      <c r="AA443" s="18">
        <f t="shared" si="187"/>
        <v>-6.5618429023123523E-2</v>
      </c>
      <c r="AB443" s="18">
        <f t="shared" si="188"/>
        <v>4.3057782274626994E-3</v>
      </c>
      <c r="AC443" s="18">
        <f t="shared" si="190"/>
        <v>8.3927989950277799E-4</v>
      </c>
      <c r="AD443" s="18">
        <f t="shared" si="192"/>
        <v>6.7683992666623316E-3</v>
      </c>
      <c r="AE443" s="18">
        <f t="shared" si="194"/>
        <v>9.4623545363210575E-4</v>
      </c>
      <c r="AF443" s="18">
        <f t="shared" si="196"/>
        <v>1.1282732293600847E-2</v>
      </c>
      <c r="AG443" s="18">
        <f t="shared" si="198"/>
        <v>1.0101005085239345E-2</v>
      </c>
      <c r="AH443" s="18">
        <f t="shared" si="200"/>
        <v>1.1566629883504509E-2</v>
      </c>
      <c r="AJ443" s="18">
        <f>IF(ISNUMBER(Kernel!M443),Kernel!M443,"")</f>
        <v>-4.5959611134035461E-3</v>
      </c>
      <c r="AK443" s="18">
        <f t="shared" si="185"/>
        <v>2.1122858555917561E-5</v>
      </c>
      <c r="AN443" s="18">
        <f>IF(ISNUMBER(Volcanic!G443),Volcanic!G443,"")</f>
        <v>1.176E-2</v>
      </c>
    </row>
    <row r="444" spans="1:40">
      <c r="A444" s="18" t="str">
        <f>IF(Volcanic!A444="","",Volcanic!A444)</f>
        <v>1/1995</v>
      </c>
      <c r="B444" s="18">
        <f>IF(ISNUMBER(Volcanic!L444),Volcanic!L444,"")</f>
        <v>1995.0416666666667</v>
      </c>
      <c r="C444" s="18">
        <f>IF(ISNUMBER(Volcanic!J444),Volcanic!J444,"")</f>
        <v>7.4265513583335496E-2</v>
      </c>
      <c r="D444" s="18">
        <f t="shared" si="178"/>
        <v>5.5153665077965893E-3</v>
      </c>
      <c r="E444" s="18">
        <f>IF(ISNUMBER(Volcanic!C444),Volcanic!C444,"")</f>
        <v>0.36273036992883079</v>
      </c>
      <c r="F444" s="18">
        <f>IF(ISNUMBER(Volcanic!D444),Volcanic!D444,"")</f>
        <v>0.66</v>
      </c>
      <c r="G444" s="18">
        <f>IF(ISNUMBER(Volcanic!E444),Volcanic!E444,"")</f>
        <v>1.5699999999999999E-2</v>
      </c>
      <c r="H444" s="18">
        <f t="shared" si="179"/>
        <v>0.13157332126870644</v>
      </c>
      <c r="I444" s="18">
        <f t="shared" si="180"/>
        <v>0.43560000000000004</v>
      </c>
      <c r="J444" s="18">
        <f t="shared" si="181"/>
        <v>2.4648999999999998E-4</v>
      </c>
      <c r="K444" s="18">
        <f t="shared" si="182"/>
        <v>0.23940204415302832</v>
      </c>
      <c r="L444" s="18">
        <f t="shared" si="183"/>
        <v>5.6948668078826425E-3</v>
      </c>
      <c r="M444" s="18">
        <f t="shared" si="184"/>
        <v>1.0362E-2</v>
      </c>
      <c r="N444" s="18">
        <f t="shared" si="186"/>
        <v>1.2451315349433828E-3</v>
      </c>
      <c r="O444" s="18">
        <f t="shared" si="189"/>
        <v>3.639216612376582E-3</v>
      </c>
      <c r="P444" s="18">
        <f t="shared" si="191"/>
        <v>3.8889790401614166E-3</v>
      </c>
      <c r="Q444" s="18">
        <f t="shared" si="193"/>
        <v>1.5677873130536522E-3</v>
      </c>
      <c r="R444" s="18">
        <f t="shared" si="195"/>
        <v>1.9579913478044983E-2</v>
      </c>
      <c r="S444" s="18">
        <f t="shared" si="197"/>
        <v>4.4944083416340059E-3</v>
      </c>
      <c r="T444" s="18">
        <f t="shared" si="199"/>
        <v>4.4294104857808426E-3</v>
      </c>
      <c r="U444" s="18">
        <f t="shared" si="201"/>
        <v>6.6474602262628626E-3</v>
      </c>
      <c r="V444" s="18">
        <f t="shared" si="202"/>
        <v>2.868912748003688E-3</v>
      </c>
      <c r="W444" s="18">
        <f t="shared" si="203"/>
        <v>3.0231201472699421E-3</v>
      </c>
      <c r="X444" s="18">
        <f t="shared" si="204"/>
        <v>9.2813003892613974E-2</v>
      </c>
      <c r="Y444" s="18">
        <f t="shared" si="205"/>
        <v>2.3289711637422038E-3</v>
      </c>
      <c r="AA444" s="18">
        <f t="shared" si="187"/>
        <v>9.2007605284606095E-2</v>
      </c>
      <c r="AB444" s="18">
        <f t="shared" si="188"/>
        <v>8.4653994302078747E-3</v>
      </c>
      <c r="AC444" s="18">
        <f t="shared" si="190"/>
        <v>4.3057782274626994E-3</v>
      </c>
      <c r="AD444" s="18">
        <f t="shared" si="192"/>
        <v>8.3927989950277799E-4</v>
      </c>
      <c r="AE444" s="18">
        <f t="shared" si="194"/>
        <v>6.7683992666623316E-3</v>
      </c>
      <c r="AF444" s="18">
        <f t="shared" si="196"/>
        <v>9.4623545363210575E-4</v>
      </c>
      <c r="AG444" s="18">
        <f t="shared" si="198"/>
        <v>1.1282732293600847E-2</v>
      </c>
      <c r="AH444" s="18">
        <f t="shared" si="200"/>
        <v>1.0101005085239345E-2</v>
      </c>
      <c r="AJ444" s="18">
        <f>IF(ISNUMBER(Kernel!M444),Kernel!M444,"")</f>
        <v>0.11152891218542038</v>
      </c>
      <c r="AK444" s="18">
        <f t="shared" si="185"/>
        <v>1.2438698253263211E-2</v>
      </c>
      <c r="AN444" s="18">
        <f>IF(ISNUMBER(Volcanic!G444),Volcanic!G444,"")</f>
        <v>1.1270000000000001E-2</v>
      </c>
    </row>
    <row r="445" spans="1:40">
      <c r="A445" s="18" t="str">
        <f>IF(Volcanic!A445="","",Volcanic!A445)</f>
        <v>2/1995</v>
      </c>
      <c r="B445" s="18">
        <f>IF(ISNUMBER(Volcanic!L445),Volcanic!L445,"")</f>
        <v>1995.125</v>
      </c>
      <c r="C445" s="18">
        <f>IF(ISNUMBER(Volcanic!J445),Volcanic!J445,"")</f>
        <v>0.29679676100871916</v>
      </c>
      <c r="D445" s="18">
        <f t="shared" si="178"/>
        <v>8.8088317345266759E-2</v>
      </c>
      <c r="E445" s="18">
        <f>IF(ISNUMBER(Volcanic!C445),Volcanic!C445,"")</f>
        <v>0.36657200994220462</v>
      </c>
      <c r="F445" s="18">
        <f>IF(ISNUMBER(Volcanic!D445),Volcanic!D445,"")</f>
        <v>0.93</v>
      </c>
      <c r="G445" s="18">
        <f>IF(ISNUMBER(Volcanic!E445),Volcanic!E445,"")</f>
        <v>1.482E-2</v>
      </c>
      <c r="H445" s="18">
        <f t="shared" si="179"/>
        <v>0.13437503847306775</v>
      </c>
      <c r="I445" s="18">
        <f t="shared" si="180"/>
        <v>0.86490000000000011</v>
      </c>
      <c r="J445" s="18">
        <f t="shared" si="181"/>
        <v>2.1963239999999999E-4</v>
      </c>
      <c r="K445" s="18">
        <f t="shared" si="182"/>
        <v>0.34091196924625033</v>
      </c>
      <c r="L445" s="18">
        <f t="shared" si="183"/>
        <v>5.4325971873434723E-3</v>
      </c>
      <c r="M445" s="18">
        <f t="shared" si="184"/>
        <v>1.3782600000000001E-2</v>
      </c>
      <c r="N445" s="18">
        <f t="shared" si="186"/>
        <v>5.5153665077965893E-3</v>
      </c>
      <c r="O445" s="18">
        <f t="shared" si="189"/>
        <v>1.2451315349433828E-3</v>
      </c>
      <c r="P445" s="18">
        <f t="shared" si="191"/>
        <v>3.639216612376582E-3</v>
      </c>
      <c r="Q445" s="18">
        <f t="shared" si="193"/>
        <v>3.8889790401614166E-3</v>
      </c>
      <c r="R445" s="18">
        <f t="shared" si="195"/>
        <v>1.5677873130536522E-3</v>
      </c>
      <c r="S445" s="18">
        <f t="shared" si="197"/>
        <v>1.9579913478044983E-2</v>
      </c>
      <c r="T445" s="18">
        <f t="shared" si="199"/>
        <v>4.4944083416340059E-3</v>
      </c>
      <c r="U445" s="18">
        <f t="shared" si="201"/>
        <v>4.4294104857808426E-3</v>
      </c>
      <c r="V445" s="18">
        <f t="shared" si="202"/>
        <v>6.6474602262628626E-3</v>
      </c>
      <c r="W445" s="18">
        <f t="shared" si="203"/>
        <v>2.868912748003688E-3</v>
      </c>
      <c r="X445" s="18">
        <f t="shared" si="204"/>
        <v>3.0231201472699421E-3</v>
      </c>
      <c r="Y445" s="18">
        <f t="shared" si="205"/>
        <v>9.2813003892613974E-2</v>
      </c>
      <c r="AA445" s="18">
        <f t="shared" si="187"/>
        <v>0.25945589446272821</v>
      </c>
      <c r="AB445" s="18">
        <f t="shared" si="188"/>
        <v>6.7317361171454357E-2</v>
      </c>
      <c r="AC445" s="18">
        <f t="shared" si="190"/>
        <v>8.4653994302078747E-3</v>
      </c>
      <c r="AD445" s="18">
        <f t="shared" si="192"/>
        <v>4.3057782274626994E-3</v>
      </c>
      <c r="AE445" s="18">
        <f t="shared" si="194"/>
        <v>8.3927989950277799E-4</v>
      </c>
      <c r="AF445" s="18">
        <f t="shared" si="196"/>
        <v>6.7683992666623316E-3</v>
      </c>
      <c r="AG445" s="18">
        <f t="shared" si="198"/>
        <v>9.4623545363210575E-4</v>
      </c>
      <c r="AH445" s="18">
        <f t="shared" si="200"/>
        <v>1.1282732293600847E-2</v>
      </c>
      <c r="AJ445" s="18">
        <f>IF(ISNUMBER(Kernel!M445),Kernel!M445,"")</f>
        <v>0.35388211209769693</v>
      </c>
      <c r="AK445" s="18">
        <f t="shared" si="185"/>
        <v>0.12523254926272695</v>
      </c>
      <c r="AN445" s="18">
        <f>IF(ISNUMBER(Volcanic!G445),Volcanic!G445,"")</f>
        <v>1.0330000000000001E-2</v>
      </c>
    </row>
    <row r="446" spans="1:40">
      <c r="A446" s="18" t="str">
        <f>IF(Volcanic!A446="","",Volcanic!A446)</f>
        <v>3/1995</v>
      </c>
      <c r="B446" s="18">
        <f>IF(ISNUMBER(Volcanic!L446),Volcanic!L446,"")</f>
        <v>1995.2083333333333</v>
      </c>
      <c r="C446" s="18">
        <f>IF(ISNUMBER(Volcanic!J446),Volcanic!J446,"")</f>
        <v>-3.9056650313626817E-2</v>
      </c>
      <c r="D446" s="18">
        <f t="shared" si="178"/>
        <v>1.5254219337209258E-3</v>
      </c>
      <c r="E446" s="18">
        <f>IF(ISNUMBER(Volcanic!C446),Volcanic!C446,"")</f>
        <v>0.3704831610279733</v>
      </c>
      <c r="F446" s="18">
        <f>IF(ISNUMBER(Volcanic!D446),Volcanic!D446,"")</f>
        <v>0.97</v>
      </c>
      <c r="G446" s="18">
        <f>IF(ISNUMBER(Volcanic!E446),Volcanic!E446,"")</f>
        <v>1.4149999999999999E-2</v>
      </c>
      <c r="H446" s="18">
        <f t="shared" si="179"/>
        <v>0.13725777260527919</v>
      </c>
      <c r="I446" s="18">
        <f t="shared" si="180"/>
        <v>0.94089999999999996</v>
      </c>
      <c r="J446" s="18">
        <f t="shared" si="181"/>
        <v>2.0022249999999999E-4</v>
      </c>
      <c r="K446" s="18">
        <f t="shared" si="182"/>
        <v>0.35936866619713409</v>
      </c>
      <c r="L446" s="18">
        <f t="shared" si="183"/>
        <v>5.242336728545822E-3</v>
      </c>
      <c r="M446" s="18">
        <f t="shared" si="184"/>
        <v>1.37255E-2</v>
      </c>
      <c r="N446" s="18">
        <f t="shared" si="186"/>
        <v>8.8088317345266759E-2</v>
      </c>
      <c r="O446" s="18">
        <f t="shared" si="189"/>
        <v>5.5153665077965893E-3</v>
      </c>
      <c r="P446" s="18">
        <f t="shared" si="191"/>
        <v>1.2451315349433828E-3</v>
      </c>
      <c r="Q446" s="18">
        <f t="shared" si="193"/>
        <v>3.639216612376582E-3</v>
      </c>
      <c r="R446" s="18">
        <f t="shared" si="195"/>
        <v>3.8889790401614166E-3</v>
      </c>
      <c r="S446" s="18">
        <f t="shared" si="197"/>
        <v>1.5677873130536522E-3</v>
      </c>
      <c r="T446" s="18">
        <f t="shared" si="199"/>
        <v>1.9579913478044983E-2</v>
      </c>
      <c r="U446" s="18">
        <f t="shared" si="201"/>
        <v>4.4944083416340059E-3</v>
      </c>
      <c r="V446" s="18">
        <f t="shared" si="202"/>
        <v>4.4294104857808426E-3</v>
      </c>
      <c r="W446" s="18">
        <f t="shared" si="203"/>
        <v>6.6474602262628626E-3</v>
      </c>
      <c r="X446" s="18">
        <f t="shared" si="204"/>
        <v>2.868912748003688E-3</v>
      </c>
      <c r="Y446" s="18">
        <f t="shared" si="205"/>
        <v>3.0231201472699421E-3</v>
      </c>
      <c r="AA446" s="18">
        <f t="shared" si="187"/>
        <v>-0.18828672641985053</v>
      </c>
      <c r="AB446" s="18">
        <f t="shared" si="188"/>
        <v>3.5451891345903638E-2</v>
      </c>
      <c r="AC446" s="18">
        <f t="shared" si="190"/>
        <v>6.7317361171454357E-2</v>
      </c>
      <c r="AD446" s="18">
        <f t="shared" si="192"/>
        <v>8.4653994302078747E-3</v>
      </c>
      <c r="AE446" s="18">
        <f t="shared" si="194"/>
        <v>4.3057782274626994E-3</v>
      </c>
      <c r="AF446" s="18">
        <f t="shared" si="196"/>
        <v>8.3927989950277799E-4</v>
      </c>
      <c r="AG446" s="18">
        <f t="shared" si="198"/>
        <v>6.7683992666623316E-3</v>
      </c>
      <c r="AH446" s="18">
        <f t="shared" si="200"/>
        <v>9.4623545363210575E-4</v>
      </c>
      <c r="AJ446" s="18">
        <f>IF(ISNUMBER(Kernel!M446),Kernel!M446,"")</f>
        <v>2.0743997503738287E-2</v>
      </c>
      <c r="AK446" s="18">
        <f t="shared" si="185"/>
        <v>4.303134324351003E-4</v>
      </c>
      <c r="AN446" s="18">
        <f>IF(ISNUMBER(Volcanic!G446),Volcanic!G446,"")</f>
        <v>9.8200000000000006E-3</v>
      </c>
    </row>
    <row r="447" spans="1:40">
      <c r="A447" s="18" t="str">
        <f>IF(Volcanic!A447="","",Volcanic!A447)</f>
        <v>4/1995</v>
      </c>
      <c r="B447" s="18">
        <f>IF(ISNUMBER(Volcanic!L447),Volcanic!L447,"")</f>
        <v>1995.2916666666667</v>
      </c>
      <c r="C447" s="18">
        <f>IF(ISNUMBER(Volcanic!J447),Volcanic!J447,"")</f>
        <v>-4.7666046978440124E-2</v>
      </c>
      <c r="D447" s="18">
        <f t="shared" si="178"/>
        <v>2.272052034550861E-3</v>
      </c>
      <c r="E447" s="18">
        <f>IF(ISNUMBER(Volcanic!C447),Volcanic!C447,"")</f>
        <v>0.37629038333705156</v>
      </c>
      <c r="F447" s="18">
        <f>IF(ISNUMBER(Volcanic!D447),Volcanic!D447,"")</f>
        <v>0.88</v>
      </c>
      <c r="G447" s="18">
        <f>IF(ISNUMBER(Volcanic!E447),Volcanic!E447,"")</f>
        <v>1.3639999999999999E-2</v>
      </c>
      <c r="H447" s="18">
        <f t="shared" si="179"/>
        <v>0.1415944525919452</v>
      </c>
      <c r="I447" s="18">
        <f t="shared" si="180"/>
        <v>0.77439999999999998</v>
      </c>
      <c r="J447" s="18">
        <f t="shared" si="181"/>
        <v>1.8604959999999999E-4</v>
      </c>
      <c r="K447" s="18">
        <f t="shared" si="182"/>
        <v>0.33113553733660539</v>
      </c>
      <c r="L447" s="18">
        <f t="shared" si="183"/>
        <v>5.1326008287173831E-3</v>
      </c>
      <c r="M447" s="18">
        <f t="shared" si="184"/>
        <v>1.20032E-2</v>
      </c>
      <c r="N447" s="18">
        <f t="shared" si="186"/>
        <v>1.5254219337209258E-3</v>
      </c>
      <c r="O447" s="18">
        <f t="shared" si="189"/>
        <v>8.8088317345266759E-2</v>
      </c>
      <c r="P447" s="18">
        <f t="shared" si="191"/>
        <v>5.5153665077965893E-3</v>
      </c>
      <c r="Q447" s="18">
        <f t="shared" si="193"/>
        <v>1.2451315349433828E-3</v>
      </c>
      <c r="R447" s="18">
        <f t="shared" si="195"/>
        <v>3.639216612376582E-3</v>
      </c>
      <c r="S447" s="18">
        <f t="shared" si="197"/>
        <v>3.8889790401614166E-3</v>
      </c>
      <c r="T447" s="18">
        <f t="shared" si="199"/>
        <v>1.5677873130536522E-3</v>
      </c>
      <c r="U447" s="18">
        <f t="shared" si="201"/>
        <v>1.9579913478044983E-2</v>
      </c>
      <c r="V447" s="18">
        <f t="shared" si="202"/>
        <v>4.4944083416340059E-3</v>
      </c>
      <c r="W447" s="18">
        <f t="shared" si="203"/>
        <v>4.4294104857808426E-3</v>
      </c>
      <c r="X447" s="18">
        <f t="shared" si="204"/>
        <v>6.6474602262628626E-3</v>
      </c>
      <c r="Y447" s="18">
        <f t="shared" si="205"/>
        <v>2.868912748003688E-3</v>
      </c>
      <c r="AA447" s="18">
        <f t="shared" si="187"/>
        <v>-2.8028275734078494E-2</v>
      </c>
      <c r="AB447" s="18">
        <f t="shared" si="188"/>
        <v>7.8558424062553337E-4</v>
      </c>
      <c r="AC447" s="18">
        <f t="shared" si="190"/>
        <v>3.5451891345903638E-2</v>
      </c>
      <c r="AD447" s="18">
        <f t="shared" si="192"/>
        <v>6.7317361171454357E-2</v>
      </c>
      <c r="AE447" s="18">
        <f t="shared" si="194"/>
        <v>8.4653994302078747E-3</v>
      </c>
      <c r="AF447" s="18">
        <f t="shared" si="196"/>
        <v>4.3057782274626994E-3</v>
      </c>
      <c r="AG447" s="18">
        <f t="shared" si="198"/>
        <v>8.3927989950277799E-4</v>
      </c>
      <c r="AH447" s="18">
        <f t="shared" si="200"/>
        <v>6.7683992666623316E-3</v>
      </c>
      <c r="AJ447" s="18">
        <f>IF(ISNUMBER(Kernel!M447),Kernel!M447,"")</f>
        <v>8.21697162127627E-3</v>
      </c>
      <c r="AK447" s="18">
        <f t="shared" si="185"/>
        <v>6.7518622624859574E-5</v>
      </c>
      <c r="AN447" s="18">
        <f>IF(ISNUMBER(Volcanic!G447),Volcanic!G447,"")</f>
        <v>9.3399999999999993E-3</v>
      </c>
    </row>
    <row r="448" spans="1:40">
      <c r="A448" s="18" t="str">
        <f>IF(Volcanic!A448="","",Volcanic!A448)</f>
        <v>5/1995</v>
      </c>
      <c r="B448" s="18">
        <f>IF(ISNUMBER(Volcanic!L448),Volcanic!L448,"")</f>
        <v>1995.375</v>
      </c>
      <c r="C448" s="18">
        <f>IF(ISNUMBER(Volcanic!J448),Volcanic!J448,"")</f>
        <v>-0.23133545640808129</v>
      </c>
      <c r="D448" s="18">
        <f t="shared" si="178"/>
        <v>5.3516093391535277E-2</v>
      </c>
      <c r="E448" s="18">
        <f>IF(ISNUMBER(Volcanic!C448),Volcanic!C448,"")</f>
        <v>0.37783767971908239</v>
      </c>
      <c r="F448" s="18">
        <f>IF(ISNUMBER(Volcanic!D448),Volcanic!D448,"")</f>
        <v>0.65</v>
      </c>
      <c r="G448" s="18">
        <f>IF(ISNUMBER(Volcanic!E448),Volcanic!E448,"")</f>
        <v>1.328E-2</v>
      </c>
      <c r="H448" s="18">
        <f t="shared" si="179"/>
        <v>0.14276131221549987</v>
      </c>
      <c r="I448" s="18">
        <f t="shared" si="180"/>
        <v>0.42250000000000004</v>
      </c>
      <c r="J448" s="18">
        <f t="shared" si="181"/>
        <v>1.763584E-4</v>
      </c>
      <c r="K448" s="18">
        <f t="shared" si="182"/>
        <v>0.24559449181740356</v>
      </c>
      <c r="L448" s="18">
        <f t="shared" si="183"/>
        <v>5.0176843866694141E-3</v>
      </c>
      <c r="M448" s="18">
        <f t="shared" si="184"/>
        <v>8.6320000000000008E-3</v>
      </c>
      <c r="N448" s="18">
        <f t="shared" si="186"/>
        <v>2.272052034550861E-3</v>
      </c>
      <c r="O448" s="18">
        <f t="shared" si="189"/>
        <v>1.5254219337209258E-3</v>
      </c>
      <c r="P448" s="18">
        <f t="shared" si="191"/>
        <v>8.8088317345266759E-2</v>
      </c>
      <c r="Q448" s="18">
        <f t="shared" si="193"/>
        <v>5.5153665077965893E-3</v>
      </c>
      <c r="R448" s="18">
        <f t="shared" si="195"/>
        <v>1.2451315349433828E-3</v>
      </c>
      <c r="S448" s="18">
        <f t="shared" si="197"/>
        <v>3.639216612376582E-3</v>
      </c>
      <c r="T448" s="18">
        <f t="shared" si="199"/>
        <v>3.8889790401614166E-3</v>
      </c>
      <c r="U448" s="18">
        <f t="shared" si="201"/>
        <v>1.5677873130536522E-3</v>
      </c>
      <c r="V448" s="18">
        <f t="shared" si="202"/>
        <v>1.9579913478044983E-2</v>
      </c>
      <c r="W448" s="18">
        <f t="shared" si="203"/>
        <v>4.4944083416340059E-3</v>
      </c>
      <c r="X448" s="18">
        <f t="shared" si="204"/>
        <v>4.4294104857808426E-3</v>
      </c>
      <c r="Y448" s="18">
        <f t="shared" si="205"/>
        <v>6.6474602262628626E-3</v>
      </c>
      <c r="AA448" s="18">
        <f t="shared" si="187"/>
        <v>-0.20736886124006162</v>
      </c>
      <c r="AB448" s="18">
        <f t="shared" si="188"/>
        <v>4.3001844611999934E-2</v>
      </c>
      <c r="AC448" s="18">
        <f t="shared" si="190"/>
        <v>7.8558424062553337E-4</v>
      </c>
      <c r="AD448" s="18">
        <f t="shared" si="192"/>
        <v>3.5451891345903638E-2</v>
      </c>
      <c r="AE448" s="18">
        <f t="shared" si="194"/>
        <v>6.7317361171454357E-2</v>
      </c>
      <c r="AF448" s="18">
        <f t="shared" si="196"/>
        <v>8.4653994302078747E-3</v>
      </c>
      <c r="AG448" s="18">
        <f t="shared" si="198"/>
        <v>4.3057782274626994E-3</v>
      </c>
      <c r="AH448" s="18">
        <f t="shared" si="200"/>
        <v>8.3927989950277799E-4</v>
      </c>
      <c r="AJ448" s="18">
        <f>IF(ISNUMBER(Kernel!M448),Kernel!M448,"")</f>
        <v>-0.19031750111281914</v>
      </c>
      <c r="AK448" s="18">
        <f t="shared" si="185"/>
        <v>3.6220751229827916E-2</v>
      </c>
      <c r="AN448" s="18">
        <f>IF(ISNUMBER(Volcanic!G448),Volcanic!G448,"")</f>
        <v>8.7799999999999996E-3</v>
      </c>
    </row>
    <row r="449" spans="1:40">
      <c r="A449" s="18" t="str">
        <f>IF(Volcanic!A449="","",Volcanic!A449)</f>
        <v>6/1995</v>
      </c>
      <c r="B449" s="18">
        <f>IF(ISNUMBER(Volcanic!L449),Volcanic!L449,"")</f>
        <v>1995.4583333333333</v>
      </c>
      <c r="C449" s="18">
        <f>IF(ISNUMBER(Volcanic!J449),Volcanic!J449,"")</f>
        <v>-5.0075438967299435E-2</v>
      </c>
      <c r="D449" s="18">
        <f t="shared" si="178"/>
        <v>2.5075495877677307E-3</v>
      </c>
      <c r="E449" s="18">
        <f>IF(ISNUMBER(Volcanic!C449),Volcanic!C449,"")</f>
        <v>0.37585366620313115</v>
      </c>
      <c r="F449" s="18">
        <f>IF(ISNUMBER(Volcanic!D449),Volcanic!D449,"")</f>
        <v>0.46</v>
      </c>
      <c r="G449" s="18">
        <f>IF(ISNUMBER(Volcanic!E449),Volcanic!E449,"")</f>
        <v>1.247E-2</v>
      </c>
      <c r="H449" s="18">
        <f t="shared" si="179"/>
        <v>0.14126597839833474</v>
      </c>
      <c r="I449" s="18">
        <f t="shared" si="180"/>
        <v>0.21160000000000001</v>
      </c>
      <c r="J449" s="18">
        <f t="shared" si="181"/>
        <v>1.5550089999999999E-4</v>
      </c>
      <c r="K449" s="18">
        <f t="shared" si="182"/>
        <v>0.17289268645344033</v>
      </c>
      <c r="L449" s="18">
        <f t="shared" si="183"/>
        <v>4.6868952175530458E-3</v>
      </c>
      <c r="M449" s="18">
        <f t="shared" si="184"/>
        <v>5.7362000000000003E-3</v>
      </c>
      <c r="N449" s="18">
        <f t="shared" si="186"/>
        <v>5.3516093391535277E-2</v>
      </c>
      <c r="O449" s="18">
        <f t="shared" si="189"/>
        <v>2.272052034550861E-3</v>
      </c>
      <c r="P449" s="18">
        <f t="shared" si="191"/>
        <v>1.5254219337209258E-3</v>
      </c>
      <c r="Q449" s="18">
        <f t="shared" si="193"/>
        <v>8.8088317345266759E-2</v>
      </c>
      <c r="R449" s="18">
        <f t="shared" si="195"/>
        <v>5.5153665077965893E-3</v>
      </c>
      <c r="S449" s="18">
        <f t="shared" si="197"/>
        <v>1.2451315349433828E-3</v>
      </c>
      <c r="T449" s="18">
        <f t="shared" si="199"/>
        <v>3.639216612376582E-3</v>
      </c>
      <c r="U449" s="18">
        <f t="shared" si="201"/>
        <v>3.8889790401614166E-3</v>
      </c>
      <c r="V449" s="18">
        <f t="shared" si="202"/>
        <v>1.5677873130536522E-3</v>
      </c>
      <c r="W449" s="18">
        <f t="shared" si="203"/>
        <v>1.9579913478044983E-2</v>
      </c>
      <c r="X449" s="18">
        <f t="shared" si="204"/>
        <v>4.4944083416340059E-3</v>
      </c>
      <c r="Y449" s="18">
        <f t="shared" si="205"/>
        <v>4.4294104857808426E-3</v>
      </c>
      <c r="AA449" s="18">
        <f t="shared" si="187"/>
        <v>6.624054658630231E-2</v>
      </c>
      <c r="AB449" s="18">
        <f t="shared" si="188"/>
        <v>4.3878100120520866E-3</v>
      </c>
      <c r="AC449" s="18">
        <f t="shared" si="190"/>
        <v>4.3001844611999934E-2</v>
      </c>
      <c r="AD449" s="18">
        <f t="shared" si="192"/>
        <v>7.8558424062553337E-4</v>
      </c>
      <c r="AE449" s="18">
        <f t="shared" si="194"/>
        <v>3.5451891345903638E-2</v>
      </c>
      <c r="AF449" s="18">
        <f t="shared" si="196"/>
        <v>6.7317361171454357E-2</v>
      </c>
      <c r="AG449" s="18">
        <f t="shared" si="198"/>
        <v>8.4653994302078747E-3</v>
      </c>
      <c r="AH449" s="18">
        <f t="shared" si="200"/>
        <v>4.3057782274626994E-3</v>
      </c>
      <c r="AJ449" s="18">
        <f>IF(ISNUMBER(Kernel!M449),Kernel!M449,"")</f>
        <v>-1.7571302663880295E-2</v>
      </c>
      <c r="AK449" s="18">
        <f t="shared" si="185"/>
        <v>3.0875067730568674E-4</v>
      </c>
      <c r="AN449" s="18">
        <f>IF(ISNUMBER(Volcanic!G449),Volcanic!G449,"")</f>
        <v>8.4200000000000004E-3</v>
      </c>
    </row>
    <row r="450" spans="1:40">
      <c r="A450" s="18" t="str">
        <f>IF(Volcanic!A450="","",Volcanic!A450)</f>
        <v>7/1995</v>
      </c>
      <c r="B450" s="18">
        <f>IF(ISNUMBER(Volcanic!L450),Volcanic!L450,"")</f>
        <v>1995.5416666666667</v>
      </c>
      <c r="C450" s="18">
        <f>IF(ISNUMBER(Volcanic!J450),Volcanic!J450,"")</f>
        <v>2.0239287722109867E-2</v>
      </c>
      <c r="D450" s="18">
        <f t="shared" ref="D450:D513" si="206">IF(ISNUMBER(C450),C450^2,"")</f>
        <v>4.096287674983472E-4</v>
      </c>
      <c r="E450" s="18">
        <f>IF(ISNUMBER(Volcanic!C450),Volcanic!C450,"")</f>
        <v>0.36968582761490204</v>
      </c>
      <c r="F450" s="18">
        <f>IF(ISNUMBER(Volcanic!D450),Volcanic!D450,"")</f>
        <v>0.19</v>
      </c>
      <c r="G450" s="18">
        <f>IF(ISNUMBER(Volcanic!E450),Volcanic!E450,"")</f>
        <v>1.176E-2</v>
      </c>
      <c r="H450" s="18">
        <f t="shared" ref="H450:H513" si="207">IF(ISNUMBER(E450),E450^2,"")</f>
        <v>0.13666761113931508</v>
      </c>
      <c r="I450" s="18">
        <f t="shared" ref="I450:I513" si="208">IF(ISNUMBER(F450),F450^2,"")</f>
        <v>3.61E-2</v>
      </c>
      <c r="J450" s="18">
        <f t="shared" ref="J450:J513" si="209">IF(ISNUMBER(G450),G450^2,"")</f>
        <v>1.382976E-4</v>
      </c>
      <c r="K450" s="18">
        <f t="shared" ref="K450:K513" si="210">IF(AND(ISNUMBER(E450),ISNUMBER(F450)),E450*F450,"")</f>
        <v>7.024030724683139E-2</v>
      </c>
      <c r="L450" s="18">
        <f t="shared" ref="L450:L513" si="211">IF(AND(ISNUMBER(E450),ISNUMBER(G450)),E450*G450,"")</f>
        <v>4.3475053327512482E-3</v>
      </c>
      <c r="M450" s="18">
        <f t="shared" ref="M450:M513" si="212">IF(AND(ISNUMBER(F450),ISNUMBER(G450)),F450*G450,"")</f>
        <v>2.2344000000000001E-3</v>
      </c>
      <c r="N450" s="18">
        <f t="shared" si="186"/>
        <v>2.5075495877677307E-3</v>
      </c>
      <c r="O450" s="18">
        <f t="shared" si="189"/>
        <v>5.3516093391535277E-2</v>
      </c>
      <c r="P450" s="18">
        <f t="shared" si="191"/>
        <v>2.272052034550861E-3</v>
      </c>
      <c r="Q450" s="18">
        <f t="shared" si="193"/>
        <v>1.5254219337209258E-3</v>
      </c>
      <c r="R450" s="18">
        <f t="shared" si="195"/>
        <v>8.8088317345266759E-2</v>
      </c>
      <c r="S450" s="18">
        <f t="shared" si="197"/>
        <v>5.5153665077965893E-3</v>
      </c>
      <c r="T450" s="18">
        <f t="shared" si="199"/>
        <v>1.2451315349433828E-3</v>
      </c>
      <c r="U450" s="18">
        <f t="shared" si="201"/>
        <v>3.639216612376582E-3</v>
      </c>
      <c r="V450" s="18">
        <f t="shared" si="202"/>
        <v>3.8889790401614166E-3</v>
      </c>
      <c r="W450" s="18">
        <f t="shared" si="203"/>
        <v>1.5677873130536522E-3</v>
      </c>
      <c r="X450" s="18">
        <f t="shared" si="204"/>
        <v>1.9579913478044983E-2</v>
      </c>
      <c r="Y450" s="18">
        <f t="shared" si="205"/>
        <v>4.4944083416340059E-3</v>
      </c>
      <c r="AA450" s="18">
        <f t="shared" si="187"/>
        <v>4.5417330577918268E-2</v>
      </c>
      <c r="AB450" s="18">
        <f t="shared" si="188"/>
        <v>2.0627339168239095E-3</v>
      </c>
      <c r="AC450" s="18">
        <f t="shared" si="190"/>
        <v>4.3878100120520866E-3</v>
      </c>
      <c r="AD450" s="18">
        <f t="shared" si="192"/>
        <v>4.3001844611999934E-2</v>
      </c>
      <c r="AE450" s="18">
        <f t="shared" si="194"/>
        <v>7.8558424062553337E-4</v>
      </c>
      <c r="AF450" s="18">
        <f t="shared" si="196"/>
        <v>3.5451891345903638E-2</v>
      </c>
      <c r="AG450" s="18">
        <f t="shared" si="198"/>
        <v>6.7317361171454357E-2</v>
      </c>
      <c r="AH450" s="18">
        <f t="shared" si="200"/>
        <v>8.4653994302078747E-3</v>
      </c>
      <c r="AJ450" s="18">
        <f>IF(ISNUMBER(Kernel!M450),Kernel!M450,"")</f>
        <v>3.9138621383601468E-2</v>
      </c>
      <c r="AK450" s="18">
        <f t="shared" ref="AK450:AK513" si="213">IF(ISNUMBER(AJ450),AJ450^2,"")</f>
        <v>1.5318316838089062E-3</v>
      </c>
      <c r="AN450" s="18">
        <f>IF(ISNUMBER(Volcanic!G450),Volcanic!G450,"")</f>
        <v>8.3599999999999994E-3</v>
      </c>
    </row>
    <row r="451" spans="1:40">
      <c r="A451" s="18" t="str">
        <f>IF(Volcanic!A451="","",Volcanic!A451)</f>
        <v>8/1995</v>
      </c>
      <c r="B451" s="18">
        <f>IF(ISNUMBER(Volcanic!L451),Volcanic!L451,"")</f>
        <v>1995.625</v>
      </c>
      <c r="C451" s="18">
        <f>IF(ISNUMBER(Volcanic!J451),Volcanic!J451,"")</f>
        <v>5.0745998080171217E-2</v>
      </c>
      <c r="D451" s="18">
        <f t="shared" si="206"/>
        <v>2.575156321152741E-3</v>
      </c>
      <c r="E451" s="18">
        <f>IF(ISNUMBER(Volcanic!C451),Volcanic!C451,"")</f>
        <v>0.35988256195342855</v>
      </c>
      <c r="F451" s="18">
        <f>IF(ISNUMBER(Volcanic!D451),Volcanic!D451,"")</f>
        <v>0.03</v>
      </c>
      <c r="G451" s="18">
        <f>IF(ISNUMBER(Volcanic!E451),Volcanic!E451,"")</f>
        <v>1.1270000000000001E-2</v>
      </c>
      <c r="H451" s="18">
        <f t="shared" si="207"/>
        <v>0.12951545839816334</v>
      </c>
      <c r="I451" s="18">
        <f t="shared" si="208"/>
        <v>8.9999999999999998E-4</v>
      </c>
      <c r="J451" s="18">
        <f t="shared" si="209"/>
        <v>1.270129E-4</v>
      </c>
      <c r="K451" s="18">
        <f t="shared" si="210"/>
        <v>1.0796476858602857E-2</v>
      </c>
      <c r="L451" s="18">
        <f t="shared" si="211"/>
        <v>4.0558764732151397E-3</v>
      </c>
      <c r="M451" s="18">
        <f t="shared" si="212"/>
        <v>3.3809999999999998E-4</v>
      </c>
      <c r="N451" s="18">
        <f t="shared" ref="N451:N514" si="214">IF(ISNUMBER(D450),D450,"")</f>
        <v>4.096287674983472E-4</v>
      </c>
      <c r="O451" s="18">
        <f t="shared" si="189"/>
        <v>2.5075495877677307E-3</v>
      </c>
      <c r="P451" s="18">
        <f t="shared" si="191"/>
        <v>5.3516093391535277E-2</v>
      </c>
      <c r="Q451" s="18">
        <f t="shared" si="193"/>
        <v>2.272052034550861E-3</v>
      </c>
      <c r="R451" s="18">
        <f t="shared" si="195"/>
        <v>1.5254219337209258E-3</v>
      </c>
      <c r="S451" s="18">
        <f t="shared" si="197"/>
        <v>8.8088317345266759E-2</v>
      </c>
      <c r="T451" s="18">
        <f t="shared" si="199"/>
        <v>5.5153665077965893E-3</v>
      </c>
      <c r="U451" s="18">
        <f t="shared" si="201"/>
        <v>1.2451315349433828E-3</v>
      </c>
      <c r="V451" s="18">
        <f t="shared" si="202"/>
        <v>3.639216612376582E-3</v>
      </c>
      <c r="W451" s="18">
        <f t="shared" si="203"/>
        <v>3.8889790401614166E-3</v>
      </c>
      <c r="X451" s="18">
        <f t="shared" si="204"/>
        <v>1.5677873130536522E-3</v>
      </c>
      <c r="Y451" s="18">
        <f t="shared" si="205"/>
        <v>1.9579913478044983E-2</v>
      </c>
      <c r="AA451" s="18">
        <f t="shared" ref="AA451:AA514" si="215">IF(AND(ISNUMBER(C451),ISNUMBER(C450)),C451-$AX$16*C450,"")</f>
        <v>4.0569638887971389E-2</v>
      </c>
      <c r="AB451" s="18">
        <f t="shared" ref="AB451:AB514" si="216">IF(ISNUMBER(AA451),AA451^2,"")</f>
        <v>1.6458955995004004E-3</v>
      </c>
      <c r="AC451" s="18">
        <f t="shared" si="190"/>
        <v>2.0627339168239095E-3</v>
      </c>
      <c r="AD451" s="18">
        <f t="shared" si="192"/>
        <v>4.3878100120520866E-3</v>
      </c>
      <c r="AE451" s="18">
        <f t="shared" si="194"/>
        <v>4.3001844611999934E-2</v>
      </c>
      <c r="AF451" s="18">
        <f t="shared" si="196"/>
        <v>7.8558424062553337E-4</v>
      </c>
      <c r="AG451" s="18">
        <f t="shared" si="198"/>
        <v>3.5451891345903638E-2</v>
      </c>
      <c r="AH451" s="18">
        <f t="shared" si="200"/>
        <v>6.7317361171454357E-2</v>
      </c>
      <c r="AJ451" s="18">
        <f>IF(ISNUMBER(Kernel!M451),Kernel!M451,"")</f>
        <v>6.9159720486451193E-2</v>
      </c>
      <c r="AK451" s="18">
        <f t="shared" si="213"/>
        <v>4.7830669377640564E-3</v>
      </c>
      <c r="AN451" s="18">
        <f>IF(ISNUMBER(Volcanic!G451),Volcanic!G451,"")</f>
        <v>7.9799999999999992E-3</v>
      </c>
    </row>
    <row r="452" spans="1:40">
      <c r="A452" s="18" t="str">
        <f>IF(Volcanic!A452="","",Volcanic!A452)</f>
        <v>9/1995</v>
      </c>
      <c r="B452" s="18">
        <f>IF(ISNUMBER(Volcanic!L452),Volcanic!L452,"")</f>
        <v>1995.7083333333333</v>
      </c>
      <c r="C452" s="18">
        <f>IF(ISNUMBER(Volcanic!J452),Volcanic!J452,"")</f>
        <v>-4.725545125004571E-2</v>
      </c>
      <c r="D452" s="18">
        <f t="shared" si="206"/>
        <v>2.2330776728454469E-3</v>
      </c>
      <c r="E452" s="18">
        <f>IF(ISNUMBER(Volcanic!C452),Volcanic!C452,"")</f>
        <v>0.35582174413600615</v>
      </c>
      <c r="F452" s="18">
        <f>IF(ISNUMBER(Volcanic!D452),Volcanic!D452,"")</f>
        <v>-0.11</v>
      </c>
      <c r="G452" s="18">
        <f>IF(ISNUMBER(Volcanic!E452),Volcanic!E452,"")</f>
        <v>1.0330000000000001E-2</v>
      </c>
      <c r="H452" s="18">
        <f t="shared" si="207"/>
        <v>0.12660911359998941</v>
      </c>
      <c r="I452" s="18">
        <f t="shared" si="208"/>
        <v>1.21E-2</v>
      </c>
      <c r="J452" s="18">
        <f t="shared" si="209"/>
        <v>1.0670890000000002E-4</v>
      </c>
      <c r="K452" s="18">
        <f t="shared" si="210"/>
        <v>-3.9140391854960675E-2</v>
      </c>
      <c r="L452" s="18">
        <f t="shared" si="211"/>
        <v>3.6756386169249436E-3</v>
      </c>
      <c r="M452" s="18">
        <f t="shared" si="212"/>
        <v>-1.1363E-3</v>
      </c>
      <c r="N452" s="18">
        <f t="shared" si="214"/>
        <v>2.575156321152741E-3</v>
      </c>
      <c r="O452" s="18">
        <f t="shared" ref="O452:O515" si="217">IF(ISNUMBER(D450),D450,"")</f>
        <v>4.096287674983472E-4</v>
      </c>
      <c r="P452" s="18">
        <f t="shared" si="191"/>
        <v>2.5075495877677307E-3</v>
      </c>
      <c r="Q452" s="18">
        <f t="shared" si="193"/>
        <v>5.3516093391535277E-2</v>
      </c>
      <c r="R452" s="18">
        <f t="shared" si="195"/>
        <v>2.272052034550861E-3</v>
      </c>
      <c r="S452" s="18">
        <f t="shared" si="197"/>
        <v>1.5254219337209258E-3</v>
      </c>
      <c r="T452" s="18">
        <f t="shared" si="199"/>
        <v>8.8088317345266759E-2</v>
      </c>
      <c r="U452" s="18">
        <f t="shared" si="201"/>
        <v>5.5153665077965893E-3</v>
      </c>
      <c r="V452" s="18">
        <f t="shared" si="202"/>
        <v>1.2451315349433828E-3</v>
      </c>
      <c r="W452" s="18">
        <f t="shared" si="203"/>
        <v>3.639216612376582E-3</v>
      </c>
      <c r="X452" s="18">
        <f t="shared" si="204"/>
        <v>3.8889790401614166E-3</v>
      </c>
      <c r="Y452" s="18">
        <f t="shared" si="205"/>
        <v>1.5677873130536522E-3</v>
      </c>
      <c r="AA452" s="18">
        <f t="shared" si="215"/>
        <v>-7.2770652729511193E-2</v>
      </c>
      <c r="AB452" s="18">
        <f t="shared" si="216"/>
        <v>5.2955678986791148E-3</v>
      </c>
      <c r="AC452" s="18">
        <f t="shared" ref="AC452:AC515" si="218">IF(ISNUMBER(AB451),AB451,"")</f>
        <v>1.6458955995004004E-3</v>
      </c>
      <c r="AD452" s="18">
        <f t="shared" si="192"/>
        <v>2.0627339168239095E-3</v>
      </c>
      <c r="AE452" s="18">
        <f t="shared" si="194"/>
        <v>4.3878100120520866E-3</v>
      </c>
      <c r="AF452" s="18">
        <f t="shared" si="196"/>
        <v>4.3001844611999934E-2</v>
      </c>
      <c r="AG452" s="18">
        <f t="shared" si="198"/>
        <v>7.8558424062553337E-4</v>
      </c>
      <c r="AH452" s="18">
        <f t="shared" si="200"/>
        <v>3.5451891345903638E-2</v>
      </c>
      <c r="AJ452" s="18">
        <f>IF(ISNUMBER(Kernel!M452),Kernel!M452,"")</f>
        <v>-2.315295793753136E-2</v>
      </c>
      <c r="AK452" s="18">
        <f t="shared" si="213"/>
        <v>5.360594612570964E-4</v>
      </c>
      <c r="AN452" s="18">
        <f>IF(ISNUMBER(Volcanic!G452),Volcanic!G452,"")</f>
        <v>7.6600000000000001E-3</v>
      </c>
    </row>
    <row r="453" spans="1:40">
      <c r="A453" s="18" t="str">
        <f>IF(Volcanic!A453="","",Volcanic!A453)</f>
        <v>10/1995</v>
      </c>
      <c r="B453" s="18">
        <f>IF(ISNUMBER(Volcanic!L453),Volcanic!L453,"")</f>
        <v>1995.7916666666667</v>
      </c>
      <c r="C453" s="18">
        <f>IF(ISNUMBER(Volcanic!J453),Volcanic!J453,"")</f>
        <v>0.10123056494632876</v>
      </c>
      <c r="D453" s="18">
        <f t="shared" si="206"/>
        <v>1.0247627279352885E-2</v>
      </c>
      <c r="E453" s="18">
        <f>IF(ISNUMBER(Volcanic!C453),Volcanic!C453,"")</f>
        <v>0.35509683245126811</v>
      </c>
      <c r="F453" s="18">
        <f>IF(ISNUMBER(Volcanic!D453),Volcanic!D453,"")</f>
        <v>-0.3</v>
      </c>
      <c r="G453" s="18">
        <f>IF(ISNUMBER(Volcanic!E453),Volcanic!E453,"")</f>
        <v>9.8200000000000006E-3</v>
      </c>
      <c r="H453" s="18">
        <f t="shared" si="207"/>
        <v>0.12609376041692397</v>
      </c>
      <c r="I453" s="18">
        <f t="shared" si="208"/>
        <v>0.09</v>
      </c>
      <c r="J453" s="18">
        <f t="shared" si="209"/>
        <v>9.6432400000000015E-5</v>
      </c>
      <c r="K453" s="18">
        <f t="shared" si="210"/>
        <v>-0.10652904973538042</v>
      </c>
      <c r="L453" s="18">
        <f t="shared" si="211"/>
        <v>3.487050894671453E-3</v>
      </c>
      <c r="M453" s="18">
        <f t="shared" si="212"/>
        <v>-2.9460000000000003E-3</v>
      </c>
      <c r="N453" s="18">
        <f t="shared" si="214"/>
        <v>2.2330776728454469E-3</v>
      </c>
      <c r="O453" s="18">
        <f t="shared" si="217"/>
        <v>2.575156321152741E-3</v>
      </c>
      <c r="P453" s="18">
        <f t="shared" ref="P453:P516" si="219">IF(ISNUMBER(D450),D450,"")</f>
        <v>4.096287674983472E-4</v>
      </c>
      <c r="Q453" s="18">
        <f t="shared" si="193"/>
        <v>2.5075495877677307E-3</v>
      </c>
      <c r="R453" s="18">
        <f t="shared" si="195"/>
        <v>5.3516093391535277E-2</v>
      </c>
      <c r="S453" s="18">
        <f t="shared" si="197"/>
        <v>2.272052034550861E-3</v>
      </c>
      <c r="T453" s="18">
        <f t="shared" si="199"/>
        <v>1.5254219337209258E-3</v>
      </c>
      <c r="U453" s="18">
        <f t="shared" si="201"/>
        <v>8.8088317345266759E-2</v>
      </c>
      <c r="V453" s="18">
        <f t="shared" si="202"/>
        <v>5.5153665077965893E-3</v>
      </c>
      <c r="W453" s="18">
        <f t="shared" si="203"/>
        <v>1.2451315349433828E-3</v>
      </c>
      <c r="X453" s="18">
        <f t="shared" si="204"/>
        <v>3.639216612376582E-3</v>
      </c>
      <c r="Y453" s="18">
        <f t="shared" si="205"/>
        <v>3.8889790401614166E-3</v>
      </c>
      <c r="AA453" s="18">
        <f t="shared" si="215"/>
        <v>0.12499071166258992</v>
      </c>
      <c r="AB453" s="18">
        <f t="shared" si="216"/>
        <v>1.5622678001920692E-2</v>
      </c>
      <c r="AC453" s="18">
        <f t="shared" si="218"/>
        <v>5.2955678986791148E-3</v>
      </c>
      <c r="AD453" s="18">
        <f t="shared" ref="AD453:AD516" si="220">IF(ISNUMBER(AB451),AB451,"")</f>
        <v>1.6458955995004004E-3</v>
      </c>
      <c r="AE453" s="18">
        <f t="shared" si="194"/>
        <v>2.0627339168239095E-3</v>
      </c>
      <c r="AF453" s="18">
        <f t="shared" si="196"/>
        <v>4.3878100120520866E-3</v>
      </c>
      <c r="AG453" s="18">
        <f t="shared" si="198"/>
        <v>4.3001844611999934E-2</v>
      </c>
      <c r="AH453" s="18">
        <f t="shared" si="200"/>
        <v>7.8558424062553337E-4</v>
      </c>
      <c r="AJ453" s="18">
        <f>IF(ISNUMBER(Kernel!M453),Kernel!M453,"")</f>
        <v>0.1260806907280686</v>
      </c>
      <c r="AK453" s="18">
        <f t="shared" si="213"/>
        <v>1.5896340574466882E-2</v>
      </c>
      <c r="AN453" s="18">
        <f>IF(ISNUMBER(Volcanic!G453),Volcanic!G453,"")</f>
        <v>7.3899999999999999E-3</v>
      </c>
    </row>
    <row r="454" spans="1:40">
      <c r="A454" s="18" t="str">
        <f>IF(Volcanic!A454="","",Volcanic!A454)</f>
        <v>11/1995</v>
      </c>
      <c r="B454" s="18">
        <f>IF(ISNUMBER(Volcanic!L454),Volcanic!L454,"")</f>
        <v>1995.875</v>
      </c>
      <c r="C454" s="18">
        <f>IF(ISNUMBER(Volcanic!J454),Volcanic!J454,"")</f>
        <v>9.7255480758275392E-2</v>
      </c>
      <c r="D454" s="18">
        <f t="shared" si="206"/>
        <v>9.4586285375232743E-3</v>
      </c>
      <c r="E454" s="18">
        <f>IF(ISNUMBER(Volcanic!C454),Volcanic!C454,"")</f>
        <v>0.36100631256369653</v>
      </c>
      <c r="F454" s="18">
        <f>IF(ISNUMBER(Volcanic!D454),Volcanic!D454,"")</f>
        <v>-0.55000000000000004</v>
      </c>
      <c r="G454" s="18">
        <f>IF(ISNUMBER(Volcanic!E454),Volcanic!E454,"")</f>
        <v>9.3399999999999993E-3</v>
      </c>
      <c r="H454" s="18">
        <f t="shared" si="207"/>
        <v>0.13032555771083734</v>
      </c>
      <c r="I454" s="18">
        <f t="shared" si="208"/>
        <v>0.30250000000000005</v>
      </c>
      <c r="J454" s="18">
        <f t="shared" si="209"/>
        <v>8.7235599999999989E-5</v>
      </c>
      <c r="K454" s="18">
        <f t="shared" si="210"/>
        <v>-0.19855347191003311</v>
      </c>
      <c r="L454" s="18">
        <f t="shared" si="211"/>
        <v>3.3717989593449252E-3</v>
      </c>
      <c r="M454" s="18">
        <f t="shared" si="212"/>
        <v>-5.1370000000000001E-3</v>
      </c>
      <c r="N454" s="18">
        <f t="shared" si="214"/>
        <v>1.0247627279352885E-2</v>
      </c>
      <c r="O454" s="18">
        <f t="shared" si="217"/>
        <v>2.2330776728454469E-3</v>
      </c>
      <c r="P454" s="18">
        <f t="shared" si="219"/>
        <v>2.575156321152741E-3</v>
      </c>
      <c r="Q454" s="18">
        <f t="shared" ref="Q454:Q517" si="221">IF(ISNUMBER(D450),D450,"")</f>
        <v>4.096287674983472E-4</v>
      </c>
      <c r="R454" s="18">
        <f t="shared" si="195"/>
        <v>2.5075495877677307E-3</v>
      </c>
      <c r="S454" s="18">
        <f t="shared" si="197"/>
        <v>5.3516093391535277E-2</v>
      </c>
      <c r="T454" s="18">
        <f t="shared" si="199"/>
        <v>2.272052034550861E-3</v>
      </c>
      <c r="U454" s="18">
        <f t="shared" si="201"/>
        <v>1.5254219337209258E-3</v>
      </c>
      <c r="V454" s="18">
        <f t="shared" si="202"/>
        <v>8.8088317345266759E-2</v>
      </c>
      <c r="W454" s="18">
        <f t="shared" si="203"/>
        <v>5.5153665077965893E-3</v>
      </c>
      <c r="X454" s="18">
        <f t="shared" si="204"/>
        <v>1.2451315349433828E-3</v>
      </c>
      <c r="Y454" s="18">
        <f t="shared" si="205"/>
        <v>3.639216612376582E-3</v>
      </c>
      <c r="AA454" s="18">
        <f t="shared" si="215"/>
        <v>4.6356525999221042E-2</v>
      </c>
      <c r="AB454" s="18">
        <f t="shared" si="216"/>
        <v>2.1489275027164563E-3</v>
      </c>
      <c r="AC454" s="18">
        <f t="shared" si="218"/>
        <v>1.5622678001920692E-2</v>
      </c>
      <c r="AD454" s="18">
        <f t="shared" si="220"/>
        <v>5.2955678986791148E-3</v>
      </c>
      <c r="AE454" s="18">
        <f t="shared" ref="AE454:AE517" si="222">IF(ISNUMBER(AB451),AB451,"")</f>
        <v>1.6458955995004004E-3</v>
      </c>
      <c r="AF454" s="18">
        <f t="shared" si="196"/>
        <v>2.0627339168239095E-3</v>
      </c>
      <c r="AG454" s="18">
        <f t="shared" si="198"/>
        <v>4.3878100120520866E-3</v>
      </c>
      <c r="AH454" s="18">
        <f t="shared" si="200"/>
        <v>4.3001844611999934E-2</v>
      </c>
      <c r="AJ454" s="18">
        <f>IF(ISNUMBER(Kernel!M454),Kernel!M454,"")</f>
        <v>0.11615251255612025</v>
      </c>
      <c r="AK454" s="18">
        <f t="shared" si="213"/>
        <v>1.3491406173099671E-2</v>
      </c>
      <c r="AN454" s="18">
        <f>IF(ISNUMBER(Volcanic!G454),Volcanic!G454,"")</f>
        <v>7.1799999999999998E-3</v>
      </c>
    </row>
    <row r="455" spans="1:40">
      <c r="A455" s="18" t="str">
        <f>IF(Volcanic!A455="","",Volcanic!A455)</f>
        <v>12/1995</v>
      </c>
      <c r="B455" s="18">
        <f>IF(ISNUMBER(Volcanic!L455),Volcanic!L455,"")</f>
        <v>1995.9583333333333</v>
      </c>
      <c r="C455" s="18">
        <f>IF(ISNUMBER(Volcanic!J455),Volcanic!J455,"")</f>
        <v>-8.3067578258332275E-2</v>
      </c>
      <c r="D455" s="18">
        <f t="shared" si="206"/>
        <v>6.9002225577041573E-3</v>
      </c>
      <c r="E455" s="18">
        <f>IF(ISNUMBER(Volcanic!C455),Volcanic!C455,"")</f>
        <v>0.36585248121553354</v>
      </c>
      <c r="F455" s="18">
        <f>IF(ISNUMBER(Volcanic!D455),Volcanic!D455,"")</f>
        <v>-0.81</v>
      </c>
      <c r="G455" s="18">
        <f>IF(ISNUMBER(Volcanic!E455),Volcanic!E455,"")</f>
        <v>8.7799999999999996E-3</v>
      </c>
      <c r="H455" s="18">
        <f t="shared" si="207"/>
        <v>0.13384803801156234</v>
      </c>
      <c r="I455" s="18">
        <f t="shared" si="208"/>
        <v>0.65610000000000013</v>
      </c>
      <c r="J455" s="18">
        <f t="shared" si="209"/>
        <v>7.7088399999999992E-5</v>
      </c>
      <c r="K455" s="18">
        <f t="shared" si="210"/>
        <v>-0.29634050978458221</v>
      </c>
      <c r="L455" s="18">
        <f t="shared" si="211"/>
        <v>3.2121847850723846E-3</v>
      </c>
      <c r="M455" s="18">
        <f t="shared" si="212"/>
        <v>-7.1117999999999997E-3</v>
      </c>
      <c r="N455" s="18">
        <f t="shared" si="214"/>
        <v>9.4586285375232743E-3</v>
      </c>
      <c r="O455" s="18">
        <f t="shared" si="217"/>
        <v>1.0247627279352885E-2</v>
      </c>
      <c r="P455" s="18">
        <f t="shared" si="219"/>
        <v>2.2330776728454469E-3</v>
      </c>
      <c r="Q455" s="18">
        <f t="shared" si="221"/>
        <v>2.575156321152741E-3</v>
      </c>
      <c r="R455" s="18">
        <f t="shared" ref="R455:R518" si="223">IF(ISNUMBER(D450),D450,"")</f>
        <v>4.096287674983472E-4</v>
      </c>
      <c r="S455" s="18">
        <f t="shared" si="197"/>
        <v>2.5075495877677307E-3</v>
      </c>
      <c r="T455" s="18">
        <f t="shared" si="199"/>
        <v>5.3516093391535277E-2</v>
      </c>
      <c r="U455" s="18">
        <f t="shared" si="201"/>
        <v>2.272052034550861E-3</v>
      </c>
      <c r="V455" s="18">
        <f t="shared" si="202"/>
        <v>1.5254219337209258E-3</v>
      </c>
      <c r="W455" s="18">
        <f t="shared" si="203"/>
        <v>8.8088317345266759E-2</v>
      </c>
      <c r="X455" s="18">
        <f t="shared" si="204"/>
        <v>5.5153665077965893E-3</v>
      </c>
      <c r="Y455" s="18">
        <f t="shared" si="205"/>
        <v>1.2451315349433828E-3</v>
      </c>
      <c r="AA455" s="18">
        <f t="shared" si="215"/>
        <v>-0.13196785178550341</v>
      </c>
      <c r="AB455" s="18">
        <f t="shared" si="216"/>
        <v>1.7415513904880595E-2</v>
      </c>
      <c r="AC455" s="18">
        <f t="shared" si="218"/>
        <v>2.1489275027164563E-3</v>
      </c>
      <c r="AD455" s="18">
        <f t="shared" si="220"/>
        <v>1.5622678001920692E-2</v>
      </c>
      <c r="AE455" s="18">
        <f t="shared" si="222"/>
        <v>5.2955678986791148E-3</v>
      </c>
      <c r="AF455" s="18">
        <f t="shared" ref="AF455:AF518" si="224">IF(ISNUMBER(AB451),AB451,"")</f>
        <v>1.6458955995004004E-3</v>
      </c>
      <c r="AG455" s="18">
        <f t="shared" si="198"/>
        <v>2.0627339168239095E-3</v>
      </c>
      <c r="AH455" s="18">
        <f t="shared" si="200"/>
        <v>4.3878100120520866E-3</v>
      </c>
      <c r="AJ455" s="18">
        <f>IF(ISNUMBER(Kernel!M455),Kernel!M455,"")</f>
        <v>-7.4553638440975067E-2</v>
      </c>
      <c r="AK455" s="18">
        <f t="shared" si="213"/>
        <v>5.5582450047876354E-3</v>
      </c>
      <c r="AN455" s="18">
        <f>IF(ISNUMBER(Volcanic!G455),Volcanic!G455,"")</f>
        <v>6.8399999999999997E-3</v>
      </c>
    </row>
    <row r="456" spans="1:40">
      <c r="A456" s="18" t="str">
        <f>IF(Volcanic!A456="","",Volcanic!A456)</f>
        <v>1/1996</v>
      </c>
      <c r="B456" s="18">
        <f>IF(ISNUMBER(Volcanic!L456),Volcanic!L456,"")</f>
        <v>1996.0416666666667</v>
      </c>
      <c r="C456" s="18">
        <f>IF(ISNUMBER(Volcanic!J456),Volcanic!J456,"")</f>
        <v>-0.1040330857620726</v>
      </c>
      <c r="D456" s="18">
        <f t="shared" si="206"/>
        <v>1.0822882933178752E-2</v>
      </c>
      <c r="E456" s="18">
        <f>IF(ISNUMBER(Volcanic!C456),Volcanic!C456,"")</f>
        <v>0.37135971911783916</v>
      </c>
      <c r="F456" s="18">
        <f>IF(ISNUMBER(Volcanic!D456),Volcanic!D456,"")</f>
        <v>-0.97</v>
      </c>
      <c r="G456" s="18">
        <f>IF(ISNUMBER(Volcanic!E456),Volcanic!E456,"")</f>
        <v>8.4200000000000004E-3</v>
      </c>
      <c r="H456" s="18">
        <f t="shared" si="207"/>
        <v>0.13790804098328038</v>
      </c>
      <c r="I456" s="18">
        <f t="shared" si="208"/>
        <v>0.94089999999999996</v>
      </c>
      <c r="J456" s="18">
        <f t="shared" si="209"/>
        <v>7.0896400000000008E-5</v>
      </c>
      <c r="K456" s="18">
        <f t="shared" si="210"/>
        <v>-0.36021892754430396</v>
      </c>
      <c r="L456" s="18">
        <f t="shared" si="211"/>
        <v>3.1268488349722057E-3</v>
      </c>
      <c r="M456" s="18">
        <f t="shared" si="212"/>
        <v>-8.1674E-3</v>
      </c>
      <c r="N456" s="18">
        <f t="shared" si="214"/>
        <v>6.9002225577041573E-3</v>
      </c>
      <c r="O456" s="18">
        <f t="shared" si="217"/>
        <v>9.4586285375232743E-3</v>
      </c>
      <c r="P456" s="18">
        <f t="shared" si="219"/>
        <v>1.0247627279352885E-2</v>
      </c>
      <c r="Q456" s="18">
        <f t="shared" si="221"/>
        <v>2.2330776728454469E-3</v>
      </c>
      <c r="R456" s="18">
        <f t="shared" si="223"/>
        <v>2.575156321152741E-3</v>
      </c>
      <c r="S456" s="18">
        <f t="shared" ref="S456:S519" si="225">IF(ISNUMBER(D450),D450,"")</f>
        <v>4.096287674983472E-4</v>
      </c>
      <c r="T456" s="18">
        <f t="shared" si="199"/>
        <v>2.5075495877677307E-3</v>
      </c>
      <c r="U456" s="18">
        <f t="shared" si="201"/>
        <v>5.3516093391535277E-2</v>
      </c>
      <c r="V456" s="18">
        <f t="shared" si="202"/>
        <v>2.272052034550861E-3</v>
      </c>
      <c r="W456" s="18">
        <f t="shared" si="203"/>
        <v>1.5254219337209258E-3</v>
      </c>
      <c r="X456" s="18">
        <f t="shared" si="204"/>
        <v>8.8088317345266759E-2</v>
      </c>
      <c r="Y456" s="18">
        <f t="shared" si="205"/>
        <v>5.5153665077965893E-3</v>
      </c>
      <c r="AA456" s="18">
        <f t="shared" si="215"/>
        <v>-6.2266521385426821E-2</v>
      </c>
      <c r="AB456" s="18">
        <f t="shared" si="216"/>
        <v>3.8771196854418158E-3</v>
      </c>
      <c r="AC456" s="18">
        <f t="shared" si="218"/>
        <v>1.7415513904880595E-2</v>
      </c>
      <c r="AD456" s="18">
        <f t="shared" si="220"/>
        <v>2.1489275027164563E-3</v>
      </c>
      <c r="AE456" s="18">
        <f t="shared" si="222"/>
        <v>1.5622678001920692E-2</v>
      </c>
      <c r="AF456" s="18">
        <f t="shared" si="224"/>
        <v>5.2955678986791148E-3</v>
      </c>
      <c r="AG456" s="18">
        <f t="shared" ref="AG456:AG519" si="226">IF(ISNUMBER(AB451),AB451,"")</f>
        <v>1.6458955995004004E-3</v>
      </c>
      <c r="AH456" s="18">
        <f t="shared" si="200"/>
        <v>2.0627339168239095E-3</v>
      </c>
      <c r="AJ456" s="18">
        <f>IF(ISNUMBER(Kernel!M456),Kernel!M456,"")</f>
        <v>-0.10209168555447434</v>
      </c>
      <c r="AK456" s="18">
        <f t="shared" si="213"/>
        <v>1.0422712259353666E-2</v>
      </c>
      <c r="AN456" s="18">
        <f>IF(ISNUMBER(Volcanic!G456),Volcanic!G456,"")</f>
        <v>6.45E-3</v>
      </c>
    </row>
    <row r="457" spans="1:40">
      <c r="A457" s="18" t="str">
        <f>IF(Volcanic!A457="","",Volcanic!A457)</f>
        <v>2/1996</v>
      </c>
      <c r="B457" s="18">
        <f>IF(ISNUMBER(Volcanic!L457),Volcanic!L457,"")</f>
        <v>1996.125</v>
      </c>
      <c r="C457" s="18">
        <f>IF(ISNUMBER(Volcanic!J457),Volcanic!J457,"")</f>
        <v>0.11067670183662481</v>
      </c>
      <c r="D457" s="18">
        <f t="shared" si="206"/>
        <v>1.2249332329433151E-2</v>
      </c>
      <c r="E457" s="18">
        <f>IF(ISNUMBER(Volcanic!C457),Volcanic!C457,"")</f>
        <v>0.37597278398719675</v>
      </c>
      <c r="F457" s="18">
        <f>IF(ISNUMBER(Volcanic!D457),Volcanic!D457,"")</f>
        <v>-1.05</v>
      </c>
      <c r="G457" s="18">
        <f>IF(ISNUMBER(Volcanic!E457),Volcanic!E457,"")</f>
        <v>8.3599999999999994E-3</v>
      </c>
      <c r="H457" s="18">
        <f t="shared" si="207"/>
        <v>0.14135553429908332</v>
      </c>
      <c r="I457" s="18">
        <f t="shared" si="208"/>
        <v>1.1025</v>
      </c>
      <c r="J457" s="18">
        <f t="shared" si="209"/>
        <v>6.9889599999999996E-5</v>
      </c>
      <c r="K457" s="18">
        <f t="shared" si="210"/>
        <v>-0.39477142318655661</v>
      </c>
      <c r="L457" s="18">
        <f t="shared" si="211"/>
        <v>3.1431324741329645E-3</v>
      </c>
      <c r="M457" s="18">
        <f t="shared" si="212"/>
        <v>-8.7779999999999993E-3</v>
      </c>
      <c r="N457" s="18">
        <f t="shared" si="214"/>
        <v>1.0822882933178752E-2</v>
      </c>
      <c r="O457" s="18">
        <f t="shared" si="217"/>
        <v>6.9002225577041573E-3</v>
      </c>
      <c r="P457" s="18">
        <f t="shared" si="219"/>
        <v>9.4586285375232743E-3</v>
      </c>
      <c r="Q457" s="18">
        <f t="shared" si="221"/>
        <v>1.0247627279352885E-2</v>
      </c>
      <c r="R457" s="18">
        <f t="shared" si="223"/>
        <v>2.2330776728454469E-3</v>
      </c>
      <c r="S457" s="18">
        <f t="shared" si="225"/>
        <v>2.575156321152741E-3</v>
      </c>
      <c r="T457" s="18">
        <f t="shared" ref="T457:T520" si="227">IF(ISNUMBER(D450),D450,"")</f>
        <v>4.096287674983472E-4</v>
      </c>
      <c r="U457" s="18">
        <f t="shared" si="201"/>
        <v>2.5075495877677307E-3</v>
      </c>
      <c r="V457" s="18">
        <f t="shared" si="202"/>
        <v>5.3516093391535277E-2</v>
      </c>
      <c r="W457" s="18">
        <f t="shared" si="203"/>
        <v>2.272052034550861E-3</v>
      </c>
      <c r="X457" s="18">
        <f t="shared" si="204"/>
        <v>1.5254219337209258E-3</v>
      </c>
      <c r="Y457" s="18">
        <f t="shared" si="205"/>
        <v>8.8088317345266759E-2</v>
      </c>
      <c r="AA457" s="18">
        <f t="shared" si="215"/>
        <v>0.16298477033803044</v>
      </c>
      <c r="AB457" s="18">
        <f t="shared" si="216"/>
        <v>2.6564035362140526E-2</v>
      </c>
      <c r="AC457" s="18">
        <f t="shared" si="218"/>
        <v>3.8771196854418158E-3</v>
      </c>
      <c r="AD457" s="18">
        <f t="shared" si="220"/>
        <v>1.7415513904880595E-2</v>
      </c>
      <c r="AE457" s="18">
        <f t="shared" si="222"/>
        <v>2.1489275027164563E-3</v>
      </c>
      <c r="AF457" s="18">
        <f t="shared" si="224"/>
        <v>1.5622678001920692E-2</v>
      </c>
      <c r="AG457" s="18">
        <f t="shared" si="226"/>
        <v>5.2955678986791148E-3</v>
      </c>
      <c r="AH457" s="18">
        <f t="shared" ref="AH457:AH520" si="228">IF(ISNUMBER(AB451),AB451,"")</f>
        <v>1.6458955995004004E-3</v>
      </c>
      <c r="AJ457" s="18">
        <f>IF(ISNUMBER(Kernel!M457),Kernel!M457,"")</f>
        <v>0.10744486798241693</v>
      </c>
      <c r="AK457" s="18">
        <f t="shared" si="213"/>
        <v>1.1544399655759001E-2</v>
      </c>
      <c r="AN457" s="18">
        <f>IF(ISNUMBER(Volcanic!G457),Volcanic!G457,"")</f>
        <v>6.0600000000000003E-3</v>
      </c>
    </row>
    <row r="458" spans="1:40">
      <c r="A458" s="18" t="str">
        <f>IF(Volcanic!A458="","",Volcanic!A458)</f>
        <v>3/1996</v>
      </c>
      <c r="B458" s="18">
        <f>IF(ISNUMBER(Volcanic!L458),Volcanic!L458,"")</f>
        <v>1996.2083333333333</v>
      </c>
      <c r="C458" s="18">
        <f>IF(ISNUMBER(Volcanic!J458),Volcanic!J458,"")</f>
        <v>-3.3821367919764256E-2</v>
      </c>
      <c r="D458" s="18">
        <f t="shared" si="206"/>
        <v>1.1438849279640589E-3</v>
      </c>
      <c r="E458" s="18">
        <f>IF(ISNUMBER(Volcanic!C458),Volcanic!C458,"")</f>
        <v>0.37962096205570828</v>
      </c>
      <c r="F458" s="18">
        <f>IF(ISNUMBER(Volcanic!D458),Volcanic!D458,"")</f>
        <v>-1.01</v>
      </c>
      <c r="G458" s="18">
        <f>IF(ISNUMBER(Volcanic!E458),Volcanic!E458,"")</f>
        <v>7.9799999999999992E-3</v>
      </c>
      <c r="H458" s="18">
        <f t="shared" si="207"/>
        <v>0.14411207483210151</v>
      </c>
      <c r="I458" s="18">
        <f t="shared" si="208"/>
        <v>1.0201</v>
      </c>
      <c r="J458" s="18">
        <f t="shared" si="209"/>
        <v>6.3680399999999987E-5</v>
      </c>
      <c r="K458" s="18">
        <f t="shared" si="210"/>
        <v>-0.38341717167626538</v>
      </c>
      <c r="L458" s="18">
        <f t="shared" si="211"/>
        <v>3.0293752772045518E-3</v>
      </c>
      <c r="M458" s="18">
        <f t="shared" si="212"/>
        <v>-8.0597999999999989E-3</v>
      </c>
      <c r="N458" s="18">
        <f t="shared" si="214"/>
        <v>1.2249332329433151E-2</v>
      </c>
      <c r="O458" s="18">
        <f t="shared" si="217"/>
        <v>1.0822882933178752E-2</v>
      </c>
      <c r="P458" s="18">
        <f t="shared" si="219"/>
        <v>6.9002225577041573E-3</v>
      </c>
      <c r="Q458" s="18">
        <f t="shared" si="221"/>
        <v>9.4586285375232743E-3</v>
      </c>
      <c r="R458" s="18">
        <f t="shared" si="223"/>
        <v>1.0247627279352885E-2</v>
      </c>
      <c r="S458" s="18">
        <f t="shared" si="225"/>
        <v>2.2330776728454469E-3</v>
      </c>
      <c r="T458" s="18">
        <f t="shared" si="227"/>
        <v>2.575156321152741E-3</v>
      </c>
      <c r="U458" s="18">
        <f t="shared" ref="U458:U521" si="229">IF(ISNUMBER(D450),D450,"")</f>
        <v>4.096287674983472E-4</v>
      </c>
      <c r="V458" s="18">
        <f t="shared" si="202"/>
        <v>2.5075495877677307E-3</v>
      </c>
      <c r="W458" s="18">
        <f t="shared" si="203"/>
        <v>5.3516093391535277E-2</v>
      </c>
      <c r="X458" s="18">
        <f t="shared" si="204"/>
        <v>2.272052034550861E-3</v>
      </c>
      <c r="Y458" s="18">
        <f t="shared" si="205"/>
        <v>1.5254219337209258E-3</v>
      </c>
      <c r="AA458" s="18">
        <f t="shared" si="215"/>
        <v>-8.9469861461714137E-2</v>
      </c>
      <c r="AB458" s="18">
        <f t="shared" si="216"/>
        <v>8.004856109978321E-3</v>
      </c>
      <c r="AC458" s="18">
        <f t="shared" si="218"/>
        <v>2.6564035362140526E-2</v>
      </c>
      <c r="AD458" s="18">
        <f t="shared" si="220"/>
        <v>3.8771196854418158E-3</v>
      </c>
      <c r="AE458" s="18">
        <f t="shared" si="222"/>
        <v>1.7415513904880595E-2</v>
      </c>
      <c r="AF458" s="18">
        <f t="shared" si="224"/>
        <v>2.1489275027164563E-3</v>
      </c>
      <c r="AG458" s="18">
        <f t="shared" si="226"/>
        <v>1.5622678001920692E-2</v>
      </c>
      <c r="AH458" s="18">
        <f t="shared" si="228"/>
        <v>5.2955678986791148E-3</v>
      </c>
      <c r="AJ458" s="18">
        <f>IF(ISNUMBER(Kernel!M458),Kernel!M458,"")</f>
        <v>-3.4901823472392624E-2</v>
      </c>
      <c r="AK458" s="18">
        <f t="shared" si="213"/>
        <v>1.2181372816980566E-3</v>
      </c>
      <c r="AN458" s="18">
        <f>IF(ISNUMBER(Volcanic!G458),Volcanic!G458,"")</f>
        <v>5.7499999999999999E-3</v>
      </c>
    </row>
    <row r="459" spans="1:40">
      <c r="A459" s="18" t="str">
        <f>IF(Volcanic!A459="","",Volcanic!A459)</f>
        <v>4/1996</v>
      </c>
      <c r="B459" s="18">
        <f>IF(ISNUMBER(Volcanic!L459),Volcanic!L459,"")</f>
        <v>1996.2916666666667</v>
      </c>
      <c r="C459" s="18">
        <f>IF(ISNUMBER(Volcanic!J459),Volcanic!J459,"")</f>
        <v>-5.1015039843755994E-2</v>
      </c>
      <c r="D459" s="18">
        <f t="shared" si="206"/>
        <v>2.6025342902600114E-3</v>
      </c>
      <c r="E459" s="18">
        <f>IF(ISNUMBER(Volcanic!C459),Volcanic!C459,"")</f>
        <v>0.3812438135561429</v>
      </c>
      <c r="F459" s="18">
        <f>IF(ISNUMBER(Volcanic!D459),Volcanic!D459,"")</f>
        <v>-0.88</v>
      </c>
      <c r="G459" s="18">
        <f>IF(ISNUMBER(Volcanic!E459),Volcanic!E459,"")</f>
        <v>7.6600000000000001E-3</v>
      </c>
      <c r="H459" s="18">
        <f t="shared" si="207"/>
        <v>0.14534684537483106</v>
      </c>
      <c r="I459" s="18">
        <f t="shared" si="208"/>
        <v>0.77439999999999998</v>
      </c>
      <c r="J459" s="18">
        <f t="shared" si="209"/>
        <v>5.8675600000000005E-5</v>
      </c>
      <c r="K459" s="18">
        <f t="shared" si="210"/>
        <v>-0.33549455592940575</v>
      </c>
      <c r="L459" s="18">
        <f t="shared" si="211"/>
        <v>2.9203276118400547E-3</v>
      </c>
      <c r="M459" s="18">
        <f t="shared" si="212"/>
        <v>-6.7407999999999999E-3</v>
      </c>
      <c r="N459" s="18">
        <f t="shared" si="214"/>
        <v>1.1438849279640589E-3</v>
      </c>
      <c r="O459" s="18">
        <f t="shared" si="217"/>
        <v>1.2249332329433151E-2</v>
      </c>
      <c r="P459" s="18">
        <f t="shared" si="219"/>
        <v>1.0822882933178752E-2</v>
      </c>
      <c r="Q459" s="18">
        <f t="shared" si="221"/>
        <v>6.9002225577041573E-3</v>
      </c>
      <c r="R459" s="18">
        <f t="shared" si="223"/>
        <v>9.4586285375232743E-3</v>
      </c>
      <c r="S459" s="18">
        <f t="shared" si="225"/>
        <v>1.0247627279352885E-2</v>
      </c>
      <c r="T459" s="18">
        <f t="shared" si="227"/>
        <v>2.2330776728454469E-3</v>
      </c>
      <c r="U459" s="18">
        <f t="shared" si="229"/>
        <v>2.575156321152741E-3</v>
      </c>
      <c r="V459" s="18">
        <f t="shared" ref="V459:V522" si="230">IF(ISNUMBER(D450),D450,"")</f>
        <v>4.096287674983472E-4</v>
      </c>
      <c r="W459" s="18">
        <f t="shared" si="203"/>
        <v>2.5075495877677307E-3</v>
      </c>
      <c r="X459" s="18">
        <f t="shared" si="204"/>
        <v>5.3516093391535277E-2</v>
      </c>
      <c r="Y459" s="18">
        <f t="shared" si="205"/>
        <v>2.272052034550861E-3</v>
      </c>
      <c r="AA459" s="18">
        <f t="shared" si="215"/>
        <v>-3.4009580311349777E-2</v>
      </c>
      <c r="AB459" s="18">
        <f t="shared" si="216"/>
        <v>1.1566515529541504E-3</v>
      </c>
      <c r="AC459" s="18">
        <f t="shared" si="218"/>
        <v>8.004856109978321E-3</v>
      </c>
      <c r="AD459" s="18">
        <f t="shared" si="220"/>
        <v>2.6564035362140526E-2</v>
      </c>
      <c r="AE459" s="18">
        <f t="shared" si="222"/>
        <v>3.8771196854418158E-3</v>
      </c>
      <c r="AF459" s="18">
        <f t="shared" si="224"/>
        <v>1.7415513904880595E-2</v>
      </c>
      <c r="AG459" s="18">
        <f t="shared" si="226"/>
        <v>2.1489275027164563E-3</v>
      </c>
      <c r="AH459" s="18">
        <f t="shared" si="228"/>
        <v>1.5622678001920692E-2</v>
      </c>
      <c r="AJ459" s="18">
        <f>IF(ISNUMBER(Kernel!M459),Kernel!M459,"")</f>
        <v>-4.5096110173394266E-2</v>
      </c>
      <c r="AK459" s="18">
        <f t="shared" si="213"/>
        <v>2.0336591527709137E-3</v>
      </c>
      <c r="AN459" s="18">
        <f>IF(ISNUMBER(Volcanic!G459),Volcanic!G459,"")</f>
        <v>5.5700000000000003E-3</v>
      </c>
    </row>
    <row r="460" spans="1:40">
      <c r="A460" s="18" t="str">
        <f>IF(Volcanic!A460="","",Volcanic!A460)</f>
        <v>5/1996</v>
      </c>
      <c r="B460" s="18">
        <f>IF(ISNUMBER(Volcanic!L460),Volcanic!L460,"")</f>
        <v>1996.375</v>
      </c>
      <c r="C460" s="18">
        <f>IF(ISNUMBER(Volcanic!J460),Volcanic!J460,"")</f>
        <v>-0.13434975578142888</v>
      </c>
      <c r="D460" s="18">
        <f t="shared" si="206"/>
        <v>1.8049856878529582E-2</v>
      </c>
      <c r="E460" s="18">
        <f>IF(ISNUMBER(Volcanic!C460),Volcanic!C460,"")</f>
        <v>0.38345744585853175</v>
      </c>
      <c r="F460" s="18">
        <f>IF(ISNUMBER(Volcanic!D460),Volcanic!D460,"")</f>
        <v>-0.7</v>
      </c>
      <c r="G460" s="18">
        <f>IF(ISNUMBER(Volcanic!E460),Volcanic!E460,"")</f>
        <v>7.3899999999999999E-3</v>
      </c>
      <c r="H460" s="18">
        <f t="shared" si="207"/>
        <v>0.14703961278434882</v>
      </c>
      <c r="I460" s="18">
        <f t="shared" si="208"/>
        <v>0.48999999999999994</v>
      </c>
      <c r="J460" s="18">
        <f t="shared" si="209"/>
        <v>5.4612099999999998E-5</v>
      </c>
      <c r="K460" s="18">
        <f t="shared" si="210"/>
        <v>-0.26842021210097222</v>
      </c>
      <c r="L460" s="18">
        <f t="shared" si="211"/>
        <v>2.8337505248945496E-3</v>
      </c>
      <c r="M460" s="18">
        <f t="shared" si="212"/>
        <v>-5.1729999999999996E-3</v>
      </c>
      <c r="N460" s="18">
        <f t="shared" si="214"/>
        <v>2.6025342902600114E-3</v>
      </c>
      <c r="O460" s="18">
        <f t="shared" si="217"/>
        <v>1.1438849279640589E-3</v>
      </c>
      <c r="P460" s="18">
        <f t="shared" si="219"/>
        <v>1.2249332329433151E-2</v>
      </c>
      <c r="Q460" s="18">
        <f t="shared" si="221"/>
        <v>1.0822882933178752E-2</v>
      </c>
      <c r="R460" s="18">
        <f t="shared" si="223"/>
        <v>6.9002225577041573E-3</v>
      </c>
      <c r="S460" s="18">
        <f t="shared" si="225"/>
        <v>9.4586285375232743E-3</v>
      </c>
      <c r="T460" s="18">
        <f t="shared" si="227"/>
        <v>1.0247627279352885E-2</v>
      </c>
      <c r="U460" s="18">
        <f t="shared" si="229"/>
        <v>2.2330776728454469E-3</v>
      </c>
      <c r="V460" s="18">
        <f t="shared" si="230"/>
        <v>2.575156321152741E-3</v>
      </c>
      <c r="W460" s="18">
        <f t="shared" ref="W460:W523" si="231">IF(ISNUMBER(D450),D450,"")</f>
        <v>4.096287674983472E-4</v>
      </c>
      <c r="X460" s="18">
        <f t="shared" si="204"/>
        <v>2.5075495877677307E-3</v>
      </c>
      <c r="Y460" s="18">
        <f t="shared" si="205"/>
        <v>5.3516093391535277E-2</v>
      </c>
      <c r="AA460" s="18">
        <f t="shared" si="215"/>
        <v>-0.10869927950071875</v>
      </c>
      <c r="AB460" s="18">
        <f t="shared" si="216"/>
        <v>1.1815533363975375E-2</v>
      </c>
      <c r="AC460" s="18">
        <f t="shared" si="218"/>
        <v>1.1566515529541504E-3</v>
      </c>
      <c r="AD460" s="18">
        <f t="shared" si="220"/>
        <v>8.004856109978321E-3</v>
      </c>
      <c r="AE460" s="18">
        <f t="shared" si="222"/>
        <v>2.6564035362140526E-2</v>
      </c>
      <c r="AF460" s="18">
        <f t="shared" si="224"/>
        <v>3.8771196854418158E-3</v>
      </c>
      <c r="AG460" s="18">
        <f t="shared" si="226"/>
        <v>1.7415513904880595E-2</v>
      </c>
      <c r="AH460" s="18">
        <f t="shared" si="228"/>
        <v>2.1489275027164563E-3</v>
      </c>
      <c r="AJ460" s="18">
        <f>IF(ISNUMBER(Kernel!M460),Kernel!M460,"")</f>
        <v>-0.11858549299202364</v>
      </c>
      <c r="AK460" s="18">
        <f t="shared" si="213"/>
        <v>1.406251914816129E-2</v>
      </c>
      <c r="AN460" s="18">
        <f>IF(ISNUMBER(Volcanic!G460),Volcanic!G460,"")</f>
        <v>5.47E-3</v>
      </c>
    </row>
    <row r="461" spans="1:40">
      <c r="A461" s="18" t="str">
        <f>IF(Volcanic!A461="","",Volcanic!A461)</f>
        <v>6/1996</v>
      </c>
      <c r="B461" s="18">
        <f>IF(ISNUMBER(Volcanic!L461),Volcanic!L461,"")</f>
        <v>1996.4583333333333</v>
      </c>
      <c r="C461" s="18">
        <f>IF(ISNUMBER(Volcanic!J461),Volcanic!J461,"")</f>
        <v>-0.15946752710347911</v>
      </c>
      <c r="D461" s="18">
        <f t="shared" si="206"/>
        <v>2.5429892200498846E-2</v>
      </c>
      <c r="E461" s="18">
        <f>IF(ISNUMBER(Volcanic!C461),Volcanic!C461,"")</f>
        <v>0.38270677268151582</v>
      </c>
      <c r="F461" s="18">
        <f>IF(ISNUMBER(Volcanic!D461),Volcanic!D461,"")</f>
        <v>-0.52</v>
      </c>
      <c r="G461" s="18">
        <f>IF(ISNUMBER(Volcanic!E461),Volcanic!E461,"")</f>
        <v>7.1799999999999998E-3</v>
      </c>
      <c r="H461" s="18">
        <f t="shared" si="207"/>
        <v>0.14646447385630143</v>
      </c>
      <c r="I461" s="18">
        <f t="shared" si="208"/>
        <v>0.27040000000000003</v>
      </c>
      <c r="J461" s="18">
        <f t="shared" si="209"/>
        <v>5.1552399999999998E-5</v>
      </c>
      <c r="K461" s="18">
        <f t="shared" si="210"/>
        <v>-0.19900752179438824</v>
      </c>
      <c r="L461" s="18">
        <f t="shared" si="211"/>
        <v>2.7478346278532835E-3</v>
      </c>
      <c r="M461" s="18">
        <f t="shared" si="212"/>
        <v>-3.7336000000000001E-3</v>
      </c>
      <c r="N461" s="18">
        <f t="shared" si="214"/>
        <v>1.8049856878529582E-2</v>
      </c>
      <c r="O461" s="18">
        <f t="shared" si="217"/>
        <v>2.6025342902600114E-3</v>
      </c>
      <c r="P461" s="18">
        <f t="shared" si="219"/>
        <v>1.1438849279640589E-3</v>
      </c>
      <c r="Q461" s="18">
        <f t="shared" si="221"/>
        <v>1.2249332329433151E-2</v>
      </c>
      <c r="R461" s="18">
        <f t="shared" si="223"/>
        <v>1.0822882933178752E-2</v>
      </c>
      <c r="S461" s="18">
        <f t="shared" si="225"/>
        <v>6.9002225577041573E-3</v>
      </c>
      <c r="T461" s="18">
        <f t="shared" si="227"/>
        <v>9.4586285375232743E-3</v>
      </c>
      <c r="U461" s="18">
        <f t="shared" si="229"/>
        <v>1.0247627279352885E-2</v>
      </c>
      <c r="V461" s="18">
        <f t="shared" si="230"/>
        <v>2.2330776728454469E-3</v>
      </c>
      <c r="W461" s="18">
        <f t="shared" si="231"/>
        <v>2.575156321152741E-3</v>
      </c>
      <c r="X461" s="18">
        <f t="shared" ref="X461:X524" si="232">IF(ISNUMBER(D450),D450,"")</f>
        <v>4.096287674983472E-4</v>
      </c>
      <c r="Y461" s="18">
        <f t="shared" si="205"/>
        <v>2.5075495877677307E-3</v>
      </c>
      <c r="AA461" s="18">
        <f t="shared" si="215"/>
        <v>-9.1916169022700694E-2</v>
      </c>
      <c r="AB461" s="18">
        <f t="shared" si="216"/>
        <v>8.4485821278096826E-3</v>
      </c>
      <c r="AC461" s="18">
        <f t="shared" si="218"/>
        <v>1.1815533363975375E-2</v>
      </c>
      <c r="AD461" s="18">
        <f t="shared" si="220"/>
        <v>1.1566515529541504E-3</v>
      </c>
      <c r="AE461" s="18">
        <f t="shared" si="222"/>
        <v>8.004856109978321E-3</v>
      </c>
      <c r="AF461" s="18">
        <f t="shared" si="224"/>
        <v>2.6564035362140526E-2</v>
      </c>
      <c r="AG461" s="18">
        <f t="shared" si="226"/>
        <v>3.8771196854418158E-3</v>
      </c>
      <c r="AH461" s="18">
        <f t="shared" si="228"/>
        <v>1.7415513904880595E-2</v>
      </c>
      <c r="AJ461" s="18">
        <f>IF(ISNUMBER(Kernel!M461),Kernel!M461,"")</f>
        <v>-0.13320313040023013</v>
      </c>
      <c r="AK461" s="18">
        <f t="shared" si="213"/>
        <v>1.7743073948420712E-2</v>
      </c>
      <c r="AN461" s="18">
        <f>IF(ISNUMBER(Volcanic!G461),Volcanic!G461,"")</f>
        <v>5.79E-3</v>
      </c>
    </row>
    <row r="462" spans="1:40">
      <c r="A462" s="18" t="str">
        <f>IF(Volcanic!A462="","",Volcanic!A462)</f>
        <v>7/1996</v>
      </c>
      <c r="B462" s="18">
        <f>IF(ISNUMBER(Volcanic!L462),Volcanic!L462,"")</f>
        <v>1996.5416666666667</v>
      </c>
      <c r="C462" s="18">
        <f>IF(ISNUMBER(Volcanic!J462),Volcanic!J462,"")</f>
        <v>-5.0268359217663039E-2</v>
      </c>
      <c r="D462" s="18">
        <f t="shared" si="206"/>
        <v>2.5269079384360087E-3</v>
      </c>
      <c r="E462" s="18">
        <f>IF(ISNUMBER(Volcanic!C462),Volcanic!C462,"")</f>
        <v>0.37728243090608043</v>
      </c>
      <c r="F462" s="18">
        <f>IF(ISNUMBER(Volcanic!D462),Volcanic!D462,"")</f>
        <v>-0.36</v>
      </c>
      <c r="G462" s="18">
        <f>IF(ISNUMBER(Volcanic!E462),Volcanic!E462,"")</f>
        <v>6.8399999999999997E-3</v>
      </c>
      <c r="H462" s="18">
        <f t="shared" si="207"/>
        <v>0.14234203267040135</v>
      </c>
      <c r="I462" s="18">
        <f t="shared" si="208"/>
        <v>0.12959999999999999</v>
      </c>
      <c r="J462" s="18">
        <f t="shared" si="209"/>
        <v>4.6785599999999995E-5</v>
      </c>
      <c r="K462" s="18">
        <f t="shared" si="210"/>
        <v>-0.13582167512618895</v>
      </c>
      <c r="L462" s="18">
        <f t="shared" si="211"/>
        <v>2.5806118273975901E-3</v>
      </c>
      <c r="M462" s="18">
        <f t="shared" si="212"/>
        <v>-2.4624E-3</v>
      </c>
      <c r="N462" s="18">
        <f t="shared" si="214"/>
        <v>2.5429892200498846E-2</v>
      </c>
      <c r="O462" s="18">
        <f t="shared" si="217"/>
        <v>1.8049856878529582E-2</v>
      </c>
      <c r="P462" s="18">
        <f t="shared" si="219"/>
        <v>2.6025342902600114E-3</v>
      </c>
      <c r="Q462" s="18">
        <f t="shared" si="221"/>
        <v>1.1438849279640589E-3</v>
      </c>
      <c r="R462" s="18">
        <f t="shared" si="223"/>
        <v>1.2249332329433151E-2</v>
      </c>
      <c r="S462" s="18">
        <f t="shared" si="225"/>
        <v>1.0822882933178752E-2</v>
      </c>
      <c r="T462" s="18">
        <f t="shared" si="227"/>
        <v>6.9002225577041573E-3</v>
      </c>
      <c r="U462" s="18">
        <f t="shared" si="229"/>
        <v>9.4586285375232743E-3</v>
      </c>
      <c r="V462" s="18">
        <f t="shared" si="230"/>
        <v>1.0247627279352885E-2</v>
      </c>
      <c r="W462" s="18">
        <f t="shared" si="231"/>
        <v>2.2330776728454469E-3</v>
      </c>
      <c r="X462" s="18">
        <f t="shared" si="232"/>
        <v>2.575156321152741E-3</v>
      </c>
      <c r="Y462" s="18">
        <f t="shared" ref="Y462:Y525" si="233">IF(ISNUMBER(D450),D450,"")</f>
        <v>4.096287674983472E-4</v>
      </c>
      <c r="AA462" s="18">
        <f t="shared" si="215"/>
        <v>2.9912270534642016E-2</v>
      </c>
      <c r="AB462" s="18">
        <f t="shared" si="216"/>
        <v>8.9474392853761294E-4</v>
      </c>
      <c r="AC462" s="18">
        <f t="shared" si="218"/>
        <v>8.4485821278096826E-3</v>
      </c>
      <c r="AD462" s="18">
        <f t="shared" si="220"/>
        <v>1.1815533363975375E-2</v>
      </c>
      <c r="AE462" s="18">
        <f t="shared" si="222"/>
        <v>1.1566515529541504E-3</v>
      </c>
      <c r="AF462" s="18">
        <f t="shared" si="224"/>
        <v>8.004856109978321E-3</v>
      </c>
      <c r="AG462" s="18">
        <f t="shared" si="226"/>
        <v>2.6564035362140526E-2</v>
      </c>
      <c r="AH462" s="18">
        <f t="shared" si="228"/>
        <v>3.8771196854418158E-3</v>
      </c>
      <c r="AJ462" s="18">
        <f>IF(ISNUMBER(Kernel!M462),Kernel!M462,"")</f>
        <v>-1.4899060463957392E-2</v>
      </c>
      <c r="AK462" s="18">
        <f t="shared" si="213"/>
        <v>2.2198200270865827E-4</v>
      </c>
      <c r="AN462" s="18">
        <f>IF(ISNUMBER(Volcanic!G462),Volcanic!G462,"")</f>
        <v>5.2100000000000002E-3</v>
      </c>
    </row>
    <row r="463" spans="1:40">
      <c r="A463" s="18" t="str">
        <f>IF(Volcanic!A463="","",Volcanic!A463)</f>
        <v>8/1996</v>
      </c>
      <c r="B463" s="18">
        <f>IF(ISNUMBER(Volcanic!L463),Volcanic!L463,"")</f>
        <v>1996.625</v>
      </c>
      <c r="C463" s="18">
        <f>IF(ISNUMBER(Volcanic!J463),Volcanic!J463,"")</f>
        <v>7.1887578781410777E-2</v>
      </c>
      <c r="D463" s="18">
        <f t="shared" si="206"/>
        <v>5.1678239830535407E-3</v>
      </c>
      <c r="E463" s="18">
        <f>IF(ISNUMBER(Volcanic!C463),Volcanic!C463,"")</f>
        <v>0.36876834909033485</v>
      </c>
      <c r="F463" s="18">
        <f>IF(ISNUMBER(Volcanic!D463),Volcanic!D463,"")</f>
        <v>-0.25</v>
      </c>
      <c r="G463" s="18">
        <f>IF(ISNUMBER(Volcanic!E463),Volcanic!E463,"")</f>
        <v>6.45E-3</v>
      </c>
      <c r="H463" s="18">
        <f t="shared" si="207"/>
        <v>0.13599009529081107</v>
      </c>
      <c r="I463" s="18">
        <f t="shared" si="208"/>
        <v>6.25E-2</v>
      </c>
      <c r="J463" s="18">
        <f t="shared" si="209"/>
        <v>4.16025E-5</v>
      </c>
      <c r="K463" s="18">
        <f t="shared" si="210"/>
        <v>-9.2192087272583711E-2</v>
      </c>
      <c r="L463" s="18">
        <f t="shared" si="211"/>
        <v>2.3785558516326599E-3</v>
      </c>
      <c r="M463" s="18">
        <f t="shared" si="212"/>
        <v>-1.6125E-3</v>
      </c>
      <c r="N463" s="18">
        <f t="shared" si="214"/>
        <v>2.5269079384360087E-3</v>
      </c>
      <c r="O463" s="18">
        <f t="shared" si="217"/>
        <v>2.5429892200498846E-2</v>
      </c>
      <c r="P463" s="18">
        <f t="shared" si="219"/>
        <v>1.8049856878529582E-2</v>
      </c>
      <c r="Q463" s="18">
        <f t="shared" si="221"/>
        <v>2.6025342902600114E-3</v>
      </c>
      <c r="R463" s="18">
        <f t="shared" si="223"/>
        <v>1.1438849279640589E-3</v>
      </c>
      <c r="S463" s="18">
        <f t="shared" si="225"/>
        <v>1.2249332329433151E-2</v>
      </c>
      <c r="T463" s="18">
        <f t="shared" si="227"/>
        <v>1.0822882933178752E-2</v>
      </c>
      <c r="U463" s="18">
        <f t="shared" si="229"/>
        <v>6.9002225577041573E-3</v>
      </c>
      <c r="V463" s="18">
        <f t="shared" si="230"/>
        <v>9.4586285375232743E-3</v>
      </c>
      <c r="W463" s="18">
        <f t="shared" si="231"/>
        <v>1.0247627279352885E-2</v>
      </c>
      <c r="X463" s="18">
        <f t="shared" si="232"/>
        <v>2.2330776728454469E-3</v>
      </c>
      <c r="Y463" s="18">
        <f t="shared" si="233"/>
        <v>2.575156321152741E-3</v>
      </c>
      <c r="AA463" s="18">
        <f t="shared" si="215"/>
        <v>9.7162622371143453E-2</v>
      </c>
      <c r="AB463" s="18">
        <f t="shared" si="216"/>
        <v>9.4405751860374264E-3</v>
      </c>
      <c r="AC463" s="18">
        <f t="shared" si="218"/>
        <v>8.9474392853761294E-4</v>
      </c>
      <c r="AD463" s="18">
        <f t="shared" si="220"/>
        <v>8.4485821278096826E-3</v>
      </c>
      <c r="AE463" s="18">
        <f t="shared" si="222"/>
        <v>1.1815533363975375E-2</v>
      </c>
      <c r="AF463" s="18">
        <f t="shared" si="224"/>
        <v>1.1566515529541504E-3</v>
      </c>
      <c r="AG463" s="18">
        <f t="shared" si="226"/>
        <v>8.004856109978321E-3</v>
      </c>
      <c r="AH463" s="18">
        <f t="shared" si="228"/>
        <v>2.6564035362140526E-2</v>
      </c>
      <c r="AJ463" s="18">
        <f>IF(ISNUMBER(Kernel!M463),Kernel!M463,"")</f>
        <v>0.11367942704671291</v>
      </c>
      <c r="AK463" s="18">
        <f t="shared" si="213"/>
        <v>1.2923012133668922E-2</v>
      </c>
      <c r="AN463" s="18">
        <f>IF(ISNUMBER(Volcanic!G463),Volcanic!G463,"")</f>
        <v>5.2300000000000003E-3</v>
      </c>
    </row>
    <row r="464" spans="1:40">
      <c r="A464" s="18" t="str">
        <f>IF(Volcanic!A464="","",Volcanic!A464)</f>
        <v>9/1996</v>
      </c>
      <c r="B464" s="18">
        <f>IF(ISNUMBER(Volcanic!L464),Volcanic!L464,"")</f>
        <v>1996.7083333333333</v>
      </c>
      <c r="C464" s="18">
        <f>IF(ISNUMBER(Volcanic!J464),Volcanic!J464,"")</f>
        <v>-0.12960339013149458</v>
      </c>
      <c r="D464" s="18">
        <f t="shared" si="206"/>
        <v>1.6797038733576387E-2</v>
      </c>
      <c r="E464" s="18">
        <f>IF(ISNUMBER(Volcanic!C464),Volcanic!C464,"")</f>
        <v>0.36132722345969809</v>
      </c>
      <c r="F464" s="18">
        <f>IF(ISNUMBER(Volcanic!D464),Volcanic!D464,"")</f>
        <v>-0.24</v>
      </c>
      <c r="G464" s="18">
        <f>IF(ISNUMBER(Volcanic!E464),Volcanic!E464,"")</f>
        <v>6.0600000000000003E-3</v>
      </c>
      <c r="H464" s="18">
        <f t="shared" si="207"/>
        <v>0.1305573624130946</v>
      </c>
      <c r="I464" s="18">
        <f t="shared" si="208"/>
        <v>5.7599999999999998E-2</v>
      </c>
      <c r="J464" s="18">
        <f t="shared" si="209"/>
        <v>3.6723600000000002E-5</v>
      </c>
      <c r="K464" s="18">
        <f t="shared" si="210"/>
        <v>-8.6718533630327541E-2</v>
      </c>
      <c r="L464" s="18">
        <f t="shared" si="211"/>
        <v>2.1896429741657705E-3</v>
      </c>
      <c r="M464" s="18">
        <f t="shared" si="212"/>
        <v>-1.4544E-3</v>
      </c>
      <c r="N464" s="18">
        <f t="shared" si="214"/>
        <v>5.1678239830535407E-3</v>
      </c>
      <c r="O464" s="18">
        <f t="shared" si="217"/>
        <v>2.5269079384360087E-3</v>
      </c>
      <c r="P464" s="18">
        <f t="shared" si="219"/>
        <v>2.5429892200498846E-2</v>
      </c>
      <c r="Q464" s="18">
        <f t="shared" si="221"/>
        <v>1.8049856878529582E-2</v>
      </c>
      <c r="R464" s="18">
        <f t="shared" si="223"/>
        <v>2.6025342902600114E-3</v>
      </c>
      <c r="S464" s="18">
        <f t="shared" si="225"/>
        <v>1.1438849279640589E-3</v>
      </c>
      <c r="T464" s="18">
        <f t="shared" si="227"/>
        <v>1.2249332329433151E-2</v>
      </c>
      <c r="U464" s="18">
        <f t="shared" si="229"/>
        <v>1.0822882933178752E-2</v>
      </c>
      <c r="V464" s="18">
        <f t="shared" si="230"/>
        <v>6.9002225577041573E-3</v>
      </c>
      <c r="W464" s="18">
        <f t="shared" si="231"/>
        <v>9.4586285375232743E-3</v>
      </c>
      <c r="X464" s="18">
        <f t="shared" si="232"/>
        <v>1.0247627279352885E-2</v>
      </c>
      <c r="Y464" s="18">
        <f t="shared" si="233"/>
        <v>2.2330776728454469E-3</v>
      </c>
      <c r="AA464" s="18">
        <f t="shared" si="215"/>
        <v>-0.16574862573373528</v>
      </c>
      <c r="AB464" s="18">
        <f t="shared" si="216"/>
        <v>2.7472606932621851E-2</v>
      </c>
      <c r="AC464" s="18">
        <f t="shared" si="218"/>
        <v>9.4405751860374264E-3</v>
      </c>
      <c r="AD464" s="18">
        <f t="shared" si="220"/>
        <v>8.9474392853761294E-4</v>
      </c>
      <c r="AE464" s="18">
        <f t="shared" si="222"/>
        <v>8.4485821278096826E-3</v>
      </c>
      <c r="AF464" s="18">
        <f t="shared" si="224"/>
        <v>1.1815533363975375E-2</v>
      </c>
      <c r="AG464" s="18">
        <f t="shared" si="226"/>
        <v>1.1566515529541504E-3</v>
      </c>
      <c r="AH464" s="18">
        <f t="shared" si="228"/>
        <v>8.004856109978321E-3</v>
      </c>
      <c r="AJ464" s="18">
        <f>IF(ISNUMBER(Kernel!M464),Kernel!M464,"")</f>
        <v>-8.9459128051479708E-2</v>
      </c>
      <c r="AK464" s="18">
        <f t="shared" si="213"/>
        <v>8.0029355917310436E-3</v>
      </c>
      <c r="AN464" s="18">
        <f>IF(ISNUMBER(Volcanic!G464),Volcanic!G464,"")</f>
        <v>5.1799999999999997E-3</v>
      </c>
    </row>
    <row r="465" spans="1:40">
      <c r="A465" s="18" t="str">
        <f>IF(Volcanic!A465="","",Volcanic!A465)</f>
        <v>10/1996</v>
      </c>
      <c r="B465" s="18">
        <f>IF(ISNUMBER(Volcanic!L465),Volcanic!L465,"")</f>
        <v>1996.7916666666667</v>
      </c>
      <c r="C465" s="18">
        <f>IF(ISNUMBER(Volcanic!J465),Volcanic!J465,"")</f>
        <v>-0.1724695722092236</v>
      </c>
      <c r="D465" s="18">
        <f t="shared" si="206"/>
        <v>2.9745753338032591E-2</v>
      </c>
      <c r="E465" s="18">
        <f>IF(ISNUMBER(Volcanic!C465),Volcanic!C465,"")</f>
        <v>0.36144754664467421</v>
      </c>
      <c r="F465" s="18">
        <f>IF(ISNUMBER(Volcanic!D465),Volcanic!D465,"")</f>
        <v>-0.22</v>
      </c>
      <c r="G465" s="18">
        <f>IF(ISNUMBER(Volcanic!E465),Volcanic!E465,"")</f>
        <v>5.7499999999999999E-3</v>
      </c>
      <c r="H465" s="18">
        <f t="shared" si="207"/>
        <v>0.13064432897545394</v>
      </c>
      <c r="I465" s="18">
        <f t="shared" si="208"/>
        <v>4.8399999999999999E-2</v>
      </c>
      <c r="J465" s="18">
        <f t="shared" si="209"/>
        <v>3.3062499999999997E-5</v>
      </c>
      <c r="K465" s="18">
        <f t="shared" si="210"/>
        <v>-7.9518460261828322E-2</v>
      </c>
      <c r="L465" s="18">
        <f t="shared" si="211"/>
        <v>2.0783233932068768E-3</v>
      </c>
      <c r="M465" s="18">
        <f t="shared" si="212"/>
        <v>-1.2650000000000001E-3</v>
      </c>
      <c r="N465" s="18">
        <f t="shared" si="214"/>
        <v>1.6797038733576387E-2</v>
      </c>
      <c r="O465" s="18">
        <f t="shared" si="217"/>
        <v>5.1678239830535407E-3</v>
      </c>
      <c r="P465" s="18">
        <f t="shared" si="219"/>
        <v>2.5269079384360087E-3</v>
      </c>
      <c r="Q465" s="18">
        <f t="shared" si="221"/>
        <v>2.5429892200498846E-2</v>
      </c>
      <c r="R465" s="18">
        <f t="shared" si="223"/>
        <v>1.8049856878529582E-2</v>
      </c>
      <c r="S465" s="18">
        <f t="shared" si="225"/>
        <v>2.6025342902600114E-3</v>
      </c>
      <c r="T465" s="18">
        <f t="shared" si="227"/>
        <v>1.1438849279640589E-3</v>
      </c>
      <c r="U465" s="18">
        <f t="shared" si="229"/>
        <v>1.2249332329433151E-2</v>
      </c>
      <c r="V465" s="18">
        <f t="shared" si="230"/>
        <v>1.0822882933178752E-2</v>
      </c>
      <c r="W465" s="18">
        <f t="shared" si="231"/>
        <v>6.9002225577041573E-3</v>
      </c>
      <c r="X465" s="18">
        <f t="shared" si="232"/>
        <v>9.4586285375232743E-3</v>
      </c>
      <c r="Y465" s="18">
        <f t="shared" si="233"/>
        <v>1.0247627279352885E-2</v>
      </c>
      <c r="AA465" s="18">
        <f t="shared" si="215"/>
        <v>-0.10730469740663316</v>
      </c>
      <c r="AB465" s="18">
        <f t="shared" si="216"/>
        <v>1.1514298085529106E-2</v>
      </c>
      <c r="AC465" s="18">
        <f t="shared" si="218"/>
        <v>2.7472606932621851E-2</v>
      </c>
      <c r="AD465" s="18">
        <f t="shared" si="220"/>
        <v>9.4405751860374264E-3</v>
      </c>
      <c r="AE465" s="18">
        <f t="shared" si="222"/>
        <v>8.9474392853761294E-4</v>
      </c>
      <c r="AF465" s="18">
        <f t="shared" si="224"/>
        <v>8.4485821278096826E-3</v>
      </c>
      <c r="AG465" s="18">
        <f t="shared" si="226"/>
        <v>1.1815533363975375E-2</v>
      </c>
      <c r="AH465" s="18">
        <f t="shared" si="228"/>
        <v>1.1566515529541504E-3</v>
      </c>
      <c r="AJ465" s="18">
        <f>IF(ISNUMBER(Kernel!M465),Kernel!M465,"")</f>
        <v>-0.13204638518742245</v>
      </c>
      <c r="AK465" s="18">
        <f t="shared" si="213"/>
        <v>1.743624784106514E-2</v>
      </c>
      <c r="AN465" s="18">
        <f>IF(ISNUMBER(Volcanic!G465),Volcanic!G465,"")</f>
        <v>5.0800000000000003E-3</v>
      </c>
    </row>
    <row r="466" spans="1:40">
      <c r="A466" s="18" t="str">
        <f>IF(Volcanic!A466="","",Volcanic!A466)</f>
        <v>11/1996</v>
      </c>
      <c r="B466" s="18">
        <f>IF(ISNUMBER(Volcanic!L466),Volcanic!L466,"")</f>
        <v>1996.875</v>
      </c>
      <c r="C466" s="18">
        <f>IF(ISNUMBER(Volcanic!J466),Volcanic!J466,"")</f>
        <v>1.7361551725829594E-2</v>
      </c>
      <c r="D466" s="18">
        <f t="shared" si="206"/>
        <v>3.0142347832865657E-4</v>
      </c>
      <c r="E466" s="18">
        <f>IF(ISNUMBER(Volcanic!C466),Volcanic!C466,"")</f>
        <v>0.36673185649279633</v>
      </c>
      <c r="F466" s="18">
        <f>IF(ISNUMBER(Volcanic!D466),Volcanic!D466,"")</f>
        <v>-0.27</v>
      </c>
      <c r="G466" s="18">
        <f>IF(ISNUMBER(Volcanic!E466),Volcanic!E466,"")</f>
        <v>5.5700000000000003E-3</v>
      </c>
      <c r="H466" s="18">
        <f t="shared" si="207"/>
        <v>0.13449225456665295</v>
      </c>
      <c r="I466" s="18">
        <f t="shared" si="208"/>
        <v>7.2900000000000006E-2</v>
      </c>
      <c r="J466" s="18">
        <f t="shared" si="209"/>
        <v>3.1024900000000002E-5</v>
      </c>
      <c r="K466" s="18">
        <f t="shared" si="210"/>
        <v>-9.9017601253055018E-2</v>
      </c>
      <c r="L466" s="18">
        <f t="shared" si="211"/>
        <v>2.0426964406648758E-3</v>
      </c>
      <c r="M466" s="18">
        <f t="shared" si="212"/>
        <v>-1.5039000000000001E-3</v>
      </c>
      <c r="N466" s="18">
        <f t="shared" si="214"/>
        <v>2.9745753338032591E-2</v>
      </c>
      <c r="O466" s="18">
        <f t="shared" si="217"/>
        <v>1.6797038733576387E-2</v>
      </c>
      <c r="P466" s="18">
        <f t="shared" si="219"/>
        <v>5.1678239830535407E-3</v>
      </c>
      <c r="Q466" s="18">
        <f t="shared" si="221"/>
        <v>2.5269079384360087E-3</v>
      </c>
      <c r="R466" s="18">
        <f t="shared" si="223"/>
        <v>2.5429892200498846E-2</v>
      </c>
      <c r="S466" s="18">
        <f t="shared" si="225"/>
        <v>1.8049856878529582E-2</v>
      </c>
      <c r="T466" s="18">
        <f t="shared" si="227"/>
        <v>2.6025342902600114E-3</v>
      </c>
      <c r="U466" s="18">
        <f t="shared" si="229"/>
        <v>1.1438849279640589E-3</v>
      </c>
      <c r="V466" s="18">
        <f t="shared" si="230"/>
        <v>1.2249332329433151E-2</v>
      </c>
      <c r="W466" s="18">
        <f t="shared" si="231"/>
        <v>1.0822882933178752E-2</v>
      </c>
      <c r="X466" s="18">
        <f t="shared" si="232"/>
        <v>6.9002225577041573E-3</v>
      </c>
      <c r="Y466" s="18">
        <f t="shared" si="233"/>
        <v>9.4586285375232743E-3</v>
      </c>
      <c r="AA466" s="18">
        <f t="shared" si="215"/>
        <v>0.10407963887515052</v>
      </c>
      <c r="AB466" s="18">
        <f t="shared" si="216"/>
        <v>1.0832571228381745E-2</v>
      </c>
      <c r="AC466" s="18">
        <f t="shared" si="218"/>
        <v>1.1514298085529106E-2</v>
      </c>
      <c r="AD466" s="18">
        <f t="shared" si="220"/>
        <v>2.7472606932621851E-2</v>
      </c>
      <c r="AE466" s="18">
        <f t="shared" si="222"/>
        <v>9.4405751860374264E-3</v>
      </c>
      <c r="AF466" s="18">
        <f t="shared" si="224"/>
        <v>8.9474392853761294E-4</v>
      </c>
      <c r="AG466" s="18">
        <f t="shared" si="226"/>
        <v>8.4485821278096826E-3</v>
      </c>
      <c r="AH466" s="18">
        <f t="shared" si="228"/>
        <v>1.1815533363975375E-2</v>
      </c>
      <c r="AJ466" s="18">
        <f>IF(ISNUMBER(Kernel!M466),Kernel!M466,"")</f>
        <v>5.2916238130846005E-2</v>
      </c>
      <c r="AK466" s="18">
        <f t="shared" si="213"/>
        <v>2.8001282579204006E-3</v>
      </c>
      <c r="AN466" s="18">
        <f>IF(ISNUMBER(Volcanic!G466),Volcanic!G466,"")</f>
        <v>5.0200000000000002E-3</v>
      </c>
    </row>
    <row r="467" spans="1:40">
      <c r="A467" s="18" t="str">
        <f>IF(Volcanic!A467="","",Volcanic!A467)</f>
        <v>12/1996</v>
      </c>
      <c r="B467" s="18">
        <f>IF(ISNUMBER(Volcanic!L467),Volcanic!L467,"")</f>
        <v>1996.9583333333333</v>
      </c>
      <c r="C467" s="18">
        <f>IF(ISNUMBER(Volcanic!J467),Volcanic!J467,"")</f>
        <v>-4.4760353239273465E-2</v>
      </c>
      <c r="D467" s="18">
        <f t="shared" si="206"/>
        <v>2.0034892221045385E-3</v>
      </c>
      <c r="E467" s="18">
        <f>IF(ISNUMBER(Volcanic!C467),Volcanic!C467,"")</f>
        <v>0.37211631819884028</v>
      </c>
      <c r="F467" s="18">
        <f>IF(ISNUMBER(Volcanic!D467),Volcanic!D467,"")</f>
        <v>-0.3</v>
      </c>
      <c r="G467" s="18">
        <f>IF(ISNUMBER(Volcanic!E467),Volcanic!E467,"")</f>
        <v>5.47E-3</v>
      </c>
      <c r="H467" s="18">
        <f t="shared" si="207"/>
        <v>0.13847055426986055</v>
      </c>
      <c r="I467" s="18">
        <f t="shared" si="208"/>
        <v>0.09</v>
      </c>
      <c r="J467" s="18">
        <f t="shared" si="209"/>
        <v>2.99209E-5</v>
      </c>
      <c r="K467" s="18">
        <f t="shared" si="210"/>
        <v>-0.11163489545965208</v>
      </c>
      <c r="L467" s="18">
        <f t="shared" si="211"/>
        <v>2.0354762605476564E-3</v>
      </c>
      <c r="M467" s="18">
        <f t="shared" si="212"/>
        <v>-1.6409999999999999E-3</v>
      </c>
      <c r="N467" s="18">
        <f t="shared" si="214"/>
        <v>3.0142347832865657E-4</v>
      </c>
      <c r="O467" s="18">
        <f t="shared" si="217"/>
        <v>2.9745753338032591E-2</v>
      </c>
      <c r="P467" s="18">
        <f t="shared" si="219"/>
        <v>1.6797038733576387E-2</v>
      </c>
      <c r="Q467" s="18">
        <f t="shared" si="221"/>
        <v>5.1678239830535407E-3</v>
      </c>
      <c r="R467" s="18">
        <f t="shared" si="223"/>
        <v>2.5269079384360087E-3</v>
      </c>
      <c r="S467" s="18">
        <f t="shared" si="225"/>
        <v>2.5429892200498846E-2</v>
      </c>
      <c r="T467" s="18">
        <f t="shared" si="227"/>
        <v>1.8049856878529582E-2</v>
      </c>
      <c r="U467" s="18">
        <f t="shared" si="229"/>
        <v>2.6025342902600114E-3</v>
      </c>
      <c r="V467" s="18">
        <f t="shared" si="230"/>
        <v>1.1438849279640589E-3</v>
      </c>
      <c r="W467" s="18">
        <f t="shared" si="231"/>
        <v>1.2249332329433151E-2</v>
      </c>
      <c r="X467" s="18">
        <f t="shared" si="232"/>
        <v>1.0822882933178752E-2</v>
      </c>
      <c r="Y467" s="18">
        <f t="shared" si="233"/>
        <v>6.9002225577041573E-3</v>
      </c>
      <c r="AA467" s="18">
        <f t="shared" si="215"/>
        <v>-5.3489780327905259E-2</v>
      </c>
      <c r="AB467" s="18">
        <f t="shared" si="216"/>
        <v>2.8611565995275605E-3</v>
      </c>
      <c r="AC467" s="18">
        <f t="shared" si="218"/>
        <v>1.0832571228381745E-2</v>
      </c>
      <c r="AD467" s="18">
        <f t="shared" si="220"/>
        <v>1.1514298085529106E-2</v>
      </c>
      <c r="AE467" s="18">
        <f t="shared" si="222"/>
        <v>2.7472606932621851E-2</v>
      </c>
      <c r="AF467" s="18">
        <f t="shared" si="224"/>
        <v>9.4405751860374264E-3</v>
      </c>
      <c r="AG467" s="18">
        <f t="shared" si="226"/>
        <v>8.9474392853761294E-4</v>
      </c>
      <c r="AH467" s="18">
        <f t="shared" si="228"/>
        <v>8.4485821278096826E-3</v>
      </c>
      <c r="AJ467" s="18">
        <f>IF(ISNUMBER(Kernel!M467),Kernel!M467,"")</f>
        <v>-1.1995805630641787E-2</v>
      </c>
      <c r="AK467" s="18">
        <f t="shared" si="213"/>
        <v>1.4389935272813721E-4</v>
      </c>
      <c r="AN467" s="18">
        <f>IF(ISNUMBER(Volcanic!G467),Volcanic!G467,"")</f>
        <v>4.8599999999999997E-3</v>
      </c>
    </row>
    <row r="468" spans="1:40">
      <c r="A468" s="18" t="str">
        <f>IF(Volcanic!A468="","",Volcanic!A468)</f>
        <v>1/1997</v>
      </c>
      <c r="B468" s="18">
        <f>IF(ISNUMBER(Volcanic!L468),Volcanic!L468,"")</f>
        <v>1997.0416666666667</v>
      </c>
      <c r="C468" s="18">
        <f>IF(ISNUMBER(Volcanic!J468),Volcanic!J468,"")</f>
        <v>-0.10049091396226756</v>
      </c>
      <c r="D468" s="18">
        <f t="shared" si="206"/>
        <v>1.0098423788971861E-2</v>
      </c>
      <c r="E468" s="18">
        <f>IF(ISNUMBER(Volcanic!C468),Volcanic!C468,"")</f>
        <v>0.37549625382897855</v>
      </c>
      <c r="F468" s="18">
        <f>IF(ISNUMBER(Volcanic!D468),Volcanic!D468,"")</f>
        <v>-0.33</v>
      </c>
      <c r="G468" s="18">
        <f>IF(ISNUMBER(Volcanic!E468),Volcanic!E468,"")</f>
        <v>5.79E-3</v>
      </c>
      <c r="H468" s="18">
        <f t="shared" si="207"/>
        <v>0.14099743663959668</v>
      </c>
      <c r="I468" s="18">
        <f t="shared" si="208"/>
        <v>0.10890000000000001</v>
      </c>
      <c r="J468" s="18">
        <f t="shared" si="209"/>
        <v>3.35241E-5</v>
      </c>
      <c r="K468" s="18">
        <f t="shared" si="210"/>
        <v>-0.12391376376356293</v>
      </c>
      <c r="L468" s="18">
        <f t="shared" si="211"/>
        <v>2.1741233096697859E-3</v>
      </c>
      <c r="M468" s="18">
        <f t="shared" si="212"/>
        <v>-1.9107E-3</v>
      </c>
      <c r="N468" s="18">
        <f t="shared" si="214"/>
        <v>2.0034892221045385E-3</v>
      </c>
      <c r="O468" s="18">
        <f t="shared" si="217"/>
        <v>3.0142347832865657E-4</v>
      </c>
      <c r="P468" s="18">
        <f t="shared" si="219"/>
        <v>2.9745753338032591E-2</v>
      </c>
      <c r="Q468" s="18">
        <f t="shared" si="221"/>
        <v>1.6797038733576387E-2</v>
      </c>
      <c r="R468" s="18">
        <f t="shared" si="223"/>
        <v>5.1678239830535407E-3</v>
      </c>
      <c r="S468" s="18">
        <f t="shared" si="225"/>
        <v>2.5269079384360087E-3</v>
      </c>
      <c r="T468" s="18">
        <f t="shared" si="227"/>
        <v>2.5429892200498846E-2</v>
      </c>
      <c r="U468" s="18">
        <f t="shared" si="229"/>
        <v>1.8049856878529582E-2</v>
      </c>
      <c r="V468" s="18">
        <f t="shared" si="230"/>
        <v>2.6025342902600114E-3</v>
      </c>
      <c r="W468" s="18">
        <f t="shared" si="231"/>
        <v>1.1438849279640589E-3</v>
      </c>
      <c r="X468" s="18">
        <f t="shared" si="232"/>
        <v>1.2249332329433151E-2</v>
      </c>
      <c r="Y468" s="18">
        <f t="shared" si="233"/>
        <v>1.0822882933178752E-2</v>
      </c>
      <c r="AA468" s="18">
        <f t="shared" si="215"/>
        <v>-7.7985308113550075E-2</v>
      </c>
      <c r="AB468" s="18">
        <f t="shared" si="216"/>
        <v>6.0817082815653395E-3</v>
      </c>
      <c r="AC468" s="18">
        <f t="shared" si="218"/>
        <v>2.8611565995275605E-3</v>
      </c>
      <c r="AD468" s="18">
        <f t="shared" si="220"/>
        <v>1.0832571228381745E-2</v>
      </c>
      <c r="AE468" s="18">
        <f t="shared" si="222"/>
        <v>1.1514298085529106E-2</v>
      </c>
      <c r="AF468" s="18">
        <f t="shared" si="224"/>
        <v>2.7472606932621851E-2</v>
      </c>
      <c r="AG468" s="18">
        <f t="shared" si="226"/>
        <v>9.4405751860374264E-3</v>
      </c>
      <c r="AH468" s="18">
        <f t="shared" si="228"/>
        <v>8.9474392853761294E-4</v>
      </c>
      <c r="AJ468" s="18">
        <f>IF(ISNUMBER(Kernel!M468),Kernel!M468,"")</f>
        <v>-7.1571590913175998E-2</v>
      </c>
      <c r="AK468" s="18">
        <f t="shared" si="213"/>
        <v>5.1224926258430174E-3</v>
      </c>
      <c r="AN468" s="18">
        <f>IF(ISNUMBER(Volcanic!G468),Volcanic!G468,"")</f>
        <v>4.7299999999999998E-3</v>
      </c>
    </row>
    <row r="469" spans="1:40">
      <c r="A469" s="18" t="str">
        <f>IF(Volcanic!A469="","",Volcanic!A469)</f>
        <v>2/1997</v>
      </c>
      <c r="B469" s="18">
        <f>IF(ISNUMBER(Volcanic!L469),Volcanic!L469,"")</f>
        <v>1997.125</v>
      </c>
      <c r="C469" s="18">
        <f>IF(ISNUMBER(Volcanic!J469),Volcanic!J469,"")</f>
        <v>-1.6693061543539056E-2</v>
      </c>
      <c r="D469" s="18">
        <f t="shared" si="206"/>
        <v>2.7865830369638254E-4</v>
      </c>
      <c r="E469" s="18">
        <f>IF(ISNUMBER(Volcanic!C469),Volcanic!C469,"")</f>
        <v>0.37934370731460526</v>
      </c>
      <c r="F469" s="18">
        <f>IF(ISNUMBER(Volcanic!D469),Volcanic!D469,"")</f>
        <v>-0.39</v>
      </c>
      <c r="G469" s="18">
        <f>IF(ISNUMBER(Volcanic!E469),Volcanic!E469,"")</f>
        <v>5.2100000000000002E-3</v>
      </c>
      <c r="H469" s="18">
        <f t="shared" si="207"/>
        <v>0.14390164827918889</v>
      </c>
      <c r="I469" s="18">
        <f t="shared" si="208"/>
        <v>0.15210000000000001</v>
      </c>
      <c r="J469" s="18">
        <f t="shared" si="209"/>
        <v>2.7144100000000003E-5</v>
      </c>
      <c r="K469" s="18">
        <f t="shared" si="210"/>
        <v>-0.14794404585269605</v>
      </c>
      <c r="L469" s="18">
        <f t="shared" si="211"/>
        <v>1.9763807151090937E-3</v>
      </c>
      <c r="M469" s="18">
        <f t="shared" si="212"/>
        <v>-2.0319000000000001E-3</v>
      </c>
      <c r="N469" s="18">
        <f t="shared" si="214"/>
        <v>1.0098423788971861E-2</v>
      </c>
      <c r="O469" s="18">
        <f t="shared" si="217"/>
        <v>2.0034892221045385E-3</v>
      </c>
      <c r="P469" s="18">
        <f t="shared" si="219"/>
        <v>3.0142347832865657E-4</v>
      </c>
      <c r="Q469" s="18">
        <f t="shared" si="221"/>
        <v>2.9745753338032591E-2</v>
      </c>
      <c r="R469" s="18">
        <f t="shared" si="223"/>
        <v>1.6797038733576387E-2</v>
      </c>
      <c r="S469" s="18">
        <f t="shared" si="225"/>
        <v>5.1678239830535407E-3</v>
      </c>
      <c r="T469" s="18">
        <f t="shared" si="227"/>
        <v>2.5269079384360087E-3</v>
      </c>
      <c r="U469" s="18">
        <f t="shared" si="229"/>
        <v>2.5429892200498846E-2</v>
      </c>
      <c r="V469" s="18">
        <f t="shared" si="230"/>
        <v>1.8049856878529582E-2</v>
      </c>
      <c r="W469" s="18">
        <f t="shared" si="231"/>
        <v>2.6025342902600114E-3</v>
      </c>
      <c r="X469" s="18">
        <f t="shared" si="232"/>
        <v>1.1438849279640589E-3</v>
      </c>
      <c r="Y469" s="18">
        <f t="shared" si="233"/>
        <v>1.2249332329433151E-2</v>
      </c>
      <c r="AA469" s="18">
        <f t="shared" si="215"/>
        <v>3.3833995044294171E-2</v>
      </c>
      <c r="AB469" s="18">
        <f t="shared" si="216"/>
        <v>1.1447392206573226E-3</v>
      </c>
      <c r="AC469" s="18">
        <f t="shared" si="218"/>
        <v>6.0817082815653395E-3</v>
      </c>
      <c r="AD469" s="18">
        <f t="shared" si="220"/>
        <v>2.8611565995275605E-3</v>
      </c>
      <c r="AE469" s="18">
        <f t="shared" si="222"/>
        <v>1.0832571228381745E-2</v>
      </c>
      <c r="AF469" s="18">
        <f t="shared" si="224"/>
        <v>1.1514298085529106E-2</v>
      </c>
      <c r="AG469" s="18">
        <f t="shared" si="226"/>
        <v>2.7472606932621851E-2</v>
      </c>
      <c r="AH469" s="18">
        <f t="shared" si="228"/>
        <v>9.4405751860374264E-3</v>
      </c>
      <c r="AJ469" s="18">
        <f>IF(ISNUMBER(Kernel!M469),Kernel!M469,"")</f>
        <v>4.2729382509586467E-3</v>
      </c>
      <c r="AK469" s="18">
        <f t="shared" si="213"/>
        <v>1.825800129650554E-5</v>
      </c>
      <c r="AN469" s="18">
        <f>IF(ISNUMBER(Volcanic!G469),Volcanic!G469,"")</f>
        <v>4.5999999999999999E-3</v>
      </c>
    </row>
    <row r="470" spans="1:40">
      <c r="A470" s="18" t="str">
        <f>IF(Volcanic!A470="","",Volcanic!A470)</f>
        <v>3/1997</v>
      </c>
      <c r="B470" s="18">
        <f>IF(ISNUMBER(Volcanic!L470),Volcanic!L470,"")</f>
        <v>1997.2083333333333</v>
      </c>
      <c r="C470" s="18">
        <f>IF(ISNUMBER(Volcanic!J470),Volcanic!J470,"")</f>
        <v>9.0456052852271041E-2</v>
      </c>
      <c r="D470" s="18">
        <f t="shared" si="206"/>
        <v>8.1822974976128518E-3</v>
      </c>
      <c r="E470" s="18">
        <f>IF(ISNUMBER(Volcanic!C470),Volcanic!C470,"")</f>
        <v>0.38108556691755607</v>
      </c>
      <c r="F470" s="18">
        <f>IF(ISNUMBER(Volcanic!D470),Volcanic!D470,"")</f>
        <v>-0.41</v>
      </c>
      <c r="G470" s="18">
        <f>IF(ISNUMBER(Volcanic!E470),Volcanic!E470,"")</f>
        <v>5.2300000000000003E-3</v>
      </c>
      <c r="H470" s="18">
        <f t="shared" si="207"/>
        <v>0.14522620931287511</v>
      </c>
      <c r="I470" s="18">
        <f t="shared" si="208"/>
        <v>0.16809999999999997</v>
      </c>
      <c r="J470" s="18">
        <f t="shared" si="209"/>
        <v>2.7352900000000004E-5</v>
      </c>
      <c r="K470" s="18">
        <f t="shared" si="210"/>
        <v>-0.15624508243619797</v>
      </c>
      <c r="L470" s="18">
        <f t="shared" si="211"/>
        <v>1.9930775149788185E-3</v>
      </c>
      <c r="M470" s="18">
        <f t="shared" si="212"/>
        <v>-2.1443E-3</v>
      </c>
      <c r="N470" s="18">
        <f t="shared" si="214"/>
        <v>2.7865830369638254E-4</v>
      </c>
      <c r="O470" s="18">
        <f t="shared" si="217"/>
        <v>1.0098423788971861E-2</v>
      </c>
      <c r="P470" s="18">
        <f t="shared" si="219"/>
        <v>2.0034892221045385E-3</v>
      </c>
      <c r="Q470" s="18">
        <f t="shared" si="221"/>
        <v>3.0142347832865657E-4</v>
      </c>
      <c r="R470" s="18">
        <f t="shared" si="223"/>
        <v>2.9745753338032591E-2</v>
      </c>
      <c r="S470" s="18">
        <f t="shared" si="225"/>
        <v>1.6797038733576387E-2</v>
      </c>
      <c r="T470" s="18">
        <f t="shared" si="227"/>
        <v>5.1678239830535407E-3</v>
      </c>
      <c r="U470" s="18">
        <f t="shared" si="229"/>
        <v>2.5269079384360087E-3</v>
      </c>
      <c r="V470" s="18">
        <f t="shared" si="230"/>
        <v>2.5429892200498846E-2</v>
      </c>
      <c r="W470" s="18">
        <f t="shared" si="231"/>
        <v>1.8049856878529582E-2</v>
      </c>
      <c r="X470" s="18">
        <f t="shared" si="232"/>
        <v>2.6025342902600114E-3</v>
      </c>
      <c r="Y470" s="18">
        <f t="shared" si="233"/>
        <v>1.1438849279640589E-3</v>
      </c>
      <c r="AA470" s="18">
        <f t="shared" si="215"/>
        <v>9.8849361580175349E-2</v>
      </c>
      <c r="AB470" s="18">
        <f t="shared" si="216"/>
        <v>9.7711962848082458E-3</v>
      </c>
      <c r="AC470" s="18">
        <f t="shared" si="218"/>
        <v>1.1447392206573226E-3</v>
      </c>
      <c r="AD470" s="18">
        <f t="shared" si="220"/>
        <v>6.0817082815653395E-3</v>
      </c>
      <c r="AE470" s="18">
        <f t="shared" si="222"/>
        <v>2.8611565995275605E-3</v>
      </c>
      <c r="AF470" s="18">
        <f t="shared" si="224"/>
        <v>1.0832571228381745E-2</v>
      </c>
      <c r="AG470" s="18">
        <f t="shared" si="226"/>
        <v>1.1514298085529106E-2</v>
      </c>
      <c r="AH470" s="18">
        <f t="shared" si="228"/>
        <v>2.7472606932621851E-2</v>
      </c>
      <c r="AJ470" s="18">
        <f>IF(ISNUMBER(Kernel!M470),Kernel!M470,"")</f>
        <v>0.10128234937856123</v>
      </c>
      <c r="AK470" s="18">
        <f t="shared" si="213"/>
        <v>1.0258114295640943E-2</v>
      </c>
      <c r="AN470" s="18">
        <f>IF(ISNUMBER(Volcanic!G470),Volcanic!G470,"")</f>
        <v>4.4900000000000001E-3</v>
      </c>
    </row>
    <row r="471" spans="1:40">
      <c r="A471" s="18" t="str">
        <f>IF(Volcanic!A471="","",Volcanic!A471)</f>
        <v>4/1997</v>
      </c>
      <c r="B471" s="18">
        <f>IF(ISNUMBER(Volcanic!L471),Volcanic!L471,"")</f>
        <v>1997.2916666666667</v>
      </c>
      <c r="C471" s="18">
        <f>IF(ISNUMBER(Volcanic!J471),Volcanic!J471,"")</f>
        <v>-0.10945900308653617</v>
      </c>
      <c r="D471" s="18">
        <f t="shared" si="206"/>
        <v>1.1981273356698335E-2</v>
      </c>
      <c r="E471" s="18">
        <f>IF(ISNUMBER(Volcanic!C471),Volcanic!C471,"")</f>
        <v>0.38834700653063781</v>
      </c>
      <c r="F471" s="18">
        <f>IF(ISNUMBER(Volcanic!D471),Volcanic!D471,"")</f>
        <v>-0.41</v>
      </c>
      <c r="G471" s="18">
        <f>IF(ISNUMBER(Volcanic!E471),Volcanic!E471,"")</f>
        <v>5.1799999999999997E-3</v>
      </c>
      <c r="H471" s="18">
        <f t="shared" si="207"/>
        <v>0.15081339748130723</v>
      </c>
      <c r="I471" s="18">
        <f t="shared" si="208"/>
        <v>0.16809999999999997</v>
      </c>
      <c r="J471" s="18">
        <f t="shared" si="209"/>
        <v>2.6832399999999997E-5</v>
      </c>
      <c r="K471" s="18">
        <f t="shared" si="210"/>
        <v>-0.15922227267756148</v>
      </c>
      <c r="L471" s="18">
        <f t="shared" si="211"/>
        <v>2.0116374938287038E-3</v>
      </c>
      <c r="M471" s="18">
        <f t="shared" si="212"/>
        <v>-2.1237999999999999E-3</v>
      </c>
      <c r="N471" s="18">
        <f t="shared" si="214"/>
        <v>8.1822974976128518E-3</v>
      </c>
      <c r="O471" s="18">
        <f t="shared" si="217"/>
        <v>2.7865830369638254E-4</v>
      </c>
      <c r="P471" s="18">
        <f t="shared" si="219"/>
        <v>1.0098423788971861E-2</v>
      </c>
      <c r="Q471" s="18">
        <f t="shared" si="221"/>
        <v>2.0034892221045385E-3</v>
      </c>
      <c r="R471" s="18">
        <f t="shared" si="223"/>
        <v>3.0142347832865657E-4</v>
      </c>
      <c r="S471" s="18">
        <f t="shared" si="225"/>
        <v>2.9745753338032591E-2</v>
      </c>
      <c r="T471" s="18">
        <f t="shared" si="227"/>
        <v>1.6797038733576387E-2</v>
      </c>
      <c r="U471" s="18">
        <f t="shared" si="229"/>
        <v>5.1678239830535407E-3</v>
      </c>
      <c r="V471" s="18">
        <f t="shared" si="230"/>
        <v>2.5269079384360087E-3</v>
      </c>
      <c r="W471" s="18">
        <f t="shared" si="231"/>
        <v>2.5429892200498846E-2</v>
      </c>
      <c r="X471" s="18">
        <f t="shared" si="232"/>
        <v>1.8049856878529582E-2</v>
      </c>
      <c r="Y471" s="18">
        <f t="shared" si="233"/>
        <v>2.6025342902600114E-3</v>
      </c>
      <c r="AA471" s="18">
        <f t="shared" si="215"/>
        <v>-0.1549405090353711</v>
      </c>
      <c r="AB471" s="18">
        <f t="shared" si="216"/>
        <v>2.4006561340139912E-2</v>
      </c>
      <c r="AC471" s="18">
        <f t="shared" si="218"/>
        <v>9.7711962848082458E-3</v>
      </c>
      <c r="AD471" s="18">
        <f t="shared" si="220"/>
        <v>1.1447392206573226E-3</v>
      </c>
      <c r="AE471" s="18">
        <f t="shared" si="222"/>
        <v>6.0817082815653395E-3</v>
      </c>
      <c r="AF471" s="18">
        <f t="shared" si="224"/>
        <v>2.8611565995275605E-3</v>
      </c>
      <c r="AG471" s="18">
        <f t="shared" si="226"/>
        <v>1.0832571228381745E-2</v>
      </c>
      <c r="AH471" s="18">
        <f t="shared" si="228"/>
        <v>1.1514298085529106E-2</v>
      </c>
      <c r="AJ471" s="18">
        <f>IF(ISNUMBER(Kernel!M471),Kernel!M471,"")</f>
        <v>-0.11261016981213851</v>
      </c>
      <c r="AK471" s="18">
        <f t="shared" si="213"/>
        <v>1.2681050345118671E-2</v>
      </c>
      <c r="AN471" s="18">
        <f>IF(ISNUMBER(Volcanic!G471),Volcanic!G471,"")</f>
        <v>4.45E-3</v>
      </c>
    </row>
    <row r="472" spans="1:40">
      <c r="A472" s="18" t="str">
        <f>IF(Volcanic!A472="","",Volcanic!A472)</f>
        <v>5/1997</v>
      </c>
      <c r="B472" s="18">
        <f>IF(ISNUMBER(Volcanic!L472),Volcanic!L472,"")</f>
        <v>1997.375</v>
      </c>
      <c r="C472" s="18">
        <f>IF(ISNUMBER(Volcanic!J472),Volcanic!J472,"")</f>
        <v>-0.11660338110407342</v>
      </c>
      <c r="D472" s="18">
        <f t="shared" si="206"/>
        <v>1.3596348484901787E-2</v>
      </c>
      <c r="E472" s="18">
        <f>IF(ISNUMBER(Volcanic!C472),Volcanic!C472,"")</f>
        <v>0.3894488111595088</v>
      </c>
      <c r="F472" s="18">
        <f>IF(ISNUMBER(Volcanic!D472),Volcanic!D472,"")</f>
        <v>-0.26</v>
      </c>
      <c r="G472" s="18">
        <f>IF(ISNUMBER(Volcanic!E472),Volcanic!E472,"")</f>
        <v>5.0800000000000003E-3</v>
      </c>
      <c r="H472" s="18">
        <f t="shared" si="207"/>
        <v>0.15167037651355475</v>
      </c>
      <c r="I472" s="18">
        <f t="shared" si="208"/>
        <v>6.7600000000000007E-2</v>
      </c>
      <c r="J472" s="18">
        <f t="shared" si="209"/>
        <v>2.5806400000000004E-5</v>
      </c>
      <c r="K472" s="18">
        <f t="shared" si="210"/>
        <v>-0.1012566909014723</v>
      </c>
      <c r="L472" s="18">
        <f t="shared" si="211"/>
        <v>1.9783999606903047E-3</v>
      </c>
      <c r="M472" s="18">
        <f t="shared" si="212"/>
        <v>-1.3208000000000002E-3</v>
      </c>
      <c r="N472" s="18">
        <f t="shared" si="214"/>
        <v>1.1981273356698335E-2</v>
      </c>
      <c r="O472" s="18">
        <f t="shared" si="217"/>
        <v>8.1822974976128518E-3</v>
      </c>
      <c r="P472" s="18">
        <f t="shared" si="219"/>
        <v>2.7865830369638254E-4</v>
      </c>
      <c r="Q472" s="18">
        <f t="shared" si="221"/>
        <v>1.0098423788971861E-2</v>
      </c>
      <c r="R472" s="18">
        <f t="shared" si="223"/>
        <v>2.0034892221045385E-3</v>
      </c>
      <c r="S472" s="18">
        <f t="shared" si="225"/>
        <v>3.0142347832865657E-4</v>
      </c>
      <c r="T472" s="18">
        <f t="shared" si="227"/>
        <v>2.9745753338032591E-2</v>
      </c>
      <c r="U472" s="18">
        <f t="shared" si="229"/>
        <v>1.6797038733576387E-2</v>
      </c>
      <c r="V472" s="18">
        <f t="shared" si="230"/>
        <v>5.1678239830535407E-3</v>
      </c>
      <c r="W472" s="18">
        <f t="shared" si="231"/>
        <v>2.5269079384360087E-3</v>
      </c>
      <c r="X472" s="18">
        <f t="shared" si="232"/>
        <v>2.5429892200498846E-2</v>
      </c>
      <c r="Y472" s="18">
        <f t="shared" si="233"/>
        <v>1.8049856878529582E-2</v>
      </c>
      <c r="AA472" s="18">
        <f t="shared" si="215"/>
        <v>-6.1567149220682696E-2</v>
      </c>
      <c r="AB472" s="18">
        <f t="shared" si="216"/>
        <v>3.79051386316181E-3</v>
      </c>
      <c r="AC472" s="18">
        <f t="shared" si="218"/>
        <v>2.4006561340139912E-2</v>
      </c>
      <c r="AD472" s="18">
        <f t="shared" si="220"/>
        <v>9.7711962848082458E-3</v>
      </c>
      <c r="AE472" s="18">
        <f t="shared" si="222"/>
        <v>1.1447392206573226E-3</v>
      </c>
      <c r="AF472" s="18">
        <f t="shared" si="224"/>
        <v>6.0817082815653395E-3</v>
      </c>
      <c r="AG472" s="18">
        <f t="shared" si="226"/>
        <v>2.8611565995275605E-3</v>
      </c>
      <c r="AH472" s="18">
        <f t="shared" si="228"/>
        <v>1.0832571228381745E-2</v>
      </c>
      <c r="AJ472" s="18">
        <f>IF(ISNUMBER(Kernel!M472),Kernel!M472,"")</f>
        <v>-0.12662343622528943</v>
      </c>
      <c r="AK472" s="18">
        <f t="shared" si="213"/>
        <v>1.6033494601499939E-2</v>
      </c>
      <c r="AN472" s="18">
        <f>IF(ISNUMBER(Volcanic!G472),Volcanic!G472,"")</f>
        <v>4.4400000000000004E-3</v>
      </c>
    </row>
    <row r="473" spans="1:40">
      <c r="A473" s="18" t="str">
        <f>IF(Volcanic!A473="","",Volcanic!A473)</f>
        <v>6/1997</v>
      </c>
      <c r="B473" s="18">
        <f>IF(ISNUMBER(Volcanic!L473),Volcanic!L473,"")</f>
        <v>1997.4583333333333</v>
      </c>
      <c r="C473" s="18">
        <f>IF(ISNUMBER(Volcanic!J473),Volcanic!J473,"")</f>
        <v>7.3095096518772273E-2</v>
      </c>
      <c r="D473" s="18">
        <f t="shared" si="206"/>
        <v>5.3428931350886343E-3</v>
      </c>
      <c r="E473" s="18">
        <f>IF(ISNUMBER(Volcanic!C473),Volcanic!C473,"")</f>
        <v>0.38535214535553447</v>
      </c>
      <c r="F473" s="18">
        <f>IF(ISNUMBER(Volcanic!D473),Volcanic!D473,"")</f>
        <v>-0.03</v>
      </c>
      <c r="G473" s="18">
        <f>IF(ISNUMBER(Volcanic!E473),Volcanic!E473,"")</f>
        <v>5.0200000000000002E-3</v>
      </c>
      <c r="H473" s="18">
        <f t="shared" si="207"/>
        <v>0.14849627593011297</v>
      </c>
      <c r="I473" s="18">
        <f t="shared" si="208"/>
        <v>8.9999999999999998E-4</v>
      </c>
      <c r="J473" s="18">
        <f t="shared" si="209"/>
        <v>2.52004E-5</v>
      </c>
      <c r="K473" s="18">
        <f t="shared" si="210"/>
        <v>-1.1560564360666034E-2</v>
      </c>
      <c r="L473" s="18">
        <f t="shared" si="211"/>
        <v>1.9344677696847832E-3</v>
      </c>
      <c r="M473" s="18">
        <f t="shared" si="212"/>
        <v>-1.506E-4</v>
      </c>
      <c r="N473" s="18">
        <f t="shared" si="214"/>
        <v>1.3596348484901787E-2</v>
      </c>
      <c r="O473" s="18">
        <f t="shared" si="217"/>
        <v>1.1981273356698335E-2</v>
      </c>
      <c r="P473" s="18">
        <f t="shared" si="219"/>
        <v>8.1822974976128518E-3</v>
      </c>
      <c r="Q473" s="18">
        <f t="shared" si="221"/>
        <v>2.7865830369638254E-4</v>
      </c>
      <c r="R473" s="18">
        <f t="shared" si="223"/>
        <v>1.0098423788971861E-2</v>
      </c>
      <c r="S473" s="18">
        <f t="shared" si="225"/>
        <v>2.0034892221045385E-3</v>
      </c>
      <c r="T473" s="18">
        <f t="shared" si="227"/>
        <v>3.0142347832865657E-4</v>
      </c>
      <c r="U473" s="18">
        <f t="shared" si="229"/>
        <v>2.9745753338032591E-2</v>
      </c>
      <c r="V473" s="18">
        <f t="shared" si="230"/>
        <v>1.6797038733576387E-2</v>
      </c>
      <c r="W473" s="18">
        <f t="shared" si="231"/>
        <v>5.1678239830535407E-3</v>
      </c>
      <c r="X473" s="18">
        <f t="shared" si="232"/>
        <v>2.5269079384360087E-3</v>
      </c>
      <c r="Y473" s="18">
        <f t="shared" si="233"/>
        <v>2.5429892200498846E-2</v>
      </c>
      <c r="AA473" s="18">
        <f t="shared" si="215"/>
        <v>0.13172353766908756</v>
      </c>
      <c r="AB473" s="18">
        <f t="shared" si="216"/>
        <v>1.735109037605953E-2</v>
      </c>
      <c r="AC473" s="18">
        <f t="shared" si="218"/>
        <v>3.79051386316181E-3</v>
      </c>
      <c r="AD473" s="18">
        <f t="shared" si="220"/>
        <v>2.4006561340139912E-2</v>
      </c>
      <c r="AE473" s="18">
        <f t="shared" si="222"/>
        <v>9.7711962848082458E-3</v>
      </c>
      <c r="AF473" s="18">
        <f t="shared" si="224"/>
        <v>1.1447392206573226E-3</v>
      </c>
      <c r="AG473" s="18">
        <f t="shared" si="226"/>
        <v>6.0817082815653395E-3</v>
      </c>
      <c r="AH473" s="18">
        <f t="shared" si="228"/>
        <v>2.8611565995275605E-3</v>
      </c>
      <c r="AJ473" s="18">
        <f>IF(ISNUMBER(Kernel!M473),Kernel!M473,"")</f>
        <v>5.7457204531542072E-2</v>
      </c>
      <c r="AK473" s="18">
        <f t="shared" si="213"/>
        <v>3.301330352579459E-3</v>
      </c>
      <c r="AN473" s="18">
        <f>IF(ISNUMBER(Volcanic!G473),Volcanic!G473,"")</f>
        <v>4.3699999999999998E-3</v>
      </c>
    </row>
    <row r="474" spans="1:40">
      <c r="A474" s="18" t="str">
        <f>IF(Volcanic!A474="","",Volcanic!A474)</f>
        <v>7/1997</v>
      </c>
      <c r="B474" s="18">
        <f>IF(ISNUMBER(Volcanic!L474),Volcanic!L474,"")</f>
        <v>1997.5416666666667</v>
      </c>
      <c r="C474" s="18">
        <f>IF(ISNUMBER(Volcanic!J474),Volcanic!J474,"")</f>
        <v>-0.1541917633667661</v>
      </c>
      <c r="D474" s="18">
        <f t="shared" si="206"/>
        <v>2.3775099890152793E-2</v>
      </c>
      <c r="E474" s="18">
        <f>IF(ISNUMBER(Volcanic!C474),Volcanic!C474,"")</f>
        <v>0.38033365825089765</v>
      </c>
      <c r="F474" s="18">
        <f>IF(ISNUMBER(Volcanic!D474),Volcanic!D474,"")</f>
        <v>0.3</v>
      </c>
      <c r="G474" s="18">
        <f>IF(ISNUMBER(Volcanic!E474),Volcanic!E474,"")</f>
        <v>4.8599999999999997E-3</v>
      </c>
      <c r="H474" s="18">
        <f t="shared" si="207"/>
        <v>0.1446536915985106</v>
      </c>
      <c r="I474" s="18">
        <f t="shared" si="208"/>
        <v>0.09</v>
      </c>
      <c r="J474" s="18">
        <f t="shared" si="209"/>
        <v>2.3619599999999997E-5</v>
      </c>
      <c r="K474" s="18">
        <f t="shared" si="210"/>
        <v>0.11410009747526929</v>
      </c>
      <c r="L474" s="18">
        <f t="shared" si="211"/>
        <v>1.8484215790993625E-3</v>
      </c>
      <c r="M474" s="18">
        <f t="shared" si="212"/>
        <v>1.4579999999999999E-3</v>
      </c>
      <c r="N474" s="18">
        <f t="shared" si="214"/>
        <v>5.3428931350886343E-3</v>
      </c>
      <c r="O474" s="18">
        <f t="shared" si="217"/>
        <v>1.3596348484901787E-2</v>
      </c>
      <c r="P474" s="18">
        <f t="shared" si="219"/>
        <v>1.1981273356698335E-2</v>
      </c>
      <c r="Q474" s="18">
        <f t="shared" si="221"/>
        <v>8.1822974976128518E-3</v>
      </c>
      <c r="R474" s="18">
        <f t="shared" si="223"/>
        <v>2.7865830369638254E-4</v>
      </c>
      <c r="S474" s="18">
        <f t="shared" si="225"/>
        <v>1.0098423788971861E-2</v>
      </c>
      <c r="T474" s="18">
        <f t="shared" si="227"/>
        <v>2.0034892221045385E-3</v>
      </c>
      <c r="U474" s="18">
        <f t="shared" si="229"/>
        <v>3.0142347832865657E-4</v>
      </c>
      <c r="V474" s="18">
        <f t="shared" si="230"/>
        <v>2.9745753338032591E-2</v>
      </c>
      <c r="W474" s="18">
        <f t="shared" si="231"/>
        <v>1.6797038733576387E-2</v>
      </c>
      <c r="X474" s="18">
        <f t="shared" si="232"/>
        <v>5.1678239830535407E-3</v>
      </c>
      <c r="Y474" s="18">
        <f t="shared" si="233"/>
        <v>2.5269079384360087E-3</v>
      </c>
      <c r="AA474" s="18">
        <f t="shared" si="215"/>
        <v>-0.19094414159156656</v>
      </c>
      <c r="AB474" s="18">
        <f t="shared" si="216"/>
        <v>3.6459665208140216E-2</v>
      </c>
      <c r="AC474" s="18">
        <f t="shared" si="218"/>
        <v>1.735109037605953E-2</v>
      </c>
      <c r="AD474" s="18">
        <f t="shared" si="220"/>
        <v>3.79051386316181E-3</v>
      </c>
      <c r="AE474" s="18">
        <f t="shared" si="222"/>
        <v>2.4006561340139912E-2</v>
      </c>
      <c r="AF474" s="18">
        <f t="shared" si="224"/>
        <v>9.7711962848082458E-3</v>
      </c>
      <c r="AG474" s="18">
        <f t="shared" si="226"/>
        <v>1.1447392206573226E-3</v>
      </c>
      <c r="AH474" s="18">
        <f t="shared" si="228"/>
        <v>6.0817082815653395E-3</v>
      </c>
      <c r="AJ474" s="18">
        <f>IF(ISNUMBER(Kernel!M474),Kernel!M474,"")</f>
        <v>-0.16948828970864882</v>
      </c>
      <c r="AK474" s="18">
        <f t="shared" si="213"/>
        <v>2.8726280348362873E-2</v>
      </c>
      <c r="AN474" s="18">
        <f>IF(ISNUMBER(Volcanic!G474),Volcanic!G474,"")</f>
        <v>4.3299999999999996E-3</v>
      </c>
    </row>
    <row r="475" spans="1:40">
      <c r="A475" s="18" t="str">
        <f>IF(Volcanic!A475="","",Volcanic!A475)</f>
        <v>8/1997</v>
      </c>
      <c r="B475" s="18">
        <f>IF(ISNUMBER(Volcanic!L475),Volcanic!L475,"")</f>
        <v>1997.625</v>
      </c>
      <c r="C475" s="18">
        <f>IF(ISNUMBER(Volcanic!J475),Volcanic!J475,"")</f>
        <v>-0.10022015847950916</v>
      </c>
      <c r="D475" s="18">
        <f t="shared" si="206"/>
        <v>1.0044080165657932E-2</v>
      </c>
      <c r="E475" s="18">
        <f>IF(ISNUMBER(Volcanic!C475),Volcanic!C475,"")</f>
        <v>0.37215612821390631</v>
      </c>
      <c r="F475" s="18">
        <f>IF(ISNUMBER(Volcanic!D475),Volcanic!D475,"")</f>
        <v>0.71</v>
      </c>
      <c r="G475" s="18">
        <f>IF(ISNUMBER(Volcanic!E475),Volcanic!E475,"")</f>
        <v>4.7299999999999998E-3</v>
      </c>
      <c r="H475" s="18">
        <f t="shared" si="207"/>
        <v>0.13850018376716547</v>
      </c>
      <c r="I475" s="18">
        <f t="shared" si="208"/>
        <v>0.50409999999999999</v>
      </c>
      <c r="J475" s="18">
        <f t="shared" si="209"/>
        <v>2.2372899999999997E-5</v>
      </c>
      <c r="K475" s="18">
        <f t="shared" si="210"/>
        <v>0.26423085103187349</v>
      </c>
      <c r="L475" s="18">
        <f t="shared" si="211"/>
        <v>1.7602984864517768E-3</v>
      </c>
      <c r="M475" s="18">
        <f t="shared" si="212"/>
        <v>3.3582999999999998E-3</v>
      </c>
      <c r="N475" s="18">
        <f t="shared" si="214"/>
        <v>2.3775099890152793E-2</v>
      </c>
      <c r="O475" s="18">
        <f t="shared" si="217"/>
        <v>5.3428931350886343E-3</v>
      </c>
      <c r="P475" s="18">
        <f t="shared" si="219"/>
        <v>1.3596348484901787E-2</v>
      </c>
      <c r="Q475" s="18">
        <f t="shared" si="221"/>
        <v>1.1981273356698335E-2</v>
      </c>
      <c r="R475" s="18">
        <f t="shared" si="223"/>
        <v>8.1822974976128518E-3</v>
      </c>
      <c r="S475" s="18">
        <f t="shared" si="225"/>
        <v>2.7865830369638254E-4</v>
      </c>
      <c r="T475" s="18">
        <f t="shared" si="227"/>
        <v>1.0098423788971861E-2</v>
      </c>
      <c r="U475" s="18">
        <f t="shared" si="229"/>
        <v>2.0034892221045385E-3</v>
      </c>
      <c r="V475" s="18">
        <f t="shared" si="230"/>
        <v>3.0142347832865657E-4</v>
      </c>
      <c r="W475" s="18">
        <f t="shared" si="231"/>
        <v>2.9745753338032591E-2</v>
      </c>
      <c r="X475" s="18">
        <f t="shared" si="232"/>
        <v>1.6797038733576387E-2</v>
      </c>
      <c r="Y475" s="18">
        <f t="shared" si="233"/>
        <v>5.1678239830535407E-3</v>
      </c>
      <c r="AA475" s="18">
        <f t="shared" si="215"/>
        <v>-2.2692194549001968E-2</v>
      </c>
      <c r="AB475" s="18">
        <f t="shared" si="216"/>
        <v>5.1493569344975465E-4</v>
      </c>
      <c r="AC475" s="18">
        <f t="shared" si="218"/>
        <v>3.6459665208140216E-2</v>
      </c>
      <c r="AD475" s="18">
        <f t="shared" si="220"/>
        <v>1.735109037605953E-2</v>
      </c>
      <c r="AE475" s="18">
        <f t="shared" si="222"/>
        <v>3.79051386316181E-3</v>
      </c>
      <c r="AF475" s="18">
        <f t="shared" si="224"/>
        <v>2.4006561340139912E-2</v>
      </c>
      <c r="AG475" s="18">
        <f t="shared" si="226"/>
        <v>9.7711962848082458E-3</v>
      </c>
      <c r="AH475" s="18">
        <f t="shared" si="228"/>
        <v>1.1447392206573226E-3</v>
      </c>
      <c r="AJ475" s="18">
        <f>IF(ISNUMBER(Kernel!M475),Kernel!M475,"")</f>
        <v>-0.10997949336840096</v>
      </c>
      <c r="AK475" s="18">
        <f t="shared" si="213"/>
        <v>1.2095488961570151E-2</v>
      </c>
      <c r="AN475" s="18">
        <f>IF(ISNUMBER(Volcanic!G475),Volcanic!G475,"")</f>
        <v>4.3600000000000002E-3</v>
      </c>
    </row>
    <row r="476" spans="1:40">
      <c r="A476" s="18" t="str">
        <f>IF(Volcanic!A476="","",Volcanic!A476)</f>
        <v>9/1997</v>
      </c>
      <c r="B476" s="18">
        <f>IF(ISNUMBER(Volcanic!L476),Volcanic!L476,"")</f>
        <v>1997.7083333333333</v>
      </c>
      <c r="C476" s="18">
        <f>IF(ISNUMBER(Volcanic!J476),Volcanic!J476,"")</f>
        <v>-8.1411900686084726E-3</v>
      </c>
      <c r="D476" s="18">
        <f t="shared" si="206"/>
        <v>6.6278975733209227E-5</v>
      </c>
      <c r="E476" s="18">
        <f>IF(ISNUMBER(Volcanic!C476),Volcanic!C476,"")</f>
        <v>0.36433229663226918</v>
      </c>
      <c r="F476" s="18">
        <f>IF(ISNUMBER(Volcanic!D476),Volcanic!D476,"")</f>
        <v>1.1299999999999999</v>
      </c>
      <c r="G476" s="18">
        <f>IF(ISNUMBER(Volcanic!E476),Volcanic!E476,"")</f>
        <v>4.5999999999999999E-3</v>
      </c>
      <c r="H476" s="18">
        <f t="shared" si="207"/>
        <v>0.13273802236934379</v>
      </c>
      <c r="I476" s="18">
        <f t="shared" si="208"/>
        <v>1.2768999999999997</v>
      </c>
      <c r="J476" s="18">
        <f t="shared" si="209"/>
        <v>2.1160000000000001E-5</v>
      </c>
      <c r="K476" s="18">
        <f t="shared" si="210"/>
        <v>0.41169549519446413</v>
      </c>
      <c r="L476" s="18">
        <f t="shared" si="211"/>
        <v>1.6759285645084382E-3</v>
      </c>
      <c r="M476" s="18">
        <f t="shared" si="212"/>
        <v>5.1979999999999995E-3</v>
      </c>
      <c r="N476" s="18">
        <f t="shared" si="214"/>
        <v>1.0044080165657932E-2</v>
      </c>
      <c r="O476" s="18">
        <f t="shared" si="217"/>
        <v>2.3775099890152793E-2</v>
      </c>
      <c r="P476" s="18">
        <f t="shared" si="219"/>
        <v>5.3428931350886343E-3</v>
      </c>
      <c r="Q476" s="18">
        <f t="shared" si="221"/>
        <v>1.3596348484901787E-2</v>
      </c>
      <c r="R476" s="18">
        <f t="shared" si="223"/>
        <v>1.1981273356698335E-2</v>
      </c>
      <c r="S476" s="18">
        <f t="shared" si="225"/>
        <v>8.1822974976128518E-3</v>
      </c>
      <c r="T476" s="18">
        <f t="shared" si="227"/>
        <v>2.7865830369638254E-4</v>
      </c>
      <c r="U476" s="18">
        <f t="shared" si="229"/>
        <v>1.0098423788971861E-2</v>
      </c>
      <c r="V476" s="18">
        <f t="shared" si="230"/>
        <v>2.0034892221045385E-3</v>
      </c>
      <c r="W476" s="18">
        <f t="shared" si="231"/>
        <v>3.0142347832865657E-4</v>
      </c>
      <c r="X476" s="18">
        <f t="shared" si="232"/>
        <v>2.9745753338032591E-2</v>
      </c>
      <c r="Y476" s="18">
        <f t="shared" si="233"/>
        <v>1.6797038733576387E-2</v>
      </c>
      <c r="AA476" s="18">
        <f t="shared" si="215"/>
        <v>4.2249730056141764E-2</v>
      </c>
      <c r="AB476" s="18">
        <f t="shared" si="216"/>
        <v>1.7850396898168488E-3</v>
      </c>
      <c r="AC476" s="18">
        <f t="shared" si="218"/>
        <v>5.1493569344975465E-4</v>
      </c>
      <c r="AD476" s="18">
        <f t="shared" si="220"/>
        <v>3.6459665208140216E-2</v>
      </c>
      <c r="AE476" s="18">
        <f t="shared" si="222"/>
        <v>1.735109037605953E-2</v>
      </c>
      <c r="AF476" s="18">
        <f t="shared" si="224"/>
        <v>3.79051386316181E-3</v>
      </c>
      <c r="AG476" s="18">
        <f t="shared" si="226"/>
        <v>2.4006561340139912E-2</v>
      </c>
      <c r="AH476" s="18">
        <f t="shared" si="228"/>
        <v>9.7711962848082458E-3</v>
      </c>
      <c r="AJ476" s="18">
        <f>IF(ISNUMBER(Kernel!M476),Kernel!M476,"")</f>
        <v>-1.1886471274329513E-2</v>
      </c>
      <c r="AK476" s="18">
        <f t="shared" si="213"/>
        <v>1.4128819935546068E-4</v>
      </c>
      <c r="AN476" s="18">
        <f>IF(ISNUMBER(Volcanic!G476),Volcanic!G476,"")</f>
        <v>4.4000000000000003E-3</v>
      </c>
    </row>
    <row r="477" spans="1:40">
      <c r="A477" s="18" t="str">
        <f>IF(Volcanic!A477="","",Volcanic!A477)</f>
        <v>10/1997</v>
      </c>
      <c r="B477" s="18">
        <f>IF(ISNUMBER(Volcanic!L477),Volcanic!L477,"")</f>
        <v>1997.7916666666667</v>
      </c>
      <c r="C477" s="18">
        <f>IF(ISNUMBER(Volcanic!J477),Volcanic!J477,"")</f>
        <v>4.3356872611731823E-2</v>
      </c>
      <c r="D477" s="18">
        <f t="shared" si="206"/>
        <v>1.8798184026699411E-3</v>
      </c>
      <c r="E477" s="18">
        <f>IF(ISNUMBER(Volcanic!C477),Volcanic!C477,"")</f>
        <v>0.36645211340564054</v>
      </c>
      <c r="F477" s="18">
        <f>IF(ISNUMBER(Volcanic!D477),Volcanic!D477,"")</f>
        <v>1.48</v>
      </c>
      <c r="G477" s="18">
        <f>IF(ISNUMBER(Volcanic!E477),Volcanic!E477,"")</f>
        <v>4.4900000000000001E-3</v>
      </c>
      <c r="H477" s="18">
        <f t="shared" si="207"/>
        <v>0.13428715141946043</v>
      </c>
      <c r="I477" s="18">
        <f t="shared" si="208"/>
        <v>2.1903999999999999</v>
      </c>
      <c r="J477" s="18">
        <f t="shared" si="209"/>
        <v>2.01601E-5</v>
      </c>
      <c r="K477" s="18">
        <f t="shared" si="210"/>
        <v>0.54234912784034806</v>
      </c>
      <c r="L477" s="18">
        <f t="shared" si="211"/>
        <v>1.6453699891913261E-3</v>
      </c>
      <c r="M477" s="18">
        <f t="shared" si="212"/>
        <v>6.6452000000000004E-3</v>
      </c>
      <c r="N477" s="18">
        <f t="shared" si="214"/>
        <v>6.6278975733209227E-5</v>
      </c>
      <c r="O477" s="18">
        <f t="shared" si="217"/>
        <v>1.0044080165657932E-2</v>
      </c>
      <c r="P477" s="18">
        <f t="shared" si="219"/>
        <v>2.3775099890152793E-2</v>
      </c>
      <c r="Q477" s="18">
        <f t="shared" si="221"/>
        <v>5.3428931350886343E-3</v>
      </c>
      <c r="R477" s="18">
        <f t="shared" si="223"/>
        <v>1.3596348484901787E-2</v>
      </c>
      <c r="S477" s="18">
        <f t="shared" si="225"/>
        <v>1.1981273356698335E-2</v>
      </c>
      <c r="T477" s="18">
        <f t="shared" si="227"/>
        <v>8.1822974976128518E-3</v>
      </c>
      <c r="U477" s="18">
        <f t="shared" si="229"/>
        <v>2.7865830369638254E-4</v>
      </c>
      <c r="V477" s="18">
        <f t="shared" si="230"/>
        <v>1.0098423788971861E-2</v>
      </c>
      <c r="W477" s="18">
        <f t="shared" si="231"/>
        <v>2.0034892221045385E-3</v>
      </c>
      <c r="X477" s="18">
        <f t="shared" si="232"/>
        <v>3.0142347832865657E-4</v>
      </c>
      <c r="Y477" s="18">
        <f t="shared" si="233"/>
        <v>2.9745753338032591E-2</v>
      </c>
      <c r="AA477" s="18">
        <f t="shared" si="215"/>
        <v>4.7450281210277764E-2</v>
      </c>
      <c r="AB477" s="18">
        <f t="shared" si="216"/>
        <v>2.2515291869344392E-3</v>
      </c>
      <c r="AC477" s="18">
        <f t="shared" si="218"/>
        <v>1.7850396898168488E-3</v>
      </c>
      <c r="AD477" s="18">
        <f t="shared" si="220"/>
        <v>5.1493569344975465E-4</v>
      </c>
      <c r="AE477" s="18">
        <f t="shared" si="222"/>
        <v>3.6459665208140216E-2</v>
      </c>
      <c r="AF477" s="18">
        <f t="shared" si="224"/>
        <v>1.735109037605953E-2</v>
      </c>
      <c r="AG477" s="18">
        <f t="shared" si="226"/>
        <v>3.79051386316181E-3</v>
      </c>
      <c r="AH477" s="18">
        <f t="shared" si="228"/>
        <v>2.4006561340139912E-2</v>
      </c>
      <c r="AJ477" s="18">
        <f>IF(ISNUMBER(Kernel!M477),Kernel!M477,"")</f>
        <v>3.9995478230981374E-2</v>
      </c>
      <c r="AK477" s="18">
        <f t="shared" si="213"/>
        <v>1.5996382789249049E-3</v>
      </c>
      <c r="AN477" s="18">
        <f>IF(ISNUMBER(Volcanic!G477),Volcanic!G477,"")</f>
        <v>4.3600000000000002E-3</v>
      </c>
    </row>
    <row r="478" spans="1:40">
      <c r="A478" s="18" t="str">
        <f>IF(Volcanic!A478="","",Volcanic!A478)</f>
        <v>11/1997</v>
      </c>
      <c r="B478" s="18">
        <f>IF(ISNUMBER(Volcanic!L478),Volcanic!L478,"")</f>
        <v>1997.875</v>
      </c>
      <c r="C478" s="18">
        <f>IF(ISNUMBER(Volcanic!J478),Volcanic!J478,"")</f>
        <v>3.6231627749587769E-2</v>
      </c>
      <c r="D478" s="18">
        <f t="shared" si="206"/>
        <v>1.3127308493846984E-3</v>
      </c>
      <c r="E478" s="18">
        <f>IF(ISNUMBER(Volcanic!C478),Volcanic!C478,"")</f>
        <v>0.37315102173715475</v>
      </c>
      <c r="F478" s="18">
        <f>IF(ISNUMBER(Volcanic!D478),Volcanic!D478,"")</f>
        <v>1.79</v>
      </c>
      <c r="G478" s="18">
        <f>IF(ISNUMBER(Volcanic!E478),Volcanic!E478,"")</f>
        <v>4.45E-3</v>
      </c>
      <c r="H478" s="18">
        <f t="shared" si="207"/>
        <v>0.13924168502348253</v>
      </c>
      <c r="I478" s="18">
        <f t="shared" si="208"/>
        <v>3.2040999999999999</v>
      </c>
      <c r="J478" s="18">
        <f t="shared" si="209"/>
        <v>1.9802499999999999E-5</v>
      </c>
      <c r="K478" s="18">
        <f t="shared" si="210"/>
        <v>0.66794032890950705</v>
      </c>
      <c r="L478" s="18">
        <f t="shared" si="211"/>
        <v>1.6605220467303386E-3</v>
      </c>
      <c r="M478" s="18">
        <f t="shared" si="212"/>
        <v>7.9655000000000004E-3</v>
      </c>
      <c r="N478" s="18">
        <f t="shared" si="214"/>
        <v>1.8798184026699411E-3</v>
      </c>
      <c r="O478" s="18">
        <f t="shared" si="217"/>
        <v>6.6278975733209227E-5</v>
      </c>
      <c r="P478" s="18">
        <f t="shared" si="219"/>
        <v>1.0044080165657932E-2</v>
      </c>
      <c r="Q478" s="18">
        <f t="shared" si="221"/>
        <v>2.3775099890152793E-2</v>
      </c>
      <c r="R478" s="18">
        <f t="shared" si="223"/>
        <v>5.3428931350886343E-3</v>
      </c>
      <c r="S478" s="18">
        <f t="shared" si="225"/>
        <v>1.3596348484901787E-2</v>
      </c>
      <c r="T478" s="18">
        <f t="shared" si="227"/>
        <v>1.1981273356698335E-2</v>
      </c>
      <c r="U478" s="18">
        <f t="shared" si="229"/>
        <v>8.1822974976128518E-3</v>
      </c>
      <c r="V478" s="18">
        <f t="shared" si="230"/>
        <v>2.7865830369638254E-4</v>
      </c>
      <c r="W478" s="18">
        <f t="shared" si="231"/>
        <v>1.0098423788971861E-2</v>
      </c>
      <c r="X478" s="18">
        <f t="shared" si="232"/>
        <v>2.0034892221045385E-3</v>
      </c>
      <c r="Y478" s="18">
        <f t="shared" si="233"/>
        <v>3.0142347832865657E-4</v>
      </c>
      <c r="AA478" s="18">
        <f t="shared" si="215"/>
        <v>1.4431695103467992E-2</v>
      </c>
      <c r="AB478" s="18">
        <f t="shared" si="216"/>
        <v>2.0827382355946203E-4</v>
      </c>
      <c r="AC478" s="18">
        <f t="shared" si="218"/>
        <v>2.2515291869344392E-3</v>
      </c>
      <c r="AD478" s="18">
        <f t="shared" si="220"/>
        <v>1.7850396898168488E-3</v>
      </c>
      <c r="AE478" s="18">
        <f t="shared" si="222"/>
        <v>5.1493569344975465E-4</v>
      </c>
      <c r="AF478" s="18">
        <f t="shared" si="224"/>
        <v>3.6459665208140216E-2</v>
      </c>
      <c r="AG478" s="18">
        <f t="shared" si="226"/>
        <v>1.735109037605953E-2</v>
      </c>
      <c r="AH478" s="18">
        <f t="shared" si="228"/>
        <v>3.79051386316181E-3</v>
      </c>
      <c r="AJ478" s="18">
        <f>IF(ISNUMBER(Kernel!M478),Kernel!M478,"")</f>
        <v>3.2257881438901848E-2</v>
      </c>
      <c r="AK478" s="18">
        <f t="shared" si="213"/>
        <v>1.0405709149262483E-3</v>
      </c>
      <c r="AN478" s="18">
        <f>IF(ISNUMBER(Volcanic!G478),Volcanic!G478,"")</f>
        <v>4.3899999999999998E-3</v>
      </c>
    </row>
    <row r="479" spans="1:40">
      <c r="A479" s="18" t="str">
        <f>IF(Volcanic!A479="","",Volcanic!A479)</f>
        <v>12/1997</v>
      </c>
      <c r="B479" s="18">
        <f>IF(ISNUMBER(Volcanic!L479),Volcanic!L479,"")</f>
        <v>1997.9583333333333</v>
      </c>
      <c r="C479" s="18">
        <f>IF(ISNUMBER(Volcanic!J479),Volcanic!J479,"")</f>
        <v>-6.7119019682415515E-2</v>
      </c>
      <c r="D479" s="18">
        <f t="shared" si="206"/>
        <v>4.5049628031284816E-3</v>
      </c>
      <c r="E479" s="18">
        <f>IF(ISNUMBER(Volcanic!C479),Volcanic!C479,"")</f>
        <v>0.38053156694990453</v>
      </c>
      <c r="F479" s="18">
        <f>IF(ISNUMBER(Volcanic!D479),Volcanic!D479,"")</f>
        <v>2.04</v>
      </c>
      <c r="G479" s="18">
        <f>IF(ISNUMBER(Volcanic!E479),Volcanic!E479,"")</f>
        <v>4.4400000000000004E-3</v>
      </c>
      <c r="H479" s="18">
        <f t="shared" si="207"/>
        <v>0.14480427344534968</v>
      </c>
      <c r="I479" s="18">
        <f t="shared" si="208"/>
        <v>4.1616</v>
      </c>
      <c r="J479" s="18">
        <f t="shared" si="209"/>
        <v>1.9713600000000004E-5</v>
      </c>
      <c r="K479" s="18">
        <f t="shared" si="210"/>
        <v>0.77628439657780524</v>
      </c>
      <c r="L479" s="18">
        <f t="shared" si="211"/>
        <v>1.6895601572575762E-3</v>
      </c>
      <c r="M479" s="18">
        <f t="shared" si="212"/>
        <v>9.0576000000000007E-3</v>
      </c>
      <c r="N479" s="18">
        <f t="shared" si="214"/>
        <v>1.3127308493846984E-3</v>
      </c>
      <c r="O479" s="18">
        <f t="shared" si="217"/>
        <v>1.8798184026699411E-3</v>
      </c>
      <c r="P479" s="18">
        <f t="shared" si="219"/>
        <v>6.6278975733209227E-5</v>
      </c>
      <c r="Q479" s="18">
        <f t="shared" si="221"/>
        <v>1.0044080165657932E-2</v>
      </c>
      <c r="R479" s="18">
        <f t="shared" si="223"/>
        <v>2.3775099890152793E-2</v>
      </c>
      <c r="S479" s="18">
        <f t="shared" si="225"/>
        <v>5.3428931350886343E-3</v>
      </c>
      <c r="T479" s="18">
        <f t="shared" si="227"/>
        <v>1.3596348484901787E-2</v>
      </c>
      <c r="U479" s="18">
        <f t="shared" si="229"/>
        <v>1.1981273356698335E-2</v>
      </c>
      <c r="V479" s="18">
        <f t="shared" si="230"/>
        <v>8.1822974976128518E-3</v>
      </c>
      <c r="W479" s="18">
        <f t="shared" si="231"/>
        <v>2.7865830369638254E-4</v>
      </c>
      <c r="X479" s="18">
        <f t="shared" si="232"/>
        <v>1.0098423788971861E-2</v>
      </c>
      <c r="Y479" s="18">
        <f t="shared" si="233"/>
        <v>2.0034892221045385E-3</v>
      </c>
      <c r="AA479" s="18">
        <f t="shared" si="215"/>
        <v>-8.5336363254990791E-2</v>
      </c>
      <c r="AB479" s="18">
        <f t="shared" si="216"/>
        <v>7.2822948935877428E-3</v>
      </c>
      <c r="AC479" s="18">
        <f t="shared" si="218"/>
        <v>2.0827382355946203E-4</v>
      </c>
      <c r="AD479" s="18">
        <f t="shared" si="220"/>
        <v>2.2515291869344392E-3</v>
      </c>
      <c r="AE479" s="18">
        <f t="shared" si="222"/>
        <v>1.7850396898168488E-3</v>
      </c>
      <c r="AF479" s="18">
        <f t="shared" si="224"/>
        <v>5.1493569344975465E-4</v>
      </c>
      <c r="AG479" s="18">
        <f t="shared" si="226"/>
        <v>3.6459665208140216E-2</v>
      </c>
      <c r="AH479" s="18">
        <f t="shared" si="228"/>
        <v>1.735109037605953E-2</v>
      </c>
      <c r="AJ479" s="18">
        <f>IF(ISNUMBER(Kernel!M479),Kernel!M479,"")</f>
        <v>-7.3471041685259419E-2</v>
      </c>
      <c r="AK479" s="18">
        <f t="shared" si="213"/>
        <v>5.3979939663171272E-3</v>
      </c>
      <c r="AN479" s="18">
        <f>IF(ISNUMBER(Volcanic!G479),Volcanic!G479,"")</f>
        <v>4.3899999999999998E-3</v>
      </c>
    </row>
    <row r="480" spans="1:40">
      <c r="A480" s="18" t="str">
        <f>IF(Volcanic!A480="","",Volcanic!A480)</f>
        <v>1/1998</v>
      </c>
      <c r="B480" s="18">
        <f>IF(ISNUMBER(Volcanic!L480),Volcanic!L480,"")</f>
        <v>1998.0416666666667</v>
      </c>
      <c r="C480" s="18">
        <f>IF(ISNUMBER(Volcanic!J480),Volcanic!J480,"")</f>
        <v>-0.10532009845530832</v>
      </c>
      <c r="D480" s="18">
        <f t="shared" si="206"/>
        <v>1.1092323138635838E-2</v>
      </c>
      <c r="E480" s="18">
        <f>IF(ISNUMBER(Volcanic!C480),Volcanic!C480,"")</f>
        <v>0.38401032363198068</v>
      </c>
      <c r="F480" s="18">
        <f>IF(ISNUMBER(Volcanic!D480),Volcanic!D480,"")</f>
        <v>2.2400000000000002</v>
      </c>
      <c r="G480" s="18">
        <f>IF(ISNUMBER(Volcanic!E480),Volcanic!E480,"")</f>
        <v>4.3699999999999998E-3</v>
      </c>
      <c r="H480" s="18">
        <f t="shared" si="207"/>
        <v>0.14746392865593855</v>
      </c>
      <c r="I480" s="18">
        <f t="shared" si="208"/>
        <v>5.0176000000000007</v>
      </c>
      <c r="J480" s="18">
        <f t="shared" si="209"/>
        <v>1.9096899999999997E-5</v>
      </c>
      <c r="K480" s="18">
        <f t="shared" si="210"/>
        <v>0.86018312493563676</v>
      </c>
      <c r="L480" s="18">
        <f t="shared" si="211"/>
        <v>1.6781251142717554E-3</v>
      </c>
      <c r="M480" s="18">
        <f t="shared" si="212"/>
        <v>9.7888000000000003E-3</v>
      </c>
      <c r="N480" s="18">
        <f t="shared" si="214"/>
        <v>4.5049628031284816E-3</v>
      </c>
      <c r="O480" s="18">
        <f t="shared" si="217"/>
        <v>1.3127308493846984E-3</v>
      </c>
      <c r="P480" s="18">
        <f t="shared" si="219"/>
        <v>1.8798184026699411E-3</v>
      </c>
      <c r="Q480" s="18">
        <f t="shared" si="221"/>
        <v>6.6278975733209227E-5</v>
      </c>
      <c r="R480" s="18">
        <f t="shared" si="223"/>
        <v>1.0044080165657932E-2</v>
      </c>
      <c r="S480" s="18">
        <f t="shared" si="225"/>
        <v>2.3775099890152793E-2</v>
      </c>
      <c r="T480" s="18">
        <f t="shared" si="227"/>
        <v>5.3428931350886343E-3</v>
      </c>
      <c r="U480" s="18">
        <f t="shared" si="229"/>
        <v>1.3596348484901787E-2</v>
      </c>
      <c r="V480" s="18">
        <f t="shared" si="230"/>
        <v>1.1981273356698335E-2</v>
      </c>
      <c r="W480" s="18">
        <f t="shared" si="231"/>
        <v>8.1822974976128518E-3</v>
      </c>
      <c r="X480" s="18">
        <f t="shared" si="232"/>
        <v>2.7865830369638254E-4</v>
      </c>
      <c r="Y480" s="18">
        <f t="shared" si="233"/>
        <v>1.0098423788971861E-2</v>
      </c>
      <c r="AA480" s="18">
        <f t="shared" si="215"/>
        <v>-7.1572505047145268E-2</v>
      </c>
      <c r="AB480" s="18">
        <f t="shared" si="216"/>
        <v>5.1226234787236351E-3</v>
      </c>
      <c r="AC480" s="18">
        <f t="shared" si="218"/>
        <v>7.2822948935877428E-3</v>
      </c>
      <c r="AD480" s="18">
        <f t="shared" si="220"/>
        <v>2.0827382355946203E-4</v>
      </c>
      <c r="AE480" s="18">
        <f t="shared" si="222"/>
        <v>2.2515291869344392E-3</v>
      </c>
      <c r="AF480" s="18">
        <f t="shared" si="224"/>
        <v>1.7850396898168488E-3</v>
      </c>
      <c r="AG480" s="18">
        <f t="shared" si="226"/>
        <v>5.1493569344975465E-4</v>
      </c>
      <c r="AH480" s="18">
        <f t="shared" si="228"/>
        <v>3.6459665208140216E-2</v>
      </c>
      <c r="AJ480" s="18">
        <f>IF(ISNUMBER(Kernel!M480),Kernel!M480,"")</f>
        <v>-0.11149852321355391</v>
      </c>
      <c r="AK480" s="18">
        <f t="shared" si="213"/>
        <v>1.2431920678803421E-2</v>
      </c>
      <c r="AN480" s="18">
        <f>IF(ISNUMBER(Volcanic!G480),Volcanic!G480,"")</f>
        <v>4.3400000000000001E-3</v>
      </c>
    </row>
    <row r="481" spans="1:40">
      <c r="A481" s="18" t="str">
        <f>IF(Volcanic!A481="","",Volcanic!A481)</f>
        <v>2/1998</v>
      </c>
      <c r="B481" s="18">
        <f>IF(ISNUMBER(Volcanic!L481),Volcanic!L481,"")</f>
        <v>1998.125</v>
      </c>
      <c r="C481" s="18">
        <f>IF(ISNUMBER(Volcanic!J481),Volcanic!J481,"")</f>
        <v>0.17767389468494932</v>
      </c>
      <c r="D481" s="18">
        <f t="shared" si="206"/>
        <v>3.1568012852518465E-2</v>
      </c>
      <c r="E481" s="18">
        <f>IF(ISNUMBER(Volcanic!C481),Volcanic!C481,"")</f>
        <v>0.38681094647221681</v>
      </c>
      <c r="F481" s="18">
        <f>IF(ISNUMBER(Volcanic!D481),Volcanic!D481,"")</f>
        <v>2.34</v>
      </c>
      <c r="G481" s="18">
        <f>IF(ISNUMBER(Volcanic!E481),Volcanic!E481,"")</f>
        <v>4.3299999999999996E-3</v>
      </c>
      <c r="H481" s="18">
        <f t="shared" si="207"/>
        <v>0.14962270831073218</v>
      </c>
      <c r="I481" s="18">
        <f t="shared" si="208"/>
        <v>5.4755999999999991</v>
      </c>
      <c r="J481" s="18">
        <f t="shared" si="209"/>
        <v>1.8748899999999996E-5</v>
      </c>
      <c r="K481" s="18">
        <f t="shared" si="210"/>
        <v>0.90513761474498733</v>
      </c>
      <c r="L481" s="18">
        <f t="shared" si="211"/>
        <v>1.6748913982246986E-3</v>
      </c>
      <c r="M481" s="18">
        <f t="shared" si="212"/>
        <v>1.0132199999999999E-2</v>
      </c>
      <c r="N481" s="18">
        <f t="shared" si="214"/>
        <v>1.1092323138635838E-2</v>
      </c>
      <c r="O481" s="18">
        <f t="shared" si="217"/>
        <v>4.5049628031284816E-3</v>
      </c>
      <c r="P481" s="18">
        <f t="shared" si="219"/>
        <v>1.3127308493846984E-3</v>
      </c>
      <c r="Q481" s="18">
        <f t="shared" si="221"/>
        <v>1.8798184026699411E-3</v>
      </c>
      <c r="R481" s="18">
        <f t="shared" si="223"/>
        <v>6.6278975733209227E-5</v>
      </c>
      <c r="S481" s="18">
        <f t="shared" si="225"/>
        <v>1.0044080165657932E-2</v>
      </c>
      <c r="T481" s="18">
        <f t="shared" si="227"/>
        <v>2.3775099890152793E-2</v>
      </c>
      <c r="U481" s="18">
        <f t="shared" si="229"/>
        <v>5.3428931350886343E-3</v>
      </c>
      <c r="V481" s="18">
        <f t="shared" si="230"/>
        <v>1.3596348484901787E-2</v>
      </c>
      <c r="W481" s="18">
        <f t="shared" si="231"/>
        <v>1.1981273356698335E-2</v>
      </c>
      <c r="X481" s="18">
        <f t="shared" si="232"/>
        <v>8.1822974976128518E-3</v>
      </c>
      <c r="Y481" s="18">
        <f t="shared" si="233"/>
        <v>2.7865830369638254E-4</v>
      </c>
      <c r="AA481" s="18">
        <f t="shared" si="215"/>
        <v>0.23062907605075578</v>
      </c>
      <c r="AB481" s="18">
        <f t="shared" si="216"/>
        <v>5.3189770720025294E-2</v>
      </c>
      <c r="AC481" s="18">
        <f t="shared" si="218"/>
        <v>5.1226234787236351E-3</v>
      </c>
      <c r="AD481" s="18">
        <f t="shared" si="220"/>
        <v>7.2822948935877428E-3</v>
      </c>
      <c r="AE481" s="18">
        <f t="shared" si="222"/>
        <v>2.0827382355946203E-4</v>
      </c>
      <c r="AF481" s="18">
        <f t="shared" si="224"/>
        <v>2.2515291869344392E-3</v>
      </c>
      <c r="AG481" s="18">
        <f t="shared" si="226"/>
        <v>1.7850396898168488E-3</v>
      </c>
      <c r="AH481" s="18">
        <f t="shared" si="228"/>
        <v>5.1493569344975465E-4</v>
      </c>
      <c r="AJ481" s="18">
        <f>IF(ISNUMBER(Kernel!M481),Kernel!M481,"")</f>
        <v>0.17182098096514908</v>
      </c>
      <c r="AK481" s="18">
        <f t="shared" si="213"/>
        <v>2.9522449499826124E-2</v>
      </c>
      <c r="AN481" s="18">
        <f>IF(ISNUMBER(Volcanic!G481),Volcanic!G481,"")</f>
        <v>4.2599999999999999E-3</v>
      </c>
    </row>
    <row r="482" spans="1:40">
      <c r="A482" s="18" t="str">
        <f>IF(Volcanic!A482="","",Volcanic!A482)</f>
        <v>3/1998</v>
      </c>
      <c r="B482" s="18">
        <f>IF(ISNUMBER(Volcanic!L482),Volcanic!L482,"")</f>
        <v>1998.2083333333333</v>
      </c>
      <c r="C482" s="18">
        <f>IF(ISNUMBER(Volcanic!J482),Volcanic!J482,"")</f>
        <v>-8.8563177494679013E-2</v>
      </c>
      <c r="D482" s="18">
        <f t="shared" si="206"/>
        <v>7.84343640795402E-3</v>
      </c>
      <c r="E482" s="18">
        <f>IF(ISNUMBER(Volcanic!C482),Volcanic!C482,"")</f>
        <v>0.39176771995599674</v>
      </c>
      <c r="F482" s="18">
        <f>IF(ISNUMBER(Volcanic!D482),Volcanic!D482,"")</f>
        <v>2.37</v>
      </c>
      <c r="G482" s="18">
        <f>IF(ISNUMBER(Volcanic!E482),Volcanic!E482,"")</f>
        <v>4.3600000000000002E-3</v>
      </c>
      <c r="H482" s="18">
        <f t="shared" si="207"/>
        <v>0.15348194639952029</v>
      </c>
      <c r="I482" s="18">
        <f t="shared" si="208"/>
        <v>5.6169000000000002</v>
      </c>
      <c r="J482" s="18">
        <f t="shared" si="209"/>
        <v>1.9009600000000002E-5</v>
      </c>
      <c r="K482" s="18">
        <f t="shared" si="210"/>
        <v>0.92848949629571231</v>
      </c>
      <c r="L482" s="18">
        <f t="shared" si="211"/>
        <v>1.7081072590081458E-3</v>
      </c>
      <c r="M482" s="18">
        <f t="shared" si="212"/>
        <v>1.0333200000000001E-2</v>
      </c>
      <c r="N482" s="18">
        <f t="shared" si="214"/>
        <v>3.1568012852518465E-2</v>
      </c>
      <c r="O482" s="18">
        <f t="shared" si="217"/>
        <v>1.1092323138635838E-2</v>
      </c>
      <c r="P482" s="18">
        <f t="shared" si="219"/>
        <v>4.5049628031284816E-3</v>
      </c>
      <c r="Q482" s="18">
        <f t="shared" si="221"/>
        <v>1.3127308493846984E-3</v>
      </c>
      <c r="R482" s="18">
        <f t="shared" si="223"/>
        <v>1.8798184026699411E-3</v>
      </c>
      <c r="S482" s="18">
        <f t="shared" si="225"/>
        <v>6.6278975733209227E-5</v>
      </c>
      <c r="T482" s="18">
        <f t="shared" si="227"/>
        <v>1.0044080165657932E-2</v>
      </c>
      <c r="U482" s="18">
        <f t="shared" si="229"/>
        <v>2.3775099890152793E-2</v>
      </c>
      <c r="V482" s="18">
        <f t="shared" si="230"/>
        <v>5.3428931350886343E-3</v>
      </c>
      <c r="W482" s="18">
        <f t="shared" si="231"/>
        <v>1.3596348484901787E-2</v>
      </c>
      <c r="X482" s="18">
        <f t="shared" si="232"/>
        <v>1.1981273356698335E-2</v>
      </c>
      <c r="Y482" s="18">
        <f t="shared" si="233"/>
        <v>8.1822974976128518E-3</v>
      </c>
      <c r="AA482" s="18">
        <f t="shared" si="215"/>
        <v>-0.17789800963978197</v>
      </c>
      <c r="AB482" s="18">
        <f t="shared" si="216"/>
        <v>3.1647701833795963E-2</v>
      </c>
      <c r="AC482" s="18">
        <f t="shared" si="218"/>
        <v>5.3189770720025294E-2</v>
      </c>
      <c r="AD482" s="18">
        <f t="shared" si="220"/>
        <v>5.1226234787236351E-3</v>
      </c>
      <c r="AE482" s="18">
        <f t="shared" si="222"/>
        <v>7.2822948935877428E-3</v>
      </c>
      <c r="AF482" s="18">
        <f t="shared" si="224"/>
        <v>2.0827382355946203E-4</v>
      </c>
      <c r="AG482" s="18">
        <f t="shared" si="226"/>
        <v>2.2515291869344392E-3</v>
      </c>
      <c r="AH482" s="18">
        <f t="shared" si="228"/>
        <v>1.7850396898168488E-3</v>
      </c>
      <c r="AJ482" s="18">
        <f>IF(ISNUMBER(Kernel!M482),Kernel!M482,"")</f>
        <v>-8.8300155824380222E-2</v>
      </c>
      <c r="AK482" s="18">
        <f t="shared" si="213"/>
        <v>7.7969175186098283E-3</v>
      </c>
      <c r="AN482" s="18">
        <f>IF(ISNUMBER(Volcanic!G482),Volcanic!G482,"")</f>
        <v>4.1900000000000001E-3</v>
      </c>
    </row>
    <row r="483" spans="1:40">
      <c r="A483" s="18" t="str">
        <f>IF(Volcanic!A483="","",Volcanic!A483)</f>
        <v>4/1998</v>
      </c>
      <c r="B483" s="18">
        <f>IF(ISNUMBER(Volcanic!L483),Volcanic!L483,"")</f>
        <v>1998.2916666666667</v>
      </c>
      <c r="C483" s="18">
        <f>IF(ISNUMBER(Volcanic!J483),Volcanic!J483,"")</f>
        <v>-7.9843104440360135E-2</v>
      </c>
      <c r="D483" s="18">
        <f t="shared" si="206"/>
        <v>6.3749213266742566E-3</v>
      </c>
      <c r="E483" s="18">
        <f>IF(ISNUMBER(Volcanic!C483),Volcanic!C483,"")</f>
        <v>0.39737270943755826</v>
      </c>
      <c r="F483" s="18">
        <f>IF(ISNUMBER(Volcanic!D483),Volcanic!D483,"")</f>
        <v>2.2200000000000002</v>
      </c>
      <c r="G483" s="18">
        <f>IF(ISNUMBER(Volcanic!E483),Volcanic!E483,"")</f>
        <v>4.4000000000000003E-3</v>
      </c>
      <c r="H483" s="18">
        <f t="shared" si="207"/>
        <v>0.1579050702057461</v>
      </c>
      <c r="I483" s="18">
        <f t="shared" si="208"/>
        <v>4.9284000000000008</v>
      </c>
      <c r="J483" s="18">
        <f t="shared" si="209"/>
        <v>1.9360000000000001E-5</v>
      </c>
      <c r="K483" s="18">
        <f t="shared" si="210"/>
        <v>0.8821674149513794</v>
      </c>
      <c r="L483" s="18">
        <f t="shared" si="211"/>
        <v>1.7484399215252563E-3</v>
      </c>
      <c r="M483" s="18">
        <f t="shared" si="212"/>
        <v>9.7680000000000006E-3</v>
      </c>
      <c r="N483" s="18">
        <f t="shared" si="214"/>
        <v>7.84343640795402E-3</v>
      </c>
      <c r="O483" s="18">
        <f t="shared" si="217"/>
        <v>3.1568012852518465E-2</v>
      </c>
      <c r="P483" s="18">
        <f t="shared" si="219"/>
        <v>1.1092323138635838E-2</v>
      </c>
      <c r="Q483" s="18">
        <f t="shared" si="221"/>
        <v>4.5049628031284816E-3</v>
      </c>
      <c r="R483" s="18">
        <f t="shared" si="223"/>
        <v>1.3127308493846984E-3</v>
      </c>
      <c r="S483" s="18">
        <f t="shared" si="225"/>
        <v>1.8798184026699411E-3</v>
      </c>
      <c r="T483" s="18">
        <f t="shared" si="227"/>
        <v>6.6278975733209227E-5</v>
      </c>
      <c r="U483" s="18">
        <f t="shared" si="229"/>
        <v>1.0044080165657932E-2</v>
      </c>
      <c r="V483" s="18">
        <f t="shared" si="230"/>
        <v>2.3775099890152793E-2</v>
      </c>
      <c r="W483" s="18">
        <f t="shared" si="231"/>
        <v>5.3428931350886343E-3</v>
      </c>
      <c r="X483" s="18">
        <f t="shared" si="232"/>
        <v>1.3596348484901787E-2</v>
      </c>
      <c r="Y483" s="18">
        <f t="shared" si="233"/>
        <v>1.1981273356698335E-2</v>
      </c>
      <c r="AA483" s="18">
        <f t="shared" si="215"/>
        <v>-3.5313340460382987E-2</v>
      </c>
      <c r="AB483" s="18">
        <f t="shared" si="216"/>
        <v>1.2470320144709222E-3</v>
      </c>
      <c r="AC483" s="18">
        <f t="shared" si="218"/>
        <v>3.1647701833795963E-2</v>
      </c>
      <c r="AD483" s="18">
        <f t="shared" si="220"/>
        <v>5.3189770720025294E-2</v>
      </c>
      <c r="AE483" s="18">
        <f t="shared" si="222"/>
        <v>5.1226234787236351E-3</v>
      </c>
      <c r="AF483" s="18">
        <f t="shared" si="224"/>
        <v>7.2822948935877428E-3</v>
      </c>
      <c r="AG483" s="18">
        <f t="shared" si="226"/>
        <v>2.0827382355946203E-4</v>
      </c>
      <c r="AH483" s="18">
        <f t="shared" si="228"/>
        <v>2.2515291869344392E-3</v>
      </c>
      <c r="AJ483" s="18">
        <f>IF(ISNUMBER(Kernel!M483),Kernel!M483,"")</f>
        <v>-8.2704139076698491E-2</v>
      </c>
      <c r="AK483" s="18">
        <f t="shared" si="213"/>
        <v>6.8399746204178859E-3</v>
      </c>
      <c r="AN483" s="18">
        <f>IF(ISNUMBER(Volcanic!G483),Volcanic!G483,"")</f>
        <v>4.1700000000000001E-3</v>
      </c>
    </row>
    <row r="484" spans="1:40">
      <c r="A484" s="18" t="str">
        <f>IF(Volcanic!A484="","",Volcanic!A484)</f>
        <v>5/1998</v>
      </c>
      <c r="B484" s="18">
        <f>IF(ISNUMBER(Volcanic!L484),Volcanic!L484,"")</f>
        <v>1998.375</v>
      </c>
      <c r="C484" s="18">
        <f>IF(ISNUMBER(Volcanic!J484),Volcanic!J484,"")</f>
        <v>-1.9371695110682596E-2</v>
      </c>
      <c r="D484" s="18">
        <f t="shared" si="206"/>
        <v>3.7526257146124401E-4</v>
      </c>
      <c r="E484" s="18">
        <f>IF(ISNUMBER(Volcanic!C484),Volcanic!C484,"")</f>
        <v>0.40038178530727464</v>
      </c>
      <c r="F484" s="18">
        <f>IF(ISNUMBER(Volcanic!D484),Volcanic!D484,"")</f>
        <v>1.91</v>
      </c>
      <c r="G484" s="18">
        <f>IF(ISNUMBER(Volcanic!E484),Volcanic!E484,"")</f>
        <v>4.3600000000000002E-3</v>
      </c>
      <c r="H484" s="18">
        <f t="shared" si="207"/>
        <v>0.16030557400584056</v>
      </c>
      <c r="I484" s="18">
        <f t="shared" si="208"/>
        <v>3.6480999999999999</v>
      </c>
      <c r="J484" s="18">
        <f t="shared" si="209"/>
        <v>1.9009600000000002E-5</v>
      </c>
      <c r="K484" s="18">
        <f t="shared" si="210"/>
        <v>0.76472920993689453</v>
      </c>
      <c r="L484" s="18">
        <f t="shared" si="211"/>
        <v>1.7456645839397174E-3</v>
      </c>
      <c r="M484" s="18">
        <f t="shared" si="212"/>
        <v>8.3275999999999992E-3</v>
      </c>
      <c r="N484" s="18">
        <f t="shared" si="214"/>
        <v>6.3749213266742566E-3</v>
      </c>
      <c r="O484" s="18">
        <f t="shared" si="217"/>
        <v>7.84343640795402E-3</v>
      </c>
      <c r="P484" s="18">
        <f t="shared" si="219"/>
        <v>3.1568012852518465E-2</v>
      </c>
      <c r="Q484" s="18">
        <f t="shared" si="221"/>
        <v>1.1092323138635838E-2</v>
      </c>
      <c r="R484" s="18">
        <f t="shared" si="223"/>
        <v>4.5049628031284816E-3</v>
      </c>
      <c r="S484" s="18">
        <f t="shared" si="225"/>
        <v>1.3127308493846984E-3</v>
      </c>
      <c r="T484" s="18">
        <f t="shared" si="227"/>
        <v>1.8798184026699411E-3</v>
      </c>
      <c r="U484" s="18">
        <f t="shared" si="229"/>
        <v>6.6278975733209227E-5</v>
      </c>
      <c r="V484" s="18">
        <f t="shared" si="230"/>
        <v>1.0044080165657932E-2</v>
      </c>
      <c r="W484" s="18">
        <f t="shared" si="231"/>
        <v>2.3775099890152793E-2</v>
      </c>
      <c r="X484" s="18">
        <f t="shared" si="232"/>
        <v>5.3428931350886343E-3</v>
      </c>
      <c r="Y484" s="18">
        <f t="shared" si="233"/>
        <v>1.3596348484901787E-2</v>
      </c>
      <c r="AA484" s="18">
        <f t="shared" si="215"/>
        <v>2.0773596609135324E-2</v>
      </c>
      <c r="AB484" s="18">
        <f t="shared" si="216"/>
        <v>4.3154231607907864E-4</v>
      </c>
      <c r="AC484" s="18">
        <f t="shared" si="218"/>
        <v>1.2470320144709222E-3</v>
      </c>
      <c r="AD484" s="18">
        <f t="shared" si="220"/>
        <v>3.1647701833795963E-2</v>
      </c>
      <c r="AE484" s="18">
        <f t="shared" si="222"/>
        <v>5.3189770720025294E-2</v>
      </c>
      <c r="AF484" s="18">
        <f t="shared" si="224"/>
        <v>5.1226234787236351E-3</v>
      </c>
      <c r="AG484" s="18">
        <f t="shared" si="226"/>
        <v>7.2822948935877428E-3</v>
      </c>
      <c r="AH484" s="18">
        <f t="shared" si="228"/>
        <v>2.0827382355946203E-4</v>
      </c>
      <c r="AJ484" s="18">
        <f>IF(ISNUMBER(Kernel!M484),Kernel!M484,"")</f>
        <v>-2.8105328236826543E-2</v>
      </c>
      <c r="AK484" s="18">
        <f t="shared" si="213"/>
        <v>7.8990947529975939E-4</v>
      </c>
      <c r="AN484" s="18">
        <f>IF(ISNUMBER(Volcanic!G484),Volcanic!G484,"")</f>
        <v>4.2399999999999998E-3</v>
      </c>
    </row>
    <row r="485" spans="1:40">
      <c r="A485" s="18" t="str">
        <f>IF(Volcanic!A485="","",Volcanic!A485)</f>
        <v>6/1998</v>
      </c>
      <c r="B485" s="18">
        <f>IF(ISNUMBER(Volcanic!L485),Volcanic!L485,"")</f>
        <v>1998.4583333333333</v>
      </c>
      <c r="C485" s="18">
        <f>IF(ISNUMBER(Volcanic!J485),Volcanic!J485,"")</f>
        <v>0.12260081014699209</v>
      </c>
      <c r="D485" s="18">
        <f t="shared" si="206"/>
        <v>1.5030958648698798E-2</v>
      </c>
      <c r="E485" s="18">
        <f>IF(ISNUMBER(Volcanic!C485),Volcanic!C485,"")</f>
        <v>0.39870216614997578</v>
      </c>
      <c r="F485" s="18">
        <f>IF(ISNUMBER(Volcanic!D485),Volcanic!D485,"")</f>
        <v>1.4</v>
      </c>
      <c r="G485" s="18">
        <f>IF(ISNUMBER(Volcanic!E485),Volcanic!E485,"")</f>
        <v>4.3899999999999998E-3</v>
      </c>
      <c r="H485" s="18">
        <f t="shared" si="207"/>
        <v>0.1589634172926829</v>
      </c>
      <c r="I485" s="18">
        <f t="shared" si="208"/>
        <v>1.9599999999999997</v>
      </c>
      <c r="J485" s="18">
        <f t="shared" si="209"/>
        <v>1.9272099999999998E-5</v>
      </c>
      <c r="K485" s="18">
        <f t="shared" si="210"/>
        <v>0.55818303260996605</v>
      </c>
      <c r="L485" s="18">
        <f t="shared" si="211"/>
        <v>1.7503025093983935E-3</v>
      </c>
      <c r="M485" s="18">
        <f t="shared" si="212"/>
        <v>6.1459999999999996E-3</v>
      </c>
      <c r="N485" s="18">
        <f t="shared" si="214"/>
        <v>3.7526257146124401E-4</v>
      </c>
      <c r="O485" s="18">
        <f t="shared" si="217"/>
        <v>6.3749213266742566E-3</v>
      </c>
      <c r="P485" s="18">
        <f t="shared" si="219"/>
        <v>7.84343640795402E-3</v>
      </c>
      <c r="Q485" s="18">
        <f t="shared" si="221"/>
        <v>3.1568012852518465E-2</v>
      </c>
      <c r="R485" s="18">
        <f t="shared" si="223"/>
        <v>1.1092323138635838E-2</v>
      </c>
      <c r="S485" s="18">
        <f t="shared" si="225"/>
        <v>4.5049628031284816E-3</v>
      </c>
      <c r="T485" s="18">
        <f t="shared" si="227"/>
        <v>1.3127308493846984E-3</v>
      </c>
      <c r="U485" s="18">
        <f t="shared" si="229"/>
        <v>1.8798184026699411E-3</v>
      </c>
      <c r="V485" s="18">
        <f t="shared" si="230"/>
        <v>6.6278975733209227E-5</v>
      </c>
      <c r="W485" s="18">
        <f t="shared" si="231"/>
        <v>1.0044080165657932E-2</v>
      </c>
      <c r="X485" s="18">
        <f t="shared" si="232"/>
        <v>2.3775099890152793E-2</v>
      </c>
      <c r="Y485" s="18">
        <f t="shared" si="233"/>
        <v>5.3428931350886343E-3</v>
      </c>
      <c r="AA485" s="18">
        <f t="shared" si="215"/>
        <v>0.13234094183120815</v>
      </c>
      <c r="AB485" s="18">
        <f t="shared" si="216"/>
        <v>1.7514124884771217E-2</v>
      </c>
      <c r="AC485" s="18">
        <f t="shared" si="218"/>
        <v>4.3154231607907864E-4</v>
      </c>
      <c r="AD485" s="18">
        <f t="shared" si="220"/>
        <v>1.2470320144709222E-3</v>
      </c>
      <c r="AE485" s="18">
        <f t="shared" si="222"/>
        <v>3.1647701833795963E-2</v>
      </c>
      <c r="AF485" s="18">
        <f t="shared" si="224"/>
        <v>5.3189770720025294E-2</v>
      </c>
      <c r="AG485" s="18">
        <f t="shared" si="226"/>
        <v>5.1226234787236351E-3</v>
      </c>
      <c r="AH485" s="18">
        <f t="shared" si="228"/>
        <v>7.2822948935877428E-3</v>
      </c>
      <c r="AJ485" s="18">
        <f>IF(ISNUMBER(Kernel!M485),Kernel!M485,"")</f>
        <v>9.6032354516779606E-2</v>
      </c>
      <c r="AK485" s="18">
        <f t="shared" si="213"/>
        <v>9.22221311403644E-3</v>
      </c>
      <c r="AN485" s="18">
        <f>IF(ISNUMBER(Volcanic!G485),Volcanic!G485,"")</f>
        <v>4.1700000000000001E-3</v>
      </c>
    </row>
    <row r="486" spans="1:40">
      <c r="A486" s="18" t="str">
        <f>IF(Volcanic!A486="","",Volcanic!A486)</f>
        <v>7/1998</v>
      </c>
      <c r="B486" s="18">
        <f>IF(ISNUMBER(Volcanic!L486),Volcanic!L486,"")</f>
        <v>1998.5416666666667</v>
      </c>
      <c r="C486" s="18">
        <f>IF(ISNUMBER(Volcanic!J486),Volcanic!J486,"")</f>
        <v>5.921284581508679E-2</v>
      </c>
      <c r="D486" s="18">
        <f t="shared" si="206"/>
        <v>3.5061611095212413E-3</v>
      </c>
      <c r="E486" s="18">
        <f>IF(ISNUMBER(Volcanic!C486),Volcanic!C486,"")</f>
        <v>0.39420052964215635</v>
      </c>
      <c r="F486" s="18">
        <f>IF(ISNUMBER(Volcanic!D486),Volcanic!D486,"")</f>
        <v>1.03</v>
      </c>
      <c r="G486" s="18">
        <f>IF(ISNUMBER(Volcanic!E486),Volcanic!E486,"")</f>
        <v>4.3899999999999998E-3</v>
      </c>
      <c r="H486" s="18">
        <f t="shared" si="207"/>
        <v>0.15539405757015659</v>
      </c>
      <c r="I486" s="18">
        <f t="shared" si="208"/>
        <v>1.0609</v>
      </c>
      <c r="J486" s="18">
        <f t="shared" si="209"/>
        <v>1.9272099999999998E-5</v>
      </c>
      <c r="K486" s="18">
        <f t="shared" si="210"/>
        <v>0.40602654553142103</v>
      </c>
      <c r="L486" s="18">
        <f t="shared" si="211"/>
        <v>1.7305403251290663E-3</v>
      </c>
      <c r="M486" s="18">
        <f t="shared" si="212"/>
        <v>4.5217E-3</v>
      </c>
      <c r="N486" s="18">
        <f t="shared" si="214"/>
        <v>1.5030958648698798E-2</v>
      </c>
      <c r="O486" s="18">
        <f t="shared" si="217"/>
        <v>3.7526257146124401E-4</v>
      </c>
      <c r="P486" s="18">
        <f t="shared" si="219"/>
        <v>6.3749213266742566E-3</v>
      </c>
      <c r="Q486" s="18">
        <f t="shared" si="221"/>
        <v>7.84343640795402E-3</v>
      </c>
      <c r="R486" s="18">
        <f t="shared" si="223"/>
        <v>3.1568012852518465E-2</v>
      </c>
      <c r="S486" s="18">
        <f t="shared" si="225"/>
        <v>1.1092323138635838E-2</v>
      </c>
      <c r="T486" s="18">
        <f t="shared" si="227"/>
        <v>4.5049628031284816E-3</v>
      </c>
      <c r="U486" s="18">
        <f t="shared" si="229"/>
        <v>1.3127308493846984E-3</v>
      </c>
      <c r="V486" s="18">
        <f t="shared" si="230"/>
        <v>1.8798184026699411E-3</v>
      </c>
      <c r="W486" s="18">
        <f t="shared" si="231"/>
        <v>6.6278975733209227E-5</v>
      </c>
      <c r="X486" s="18">
        <f t="shared" si="232"/>
        <v>1.0044080165657932E-2</v>
      </c>
      <c r="Y486" s="18">
        <f t="shared" si="233"/>
        <v>2.3775099890152793E-2</v>
      </c>
      <c r="AA486" s="18">
        <f t="shared" si="215"/>
        <v>-2.4311160891431205E-3</v>
      </c>
      <c r="AB486" s="18">
        <f t="shared" si="216"/>
        <v>5.9103254388905409E-6</v>
      </c>
      <c r="AC486" s="18">
        <f t="shared" si="218"/>
        <v>1.7514124884771217E-2</v>
      </c>
      <c r="AD486" s="18">
        <f t="shared" si="220"/>
        <v>4.3154231607907864E-4</v>
      </c>
      <c r="AE486" s="18">
        <f t="shared" si="222"/>
        <v>1.2470320144709222E-3</v>
      </c>
      <c r="AF486" s="18">
        <f t="shared" si="224"/>
        <v>3.1647701833795963E-2</v>
      </c>
      <c r="AG486" s="18">
        <f t="shared" si="226"/>
        <v>5.3189770720025294E-2</v>
      </c>
      <c r="AH486" s="18">
        <f t="shared" si="228"/>
        <v>5.1226234787236351E-3</v>
      </c>
      <c r="AJ486" s="18">
        <f>IF(ISNUMBER(Kernel!M486),Kernel!M486,"")</f>
        <v>3.5149906263189701E-2</v>
      </c>
      <c r="AK486" s="18">
        <f t="shared" si="213"/>
        <v>1.2355159103110225E-3</v>
      </c>
      <c r="AN486" s="18">
        <f>IF(ISNUMBER(Volcanic!G486),Volcanic!G486,"")</f>
        <v>4.1900000000000001E-3</v>
      </c>
    </row>
    <row r="487" spans="1:40">
      <c r="A487" s="18" t="str">
        <f>IF(Volcanic!A487="","",Volcanic!A487)</f>
        <v>8/1998</v>
      </c>
      <c r="B487" s="18">
        <f>IF(ISNUMBER(Volcanic!L487),Volcanic!L487,"")</f>
        <v>1998.625</v>
      </c>
      <c r="C487" s="18">
        <f>IF(ISNUMBER(Volcanic!J487),Volcanic!J487,"")</f>
        <v>0.12771822838051328</v>
      </c>
      <c r="D487" s="18">
        <f t="shared" si="206"/>
        <v>1.6311945860656946E-2</v>
      </c>
      <c r="E487" s="18">
        <f>IF(ISNUMBER(Volcanic!C487),Volcanic!C487,"")</f>
        <v>0.38681094647221681</v>
      </c>
      <c r="F487" s="18">
        <f>IF(ISNUMBER(Volcanic!D487),Volcanic!D487,"")</f>
        <v>0.4</v>
      </c>
      <c r="G487" s="18">
        <f>IF(ISNUMBER(Volcanic!E487),Volcanic!E487,"")</f>
        <v>4.3400000000000001E-3</v>
      </c>
      <c r="H487" s="18">
        <f t="shared" si="207"/>
        <v>0.14962270831073218</v>
      </c>
      <c r="I487" s="18">
        <f t="shared" si="208"/>
        <v>0.16000000000000003</v>
      </c>
      <c r="J487" s="18">
        <f t="shared" si="209"/>
        <v>1.88356E-5</v>
      </c>
      <c r="K487" s="18">
        <f t="shared" si="210"/>
        <v>0.15472437858888674</v>
      </c>
      <c r="L487" s="18">
        <f t="shared" si="211"/>
        <v>1.678759507689421E-3</v>
      </c>
      <c r="M487" s="18">
        <f t="shared" si="212"/>
        <v>1.7360000000000001E-3</v>
      </c>
      <c r="N487" s="18">
        <f t="shared" si="214"/>
        <v>3.5061611095212413E-3</v>
      </c>
      <c r="O487" s="18">
        <f t="shared" si="217"/>
        <v>1.5030958648698798E-2</v>
      </c>
      <c r="P487" s="18">
        <f t="shared" si="219"/>
        <v>3.7526257146124401E-4</v>
      </c>
      <c r="Q487" s="18">
        <f t="shared" si="221"/>
        <v>6.3749213266742566E-3</v>
      </c>
      <c r="R487" s="18">
        <f t="shared" si="223"/>
        <v>7.84343640795402E-3</v>
      </c>
      <c r="S487" s="18">
        <f t="shared" si="225"/>
        <v>3.1568012852518465E-2</v>
      </c>
      <c r="T487" s="18">
        <f t="shared" si="227"/>
        <v>1.1092323138635838E-2</v>
      </c>
      <c r="U487" s="18">
        <f t="shared" si="229"/>
        <v>4.5049628031284816E-3</v>
      </c>
      <c r="V487" s="18">
        <f t="shared" si="230"/>
        <v>1.3127308493846984E-3</v>
      </c>
      <c r="W487" s="18">
        <f t="shared" si="231"/>
        <v>1.8798184026699411E-3</v>
      </c>
      <c r="X487" s="18">
        <f t="shared" si="232"/>
        <v>6.6278975733209227E-5</v>
      </c>
      <c r="Y487" s="18">
        <f t="shared" si="233"/>
        <v>1.0044080165657932E-2</v>
      </c>
      <c r="AA487" s="18">
        <f t="shared" si="215"/>
        <v>9.794587689857813E-2</v>
      </c>
      <c r="AB487" s="18">
        <f t="shared" si="216"/>
        <v>9.5933948014314211E-3</v>
      </c>
      <c r="AC487" s="18">
        <f t="shared" si="218"/>
        <v>5.9103254388905409E-6</v>
      </c>
      <c r="AD487" s="18">
        <f t="shared" si="220"/>
        <v>1.7514124884771217E-2</v>
      </c>
      <c r="AE487" s="18">
        <f t="shared" si="222"/>
        <v>4.3154231607907864E-4</v>
      </c>
      <c r="AF487" s="18">
        <f t="shared" si="224"/>
        <v>1.2470320144709222E-3</v>
      </c>
      <c r="AG487" s="18">
        <f t="shared" si="226"/>
        <v>3.1647701833795963E-2</v>
      </c>
      <c r="AH487" s="18">
        <f t="shared" si="228"/>
        <v>5.3189770720025294E-2</v>
      </c>
      <c r="AJ487" s="18">
        <f>IF(ISNUMBER(Kernel!M487),Kernel!M487,"")</f>
        <v>8.0766362721731877E-2</v>
      </c>
      <c r="AK487" s="18">
        <f t="shared" si="213"/>
        <v>6.5232053472983609E-3</v>
      </c>
      <c r="AN487" s="18">
        <f>IF(ISNUMBER(Volcanic!G487),Volcanic!G487,"")</f>
        <v>4.3899999999999998E-3</v>
      </c>
    </row>
    <row r="488" spans="1:40">
      <c r="A488" s="18" t="str">
        <f>IF(Volcanic!A488="","",Volcanic!A488)</f>
        <v>9/1998</v>
      </c>
      <c r="B488" s="18">
        <f>IF(ISNUMBER(Volcanic!L488),Volcanic!L488,"")</f>
        <v>1998.7083333333333</v>
      </c>
      <c r="C488" s="18">
        <f>IF(ISNUMBER(Volcanic!J488),Volcanic!J488,"")</f>
        <v>-3.700962504781713E-2</v>
      </c>
      <c r="D488" s="18">
        <f t="shared" si="206"/>
        <v>1.369712346180013E-3</v>
      </c>
      <c r="E488" s="18">
        <f>IF(ISNUMBER(Volcanic!C488),Volcanic!C488,"")</f>
        <v>0.37914563558689091</v>
      </c>
      <c r="F488" s="18">
        <f>IF(ISNUMBER(Volcanic!D488),Volcanic!D488,"")</f>
        <v>-0.08</v>
      </c>
      <c r="G488" s="18">
        <f>IF(ISNUMBER(Volcanic!E488),Volcanic!E488,"")</f>
        <v>4.2599999999999999E-3</v>
      </c>
      <c r="H488" s="18">
        <f t="shared" si="207"/>
        <v>0.14375141298458746</v>
      </c>
      <c r="I488" s="18">
        <f t="shared" si="208"/>
        <v>6.4000000000000003E-3</v>
      </c>
      <c r="J488" s="18">
        <f t="shared" si="209"/>
        <v>1.8147599999999999E-5</v>
      </c>
      <c r="K488" s="18">
        <f t="shared" si="210"/>
        <v>-3.0331650846951275E-2</v>
      </c>
      <c r="L488" s="18">
        <f t="shared" si="211"/>
        <v>1.6151604076001553E-3</v>
      </c>
      <c r="M488" s="18">
        <f t="shared" si="212"/>
        <v>-3.4079999999999999E-4</v>
      </c>
      <c r="N488" s="18">
        <f t="shared" si="214"/>
        <v>1.6311945860656946E-2</v>
      </c>
      <c r="O488" s="18">
        <f t="shared" si="217"/>
        <v>3.5061611095212413E-3</v>
      </c>
      <c r="P488" s="18">
        <f t="shared" si="219"/>
        <v>1.5030958648698798E-2</v>
      </c>
      <c r="Q488" s="18">
        <f t="shared" si="221"/>
        <v>3.7526257146124401E-4</v>
      </c>
      <c r="R488" s="18">
        <f t="shared" si="223"/>
        <v>6.3749213266742566E-3</v>
      </c>
      <c r="S488" s="18">
        <f t="shared" si="225"/>
        <v>7.84343640795402E-3</v>
      </c>
      <c r="T488" s="18">
        <f t="shared" si="227"/>
        <v>3.1568012852518465E-2</v>
      </c>
      <c r="U488" s="18">
        <f t="shared" si="229"/>
        <v>1.1092323138635838E-2</v>
      </c>
      <c r="V488" s="18">
        <f t="shared" si="230"/>
        <v>4.5049628031284816E-3</v>
      </c>
      <c r="W488" s="18">
        <f t="shared" si="231"/>
        <v>1.3127308493846984E-3</v>
      </c>
      <c r="X488" s="18">
        <f t="shared" si="232"/>
        <v>1.8798184026699411E-3</v>
      </c>
      <c r="Y488" s="18">
        <f t="shared" si="233"/>
        <v>6.6278975733209227E-5</v>
      </c>
      <c r="AA488" s="18">
        <f t="shared" si="215"/>
        <v>-0.10122663630022813</v>
      </c>
      <c r="AB488" s="18">
        <f t="shared" si="216"/>
        <v>1.0246831896658664E-2</v>
      </c>
      <c r="AC488" s="18">
        <f t="shared" si="218"/>
        <v>9.5933948014314211E-3</v>
      </c>
      <c r="AD488" s="18">
        <f t="shared" si="220"/>
        <v>5.9103254388905409E-6</v>
      </c>
      <c r="AE488" s="18">
        <f t="shared" si="222"/>
        <v>1.7514124884771217E-2</v>
      </c>
      <c r="AF488" s="18">
        <f t="shared" si="224"/>
        <v>4.3154231607907864E-4</v>
      </c>
      <c r="AG488" s="18">
        <f t="shared" si="226"/>
        <v>1.2470320144709222E-3</v>
      </c>
      <c r="AH488" s="18">
        <f t="shared" si="228"/>
        <v>3.1647701833795963E-2</v>
      </c>
      <c r="AJ488" s="18">
        <f>IF(ISNUMBER(Kernel!M488),Kernel!M488,"")</f>
        <v>-9.4161697251885612E-2</v>
      </c>
      <c r="AK488" s="18">
        <f t="shared" si="213"/>
        <v>8.8664252293557625E-3</v>
      </c>
      <c r="AN488" s="18">
        <f>IF(ISNUMBER(Volcanic!G488),Volcanic!G488,"")</f>
        <v>4.7000000000000002E-3</v>
      </c>
    </row>
    <row r="489" spans="1:40">
      <c r="A489" s="18" t="str">
        <f>IF(Volcanic!A489="","",Volcanic!A489)</f>
        <v>10/1998</v>
      </c>
      <c r="B489" s="18">
        <f>IF(ISNUMBER(Volcanic!L489),Volcanic!L489,"")</f>
        <v>1998.7916666666667</v>
      </c>
      <c r="C489" s="18">
        <f>IF(ISNUMBER(Volcanic!J489),Volcanic!J489,"")</f>
        <v>9.7697505360225256E-3</v>
      </c>
      <c r="D489" s="18">
        <f t="shared" si="206"/>
        <v>9.5448025536112421E-5</v>
      </c>
      <c r="E489" s="18">
        <f>IF(ISNUMBER(Volcanic!C489),Volcanic!C489,"")</f>
        <v>0.38065029913905807</v>
      </c>
      <c r="F489" s="18">
        <f>IF(ISNUMBER(Volcanic!D489),Volcanic!D489,"")</f>
        <v>-0.63</v>
      </c>
      <c r="G489" s="18">
        <f>IF(ISNUMBER(Volcanic!E489),Volcanic!E489,"")</f>
        <v>4.1900000000000001E-3</v>
      </c>
      <c r="H489" s="18">
        <f t="shared" si="207"/>
        <v>0.14489465023465439</v>
      </c>
      <c r="I489" s="18">
        <f t="shared" si="208"/>
        <v>0.39690000000000003</v>
      </c>
      <c r="J489" s="18">
        <f t="shared" si="209"/>
        <v>1.7556100000000003E-5</v>
      </c>
      <c r="K489" s="18">
        <f t="shared" si="210"/>
        <v>-0.23980968845760658</v>
      </c>
      <c r="L489" s="18">
        <f t="shared" si="211"/>
        <v>1.5949247533926533E-3</v>
      </c>
      <c r="M489" s="18">
        <f t="shared" si="212"/>
        <v>-2.6397E-3</v>
      </c>
      <c r="N489" s="18">
        <f t="shared" si="214"/>
        <v>1.369712346180013E-3</v>
      </c>
      <c r="O489" s="18">
        <f t="shared" si="217"/>
        <v>1.6311945860656946E-2</v>
      </c>
      <c r="P489" s="18">
        <f t="shared" si="219"/>
        <v>3.5061611095212413E-3</v>
      </c>
      <c r="Q489" s="18">
        <f t="shared" si="221"/>
        <v>1.5030958648698798E-2</v>
      </c>
      <c r="R489" s="18">
        <f t="shared" si="223"/>
        <v>3.7526257146124401E-4</v>
      </c>
      <c r="S489" s="18">
        <f t="shared" si="225"/>
        <v>6.3749213266742566E-3</v>
      </c>
      <c r="T489" s="18">
        <f t="shared" si="227"/>
        <v>7.84343640795402E-3</v>
      </c>
      <c r="U489" s="18">
        <f t="shared" si="229"/>
        <v>3.1568012852518465E-2</v>
      </c>
      <c r="V489" s="18">
        <f t="shared" si="230"/>
        <v>1.1092323138635838E-2</v>
      </c>
      <c r="W489" s="18">
        <f t="shared" si="231"/>
        <v>4.5049628031284816E-3</v>
      </c>
      <c r="X489" s="18">
        <f t="shared" si="232"/>
        <v>1.3127308493846984E-3</v>
      </c>
      <c r="Y489" s="18">
        <f t="shared" si="233"/>
        <v>1.8798184026699411E-3</v>
      </c>
      <c r="AA489" s="18">
        <f t="shared" si="215"/>
        <v>2.8378272892458561E-2</v>
      </c>
      <c r="AB489" s="18">
        <f t="shared" si="216"/>
        <v>8.0532637235884838E-4</v>
      </c>
      <c r="AC489" s="18">
        <f t="shared" si="218"/>
        <v>1.0246831896658664E-2</v>
      </c>
      <c r="AD489" s="18">
        <f t="shared" si="220"/>
        <v>9.5933948014314211E-3</v>
      </c>
      <c r="AE489" s="18">
        <f t="shared" si="222"/>
        <v>5.9103254388905409E-6</v>
      </c>
      <c r="AF489" s="18">
        <f t="shared" si="224"/>
        <v>1.7514124884771217E-2</v>
      </c>
      <c r="AG489" s="18">
        <f t="shared" si="226"/>
        <v>4.3154231607907864E-4</v>
      </c>
      <c r="AH489" s="18">
        <f t="shared" si="228"/>
        <v>1.2470320144709222E-3</v>
      </c>
      <c r="AJ489" s="18">
        <f>IF(ISNUMBER(Kernel!M489),Kernel!M489,"")</f>
        <v>-6.6988874793423414E-2</v>
      </c>
      <c r="AK489" s="18">
        <f t="shared" si="213"/>
        <v>4.4875093460889585E-3</v>
      </c>
      <c r="AN489" s="18">
        <f>IF(ISNUMBER(Volcanic!G489),Volcanic!G489,"")</f>
        <v>4.7600000000000003E-3</v>
      </c>
    </row>
    <row r="490" spans="1:40">
      <c r="A490" s="18" t="str">
        <f>IF(Volcanic!A490="","",Volcanic!A490)</f>
        <v>11/1998</v>
      </c>
      <c r="B490" s="18">
        <f>IF(ISNUMBER(Volcanic!L490),Volcanic!L490,"")</f>
        <v>1998.875</v>
      </c>
      <c r="C490" s="18">
        <f>IF(ISNUMBER(Volcanic!J490),Volcanic!J490,"")</f>
        <v>2.6106395076520017E-2</v>
      </c>
      <c r="D490" s="18">
        <f t="shared" si="206"/>
        <v>6.815438638913486E-4</v>
      </c>
      <c r="E490" s="18">
        <f>IF(ISNUMBER(Volcanic!C490),Volcanic!C490,"")</f>
        <v>0.38511544395370917</v>
      </c>
      <c r="F490" s="18">
        <f>IF(ISNUMBER(Volcanic!D490),Volcanic!D490,"")</f>
        <v>-0.83</v>
      </c>
      <c r="G490" s="18">
        <f>IF(ISNUMBER(Volcanic!E490),Volcanic!E490,"")</f>
        <v>4.1700000000000001E-3</v>
      </c>
      <c r="H490" s="18">
        <f t="shared" si="207"/>
        <v>0.14831390517166251</v>
      </c>
      <c r="I490" s="18">
        <f t="shared" si="208"/>
        <v>0.68889999999999996</v>
      </c>
      <c r="J490" s="18">
        <f t="shared" si="209"/>
        <v>1.7388900000000002E-5</v>
      </c>
      <c r="K490" s="18">
        <f t="shared" si="210"/>
        <v>-0.31964581848157858</v>
      </c>
      <c r="L490" s="18">
        <f t="shared" si="211"/>
        <v>1.6059314012869673E-3</v>
      </c>
      <c r="M490" s="18">
        <f t="shared" si="212"/>
        <v>-3.4610999999999999E-3</v>
      </c>
      <c r="N490" s="18">
        <f t="shared" si="214"/>
        <v>9.5448025536112421E-5</v>
      </c>
      <c r="O490" s="18">
        <f t="shared" si="217"/>
        <v>1.369712346180013E-3</v>
      </c>
      <c r="P490" s="18">
        <f t="shared" si="219"/>
        <v>1.6311945860656946E-2</v>
      </c>
      <c r="Q490" s="18">
        <f t="shared" si="221"/>
        <v>3.5061611095212413E-3</v>
      </c>
      <c r="R490" s="18">
        <f t="shared" si="223"/>
        <v>1.5030958648698798E-2</v>
      </c>
      <c r="S490" s="18">
        <f t="shared" si="225"/>
        <v>3.7526257146124401E-4</v>
      </c>
      <c r="T490" s="18">
        <f t="shared" si="227"/>
        <v>6.3749213266742566E-3</v>
      </c>
      <c r="U490" s="18">
        <f t="shared" si="229"/>
        <v>7.84343640795402E-3</v>
      </c>
      <c r="V490" s="18">
        <f t="shared" si="230"/>
        <v>3.1568012852518465E-2</v>
      </c>
      <c r="W490" s="18">
        <f t="shared" si="231"/>
        <v>1.1092323138635838E-2</v>
      </c>
      <c r="X490" s="18">
        <f t="shared" si="232"/>
        <v>4.5049628031284816E-3</v>
      </c>
      <c r="Y490" s="18">
        <f t="shared" si="233"/>
        <v>1.3127308493846984E-3</v>
      </c>
      <c r="AA490" s="18">
        <f t="shared" si="215"/>
        <v>2.1194142627826242E-2</v>
      </c>
      <c r="AB490" s="18">
        <f t="shared" si="216"/>
        <v>4.4919168172864141E-4</v>
      </c>
      <c r="AC490" s="18">
        <f t="shared" si="218"/>
        <v>8.0532637235884838E-4</v>
      </c>
      <c r="AD490" s="18">
        <f t="shared" si="220"/>
        <v>1.0246831896658664E-2</v>
      </c>
      <c r="AE490" s="18">
        <f t="shared" si="222"/>
        <v>9.5933948014314211E-3</v>
      </c>
      <c r="AF490" s="18">
        <f t="shared" si="224"/>
        <v>5.9103254388905409E-6</v>
      </c>
      <c r="AG490" s="18">
        <f t="shared" si="226"/>
        <v>1.7514124884771217E-2</v>
      </c>
      <c r="AH490" s="18">
        <f t="shared" si="228"/>
        <v>4.3154231607907864E-4</v>
      </c>
      <c r="AJ490" s="18">
        <f>IF(ISNUMBER(Kernel!M490),Kernel!M490,"")</f>
        <v>-3.8568657318509947E-2</v>
      </c>
      <c r="AK490" s="18">
        <f t="shared" si="213"/>
        <v>1.4875413273526508E-3</v>
      </c>
      <c r="AN490" s="18">
        <f>IF(ISNUMBER(Volcanic!G490),Volcanic!G490,"")</f>
        <v>4.5500000000000002E-3</v>
      </c>
    </row>
    <row r="491" spans="1:40">
      <c r="A491" s="18" t="str">
        <f>IF(Volcanic!A491="","",Volcanic!A491)</f>
        <v>12/1998</v>
      </c>
      <c r="B491" s="18">
        <f>IF(ISNUMBER(Volcanic!L491),Volcanic!L491,"")</f>
        <v>1998.9583333333333</v>
      </c>
      <c r="C491" s="18">
        <f>IF(ISNUMBER(Volcanic!J491),Volcanic!J491,"")</f>
        <v>0.14639060375077556</v>
      </c>
      <c r="D491" s="18">
        <f t="shared" si="206"/>
        <v>2.1430208866516583E-2</v>
      </c>
      <c r="E491" s="18">
        <f>IF(ISNUMBER(Volcanic!C491),Volcanic!C491,"")</f>
        <v>0.3915320688993289</v>
      </c>
      <c r="F491" s="18">
        <f>IF(ISNUMBER(Volcanic!D491),Volcanic!D491,"")</f>
        <v>-1.02</v>
      </c>
      <c r="G491" s="18">
        <f>IF(ISNUMBER(Volcanic!E491),Volcanic!E491,"")</f>
        <v>4.2399999999999998E-3</v>
      </c>
      <c r="H491" s="18">
        <f t="shared" si="207"/>
        <v>0.15329736097658883</v>
      </c>
      <c r="I491" s="18">
        <f t="shared" si="208"/>
        <v>1.0404</v>
      </c>
      <c r="J491" s="18">
        <f t="shared" si="209"/>
        <v>1.7977599999999999E-5</v>
      </c>
      <c r="K491" s="18">
        <f t="shared" si="210"/>
        <v>-0.39936271027731546</v>
      </c>
      <c r="L491" s="18">
        <f t="shared" si="211"/>
        <v>1.6600959721331545E-3</v>
      </c>
      <c r="M491" s="18">
        <f t="shared" si="212"/>
        <v>-4.3248000000000002E-3</v>
      </c>
      <c r="N491" s="18">
        <f t="shared" si="214"/>
        <v>6.815438638913486E-4</v>
      </c>
      <c r="O491" s="18">
        <f t="shared" si="217"/>
        <v>9.5448025536112421E-5</v>
      </c>
      <c r="P491" s="18">
        <f t="shared" si="219"/>
        <v>1.369712346180013E-3</v>
      </c>
      <c r="Q491" s="18">
        <f t="shared" si="221"/>
        <v>1.6311945860656946E-2</v>
      </c>
      <c r="R491" s="18">
        <f t="shared" si="223"/>
        <v>3.5061611095212413E-3</v>
      </c>
      <c r="S491" s="18">
        <f t="shared" si="225"/>
        <v>1.5030958648698798E-2</v>
      </c>
      <c r="T491" s="18">
        <f t="shared" si="227"/>
        <v>3.7526257146124401E-4</v>
      </c>
      <c r="U491" s="18">
        <f t="shared" si="229"/>
        <v>6.3749213266742566E-3</v>
      </c>
      <c r="V491" s="18">
        <f t="shared" si="230"/>
        <v>7.84343640795402E-3</v>
      </c>
      <c r="W491" s="18">
        <f t="shared" si="231"/>
        <v>3.1568012852518465E-2</v>
      </c>
      <c r="X491" s="18">
        <f t="shared" si="232"/>
        <v>1.1092323138635838E-2</v>
      </c>
      <c r="Y491" s="18">
        <f t="shared" si="233"/>
        <v>4.5049628031284816E-3</v>
      </c>
      <c r="AA491" s="18">
        <f t="shared" si="215"/>
        <v>0.13326424984149629</v>
      </c>
      <c r="AB491" s="18">
        <f t="shared" si="216"/>
        <v>1.7759360285816744E-2</v>
      </c>
      <c r="AC491" s="18">
        <f t="shared" si="218"/>
        <v>4.4919168172864141E-4</v>
      </c>
      <c r="AD491" s="18">
        <f t="shared" si="220"/>
        <v>8.0532637235884838E-4</v>
      </c>
      <c r="AE491" s="18">
        <f t="shared" si="222"/>
        <v>1.0246831896658664E-2</v>
      </c>
      <c r="AF491" s="18">
        <f t="shared" si="224"/>
        <v>9.5933948014314211E-3</v>
      </c>
      <c r="AG491" s="18">
        <f t="shared" si="226"/>
        <v>5.9103254388905409E-6</v>
      </c>
      <c r="AH491" s="18">
        <f t="shared" si="228"/>
        <v>1.7514124884771217E-2</v>
      </c>
      <c r="AJ491" s="18">
        <f>IF(ISNUMBER(Kernel!M491),Kernel!M491,"")</f>
        <v>9.3296955191719988E-2</v>
      </c>
      <c r="AK491" s="18">
        <f t="shared" si="213"/>
        <v>8.7043218480458064E-3</v>
      </c>
      <c r="AN491" s="18">
        <f>IF(ISNUMBER(Volcanic!G491),Volcanic!G491,"")</f>
        <v>4.3699999999999998E-3</v>
      </c>
    </row>
    <row r="492" spans="1:40">
      <c r="A492" s="18" t="str">
        <f>IF(Volcanic!A492="","",Volcanic!A492)</f>
        <v>1/1999</v>
      </c>
      <c r="B492" s="18">
        <f>IF(ISNUMBER(Volcanic!L492),Volcanic!L492,"")</f>
        <v>1999.0416666666667</v>
      </c>
      <c r="C492" s="18">
        <f>IF(ISNUMBER(Volcanic!J492),Volcanic!J492,"")</f>
        <v>7.4283595671733538E-2</v>
      </c>
      <c r="D492" s="18">
        <f t="shared" si="206"/>
        <v>5.5180525859215897E-3</v>
      </c>
      <c r="E492" s="18">
        <f>IF(ISNUMBER(Volcanic!C492),Volcanic!C492,"")</f>
        <v>0.39565041545437801</v>
      </c>
      <c r="F492" s="18">
        <f>IF(ISNUMBER(Volcanic!D492),Volcanic!D492,"")</f>
        <v>-1.1200000000000001</v>
      </c>
      <c r="G492" s="18">
        <f>IF(ISNUMBER(Volcanic!E492),Volcanic!E492,"")</f>
        <v>4.1700000000000001E-3</v>
      </c>
      <c r="H492" s="18">
        <f t="shared" si="207"/>
        <v>0.15653925124922191</v>
      </c>
      <c r="I492" s="18">
        <f t="shared" si="208"/>
        <v>1.2544000000000002</v>
      </c>
      <c r="J492" s="18">
        <f t="shared" si="209"/>
        <v>1.7388900000000002E-5</v>
      </c>
      <c r="K492" s="18">
        <f t="shared" si="210"/>
        <v>-0.44312846530890343</v>
      </c>
      <c r="L492" s="18">
        <f t="shared" si="211"/>
        <v>1.6498622324447564E-3</v>
      </c>
      <c r="M492" s="18">
        <f t="shared" si="212"/>
        <v>-4.6704000000000008E-3</v>
      </c>
      <c r="N492" s="18">
        <f t="shared" si="214"/>
        <v>2.1430208866516583E-2</v>
      </c>
      <c r="O492" s="18">
        <f t="shared" si="217"/>
        <v>6.815438638913486E-4</v>
      </c>
      <c r="P492" s="18">
        <f t="shared" si="219"/>
        <v>9.5448025536112421E-5</v>
      </c>
      <c r="Q492" s="18">
        <f t="shared" si="221"/>
        <v>1.369712346180013E-3</v>
      </c>
      <c r="R492" s="18">
        <f t="shared" si="223"/>
        <v>1.6311945860656946E-2</v>
      </c>
      <c r="S492" s="18">
        <f t="shared" si="225"/>
        <v>3.5061611095212413E-3</v>
      </c>
      <c r="T492" s="18">
        <f t="shared" si="227"/>
        <v>1.5030958648698798E-2</v>
      </c>
      <c r="U492" s="18">
        <f t="shared" si="229"/>
        <v>3.7526257146124401E-4</v>
      </c>
      <c r="V492" s="18">
        <f t="shared" si="230"/>
        <v>6.3749213266742566E-3</v>
      </c>
      <c r="W492" s="18">
        <f t="shared" si="231"/>
        <v>7.84343640795402E-3</v>
      </c>
      <c r="X492" s="18">
        <f t="shared" si="232"/>
        <v>3.1568012852518465E-2</v>
      </c>
      <c r="Y492" s="18">
        <f t="shared" si="233"/>
        <v>1.1092323138635838E-2</v>
      </c>
      <c r="AA492" s="18">
        <f t="shared" si="215"/>
        <v>6.7807226670386911E-4</v>
      </c>
      <c r="AB492" s="18">
        <f t="shared" si="216"/>
        <v>4.5978199887292299E-7</v>
      </c>
      <c r="AC492" s="18">
        <f t="shared" si="218"/>
        <v>1.7759360285816744E-2</v>
      </c>
      <c r="AD492" s="18">
        <f t="shared" si="220"/>
        <v>4.4919168172864141E-4</v>
      </c>
      <c r="AE492" s="18">
        <f t="shared" si="222"/>
        <v>8.0532637235884838E-4</v>
      </c>
      <c r="AF492" s="18">
        <f t="shared" si="224"/>
        <v>1.0246831896658664E-2</v>
      </c>
      <c r="AG492" s="18">
        <f t="shared" si="226"/>
        <v>9.5933948014314211E-3</v>
      </c>
      <c r="AH492" s="18">
        <f t="shared" si="228"/>
        <v>5.9103254388905409E-6</v>
      </c>
      <c r="AJ492" s="18">
        <f>IF(ISNUMBER(Kernel!M492),Kernel!M492,"")</f>
        <v>3.7707453638996635E-2</v>
      </c>
      <c r="AK492" s="18">
        <f t="shared" si="213"/>
        <v>1.4218520599370806E-3</v>
      </c>
      <c r="AN492" s="18">
        <f>IF(ISNUMBER(Volcanic!G492),Volcanic!G492,"")</f>
        <v>4.2399999999999998E-3</v>
      </c>
    </row>
    <row r="493" spans="1:40">
      <c r="A493" s="18" t="str">
        <f>IF(Volcanic!A493="","",Volcanic!A493)</f>
        <v>2/1999</v>
      </c>
      <c r="B493" s="18">
        <f>IF(ISNUMBER(Volcanic!L493),Volcanic!L493,"")</f>
        <v>1999.125</v>
      </c>
      <c r="C493" s="18">
        <f>IF(ISNUMBER(Volcanic!J493),Volcanic!J493,"")</f>
        <v>0.24203658996150362</v>
      </c>
      <c r="D493" s="18">
        <f t="shared" si="206"/>
        <v>5.8581710880193039E-2</v>
      </c>
      <c r="E493" s="18">
        <f>IF(ISNUMBER(Volcanic!C493),Volcanic!C493,"")</f>
        <v>0.39928830192579123</v>
      </c>
      <c r="F493" s="18">
        <f>IF(ISNUMBER(Volcanic!D493),Volcanic!D493,"")</f>
        <v>-1.31</v>
      </c>
      <c r="G493" s="18">
        <f>IF(ISNUMBER(Volcanic!E493),Volcanic!E493,"")</f>
        <v>4.1900000000000001E-3</v>
      </c>
      <c r="H493" s="18">
        <f t="shared" si="207"/>
        <v>0.15943114805478181</v>
      </c>
      <c r="I493" s="18">
        <f t="shared" si="208"/>
        <v>1.7161000000000002</v>
      </c>
      <c r="J493" s="18">
        <f t="shared" si="209"/>
        <v>1.7556100000000003E-5</v>
      </c>
      <c r="K493" s="18">
        <f t="shared" si="210"/>
        <v>-0.52306767552278655</v>
      </c>
      <c r="L493" s="18">
        <f t="shared" si="211"/>
        <v>1.6730179850690653E-3</v>
      </c>
      <c r="M493" s="18">
        <f t="shared" si="212"/>
        <v>-5.4889000000000005E-3</v>
      </c>
      <c r="N493" s="18">
        <f t="shared" si="214"/>
        <v>5.5180525859215897E-3</v>
      </c>
      <c r="O493" s="18">
        <f t="shared" si="217"/>
        <v>2.1430208866516583E-2</v>
      </c>
      <c r="P493" s="18">
        <f t="shared" si="219"/>
        <v>6.815438638913486E-4</v>
      </c>
      <c r="Q493" s="18">
        <f t="shared" si="221"/>
        <v>9.5448025536112421E-5</v>
      </c>
      <c r="R493" s="18">
        <f t="shared" si="223"/>
        <v>1.369712346180013E-3</v>
      </c>
      <c r="S493" s="18">
        <f t="shared" si="225"/>
        <v>1.6311945860656946E-2</v>
      </c>
      <c r="T493" s="18">
        <f t="shared" si="227"/>
        <v>3.5061611095212413E-3</v>
      </c>
      <c r="U493" s="18">
        <f t="shared" si="229"/>
        <v>1.5030958648698798E-2</v>
      </c>
      <c r="V493" s="18">
        <f t="shared" si="230"/>
        <v>3.7526257146124401E-4</v>
      </c>
      <c r="W493" s="18">
        <f t="shared" si="231"/>
        <v>6.3749213266742566E-3</v>
      </c>
      <c r="X493" s="18">
        <f t="shared" si="232"/>
        <v>7.84343640795402E-3</v>
      </c>
      <c r="Y493" s="18">
        <f t="shared" si="233"/>
        <v>3.1568012852518465E-2</v>
      </c>
      <c r="AA493" s="18">
        <f t="shared" si="215"/>
        <v>0.20468663170097165</v>
      </c>
      <c r="AB493" s="18">
        <f t="shared" si="216"/>
        <v>4.189661719708921E-2</v>
      </c>
      <c r="AC493" s="18">
        <f t="shared" si="218"/>
        <v>4.5978199887292299E-7</v>
      </c>
      <c r="AD493" s="18">
        <f t="shared" si="220"/>
        <v>1.7759360285816744E-2</v>
      </c>
      <c r="AE493" s="18">
        <f t="shared" si="222"/>
        <v>4.4919168172864141E-4</v>
      </c>
      <c r="AF493" s="18">
        <f t="shared" si="224"/>
        <v>8.0532637235884838E-4</v>
      </c>
      <c r="AG493" s="18">
        <f t="shared" si="226"/>
        <v>1.0246831896658664E-2</v>
      </c>
      <c r="AH493" s="18">
        <f t="shared" si="228"/>
        <v>9.5933948014314211E-3</v>
      </c>
      <c r="AJ493" s="18">
        <f>IF(ISNUMBER(Kernel!M493),Kernel!M493,"")</f>
        <v>0.20379086583068623</v>
      </c>
      <c r="AK493" s="18">
        <f t="shared" si="213"/>
        <v>4.1530716996020754E-2</v>
      </c>
      <c r="AN493" s="18">
        <f>IF(ISNUMBER(Volcanic!G493),Volcanic!G493,"")</f>
        <v>4.0400000000000002E-3</v>
      </c>
    </row>
    <row r="494" spans="1:40">
      <c r="A494" s="18" t="str">
        <f>IF(Volcanic!A494="","",Volcanic!A494)</f>
        <v>3/1999</v>
      </c>
      <c r="B494" s="18">
        <f>IF(ISNUMBER(Volcanic!L494),Volcanic!L494,"")</f>
        <v>1999.2083333333333</v>
      </c>
      <c r="C494" s="18">
        <f>IF(ISNUMBER(Volcanic!J494),Volcanic!J494,"")</f>
        <v>-5.8638668068393296E-2</v>
      </c>
      <c r="D494" s="18">
        <f t="shared" si="206"/>
        <v>3.4384933928352074E-3</v>
      </c>
      <c r="E494" s="18">
        <f>IF(ISNUMBER(Volcanic!C494),Volcanic!C494,"")</f>
        <v>0.40147444051625025</v>
      </c>
      <c r="F494" s="18">
        <f>IF(ISNUMBER(Volcanic!D494),Volcanic!D494,"")</f>
        <v>-1.47</v>
      </c>
      <c r="G494" s="18">
        <f>IF(ISNUMBER(Volcanic!E494),Volcanic!E494,"")</f>
        <v>4.3899999999999998E-3</v>
      </c>
      <c r="H494" s="18">
        <f t="shared" si="207"/>
        <v>0.16118172638783615</v>
      </c>
      <c r="I494" s="18">
        <f t="shared" si="208"/>
        <v>2.1608999999999998</v>
      </c>
      <c r="J494" s="18">
        <f t="shared" si="209"/>
        <v>1.9272099999999998E-5</v>
      </c>
      <c r="K494" s="18">
        <f t="shared" si="210"/>
        <v>-0.59016742755888785</v>
      </c>
      <c r="L494" s="18">
        <f t="shared" si="211"/>
        <v>1.7624727938663385E-3</v>
      </c>
      <c r="M494" s="18">
        <f t="shared" si="212"/>
        <v>-6.4532999999999995E-3</v>
      </c>
      <c r="N494" s="18">
        <f t="shared" si="214"/>
        <v>5.8581710880193039E-2</v>
      </c>
      <c r="O494" s="18">
        <f t="shared" si="217"/>
        <v>5.5180525859215897E-3</v>
      </c>
      <c r="P494" s="18">
        <f t="shared" si="219"/>
        <v>2.1430208866516583E-2</v>
      </c>
      <c r="Q494" s="18">
        <f t="shared" si="221"/>
        <v>6.815438638913486E-4</v>
      </c>
      <c r="R494" s="18">
        <f t="shared" si="223"/>
        <v>9.5448025536112421E-5</v>
      </c>
      <c r="S494" s="18">
        <f t="shared" si="225"/>
        <v>1.369712346180013E-3</v>
      </c>
      <c r="T494" s="18">
        <f t="shared" si="227"/>
        <v>1.6311945860656946E-2</v>
      </c>
      <c r="U494" s="18">
        <f t="shared" si="229"/>
        <v>3.5061611095212413E-3</v>
      </c>
      <c r="V494" s="18">
        <f t="shared" si="230"/>
        <v>1.5030958648698798E-2</v>
      </c>
      <c r="W494" s="18">
        <f t="shared" si="231"/>
        <v>3.7526257146124401E-4</v>
      </c>
      <c r="X494" s="18">
        <f t="shared" si="232"/>
        <v>6.3749213266742566E-3</v>
      </c>
      <c r="Y494" s="18">
        <f t="shared" si="233"/>
        <v>7.84343640795402E-3</v>
      </c>
      <c r="AA494" s="18">
        <f t="shared" si="215"/>
        <v>-0.18033520753765306</v>
      </c>
      <c r="AB494" s="18">
        <f t="shared" si="216"/>
        <v>3.2520787077648397E-2</v>
      </c>
      <c r="AC494" s="18">
        <f t="shared" si="218"/>
        <v>4.189661719708921E-2</v>
      </c>
      <c r="AD494" s="18">
        <f t="shared" si="220"/>
        <v>4.5978199887292299E-7</v>
      </c>
      <c r="AE494" s="18">
        <f t="shared" si="222"/>
        <v>1.7759360285816744E-2</v>
      </c>
      <c r="AF494" s="18">
        <f t="shared" si="224"/>
        <v>4.4919168172864141E-4</v>
      </c>
      <c r="AG494" s="18">
        <f t="shared" si="226"/>
        <v>8.0532637235884838E-4</v>
      </c>
      <c r="AH494" s="18">
        <f t="shared" si="228"/>
        <v>1.0246831896658664E-2</v>
      </c>
      <c r="AJ494" s="18">
        <f>IF(ISNUMBER(Kernel!M494),Kernel!M494,"")</f>
        <v>-0.10564009470276609</v>
      </c>
      <c r="AK494" s="18">
        <f t="shared" si="213"/>
        <v>1.1159829608809388E-2</v>
      </c>
      <c r="AN494" s="18">
        <f>IF(ISNUMBER(Volcanic!G494),Volcanic!G494,"")</f>
        <v>3.8800000000000002E-3</v>
      </c>
    </row>
    <row r="495" spans="1:40">
      <c r="A495" s="18" t="str">
        <f>IF(Volcanic!A495="","",Volcanic!A495)</f>
        <v>4/1999</v>
      </c>
      <c r="B495" s="18">
        <f>IF(ISNUMBER(Volcanic!L495),Volcanic!L495,"")</f>
        <v>1999.2916666666667</v>
      </c>
      <c r="C495" s="18">
        <f>IF(ISNUMBER(Volcanic!J495),Volcanic!J495,"")</f>
        <v>-7.8157633555483885E-2</v>
      </c>
      <c r="D495" s="18">
        <f t="shared" si="206"/>
        <v>6.1086156829933003E-3</v>
      </c>
      <c r="E495" s="18">
        <f>IF(ISNUMBER(Volcanic!C495),Volcanic!C495,"")</f>
        <v>0.40657554167160614</v>
      </c>
      <c r="F495" s="18">
        <f>IF(ISNUMBER(Volcanic!D495),Volcanic!D495,"")</f>
        <v>-1.51</v>
      </c>
      <c r="G495" s="18">
        <f>IF(ISNUMBER(Volcanic!E495),Volcanic!E495,"")</f>
        <v>4.7000000000000002E-3</v>
      </c>
      <c r="H495" s="18">
        <f t="shared" si="207"/>
        <v>0.16530367108555993</v>
      </c>
      <c r="I495" s="18">
        <f t="shared" si="208"/>
        <v>2.2801</v>
      </c>
      <c r="J495" s="18">
        <f t="shared" si="209"/>
        <v>2.209E-5</v>
      </c>
      <c r="K495" s="18">
        <f t="shared" si="210"/>
        <v>-0.61392906792412527</v>
      </c>
      <c r="L495" s="18">
        <f t="shared" si="211"/>
        <v>1.9109050458565489E-3</v>
      </c>
      <c r="M495" s="18">
        <f t="shared" si="212"/>
        <v>-7.097E-3</v>
      </c>
      <c r="N495" s="18">
        <f t="shared" si="214"/>
        <v>3.4384933928352074E-3</v>
      </c>
      <c r="O495" s="18">
        <f t="shared" si="217"/>
        <v>5.8581710880193039E-2</v>
      </c>
      <c r="P495" s="18">
        <f t="shared" si="219"/>
        <v>5.5180525859215897E-3</v>
      </c>
      <c r="Q495" s="18">
        <f t="shared" si="221"/>
        <v>2.1430208866516583E-2</v>
      </c>
      <c r="R495" s="18">
        <f t="shared" si="223"/>
        <v>6.815438638913486E-4</v>
      </c>
      <c r="S495" s="18">
        <f t="shared" si="225"/>
        <v>9.5448025536112421E-5</v>
      </c>
      <c r="T495" s="18">
        <f t="shared" si="227"/>
        <v>1.369712346180013E-3</v>
      </c>
      <c r="U495" s="18">
        <f t="shared" si="229"/>
        <v>1.6311945860656946E-2</v>
      </c>
      <c r="V495" s="18">
        <f t="shared" si="230"/>
        <v>3.5061611095212413E-3</v>
      </c>
      <c r="W495" s="18">
        <f t="shared" si="231"/>
        <v>1.5030958648698798E-2</v>
      </c>
      <c r="X495" s="18">
        <f t="shared" si="232"/>
        <v>3.7526257146124401E-4</v>
      </c>
      <c r="Y495" s="18">
        <f t="shared" si="233"/>
        <v>6.3749213266742566E-3</v>
      </c>
      <c r="AA495" s="18">
        <f t="shared" si="215"/>
        <v>-4.8673979930447024E-2</v>
      </c>
      <c r="AB495" s="18">
        <f t="shared" si="216"/>
        <v>2.3691563222695599E-3</v>
      </c>
      <c r="AC495" s="18">
        <f t="shared" si="218"/>
        <v>3.2520787077648397E-2</v>
      </c>
      <c r="AD495" s="18">
        <f t="shared" si="220"/>
        <v>4.189661719708921E-2</v>
      </c>
      <c r="AE495" s="18">
        <f t="shared" si="222"/>
        <v>4.5978199887292299E-7</v>
      </c>
      <c r="AF495" s="18">
        <f t="shared" si="224"/>
        <v>1.7759360285816744E-2</v>
      </c>
      <c r="AG495" s="18">
        <f t="shared" si="226"/>
        <v>4.4919168172864141E-4</v>
      </c>
      <c r="AH495" s="18">
        <f t="shared" si="228"/>
        <v>8.0532637235884838E-4</v>
      </c>
      <c r="AJ495" s="18">
        <f>IF(ISNUMBER(Kernel!M495),Kernel!M495,"")</f>
        <v>-0.12679459238417767</v>
      </c>
      <c r="AK495" s="18">
        <f t="shared" si="213"/>
        <v>1.6076868657869767E-2</v>
      </c>
      <c r="AN495" s="18">
        <f>IF(ISNUMBER(Volcanic!G495),Volcanic!G495,"")</f>
        <v>3.8500000000000001E-3</v>
      </c>
    </row>
    <row r="496" spans="1:40">
      <c r="A496" s="18" t="str">
        <f>IF(Volcanic!A496="","",Volcanic!A496)</f>
        <v>5/1999</v>
      </c>
      <c r="B496" s="18">
        <f>IF(ISNUMBER(Volcanic!L496),Volcanic!L496,"")</f>
        <v>1999.375</v>
      </c>
      <c r="C496" s="18">
        <f>IF(ISNUMBER(Volcanic!J496),Volcanic!J496,"")</f>
        <v>-0.16183425076356156</v>
      </c>
      <c r="D496" s="18">
        <f t="shared" si="206"/>
        <v>2.6190324720203325E-2</v>
      </c>
      <c r="E496" s="18">
        <f>IF(ISNUMBER(Volcanic!C496),Volcanic!C496,"")</f>
        <v>0.40645892413014484</v>
      </c>
      <c r="F496" s="18">
        <f>IF(ISNUMBER(Volcanic!D496),Volcanic!D496,"")</f>
        <v>-1.25</v>
      </c>
      <c r="G496" s="18">
        <f>IF(ISNUMBER(Volcanic!E496),Volcanic!E496,"")</f>
        <v>4.7600000000000003E-3</v>
      </c>
      <c r="H496" s="18">
        <f t="shared" si="207"/>
        <v>0.16520885700503485</v>
      </c>
      <c r="I496" s="18">
        <f t="shared" si="208"/>
        <v>1.5625</v>
      </c>
      <c r="J496" s="18">
        <f t="shared" si="209"/>
        <v>2.2657600000000005E-5</v>
      </c>
      <c r="K496" s="18">
        <f t="shared" si="210"/>
        <v>-0.50807365516268099</v>
      </c>
      <c r="L496" s="18">
        <f t="shared" si="211"/>
        <v>1.9347444788594896E-3</v>
      </c>
      <c r="M496" s="18">
        <f t="shared" si="212"/>
        <v>-5.9500000000000004E-3</v>
      </c>
      <c r="N496" s="18">
        <f t="shared" si="214"/>
        <v>6.1086156829933003E-3</v>
      </c>
      <c r="O496" s="18">
        <f t="shared" si="217"/>
        <v>3.4384933928352074E-3</v>
      </c>
      <c r="P496" s="18">
        <f t="shared" si="219"/>
        <v>5.8581710880193039E-2</v>
      </c>
      <c r="Q496" s="18">
        <f t="shared" si="221"/>
        <v>5.5180525859215897E-3</v>
      </c>
      <c r="R496" s="18">
        <f t="shared" si="223"/>
        <v>2.1430208866516583E-2</v>
      </c>
      <c r="S496" s="18">
        <f t="shared" si="225"/>
        <v>6.815438638913486E-4</v>
      </c>
      <c r="T496" s="18">
        <f t="shared" si="227"/>
        <v>9.5448025536112421E-5</v>
      </c>
      <c r="U496" s="18">
        <f t="shared" si="229"/>
        <v>1.369712346180013E-3</v>
      </c>
      <c r="V496" s="18">
        <f t="shared" si="230"/>
        <v>1.6311945860656946E-2</v>
      </c>
      <c r="W496" s="18">
        <f t="shared" si="231"/>
        <v>3.5061611095212413E-3</v>
      </c>
      <c r="X496" s="18">
        <f t="shared" si="232"/>
        <v>1.5030958648698798E-2</v>
      </c>
      <c r="Y496" s="18">
        <f t="shared" si="233"/>
        <v>3.7526257146124401E-4</v>
      </c>
      <c r="AA496" s="18">
        <f t="shared" si="215"/>
        <v>-0.12253641757924133</v>
      </c>
      <c r="AB496" s="18">
        <f t="shared" si="216"/>
        <v>1.5015173633154204E-2</v>
      </c>
      <c r="AC496" s="18">
        <f t="shared" si="218"/>
        <v>2.3691563222695599E-3</v>
      </c>
      <c r="AD496" s="18">
        <f t="shared" si="220"/>
        <v>3.2520787077648397E-2</v>
      </c>
      <c r="AE496" s="18">
        <f t="shared" si="222"/>
        <v>4.189661719708921E-2</v>
      </c>
      <c r="AF496" s="18">
        <f t="shared" si="224"/>
        <v>4.5978199887292299E-7</v>
      </c>
      <c r="AG496" s="18">
        <f t="shared" si="226"/>
        <v>1.7759360285816744E-2</v>
      </c>
      <c r="AH496" s="18">
        <f t="shared" si="228"/>
        <v>4.4919168172864141E-4</v>
      </c>
      <c r="AJ496" s="18">
        <f>IF(ISNUMBER(Kernel!M496),Kernel!M496,"")</f>
        <v>-0.18444108011184229</v>
      </c>
      <c r="AK496" s="18">
        <f t="shared" si="213"/>
        <v>3.401851203282303E-2</v>
      </c>
      <c r="AN496" s="18">
        <f>IF(ISNUMBER(Volcanic!G496),Volcanic!G496,"")</f>
        <v>4.0000000000000001E-3</v>
      </c>
    </row>
    <row r="497" spans="1:40">
      <c r="A497" s="18" t="str">
        <f>IF(Volcanic!A497="","",Volcanic!A497)</f>
        <v>6/1999</v>
      </c>
      <c r="B497" s="18">
        <f>IF(ISNUMBER(Volcanic!L497),Volcanic!L497,"")</f>
        <v>1999.4583333333333</v>
      </c>
      <c r="C497" s="18">
        <f>IF(ISNUMBER(Volcanic!J497),Volcanic!J497,"")</f>
        <v>-8.4986771710279796E-2</v>
      </c>
      <c r="D497" s="18">
        <f t="shared" si="206"/>
        <v>7.2227513657352142E-3</v>
      </c>
      <c r="E497" s="18">
        <f>IF(ISNUMBER(Volcanic!C497),Volcanic!C497,"")</f>
        <v>0.40389095040272749</v>
      </c>
      <c r="F497" s="18">
        <f>IF(ISNUMBER(Volcanic!D497),Volcanic!D497,"")</f>
        <v>-0.93</v>
      </c>
      <c r="G497" s="18">
        <f>IF(ISNUMBER(Volcanic!E497),Volcanic!E497,"")</f>
        <v>4.5500000000000002E-3</v>
      </c>
      <c r="H497" s="18">
        <f t="shared" si="207"/>
        <v>0.16312789981721848</v>
      </c>
      <c r="I497" s="18">
        <f t="shared" si="208"/>
        <v>0.86490000000000011</v>
      </c>
      <c r="J497" s="18">
        <f t="shared" si="209"/>
        <v>2.07025E-5</v>
      </c>
      <c r="K497" s="18">
        <f t="shared" si="210"/>
        <v>-0.37561858387453656</v>
      </c>
      <c r="L497" s="18">
        <f t="shared" si="211"/>
        <v>1.8377038243324103E-3</v>
      </c>
      <c r="M497" s="18">
        <f t="shared" si="212"/>
        <v>-4.2315E-3</v>
      </c>
      <c r="N497" s="18">
        <f t="shared" si="214"/>
        <v>2.6190324720203325E-2</v>
      </c>
      <c r="O497" s="18">
        <f t="shared" si="217"/>
        <v>6.1086156829933003E-3</v>
      </c>
      <c r="P497" s="18">
        <f t="shared" si="219"/>
        <v>3.4384933928352074E-3</v>
      </c>
      <c r="Q497" s="18">
        <f t="shared" si="221"/>
        <v>5.8581710880193039E-2</v>
      </c>
      <c r="R497" s="18">
        <f t="shared" si="223"/>
        <v>5.5180525859215897E-3</v>
      </c>
      <c r="S497" s="18">
        <f t="shared" si="225"/>
        <v>2.1430208866516583E-2</v>
      </c>
      <c r="T497" s="18">
        <f t="shared" si="227"/>
        <v>6.815438638913486E-4</v>
      </c>
      <c r="U497" s="18">
        <f t="shared" si="229"/>
        <v>9.5448025536112421E-5</v>
      </c>
      <c r="V497" s="18">
        <f t="shared" si="230"/>
        <v>1.369712346180013E-3</v>
      </c>
      <c r="W497" s="18">
        <f t="shared" si="231"/>
        <v>1.6311945860656946E-2</v>
      </c>
      <c r="X497" s="18">
        <f t="shared" si="232"/>
        <v>3.5061611095212413E-3</v>
      </c>
      <c r="Y497" s="18">
        <f t="shared" si="233"/>
        <v>1.5030958648698798E-2</v>
      </c>
      <c r="AA497" s="18">
        <f t="shared" si="215"/>
        <v>-3.6161480014499647E-3</v>
      </c>
      <c r="AB497" s="18">
        <f t="shared" si="216"/>
        <v>1.3076526368390574E-5</v>
      </c>
      <c r="AC497" s="18">
        <f t="shared" si="218"/>
        <v>1.5015173633154204E-2</v>
      </c>
      <c r="AD497" s="18">
        <f t="shared" si="220"/>
        <v>2.3691563222695599E-3</v>
      </c>
      <c r="AE497" s="18">
        <f t="shared" si="222"/>
        <v>3.2520787077648397E-2</v>
      </c>
      <c r="AF497" s="18">
        <f t="shared" si="224"/>
        <v>4.189661719708921E-2</v>
      </c>
      <c r="AG497" s="18">
        <f t="shared" si="226"/>
        <v>4.5978199887292299E-7</v>
      </c>
      <c r="AH497" s="18">
        <f t="shared" si="228"/>
        <v>1.7759360285816744E-2</v>
      </c>
      <c r="AJ497" s="18">
        <f>IF(ISNUMBER(Kernel!M497),Kernel!M497,"")</f>
        <v>-7.4649860714615102E-2</v>
      </c>
      <c r="AK497" s="18">
        <f t="shared" si="213"/>
        <v>5.572601704711435E-3</v>
      </c>
      <c r="AN497" s="18">
        <f>IF(ISNUMBER(Volcanic!G497),Volcanic!G497,"")</f>
        <v>4.1999999999999997E-3</v>
      </c>
    </row>
    <row r="498" spans="1:40">
      <c r="A498" s="18" t="str">
        <f>IF(Volcanic!A498="","",Volcanic!A498)</f>
        <v>7/1999</v>
      </c>
      <c r="B498" s="18">
        <f>IF(ISNUMBER(Volcanic!L498),Volcanic!L498,"")</f>
        <v>1999.5416666666667</v>
      </c>
      <c r="C498" s="18">
        <f>IF(ISNUMBER(Volcanic!J498),Volcanic!J498,"")</f>
        <v>-5.8407532163404607E-2</v>
      </c>
      <c r="D498" s="18">
        <f t="shared" si="206"/>
        <v>3.4114398134191437E-3</v>
      </c>
      <c r="E498" s="18">
        <f>IF(ISNUMBER(Volcanic!C498),Volcanic!C498,"")</f>
        <v>0.40057696301241569</v>
      </c>
      <c r="F498" s="18">
        <f>IF(ISNUMBER(Volcanic!D498),Volcanic!D498,"")</f>
        <v>-0.8</v>
      </c>
      <c r="G498" s="18">
        <f>IF(ISNUMBER(Volcanic!E498),Volcanic!E498,"")</f>
        <v>4.3699999999999998E-3</v>
      </c>
      <c r="H498" s="18">
        <f t="shared" si="207"/>
        <v>0.16046190329625024</v>
      </c>
      <c r="I498" s="18">
        <f t="shared" si="208"/>
        <v>0.64000000000000012</v>
      </c>
      <c r="J498" s="18">
        <f t="shared" si="209"/>
        <v>1.9096899999999997E-5</v>
      </c>
      <c r="K498" s="18">
        <f t="shared" si="210"/>
        <v>-0.32046157040993256</v>
      </c>
      <c r="L498" s="18">
        <f t="shared" si="211"/>
        <v>1.7505213283642565E-3</v>
      </c>
      <c r="M498" s="18">
        <f t="shared" si="212"/>
        <v>-3.496E-3</v>
      </c>
      <c r="N498" s="18">
        <f t="shared" si="214"/>
        <v>7.2227513657352142E-3</v>
      </c>
      <c r="O498" s="18">
        <f t="shared" si="217"/>
        <v>2.6190324720203325E-2</v>
      </c>
      <c r="P498" s="18">
        <f t="shared" si="219"/>
        <v>6.1086156829933003E-3</v>
      </c>
      <c r="Q498" s="18">
        <f t="shared" si="221"/>
        <v>3.4384933928352074E-3</v>
      </c>
      <c r="R498" s="18">
        <f t="shared" si="223"/>
        <v>5.8581710880193039E-2</v>
      </c>
      <c r="S498" s="18">
        <f t="shared" si="225"/>
        <v>5.5180525859215897E-3</v>
      </c>
      <c r="T498" s="18">
        <f t="shared" si="227"/>
        <v>2.1430208866516583E-2</v>
      </c>
      <c r="U498" s="18">
        <f t="shared" si="229"/>
        <v>6.815438638913486E-4</v>
      </c>
      <c r="V498" s="18">
        <f t="shared" si="230"/>
        <v>9.5448025536112421E-5</v>
      </c>
      <c r="W498" s="18">
        <f t="shared" si="231"/>
        <v>1.369712346180013E-3</v>
      </c>
      <c r="X498" s="18">
        <f t="shared" si="232"/>
        <v>1.6311945860656946E-2</v>
      </c>
      <c r="Y498" s="18">
        <f t="shared" si="233"/>
        <v>3.5061611095212413E-3</v>
      </c>
      <c r="AA498" s="18">
        <f t="shared" si="215"/>
        <v>-1.5675993021120195E-2</v>
      </c>
      <c r="AB498" s="18">
        <f t="shared" si="216"/>
        <v>2.4573675719820906E-4</v>
      </c>
      <c r="AC498" s="18">
        <f t="shared" si="218"/>
        <v>1.3076526368390574E-5</v>
      </c>
      <c r="AD498" s="18">
        <f t="shared" si="220"/>
        <v>1.5015173633154204E-2</v>
      </c>
      <c r="AE498" s="18">
        <f t="shared" si="222"/>
        <v>2.3691563222695599E-3</v>
      </c>
      <c r="AF498" s="18">
        <f t="shared" si="224"/>
        <v>3.2520787077648397E-2</v>
      </c>
      <c r="AG498" s="18">
        <f t="shared" si="226"/>
        <v>4.189661719708921E-2</v>
      </c>
      <c r="AH498" s="18">
        <f t="shared" si="228"/>
        <v>4.5978199887292299E-7</v>
      </c>
      <c r="AJ498" s="18">
        <f>IF(ISNUMBER(Kernel!M498),Kernel!M498,"")</f>
        <v>-3.1988994433338191E-2</v>
      </c>
      <c r="AK498" s="18">
        <f t="shared" si="213"/>
        <v>1.0232957648561418E-3</v>
      </c>
      <c r="AN498" s="18">
        <f>IF(ISNUMBER(Volcanic!G498),Volcanic!G498,"")</f>
        <v>4.1999999999999997E-3</v>
      </c>
    </row>
    <row r="499" spans="1:40">
      <c r="A499" s="18" t="str">
        <f>IF(Volcanic!A499="","",Volcanic!A499)</f>
        <v>8/1999</v>
      </c>
      <c r="B499" s="18">
        <f>IF(ISNUMBER(Volcanic!L499),Volcanic!L499,"")</f>
        <v>1999.625</v>
      </c>
      <c r="C499" s="18">
        <f>IF(ISNUMBER(Volcanic!J499),Volcanic!J499,"")</f>
        <v>-0.11238031632366513</v>
      </c>
      <c r="D499" s="18">
        <f t="shared" si="206"/>
        <v>1.2629335497007035E-2</v>
      </c>
      <c r="E499" s="18">
        <f>IF(ISNUMBER(Volcanic!C499),Volcanic!C499,"")</f>
        <v>0.39058907956946148</v>
      </c>
      <c r="F499" s="18">
        <f>IF(ISNUMBER(Volcanic!D499),Volcanic!D499,"")</f>
        <v>-0.79</v>
      </c>
      <c r="G499" s="18">
        <f>IF(ISNUMBER(Volcanic!E499),Volcanic!E499,"")</f>
        <v>4.2399999999999998E-3</v>
      </c>
      <c r="H499" s="18">
        <f t="shared" si="207"/>
        <v>0.1525598290789191</v>
      </c>
      <c r="I499" s="18">
        <f t="shared" si="208"/>
        <v>0.6241000000000001</v>
      </c>
      <c r="J499" s="18">
        <f t="shared" si="209"/>
        <v>1.7977599999999999E-5</v>
      </c>
      <c r="K499" s="18">
        <f t="shared" si="210"/>
        <v>-0.30856537285987456</v>
      </c>
      <c r="L499" s="18">
        <f t="shared" si="211"/>
        <v>1.6560976973745167E-3</v>
      </c>
      <c r="M499" s="18">
        <f t="shared" si="212"/>
        <v>-3.3495999999999999E-3</v>
      </c>
      <c r="N499" s="18">
        <f t="shared" si="214"/>
        <v>3.4114398134191437E-3</v>
      </c>
      <c r="O499" s="18">
        <f t="shared" si="217"/>
        <v>7.2227513657352142E-3</v>
      </c>
      <c r="P499" s="18">
        <f t="shared" si="219"/>
        <v>2.6190324720203325E-2</v>
      </c>
      <c r="Q499" s="18">
        <f t="shared" si="221"/>
        <v>6.1086156829933003E-3</v>
      </c>
      <c r="R499" s="18">
        <f t="shared" si="223"/>
        <v>3.4384933928352074E-3</v>
      </c>
      <c r="S499" s="18">
        <f t="shared" si="225"/>
        <v>5.8581710880193039E-2</v>
      </c>
      <c r="T499" s="18">
        <f t="shared" si="227"/>
        <v>5.5180525859215897E-3</v>
      </c>
      <c r="U499" s="18">
        <f t="shared" si="229"/>
        <v>2.1430208866516583E-2</v>
      </c>
      <c r="V499" s="18">
        <f t="shared" si="230"/>
        <v>6.815438638913486E-4</v>
      </c>
      <c r="W499" s="18">
        <f t="shared" si="231"/>
        <v>9.5448025536112421E-5</v>
      </c>
      <c r="X499" s="18">
        <f t="shared" si="232"/>
        <v>1.369712346180013E-3</v>
      </c>
      <c r="Y499" s="18">
        <f t="shared" si="233"/>
        <v>1.6311945860656946E-2</v>
      </c>
      <c r="AA499" s="18">
        <f t="shared" si="215"/>
        <v>-8.301287834928131E-2</v>
      </c>
      <c r="AB499" s="18">
        <f t="shared" si="216"/>
        <v>6.8911379718325774E-3</v>
      </c>
      <c r="AC499" s="18">
        <f t="shared" si="218"/>
        <v>2.4573675719820906E-4</v>
      </c>
      <c r="AD499" s="18">
        <f t="shared" si="220"/>
        <v>1.3076526368390574E-5</v>
      </c>
      <c r="AE499" s="18">
        <f t="shared" si="222"/>
        <v>1.5015173633154204E-2</v>
      </c>
      <c r="AF499" s="18">
        <f t="shared" si="224"/>
        <v>2.3691563222695599E-3</v>
      </c>
      <c r="AG499" s="18">
        <f t="shared" si="226"/>
        <v>3.2520787077648397E-2</v>
      </c>
      <c r="AH499" s="18">
        <f t="shared" si="228"/>
        <v>4.189661719708921E-2</v>
      </c>
      <c r="AJ499" s="18">
        <f>IF(ISNUMBER(Kernel!M499),Kernel!M499,"")</f>
        <v>-8.095920212191493E-2</v>
      </c>
      <c r="AK499" s="18">
        <f t="shared" si="213"/>
        <v>6.5543924082170748E-3</v>
      </c>
      <c r="AN499" s="18">
        <f>IF(ISNUMBER(Volcanic!G499),Volcanic!G499,"")</f>
        <v>4.3200000000000001E-3</v>
      </c>
    </row>
    <row r="500" spans="1:40">
      <c r="A500" s="18" t="str">
        <f>IF(Volcanic!A500="","",Volcanic!A500)</f>
        <v>9/1999</v>
      </c>
      <c r="B500" s="18">
        <f>IF(ISNUMBER(Volcanic!L500),Volcanic!L500,"")</f>
        <v>1999.7083333333333</v>
      </c>
      <c r="C500" s="18">
        <f>IF(ISNUMBER(Volcanic!J500),Volcanic!J500,"")</f>
        <v>-5.4964010975024347E-3</v>
      </c>
      <c r="D500" s="18">
        <f t="shared" si="206"/>
        <v>3.0210425024625968E-5</v>
      </c>
      <c r="E500" s="18">
        <f>IF(ISNUMBER(Volcanic!C500),Volcanic!C500,"")</f>
        <v>0.38227199382725641</v>
      </c>
      <c r="F500" s="18">
        <f>IF(ISNUMBER(Volcanic!D500),Volcanic!D500,"")</f>
        <v>-0.84</v>
      </c>
      <c r="G500" s="18">
        <f>IF(ISNUMBER(Volcanic!E500),Volcanic!E500,"")</f>
        <v>4.0400000000000002E-3</v>
      </c>
      <c r="H500" s="18">
        <f t="shared" si="207"/>
        <v>0.14613187726466595</v>
      </c>
      <c r="I500" s="18">
        <f t="shared" si="208"/>
        <v>0.70559999999999989</v>
      </c>
      <c r="J500" s="18">
        <f t="shared" si="209"/>
        <v>1.6321600000000003E-5</v>
      </c>
      <c r="K500" s="18">
        <f t="shared" si="210"/>
        <v>-0.32110847481489535</v>
      </c>
      <c r="L500" s="18">
        <f t="shared" si="211"/>
        <v>1.5443788550621161E-3</v>
      </c>
      <c r="M500" s="18">
        <f t="shared" si="212"/>
        <v>-3.3936000000000001E-3</v>
      </c>
      <c r="N500" s="18">
        <f t="shared" si="214"/>
        <v>1.2629335497007035E-2</v>
      </c>
      <c r="O500" s="18">
        <f t="shared" si="217"/>
        <v>3.4114398134191437E-3</v>
      </c>
      <c r="P500" s="18">
        <f t="shared" si="219"/>
        <v>7.2227513657352142E-3</v>
      </c>
      <c r="Q500" s="18">
        <f t="shared" si="221"/>
        <v>2.6190324720203325E-2</v>
      </c>
      <c r="R500" s="18">
        <f t="shared" si="223"/>
        <v>6.1086156829933003E-3</v>
      </c>
      <c r="S500" s="18">
        <f t="shared" si="225"/>
        <v>3.4384933928352074E-3</v>
      </c>
      <c r="T500" s="18">
        <f t="shared" si="227"/>
        <v>5.8581710880193039E-2</v>
      </c>
      <c r="U500" s="18">
        <f t="shared" si="229"/>
        <v>5.5180525859215897E-3</v>
      </c>
      <c r="V500" s="18">
        <f t="shared" si="230"/>
        <v>2.1430208866516583E-2</v>
      </c>
      <c r="W500" s="18">
        <f t="shared" si="231"/>
        <v>6.815438638913486E-4</v>
      </c>
      <c r="X500" s="18">
        <f t="shared" si="232"/>
        <v>9.5448025536112421E-5</v>
      </c>
      <c r="Y500" s="18">
        <f t="shared" si="233"/>
        <v>1.369712346180013E-3</v>
      </c>
      <c r="AA500" s="18">
        <f t="shared" si="215"/>
        <v>5.1008673623745504E-2</v>
      </c>
      <c r="AB500" s="18">
        <f t="shared" si="216"/>
        <v>2.6018847848537901E-3</v>
      </c>
      <c r="AC500" s="18">
        <f t="shared" si="218"/>
        <v>6.8911379718325774E-3</v>
      </c>
      <c r="AD500" s="18">
        <f t="shared" si="220"/>
        <v>2.4573675719820906E-4</v>
      </c>
      <c r="AE500" s="18">
        <f t="shared" si="222"/>
        <v>1.3076526368390574E-5</v>
      </c>
      <c r="AF500" s="18">
        <f t="shared" si="224"/>
        <v>1.5015173633154204E-2</v>
      </c>
      <c r="AG500" s="18">
        <f t="shared" si="226"/>
        <v>2.3691563222695599E-3</v>
      </c>
      <c r="AH500" s="18">
        <f t="shared" si="228"/>
        <v>3.2520787077648397E-2</v>
      </c>
      <c r="AJ500" s="18">
        <f>IF(ISNUMBER(Kernel!M500),Kernel!M500,"")</f>
        <v>2.6250260501543998E-2</v>
      </c>
      <c r="AK500" s="18">
        <f t="shared" si="213"/>
        <v>6.8907617639892092E-4</v>
      </c>
      <c r="AN500" s="18">
        <f>IF(ISNUMBER(Volcanic!G500),Volcanic!G500,"")</f>
        <v>4.4000000000000003E-3</v>
      </c>
    </row>
    <row r="501" spans="1:40">
      <c r="A501" s="18" t="str">
        <f>IF(Volcanic!A501="","",Volcanic!A501)</f>
        <v>10/1999</v>
      </c>
      <c r="B501" s="18">
        <f>IF(ISNUMBER(Volcanic!L501),Volcanic!L501,"")</f>
        <v>1999.7916666666667</v>
      </c>
      <c r="C501" s="18">
        <f>IF(ISNUMBER(Volcanic!J501),Volcanic!J501,"")</f>
        <v>-5.6421628610494656E-2</v>
      </c>
      <c r="D501" s="18">
        <f t="shared" si="206"/>
        <v>3.1834001750605891E-3</v>
      </c>
      <c r="E501" s="18">
        <f>IF(ISNUMBER(Volcanic!C501),Volcanic!C501,"")</f>
        <v>0.38452352048875721</v>
      </c>
      <c r="F501" s="18">
        <f>IF(ISNUMBER(Volcanic!D501),Volcanic!D501,"")</f>
        <v>-0.9</v>
      </c>
      <c r="G501" s="18">
        <f>IF(ISNUMBER(Volcanic!E501),Volcanic!E501,"")</f>
        <v>3.8800000000000002E-3</v>
      </c>
      <c r="H501" s="18">
        <f t="shared" si="207"/>
        <v>0.14785833780906768</v>
      </c>
      <c r="I501" s="18">
        <f t="shared" si="208"/>
        <v>0.81</v>
      </c>
      <c r="J501" s="18">
        <f t="shared" si="209"/>
        <v>1.5054400000000001E-5</v>
      </c>
      <c r="K501" s="18">
        <f t="shared" si="210"/>
        <v>-0.3460711684398815</v>
      </c>
      <c r="L501" s="18">
        <f t="shared" si="211"/>
        <v>1.491951259496378E-3</v>
      </c>
      <c r="M501" s="18">
        <f t="shared" si="212"/>
        <v>-3.4920000000000003E-3</v>
      </c>
      <c r="N501" s="18">
        <f t="shared" si="214"/>
        <v>3.0210425024625968E-5</v>
      </c>
      <c r="O501" s="18">
        <f t="shared" si="217"/>
        <v>1.2629335497007035E-2</v>
      </c>
      <c r="P501" s="18">
        <f t="shared" si="219"/>
        <v>3.4114398134191437E-3</v>
      </c>
      <c r="Q501" s="18">
        <f t="shared" si="221"/>
        <v>7.2227513657352142E-3</v>
      </c>
      <c r="R501" s="18">
        <f t="shared" si="223"/>
        <v>2.6190324720203325E-2</v>
      </c>
      <c r="S501" s="18">
        <f t="shared" si="225"/>
        <v>6.1086156829933003E-3</v>
      </c>
      <c r="T501" s="18">
        <f t="shared" si="227"/>
        <v>3.4384933928352074E-3</v>
      </c>
      <c r="U501" s="18">
        <f t="shared" si="229"/>
        <v>5.8581710880193039E-2</v>
      </c>
      <c r="V501" s="18">
        <f t="shared" si="230"/>
        <v>5.5180525859215897E-3</v>
      </c>
      <c r="W501" s="18">
        <f t="shared" si="231"/>
        <v>2.1430208866516583E-2</v>
      </c>
      <c r="X501" s="18">
        <f t="shared" si="232"/>
        <v>6.815438638913486E-4</v>
      </c>
      <c r="Y501" s="18">
        <f t="shared" si="233"/>
        <v>9.5448025536112421E-5</v>
      </c>
      <c r="AA501" s="18">
        <f t="shared" si="215"/>
        <v>-5.3658025829578446E-2</v>
      </c>
      <c r="AB501" s="18">
        <f t="shared" si="216"/>
        <v>2.8791837359277077E-3</v>
      </c>
      <c r="AC501" s="18">
        <f t="shared" si="218"/>
        <v>2.6018847848537901E-3</v>
      </c>
      <c r="AD501" s="18">
        <f t="shared" si="220"/>
        <v>6.8911379718325774E-3</v>
      </c>
      <c r="AE501" s="18">
        <f t="shared" si="222"/>
        <v>2.4573675719820906E-4</v>
      </c>
      <c r="AF501" s="18">
        <f t="shared" si="224"/>
        <v>1.3076526368390574E-5</v>
      </c>
      <c r="AG501" s="18">
        <f t="shared" si="226"/>
        <v>1.5015173633154204E-2</v>
      </c>
      <c r="AH501" s="18">
        <f t="shared" si="228"/>
        <v>2.3691563222695599E-3</v>
      </c>
      <c r="AJ501" s="18">
        <f>IF(ISNUMBER(Kernel!M501),Kernel!M501,"")</f>
        <v>-2.3018465084151063E-2</v>
      </c>
      <c r="AK501" s="18">
        <f t="shared" si="213"/>
        <v>5.2984973483028157E-4</v>
      </c>
      <c r="AN501" s="18">
        <f>IF(ISNUMBER(Volcanic!G501),Volcanic!G501,"")</f>
        <v>4.45E-3</v>
      </c>
    </row>
    <row r="502" spans="1:40">
      <c r="A502" s="18" t="str">
        <f>IF(Volcanic!A502="","",Volcanic!A502)</f>
        <v>11/1999</v>
      </c>
      <c r="B502" s="18">
        <f>IF(ISNUMBER(Volcanic!L502),Volcanic!L502,"")</f>
        <v>1999.875</v>
      </c>
      <c r="C502" s="18">
        <f>IF(ISNUMBER(Volcanic!J502),Volcanic!J502,"")</f>
        <v>-3.7389147422622671E-2</v>
      </c>
      <c r="D502" s="18">
        <f t="shared" si="206"/>
        <v>1.3979483449906116E-3</v>
      </c>
      <c r="E502" s="18">
        <f>IF(ISNUMBER(Volcanic!C502),Volcanic!C502,"")</f>
        <v>0.38988143286110233</v>
      </c>
      <c r="F502" s="18">
        <f>IF(ISNUMBER(Volcanic!D502),Volcanic!D502,"")</f>
        <v>-0.94</v>
      </c>
      <c r="G502" s="18">
        <f>IF(ISNUMBER(Volcanic!E502),Volcanic!E502,"")</f>
        <v>3.8500000000000001E-3</v>
      </c>
      <c r="H502" s="18">
        <f t="shared" si="207"/>
        <v>0.15200753168982625</v>
      </c>
      <c r="I502" s="18">
        <f t="shared" si="208"/>
        <v>0.88359999999999994</v>
      </c>
      <c r="J502" s="18">
        <f t="shared" si="209"/>
        <v>1.4822500000000001E-5</v>
      </c>
      <c r="K502" s="18">
        <f t="shared" si="210"/>
        <v>-0.36648854688943616</v>
      </c>
      <c r="L502" s="18">
        <f t="shared" si="211"/>
        <v>1.5010435165152441E-3</v>
      </c>
      <c r="M502" s="18">
        <f t="shared" si="212"/>
        <v>-3.6189999999999998E-3</v>
      </c>
      <c r="N502" s="18">
        <f t="shared" si="214"/>
        <v>3.1834001750605891E-3</v>
      </c>
      <c r="O502" s="18">
        <f t="shared" si="217"/>
        <v>3.0210425024625968E-5</v>
      </c>
      <c r="P502" s="18">
        <f t="shared" si="219"/>
        <v>1.2629335497007035E-2</v>
      </c>
      <c r="Q502" s="18">
        <f t="shared" si="221"/>
        <v>3.4114398134191437E-3</v>
      </c>
      <c r="R502" s="18">
        <f t="shared" si="223"/>
        <v>7.2227513657352142E-3</v>
      </c>
      <c r="S502" s="18">
        <f t="shared" si="225"/>
        <v>2.6190324720203325E-2</v>
      </c>
      <c r="T502" s="18">
        <f t="shared" si="227"/>
        <v>6.1086156829933003E-3</v>
      </c>
      <c r="U502" s="18">
        <f t="shared" si="229"/>
        <v>3.4384933928352074E-3</v>
      </c>
      <c r="V502" s="18">
        <f t="shared" si="230"/>
        <v>5.8581710880193039E-2</v>
      </c>
      <c r="W502" s="18">
        <f t="shared" si="231"/>
        <v>5.5180525859215897E-3</v>
      </c>
      <c r="X502" s="18">
        <f t="shared" si="232"/>
        <v>2.1430208866516583E-2</v>
      </c>
      <c r="Y502" s="18">
        <f t="shared" si="233"/>
        <v>6.815438638913486E-4</v>
      </c>
      <c r="AA502" s="18">
        <f t="shared" si="215"/>
        <v>-9.0202262020374728E-3</v>
      </c>
      <c r="AB502" s="18">
        <f t="shared" si="216"/>
        <v>8.1364480735923375E-5</v>
      </c>
      <c r="AC502" s="18">
        <f t="shared" si="218"/>
        <v>2.8791837359277077E-3</v>
      </c>
      <c r="AD502" s="18">
        <f t="shared" si="220"/>
        <v>2.6018847848537901E-3</v>
      </c>
      <c r="AE502" s="18">
        <f t="shared" si="222"/>
        <v>6.8911379718325774E-3</v>
      </c>
      <c r="AF502" s="18">
        <f t="shared" si="224"/>
        <v>2.4573675719820906E-4</v>
      </c>
      <c r="AG502" s="18">
        <f t="shared" si="226"/>
        <v>1.3076526368390574E-5</v>
      </c>
      <c r="AH502" s="18">
        <f t="shared" si="228"/>
        <v>1.5015173633154204E-2</v>
      </c>
      <c r="AJ502" s="18">
        <f>IF(ISNUMBER(Kernel!M502),Kernel!M502,"")</f>
        <v>3.0261040227319569E-3</v>
      </c>
      <c r="AK502" s="18">
        <f t="shared" si="213"/>
        <v>9.1573055563945317E-6</v>
      </c>
      <c r="AN502" s="18">
        <f>IF(ISNUMBER(Volcanic!G502),Volcanic!G502,"")</f>
        <v>4.4400000000000004E-3</v>
      </c>
    </row>
    <row r="503" spans="1:40">
      <c r="A503" s="18" t="str">
        <f>IF(Volcanic!A503="","",Volcanic!A503)</f>
        <v>12/1999</v>
      </c>
      <c r="B503" s="18">
        <f>IF(ISNUMBER(Volcanic!L503),Volcanic!L503,"")</f>
        <v>1999.9583333333333</v>
      </c>
      <c r="C503" s="18">
        <f>IF(ISNUMBER(Volcanic!J503),Volcanic!J503,"")</f>
        <v>-1.6264337064819279E-2</v>
      </c>
      <c r="D503" s="18">
        <f t="shared" si="206"/>
        <v>2.6452866015805418E-4</v>
      </c>
      <c r="E503" s="18">
        <f>IF(ISNUMBER(Volcanic!C503),Volcanic!C503,"")</f>
        <v>0.3952978746136992</v>
      </c>
      <c r="F503" s="18">
        <f>IF(ISNUMBER(Volcanic!D503),Volcanic!D503,"")</f>
        <v>-1</v>
      </c>
      <c r="G503" s="18">
        <f>IF(ISNUMBER(Volcanic!E503),Volcanic!E503,"")</f>
        <v>4.0000000000000001E-3</v>
      </c>
      <c r="H503" s="18">
        <f t="shared" si="207"/>
        <v>0.15626040967410784</v>
      </c>
      <c r="I503" s="18">
        <f t="shared" si="208"/>
        <v>1</v>
      </c>
      <c r="J503" s="18">
        <f t="shared" si="209"/>
        <v>1.5999999999999999E-5</v>
      </c>
      <c r="K503" s="18">
        <f t="shared" si="210"/>
        <v>-0.3952978746136992</v>
      </c>
      <c r="L503" s="18">
        <f t="shared" si="211"/>
        <v>1.5811914984547968E-3</v>
      </c>
      <c r="M503" s="18">
        <f t="shared" si="212"/>
        <v>-4.0000000000000001E-3</v>
      </c>
      <c r="N503" s="18">
        <f t="shared" si="214"/>
        <v>1.3979483449906116E-3</v>
      </c>
      <c r="O503" s="18">
        <f t="shared" si="217"/>
        <v>3.1834001750605891E-3</v>
      </c>
      <c r="P503" s="18">
        <f t="shared" si="219"/>
        <v>3.0210425024625968E-5</v>
      </c>
      <c r="Q503" s="18">
        <f t="shared" si="221"/>
        <v>1.2629335497007035E-2</v>
      </c>
      <c r="R503" s="18">
        <f t="shared" si="223"/>
        <v>3.4114398134191437E-3</v>
      </c>
      <c r="S503" s="18">
        <f t="shared" si="225"/>
        <v>7.2227513657352142E-3</v>
      </c>
      <c r="T503" s="18">
        <f t="shared" si="227"/>
        <v>2.6190324720203325E-2</v>
      </c>
      <c r="U503" s="18">
        <f t="shared" si="229"/>
        <v>6.1086156829933003E-3</v>
      </c>
      <c r="V503" s="18">
        <f t="shared" si="230"/>
        <v>3.4384933928352074E-3</v>
      </c>
      <c r="W503" s="18">
        <f t="shared" si="231"/>
        <v>5.8581710880193039E-2</v>
      </c>
      <c r="X503" s="18">
        <f t="shared" si="232"/>
        <v>5.5180525859215897E-3</v>
      </c>
      <c r="Y503" s="18">
        <f t="shared" si="233"/>
        <v>2.1430208866516583E-2</v>
      </c>
      <c r="AA503" s="18">
        <f t="shared" si="215"/>
        <v>2.5350099916025548E-3</v>
      </c>
      <c r="AB503" s="18">
        <f t="shared" si="216"/>
        <v>6.4262756575247851E-6</v>
      </c>
      <c r="AC503" s="18">
        <f t="shared" si="218"/>
        <v>8.1364480735923375E-5</v>
      </c>
      <c r="AD503" s="18">
        <f t="shared" si="220"/>
        <v>2.8791837359277077E-3</v>
      </c>
      <c r="AE503" s="18">
        <f t="shared" si="222"/>
        <v>2.6018847848537901E-3</v>
      </c>
      <c r="AF503" s="18">
        <f t="shared" si="224"/>
        <v>6.8911379718325774E-3</v>
      </c>
      <c r="AG503" s="18">
        <f t="shared" si="226"/>
        <v>2.4573675719820906E-4</v>
      </c>
      <c r="AH503" s="18">
        <f t="shared" si="228"/>
        <v>1.3076526368390574E-5</v>
      </c>
      <c r="AJ503" s="18">
        <f>IF(ISNUMBER(Kernel!M503),Kernel!M503,"")</f>
        <v>3.1140445998427024E-2</v>
      </c>
      <c r="AK503" s="18">
        <f t="shared" si="213"/>
        <v>9.6972737698094969E-4</v>
      </c>
      <c r="AN503" s="18">
        <f>IF(ISNUMBER(Volcanic!G503),Volcanic!G503,"")</f>
        <v>4.2500000000000003E-3</v>
      </c>
    </row>
    <row r="504" spans="1:40">
      <c r="A504" s="18" t="str">
        <f>IF(Volcanic!A504="","",Volcanic!A504)</f>
        <v>1/2000</v>
      </c>
      <c r="B504" s="18">
        <f>IF(ISNUMBER(Volcanic!L504),Volcanic!L504,"")</f>
        <v>2000.0416666666667</v>
      </c>
      <c r="C504" s="18">
        <f>IF(ISNUMBER(Volcanic!J504),Volcanic!J504,"")</f>
        <v>-0.16645551863244695</v>
      </c>
      <c r="D504" s="18">
        <f t="shared" si="206"/>
        <v>2.7707439683196895E-2</v>
      </c>
      <c r="E504" s="18">
        <f>IF(ISNUMBER(Volcanic!C504),Volcanic!C504,"")</f>
        <v>0.39995230138778842</v>
      </c>
      <c r="F504" s="18">
        <f>IF(ISNUMBER(Volcanic!D504),Volcanic!D504,"")</f>
        <v>-1.1299999999999999</v>
      </c>
      <c r="G504" s="18">
        <f>IF(ISNUMBER(Volcanic!E504),Volcanic!E504,"")</f>
        <v>4.1999999999999997E-3</v>
      </c>
      <c r="H504" s="18">
        <f t="shared" si="207"/>
        <v>0.15996184338538835</v>
      </c>
      <c r="I504" s="18">
        <f t="shared" si="208"/>
        <v>1.2768999999999997</v>
      </c>
      <c r="J504" s="18">
        <f t="shared" si="209"/>
        <v>1.7639999999999997E-5</v>
      </c>
      <c r="K504" s="18">
        <f t="shared" si="210"/>
        <v>-0.45194610056820089</v>
      </c>
      <c r="L504" s="18">
        <f t="shared" si="211"/>
        <v>1.6797996658287112E-3</v>
      </c>
      <c r="M504" s="18">
        <f t="shared" si="212"/>
        <v>-4.7459999999999994E-3</v>
      </c>
      <c r="N504" s="18">
        <f t="shared" si="214"/>
        <v>2.6452866015805418E-4</v>
      </c>
      <c r="O504" s="18">
        <f t="shared" si="217"/>
        <v>1.3979483449906116E-3</v>
      </c>
      <c r="P504" s="18">
        <f t="shared" si="219"/>
        <v>3.1834001750605891E-3</v>
      </c>
      <c r="Q504" s="18">
        <f t="shared" si="221"/>
        <v>3.0210425024625968E-5</v>
      </c>
      <c r="R504" s="18">
        <f t="shared" si="223"/>
        <v>1.2629335497007035E-2</v>
      </c>
      <c r="S504" s="18">
        <f t="shared" si="225"/>
        <v>3.4114398134191437E-3</v>
      </c>
      <c r="T504" s="18">
        <f t="shared" si="227"/>
        <v>7.2227513657352142E-3</v>
      </c>
      <c r="U504" s="18">
        <f t="shared" si="229"/>
        <v>2.6190324720203325E-2</v>
      </c>
      <c r="V504" s="18">
        <f t="shared" si="230"/>
        <v>6.1086156829933003E-3</v>
      </c>
      <c r="W504" s="18">
        <f t="shared" si="231"/>
        <v>3.4384933928352074E-3</v>
      </c>
      <c r="X504" s="18">
        <f t="shared" si="232"/>
        <v>5.8581710880193039E-2</v>
      </c>
      <c r="Y504" s="18">
        <f t="shared" si="233"/>
        <v>5.5180525859215897E-3</v>
      </c>
      <c r="AA504" s="18">
        <f t="shared" si="215"/>
        <v>-0.15827777353256375</v>
      </c>
      <c r="AB504" s="18">
        <f t="shared" si="216"/>
        <v>2.5051853594425539E-2</v>
      </c>
      <c r="AC504" s="18">
        <f t="shared" si="218"/>
        <v>6.4262756575247851E-6</v>
      </c>
      <c r="AD504" s="18">
        <f t="shared" si="220"/>
        <v>8.1364480735923375E-5</v>
      </c>
      <c r="AE504" s="18">
        <f t="shared" si="222"/>
        <v>2.8791837359277077E-3</v>
      </c>
      <c r="AF504" s="18">
        <f t="shared" si="224"/>
        <v>2.6018847848537901E-3</v>
      </c>
      <c r="AG504" s="18">
        <f t="shared" si="226"/>
        <v>6.8911379718325774E-3</v>
      </c>
      <c r="AH504" s="18">
        <f t="shared" si="228"/>
        <v>2.4573675719820906E-4</v>
      </c>
      <c r="AJ504" s="18">
        <f>IF(ISNUMBER(Kernel!M504),Kernel!M504,"")</f>
        <v>-0.12196910842165493</v>
      </c>
      <c r="AK504" s="18">
        <f t="shared" si="213"/>
        <v>1.4876463409173415E-2</v>
      </c>
      <c r="AN504" s="18">
        <f>IF(ISNUMBER(Volcanic!G504),Volcanic!G504,"")</f>
        <v>4.1799999999999997E-3</v>
      </c>
    </row>
    <row r="505" spans="1:40">
      <c r="A505" s="18" t="str">
        <f>IF(Volcanic!A505="","",Volcanic!A505)</f>
        <v>2/2000</v>
      </c>
      <c r="B505" s="18">
        <f>IF(ISNUMBER(Volcanic!L505),Volcanic!L505,"")</f>
        <v>2000.125</v>
      </c>
      <c r="C505" s="18">
        <f>IF(ISNUMBER(Volcanic!J505),Volcanic!J505,"")</f>
        <v>0.16119121706385064</v>
      </c>
      <c r="D505" s="18">
        <f t="shared" si="206"/>
        <v>2.5982608458525416E-2</v>
      </c>
      <c r="E505" s="18">
        <f>IF(ISNUMBER(Volcanic!C505),Volcanic!C505,"")</f>
        <v>0.40096723922560795</v>
      </c>
      <c r="F505" s="18">
        <f>IF(ISNUMBER(Volcanic!D505),Volcanic!D505,"")</f>
        <v>-1.35</v>
      </c>
      <c r="G505" s="18">
        <f>IF(ISNUMBER(Volcanic!E505),Volcanic!E505,"")</f>
        <v>4.1999999999999997E-3</v>
      </c>
      <c r="H505" s="18">
        <f t="shared" si="207"/>
        <v>0.1607747269322059</v>
      </c>
      <c r="I505" s="18">
        <f t="shared" si="208"/>
        <v>1.8225000000000002</v>
      </c>
      <c r="J505" s="18">
        <f t="shared" si="209"/>
        <v>1.7639999999999997E-5</v>
      </c>
      <c r="K505" s="18">
        <f t="shared" si="210"/>
        <v>-0.54130577295457072</v>
      </c>
      <c r="L505" s="18">
        <f t="shared" si="211"/>
        <v>1.6840624047475532E-3</v>
      </c>
      <c r="M505" s="18">
        <f t="shared" si="212"/>
        <v>-5.6699999999999997E-3</v>
      </c>
      <c r="N505" s="18">
        <f t="shared" si="214"/>
        <v>2.7707439683196895E-2</v>
      </c>
      <c r="O505" s="18">
        <f t="shared" si="217"/>
        <v>2.6452866015805418E-4</v>
      </c>
      <c r="P505" s="18">
        <f t="shared" si="219"/>
        <v>1.3979483449906116E-3</v>
      </c>
      <c r="Q505" s="18">
        <f t="shared" si="221"/>
        <v>3.1834001750605891E-3</v>
      </c>
      <c r="R505" s="18">
        <f t="shared" si="223"/>
        <v>3.0210425024625968E-5</v>
      </c>
      <c r="S505" s="18">
        <f t="shared" si="225"/>
        <v>1.2629335497007035E-2</v>
      </c>
      <c r="T505" s="18">
        <f t="shared" si="227"/>
        <v>3.4114398134191437E-3</v>
      </c>
      <c r="U505" s="18">
        <f t="shared" si="229"/>
        <v>7.2227513657352142E-3</v>
      </c>
      <c r="V505" s="18">
        <f t="shared" si="230"/>
        <v>2.6190324720203325E-2</v>
      </c>
      <c r="W505" s="18">
        <f t="shared" si="231"/>
        <v>6.1086156829933003E-3</v>
      </c>
      <c r="X505" s="18">
        <f t="shared" si="232"/>
        <v>3.4384933928352074E-3</v>
      </c>
      <c r="Y505" s="18">
        <f t="shared" si="233"/>
        <v>5.8581710880193039E-2</v>
      </c>
      <c r="AA505" s="18">
        <f t="shared" si="215"/>
        <v>0.24488542460640284</v>
      </c>
      <c r="AB505" s="18">
        <f t="shared" si="216"/>
        <v>5.9968871184658205E-2</v>
      </c>
      <c r="AC505" s="18">
        <f t="shared" si="218"/>
        <v>2.5051853594425539E-2</v>
      </c>
      <c r="AD505" s="18">
        <f t="shared" si="220"/>
        <v>6.4262756575247851E-6</v>
      </c>
      <c r="AE505" s="18">
        <f t="shared" si="222"/>
        <v>8.1364480735923375E-5</v>
      </c>
      <c r="AF505" s="18">
        <f t="shared" si="224"/>
        <v>2.8791837359277077E-3</v>
      </c>
      <c r="AG505" s="18">
        <f t="shared" si="226"/>
        <v>2.6018847848537901E-3</v>
      </c>
      <c r="AH505" s="18">
        <f t="shared" si="228"/>
        <v>6.8911379718325774E-3</v>
      </c>
      <c r="AJ505" s="18">
        <f>IF(ISNUMBER(Kernel!M505),Kernel!M505,"")</f>
        <v>0.18871873224964275</v>
      </c>
      <c r="AK505" s="18">
        <f t="shared" si="213"/>
        <v>3.5614759901912353E-2</v>
      </c>
      <c r="AN505" s="18">
        <f>IF(ISNUMBER(Volcanic!G505),Volcanic!G505,"")</f>
        <v>4.0600000000000002E-3</v>
      </c>
    </row>
    <row r="506" spans="1:40">
      <c r="A506" s="18" t="str">
        <f>IF(Volcanic!A506="","",Volcanic!A506)</f>
        <v>3/2000</v>
      </c>
      <c r="B506" s="18">
        <f>IF(ISNUMBER(Volcanic!L506),Volcanic!L506,"")</f>
        <v>2000.2083333333333</v>
      </c>
      <c r="C506" s="18">
        <f>IF(ISNUMBER(Volcanic!J506),Volcanic!J506,"")</f>
        <v>0.15710512432481322</v>
      </c>
      <c r="D506" s="18">
        <f t="shared" si="206"/>
        <v>2.4682020089115016E-2</v>
      </c>
      <c r="E506" s="18">
        <f>IF(ISNUMBER(Volcanic!C506),Volcanic!C506,"")</f>
        <v>0.40501986550966412</v>
      </c>
      <c r="F506" s="18">
        <f>IF(ISNUMBER(Volcanic!D506),Volcanic!D506,"")</f>
        <v>-1.53</v>
      </c>
      <c r="G506" s="18">
        <f>IF(ISNUMBER(Volcanic!E506),Volcanic!E506,"")</f>
        <v>4.3200000000000001E-3</v>
      </c>
      <c r="H506" s="18">
        <f t="shared" si="207"/>
        <v>0.16404109145746643</v>
      </c>
      <c r="I506" s="18">
        <f t="shared" si="208"/>
        <v>2.3409</v>
      </c>
      <c r="J506" s="18">
        <f t="shared" si="209"/>
        <v>1.8662399999999999E-5</v>
      </c>
      <c r="K506" s="18">
        <f t="shared" si="210"/>
        <v>-0.61968039422978616</v>
      </c>
      <c r="L506" s="18">
        <f t="shared" si="211"/>
        <v>1.749685819001749E-3</v>
      </c>
      <c r="M506" s="18">
        <f t="shared" si="212"/>
        <v>-6.6096000000000002E-3</v>
      </c>
      <c r="N506" s="18">
        <f t="shared" si="214"/>
        <v>2.5982608458525416E-2</v>
      </c>
      <c r="O506" s="18">
        <f t="shared" si="217"/>
        <v>2.7707439683196895E-2</v>
      </c>
      <c r="P506" s="18">
        <f t="shared" si="219"/>
        <v>2.6452866015805418E-4</v>
      </c>
      <c r="Q506" s="18">
        <f t="shared" si="221"/>
        <v>1.3979483449906116E-3</v>
      </c>
      <c r="R506" s="18">
        <f t="shared" si="223"/>
        <v>3.1834001750605891E-3</v>
      </c>
      <c r="S506" s="18">
        <f t="shared" si="225"/>
        <v>3.0210425024625968E-5</v>
      </c>
      <c r="T506" s="18">
        <f t="shared" si="227"/>
        <v>1.2629335497007035E-2</v>
      </c>
      <c r="U506" s="18">
        <f t="shared" si="229"/>
        <v>3.4114398134191437E-3</v>
      </c>
      <c r="V506" s="18">
        <f t="shared" si="230"/>
        <v>7.2227513657352142E-3</v>
      </c>
      <c r="W506" s="18">
        <f t="shared" si="231"/>
        <v>2.6190324720203325E-2</v>
      </c>
      <c r="X506" s="18">
        <f t="shared" si="232"/>
        <v>6.1086156829933003E-3</v>
      </c>
      <c r="Y506" s="18">
        <f t="shared" si="233"/>
        <v>3.4384933928352074E-3</v>
      </c>
      <c r="AA506" s="18">
        <f t="shared" si="215"/>
        <v>7.6057819400260504E-2</v>
      </c>
      <c r="AB506" s="18">
        <f t="shared" si="216"/>
        <v>5.7847918919226434E-3</v>
      </c>
      <c r="AC506" s="18">
        <f t="shared" si="218"/>
        <v>5.9968871184658205E-2</v>
      </c>
      <c r="AD506" s="18">
        <f t="shared" si="220"/>
        <v>2.5051853594425539E-2</v>
      </c>
      <c r="AE506" s="18">
        <f t="shared" si="222"/>
        <v>6.4262756575247851E-6</v>
      </c>
      <c r="AF506" s="18">
        <f t="shared" si="224"/>
        <v>8.1364480735923375E-5</v>
      </c>
      <c r="AG506" s="18">
        <f t="shared" si="226"/>
        <v>2.8791837359277077E-3</v>
      </c>
      <c r="AH506" s="18">
        <f t="shared" si="228"/>
        <v>2.6018847848537901E-3</v>
      </c>
      <c r="AJ506" s="18">
        <f>IF(ISNUMBER(Kernel!M506),Kernel!M506,"")</f>
        <v>0.16456274579878971</v>
      </c>
      <c r="AK506" s="18">
        <f t="shared" si="213"/>
        <v>2.7080897304837082E-2</v>
      </c>
      <c r="AN506" s="18">
        <f>IF(ISNUMBER(Volcanic!G506),Volcanic!G506,"")</f>
        <v>3.96E-3</v>
      </c>
    </row>
    <row r="507" spans="1:40">
      <c r="A507" s="18" t="str">
        <f>IF(Volcanic!A507="","",Volcanic!A507)</f>
        <v>4/2000</v>
      </c>
      <c r="B507" s="18">
        <f>IF(ISNUMBER(Volcanic!L507),Volcanic!L507,"")</f>
        <v>2000.2916666666667</v>
      </c>
      <c r="C507" s="18">
        <f>IF(ISNUMBER(Volcanic!J507),Volcanic!J507,"")</f>
        <v>0.1486808225199287</v>
      </c>
      <c r="D507" s="18">
        <f t="shared" si="206"/>
        <v>2.2105986985202539E-2</v>
      </c>
      <c r="E507" s="18">
        <f>IF(ISNUMBER(Volcanic!C507),Volcanic!C507,"")</f>
        <v>0.40979822782841963</v>
      </c>
      <c r="F507" s="18">
        <f>IF(ISNUMBER(Volcanic!D507),Volcanic!D507,"")</f>
        <v>-1.47</v>
      </c>
      <c r="G507" s="18">
        <f>IF(ISNUMBER(Volcanic!E507),Volcanic!E507,"")</f>
        <v>4.4000000000000003E-3</v>
      </c>
      <c r="H507" s="18">
        <f t="shared" si="207"/>
        <v>0.16793458753131332</v>
      </c>
      <c r="I507" s="18">
        <f t="shared" si="208"/>
        <v>2.1608999999999998</v>
      </c>
      <c r="J507" s="18">
        <f t="shared" si="209"/>
        <v>1.9360000000000001E-5</v>
      </c>
      <c r="K507" s="18">
        <f t="shared" si="210"/>
        <v>-0.60240339490777683</v>
      </c>
      <c r="L507" s="18">
        <f t="shared" si="211"/>
        <v>1.8031122024450466E-3</v>
      </c>
      <c r="M507" s="18">
        <f t="shared" si="212"/>
        <v>-6.4680000000000007E-3</v>
      </c>
      <c r="N507" s="18">
        <f t="shared" si="214"/>
        <v>2.4682020089115016E-2</v>
      </c>
      <c r="O507" s="18">
        <f t="shared" si="217"/>
        <v>2.5982608458525416E-2</v>
      </c>
      <c r="P507" s="18">
        <f t="shared" si="219"/>
        <v>2.7707439683196895E-2</v>
      </c>
      <c r="Q507" s="18">
        <f t="shared" si="221"/>
        <v>2.6452866015805418E-4</v>
      </c>
      <c r="R507" s="18">
        <f t="shared" si="223"/>
        <v>1.3979483449906116E-3</v>
      </c>
      <c r="S507" s="18">
        <f t="shared" si="225"/>
        <v>3.1834001750605891E-3</v>
      </c>
      <c r="T507" s="18">
        <f t="shared" si="227"/>
        <v>3.0210425024625968E-5</v>
      </c>
      <c r="U507" s="18">
        <f t="shared" si="229"/>
        <v>1.2629335497007035E-2</v>
      </c>
      <c r="V507" s="18">
        <f t="shared" si="230"/>
        <v>3.4114398134191437E-3</v>
      </c>
      <c r="W507" s="18">
        <f t="shared" si="231"/>
        <v>7.2227513657352142E-3</v>
      </c>
      <c r="X507" s="18">
        <f t="shared" si="232"/>
        <v>2.6190324720203325E-2</v>
      </c>
      <c r="Y507" s="18">
        <f t="shared" si="233"/>
        <v>6.1086156829933003E-3</v>
      </c>
      <c r="AA507" s="18">
        <f t="shared" si="215"/>
        <v>6.9688014175295646E-2</v>
      </c>
      <c r="AB507" s="18">
        <f t="shared" si="216"/>
        <v>4.8564193196962068E-3</v>
      </c>
      <c r="AC507" s="18">
        <f t="shared" si="218"/>
        <v>5.7847918919226434E-3</v>
      </c>
      <c r="AD507" s="18">
        <f t="shared" si="220"/>
        <v>5.9968871184658205E-2</v>
      </c>
      <c r="AE507" s="18">
        <f t="shared" si="222"/>
        <v>2.5051853594425539E-2</v>
      </c>
      <c r="AF507" s="18">
        <f t="shared" si="224"/>
        <v>6.4262756575247851E-6</v>
      </c>
      <c r="AG507" s="18">
        <f t="shared" si="226"/>
        <v>8.1364480735923375E-5</v>
      </c>
      <c r="AH507" s="18">
        <f t="shared" si="228"/>
        <v>2.8791837359277077E-3</v>
      </c>
      <c r="AJ507" s="18">
        <f>IF(ISNUMBER(Kernel!M507),Kernel!M507,"")</f>
        <v>0.15527140017758706</v>
      </c>
      <c r="AK507" s="18">
        <f t="shared" si="213"/>
        <v>2.4109207713108382E-2</v>
      </c>
      <c r="AN507" s="18">
        <f>IF(ISNUMBER(Volcanic!G507),Volcanic!G507,"")</f>
        <v>4.0699999999999998E-3</v>
      </c>
    </row>
    <row r="508" spans="1:40">
      <c r="A508" s="18" t="str">
        <f>IF(Volcanic!A508="","",Volcanic!A508)</f>
        <v>5/2000</v>
      </c>
      <c r="B508" s="18">
        <f>IF(ISNUMBER(Volcanic!L508),Volcanic!L508,"")</f>
        <v>2000.375</v>
      </c>
      <c r="C508" s="18">
        <f>IF(ISNUMBER(Volcanic!J508),Volcanic!J508,"")</f>
        <v>-7.8262396325492423E-2</v>
      </c>
      <c r="D508" s="18">
        <f t="shared" si="206"/>
        <v>6.1250026786084499E-3</v>
      </c>
      <c r="E508" s="18">
        <f>IF(ISNUMBER(Volcanic!C508),Volcanic!C508,"")</f>
        <v>0.40890591510745228</v>
      </c>
      <c r="F508" s="18">
        <f>IF(ISNUMBER(Volcanic!D508),Volcanic!D508,"")</f>
        <v>-1.26</v>
      </c>
      <c r="G508" s="18">
        <f>IF(ISNUMBER(Volcanic!E508),Volcanic!E508,"")</f>
        <v>4.45E-3</v>
      </c>
      <c r="H508" s="18">
        <f t="shared" si="207"/>
        <v>0.16720404740986297</v>
      </c>
      <c r="I508" s="18">
        <f t="shared" si="208"/>
        <v>1.5876000000000001</v>
      </c>
      <c r="J508" s="18">
        <f t="shared" si="209"/>
        <v>1.9802499999999999E-5</v>
      </c>
      <c r="K508" s="18">
        <f t="shared" si="210"/>
        <v>-0.51522145303538991</v>
      </c>
      <c r="L508" s="18">
        <f t="shared" si="211"/>
        <v>1.8196313222281627E-3</v>
      </c>
      <c r="M508" s="18">
        <f t="shared" si="212"/>
        <v>-5.607E-3</v>
      </c>
      <c r="N508" s="18">
        <f t="shared" si="214"/>
        <v>2.2105986985202539E-2</v>
      </c>
      <c r="O508" s="18">
        <f t="shared" si="217"/>
        <v>2.4682020089115016E-2</v>
      </c>
      <c r="P508" s="18">
        <f t="shared" si="219"/>
        <v>2.5982608458525416E-2</v>
      </c>
      <c r="Q508" s="18">
        <f t="shared" si="221"/>
        <v>2.7707439683196895E-2</v>
      </c>
      <c r="R508" s="18">
        <f t="shared" si="223"/>
        <v>2.6452866015805418E-4</v>
      </c>
      <c r="S508" s="18">
        <f t="shared" si="225"/>
        <v>1.3979483449906116E-3</v>
      </c>
      <c r="T508" s="18">
        <f t="shared" si="227"/>
        <v>3.1834001750605891E-3</v>
      </c>
      <c r="U508" s="18">
        <f t="shared" si="229"/>
        <v>3.0210425024625968E-5</v>
      </c>
      <c r="V508" s="18">
        <f t="shared" si="230"/>
        <v>1.2629335497007035E-2</v>
      </c>
      <c r="W508" s="18">
        <f t="shared" si="231"/>
        <v>3.4114398134191437E-3</v>
      </c>
      <c r="X508" s="18">
        <f t="shared" si="232"/>
        <v>7.2227513657352142E-3</v>
      </c>
      <c r="Y508" s="18">
        <f t="shared" si="233"/>
        <v>2.6190324720203325E-2</v>
      </c>
      <c r="AA508" s="18">
        <f t="shared" si="215"/>
        <v>-0.15301944685655627</v>
      </c>
      <c r="AB508" s="18">
        <f t="shared" si="216"/>
        <v>2.3414951116286449E-2</v>
      </c>
      <c r="AC508" s="18">
        <f t="shared" si="218"/>
        <v>4.8564193196962068E-3</v>
      </c>
      <c r="AD508" s="18">
        <f t="shared" si="220"/>
        <v>5.7847918919226434E-3</v>
      </c>
      <c r="AE508" s="18">
        <f t="shared" si="222"/>
        <v>5.9968871184658205E-2</v>
      </c>
      <c r="AF508" s="18">
        <f t="shared" si="224"/>
        <v>2.5051853594425539E-2</v>
      </c>
      <c r="AG508" s="18">
        <f t="shared" si="226"/>
        <v>6.4262756575247851E-6</v>
      </c>
      <c r="AH508" s="18">
        <f t="shared" si="228"/>
        <v>8.1364480735923375E-5</v>
      </c>
      <c r="AJ508" s="18">
        <f>IF(ISNUMBER(Kernel!M508),Kernel!M508,"")</f>
        <v>-6.0753495600925744E-2</v>
      </c>
      <c r="AK508" s="18">
        <f t="shared" si="213"/>
        <v>3.6909872277317039E-3</v>
      </c>
      <c r="AN508" s="18">
        <f>IF(ISNUMBER(Volcanic!G508),Volcanic!G508,"")</f>
        <v>4.0499999999999998E-3</v>
      </c>
    </row>
    <row r="509" spans="1:40">
      <c r="A509" s="18" t="str">
        <f>IF(Volcanic!A509="","",Volcanic!A509)</f>
        <v>6/2000</v>
      </c>
      <c r="B509" s="18">
        <f>IF(ISNUMBER(Volcanic!L509),Volcanic!L509,"")</f>
        <v>2000.4583333333333</v>
      </c>
      <c r="C509" s="18">
        <f>IF(ISNUMBER(Volcanic!J509),Volcanic!J509,"")</f>
        <v>-5.5536957294676559E-2</v>
      </c>
      <c r="D509" s="18">
        <f t="shared" si="206"/>
        <v>3.0843536255507277E-3</v>
      </c>
      <c r="E509" s="18">
        <f>IF(ISNUMBER(Volcanic!C509),Volcanic!C509,"")</f>
        <v>0.40937153842691504</v>
      </c>
      <c r="F509" s="18">
        <f>IF(ISNUMBER(Volcanic!D509),Volcanic!D509,"")</f>
        <v>-0.98</v>
      </c>
      <c r="G509" s="18">
        <f>IF(ISNUMBER(Volcanic!E509),Volcanic!E509,"")</f>
        <v>4.4400000000000004E-3</v>
      </c>
      <c r="H509" s="18">
        <f t="shared" si="207"/>
        <v>0.16758505647401917</v>
      </c>
      <c r="I509" s="18">
        <f t="shared" si="208"/>
        <v>0.96039999999999992</v>
      </c>
      <c r="J509" s="18">
        <f t="shared" si="209"/>
        <v>1.9713600000000004E-5</v>
      </c>
      <c r="K509" s="18">
        <f t="shared" si="210"/>
        <v>-0.40118410765837675</v>
      </c>
      <c r="L509" s="18">
        <f t="shared" si="211"/>
        <v>1.8176096306155029E-3</v>
      </c>
      <c r="M509" s="18">
        <f t="shared" si="212"/>
        <v>-4.3512000000000004E-3</v>
      </c>
      <c r="N509" s="18">
        <f t="shared" si="214"/>
        <v>6.1250026786084499E-3</v>
      </c>
      <c r="O509" s="18">
        <f t="shared" si="217"/>
        <v>2.2105986985202539E-2</v>
      </c>
      <c r="P509" s="18">
        <f t="shared" si="219"/>
        <v>2.4682020089115016E-2</v>
      </c>
      <c r="Q509" s="18">
        <f t="shared" si="221"/>
        <v>2.5982608458525416E-2</v>
      </c>
      <c r="R509" s="18">
        <f t="shared" si="223"/>
        <v>2.7707439683196895E-2</v>
      </c>
      <c r="S509" s="18">
        <f t="shared" si="225"/>
        <v>2.6452866015805418E-4</v>
      </c>
      <c r="T509" s="18">
        <f t="shared" si="227"/>
        <v>1.3979483449906116E-3</v>
      </c>
      <c r="U509" s="18">
        <f t="shared" si="229"/>
        <v>3.1834001750605891E-3</v>
      </c>
      <c r="V509" s="18">
        <f t="shared" si="230"/>
        <v>3.0210425024625968E-5</v>
      </c>
      <c r="W509" s="18">
        <f t="shared" si="231"/>
        <v>1.2629335497007035E-2</v>
      </c>
      <c r="X509" s="18">
        <f t="shared" si="232"/>
        <v>3.4114398134191437E-3</v>
      </c>
      <c r="Y509" s="18">
        <f t="shared" si="233"/>
        <v>7.2227513657352142E-3</v>
      </c>
      <c r="AA509" s="18">
        <f t="shared" si="215"/>
        <v>-1.6186449154981686E-2</v>
      </c>
      <c r="AB509" s="18">
        <f t="shared" si="216"/>
        <v>2.6200113624680733E-4</v>
      </c>
      <c r="AC509" s="18">
        <f t="shared" si="218"/>
        <v>2.3414951116286449E-2</v>
      </c>
      <c r="AD509" s="18">
        <f t="shared" si="220"/>
        <v>4.8564193196962068E-3</v>
      </c>
      <c r="AE509" s="18">
        <f t="shared" si="222"/>
        <v>5.7847918919226434E-3</v>
      </c>
      <c r="AF509" s="18">
        <f t="shared" si="224"/>
        <v>5.9968871184658205E-2</v>
      </c>
      <c r="AG509" s="18">
        <f t="shared" si="226"/>
        <v>2.5051853594425539E-2</v>
      </c>
      <c r="AH509" s="18">
        <f t="shared" si="228"/>
        <v>6.4262756575247851E-6</v>
      </c>
      <c r="AJ509" s="18">
        <f>IF(ISNUMBER(Kernel!M509),Kernel!M509,"")</f>
        <v>-2.0248318950876087E-2</v>
      </c>
      <c r="AK509" s="18">
        <f t="shared" si="213"/>
        <v>4.0999442033640772E-4</v>
      </c>
      <c r="AN509" s="18">
        <f>IF(ISNUMBER(Volcanic!G509),Volcanic!G509,"")</f>
        <v>4.0400000000000002E-3</v>
      </c>
    </row>
    <row r="510" spans="1:40">
      <c r="A510" s="18" t="str">
        <f>IF(Volcanic!A510="","",Volcanic!A510)</f>
        <v>7/2000</v>
      </c>
      <c r="B510" s="18">
        <f>IF(ISNUMBER(Volcanic!L510),Volcanic!L510,"")</f>
        <v>2000.5416666666667</v>
      </c>
      <c r="C510" s="18">
        <f>IF(ISNUMBER(Volcanic!J510),Volcanic!J510,"")</f>
        <v>-6.2106038241004025E-2</v>
      </c>
      <c r="D510" s="18">
        <f t="shared" si="206"/>
        <v>3.8571599859930543E-3</v>
      </c>
      <c r="E510" s="18">
        <f>IF(ISNUMBER(Volcanic!C510),Volcanic!C510,"")</f>
        <v>0.40217642497948264</v>
      </c>
      <c r="F510" s="18">
        <f>IF(ISNUMBER(Volcanic!D510),Volcanic!D510,"")</f>
        <v>-0.81</v>
      </c>
      <c r="G510" s="18">
        <f>IF(ISNUMBER(Volcanic!E510),Volcanic!E510,"")</f>
        <v>4.2500000000000003E-3</v>
      </c>
      <c r="H510" s="18">
        <f t="shared" si="207"/>
        <v>0.16174587680927743</v>
      </c>
      <c r="I510" s="18">
        <f t="shared" si="208"/>
        <v>0.65610000000000013</v>
      </c>
      <c r="J510" s="18">
        <f t="shared" si="209"/>
        <v>1.8062500000000002E-5</v>
      </c>
      <c r="K510" s="18">
        <f t="shared" si="210"/>
        <v>-0.32576290423338095</v>
      </c>
      <c r="L510" s="18">
        <f t="shared" si="211"/>
        <v>1.7092498061628014E-3</v>
      </c>
      <c r="M510" s="18">
        <f t="shared" si="212"/>
        <v>-3.4425000000000007E-3</v>
      </c>
      <c r="N510" s="18">
        <f t="shared" si="214"/>
        <v>3.0843536255507277E-3</v>
      </c>
      <c r="O510" s="18">
        <f t="shared" si="217"/>
        <v>6.1250026786084499E-3</v>
      </c>
      <c r="P510" s="18">
        <f t="shared" si="219"/>
        <v>2.2105986985202539E-2</v>
      </c>
      <c r="Q510" s="18">
        <f t="shared" si="221"/>
        <v>2.4682020089115016E-2</v>
      </c>
      <c r="R510" s="18">
        <f t="shared" si="223"/>
        <v>2.5982608458525416E-2</v>
      </c>
      <c r="S510" s="18">
        <f t="shared" si="225"/>
        <v>2.7707439683196895E-2</v>
      </c>
      <c r="T510" s="18">
        <f t="shared" si="227"/>
        <v>2.6452866015805418E-4</v>
      </c>
      <c r="U510" s="18">
        <f t="shared" si="229"/>
        <v>1.3979483449906116E-3</v>
      </c>
      <c r="V510" s="18">
        <f t="shared" si="230"/>
        <v>3.1834001750605891E-3</v>
      </c>
      <c r="W510" s="18">
        <f t="shared" si="231"/>
        <v>3.0210425024625968E-5</v>
      </c>
      <c r="X510" s="18">
        <f t="shared" si="232"/>
        <v>1.2629335497007035E-2</v>
      </c>
      <c r="Y510" s="18">
        <f t="shared" si="233"/>
        <v>3.4114398134191437E-3</v>
      </c>
      <c r="AA510" s="18">
        <f t="shared" si="215"/>
        <v>-3.4181931739217755E-2</v>
      </c>
      <c r="AB510" s="18">
        <f t="shared" si="216"/>
        <v>1.1684044574245421E-3</v>
      </c>
      <c r="AC510" s="18">
        <f t="shared" si="218"/>
        <v>2.6200113624680733E-4</v>
      </c>
      <c r="AD510" s="18">
        <f t="shared" si="220"/>
        <v>2.3414951116286449E-2</v>
      </c>
      <c r="AE510" s="18">
        <f t="shared" si="222"/>
        <v>4.8564193196962068E-3</v>
      </c>
      <c r="AF510" s="18">
        <f t="shared" si="224"/>
        <v>5.7847918919226434E-3</v>
      </c>
      <c r="AG510" s="18">
        <f t="shared" si="226"/>
        <v>5.9968871184658205E-2</v>
      </c>
      <c r="AH510" s="18">
        <f t="shared" si="228"/>
        <v>2.5051853594425539E-2</v>
      </c>
      <c r="AJ510" s="18">
        <f>IF(ISNUMBER(Kernel!M510),Kernel!M510,"")</f>
        <v>-2.0805484050679168E-2</v>
      </c>
      <c r="AK510" s="18">
        <f t="shared" si="213"/>
        <v>4.3286816658306526E-4</v>
      </c>
      <c r="AN510" s="18">
        <f>IF(ISNUMBER(Volcanic!G510),Volcanic!G510,"")</f>
        <v>4.0299999999999997E-3</v>
      </c>
    </row>
    <row r="511" spans="1:40">
      <c r="A511" s="18" t="str">
        <f>IF(Volcanic!A511="","",Volcanic!A511)</f>
        <v>8/2000</v>
      </c>
      <c r="B511" s="18">
        <f>IF(ISNUMBER(Volcanic!L511),Volcanic!L511,"")</f>
        <v>2000.625</v>
      </c>
      <c r="C511" s="18">
        <f>IF(ISNUMBER(Volcanic!J511),Volcanic!J511,"")</f>
        <v>-2.6597476952793686E-2</v>
      </c>
      <c r="D511" s="18">
        <f t="shared" si="206"/>
        <v>7.0742578025439129E-4</v>
      </c>
      <c r="E511" s="18">
        <f>IF(ISNUMBER(Volcanic!C511),Volcanic!C511,"")</f>
        <v>0.39533705007270242</v>
      </c>
      <c r="F511" s="18">
        <f>IF(ISNUMBER(Volcanic!D511),Volcanic!D511,"")</f>
        <v>-0.67</v>
      </c>
      <c r="G511" s="18">
        <f>IF(ISNUMBER(Volcanic!E511),Volcanic!E511,"")</f>
        <v>4.1799999999999997E-3</v>
      </c>
      <c r="H511" s="18">
        <f t="shared" si="207"/>
        <v>0.15629138316018643</v>
      </c>
      <c r="I511" s="18">
        <f t="shared" si="208"/>
        <v>0.44890000000000008</v>
      </c>
      <c r="J511" s="18">
        <f t="shared" si="209"/>
        <v>1.7472399999999999E-5</v>
      </c>
      <c r="K511" s="18">
        <f t="shared" si="210"/>
        <v>-0.26487582354871064</v>
      </c>
      <c r="L511" s="18">
        <f t="shared" si="211"/>
        <v>1.652508869303896E-3</v>
      </c>
      <c r="M511" s="18">
        <f t="shared" si="212"/>
        <v>-2.8005999999999999E-3</v>
      </c>
      <c r="N511" s="18">
        <f t="shared" si="214"/>
        <v>3.8571599859930543E-3</v>
      </c>
      <c r="O511" s="18">
        <f t="shared" si="217"/>
        <v>3.0843536255507277E-3</v>
      </c>
      <c r="P511" s="18">
        <f t="shared" si="219"/>
        <v>6.1250026786084499E-3</v>
      </c>
      <c r="Q511" s="18">
        <f t="shared" si="221"/>
        <v>2.2105986985202539E-2</v>
      </c>
      <c r="R511" s="18">
        <f t="shared" si="223"/>
        <v>2.4682020089115016E-2</v>
      </c>
      <c r="S511" s="18">
        <f t="shared" si="225"/>
        <v>2.5982608458525416E-2</v>
      </c>
      <c r="T511" s="18">
        <f t="shared" si="227"/>
        <v>2.7707439683196895E-2</v>
      </c>
      <c r="U511" s="18">
        <f t="shared" si="229"/>
        <v>2.6452866015805418E-4</v>
      </c>
      <c r="V511" s="18">
        <f t="shared" si="230"/>
        <v>1.3979483449906116E-3</v>
      </c>
      <c r="W511" s="18">
        <f t="shared" si="231"/>
        <v>3.1834001750605891E-3</v>
      </c>
      <c r="X511" s="18">
        <f t="shared" si="232"/>
        <v>3.0210425024625968E-5</v>
      </c>
      <c r="Y511" s="18">
        <f t="shared" si="233"/>
        <v>1.2629335497007035E-2</v>
      </c>
      <c r="AA511" s="18">
        <f t="shared" si="215"/>
        <v>4.6295781601453576E-3</v>
      </c>
      <c r="AB511" s="18">
        <f t="shared" si="216"/>
        <v>2.1432993940894874E-5</v>
      </c>
      <c r="AC511" s="18">
        <f t="shared" si="218"/>
        <v>1.1684044574245421E-3</v>
      </c>
      <c r="AD511" s="18">
        <f t="shared" si="220"/>
        <v>2.6200113624680733E-4</v>
      </c>
      <c r="AE511" s="18">
        <f t="shared" si="222"/>
        <v>2.3414951116286449E-2</v>
      </c>
      <c r="AF511" s="18">
        <f t="shared" si="224"/>
        <v>4.8564193196962068E-3</v>
      </c>
      <c r="AG511" s="18">
        <f t="shared" si="226"/>
        <v>5.7847918919226434E-3</v>
      </c>
      <c r="AH511" s="18">
        <f t="shared" si="228"/>
        <v>5.9968871184658205E-2</v>
      </c>
      <c r="AJ511" s="18">
        <f>IF(ISNUMBER(Kernel!M511),Kernel!M511,"")</f>
        <v>1.7502845577130222E-2</v>
      </c>
      <c r="AK511" s="18">
        <f t="shared" si="213"/>
        <v>3.0634960329686698E-4</v>
      </c>
      <c r="AN511" s="18">
        <f>IF(ISNUMBER(Volcanic!G511),Volcanic!G511,"")</f>
        <v>4.1399999999999996E-3</v>
      </c>
    </row>
    <row r="512" spans="1:40">
      <c r="A512" s="18" t="str">
        <f>IF(Volcanic!A512="","",Volcanic!A512)</f>
        <v>9/2000</v>
      </c>
      <c r="B512" s="18">
        <f>IF(ISNUMBER(Volcanic!L512),Volcanic!L512,"")</f>
        <v>2000.7083333333333</v>
      </c>
      <c r="C512" s="18">
        <f>IF(ISNUMBER(Volcanic!J512),Volcanic!J512,"")</f>
        <v>-4.951620445045557E-2</v>
      </c>
      <c r="D512" s="18">
        <f t="shared" si="206"/>
        <v>2.4518545031793162E-3</v>
      </c>
      <c r="E512" s="18">
        <f>IF(ISNUMBER(Volcanic!C512),Volcanic!C512,"")</f>
        <v>0.39094277280254291</v>
      </c>
      <c r="F512" s="18">
        <f>IF(ISNUMBER(Volcanic!D512),Volcanic!D512,"")</f>
        <v>-0.62</v>
      </c>
      <c r="G512" s="18">
        <f>IF(ISNUMBER(Volcanic!E512),Volcanic!E512,"")</f>
        <v>4.0600000000000002E-3</v>
      </c>
      <c r="H512" s="18">
        <f t="shared" si="207"/>
        <v>0.15283625160654069</v>
      </c>
      <c r="I512" s="18">
        <f t="shared" si="208"/>
        <v>0.38440000000000002</v>
      </c>
      <c r="J512" s="18">
        <f t="shared" si="209"/>
        <v>1.6483600000000003E-5</v>
      </c>
      <c r="K512" s="18">
        <f t="shared" si="210"/>
        <v>-0.24238451913757661</v>
      </c>
      <c r="L512" s="18">
        <f t="shared" si="211"/>
        <v>1.5872276575783243E-3</v>
      </c>
      <c r="M512" s="18">
        <f t="shared" si="212"/>
        <v>-2.5172000000000003E-3</v>
      </c>
      <c r="N512" s="18">
        <f t="shared" si="214"/>
        <v>7.0742578025439129E-4</v>
      </c>
      <c r="O512" s="18">
        <f t="shared" si="217"/>
        <v>3.8571599859930543E-3</v>
      </c>
      <c r="P512" s="18">
        <f t="shared" si="219"/>
        <v>3.0843536255507277E-3</v>
      </c>
      <c r="Q512" s="18">
        <f t="shared" si="221"/>
        <v>6.1250026786084499E-3</v>
      </c>
      <c r="R512" s="18">
        <f t="shared" si="223"/>
        <v>2.2105986985202539E-2</v>
      </c>
      <c r="S512" s="18">
        <f t="shared" si="225"/>
        <v>2.4682020089115016E-2</v>
      </c>
      <c r="T512" s="18">
        <f t="shared" si="227"/>
        <v>2.5982608458525416E-2</v>
      </c>
      <c r="U512" s="18">
        <f t="shared" si="229"/>
        <v>2.7707439683196895E-2</v>
      </c>
      <c r="V512" s="18">
        <f t="shared" si="230"/>
        <v>2.6452866015805418E-4</v>
      </c>
      <c r="W512" s="18">
        <f t="shared" si="231"/>
        <v>1.3979483449906116E-3</v>
      </c>
      <c r="X512" s="18">
        <f t="shared" si="232"/>
        <v>3.1834001750605891E-3</v>
      </c>
      <c r="Y512" s="18">
        <f t="shared" si="233"/>
        <v>3.0210425024625968E-5</v>
      </c>
      <c r="AA512" s="18">
        <f t="shared" si="215"/>
        <v>-3.6142933474016814E-2</v>
      </c>
      <c r="AB512" s="18">
        <f t="shared" si="216"/>
        <v>1.3063116401072052E-3</v>
      </c>
      <c r="AC512" s="18">
        <f t="shared" si="218"/>
        <v>2.1432993940894874E-5</v>
      </c>
      <c r="AD512" s="18">
        <f t="shared" si="220"/>
        <v>1.1684044574245421E-3</v>
      </c>
      <c r="AE512" s="18">
        <f t="shared" si="222"/>
        <v>2.6200113624680733E-4</v>
      </c>
      <c r="AF512" s="18">
        <f t="shared" si="224"/>
        <v>2.3414951116286449E-2</v>
      </c>
      <c r="AG512" s="18">
        <f t="shared" si="226"/>
        <v>4.8564193196962068E-3</v>
      </c>
      <c r="AH512" s="18">
        <f t="shared" si="228"/>
        <v>5.7847918919226434E-3</v>
      </c>
      <c r="AJ512" s="18">
        <f>IF(ISNUMBER(Kernel!M512),Kernel!M512,"")</f>
        <v>-8.7885028596970116E-3</v>
      </c>
      <c r="AK512" s="18">
        <f t="shared" si="213"/>
        <v>7.7237782514902545E-5</v>
      </c>
      <c r="AN512" s="18">
        <f>IF(ISNUMBER(Volcanic!G512),Volcanic!G512,"")</f>
        <v>4.2100000000000002E-3</v>
      </c>
    </row>
    <row r="513" spans="1:40">
      <c r="A513" s="18" t="str">
        <f>IF(Volcanic!A513="","",Volcanic!A513)</f>
        <v>10/2000</v>
      </c>
      <c r="B513" s="18">
        <f>IF(ISNUMBER(Volcanic!L513),Volcanic!L513,"")</f>
        <v>2000.7916666666667</v>
      </c>
      <c r="C513" s="18">
        <f>IF(ISNUMBER(Volcanic!J513),Volcanic!J513,"")</f>
        <v>-0.18304904666371519</v>
      </c>
      <c r="D513" s="18">
        <f t="shared" si="206"/>
        <v>3.3506953484494978E-2</v>
      </c>
      <c r="E513" s="18">
        <f>IF(ISNUMBER(Volcanic!C513),Volcanic!C513,"")</f>
        <v>0.39106065128020484</v>
      </c>
      <c r="F513" s="18">
        <f>IF(ISNUMBER(Volcanic!D513),Volcanic!D513,"")</f>
        <v>-0.48</v>
      </c>
      <c r="G513" s="18">
        <f>IF(ISNUMBER(Volcanic!E513),Volcanic!E513,"")</f>
        <v>3.96E-3</v>
      </c>
      <c r="H513" s="18">
        <f t="shared" si="207"/>
        <v>0.15292843297969796</v>
      </c>
      <c r="I513" s="18">
        <f t="shared" si="208"/>
        <v>0.23039999999999999</v>
      </c>
      <c r="J513" s="18">
        <f t="shared" si="209"/>
        <v>1.5681599999999999E-5</v>
      </c>
      <c r="K513" s="18">
        <f t="shared" si="210"/>
        <v>-0.18770911261449832</v>
      </c>
      <c r="L513" s="18">
        <f t="shared" si="211"/>
        <v>1.5486001790696112E-3</v>
      </c>
      <c r="M513" s="18">
        <f t="shared" si="212"/>
        <v>-1.9008E-3</v>
      </c>
      <c r="N513" s="18">
        <f t="shared" si="214"/>
        <v>2.4518545031793162E-3</v>
      </c>
      <c r="O513" s="18">
        <f t="shared" si="217"/>
        <v>7.0742578025439129E-4</v>
      </c>
      <c r="P513" s="18">
        <f t="shared" si="219"/>
        <v>3.8571599859930543E-3</v>
      </c>
      <c r="Q513" s="18">
        <f t="shared" si="221"/>
        <v>3.0843536255507277E-3</v>
      </c>
      <c r="R513" s="18">
        <f t="shared" si="223"/>
        <v>6.1250026786084499E-3</v>
      </c>
      <c r="S513" s="18">
        <f t="shared" si="225"/>
        <v>2.2105986985202539E-2</v>
      </c>
      <c r="T513" s="18">
        <f t="shared" si="227"/>
        <v>2.4682020089115016E-2</v>
      </c>
      <c r="U513" s="18">
        <f t="shared" si="229"/>
        <v>2.5982608458525416E-2</v>
      </c>
      <c r="V513" s="18">
        <f t="shared" si="230"/>
        <v>2.7707439683196895E-2</v>
      </c>
      <c r="W513" s="18">
        <f t="shared" si="231"/>
        <v>2.6452866015805418E-4</v>
      </c>
      <c r="X513" s="18">
        <f t="shared" si="232"/>
        <v>1.3979483449906116E-3</v>
      </c>
      <c r="Y513" s="18">
        <f t="shared" si="233"/>
        <v>3.1834001750605891E-3</v>
      </c>
      <c r="AA513" s="18">
        <f t="shared" si="215"/>
        <v>-0.15815218817537158</v>
      </c>
      <c r="AB513" s="18">
        <f t="shared" si="216"/>
        <v>2.5012114624658143E-2</v>
      </c>
      <c r="AC513" s="18">
        <f t="shared" si="218"/>
        <v>1.3063116401072052E-3</v>
      </c>
      <c r="AD513" s="18">
        <f t="shared" si="220"/>
        <v>2.1432993940894874E-5</v>
      </c>
      <c r="AE513" s="18">
        <f t="shared" si="222"/>
        <v>1.1684044574245421E-3</v>
      </c>
      <c r="AF513" s="18">
        <f t="shared" si="224"/>
        <v>2.6200113624680733E-4</v>
      </c>
      <c r="AG513" s="18">
        <f t="shared" si="226"/>
        <v>2.3414951116286449E-2</v>
      </c>
      <c r="AH513" s="18">
        <f t="shared" si="228"/>
        <v>4.8564193196962068E-3</v>
      </c>
      <c r="AJ513" s="18">
        <f>IF(ISNUMBER(Kernel!M513),Kernel!M513,"")</f>
        <v>-0.13340183439723152</v>
      </c>
      <c r="AK513" s="18">
        <f t="shared" si="213"/>
        <v>1.7796049420546384E-2</v>
      </c>
      <c r="AN513" s="18">
        <f>IF(ISNUMBER(Volcanic!G513),Volcanic!G513,"")</f>
        <v>4.3099999999999996E-3</v>
      </c>
    </row>
    <row r="514" spans="1:40">
      <c r="A514" s="18" t="str">
        <f>IF(Volcanic!A514="","",Volcanic!A514)</f>
        <v>11/2000</v>
      </c>
      <c r="B514" s="18">
        <f>IF(ISNUMBER(Volcanic!L514),Volcanic!L514,"")</f>
        <v>2000.875</v>
      </c>
      <c r="C514" s="18">
        <f>IF(ISNUMBER(Volcanic!J514),Volcanic!J514,"")</f>
        <v>-0.17467120417836757</v>
      </c>
      <c r="D514" s="18">
        <f t="shared" ref="D514:D577" si="234">IF(ISNUMBER(C514),C514^2,"")</f>
        <v>3.051002956912097E-2</v>
      </c>
      <c r="E514" s="18">
        <f>IF(ISNUMBER(Volcanic!C514),Volcanic!C514,"")</f>
        <v>0.39635523879745971</v>
      </c>
      <c r="F514" s="18">
        <f>IF(ISNUMBER(Volcanic!D514),Volcanic!D514,"")</f>
        <v>-0.4</v>
      </c>
      <c r="G514" s="18">
        <f>IF(ISNUMBER(Volcanic!E514),Volcanic!E514,"")</f>
        <v>4.0699999999999998E-3</v>
      </c>
      <c r="H514" s="18">
        <f t="shared" ref="H514:H577" si="235">IF(ISNUMBER(E514),E514^2,"")</f>
        <v>0.15709747532219132</v>
      </c>
      <c r="I514" s="18">
        <f t="shared" ref="I514:I577" si="236">IF(ISNUMBER(F514),F514^2,"")</f>
        <v>0.16000000000000003</v>
      </c>
      <c r="J514" s="18">
        <f t="shared" ref="J514:J577" si="237">IF(ISNUMBER(G514),G514^2,"")</f>
        <v>1.6564899999999998E-5</v>
      </c>
      <c r="K514" s="18">
        <f t="shared" ref="K514:K577" si="238">IF(AND(ISNUMBER(E514),ISNUMBER(F514)),E514*F514,"")</f>
        <v>-0.15854209551898391</v>
      </c>
      <c r="L514" s="18">
        <f t="shared" ref="L514:L577" si="239">IF(AND(ISNUMBER(E514),ISNUMBER(G514)),E514*G514,"")</f>
        <v>1.6131658219056609E-3</v>
      </c>
      <c r="M514" s="18">
        <f t="shared" ref="M514:M577" si="240">IF(AND(ISNUMBER(F514),ISNUMBER(G514)),F514*G514,"")</f>
        <v>-1.6280000000000001E-3</v>
      </c>
      <c r="N514" s="18">
        <f t="shared" si="214"/>
        <v>3.3506953484494978E-2</v>
      </c>
      <c r="O514" s="18">
        <f t="shared" si="217"/>
        <v>2.4518545031793162E-3</v>
      </c>
      <c r="P514" s="18">
        <f t="shared" si="219"/>
        <v>7.0742578025439129E-4</v>
      </c>
      <c r="Q514" s="18">
        <f t="shared" si="221"/>
        <v>3.8571599859930543E-3</v>
      </c>
      <c r="R514" s="18">
        <f t="shared" si="223"/>
        <v>3.0843536255507277E-3</v>
      </c>
      <c r="S514" s="18">
        <f t="shared" si="225"/>
        <v>6.1250026786084499E-3</v>
      </c>
      <c r="T514" s="18">
        <f t="shared" si="227"/>
        <v>2.2105986985202539E-2</v>
      </c>
      <c r="U514" s="18">
        <f t="shared" si="229"/>
        <v>2.4682020089115016E-2</v>
      </c>
      <c r="V514" s="18">
        <f t="shared" si="230"/>
        <v>2.5982608458525416E-2</v>
      </c>
      <c r="W514" s="18">
        <f t="shared" si="231"/>
        <v>2.7707439683196895E-2</v>
      </c>
      <c r="X514" s="18">
        <f t="shared" si="232"/>
        <v>2.6452866015805418E-4</v>
      </c>
      <c r="Y514" s="18">
        <f t="shared" si="233"/>
        <v>1.3979483449906116E-3</v>
      </c>
      <c r="AA514" s="18">
        <f t="shared" si="215"/>
        <v>-8.263373358078438E-2</v>
      </c>
      <c r="AB514" s="18">
        <f t="shared" si="216"/>
        <v>6.8283339255000523E-3</v>
      </c>
      <c r="AC514" s="18">
        <f t="shared" si="218"/>
        <v>2.5012114624658143E-2</v>
      </c>
      <c r="AD514" s="18">
        <f t="shared" si="220"/>
        <v>1.3063116401072052E-3</v>
      </c>
      <c r="AE514" s="18">
        <f t="shared" si="222"/>
        <v>2.1432993940894874E-5</v>
      </c>
      <c r="AF514" s="18">
        <f t="shared" si="224"/>
        <v>1.1684044574245421E-3</v>
      </c>
      <c r="AG514" s="18">
        <f t="shared" si="226"/>
        <v>2.6200113624680733E-4</v>
      </c>
      <c r="AH514" s="18">
        <f t="shared" si="228"/>
        <v>2.3414951116286449E-2</v>
      </c>
      <c r="AJ514" s="18">
        <f>IF(ISNUMBER(Kernel!M514),Kernel!M514,"")</f>
        <v>-0.1165584761739708</v>
      </c>
      <c r="AK514" s="18">
        <f t="shared" ref="AK514:AK577" si="241">IF(ISNUMBER(AJ514),AJ514^2,"")</f>
        <v>1.3585878367998119E-2</v>
      </c>
      <c r="AN514" s="18">
        <f>IF(ISNUMBER(Volcanic!G514),Volcanic!G514,"")</f>
        <v>4.4200000000000003E-3</v>
      </c>
    </row>
    <row r="515" spans="1:40">
      <c r="A515" s="18" t="str">
        <f>IF(Volcanic!A515="","",Volcanic!A515)</f>
        <v>12/2000</v>
      </c>
      <c r="B515" s="18">
        <f>IF(ISNUMBER(Volcanic!L515),Volcanic!L515,"")</f>
        <v>2000.9583333333333</v>
      </c>
      <c r="C515" s="18">
        <f>IF(ISNUMBER(Volcanic!J515),Volcanic!J515,"")</f>
        <v>-0.20671515958898995</v>
      </c>
      <c r="D515" s="18">
        <f t="shared" si="234"/>
        <v>4.2731157203901582E-2</v>
      </c>
      <c r="E515" s="18">
        <f>IF(ISNUMBER(Volcanic!C515),Volcanic!C515,"")</f>
        <v>0.40143543136241211</v>
      </c>
      <c r="F515" s="18">
        <f>IF(ISNUMBER(Volcanic!D515),Volcanic!D515,"")</f>
        <v>-0.42</v>
      </c>
      <c r="G515" s="18">
        <f>IF(ISNUMBER(Volcanic!E515),Volcanic!E515,"")</f>
        <v>4.0499999999999998E-3</v>
      </c>
      <c r="H515" s="18">
        <f t="shared" si="235"/>
        <v>0.16115040555312588</v>
      </c>
      <c r="I515" s="18">
        <f t="shared" si="236"/>
        <v>0.17639999999999997</v>
      </c>
      <c r="J515" s="18">
        <f t="shared" si="237"/>
        <v>1.6402499999999998E-5</v>
      </c>
      <c r="K515" s="18">
        <f t="shared" si="238"/>
        <v>-0.16860288117221309</v>
      </c>
      <c r="L515" s="18">
        <f t="shared" si="239"/>
        <v>1.625813497017769E-3</v>
      </c>
      <c r="M515" s="18">
        <f t="shared" si="240"/>
        <v>-1.7009999999999998E-3</v>
      </c>
      <c r="N515" s="18">
        <f t="shared" ref="N515:N578" si="242">IF(ISNUMBER(D514),D514,"")</f>
        <v>3.051002956912097E-2</v>
      </c>
      <c r="O515" s="18">
        <f t="shared" si="217"/>
        <v>3.3506953484494978E-2</v>
      </c>
      <c r="P515" s="18">
        <f t="shared" si="219"/>
        <v>2.4518545031793162E-3</v>
      </c>
      <c r="Q515" s="18">
        <f t="shared" si="221"/>
        <v>7.0742578025439129E-4</v>
      </c>
      <c r="R515" s="18">
        <f t="shared" si="223"/>
        <v>3.8571599859930543E-3</v>
      </c>
      <c r="S515" s="18">
        <f t="shared" si="225"/>
        <v>3.0843536255507277E-3</v>
      </c>
      <c r="T515" s="18">
        <f t="shared" si="227"/>
        <v>6.1250026786084499E-3</v>
      </c>
      <c r="U515" s="18">
        <f t="shared" si="229"/>
        <v>2.2105986985202539E-2</v>
      </c>
      <c r="V515" s="18">
        <f t="shared" si="230"/>
        <v>2.4682020089115016E-2</v>
      </c>
      <c r="W515" s="18">
        <f t="shared" si="231"/>
        <v>2.5982608458525416E-2</v>
      </c>
      <c r="X515" s="18">
        <f t="shared" si="232"/>
        <v>2.7707439683196895E-2</v>
      </c>
      <c r="Y515" s="18">
        <f t="shared" si="233"/>
        <v>2.6452866015805418E-4</v>
      </c>
      <c r="AA515" s="18">
        <f t="shared" ref="AA515:AA578" si="243">IF(AND(ISNUMBER(C515),ISNUMBER(C514)),C515-$AX$16*C514,"")</f>
        <v>-0.118890086955068</v>
      </c>
      <c r="AB515" s="18">
        <f t="shared" ref="AB515:AB578" si="244">IF(ISNUMBER(AA515),AA515^2,"")</f>
        <v>1.4134852776183631E-2</v>
      </c>
      <c r="AC515" s="18">
        <f t="shared" si="218"/>
        <v>6.8283339255000523E-3</v>
      </c>
      <c r="AD515" s="18">
        <f t="shared" si="220"/>
        <v>2.5012114624658143E-2</v>
      </c>
      <c r="AE515" s="18">
        <f t="shared" si="222"/>
        <v>1.3063116401072052E-3</v>
      </c>
      <c r="AF515" s="18">
        <f t="shared" si="224"/>
        <v>2.1432993940894874E-5</v>
      </c>
      <c r="AG515" s="18">
        <f t="shared" si="226"/>
        <v>1.1684044574245421E-3</v>
      </c>
      <c r="AH515" s="18">
        <f t="shared" si="228"/>
        <v>2.6200113624680733E-4</v>
      </c>
      <c r="AJ515" s="18">
        <f>IF(ISNUMBER(Kernel!M515),Kernel!M515,"")</f>
        <v>-0.14888887600958722</v>
      </c>
      <c r="AK515" s="18">
        <f t="shared" si="241"/>
        <v>2.2167897399398239E-2</v>
      </c>
      <c r="AN515" s="18">
        <f>IF(ISNUMBER(Volcanic!G515),Volcanic!G515,"")</f>
        <v>4.3800000000000002E-3</v>
      </c>
    </row>
    <row r="516" spans="1:40">
      <c r="A516" s="18" t="str">
        <f>IF(Volcanic!A516="","",Volcanic!A516)</f>
        <v>1/2001</v>
      </c>
      <c r="B516" s="18">
        <f>IF(ISNUMBER(Volcanic!L516),Volcanic!L516,"")</f>
        <v>2001.0416666666667</v>
      </c>
      <c r="C516" s="18">
        <f>IF(ISNUMBER(Volcanic!J516),Volcanic!J516,"")</f>
        <v>-3.5484170269015569E-2</v>
      </c>
      <c r="D516" s="18">
        <f t="shared" si="234"/>
        <v>1.2591263396804885E-3</v>
      </c>
      <c r="E516" s="18">
        <f>IF(ISNUMBER(Volcanic!C516),Volcanic!C516,"")</f>
        <v>0.40505877786528899</v>
      </c>
      <c r="F516" s="18">
        <f>IF(ISNUMBER(Volcanic!D516),Volcanic!D516,"")</f>
        <v>-0.54</v>
      </c>
      <c r="G516" s="18">
        <f>IF(ISNUMBER(Volcanic!E516),Volcanic!E516,"")</f>
        <v>4.0400000000000002E-3</v>
      </c>
      <c r="H516" s="18">
        <f t="shared" si="235"/>
        <v>0.16407261352572153</v>
      </c>
      <c r="I516" s="18">
        <f t="shared" si="236"/>
        <v>0.29160000000000003</v>
      </c>
      <c r="J516" s="18">
        <f t="shared" si="237"/>
        <v>1.6321600000000003E-5</v>
      </c>
      <c r="K516" s="18">
        <f t="shared" si="238"/>
        <v>-0.21873174004725607</v>
      </c>
      <c r="L516" s="18">
        <f t="shared" si="239"/>
        <v>1.6364374625757675E-3</v>
      </c>
      <c r="M516" s="18">
        <f t="shared" si="240"/>
        <v>-2.1816000000000001E-3</v>
      </c>
      <c r="N516" s="18">
        <f t="shared" si="242"/>
        <v>4.2731157203901582E-2</v>
      </c>
      <c r="O516" s="18">
        <f t="shared" ref="O516:O579" si="245">IF(ISNUMBER(D514),D514,"")</f>
        <v>3.051002956912097E-2</v>
      </c>
      <c r="P516" s="18">
        <f t="shared" si="219"/>
        <v>3.3506953484494978E-2</v>
      </c>
      <c r="Q516" s="18">
        <f t="shared" si="221"/>
        <v>2.4518545031793162E-3</v>
      </c>
      <c r="R516" s="18">
        <f t="shared" si="223"/>
        <v>7.0742578025439129E-4</v>
      </c>
      <c r="S516" s="18">
        <f t="shared" si="225"/>
        <v>3.8571599859930543E-3</v>
      </c>
      <c r="T516" s="18">
        <f t="shared" si="227"/>
        <v>3.0843536255507277E-3</v>
      </c>
      <c r="U516" s="18">
        <f t="shared" si="229"/>
        <v>6.1250026786084499E-3</v>
      </c>
      <c r="V516" s="18">
        <f t="shared" si="230"/>
        <v>2.2105986985202539E-2</v>
      </c>
      <c r="W516" s="18">
        <f t="shared" si="231"/>
        <v>2.4682020089115016E-2</v>
      </c>
      <c r="X516" s="18">
        <f t="shared" si="232"/>
        <v>2.5982608458525416E-2</v>
      </c>
      <c r="Y516" s="18">
        <f t="shared" si="233"/>
        <v>2.7707439683196895E-2</v>
      </c>
      <c r="AA516" s="18">
        <f t="shared" si="243"/>
        <v>6.845267490723253E-2</v>
      </c>
      <c r="AB516" s="18">
        <f t="shared" si="244"/>
        <v>4.685768701955262E-3</v>
      </c>
      <c r="AC516" s="18">
        <f t="shared" ref="AC516:AC579" si="246">IF(ISNUMBER(AB515),AB515,"")</f>
        <v>1.4134852776183631E-2</v>
      </c>
      <c r="AD516" s="18">
        <f t="shared" si="220"/>
        <v>6.8283339255000523E-3</v>
      </c>
      <c r="AE516" s="18">
        <f t="shared" si="222"/>
        <v>2.5012114624658143E-2</v>
      </c>
      <c r="AF516" s="18">
        <f t="shared" si="224"/>
        <v>1.3063116401072052E-3</v>
      </c>
      <c r="AG516" s="18">
        <f t="shared" si="226"/>
        <v>2.1432993940894874E-5</v>
      </c>
      <c r="AH516" s="18">
        <f t="shared" si="228"/>
        <v>1.1684044574245421E-3</v>
      </c>
      <c r="AJ516" s="18">
        <f>IF(ISNUMBER(Kernel!M516),Kernel!M516,"")</f>
        <v>1.2053229735267512E-2</v>
      </c>
      <c r="AK516" s="18">
        <f t="shared" si="241"/>
        <v>1.4528034705113695E-4</v>
      </c>
      <c r="AN516" s="18">
        <f>IF(ISNUMBER(Volcanic!G516),Volcanic!G516,"")</f>
        <v>4.3099999999999996E-3</v>
      </c>
    </row>
    <row r="517" spans="1:40">
      <c r="A517" s="18" t="str">
        <f>IF(Volcanic!A517="","",Volcanic!A517)</f>
        <v>2/2001</v>
      </c>
      <c r="B517" s="18">
        <f>IF(ISNUMBER(Volcanic!L517),Volcanic!L517,"")</f>
        <v>2001.125</v>
      </c>
      <c r="C517" s="18">
        <f>IF(ISNUMBER(Volcanic!J517),Volcanic!J517,"")</f>
        <v>-3.4948921766894903E-2</v>
      </c>
      <c r="D517" s="18">
        <f t="shared" si="234"/>
        <v>1.2214271326685404E-3</v>
      </c>
      <c r="E517" s="18">
        <f>IF(ISNUMBER(Volcanic!C517),Volcanic!C517,"")</f>
        <v>0.40867304708140773</v>
      </c>
      <c r="F517" s="18">
        <f>IF(ISNUMBER(Volcanic!D517),Volcanic!D517,"")</f>
        <v>-0.76</v>
      </c>
      <c r="G517" s="18">
        <f>IF(ISNUMBER(Volcanic!E517),Volcanic!E517,"")</f>
        <v>4.0299999999999997E-3</v>
      </c>
      <c r="H517" s="18">
        <f t="shared" si="235"/>
        <v>0.16701365941080248</v>
      </c>
      <c r="I517" s="18">
        <f t="shared" si="236"/>
        <v>0.5776</v>
      </c>
      <c r="J517" s="18">
        <f t="shared" si="237"/>
        <v>1.6240899999999999E-5</v>
      </c>
      <c r="K517" s="18">
        <f t="shared" si="238"/>
        <v>-0.31059151578186989</v>
      </c>
      <c r="L517" s="18">
        <f t="shared" si="239"/>
        <v>1.6469523797380729E-3</v>
      </c>
      <c r="M517" s="18">
        <f t="shared" si="240"/>
        <v>-3.0627999999999996E-3</v>
      </c>
      <c r="N517" s="18">
        <f t="shared" si="242"/>
        <v>1.2591263396804885E-3</v>
      </c>
      <c r="O517" s="18">
        <f t="shared" si="245"/>
        <v>4.2731157203901582E-2</v>
      </c>
      <c r="P517" s="18">
        <f t="shared" ref="P517:P580" si="247">IF(ISNUMBER(D514),D514,"")</f>
        <v>3.051002956912097E-2</v>
      </c>
      <c r="Q517" s="18">
        <f t="shared" si="221"/>
        <v>3.3506953484494978E-2</v>
      </c>
      <c r="R517" s="18">
        <f t="shared" si="223"/>
        <v>2.4518545031793162E-3</v>
      </c>
      <c r="S517" s="18">
        <f t="shared" si="225"/>
        <v>7.0742578025439129E-4</v>
      </c>
      <c r="T517" s="18">
        <f t="shared" si="227"/>
        <v>3.8571599859930543E-3</v>
      </c>
      <c r="U517" s="18">
        <f t="shared" si="229"/>
        <v>3.0843536255507277E-3</v>
      </c>
      <c r="V517" s="18">
        <f t="shared" si="230"/>
        <v>6.1250026786084499E-3</v>
      </c>
      <c r="W517" s="18">
        <f t="shared" si="231"/>
        <v>2.2105986985202539E-2</v>
      </c>
      <c r="X517" s="18">
        <f t="shared" si="232"/>
        <v>2.4682020089115016E-2</v>
      </c>
      <c r="Y517" s="18">
        <f t="shared" si="233"/>
        <v>2.5982608458525416E-2</v>
      </c>
      <c r="AA517" s="18">
        <f t="shared" si="243"/>
        <v>-1.7107401489468994E-2</v>
      </c>
      <c r="AB517" s="18">
        <f t="shared" si="244"/>
        <v>2.9266318572188598E-4</v>
      </c>
      <c r="AC517" s="18">
        <f t="shared" si="246"/>
        <v>4.685768701955262E-3</v>
      </c>
      <c r="AD517" s="18">
        <f t="shared" ref="AD517:AD580" si="248">IF(ISNUMBER(AB515),AB515,"")</f>
        <v>1.4134852776183631E-2</v>
      </c>
      <c r="AE517" s="18">
        <f t="shared" si="222"/>
        <v>6.8283339255000523E-3</v>
      </c>
      <c r="AF517" s="18">
        <f t="shared" si="224"/>
        <v>2.5012114624658143E-2</v>
      </c>
      <c r="AG517" s="18">
        <f t="shared" si="226"/>
        <v>1.3063116401072052E-3</v>
      </c>
      <c r="AH517" s="18">
        <f t="shared" si="228"/>
        <v>2.1432993940894874E-5</v>
      </c>
      <c r="AJ517" s="18">
        <f>IF(ISNUMBER(Kernel!M517),Kernel!M517,"")</f>
        <v>-1.1892761764925486E-2</v>
      </c>
      <c r="AK517" s="18">
        <f t="shared" si="241"/>
        <v>1.4143778239727355E-4</v>
      </c>
      <c r="AN517" s="18">
        <f>IF(ISNUMBER(Volcanic!G517),Volcanic!G517,"")</f>
        <v>4.1900000000000001E-3</v>
      </c>
    </row>
    <row r="518" spans="1:40">
      <c r="A518" s="18" t="str">
        <f>IF(Volcanic!A518="","",Volcanic!A518)</f>
        <v>3/2001</v>
      </c>
      <c r="B518" s="18">
        <f>IF(ISNUMBER(Volcanic!L518),Volcanic!L518,"")</f>
        <v>2001.2083333333333</v>
      </c>
      <c r="C518" s="18">
        <f>IF(ISNUMBER(Volcanic!J518),Volcanic!J518,"")</f>
        <v>6.7210401830017419E-2</v>
      </c>
      <c r="D518" s="18">
        <f t="shared" si="234"/>
        <v>4.5172381141524087E-3</v>
      </c>
      <c r="E518" s="18">
        <f>IF(ISNUMBER(Volcanic!C518),Volcanic!C518,"")</f>
        <v>0.4123170014542763</v>
      </c>
      <c r="F518" s="18">
        <f>IF(ISNUMBER(Volcanic!D518),Volcanic!D518,"")</f>
        <v>-0.78</v>
      </c>
      <c r="G518" s="18">
        <f>IF(ISNUMBER(Volcanic!E518),Volcanic!E518,"")</f>
        <v>4.1399999999999996E-3</v>
      </c>
      <c r="H518" s="18">
        <f t="shared" si="235"/>
        <v>0.17000530968824568</v>
      </c>
      <c r="I518" s="18">
        <f t="shared" si="236"/>
        <v>0.60840000000000005</v>
      </c>
      <c r="J518" s="18">
        <f t="shared" si="237"/>
        <v>1.7139599999999998E-5</v>
      </c>
      <c r="K518" s="18">
        <f t="shared" si="238"/>
        <v>-0.32160726113433552</v>
      </c>
      <c r="L518" s="18">
        <f t="shared" si="239"/>
        <v>1.7069923860207037E-3</v>
      </c>
      <c r="M518" s="18">
        <f t="shared" si="240"/>
        <v>-3.2291999999999998E-3</v>
      </c>
      <c r="N518" s="18">
        <f t="shared" si="242"/>
        <v>1.2214271326685404E-3</v>
      </c>
      <c r="O518" s="18">
        <f t="shared" si="245"/>
        <v>1.2591263396804885E-3</v>
      </c>
      <c r="P518" s="18">
        <f t="shared" si="247"/>
        <v>4.2731157203901582E-2</v>
      </c>
      <c r="Q518" s="18">
        <f t="shared" ref="Q518:Q581" si="249">IF(ISNUMBER(D514),D514,"")</f>
        <v>3.051002956912097E-2</v>
      </c>
      <c r="R518" s="18">
        <f t="shared" si="223"/>
        <v>3.3506953484494978E-2</v>
      </c>
      <c r="S518" s="18">
        <f t="shared" si="225"/>
        <v>2.4518545031793162E-3</v>
      </c>
      <c r="T518" s="18">
        <f t="shared" si="227"/>
        <v>7.0742578025439129E-4</v>
      </c>
      <c r="U518" s="18">
        <f t="shared" si="229"/>
        <v>3.8571599859930543E-3</v>
      </c>
      <c r="V518" s="18">
        <f t="shared" si="230"/>
        <v>3.0843536255507277E-3</v>
      </c>
      <c r="W518" s="18">
        <f t="shared" si="231"/>
        <v>6.1250026786084499E-3</v>
      </c>
      <c r="X518" s="18">
        <f t="shared" si="232"/>
        <v>2.2105986985202539E-2</v>
      </c>
      <c r="Y518" s="18">
        <f t="shared" si="233"/>
        <v>2.4682020089115016E-2</v>
      </c>
      <c r="AA518" s="18">
        <f t="shared" si="243"/>
        <v>8.478279796189761E-2</v>
      </c>
      <c r="AB518" s="18">
        <f t="shared" si="244"/>
        <v>7.1881228302479493E-3</v>
      </c>
      <c r="AC518" s="18">
        <f t="shared" si="246"/>
        <v>2.9266318572188598E-4</v>
      </c>
      <c r="AD518" s="18">
        <f t="shared" si="248"/>
        <v>4.685768701955262E-3</v>
      </c>
      <c r="AE518" s="18">
        <f t="shared" ref="AE518:AE581" si="250">IF(ISNUMBER(AB515),AB515,"")</f>
        <v>1.4134852776183631E-2</v>
      </c>
      <c r="AF518" s="18">
        <f t="shared" si="224"/>
        <v>6.8283339255000523E-3</v>
      </c>
      <c r="AG518" s="18">
        <f t="shared" si="226"/>
        <v>2.5012114624658143E-2</v>
      </c>
      <c r="AH518" s="18">
        <f t="shared" si="228"/>
        <v>1.3063116401072052E-3</v>
      </c>
      <c r="AJ518" s="18">
        <f>IF(ISNUMBER(Kernel!M518),Kernel!M518,"")</f>
        <v>8.2338506094237041E-2</v>
      </c>
      <c r="AK518" s="18">
        <f t="shared" si="241"/>
        <v>6.77962958583071E-3</v>
      </c>
      <c r="AN518" s="18">
        <f>IF(ISNUMBER(Volcanic!G518),Volcanic!G518,"")</f>
        <v>4.1999999999999997E-3</v>
      </c>
    </row>
    <row r="519" spans="1:40">
      <c r="A519" s="18" t="str">
        <f>IF(Volcanic!A519="","",Volcanic!A519)</f>
        <v>4/2001</v>
      </c>
      <c r="B519" s="18">
        <f>IF(ISNUMBER(Volcanic!L519),Volcanic!L519,"")</f>
        <v>2001.2916666666667</v>
      </c>
      <c r="C519" s="18">
        <f>IF(ISNUMBER(Volcanic!J519),Volcanic!J519,"")</f>
        <v>5.8056177030035294E-3</v>
      </c>
      <c r="D519" s="18">
        <f t="shared" si="234"/>
        <v>3.3705196913427977E-5</v>
      </c>
      <c r="E519" s="18">
        <f>IF(ISNUMBER(Volcanic!C519),Volcanic!C519,"")</f>
        <v>0.41587453478450814</v>
      </c>
      <c r="F519" s="18">
        <f>IF(ISNUMBER(Volcanic!D519),Volcanic!D519,"")</f>
        <v>-0.76</v>
      </c>
      <c r="G519" s="18">
        <f>IF(ISNUMBER(Volcanic!E519),Volcanic!E519,"")</f>
        <v>4.2100000000000002E-3</v>
      </c>
      <c r="H519" s="18">
        <f t="shared" si="235"/>
        <v>0.17295162868223107</v>
      </c>
      <c r="I519" s="18">
        <f t="shared" si="236"/>
        <v>0.5776</v>
      </c>
      <c r="J519" s="18">
        <f t="shared" si="237"/>
        <v>1.7724100000000002E-5</v>
      </c>
      <c r="K519" s="18">
        <f t="shared" si="238"/>
        <v>-0.31606464643622617</v>
      </c>
      <c r="L519" s="18">
        <f t="shared" si="239"/>
        <v>1.7508317914427794E-3</v>
      </c>
      <c r="M519" s="18">
        <f t="shared" si="240"/>
        <v>-3.1996000000000004E-3</v>
      </c>
      <c r="N519" s="18">
        <f t="shared" si="242"/>
        <v>4.5172381141524087E-3</v>
      </c>
      <c r="O519" s="18">
        <f t="shared" si="245"/>
        <v>1.2214271326685404E-3</v>
      </c>
      <c r="P519" s="18">
        <f t="shared" si="247"/>
        <v>1.2591263396804885E-3</v>
      </c>
      <c r="Q519" s="18">
        <f t="shared" si="249"/>
        <v>4.2731157203901582E-2</v>
      </c>
      <c r="R519" s="18">
        <f t="shared" ref="R519:R582" si="251">IF(ISNUMBER(D514),D514,"")</f>
        <v>3.051002956912097E-2</v>
      </c>
      <c r="S519" s="18">
        <f t="shared" si="225"/>
        <v>3.3506953484494978E-2</v>
      </c>
      <c r="T519" s="18">
        <f t="shared" si="227"/>
        <v>2.4518545031793162E-3</v>
      </c>
      <c r="U519" s="18">
        <f t="shared" si="229"/>
        <v>7.0742578025439129E-4</v>
      </c>
      <c r="V519" s="18">
        <f t="shared" si="230"/>
        <v>3.8571599859930543E-3</v>
      </c>
      <c r="W519" s="18">
        <f t="shared" si="231"/>
        <v>3.0843536255507277E-3</v>
      </c>
      <c r="X519" s="18">
        <f t="shared" si="232"/>
        <v>6.1250026786084499E-3</v>
      </c>
      <c r="Y519" s="18">
        <f t="shared" si="233"/>
        <v>2.2105986985202539E-2</v>
      </c>
      <c r="AA519" s="18">
        <f t="shared" si="243"/>
        <v>-2.7987922853622442E-2</v>
      </c>
      <c r="AB519" s="18">
        <f t="shared" si="244"/>
        <v>7.8332382566032141E-4</v>
      </c>
      <c r="AC519" s="18">
        <f t="shared" si="246"/>
        <v>7.1881228302479493E-3</v>
      </c>
      <c r="AD519" s="18">
        <f t="shared" si="248"/>
        <v>2.9266318572188598E-4</v>
      </c>
      <c r="AE519" s="18">
        <f t="shared" si="250"/>
        <v>4.685768701955262E-3</v>
      </c>
      <c r="AF519" s="18">
        <f t="shared" ref="AF519:AF582" si="252">IF(ISNUMBER(AB515),AB515,"")</f>
        <v>1.4134852776183631E-2</v>
      </c>
      <c r="AG519" s="18">
        <f t="shared" si="226"/>
        <v>6.8283339255000523E-3</v>
      </c>
      <c r="AH519" s="18">
        <f t="shared" si="228"/>
        <v>2.5012114624658143E-2</v>
      </c>
      <c r="AJ519" s="18">
        <f>IF(ISNUMBER(Kernel!M519),Kernel!M519,"")</f>
        <v>1.4640999914344754E-2</v>
      </c>
      <c r="AK519" s="18">
        <f t="shared" si="241"/>
        <v>2.143588784918431E-4</v>
      </c>
      <c r="AN519" s="18">
        <f>IF(ISNUMBER(Volcanic!G519),Volcanic!G519,"")</f>
        <v>4.0699999999999998E-3</v>
      </c>
    </row>
    <row r="520" spans="1:40">
      <c r="A520" s="18" t="str">
        <f>IF(Volcanic!A520="","",Volcanic!A520)</f>
        <v>5/2001</v>
      </c>
      <c r="B520" s="18">
        <f>IF(ISNUMBER(Volcanic!L520),Volcanic!L520,"")</f>
        <v>2001.375</v>
      </c>
      <c r="C520" s="18">
        <f>IF(ISNUMBER(Volcanic!J520),Volcanic!J520,"")</f>
        <v>5.0557844721982215E-2</v>
      </c>
      <c r="D520" s="18">
        <f t="shared" si="234"/>
        <v>2.5560956629320647E-3</v>
      </c>
      <c r="E520" s="18">
        <f>IF(ISNUMBER(Volcanic!C520),Volcanic!C520,"")</f>
        <v>0.41772716250271424</v>
      </c>
      <c r="F520" s="18">
        <f>IF(ISNUMBER(Volcanic!D520),Volcanic!D520,"")</f>
        <v>-0.54</v>
      </c>
      <c r="G520" s="18">
        <f>IF(ISNUMBER(Volcanic!E520),Volcanic!E520,"")</f>
        <v>4.3099999999999996E-3</v>
      </c>
      <c r="H520" s="18">
        <f t="shared" si="235"/>
        <v>0.17449598229256905</v>
      </c>
      <c r="I520" s="18">
        <f t="shared" si="236"/>
        <v>0.29160000000000003</v>
      </c>
      <c r="J520" s="18">
        <f t="shared" si="237"/>
        <v>1.8576099999999997E-5</v>
      </c>
      <c r="K520" s="18">
        <f t="shared" si="238"/>
        <v>-0.2255726677514657</v>
      </c>
      <c r="L520" s="18">
        <f t="shared" si="239"/>
        <v>1.8004040703866982E-3</v>
      </c>
      <c r="M520" s="18">
        <f t="shared" si="240"/>
        <v>-2.3273999999999999E-3</v>
      </c>
      <c r="N520" s="18">
        <f t="shared" si="242"/>
        <v>3.3705196913427977E-5</v>
      </c>
      <c r="O520" s="18">
        <f t="shared" si="245"/>
        <v>4.5172381141524087E-3</v>
      </c>
      <c r="P520" s="18">
        <f t="shared" si="247"/>
        <v>1.2214271326685404E-3</v>
      </c>
      <c r="Q520" s="18">
        <f t="shared" si="249"/>
        <v>1.2591263396804885E-3</v>
      </c>
      <c r="R520" s="18">
        <f t="shared" si="251"/>
        <v>4.2731157203901582E-2</v>
      </c>
      <c r="S520" s="18">
        <f t="shared" ref="S520:S583" si="253">IF(ISNUMBER(D514),D514,"")</f>
        <v>3.051002956912097E-2</v>
      </c>
      <c r="T520" s="18">
        <f t="shared" si="227"/>
        <v>3.3506953484494978E-2</v>
      </c>
      <c r="U520" s="18">
        <f t="shared" si="229"/>
        <v>2.4518545031793162E-3</v>
      </c>
      <c r="V520" s="18">
        <f t="shared" si="230"/>
        <v>7.0742578025439129E-4</v>
      </c>
      <c r="W520" s="18">
        <f t="shared" si="231"/>
        <v>3.8571599859930543E-3</v>
      </c>
      <c r="X520" s="18">
        <f t="shared" si="232"/>
        <v>3.0843536255507277E-3</v>
      </c>
      <c r="Y520" s="18">
        <f t="shared" si="233"/>
        <v>6.1250026786084499E-3</v>
      </c>
      <c r="AA520" s="18">
        <f t="shared" si="243"/>
        <v>4.7638767139334993E-2</v>
      </c>
      <c r="AB520" s="18">
        <f t="shared" si="244"/>
        <v>2.2694521345557835E-3</v>
      </c>
      <c r="AC520" s="18">
        <f t="shared" si="246"/>
        <v>7.8332382566032141E-4</v>
      </c>
      <c r="AD520" s="18">
        <f t="shared" si="248"/>
        <v>7.1881228302479493E-3</v>
      </c>
      <c r="AE520" s="18">
        <f t="shared" si="250"/>
        <v>2.9266318572188598E-4</v>
      </c>
      <c r="AF520" s="18">
        <f t="shared" si="252"/>
        <v>4.685768701955262E-3</v>
      </c>
      <c r="AG520" s="18">
        <f t="shared" ref="AG520:AG583" si="254">IF(ISNUMBER(AB515),AB515,"")</f>
        <v>1.4134852776183631E-2</v>
      </c>
      <c r="AH520" s="18">
        <f t="shared" si="228"/>
        <v>6.8283339255000523E-3</v>
      </c>
      <c r="AJ520" s="18">
        <f>IF(ISNUMBER(Kernel!M520),Kernel!M520,"")</f>
        <v>7.0628216049756387E-2</v>
      </c>
      <c r="AK520" s="18">
        <f t="shared" si="241"/>
        <v>4.9883449023710655E-3</v>
      </c>
      <c r="AN520" s="18">
        <f>IF(ISNUMBER(Volcanic!G520),Volcanic!G520,"")</f>
        <v>4.0899999999999999E-3</v>
      </c>
    </row>
    <row r="521" spans="1:40">
      <c r="A521" s="18" t="str">
        <f>IF(Volcanic!A521="","",Volcanic!A521)</f>
        <v>6/2001</v>
      </c>
      <c r="B521" s="18">
        <f>IF(ISNUMBER(Volcanic!L521),Volcanic!L521,"")</f>
        <v>2001.4583333333333</v>
      </c>
      <c r="C521" s="18">
        <f>IF(ISNUMBER(Volcanic!J521),Volcanic!J521,"")</f>
        <v>7.2257008960545654E-3</v>
      </c>
      <c r="D521" s="18">
        <f t="shared" si="234"/>
        <v>5.2210753439243751E-5</v>
      </c>
      <c r="E521" s="18">
        <f>IF(ISNUMBER(Volcanic!C521),Volcanic!C521,"")</f>
        <v>0.41529510039387307</v>
      </c>
      <c r="F521" s="18">
        <f>IF(ISNUMBER(Volcanic!D521),Volcanic!D521,"")</f>
        <v>-0.43</v>
      </c>
      <c r="G521" s="18">
        <f>IF(ISNUMBER(Volcanic!E521),Volcanic!E521,"")</f>
        <v>4.4200000000000003E-3</v>
      </c>
      <c r="H521" s="18">
        <f t="shared" si="235"/>
        <v>0.17247002041115711</v>
      </c>
      <c r="I521" s="18">
        <f t="shared" si="236"/>
        <v>0.18489999999999998</v>
      </c>
      <c r="J521" s="18">
        <f t="shared" si="237"/>
        <v>1.9536400000000002E-5</v>
      </c>
      <c r="K521" s="18">
        <f t="shared" si="238"/>
        <v>-0.17857689316936542</v>
      </c>
      <c r="L521" s="18">
        <f t="shared" si="239"/>
        <v>1.8356043437409192E-3</v>
      </c>
      <c r="M521" s="18">
        <f t="shared" si="240"/>
        <v>-1.9006000000000001E-3</v>
      </c>
      <c r="N521" s="18">
        <f t="shared" si="242"/>
        <v>2.5560956629320647E-3</v>
      </c>
      <c r="O521" s="18">
        <f t="shared" si="245"/>
        <v>3.3705196913427977E-5</v>
      </c>
      <c r="P521" s="18">
        <f t="shared" si="247"/>
        <v>4.5172381141524087E-3</v>
      </c>
      <c r="Q521" s="18">
        <f t="shared" si="249"/>
        <v>1.2214271326685404E-3</v>
      </c>
      <c r="R521" s="18">
        <f t="shared" si="251"/>
        <v>1.2591263396804885E-3</v>
      </c>
      <c r="S521" s="18">
        <f t="shared" si="253"/>
        <v>4.2731157203901582E-2</v>
      </c>
      <c r="T521" s="18">
        <f t="shared" ref="T521:T584" si="255">IF(ISNUMBER(D514),D514,"")</f>
        <v>3.051002956912097E-2</v>
      </c>
      <c r="U521" s="18">
        <f t="shared" si="229"/>
        <v>3.3506953484494978E-2</v>
      </c>
      <c r="V521" s="18">
        <f t="shared" si="230"/>
        <v>2.4518545031793162E-3</v>
      </c>
      <c r="W521" s="18">
        <f t="shared" si="231"/>
        <v>7.0742578025439129E-4</v>
      </c>
      <c r="X521" s="18">
        <f t="shared" si="232"/>
        <v>3.8571599859930543E-3</v>
      </c>
      <c r="Y521" s="18">
        <f t="shared" si="233"/>
        <v>3.0843536255507277E-3</v>
      </c>
      <c r="AA521" s="18">
        <f t="shared" si="243"/>
        <v>-1.8194896653547399E-2</v>
      </c>
      <c r="AB521" s="18">
        <f t="shared" si="244"/>
        <v>3.3105426423327031E-4</v>
      </c>
      <c r="AC521" s="18">
        <f t="shared" si="246"/>
        <v>2.2694521345557835E-3</v>
      </c>
      <c r="AD521" s="18">
        <f t="shared" si="248"/>
        <v>7.8332382566032141E-4</v>
      </c>
      <c r="AE521" s="18">
        <f t="shared" si="250"/>
        <v>7.1881228302479493E-3</v>
      </c>
      <c r="AF521" s="18">
        <f t="shared" si="252"/>
        <v>2.9266318572188598E-4</v>
      </c>
      <c r="AG521" s="18">
        <f t="shared" si="254"/>
        <v>4.685768701955262E-3</v>
      </c>
      <c r="AH521" s="18">
        <f t="shared" ref="AH521:AH584" si="256">IF(ISNUMBER(AB515),AB515,"")</f>
        <v>1.4134852776183631E-2</v>
      </c>
      <c r="AJ521" s="18">
        <f>IF(ISNUMBER(Kernel!M521),Kernel!M521,"")</f>
        <v>2.7259524189124251E-2</v>
      </c>
      <c r="AK521" s="18">
        <f t="shared" si="241"/>
        <v>7.4308165901745013E-4</v>
      </c>
      <c r="AN521" s="18">
        <f>IF(ISNUMBER(Volcanic!G521),Volcanic!G521,"")</f>
        <v>4.3200000000000001E-3</v>
      </c>
    </row>
    <row r="522" spans="1:40">
      <c r="A522" s="18" t="str">
        <f>IF(Volcanic!A522="","",Volcanic!A522)</f>
        <v>7/2001</v>
      </c>
      <c r="B522" s="18">
        <f>IF(ISNUMBER(Volcanic!L522),Volcanic!L522,"")</f>
        <v>2001.5416666666667</v>
      </c>
      <c r="C522" s="18">
        <f>IF(ISNUMBER(Volcanic!J522),Volcanic!J522,"")</f>
        <v>7.2313409225715497E-2</v>
      </c>
      <c r="D522" s="18">
        <f t="shared" si="234"/>
        <v>5.2292291538457948E-3</v>
      </c>
      <c r="E522" s="18">
        <f>IF(ISNUMBER(Volcanic!C522),Volcanic!C522,"")</f>
        <v>0.40863423208911642</v>
      </c>
      <c r="F522" s="18">
        <f>IF(ISNUMBER(Volcanic!D522),Volcanic!D522,"")</f>
        <v>-0.28999999999999998</v>
      </c>
      <c r="G522" s="18">
        <f>IF(ISNUMBER(Volcanic!E522),Volcanic!E522,"")</f>
        <v>4.3800000000000002E-3</v>
      </c>
      <c r="H522" s="18">
        <f t="shared" si="235"/>
        <v>0.16698193563506186</v>
      </c>
      <c r="I522" s="18">
        <f t="shared" si="236"/>
        <v>8.4099999999999994E-2</v>
      </c>
      <c r="J522" s="18">
        <f t="shared" si="237"/>
        <v>1.9184400000000002E-5</v>
      </c>
      <c r="K522" s="18">
        <f t="shared" si="238"/>
        <v>-0.11850392730584375</v>
      </c>
      <c r="L522" s="18">
        <f t="shared" si="239"/>
        <v>1.7898179365503301E-3</v>
      </c>
      <c r="M522" s="18">
        <f t="shared" si="240"/>
        <v>-1.2702E-3</v>
      </c>
      <c r="N522" s="18">
        <f t="shared" si="242"/>
        <v>5.2210753439243751E-5</v>
      </c>
      <c r="O522" s="18">
        <f t="shared" si="245"/>
        <v>2.5560956629320647E-3</v>
      </c>
      <c r="P522" s="18">
        <f t="shared" si="247"/>
        <v>3.3705196913427977E-5</v>
      </c>
      <c r="Q522" s="18">
        <f t="shared" si="249"/>
        <v>4.5172381141524087E-3</v>
      </c>
      <c r="R522" s="18">
        <f t="shared" si="251"/>
        <v>1.2214271326685404E-3</v>
      </c>
      <c r="S522" s="18">
        <f t="shared" si="253"/>
        <v>1.2591263396804885E-3</v>
      </c>
      <c r="T522" s="18">
        <f t="shared" si="255"/>
        <v>4.2731157203901582E-2</v>
      </c>
      <c r="U522" s="18">
        <f t="shared" ref="U522:U585" si="257">IF(ISNUMBER(D514),D514,"")</f>
        <v>3.051002956912097E-2</v>
      </c>
      <c r="V522" s="18">
        <f t="shared" si="230"/>
        <v>3.3506953484494978E-2</v>
      </c>
      <c r="W522" s="18">
        <f t="shared" si="231"/>
        <v>2.4518545031793162E-3</v>
      </c>
      <c r="X522" s="18">
        <f t="shared" si="232"/>
        <v>7.0742578025439129E-4</v>
      </c>
      <c r="Y522" s="18">
        <f t="shared" si="233"/>
        <v>3.8571599859930543E-3</v>
      </c>
      <c r="AA522" s="18">
        <f t="shared" si="243"/>
        <v>6.8680310633351296E-2</v>
      </c>
      <c r="AB522" s="18">
        <f t="shared" si="244"/>
        <v>4.7169850686936271E-3</v>
      </c>
      <c r="AC522" s="18">
        <f t="shared" si="246"/>
        <v>3.3105426423327031E-4</v>
      </c>
      <c r="AD522" s="18">
        <f t="shared" si="248"/>
        <v>2.2694521345557835E-3</v>
      </c>
      <c r="AE522" s="18">
        <f t="shared" si="250"/>
        <v>7.8332382566032141E-4</v>
      </c>
      <c r="AF522" s="18">
        <f t="shared" si="252"/>
        <v>7.1881228302479493E-3</v>
      </c>
      <c r="AG522" s="18">
        <f t="shared" si="254"/>
        <v>2.9266318572188598E-4</v>
      </c>
      <c r="AH522" s="18">
        <f t="shared" si="256"/>
        <v>4.685768701955262E-3</v>
      </c>
      <c r="AJ522" s="18">
        <f>IF(ISNUMBER(Kernel!M522),Kernel!M522,"")</f>
        <v>9.6309956321312895E-2</v>
      </c>
      <c r="AK522" s="18">
        <f t="shared" si="241"/>
        <v>9.2756076866131985E-3</v>
      </c>
      <c r="AN522" s="18">
        <f>IF(ISNUMBER(Volcanic!G522),Volcanic!G522,"")</f>
        <v>4.7099999999999998E-3</v>
      </c>
    </row>
    <row r="523" spans="1:40">
      <c r="A523" s="18" t="str">
        <f>IF(Volcanic!A523="","",Volcanic!A523)</f>
        <v>8/2001</v>
      </c>
      <c r="B523" s="18">
        <f>IF(ISNUMBER(Volcanic!L523),Volcanic!L523,"")</f>
        <v>2001.625</v>
      </c>
      <c r="C523" s="18">
        <f>IF(ISNUMBER(Volcanic!J523),Volcanic!J523,"")</f>
        <v>-2.6953905545660461E-2</v>
      </c>
      <c r="D523" s="18">
        <f t="shared" si="234"/>
        <v>7.265130241643858E-4</v>
      </c>
      <c r="E523" s="18">
        <f>IF(ISNUMBER(Volcanic!C523),Volcanic!C523,"")</f>
        <v>0.40124036977007455</v>
      </c>
      <c r="F523" s="18">
        <f>IF(ISNUMBER(Volcanic!D523),Volcanic!D523,"")</f>
        <v>-0.19</v>
      </c>
      <c r="G523" s="18">
        <f>IF(ISNUMBER(Volcanic!E523),Volcanic!E523,"")</f>
        <v>4.3099999999999996E-3</v>
      </c>
      <c r="H523" s="18">
        <f t="shared" si="235"/>
        <v>0.16099383433322614</v>
      </c>
      <c r="I523" s="18">
        <f t="shared" si="236"/>
        <v>3.61E-2</v>
      </c>
      <c r="J523" s="18">
        <f t="shared" si="237"/>
        <v>1.8576099999999997E-5</v>
      </c>
      <c r="K523" s="18">
        <f t="shared" si="238"/>
        <v>-7.623567025631417E-2</v>
      </c>
      <c r="L523" s="18">
        <f t="shared" si="239"/>
        <v>1.7293459937090211E-3</v>
      </c>
      <c r="M523" s="18">
        <f t="shared" si="240"/>
        <v>-8.188999999999999E-4</v>
      </c>
      <c r="N523" s="18">
        <f t="shared" si="242"/>
        <v>5.2292291538457948E-3</v>
      </c>
      <c r="O523" s="18">
        <f t="shared" si="245"/>
        <v>5.2210753439243751E-5</v>
      </c>
      <c r="P523" s="18">
        <f t="shared" si="247"/>
        <v>2.5560956629320647E-3</v>
      </c>
      <c r="Q523" s="18">
        <f t="shared" si="249"/>
        <v>3.3705196913427977E-5</v>
      </c>
      <c r="R523" s="18">
        <f t="shared" si="251"/>
        <v>4.5172381141524087E-3</v>
      </c>
      <c r="S523" s="18">
        <f t="shared" si="253"/>
        <v>1.2214271326685404E-3</v>
      </c>
      <c r="T523" s="18">
        <f t="shared" si="255"/>
        <v>1.2591263396804885E-3</v>
      </c>
      <c r="U523" s="18">
        <f t="shared" si="257"/>
        <v>4.2731157203901582E-2</v>
      </c>
      <c r="V523" s="18">
        <f t="shared" ref="V523:V586" si="258">IF(ISNUMBER(D514),D514,"")</f>
        <v>3.051002956912097E-2</v>
      </c>
      <c r="W523" s="18">
        <f t="shared" si="231"/>
        <v>3.3506953484494978E-2</v>
      </c>
      <c r="X523" s="18">
        <f t="shared" si="232"/>
        <v>2.4518545031793162E-3</v>
      </c>
      <c r="Y523" s="18">
        <f t="shared" si="233"/>
        <v>7.0742578025439129E-4</v>
      </c>
      <c r="AA523" s="18">
        <f t="shared" si="243"/>
        <v>-6.3313249648937253E-2</v>
      </c>
      <c r="AB523" s="18">
        <f t="shared" si="244"/>
        <v>4.0085675811086536E-3</v>
      </c>
      <c r="AC523" s="18">
        <f t="shared" si="246"/>
        <v>4.7169850686936271E-3</v>
      </c>
      <c r="AD523" s="18">
        <f t="shared" si="248"/>
        <v>3.3105426423327031E-4</v>
      </c>
      <c r="AE523" s="18">
        <f t="shared" si="250"/>
        <v>2.2694521345557835E-3</v>
      </c>
      <c r="AF523" s="18">
        <f t="shared" si="252"/>
        <v>7.8332382566032141E-4</v>
      </c>
      <c r="AG523" s="18">
        <f t="shared" si="254"/>
        <v>7.1881228302479493E-3</v>
      </c>
      <c r="AH523" s="18">
        <f t="shared" si="256"/>
        <v>2.9266318572188598E-4</v>
      </c>
      <c r="AJ523" s="18">
        <f>IF(ISNUMBER(Kernel!M523),Kernel!M523,"")</f>
        <v>5.1448639551548991E-4</v>
      </c>
      <c r="AK523" s="18">
        <f t="shared" si="241"/>
        <v>2.6469625117052111E-7</v>
      </c>
      <c r="AN523" s="18">
        <f>IF(ISNUMBER(Volcanic!G523),Volcanic!G523,"")</f>
        <v>4.9100000000000003E-3</v>
      </c>
    </row>
    <row r="524" spans="1:40">
      <c r="A524" s="18" t="str">
        <f>IF(Volcanic!A524="","",Volcanic!A524)</f>
        <v>9/2001</v>
      </c>
      <c r="B524" s="18">
        <f>IF(ISNUMBER(Volcanic!L524),Volcanic!L524,"")</f>
        <v>2001.7083333333333</v>
      </c>
      <c r="C524" s="18">
        <f>IF(ISNUMBER(Volcanic!J524),Volcanic!J524,"")</f>
        <v>1.7927611496161733E-2</v>
      </c>
      <c r="D524" s="18">
        <f t="shared" si="234"/>
        <v>3.213992539573103E-4</v>
      </c>
      <c r="E524" s="18">
        <f>IF(ISNUMBER(Volcanic!C524),Volcanic!C524,"")</f>
        <v>0.39561124850380214</v>
      </c>
      <c r="F524" s="18">
        <f>IF(ISNUMBER(Volcanic!D524),Volcanic!D524,"")</f>
        <v>-0.08</v>
      </c>
      <c r="G524" s="18">
        <f>IF(ISNUMBER(Volcanic!E524),Volcanic!E524,"")</f>
        <v>4.1900000000000001E-3</v>
      </c>
      <c r="H524" s="18">
        <f t="shared" si="235"/>
        <v>0.15650825994273709</v>
      </c>
      <c r="I524" s="18">
        <f t="shared" si="236"/>
        <v>6.4000000000000003E-3</v>
      </c>
      <c r="J524" s="18">
        <f t="shared" si="237"/>
        <v>1.7556100000000003E-5</v>
      </c>
      <c r="K524" s="18">
        <f t="shared" si="238"/>
        <v>-3.1648899880304171E-2</v>
      </c>
      <c r="L524" s="18">
        <f t="shared" si="239"/>
        <v>1.6576111312309311E-3</v>
      </c>
      <c r="M524" s="18">
        <f t="shared" si="240"/>
        <v>-3.3520000000000002E-4</v>
      </c>
      <c r="N524" s="18">
        <f t="shared" si="242"/>
        <v>7.265130241643858E-4</v>
      </c>
      <c r="O524" s="18">
        <f t="shared" si="245"/>
        <v>5.2292291538457948E-3</v>
      </c>
      <c r="P524" s="18">
        <f t="shared" si="247"/>
        <v>5.2210753439243751E-5</v>
      </c>
      <c r="Q524" s="18">
        <f t="shared" si="249"/>
        <v>2.5560956629320647E-3</v>
      </c>
      <c r="R524" s="18">
        <f t="shared" si="251"/>
        <v>3.3705196913427977E-5</v>
      </c>
      <c r="S524" s="18">
        <f t="shared" si="253"/>
        <v>4.5172381141524087E-3</v>
      </c>
      <c r="T524" s="18">
        <f t="shared" si="255"/>
        <v>1.2214271326685404E-3</v>
      </c>
      <c r="U524" s="18">
        <f t="shared" si="257"/>
        <v>1.2591263396804885E-3</v>
      </c>
      <c r="V524" s="18">
        <f t="shared" si="258"/>
        <v>4.2731157203901582E-2</v>
      </c>
      <c r="W524" s="18">
        <f t="shared" ref="W524:W587" si="259">IF(ISNUMBER(D514),D514,"")</f>
        <v>3.051002956912097E-2</v>
      </c>
      <c r="X524" s="18">
        <f t="shared" si="232"/>
        <v>3.3506953484494978E-2</v>
      </c>
      <c r="Y524" s="18">
        <f t="shared" si="233"/>
        <v>2.4518545031793162E-3</v>
      </c>
      <c r="AA524" s="18">
        <f t="shared" si="243"/>
        <v>3.1480095567309359E-2</v>
      </c>
      <c r="AB524" s="18">
        <f t="shared" si="244"/>
        <v>9.9099641692693033E-4</v>
      </c>
      <c r="AC524" s="18">
        <f t="shared" si="246"/>
        <v>4.0085675811086536E-3</v>
      </c>
      <c r="AD524" s="18">
        <f t="shared" si="248"/>
        <v>4.7169850686936271E-3</v>
      </c>
      <c r="AE524" s="18">
        <f t="shared" si="250"/>
        <v>3.3105426423327031E-4</v>
      </c>
      <c r="AF524" s="18">
        <f t="shared" si="252"/>
        <v>2.2694521345557835E-3</v>
      </c>
      <c r="AG524" s="18">
        <f t="shared" si="254"/>
        <v>7.8332382566032141E-4</v>
      </c>
      <c r="AH524" s="18">
        <f t="shared" si="256"/>
        <v>7.1881228302479493E-3</v>
      </c>
      <c r="AJ524" s="18">
        <f>IF(ISNUMBER(Kernel!M524),Kernel!M524,"")</f>
        <v>5.1218630488781836E-2</v>
      </c>
      <c r="AK524" s="18">
        <f t="shared" si="241"/>
        <v>2.6233481091463722E-3</v>
      </c>
      <c r="AN524" s="18">
        <f>IF(ISNUMBER(Volcanic!G524),Volcanic!G524,"")</f>
        <v>4.6800000000000001E-3</v>
      </c>
    </row>
    <row r="525" spans="1:40">
      <c r="A525" s="18" t="str">
        <f>IF(Volcanic!A525="","",Volcanic!A525)</f>
        <v>10/2001</v>
      </c>
      <c r="B525" s="18">
        <f>IF(ISNUMBER(Volcanic!L525),Volcanic!L525,"")</f>
        <v>2001.7916666666667</v>
      </c>
      <c r="C525" s="18">
        <f>IF(ISNUMBER(Volcanic!J525),Volcanic!J525,"")</f>
        <v>-7.7174917643607621E-3</v>
      </c>
      <c r="D525" s="18">
        <f t="shared" si="234"/>
        <v>5.9559679132976191E-5</v>
      </c>
      <c r="E525" s="18">
        <f>IF(ISNUMBER(Volcanic!C525),Volcanic!C525,"")</f>
        <v>0.39666838312207731</v>
      </c>
      <c r="F525" s="18">
        <f>IF(ISNUMBER(Volcanic!D525),Volcanic!D525,"")</f>
        <v>-0.05</v>
      </c>
      <c r="G525" s="18">
        <f>IF(ISNUMBER(Volcanic!E525),Volcanic!E525,"")</f>
        <v>4.1999999999999997E-3</v>
      </c>
      <c r="H525" s="18">
        <f t="shared" si="235"/>
        <v>0.1573458061686831</v>
      </c>
      <c r="I525" s="18">
        <f t="shared" si="236"/>
        <v>2.5000000000000005E-3</v>
      </c>
      <c r="J525" s="18">
        <f t="shared" si="237"/>
        <v>1.7639999999999997E-5</v>
      </c>
      <c r="K525" s="18">
        <f t="shared" si="238"/>
        <v>-1.9833419156103867E-2</v>
      </c>
      <c r="L525" s="18">
        <f t="shared" si="239"/>
        <v>1.6660072091127245E-3</v>
      </c>
      <c r="M525" s="18">
        <f t="shared" si="240"/>
        <v>-2.1000000000000001E-4</v>
      </c>
      <c r="N525" s="18">
        <f t="shared" si="242"/>
        <v>3.213992539573103E-4</v>
      </c>
      <c r="O525" s="18">
        <f t="shared" si="245"/>
        <v>7.265130241643858E-4</v>
      </c>
      <c r="P525" s="18">
        <f t="shared" si="247"/>
        <v>5.2292291538457948E-3</v>
      </c>
      <c r="Q525" s="18">
        <f t="shared" si="249"/>
        <v>5.2210753439243751E-5</v>
      </c>
      <c r="R525" s="18">
        <f t="shared" si="251"/>
        <v>2.5560956629320647E-3</v>
      </c>
      <c r="S525" s="18">
        <f t="shared" si="253"/>
        <v>3.3705196913427977E-5</v>
      </c>
      <c r="T525" s="18">
        <f t="shared" si="255"/>
        <v>4.5172381141524087E-3</v>
      </c>
      <c r="U525" s="18">
        <f t="shared" si="257"/>
        <v>1.2214271326685404E-3</v>
      </c>
      <c r="V525" s="18">
        <f t="shared" si="258"/>
        <v>1.2591263396804885E-3</v>
      </c>
      <c r="W525" s="18">
        <f t="shared" si="259"/>
        <v>4.2731157203901582E-2</v>
      </c>
      <c r="X525" s="18">
        <f t="shared" ref="X525:X588" si="260">IF(ISNUMBER(D514),D514,"")</f>
        <v>3.051002956912097E-2</v>
      </c>
      <c r="Y525" s="18">
        <f t="shared" si="233"/>
        <v>3.3506953484494978E-2</v>
      </c>
      <c r="AA525" s="18">
        <f t="shared" si="243"/>
        <v>-1.6731534973196294E-2</v>
      </c>
      <c r="AB525" s="18">
        <f t="shared" si="244"/>
        <v>2.7994426255929068E-4</v>
      </c>
      <c r="AC525" s="18">
        <f t="shared" si="246"/>
        <v>9.9099641692693033E-4</v>
      </c>
      <c r="AD525" s="18">
        <f t="shared" si="248"/>
        <v>4.0085675811086536E-3</v>
      </c>
      <c r="AE525" s="18">
        <f t="shared" si="250"/>
        <v>4.7169850686936271E-3</v>
      </c>
      <c r="AF525" s="18">
        <f t="shared" si="252"/>
        <v>3.3105426423327031E-4</v>
      </c>
      <c r="AG525" s="18">
        <f t="shared" si="254"/>
        <v>2.2694521345557835E-3</v>
      </c>
      <c r="AH525" s="18">
        <f t="shared" si="256"/>
        <v>7.8332382566032141E-4</v>
      </c>
      <c r="AJ525" s="18">
        <f>IF(ISNUMBER(Kernel!M525),Kernel!M525,"")</f>
        <v>2.6941440811271755E-2</v>
      </c>
      <c r="AK525" s="18">
        <f t="shared" si="241"/>
        <v>7.2584123298725933E-4</v>
      </c>
      <c r="AN525" s="18">
        <f>IF(ISNUMBER(Volcanic!G525),Volcanic!G525,"")</f>
        <v>4.7400000000000003E-3</v>
      </c>
    </row>
    <row r="526" spans="1:40">
      <c r="A526" s="18" t="str">
        <f>IF(Volcanic!A526="","",Volcanic!A526)</f>
        <v>11/2001</v>
      </c>
      <c r="B526" s="18">
        <f>IF(ISNUMBER(Volcanic!L526),Volcanic!L526,"")</f>
        <v>2001.875</v>
      </c>
      <c r="C526" s="18">
        <f>IF(ISNUMBER(Volcanic!J526),Volcanic!J526,"")</f>
        <v>0.20524811080730132</v>
      </c>
      <c r="D526" s="18">
        <f t="shared" si="234"/>
        <v>4.212678698996624E-2</v>
      </c>
      <c r="E526" s="18">
        <f>IF(ISNUMBER(Volcanic!C526),Volcanic!C526,"")</f>
        <v>0.40186447405316023</v>
      </c>
      <c r="F526" s="18">
        <f>IF(ISNUMBER(Volcanic!D526),Volcanic!D526,"")</f>
        <v>-0.13</v>
      </c>
      <c r="G526" s="18">
        <f>IF(ISNUMBER(Volcanic!E526),Volcanic!E526,"")</f>
        <v>4.0699999999999998E-3</v>
      </c>
      <c r="H526" s="18">
        <f t="shared" si="235"/>
        <v>0.16149505550602308</v>
      </c>
      <c r="I526" s="18">
        <f t="shared" si="236"/>
        <v>1.6900000000000002E-2</v>
      </c>
      <c r="J526" s="18">
        <f t="shared" si="237"/>
        <v>1.6564899999999998E-5</v>
      </c>
      <c r="K526" s="18">
        <f t="shared" si="238"/>
        <v>-5.2242381626910833E-2</v>
      </c>
      <c r="L526" s="18">
        <f t="shared" si="239"/>
        <v>1.635588409396362E-3</v>
      </c>
      <c r="M526" s="18">
        <f t="shared" si="240"/>
        <v>-5.2910000000000001E-4</v>
      </c>
      <c r="N526" s="18">
        <f t="shared" si="242"/>
        <v>5.9559679132976191E-5</v>
      </c>
      <c r="O526" s="18">
        <f t="shared" si="245"/>
        <v>3.213992539573103E-4</v>
      </c>
      <c r="P526" s="18">
        <f t="shared" si="247"/>
        <v>7.265130241643858E-4</v>
      </c>
      <c r="Q526" s="18">
        <f t="shared" si="249"/>
        <v>5.2292291538457948E-3</v>
      </c>
      <c r="R526" s="18">
        <f t="shared" si="251"/>
        <v>5.2210753439243751E-5</v>
      </c>
      <c r="S526" s="18">
        <f t="shared" si="253"/>
        <v>2.5560956629320647E-3</v>
      </c>
      <c r="T526" s="18">
        <f t="shared" si="255"/>
        <v>3.3705196913427977E-5</v>
      </c>
      <c r="U526" s="18">
        <f t="shared" si="257"/>
        <v>4.5172381141524087E-3</v>
      </c>
      <c r="V526" s="18">
        <f t="shared" si="258"/>
        <v>1.2214271326685404E-3</v>
      </c>
      <c r="W526" s="18">
        <f t="shared" si="259"/>
        <v>1.2591263396804885E-3</v>
      </c>
      <c r="X526" s="18">
        <f t="shared" si="260"/>
        <v>4.2731157203901582E-2</v>
      </c>
      <c r="Y526" s="18">
        <f t="shared" ref="Y526:Y589" si="261">IF(ISNUMBER(D514),D514,"")</f>
        <v>3.051002956912097E-2</v>
      </c>
      <c r="AA526" s="18">
        <f t="shared" si="243"/>
        <v>0.20912848294960673</v>
      </c>
      <c r="AB526" s="18">
        <f t="shared" si="244"/>
        <v>4.3734722380803955E-2</v>
      </c>
      <c r="AC526" s="18">
        <f t="shared" si="246"/>
        <v>2.7994426255929068E-4</v>
      </c>
      <c r="AD526" s="18">
        <f t="shared" si="248"/>
        <v>9.9099641692693033E-4</v>
      </c>
      <c r="AE526" s="18">
        <f t="shared" si="250"/>
        <v>4.0085675811086536E-3</v>
      </c>
      <c r="AF526" s="18">
        <f t="shared" si="252"/>
        <v>4.7169850686936271E-3</v>
      </c>
      <c r="AG526" s="18">
        <f t="shared" si="254"/>
        <v>3.3105426423327031E-4</v>
      </c>
      <c r="AH526" s="18">
        <f t="shared" si="256"/>
        <v>2.2694521345557835E-3</v>
      </c>
      <c r="AJ526" s="18">
        <f>IF(ISNUMBER(Kernel!M526),Kernel!M526,"")</f>
        <v>0.23314272984324352</v>
      </c>
      <c r="AK526" s="18">
        <f t="shared" si="241"/>
        <v>5.4355532478759634E-2</v>
      </c>
      <c r="AN526" s="18">
        <f>IF(ISNUMBER(Volcanic!G526),Volcanic!G526,"")</f>
        <v>4.4799999999999996E-3</v>
      </c>
    </row>
    <row r="527" spans="1:40">
      <c r="A527" s="18" t="str">
        <f>IF(Volcanic!A527="","",Volcanic!A527)</f>
        <v>12/2001</v>
      </c>
      <c r="B527" s="18">
        <f>IF(ISNUMBER(Volcanic!L527),Volcanic!L527,"")</f>
        <v>2001.9583333333333</v>
      </c>
      <c r="C527" s="18">
        <f>IF(ISNUMBER(Volcanic!J527),Volcanic!J527,"")</f>
        <v>2.1437495482034219E-2</v>
      </c>
      <c r="D527" s="18">
        <f t="shared" si="234"/>
        <v>4.5956621254223756E-4</v>
      </c>
      <c r="E527" s="18">
        <f>IF(ISNUMBER(Volcanic!C527),Volcanic!C527,"")</f>
        <v>0.40762467556660881</v>
      </c>
      <c r="F527" s="18">
        <f>IF(ISNUMBER(Volcanic!D527),Volcanic!D527,"")</f>
        <v>-0.15</v>
      </c>
      <c r="G527" s="18">
        <f>IF(ISNUMBER(Volcanic!E527),Volcanic!E527,"")</f>
        <v>4.0899999999999999E-3</v>
      </c>
      <c r="H527" s="18">
        <f t="shared" si="235"/>
        <v>0.16615787613078309</v>
      </c>
      <c r="I527" s="18">
        <f t="shared" si="236"/>
        <v>2.2499999999999999E-2</v>
      </c>
      <c r="J527" s="18">
        <f t="shared" si="237"/>
        <v>1.67281E-5</v>
      </c>
      <c r="K527" s="18">
        <f t="shared" si="238"/>
        <v>-6.1143701334991321E-2</v>
      </c>
      <c r="L527" s="18">
        <f t="shared" si="239"/>
        <v>1.6671849230674299E-3</v>
      </c>
      <c r="M527" s="18">
        <f t="shared" si="240"/>
        <v>-6.135E-4</v>
      </c>
      <c r="N527" s="18">
        <f t="shared" si="242"/>
        <v>4.212678698996624E-2</v>
      </c>
      <c r="O527" s="18">
        <f t="shared" si="245"/>
        <v>5.9559679132976191E-5</v>
      </c>
      <c r="P527" s="18">
        <f t="shared" si="247"/>
        <v>3.213992539573103E-4</v>
      </c>
      <c r="Q527" s="18">
        <f t="shared" si="249"/>
        <v>7.265130241643858E-4</v>
      </c>
      <c r="R527" s="18">
        <f t="shared" si="251"/>
        <v>5.2292291538457948E-3</v>
      </c>
      <c r="S527" s="18">
        <f t="shared" si="253"/>
        <v>5.2210753439243751E-5</v>
      </c>
      <c r="T527" s="18">
        <f t="shared" si="255"/>
        <v>2.5560956629320647E-3</v>
      </c>
      <c r="U527" s="18">
        <f t="shared" si="257"/>
        <v>3.3705196913427977E-5</v>
      </c>
      <c r="V527" s="18">
        <f t="shared" si="258"/>
        <v>4.5172381141524087E-3</v>
      </c>
      <c r="W527" s="18">
        <f t="shared" si="259"/>
        <v>1.2214271326685404E-3</v>
      </c>
      <c r="X527" s="18">
        <f t="shared" si="260"/>
        <v>1.2591263396804885E-3</v>
      </c>
      <c r="Y527" s="18">
        <f t="shared" si="261"/>
        <v>4.2731157203901582E-2</v>
      </c>
      <c r="AA527" s="18">
        <f t="shared" si="243"/>
        <v>-8.1761714281351316E-2</v>
      </c>
      <c r="AB527" s="18">
        <f t="shared" si="244"/>
        <v>6.6849779222253282E-3</v>
      </c>
      <c r="AC527" s="18">
        <f t="shared" si="246"/>
        <v>4.3734722380803955E-2</v>
      </c>
      <c r="AD527" s="18">
        <f t="shared" si="248"/>
        <v>2.7994426255929068E-4</v>
      </c>
      <c r="AE527" s="18">
        <f t="shared" si="250"/>
        <v>9.9099641692693033E-4</v>
      </c>
      <c r="AF527" s="18">
        <f t="shared" si="252"/>
        <v>4.0085675811086536E-3</v>
      </c>
      <c r="AG527" s="18">
        <f t="shared" si="254"/>
        <v>4.7169850686936271E-3</v>
      </c>
      <c r="AH527" s="18">
        <f t="shared" si="256"/>
        <v>3.3105426423327031E-4</v>
      </c>
      <c r="AJ527" s="18">
        <f>IF(ISNUMBER(Kernel!M527),Kernel!M527,"")</f>
        <v>4.7521174333206129E-2</v>
      </c>
      <c r="AK527" s="18">
        <f t="shared" si="241"/>
        <v>2.2582620100069688E-3</v>
      </c>
      <c r="AN527" s="18">
        <f>IF(ISNUMBER(Volcanic!G527),Volcanic!G527,"")</f>
        <v>4.3200000000000001E-3</v>
      </c>
    </row>
    <row r="528" spans="1:40">
      <c r="A528" s="18" t="str">
        <f>IF(Volcanic!A528="","",Volcanic!A528)</f>
        <v>1/2002</v>
      </c>
      <c r="B528" s="18">
        <f>IF(ISNUMBER(Volcanic!L528),Volcanic!L528,"")</f>
        <v>2002.0416666666667</v>
      </c>
      <c r="C528" s="18">
        <f>IF(ISNUMBER(Volcanic!J528),Volcanic!J528,"")</f>
        <v>0.23861395080230507</v>
      </c>
      <c r="D528" s="18">
        <f t="shared" si="234"/>
        <v>5.6936617517484869E-2</v>
      </c>
      <c r="E528" s="18">
        <f>IF(ISNUMBER(Volcanic!C528),Volcanic!C528,"")</f>
        <v>0.4125879918965209</v>
      </c>
      <c r="F528" s="18">
        <f>IF(ISNUMBER(Volcanic!D528),Volcanic!D528,"")</f>
        <v>-0.26</v>
      </c>
      <c r="G528" s="18">
        <f>IF(ISNUMBER(Volcanic!E528),Volcanic!E528,"")</f>
        <v>4.3200000000000001E-3</v>
      </c>
      <c r="H528" s="18">
        <f t="shared" si="235"/>
        <v>0.17022885105720359</v>
      </c>
      <c r="I528" s="18">
        <f t="shared" si="236"/>
        <v>6.7600000000000007E-2</v>
      </c>
      <c r="J528" s="18">
        <f t="shared" si="237"/>
        <v>1.8662399999999999E-5</v>
      </c>
      <c r="K528" s="18">
        <f t="shared" si="238"/>
        <v>-0.10727287789309543</v>
      </c>
      <c r="L528" s="18">
        <f t="shared" si="239"/>
        <v>1.7823801249929703E-3</v>
      </c>
      <c r="M528" s="18">
        <f t="shared" si="240"/>
        <v>-1.1232E-3</v>
      </c>
      <c r="N528" s="18">
        <f t="shared" si="242"/>
        <v>4.5956621254223756E-4</v>
      </c>
      <c r="O528" s="18">
        <f t="shared" si="245"/>
        <v>4.212678698996624E-2</v>
      </c>
      <c r="P528" s="18">
        <f t="shared" si="247"/>
        <v>5.9559679132976191E-5</v>
      </c>
      <c r="Q528" s="18">
        <f t="shared" si="249"/>
        <v>3.213992539573103E-4</v>
      </c>
      <c r="R528" s="18">
        <f t="shared" si="251"/>
        <v>7.265130241643858E-4</v>
      </c>
      <c r="S528" s="18">
        <f t="shared" si="253"/>
        <v>5.2292291538457948E-3</v>
      </c>
      <c r="T528" s="18">
        <f t="shared" si="255"/>
        <v>5.2210753439243751E-5</v>
      </c>
      <c r="U528" s="18">
        <f t="shared" si="257"/>
        <v>2.5560956629320647E-3</v>
      </c>
      <c r="V528" s="18">
        <f t="shared" si="258"/>
        <v>3.3705196913427977E-5</v>
      </c>
      <c r="W528" s="18">
        <f t="shared" si="259"/>
        <v>4.5172381141524087E-3</v>
      </c>
      <c r="X528" s="18">
        <f t="shared" si="260"/>
        <v>1.2214271326685404E-3</v>
      </c>
      <c r="Y528" s="18">
        <f t="shared" si="261"/>
        <v>1.2591263396804885E-3</v>
      </c>
      <c r="AA528" s="18">
        <f t="shared" si="243"/>
        <v>0.22783513006505043</v>
      </c>
      <c r="AB528" s="18">
        <f t="shared" si="244"/>
        <v>5.1908846491758448E-2</v>
      </c>
      <c r="AC528" s="18">
        <f t="shared" si="246"/>
        <v>6.6849779222253282E-3</v>
      </c>
      <c r="AD528" s="18">
        <f t="shared" si="248"/>
        <v>4.3734722380803955E-2</v>
      </c>
      <c r="AE528" s="18">
        <f t="shared" si="250"/>
        <v>2.7994426255929068E-4</v>
      </c>
      <c r="AF528" s="18">
        <f t="shared" si="252"/>
        <v>9.9099641692693033E-4</v>
      </c>
      <c r="AG528" s="18">
        <f t="shared" si="254"/>
        <v>4.0085675811086536E-3</v>
      </c>
      <c r="AH528" s="18">
        <f t="shared" si="256"/>
        <v>4.7169850686936271E-3</v>
      </c>
      <c r="AJ528" s="18">
        <f>IF(ISNUMBER(Kernel!M528),Kernel!M528,"")</f>
        <v>0.25034671193623215</v>
      </c>
      <c r="AK528" s="18">
        <f t="shared" si="241"/>
        <v>6.2673476177282805E-2</v>
      </c>
      <c r="AN528" s="18">
        <f>IF(ISNUMBER(Volcanic!G528),Volcanic!G528,"")</f>
        <v>4.2100000000000002E-3</v>
      </c>
    </row>
    <row r="529" spans="1:40">
      <c r="A529" s="18" t="str">
        <f>IF(Volcanic!A529="","",Volcanic!A529)</f>
        <v>2/2002</v>
      </c>
      <c r="B529" s="18">
        <f>IF(ISNUMBER(Volcanic!L529),Volcanic!L529,"")</f>
        <v>2002.125</v>
      </c>
      <c r="C529" s="18">
        <f>IF(ISNUMBER(Volcanic!J529),Volcanic!J529,"")</f>
        <v>0.24890045054578236</v>
      </c>
      <c r="D529" s="18">
        <f t="shared" si="234"/>
        <v>6.1951434281893453E-2</v>
      </c>
      <c r="E529" s="18">
        <f>IF(ISNUMBER(Volcanic!C529),Volcanic!C529,"")</f>
        <v>0.41517918558409256</v>
      </c>
      <c r="F529" s="18">
        <f>IF(ISNUMBER(Volcanic!D529),Volcanic!D529,"")</f>
        <v>-0.33</v>
      </c>
      <c r="G529" s="18">
        <f>IF(ISNUMBER(Volcanic!E529),Volcanic!E529,"")</f>
        <v>4.7099999999999998E-3</v>
      </c>
      <c r="H529" s="18">
        <f t="shared" si="235"/>
        <v>0.17237375614227038</v>
      </c>
      <c r="I529" s="18">
        <f t="shared" si="236"/>
        <v>0.10890000000000001</v>
      </c>
      <c r="J529" s="18">
        <f t="shared" si="237"/>
        <v>2.2184099999999997E-5</v>
      </c>
      <c r="K529" s="18">
        <f t="shared" si="238"/>
        <v>-0.13700913124275055</v>
      </c>
      <c r="L529" s="18">
        <f t="shared" si="239"/>
        <v>1.9554939641010759E-3</v>
      </c>
      <c r="M529" s="18">
        <f t="shared" si="240"/>
        <v>-1.5543E-3</v>
      </c>
      <c r="N529" s="18">
        <f t="shared" si="242"/>
        <v>5.6936617517484869E-2</v>
      </c>
      <c r="O529" s="18">
        <f t="shared" si="245"/>
        <v>4.5956621254223756E-4</v>
      </c>
      <c r="P529" s="18">
        <f t="shared" si="247"/>
        <v>4.212678698996624E-2</v>
      </c>
      <c r="Q529" s="18">
        <f t="shared" si="249"/>
        <v>5.9559679132976191E-5</v>
      </c>
      <c r="R529" s="18">
        <f t="shared" si="251"/>
        <v>3.213992539573103E-4</v>
      </c>
      <c r="S529" s="18">
        <f t="shared" si="253"/>
        <v>7.265130241643858E-4</v>
      </c>
      <c r="T529" s="18">
        <f t="shared" si="255"/>
        <v>5.2292291538457948E-3</v>
      </c>
      <c r="U529" s="18">
        <f t="shared" si="257"/>
        <v>5.2210753439243751E-5</v>
      </c>
      <c r="V529" s="18">
        <f t="shared" si="258"/>
        <v>2.5560956629320647E-3</v>
      </c>
      <c r="W529" s="18">
        <f t="shared" si="259"/>
        <v>3.3705196913427977E-5</v>
      </c>
      <c r="X529" s="18">
        <f t="shared" si="260"/>
        <v>4.5172381141524087E-3</v>
      </c>
      <c r="Y529" s="18">
        <f t="shared" si="261"/>
        <v>1.2214271326685404E-3</v>
      </c>
      <c r="AA529" s="18">
        <f t="shared" si="243"/>
        <v>0.12892482171070685</v>
      </c>
      <c r="AB529" s="18">
        <f t="shared" si="244"/>
        <v>1.6621609653137547E-2</v>
      </c>
      <c r="AC529" s="18">
        <f t="shared" si="246"/>
        <v>5.1908846491758448E-2</v>
      </c>
      <c r="AD529" s="18">
        <f t="shared" si="248"/>
        <v>6.6849779222253282E-3</v>
      </c>
      <c r="AE529" s="18">
        <f t="shared" si="250"/>
        <v>4.3734722380803955E-2</v>
      </c>
      <c r="AF529" s="18">
        <f t="shared" si="252"/>
        <v>2.7994426255929068E-4</v>
      </c>
      <c r="AG529" s="18">
        <f t="shared" si="254"/>
        <v>9.9099641692693033E-4</v>
      </c>
      <c r="AH529" s="18">
        <f t="shared" si="256"/>
        <v>4.0085675811086536E-3</v>
      </c>
      <c r="AJ529" s="18">
        <f>IF(ISNUMBER(Kernel!M529),Kernel!M529,"")</f>
        <v>0.24535486480664959</v>
      </c>
      <c r="AK529" s="18">
        <f t="shared" si="241"/>
        <v>6.0199009684289297E-2</v>
      </c>
      <c r="AN529" s="18">
        <f>IF(ISNUMBER(Volcanic!G529),Volcanic!G529,"")</f>
        <v>4.0699999999999998E-3</v>
      </c>
    </row>
    <row r="530" spans="1:40">
      <c r="A530" s="18" t="str">
        <f>IF(Volcanic!A530="","",Volcanic!A530)</f>
        <v>3/2002</v>
      </c>
      <c r="B530" s="18">
        <f>IF(ISNUMBER(Volcanic!L530),Volcanic!L530,"")</f>
        <v>2002.2083333333333</v>
      </c>
      <c r="C530" s="18">
        <f>IF(ISNUMBER(Volcanic!J530),Volcanic!J530,"")</f>
        <v>0.33862374257881067</v>
      </c>
      <c r="D530" s="18">
        <f t="shared" si="234"/>
        <v>0.11466603903808063</v>
      </c>
      <c r="E530" s="18">
        <f>IF(ISNUMBER(Volcanic!C530),Volcanic!C530,"")</f>
        <v>0.41876822106763295</v>
      </c>
      <c r="F530" s="18">
        <f>IF(ISNUMBER(Volcanic!D530),Volcanic!D530,"")</f>
        <v>-0.32</v>
      </c>
      <c r="G530" s="18">
        <f>IF(ISNUMBER(Volcanic!E530),Volcanic!E530,"")</f>
        <v>4.9100000000000003E-3</v>
      </c>
      <c r="H530" s="18">
        <f t="shared" si="235"/>
        <v>0.17536682297614989</v>
      </c>
      <c r="I530" s="18">
        <f t="shared" si="236"/>
        <v>0.1024</v>
      </c>
      <c r="J530" s="18">
        <f t="shared" si="237"/>
        <v>2.4108100000000004E-5</v>
      </c>
      <c r="K530" s="18">
        <f t="shared" si="238"/>
        <v>-0.13400583074164255</v>
      </c>
      <c r="L530" s="18">
        <f t="shared" si="239"/>
        <v>2.0561519654420778E-3</v>
      </c>
      <c r="M530" s="18">
        <f t="shared" si="240"/>
        <v>-1.5712E-3</v>
      </c>
      <c r="N530" s="18">
        <f t="shared" si="242"/>
        <v>6.1951434281893453E-2</v>
      </c>
      <c r="O530" s="18">
        <f t="shared" si="245"/>
        <v>5.6936617517484869E-2</v>
      </c>
      <c r="P530" s="18">
        <f t="shared" si="247"/>
        <v>4.5956621254223756E-4</v>
      </c>
      <c r="Q530" s="18">
        <f t="shared" si="249"/>
        <v>4.212678698996624E-2</v>
      </c>
      <c r="R530" s="18">
        <f t="shared" si="251"/>
        <v>5.9559679132976191E-5</v>
      </c>
      <c r="S530" s="18">
        <f t="shared" si="253"/>
        <v>3.213992539573103E-4</v>
      </c>
      <c r="T530" s="18">
        <f t="shared" si="255"/>
        <v>7.265130241643858E-4</v>
      </c>
      <c r="U530" s="18">
        <f t="shared" si="257"/>
        <v>5.2292291538457948E-3</v>
      </c>
      <c r="V530" s="18">
        <f t="shared" si="258"/>
        <v>5.2210753439243751E-5</v>
      </c>
      <c r="W530" s="18">
        <f t="shared" si="259"/>
        <v>2.5560956629320647E-3</v>
      </c>
      <c r="X530" s="18">
        <f t="shared" si="260"/>
        <v>3.3705196913427977E-5</v>
      </c>
      <c r="Y530" s="18">
        <f t="shared" si="261"/>
        <v>4.5172381141524087E-3</v>
      </c>
      <c r="AA530" s="18">
        <f t="shared" si="243"/>
        <v>0.21347603863628251</v>
      </c>
      <c r="AB530" s="18">
        <f t="shared" si="244"/>
        <v>4.5572019071839581E-2</v>
      </c>
      <c r="AC530" s="18">
        <f t="shared" si="246"/>
        <v>1.6621609653137547E-2</v>
      </c>
      <c r="AD530" s="18">
        <f t="shared" si="248"/>
        <v>5.1908846491758448E-2</v>
      </c>
      <c r="AE530" s="18">
        <f t="shared" si="250"/>
        <v>6.6849779222253282E-3</v>
      </c>
      <c r="AF530" s="18">
        <f t="shared" si="252"/>
        <v>4.3734722380803955E-2</v>
      </c>
      <c r="AG530" s="18">
        <f t="shared" si="254"/>
        <v>2.7994426255929068E-4</v>
      </c>
      <c r="AH530" s="18">
        <f t="shared" si="256"/>
        <v>9.9099641692693033E-4</v>
      </c>
      <c r="AJ530" s="18">
        <f>IF(ISNUMBER(Kernel!M530),Kernel!M530,"")</f>
        <v>0.32800934977350682</v>
      </c>
      <c r="AK530" s="18">
        <f t="shared" si="241"/>
        <v>0.10759013353883874</v>
      </c>
      <c r="AN530" s="18">
        <f>IF(ISNUMBER(Volcanic!G530),Volcanic!G530,"")</f>
        <v>4.0400000000000002E-3</v>
      </c>
    </row>
    <row r="531" spans="1:40">
      <c r="A531" s="18" t="str">
        <f>IF(Volcanic!A531="","",Volcanic!A531)</f>
        <v>4/2002</v>
      </c>
      <c r="B531" s="18">
        <f>IF(ISNUMBER(Volcanic!L531),Volcanic!L531,"")</f>
        <v>2002.2916666666667</v>
      </c>
      <c r="C531" s="18">
        <f>IF(ISNUMBER(Volcanic!J531),Volcanic!J531,"")</f>
        <v>1.2997453958549454E-2</v>
      </c>
      <c r="D531" s="18">
        <f t="shared" si="234"/>
        <v>1.6893380940461288E-4</v>
      </c>
      <c r="E531" s="18">
        <f>IF(ISNUMBER(Volcanic!C531),Volcanic!C531,"")</f>
        <v>0.4221945488102623</v>
      </c>
      <c r="F531" s="18">
        <f>IF(ISNUMBER(Volcanic!D531),Volcanic!D531,"")</f>
        <v>-0.15</v>
      </c>
      <c r="G531" s="18">
        <f>IF(ISNUMBER(Volcanic!E531),Volcanic!E531,"")</f>
        <v>4.6800000000000001E-3</v>
      </c>
      <c r="H531" s="18">
        <f t="shared" si="235"/>
        <v>0.17824823704510095</v>
      </c>
      <c r="I531" s="18">
        <f t="shared" si="236"/>
        <v>2.2499999999999999E-2</v>
      </c>
      <c r="J531" s="18">
        <f t="shared" si="237"/>
        <v>2.1902400000000002E-5</v>
      </c>
      <c r="K531" s="18">
        <f t="shared" si="238"/>
        <v>-6.3329182321539348E-2</v>
      </c>
      <c r="L531" s="18">
        <f t="shared" si="239"/>
        <v>1.9758704884320277E-3</v>
      </c>
      <c r="M531" s="18">
        <f t="shared" si="240"/>
        <v>-7.0200000000000004E-4</v>
      </c>
      <c r="N531" s="18">
        <f t="shared" si="242"/>
        <v>0.11466603903808063</v>
      </c>
      <c r="O531" s="18">
        <f t="shared" si="245"/>
        <v>6.1951434281893453E-2</v>
      </c>
      <c r="P531" s="18">
        <f t="shared" si="247"/>
        <v>5.6936617517484869E-2</v>
      </c>
      <c r="Q531" s="18">
        <f t="shared" si="249"/>
        <v>4.5956621254223756E-4</v>
      </c>
      <c r="R531" s="18">
        <f t="shared" si="251"/>
        <v>4.212678698996624E-2</v>
      </c>
      <c r="S531" s="18">
        <f t="shared" si="253"/>
        <v>5.9559679132976191E-5</v>
      </c>
      <c r="T531" s="18">
        <f t="shared" si="255"/>
        <v>3.213992539573103E-4</v>
      </c>
      <c r="U531" s="18">
        <f t="shared" si="257"/>
        <v>7.265130241643858E-4</v>
      </c>
      <c r="V531" s="18">
        <f t="shared" si="258"/>
        <v>5.2292291538457948E-3</v>
      </c>
      <c r="W531" s="18">
        <f t="shared" si="259"/>
        <v>5.2210753439243751E-5</v>
      </c>
      <c r="X531" s="18">
        <f t="shared" si="260"/>
        <v>2.5560956629320647E-3</v>
      </c>
      <c r="Y531" s="18">
        <f t="shared" si="261"/>
        <v>3.3705196913427977E-5</v>
      </c>
      <c r="AA531" s="18">
        <f t="shared" si="243"/>
        <v>-0.15726332215189365</v>
      </c>
      <c r="AB531" s="18">
        <f t="shared" si="244"/>
        <v>2.4731752494250282E-2</v>
      </c>
      <c r="AC531" s="18">
        <f t="shared" si="246"/>
        <v>4.5572019071839581E-2</v>
      </c>
      <c r="AD531" s="18">
        <f t="shared" si="248"/>
        <v>1.6621609653137547E-2</v>
      </c>
      <c r="AE531" s="18">
        <f t="shared" si="250"/>
        <v>5.1908846491758448E-2</v>
      </c>
      <c r="AF531" s="18">
        <f t="shared" si="252"/>
        <v>6.6849779222253282E-3</v>
      </c>
      <c r="AG531" s="18">
        <f t="shared" si="254"/>
        <v>4.3734722380803955E-2</v>
      </c>
      <c r="AH531" s="18">
        <f t="shared" si="256"/>
        <v>2.7994426255929068E-4</v>
      </c>
      <c r="AJ531" s="18">
        <f>IF(ISNUMBER(Kernel!M531),Kernel!M531,"")</f>
        <v>1.1354810409898497E-2</v>
      </c>
      <c r="AK531" s="18">
        <f t="shared" si="241"/>
        <v>1.2893171944473929E-4</v>
      </c>
      <c r="AN531" s="18">
        <f>IF(ISNUMBER(Volcanic!G531),Volcanic!G531,"")</f>
        <v>3.8600000000000001E-3</v>
      </c>
    </row>
    <row r="532" spans="1:40">
      <c r="A532" s="18" t="str">
        <f>IF(Volcanic!A532="","",Volcanic!A532)</f>
        <v>5/2002</v>
      </c>
      <c r="B532" s="18">
        <f>IF(ISNUMBER(Volcanic!L532),Volcanic!L532,"")</f>
        <v>2002.375</v>
      </c>
      <c r="C532" s="18">
        <f>IF(ISNUMBER(Volcanic!J532),Volcanic!J532,"")</f>
        <v>4.4961388831205817E-2</v>
      </c>
      <c r="D532" s="18">
        <f t="shared" si="234"/>
        <v>2.0215264856308793E-3</v>
      </c>
      <c r="E532" s="18">
        <f>IF(ISNUMBER(Volcanic!C532),Volcanic!C532,"")</f>
        <v>0.42503722288541401</v>
      </c>
      <c r="F532" s="18">
        <f>IF(ISNUMBER(Volcanic!D532),Volcanic!D532,"")</f>
        <v>7.0000000000000007E-2</v>
      </c>
      <c r="G532" s="18">
        <f>IF(ISNUMBER(Volcanic!E532),Volcanic!E532,"")</f>
        <v>4.7400000000000003E-3</v>
      </c>
      <c r="H532" s="18">
        <f t="shared" si="235"/>
        <v>0.18065664083814512</v>
      </c>
      <c r="I532" s="18">
        <f t="shared" si="236"/>
        <v>4.9000000000000007E-3</v>
      </c>
      <c r="J532" s="18">
        <f t="shared" si="237"/>
        <v>2.2467600000000002E-5</v>
      </c>
      <c r="K532" s="18">
        <f t="shared" si="238"/>
        <v>2.9752605601978982E-2</v>
      </c>
      <c r="L532" s="18">
        <f t="shared" si="239"/>
        <v>2.0146764364768624E-3</v>
      </c>
      <c r="M532" s="18">
        <f t="shared" si="240"/>
        <v>3.3180000000000004E-4</v>
      </c>
      <c r="N532" s="18">
        <f t="shared" si="242"/>
        <v>1.6893380940461288E-4</v>
      </c>
      <c r="O532" s="18">
        <f t="shared" si="245"/>
        <v>0.11466603903808063</v>
      </c>
      <c r="P532" s="18">
        <f t="shared" si="247"/>
        <v>6.1951434281893453E-2</v>
      </c>
      <c r="Q532" s="18">
        <f t="shared" si="249"/>
        <v>5.6936617517484869E-2</v>
      </c>
      <c r="R532" s="18">
        <f t="shared" si="251"/>
        <v>4.5956621254223756E-4</v>
      </c>
      <c r="S532" s="18">
        <f t="shared" si="253"/>
        <v>4.212678698996624E-2</v>
      </c>
      <c r="T532" s="18">
        <f t="shared" si="255"/>
        <v>5.9559679132976191E-5</v>
      </c>
      <c r="U532" s="18">
        <f t="shared" si="257"/>
        <v>3.213992539573103E-4</v>
      </c>
      <c r="V532" s="18">
        <f t="shared" si="258"/>
        <v>7.265130241643858E-4</v>
      </c>
      <c r="W532" s="18">
        <f t="shared" si="259"/>
        <v>5.2292291538457948E-3</v>
      </c>
      <c r="X532" s="18">
        <f t="shared" si="260"/>
        <v>5.2210753439243751E-5</v>
      </c>
      <c r="Y532" s="18">
        <f t="shared" si="261"/>
        <v>2.5560956629320647E-3</v>
      </c>
      <c r="AA532" s="18">
        <f t="shared" si="243"/>
        <v>3.84262398732814E-2</v>
      </c>
      <c r="AB532" s="18">
        <f t="shared" si="244"/>
        <v>1.4765759107989614E-3</v>
      </c>
      <c r="AC532" s="18">
        <f t="shared" si="246"/>
        <v>2.4731752494250282E-2</v>
      </c>
      <c r="AD532" s="18">
        <f t="shared" si="248"/>
        <v>4.5572019071839581E-2</v>
      </c>
      <c r="AE532" s="18">
        <f t="shared" si="250"/>
        <v>1.6621609653137547E-2</v>
      </c>
      <c r="AF532" s="18">
        <f t="shared" si="252"/>
        <v>5.1908846491758448E-2</v>
      </c>
      <c r="AG532" s="18">
        <f t="shared" si="254"/>
        <v>6.6849779222253282E-3</v>
      </c>
      <c r="AH532" s="18">
        <f t="shared" si="256"/>
        <v>4.3734722380803955E-2</v>
      </c>
      <c r="AJ532" s="18">
        <f>IF(ISNUMBER(Kernel!M532),Kernel!M532,"")</f>
        <v>5.4164516832513887E-2</v>
      </c>
      <c r="AK532" s="18">
        <f t="shared" si="241"/>
        <v>2.9337948836996803E-3</v>
      </c>
      <c r="AN532" s="18">
        <f>IF(ISNUMBER(Volcanic!G532),Volcanic!G532,"")</f>
        <v>3.8999999999999998E-3</v>
      </c>
    </row>
    <row r="533" spans="1:40">
      <c r="A533" s="18" t="str">
        <f>IF(Volcanic!A533="","",Volcanic!A533)</f>
        <v>6/2002</v>
      </c>
      <c r="B533" s="18">
        <f>IF(ISNUMBER(Volcanic!L533),Volcanic!L533,"")</f>
        <v>2002.4583333333333</v>
      </c>
      <c r="C533" s="18">
        <f>IF(ISNUMBER(Volcanic!J533),Volcanic!J533,"")</f>
        <v>-6.6809631068478925E-2</v>
      </c>
      <c r="D533" s="18">
        <f t="shared" si="234"/>
        <v>4.4635268035062648E-3</v>
      </c>
      <c r="E533" s="18">
        <f>IF(ISNUMBER(Volcanic!C533),Volcanic!C533,"")</f>
        <v>0.42411588811097739</v>
      </c>
      <c r="F533" s="18">
        <f>IF(ISNUMBER(Volcanic!D533),Volcanic!D533,"")</f>
        <v>0.11</v>
      </c>
      <c r="G533" s="18">
        <f>IF(ISNUMBER(Volcanic!E533),Volcanic!E533,"")</f>
        <v>4.4799999999999996E-3</v>
      </c>
      <c r="H533" s="18">
        <f t="shared" si="235"/>
        <v>0.17987428654816309</v>
      </c>
      <c r="I533" s="18">
        <f t="shared" si="236"/>
        <v>1.21E-2</v>
      </c>
      <c r="J533" s="18">
        <f t="shared" si="237"/>
        <v>2.0070399999999997E-5</v>
      </c>
      <c r="K533" s="18">
        <f t="shared" si="238"/>
        <v>4.6652747692207515E-2</v>
      </c>
      <c r="L533" s="18">
        <f t="shared" si="239"/>
        <v>1.9000391787371786E-3</v>
      </c>
      <c r="M533" s="18">
        <f t="shared" si="240"/>
        <v>4.9279999999999994E-4</v>
      </c>
      <c r="N533" s="18">
        <f t="shared" si="242"/>
        <v>2.0215264856308793E-3</v>
      </c>
      <c r="O533" s="18">
        <f t="shared" si="245"/>
        <v>1.6893380940461288E-4</v>
      </c>
      <c r="P533" s="18">
        <f t="shared" si="247"/>
        <v>0.11466603903808063</v>
      </c>
      <c r="Q533" s="18">
        <f t="shared" si="249"/>
        <v>6.1951434281893453E-2</v>
      </c>
      <c r="R533" s="18">
        <f t="shared" si="251"/>
        <v>5.6936617517484869E-2</v>
      </c>
      <c r="S533" s="18">
        <f t="shared" si="253"/>
        <v>4.5956621254223756E-4</v>
      </c>
      <c r="T533" s="18">
        <f t="shared" si="255"/>
        <v>4.212678698996624E-2</v>
      </c>
      <c r="U533" s="18">
        <f t="shared" si="257"/>
        <v>5.9559679132976191E-5</v>
      </c>
      <c r="V533" s="18">
        <f t="shared" si="258"/>
        <v>3.213992539573103E-4</v>
      </c>
      <c r="W533" s="18">
        <f t="shared" si="259"/>
        <v>7.265130241643858E-4</v>
      </c>
      <c r="X533" s="18">
        <f t="shared" si="260"/>
        <v>5.2292291538457948E-3</v>
      </c>
      <c r="Y533" s="18">
        <f t="shared" si="261"/>
        <v>5.2210753439243751E-5</v>
      </c>
      <c r="AA533" s="18">
        <f t="shared" si="243"/>
        <v>-8.9416318063035613E-2</v>
      </c>
      <c r="AB533" s="18">
        <f t="shared" si="244"/>
        <v>7.995277935949948E-3</v>
      </c>
      <c r="AC533" s="18">
        <f t="shared" si="246"/>
        <v>1.4765759107989614E-3</v>
      </c>
      <c r="AD533" s="18">
        <f t="shared" si="248"/>
        <v>2.4731752494250282E-2</v>
      </c>
      <c r="AE533" s="18">
        <f t="shared" si="250"/>
        <v>4.5572019071839581E-2</v>
      </c>
      <c r="AF533" s="18">
        <f t="shared" si="252"/>
        <v>1.6621609653137547E-2</v>
      </c>
      <c r="AG533" s="18">
        <f t="shared" si="254"/>
        <v>5.1908846491758448E-2</v>
      </c>
      <c r="AH533" s="18">
        <f t="shared" si="256"/>
        <v>6.6849779222253282E-3</v>
      </c>
      <c r="AJ533" s="18">
        <f>IF(ISNUMBER(Kernel!M533),Kernel!M533,"")</f>
        <v>-6.4621625273298178E-2</v>
      </c>
      <c r="AK533" s="18">
        <f t="shared" si="241"/>
        <v>4.1759544529625702E-3</v>
      </c>
      <c r="AN533" s="18">
        <f>IF(ISNUMBER(Volcanic!G533),Volcanic!G533,"")</f>
        <v>3.9899999999999996E-3</v>
      </c>
    </row>
    <row r="534" spans="1:40">
      <c r="A534" s="18" t="str">
        <f>IF(Volcanic!A534="","",Volcanic!A534)</f>
        <v>7/2002</v>
      </c>
      <c r="B534" s="18">
        <f>IF(ISNUMBER(Volcanic!L534),Volcanic!L534,"")</f>
        <v>2002.5416666666667</v>
      </c>
      <c r="C534" s="18">
        <f>IF(ISNUMBER(Volcanic!J534),Volcanic!J534,"")</f>
        <v>2.5183908376467667E-2</v>
      </c>
      <c r="D534" s="18">
        <f t="shared" si="234"/>
        <v>6.3422924111431833E-4</v>
      </c>
      <c r="E534" s="18">
        <f>IF(ISNUMBER(Volcanic!C534),Volcanic!C534,"")</f>
        <v>0.41822850669924977</v>
      </c>
      <c r="F534" s="18">
        <f>IF(ISNUMBER(Volcanic!D534),Volcanic!D534,"")</f>
        <v>0.15</v>
      </c>
      <c r="G534" s="18">
        <f>IF(ISNUMBER(Volcanic!E534),Volcanic!E534,"")</f>
        <v>4.3200000000000001E-3</v>
      </c>
      <c r="H534" s="18">
        <f t="shared" si="235"/>
        <v>0.17491508381588441</v>
      </c>
      <c r="I534" s="18">
        <f t="shared" si="236"/>
        <v>2.2499999999999999E-2</v>
      </c>
      <c r="J534" s="18">
        <f t="shared" si="237"/>
        <v>1.8662399999999999E-5</v>
      </c>
      <c r="K534" s="18">
        <f t="shared" si="238"/>
        <v>6.2734276004887457E-2</v>
      </c>
      <c r="L534" s="18">
        <f t="shared" si="239"/>
        <v>1.8067471489407591E-3</v>
      </c>
      <c r="M534" s="18">
        <f t="shared" si="240"/>
        <v>6.4800000000000003E-4</v>
      </c>
      <c r="N534" s="18">
        <f t="shared" si="242"/>
        <v>4.4635268035062648E-3</v>
      </c>
      <c r="O534" s="18">
        <f t="shared" si="245"/>
        <v>2.0215264856308793E-3</v>
      </c>
      <c r="P534" s="18">
        <f t="shared" si="247"/>
        <v>1.6893380940461288E-4</v>
      </c>
      <c r="Q534" s="18">
        <f t="shared" si="249"/>
        <v>0.11466603903808063</v>
      </c>
      <c r="R534" s="18">
        <f t="shared" si="251"/>
        <v>6.1951434281893453E-2</v>
      </c>
      <c r="S534" s="18">
        <f t="shared" si="253"/>
        <v>5.6936617517484869E-2</v>
      </c>
      <c r="T534" s="18">
        <f t="shared" si="255"/>
        <v>4.5956621254223756E-4</v>
      </c>
      <c r="U534" s="18">
        <f t="shared" si="257"/>
        <v>4.212678698996624E-2</v>
      </c>
      <c r="V534" s="18">
        <f t="shared" si="258"/>
        <v>5.9559679132976191E-5</v>
      </c>
      <c r="W534" s="18">
        <f t="shared" si="259"/>
        <v>3.213992539573103E-4</v>
      </c>
      <c r="X534" s="18">
        <f t="shared" si="260"/>
        <v>7.265130241643858E-4</v>
      </c>
      <c r="Y534" s="18">
        <f t="shared" si="261"/>
        <v>5.2292291538457948E-3</v>
      </c>
      <c r="AA534" s="18">
        <f t="shared" si="243"/>
        <v>5.8775940496673132E-2</v>
      </c>
      <c r="AB534" s="18">
        <f t="shared" si="244"/>
        <v>3.4546111812684605E-3</v>
      </c>
      <c r="AC534" s="18">
        <f t="shared" si="246"/>
        <v>7.995277935949948E-3</v>
      </c>
      <c r="AD534" s="18">
        <f t="shared" si="248"/>
        <v>1.4765759107989614E-3</v>
      </c>
      <c r="AE534" s="18">
        <f t="shared" si="250"/>
        <v>2.4731752494250282E-2</v>
      </c>
      <c r="AF534" s="18">
        <f t="shared" si="252"/>
        <v>4.5572019071839581E-2</v>
      </c>
      <c r="AG534" s="18">
        <f t="shared" si="254"/>
        <v>1.6621609653137547E-2</v>
      </c>
      <c r="AH534" s="18">
        <f t="shared" si="256"/>
        <v>5.1908846491758448E-2</v>
      </c>
      <c r="AJ534" s="18">
        <f>IF(ISNUMBER(Kernel!M534),Kernel!M534,"")</f>
        <v>1.915540524753756E-2</v>
      </c>
      <c r="AK534" s="18">
        <f t="shared" si="241"/>
        <v>3.6692955019738949E-4</v>
      </c>
      <c r="AN534" s="18">
        <f>IF(ISNUMBER(Volcanic!G534),Volcanic!G534,"")</f>
        <v>4.0200000000000001E-3</v>
      </c>
    </row>
    <row r="535" spans="1:40">
      <c r="A535" s="18" t="str">
        <f>IF(Volcanic!A535="","",Volcanic!A535)</f>
        <v>8/2002</v>
      </c>
      <c r="B535" s="18">
        <f>IF(ISNUMBER(Volcanic!L535),Volcanic!L535,"")</f>
        <v>2002.625</v>
      </c>
      <c r="C535" s="18">
        <f>IF(ISNUMBER(Volcanic!J535),Volcanic!J535,"")</f>
        <v>-4.6513291682912294E-2</v>
      </c>
      <c r="D535" s="18">
        <f t="shared" si="234"/>
        <v>2.163486303179678E-3</v>
      </c>
      <c r="E535" s="18">
        <f>IF(ISNUMBER(Volcanic!C535),Volcanic!C535,"")</f>
        <v>0.40999213584619632</v>
      </c>
      <c r="F535" s="18">
        <f>IF(ISNUMBER(Volcanic!D535),Volcanic!D535,"")</f>
        <v>0.3</v>
      </c>
      <c r="G535" s="18">
        <f>IF(ISNUMBER(Volcanic!E535),Volcanic!E535,"")</f>
        <v>4.2100000000000002E-3</v>
      </c>
      <c r="H535" s="18">
        <f t="shared" si="235"/>
        <v>0.16809355145572588</v>
      </c>
      <c r="I535" s="18">
        <f t="shared" si="236"/>
        <v>0.09</v>
      </c>
      <c r="J535" s="18">
        <f t="shared" si="237"/>
        <v>1.7724100000000002E-5</v>
      </c>
      <c r="K535" s="18">
        <f t="shared" si="238"/>
        <v>0.12299764075385888</v>
      </c>
      <c r="L535" s="18">
        <f t="shared" si="239"/>
        <v>1.7260668919124866E-3</v>
      </c>
      <c r="M535" s="18">
        <f t="shared" si="240"/>
        <v>1.263E-3</v>
      </c>
      <c r="N535" s="18">
        <f t="shared" si="242"/>
        <v>6.3422924111431833E-4</v>
      </c>
      <c r="O535" s="18">
        <f t="shared" si="245"/>
        <v>4.4635268035062648E-3</v>
      </c>
      <c r="P535" s="18">
        <f t="shared" si="247"/>
        <v>2.0215264856308793E-3</v>
      </c>
      <c r="Q535" s="18">
        <f t="shared" si="249"/>
        <v>1.6893380940461288E-4</v>
      </c>
      <c r="R535" s="18">
        <f t="shared" si="251"/>
        <v>0.11466603903808063</v>
      </c>
      <c r="S535" s="18">
        <f t="shared" si="253"/>
        <v>6.1951434281893453E-2</v>
      </c>
      <c r="T535" s="18">
        <f t="shared" si="255"/>
        <v>5.6936617517484869E-2</v>
      </c>
      <c r="U535" s="18">
        <f t="shared" si="257"/>
        <v>4.5956621254223756E-4</v>
      </c>
      <c r="V535" s="18">
        <f t="shared" si="258"/>
        <v>4.212678698996624E-2</v>
      </c>
      <c r="W535" s="18">
        <f t="shared" si="259"/>
        <v>5.9559679132976191E-5</v>
      </c>
      <c r="X535" s="18">
        <f t="shared" si="260"/>
        <v>3.213992539573103E-4</v>
      </c>
      <c r="Y535" s="18">
        <f t="shared" si="261"/>
        <v>7.265130241643858E-4</v>
      </c>
      <c r="AA535" s="18">
        <f t="shared" si="243"/>
        <v>-5.9175817213512769E-2</v>
      </c>
      <c r="AB535" s="18">
        <f t="shared" si="244"/>
        <v>3.501777342887074E-3</v>
      </c>
      <c r="AC535" s="18">
        <f t="shared" si="246"/>
        <v>3.4546111812684605E-3</v>
      </c>
      <c r="AD535" s="18">
        <f t="shared" si="248"/>
        <v>7.995277935949948E-3</v>
      </c>
      <c r="AE535" s="18">
        <f t="shared" si="250"/>
        <v>1.4765759107989614E-3</v>
      </c>
      <c r="AF535" s="18">
        <f t="shared" si="252"/>
        <v>2.4731752494250282E-2</v>
      </c>
      <c r="AG535" s="18">
        <f t="shared" si="254"/>
        <v>4.5572019071839581E-2</v>
      </c>
      <c r="AH535" s="18">
        <f t="shared" si="256"/>
        <v>1.6621609653137547E-2</v>
      </c>
      <c r="AJ535" s="18">
        <f>IF(ISNUMBER(Kernel!M535),Kernel!M535,"")</f>
        <v>-5.0161079451226942E-2</v>
      </c>
      <c r="AK535" s="18">
        <f t="shared" si="241"/>
        <v>2.5161338917123019E-3</v>
      </c>
      <c r="AN535" s="18">
        <f>IF(ISNUMBER(Volcanic!G535),Volcanic!G535,"")</f>
        <v>4.0000000000000001E-3</v>
      </c>
    </row>
    <row r="536" spans="1:40">
      <c r="A536" s="18" t="str">
        <f>IF(Volcanic!A536="","",Volcanic!A536)</f>
        <v>9/2002</v>
      </c>
      <c r="B536" s="18">
        <f>IF(ISNUMBER(Volcanic!L536),Volcanic!L536,"")</f>
        <v>2002.7083333333333</v>
      </c>
      <c r="C536" s="18">
        <f>IF(ISNUMBER(Volcanic!J536),Volcanic!J536,"")</f>
        <v>6.101707504013909E-2</v>
      </c>
      <c r="D536" s="18">
        <f t="shared" si="234"/>
        <v>3.7230834464539648E-3</v>
      </c>
      <c r="E536" s="18">
        <f>IF(ISNUMBER(Volcanic!C536),Volcanic!C536,"")</f>
        <v>0.40568123285968838</v>
      </c>
      <c r="F536" s="18">
        <f>IF(ISNUMBER(Volcanic!D536),Volcanic!D536,"")</f>
        <v>0.45</v>
      </c>
      <c r="G536" s="18">
        <f>IF(ISNUMBER(Volcanic!E536),Volcanic!E536,"")</f>
        <v>4.0699999999999998E-3</v>
      </c>
      <c r="H536" s="18">
        <f t="shared" si="235"/>
        <v>0.16457726269455672</v>
      </c>
      <c r="I536" s="18">
        <f t="shared" si="236"/>
        <v>0.20250000000000001</v>
      </c>
      <c r="J536" s="18">
        <f t="shared" si="237"/>
        <v>1.6564899999999998E-5</v>
      </c>
      <c r="K536" s="18">
        <f t="shared" si="238"/>
        <v>0.18255655478685978</v>
      </c>
      <c r="L536" s="18">
        <f t="shared" si="239"/>
        <v>1.6511226177389317E-3</v>
      </c>
      <c r="M536" s="18">
        <f t="shared" si="240"/>
        <v>1.8315E-3</v>
      </c>
      <c r="N536" s="18">
        <f t="shared" si="242"/>
        <v>2.163486303179678E-3</v>
      </c>
      <c r="O536" s="18">
        <f t="shared" si="245"/>
        <v>6.3422924111431833E-4</v>
      </c>
      <c r="P536" s="18">
        <f t="shared" si="247"/>
        <v>4.4635268035062648E-3</v>
      </c>
      <c r="Q536" s="18">
        <f t="shared" si="249"/>
        <v>2.0215264856308793E-3</v>
      </c>
      <c r="R536" s="18">
        <f t="shared" si="251"/>
        <v>1.6893380940461288E-4</v>
      </c>
      <c r="S536" s="18">
        <f t="shared" si="253"/>
        <v>0.11466603903808063</v>
      </c>
      <c r="T536" s="18">
        <f t="shared" si="255"/>
        <v>6.1951434281893453E-2</v>
      </c>
      <c r="U536" s="18">
        <f t="shared" si="257"/>
        <v>5.6936617517484869E-2</v>
      </c>
      <c r="V536" s="18">
        <f t="shared" si="258"/>
        <v>4.5956621254223756E-4</v>
      </c>
      <c r="W536" s="18">
        <f t="shared" si="259"/>
        <v>4.212678698996624E-2</v>
      </c>
      <c r="X536" s="18">
        <f t="shared" si="260"/>
        <v>5.9559679132976191E-5</v>
      </c>
      <c r="Y536" s="18">
        <f t="shared" si="261"/>
        <v>3.213992539573103E-4</v>
      </c>
      <c r="AA536" s="18">
        <f t="shared" si="243"/>
        <v>8.4404062263992483E-2</v>
      </c>
      <c r="AB536" s="18">
        <f t="shared" si="244"/>
        <v>7.1240457266639199E-3</v>
      </c>
      <c r="AC536" s="18">
        <f t="shared" si="246"/>
        <v>3.501777342887074E-3</v>
      </c>
      <c r="AD536" s="18">
        <f t="shared" si="248"/>
        <v>3.4546111812684605E-3</v>
      </c>
      <c r="AE536" s="18">
        <f t="shared" si="250"/>
        <v>7.995277935949948E-3</v>
      </c>
      <c r="AF536" s="18">
        <f t="shared" si="252"/>
        <v>1.4765759107989614E-3</v>
      </c>
      <c r="AG536" s="18">
        <f t="shared" si="254"/>
        <v>2.4731752494250282E-2</v>
      </c>
      <c r="AH536" s="18">
        <f t="shared" si="256"/>
        <v>4.5572019071839581E-2</v>
      </c>
      <c r="AJ536" s="18">
        <f>IF(ISNUMBER(Kernel!M536),Kernel!M536,"")</f>
        <v>5.8407742839667431E-2</v>
      </c>
      <c r="AK536" s="18">
        <f t="shared" si="241"/>
        <v>3.411464423624722E-3</v>
      </c>
      <c r="AN536" s="18">
        <f>IF(ISNUMBER(Volcanic!G536),Volcanic!G536,"")</f>
        <v>3.9100000000000003E-3</v>
      </c>
    </row>
    <row r="537" spans="1:40">
      <c r="A537" s="18" t="str">
        <f>IF(Volcanic!A537="","",Volcanic!A537)</f>
        <v>10/2002</v>
      </c>
      <c r="B537" s="18">
        <f>IF(ISNUMBER(Volcanic!L537),Volcanic!L537,"")</f>
        <v>2002.7916666666667</v>
      </c>
      <c r="C537" s="18">
        <f>IF(ISNUMBER(Volcanic!J537),Volcanic!J537,"")</f>
        <v>-4.8168237247590007E-2</v>
      </c>
      <c r="D537" s="18">
        <f t="shared" si="234"/>
        <v>2.3201790795401175E-3</v>
      </c>
      <c r="E537" s="18">
        <f>IF(ISNUMBER(Volcanic!C537),Volcanic!C537,"")</f>
        <v>0.40494203764964165</v>
      </c>
      <c r="F537" s="18">
        <f>IF(ISNUMBER(Volcanic!D537),Volcanic!D537,"")</f>
        <v>0.56999999999999995</v>
      </c>
      <c r="G537" s="18">
        <f>IF(ISNUMBER(Volcanic!E537),Volcanic!E537,"")</f>
        <v>4.0400000000000002E-3</v>
      </c>
      <c r="H537" s="18">
        <f t="shared" si="235"/>
        <v>0.1639780538558438</v>
      </c>
      <c r="I537" s="18">
        <f t="shared" si="236"/>
        <v>0.32489999999999997</v>
      </c>
      <c r="J537" s="18">
        <f t="shared" si="237"/>
        <v>1.6321600000000003E-5</v>
      </c>
      <c r="K537" s="18">
        <f t="shared" si="238"/>
        <v>0.23081696146029573</v>
      </c>
      <c r="L537" s="18">
        <f t="shared" si="239"/>
        <v>1.6359658321045524E-3</v>
      </c>
      <c r="M537" s="18">
        <f t="shared" si="240"/>
        <v>2.3027999999999998E-3</v>
      </c>
      <c r="N537" s="18">
        <f t="shared" si="242"/>
        <v>3.7230834464539648E-3</v>
      </c>
      <c r="O537" s="18">
        <f t="shared" si="245"/>
        <v>2.163486303179678E-3</v>
      </c>
      <c r="P537" s="18">
        <f t="shared" si="247"/>
        <v>6.3422924111431833E-4</v>
      </c>
      <c r="Q537" s="18">
        <f t="shared" si="249"/>
        <v>4.4635268035062648E-3</v>
      </c>
      <c r="R537" s="18">
        <f t="shared" si="251"/>
        <v>2.0215264856308793E-3</v>
      </c>
      <c r="S537" s="18">
        <f t="shared" si="253"/>
        <v>1.6893380940461288E-4</v>
      </c>
      <c r="T537" s="18">
        <f t="shared" si="255"/>
        <v>0.11466603903808063</v>
      </c>
      <c r="U537" s="18">
        <f t="shared" si="257"/>
        <v>6.1951434281893453E-2</v>
      </c>
      <c r="V537" s="18">
        <f t="shared" si="258"/>
        <v>5.6936617517484869E-2</v>
      </c>
      <c r="W537" s="18">
        <f t="shared" si="259"/>
        <v>4.5956621254223756E-4</v>
      </c>
      <c r="X537" s="18">
        <f t="shared" si="260"/>
        <v>4.212678698996624E-2</v>
      </c>
      <c r="Y537" s="18">
        <f t="shared" si="261"/>
        <v>5.9559679132976191E-5</v>
      </c>
      <c r="AA537" s="18">
        <f t="shared" si="243"/>
        <v>-7.8847759224420541E-2</v>
      </c>
      <c r="AB537" s="18">
        <f t="shared" si="244"/>
        <v>6.2169691347121947E-3</v>
      </c>
      <c r="AC537" s="18">
        <f t="shared" si="246"/>
        <v>7.1240457266639199E-3</v>
      </c>
      <c r="AD537" s="18">
        <f t="shared" si="248"/>
        <v>3.501777342887074E-3</v>
      </c>
      <c r="AE537" s="18">
        <f t="shared" si="250"/>
        <v>3.4546111812684605E-3</v>
      </c>
      <c r="AF537" s="18">
        <f t="shared" si="252"/>
        <v>7.995277935949948E-3</v>
      </c>
      <c r="AG537" s="18">
        <f t="shared" si="254"/>
        <v>1.4765759107989614E-3</v>
      </c>
      <c r="AH537" s="18">
        <f t="shared" si="256"/>
        <v>2.4731752494250282E-2</v>
      </c>
      <c r="AJ537" s="18">
        <f>IF(ISNUMBER(Kernel!M537),Kernel!M537,"")</f>
        <v>-5.5179366171252964E-2</v>
      </c>
      <c r="AK537" s="18">
        <f t="shared" si="241"/>
        <v>3.0447624510612161E-3</v>
      </c>
      <c r="AN537" s="18">
        <f>IF(ISNUMBER(Volcanic!G537),Volcanic!G537,"")</f>
        <v>4.0899999999999999E-3</v>
      </c>
    </row>
    <row r="538" spans="1:40">
      <c r="A538" s="18" t="str">
        <f>IF(Volcanic!A538="","",Volcanic!A538)</f>
        <v>11/2002</v>
      </c>
      <c r="B538" s="18">
        <f>IF(ISNUMBER(Volcanic!L538),Volcanic!L538,"")</f>
        <v>2002.875</v>
      </c>
      <c r="C538" s="18">
        <f>IF(ISNUMBER(Volcanic!J538),Volcanic!J538,"")</f>
        <v>-2.2134171006198078E-2</v>
      </c>
      <c r="D538" s="18">
        <f t="shared" si="234"/>
        <v>4.8992152613161965E-4</v>
      </c>
      <c r="E538" s="18">
        <f>IF(ISNUMBER(Volcanic!C538),Volcanic!C538,"")</f>
        <v>0.41154246245041559</v>
      </c>
      <c r="F538" s="18">
        <f>IF(ISNUMBER(Volcanic!D538),Volcanic!D538,"")</f>
        <v>0.63</v>
      </c>
      <c r="G538" s="18">
        <f>IF(ISNUMBER(Volcanic!E538),Volcanic!E538,"")</f>
        <v>3.8600000000000001E-3</v>
      </c>
      <c r="H538" s="18">
        <f t="shared" si="235"/>
        <v>0.16936719839975173</v>
      </c>
      <c r="I538" s="18">
        <f t="shared" si="236"/>
        <v>0.39690000000000003</v>
      </c>
      <c r="J538" s="18">
        <f t="shared" si="237"/>
        <v>1.48996E-5</v>
      </c>
      <c r="K538" s="18">
        <f t="shared" si="238"/>
        <v>0.25927175134376185</v>
      </c>
      <c r="L538" s="18">
        <f t="shared" si="239"/>
        <v>1.5885539050586042E-3</v>
      </c>
      <c r="M538" s="18">
        <f t="shared" si="240"/>
        <v>2.4318E-3</v>
      </c>
      <c r="N538" s="18">
        <f t="shared" si="242"/>
        <v>2.3201790795401175E-3</v>
      </c>
      <c r="O538" s="18">
        <f t="shared" si="245"/>
        <v>3.7230834464539648E-3</v>
      </c>
      <c r="P538" s="18">
        <f t="shared" si="247"/>
        <v>2.163486303179678E-3</v>
      </c>
      <c r="Q538" s="18">
        <f t="shared" si="249"/>
        <v>6.3422924111431833E-4</v>
      </c>
      <c r="R538" s="18">
        <f t="shared" si="251"/>
        <v>4.4635268035062648E-3</v>
      </c>
      <c r="S538" s="18">
        <f t="shared" si="253"/>
        <v>2.0215264856308793E-3</v>
      </c>
      <c r="T538" s="18">
        <f t="shared" si="255"/>
        <v>1.6893380940461288E-4</v>
      </c>
      <c r="U538" s="18">
        <f t="shared" si="257"/>
        <v>0.11466603903808063</v>
      </c>
      <c r="V538" s="18">
        <f t="shared" si="258"/>
        <v>6.1951434281893453E-2</v>
      </c>
      <c r="W538" s="18">
        <f t="shared" si="259"/>
        <v>5.6936617517484869E-2</v>
      </c>
      <c r="X538" s="18">
        <f t="shared" si="260"/>
        <v>4.5956621254223756E-4</v>
      </c>
      <c r="Y538" s="18">
        <f t="shared" si="261"/>
        <v>4.212678698996624E-2</v>
      </c>
      <c r="AA538" s="18">
        <f t="shared" si="243"/>
        <v>2.0849265537962736E-3</v>
      </c>
      <c r="AB538" s="18">
        <f t="shared" si="244"/>
        <v>4.3469187347248055E-6</v>
      </c>
      <c r="AC538" s="18">
        <f t="shared" si="246"/>
        <v>6.2169691347121947E-3</v>
      </c>
      <c r="AD538" s="18">
        <f t="shared" si="248"/>
        <v>7.1240457266639199E-3</v>
      </c>
      <c r="AE538" s="18">
        <f t="shared" si="250"/>
        <v>3.501777342887074E-3</v>
      </c>
      <c r="AF538" s="18">
        <f t="shared" si="252"/>
        <v>3.4546111812684605E-3</v>
      </c>
      <c r="AG538" s="18">
        <f t="shared" si="254"/>
        <v>7.995277935949948E-3</v>
      </c>
      <c r="AH538" s="18">
        <f t="shared" si="256"/>
        <v>1.4765759107989614E-3</v>
      </c>
      <c r="AJ538" s="18">
        <f>IF(ISNUMBER(Kernel!M538),Kernel!M538,"")</f>
        <v>-4.0485681320347799E-2</v>
      </c>
      <c r="AK538" s="18">
        <f t="shared" si="241"/>
        <v>1.6390903919727587E-3</v>
      </c>
      <c r="AN538" s="18">
        <f>IF(ISNUMBER(Volcanic!G538),Volcanic!G538,"")</f>
        <v>4.3499999999999997E-3</v>
      </c>
    </row>
    <row r="539" spans="1:40">
      <c r="A539" s="18" t="str">
        <f>IF(Volcanic!A539="","",Volcanic!A539)</f>
        <v>12/2002</v>
      </c>
      <c r="B539" s="18">
        <f>IF(ISNUMBER(Volcanic!L539),Volcanic!L539,"")</f>
        <v>2002.9583333333333</v>
      </c>
      <c r="C539" s="18">
        <f>IF(ISNUMBER(Volcanic!J539),Volcanic!J539,"")</f>
        <v>-0.20230767862795329</v>
      </c>
      <c r="D539" s="18">
        <f t="shared" si="234"/>
        <v>4.0928396831831228E-2</v>
      </c>
      <c r="E539" s="18">
        <f>IF(ISNUMBER(Volcanic!C539),Volcanic!C539,"")</f>
        <v>0.41753429141234943</v>
      </c>
      <c r="F539" s="18">
        <f>IF(ISNUMBER(Volcanic!D539),Volcanic!D539,"")</f>
        <v>0.78</v>
      </c>
      <c r="G539" s="18">
        <f>IF(ISNUMBER(Volcanic!E539),Volcanic!E539,"")</f>
        <v>3.8999999999999998E-3</v>
      </c>
      <c r="H539" s="18">
        <f t="shared" si="235"/>
        <v>0.17433488450521273</v>
      </c>
      <c r="I539" s="18">
        <f t="shared" si="236"/>
        <v>0.60840000000000005</v>
      </c>
      <c r="J539" s="18">
        <f t="shared" si="237"/>
        <v>1.5209999999999998E-5</v>
      </c>
      <c r="K539" s="18">
        <f t="shared" si="238"/>
        <v>0.3256767473016326</v>
      </c>
      <c r="L539" s="18">
        <f t="shared" si="239"/>
        <v>1.6283837365081628E-3</v>
      </c>
      <c r="M539" s="18">
        <f t="shared" si="240"/>
        <v>3.042E-3</v>
      </c>
      <c r="N539" s="18">
        <f t="shared" si="242"/>
        <v>4.8992152613161965E-4</v>
      </c>
      <c r="O539" s="18">
        <f t="shared" si="245"/>
        <v>2.3201790795401175E-3</v>
      </c>
      <c r="P539" s="18">
        <f t="shared" si="247"/>
        <v>3.7230834464539648E-3</v>
      </c>
      <c r="Q539" s="18">
        <f t="shared" si="249"/>
        <v>2.163486303179678E-3</v>
      </c>
      <c r="R539" s="18">
        <f t="shared" si="251"/>
        <v>6.3422924111431833E-4</v>
      </c>
      <c r="S539" s="18">
        <f t="shared" si="253"/>
        <v>4.4635268035062648E-3</v>
      </c>
      <c r="T539" s="18">
        <f t="shared" si="255"/>
        <v>2.0215264856308793E-3</v>
      </c>
      <c r="U539" s="18">
        <f t="shared" si="257"/>
        <v>1.6893380940461288E-4</v>
      </c>
      <c r="V539" s="18">
        <f t="shared" si="258"/>
        <v>0.11466603903808063</v>
      </c>
      <c r="W539" s="18">
        <f t="shared" si="259"/>
        <v>6.1951434281893453E-2</v>
      </c>
      <c r="X539" s="18">
        <f t="shared" si="260"/>
        <v>5.6936617517484869E-2</v>
      </c>
      <c r="Y539" s="18">
        <f t="shared" si="261"/>
        <v>4.5956621254223756E-4</v>
      </c>
      <c r="AA539" s="18">
        <f t="shared" si="243"/>
        <v>-0.19117856787695667</v>
      </c>
      <c r="AB539" s="18">
        <f t="shared" si="244"/>
        <v>3.6549244815484126E-2</v>
      </c>
      <c r="AC539" s="18">
        <f t="shared" si="246"/>
        <v>4.3469187347248055E-6</v>
      </c>
      <c r="AD539" s="18">
        <f t="shared" si="248"/>
        <v>6.2169691347121947E-3</v>
      </c>
      <c r="AE539" s="18">
        <f t="shared" si="250"/>
        <v>7.1240457266639199E-3</v>
      </c>
      <c r="AF539" s="18">
        <f t="shared" si="252"/>
        <v>3.501777342887074E-3</v>
      </c>
      <c r="AG539" s="18">
        <f t="shared" si="254"/>
        <v>3.4546111812684605E-3</v>
      </c>
      <c r="AH539" s="18">
        <f t="shared" si="256"/>
        <v>7.995277935949948E-3</v>
      </c>
      <c r="AJ539" s="18">
        <f>IF(ISNUMBER(Kernel!M539),Kernel!M539,"")</f>
        <v>-0.21904168552308423</v>
      </c>
      <c r="AK539" s="18">
        <f t="shared" si="241"/>
        <v>4.7979259996793727E-2</v>
      </c>
      <c r="AN539" s="18">
        <f>IF(ISNUMBER(Volcanic!G539),Volcanic!G539,"")</f>
        <v>4.4900000000000001E-3</v>
      </c>
    </row>
    <row r="540" spans="1:40">
      <c r="A540" s="18" t="str">
        <f>IF(Volcanic!A540="","",Volcanic!A540)</f>
        <v>1/2003</v>
      </c>
      <c r="B540" s="18">
        <f>IF(ISNUMBER(Volcanic!L540),Volcanic!L540,"")</f>
        <v>2003.0416666666667</v>
      </c>
      <c r="C540" s="18">
        <f>IF(ISNUMBER(Volcanic!J540),Volcanic!J540,"")</f>
        <v>7.6951606844259057E-2</v>
      </c>
      <c r="D540" s="18">
        <f t="shared" si="234"/>
        <v>5.9215497959134175E-3</v>
      </c>
      <c r="E540" s="18">
        <f>IF(ISNUMBER(Volcanic!C540),Volcanic!C540,"")</f>
        <v>0.42173304638074988</v>
      </c>
      <c r="F540" s="18">
        <f>IF(ISNUMBER(Volcanic!D540),Volcanic!D540,"")</f>
        <v>0.99</v>
      </c>
      <c r="G540" s="18">
        <f>IF(ISNUMBER(Volcanic!E540),Volcanic!E540,"")</f>
        <v>3.9899999999999996E-3</v>
      </c>
      <c r="H540" s="18">
        <f t="shared" si="235"/>
        <v>0.17785876240958773</v>
      </c>
      <c r="I540" s="18">
        <f t="shared" si="236"/>
        <v>0.98009999999999997</v>
      </c>
      <c r="J540" s="18">
        <f t="shared" si="237"/>
        <v>1.5920099999999997E-5</v>
      </c>
      <c r="K540" s="18">
        <f t="shared" si="238"/>
        <v>0.41751571591694236</v>
      </c>
      <c r="L540" s="18">
        <f t="shared" si="239"/>
        <v>1.6827148550591919E-3</v>
      </c>
      <c r="M540" s="18">
        <f t="shared" si="240"/>
        <v>3.9500999999999998E-3</v>
      </c>
      <c r="N540" s="18">
        <f t="shared" si="242"/>
        <v>4.0928396831831228E-2</v>
      </c>
      <c r="O540" s="18">
        <f t="shared" si="245"/>
        <v>4.8992152613161965E-4</v>
      </c>
      <c r="P540" s="18">
        <f t="shared" si="247"/>
        <v>2.3201790795401175E-3</v>
      </c>
      <c r="Q540" s="18">
        <f t="shared" si="249"/>
        <v>3.7230834464539648E-3</v>
      </c>
      <c r="R540" s="18">
        <f t="shared" si="251"/>
        <v>2.163486303179678E-3</v>
      </c>
      <c r="S540" s="18">
        <f t="shared" si="253"/>
        <v>6.3422924111431833E-4</v>
      </c>
      <c r="T540" s="18">
        <f t="shared" si="255"/>
        <v>4.4635268035062648E-3</v>
      </c>
      <c r="U540" s="18">
        <f t="shared" si="257"/>
        <v>2.0215264856308793E-3</v>
      </c>
      <c r="V540" s="18">
        <f t="shared" si="258"/>
        <v>1.6893380940461288E-4</v>
      </c>
      <c r="W540" s="18">
        <f t="shared" si="259"/>
        <v>0.11466603903808063</v>
      </c>
      <c r="X540" s="18">
        <f t="shared" si="260"/>
        <v>6.1951434281893453E-2</v>
      </c>
      <c r="Y540" s="18">
        <f t="shared" si="261"/>
        <v>5.6936617517484869E-2</v>
      </c>
      <c r="AA540" s="18">
        <f t="shared" si="243"/>
        <v>0.17867236072282311</v>
      </c>
      <c r="AB540" s="18">
        <f t="shared" si="244"/>
        <v>3.192381248626662E-2</v>
      </c>
      <c r="AC540" s="18">
        <f t="shared" si="246"/>
        <v>3.6549244815484126E-2</v>
      </c>
      <c r="AD540" s="18">
        <f t="shared" si="248"/>
        <v>4.3469187347248055E-6</v>
      </c>
      <c r="AE540" s="18">
        <f t="shared" si="250"/>
        <v>6.2169691347121947E-3</v>
      </c>
      <c r="AF540" s="18">
        <f t="shared" si="252"/>
        <v>7.1240457266639199E-3</v>
      </c>
      <c r="AG540" s="18">
        <f t="shared" si="254"/>
        <v>3.501777342887074E-3</v>
      </c>
      <c r="AH540" s="18">
        <f t="shared" si="256"/>
        <v>3.4546111812684605E-3</v>
      </c>
      <c r="AJ540" s="18">
        <f>IF(ISNUMBER(Kernel!M540),Kernel!M540,"")</f>
        <v>7.3139881723419453E-2</v>
      </c>
      <c r="AK540" s="18">
        <f t="shared" si="241"/>
        <v>5.349442298515787E-3</v>
      </c>
      <c r="AN540" s="18">
        <f>IF(ISNUMBER(Volcanic!G540),Volcanic!G540,"")</f>
        <v>4.81E-3</v>
      </c>
    </row>
    <row r="541" spans="1:40">
      <c r="A541" s="18" t="str">
        <f>IF(Volcanic!A541="","",Volcanic!A541)</f>
        <v>2/2003</v>
      </c>
      <c r="B541" s="18">
        <f>IF(ISNUMBER(Volcanic!L541),Volcanic!L541,"")</f>
        <v>2003.125</v>
      </c>
      <c r="C541" s="18">
        <f>IF(ISNUMBER(Volcanic!J541),Volcanic!J541,"")</f>
        <v>-0.11940174826829975</v>
      </c>
      <c r="D541" s="18">
        <f t="shared" si="234"/>
        <v>1.4256777489526421E-2</v>
      </c>
      <c r="E541" s="18">
        <f>IF(ISNUMBER(Volcanic!C541),Volcanic!C541,"")</f>
        <v>0.42461501748300506</v>
      </c>
      <c r="F541" s="18">
        <f>IF(ISNUMBER(Volcanic!D541),Volcanic!D541,"")</f>
        <v>1.19</v>
      </c>
      <c r="G541" s="18">
        <f>IF(ISNUMBER(Volcanic!E541),Volcanic!E541,"")</f>
        <v>4.0200000000000001E-3</v>
      </c>
      <c r="H541" s="18">
        <f t="shared" si="235"/>
        <v>0.1802979130720927</v>
      </c>
      <c r="I541" s="18">
        <f t="shared" si="236"/>
        <v>1.4160999999999999</v>
      </c>
      <c r="J541" s="18">
        <f t="shared" si="237"/>
        <v>1.6160400000000002E-5</v>
      </c>
      <c r="K541" s="18">
        <f t="shared" si="238"/>
        <v>0.505291870804776</v>
      </c>
      <c r="L541" s="18">
        <f t="shared" si="239"/>
        <v>1.7069523702816804E-3</v>
      </c>
      <c r="M541" s="18">
        <f t="shared" si="240"/>
        <v>4.7838000000000004E-3</v>
      </c>
      <c r="N541" s="18">
        <f t="shared" si="242"/>
        <v>5.9215497959134175E-3</v>
      </c>
      <c r="O541" s="18">
        <f t="shared" si="245"/>
        <v>4.0928396831831228E-2</v>
      </c>
      <c r="P541" s="18">
        <f t="shared" si="247"/>
        <v>4.8992152613161965E-4</v>
      </c>
      <c r="Q541" s="18">
        <f t="shared" si="249"/>
        <v>2.3201790795401175E-3</v>
      </c>
      <c r="R541" s="18">
        <f t="shared" si="251"/>
        <v>3.7230834464539648E-3</v>
      </c>
      <c r="S541" s="18">
        <f t="shared" si="253"/>
        <v>2.163486303179678E-3</v>
      </c>
      <c r="T541" s="18">
        <f t="shared" si="255"/>
        <v>6.3422924111431833E-4</v>
      </c>
      <c r="U541" s="18">
        <f t="shared" si="257"/>
        <v>4.4635268035062648E-3</v>
      </c>
      <c r="V541" s="18">
        <f t="shared" si="258"/>
        <v>2.0215264856308793E-3</v>
      </c>
      <c r="W541" s="18">
        <f t="shared" si="259"/>
        <v>1.6893380940461288E-4</v>
      </c>
      <c r="X541" s="18">
        <f t="shared" si="260"/>
        <v>0.11466603903808063</v>
      </c>
      <c r="Y541" s="18">
        <f t="shared" si="261"/>
        <v>6.1951434281893453E-2</v>
      </c>
      <c r="AA541" s="18">
        <f t="shared" si="243"/>
        <v>-0.15809318852134088</v>
      </c>
      <c r="AB541" s="18">
        <f t="shared" si="244"/>
        <v>2.4993456256844227E-2</v>
      </c>
      <c r="AC541" s="18">
        <f t="shared" si="246"/>
        <v>3.192381248626662E-2</v>
      </c>
      <c r="AD541" s="18">
        <f t="shared" si="248"/>
        <v>3.6549244815484126E-2</v>
      </c>
      <c r="AE541" s="18">
        <f t="shared" si="250"/>
        <v>4.3469187347248055E-6</v>
      </c>
      <c r="AF541" s="18">
        <f t="shared" si="252"/>
        <v>6.2169691347121947E-3</v>
      </c>
      <c r="AG541" s="18">
        <f t="shared" si="254"/>
        <v>7.1240457266639199E-3</v>
      </c>
      <c r="AH541" s="18">
        <f t="shared" si="256"/>
        <v>3.501777342887074E-3</v>
      </c>
      <c r="AJ541" s="18">
        <f>IF(ISNUMBER(Kernel!M541),Kernel!M541,"")</f>
        <v>-0.10336492046398571</v>
      </c>
      <c r="AK541" s="18">
        <f t="shared" si="241"/>
        <v>1.0684306782526092E-2</v>
      </c>
      <c r="AN541" s="18">
        <f>IF(ISNUMBER(Volcanic!G541),Volcanic!G541,"")</f>
        <v>4.9300000000000004E-3</v>
      </c>
    </row>
    <row r="542" spans="1:40">
      <c r="A542" s="18" t="str">
        <f>IF(Volcanic!A542="","",Volcanic!A542)</f>
        <v>3/2003</v>
      </c>
      <c r="B542" s="18">
        <f>IF(ISNUMBER(Volcanic!L542),Volcanic!L542,"")</f>
        <v>2003.2083333333333</v>
      </c>
      <c r="C542" s="18">
        <f>IF(ISNUMBER(Volcanic!J542),Volcanic!J542,"")</f>
        <v>-9.781436927024556E-2</v>
      </c>
      <c r="D542" s="18">
        <f t="shared" si="234"/>
        <v>9.5676508357359583E-3</v>
      </c>
      <c r="E542" s="18">
        <f>IF(ISNUMBER(Volcanic!C542),Volcanic!C542,"")</f>
        <v>0.42775939831875309</v>
      </c>
      <c r="F542" s="18">
        <f>IF(ISNUMBER(Volcanic!D542),Volcanic!D542,"")</f>
        <v>1.08</v>
      </c>
      <c r="G542" s="18">
        <f>IF(ISNUMBER(Volcanic!E542),Volcanic!E542,"")</f>
        <v>4.0000000000000001E-3</v>
      </c>
      <c r="H542" s="18">
        <f t="shared" si="235"/>
        <v>0.18297810285002167</v>
      </c>
      <c r="I542" s="18">
        <f t="shared" si="236"/>
        <v>1.1664000000000001</v>
      </c>
      <c r="J542" s="18">
        <f t="shared" si="237"/>
        <v>1.5999999999999999E-5</v>
      </c>
      <c r="K542" s="18">
        <f t="shared" si="238"/>
        <v>0.46198015018425337</v>
      </c>
      <c r="L542" s="18">
        <f t="shared" si="239"/>
        <v>1.7110375932750123E-3</v>
      </c>
      <c r="M542" s="18">
        <f t="shared" si="240"/>
        <v>4.3200000000000001E-3</v>
      </c>
      <c r="N542" s="18">
        <f t="shared" si="242"/>
        <v>1.4256777489526421E-2</v>
      </c>
      <c r="O542" s="18">
        <f t="shared" si="245"/>
        <v>5.9215497959134175E-3</v>
      </c>
      <c r="P542" s="18">
        <f t="shared" si="247"/>
        <v>4.0928396831831228E-2</v>
      </c>
      <c r="Q542" s="18">
        <f t="shared" si="249"/>
        <v>4.8992152613161965E-4</v>
      </c>
      <c r="R542" s="18">
        <f t="shared" si="251"/>
        <v>2.3201790795401175E-3</v>
      </c>
      <c r="S542" s="18">
        <f t="shared" si="253"/>
        <v>3.7230834464539648E-3</v>
      </c>
      <c r="T542" s="18">
        <f t="shared" si="255"/>
        <v>2.163486303179678E-3</v>
      </c>
      <c r="U542" s="18">
        <f t="shared" si="257"/>
        <v>6.3422924111431833E-4</v>
      </c>
      <c r="V542" s="18">
        <f t="shared" si="258"/>
        <v>4.4635268035062648E-3</v>
      </c>
      <c r="W542" s="18">
        <f t="shared" si="259"/>
        <v>2.0215264856308793E-3</v>
      </c>
      <c r="X542" s="18">
        <f t="shared" si="260"/>
        <v>1.6893380940461288E-4</v>
      </c>
      <c r="Y542" s="18">
        <f t="shared" si="261"/>
        <v>0.11466603903808063</v>
      </c>
      <c r="AA542" s="18">
        <f t="shared" si="243"/>
        <v>-3.7778902842864039E-2</v>
      </c>
      <c r="AB542" s="18">
        <f t="shared" si="244"/>
        <v>1.4272455000105605E-3</v>
      </c>
      <c r="AC542" s="18">
        <f t="shared" si="246"/>
        <v>2.4993456256844227E-2</v>
      </c>
      <c r="AD542" s="18">
        <f t="shared" si="248"/>
        <v>3.192381248626662E-2</v>
      </c>
      <c r="AE542" s="18">
        <f t="shared" si="250"/>
        <v>3.6549244815484126E-2</v>
      </c>
      <c r="AF542" s="18">
        <f t="shared" si="252"/>
        <v>4.3469187347248055E-6</v>
      </c>
      <c r="AG542" s="18">
        <f t="shared" si="254"/>
        <v>6.2169691347121947E-3</v>
      </c>
      <c r="AH542" s="18">
        <f t="shared" si="256"/>
        <v>7.1240457266639199E-3</v>
      </c>
      <c r="AJ542" s="18">
        <f>IF(ISNUMBER(Kernel!M542),Kernel!M542,"")</f>
        <v>-8.6184435490860301E-2</v>
      </c>
      <c r="AK542" s="18">
        <f t="shared" si="241"/>
        <v>7.4277569208782606E-3</v>
      </c>
      <c r="AN542" s="18">
        <f>IF(ISNUMBER(Volcanic!G542),Volcanic!G542,"")</f>
        <v>5.0400000000000002E-3</v>
      </c>
    </row>
    <row r="543" spans="1:40">
      <c r="A543" s="18" t="str">
        <f>IF(Volcanic!A543="","",Volcanic!A543)</f>
        <v>4/2003</v>
      </c>
      <c r="B543" s="18">
        <f>IF(ISNUMBER(Volcanic!L543),Volcanic!L543,"")</f>
        <v>2003.2916666666667</v>
      </c>
      <c r="C543" s="18">
        <f>IF(ISNUMBER(Volcanic!J543),Volcanic!J543,"")</f>
        <v>-0.14465907787031507</v>
      </c>
      <c r="D543" s="18">
        <f t="shared" si="234"/>
        <v>2.0926248810289878E-2</v>
      </c>
      <c r="E543" s="18">
        <f>IF(ISNUMBER(Volcanic!C543),Volcanic!C543,"")</f>
        <v>0.43265404267746627</v>
      </c>
      <c r="F543" s="18">
        <f>IF(ISNUMBER(Volcanic!D543),Volcanic!D543,"")</f>
        <v>0.9</v>
      </c>
      <c r="G543" s="18">
        <f>IF(ISNUMBER(Volcanic!E543),Volcanic!E543,"")</f>
        <v>3.9100000000000003E-3</v>
      </c>
      <c r="H543" s="18">
        <f t="shared" si="235"/>
        <v>0.18718952064515479</v>
      </c>
      <c r="I543" s="18">
        <f t="shared" si="236"/>
        <v>0.81</v>
      </c>
      <c r="J543" s="18">
        <f t="shared" si="237"/>
        <v>1.5288100000000004E-5</v>
      </c>
      <c r="K543" s="18">
        <f t="shared" si="238"/>
        <v>0.38938863840971966</v>
      </c>
      <c r="L543" s="18">
        <f t="shared" si="239"/>
        <v>1.6916773068688933E-3</v>
      </c>
      <c r="M543" s="18">
        <f t="shared" si="240"/>
        <v>3.5190000000000004E-3</v>
      </c>
      <c r="N543" s="18">
        <f t="shared" si="242"/>
        <v>9.5676508357359583E-3</v>
      </c>
      <c r="O543" s="18">
        <f t="shared" si="245"/>
        <v>1.4256777489526421E-2</v>
      </c>
      <c r="P543" s="18">
        <f t="shared" si="247"/>
        <v>5.9215497959134175E-3</v>
      </c>
      <c r="Q543" s="18">
        <f t="shared" si="249"/>
        <v>4.0928396831831228E-2</v>
      </c>
      <c r="R543" s="18">
        <f t="shared" si="251"/>
        <v>4.8992152613161965E-4</v>
      </c>
      <c r="S543" s="18">
        <f t="shared" si="253"/>
        <v>2.3201790795401175E-3</v>
      </c>
      <c r="T543" s="18">
        <f t="shared" si="255"/>
        <v>3.7230834464539648E-3</v>
      </c>
      <c r="U543" s="18">
        <f t="shared" si="257"/>
        <v>2.163486303179678E-3</v>
      </c>
      <c r="V543" s="18">
        <f t="shared" si="258"/>
        <v>6.3422924111431833E-4</v>
      </c>
      <c r="W543" s="18">
        <f t="shared" si="259"/>
        <v>4.4635268035062648E-3</v>
      </c>
      <c r="X543" s="18">
        <f t="shared" si="260"/>
        <v>2.0215264856308793E-3</v>
      </c>
      <c r="Y543" s="18">
        <f t="shared" si="261"/>
        <v>1.6893380940461288E-4</v>
      </c>
      <c r="AA543" s="18">
        <f t="shared" si="243"/>
        <v>-9.5477793947704476E-2</v>
      </c>
      <c r="AB543" s="18">
        <f t="shared" si="244"/>
        <v>9.1160091371203129E-3</v>
      </c>
      <c r="AC543" s="18">
        <f t="shared" si="246"/>
        <v>1.4272455000105605E-3</v>
      </c>
      <c r="AD543" s="18">
        <f t="shared" si="248"/>
        <v>2.4993456256844227E-2</v>
      </c>
      <c r="AE543" s="18">
        <f t="shared" si="250"/>
        <v>3.192381248626662E-2</v>
      </c>
      <c r="AF543" s="18">
        <f t="shared" si="252"/>
        <v>3.6549244815484126E-2</v>
      </c>
      <c r="AG543" s="18">
        <f t="shared" si="254"/>
        <v>4.3469187347248055E-6</v>
      </c>
      <c r="AH543" s="18">
        <f t="shared" si="256"/>
        <v>6.2169691347121947E-3</v>
      </c>
      <c r="AJ543" s="18">
        <f>IF(ISNUMBER(Kernel!M543),Kernel!M543,"")</f>
        <v>-0.13623263872997804</v>
      </c>
      <c r="AK543" s="18">
        <f t="shared" si="241"/>
        <v>1.8559331855332713E-2</v>
      </c>
      <c r="AN543" s="18">
        <f>IF(ISNUMBER(Volcanic!G543),Volcanic!G543,"")</f>
        <v>4.7200000000000002E-3</v>
      </c>
    </row>
    <row r="544" spans="1:40">
      <c r="A544" s="18" t="str">
        <f>IF(Volcanic!A544="","",Volcanic!A544)</f>
        <v>5/2003</v>
      </c>
      <c r="B544" s="18">
        <f>IF(ISNUMBER(Volcanic!L544),Volcanic!L544,"")</f>
        <v>2003.375</v>
      </c>
      <c r="C544" s="18">
        <f>IF(ISNUMBER(Volcanic!J544),Volcanic!J544,"")</f>
        <v>-7.4440572112299819E-2</v>
      </c>
      <c r="D544" s="18">
        <f t="shared" si="234"/>
        <v>5.5413987764065097E-3</v>
      </c>
      <c r="E544" s="18">
        <f>IF(ISNUMBER(Volcanic!C544),Volcanic!C544,"")</f>
        <v>0.43593332976445326</v>
      </c>
      <c r="F544" s="18">
        <f>IF(ISNUMBER(Volcanic!D544),Volcanic!D544,"")</f>
        <v>0.59</v>
      </c>
      <c r="G544" s="18">
        <f>IF(ISNUMBER(Volcanic!E544),Volcanic!E544,"")</f>
        <v>4.0899999999999999E-3</v>
      </c>
      <c r="H544" s="18">
        <f t="shared" si="235"/>
        <v>0.19003786799952355</v>
      </c>
      <c r="I544" s="18">
        <f t="shared" si="236"/>
        <v>0.34809999999999997</v>
      </c>
      <c r="J544" s="18">
        <f t="shared" si="237"/>
        <v>1.67281E-5</v>
      </c>
      <c r="K544" s="18">
        <f t="shared" si="238"/>
        <v>0.25720066456102741</v>
      </c>
      <c r="L544" s="18">
        <f t="shared" si="239"/>
        <v>1.7829673187366138E-3</v>
      </c>
      <c r="M544" s="18">
        <f t="shared" si="240"/>
        <v>2.4130999999999996E-3</v>
      </c>
      <c r="N544" s="18">
        <f t="shared" si="242"/>
        <v>2.0926248810289878E-2</v>
      </c>
      <c r="O544" s="18">
        <f t="shared" si="245"/>
        <v>9.5676508357359583E-3</v>
      </c>
      <c r="P544" s="18">
        <f t="shared" si="247"/>
        <v>1.4256777489526421E-2</v>
      </c>
      <c r="Q544" s="18">
        <f t="shared" si="249"/>
        <v>5.9215497959134175E-3</v>
      </c>
      <c r="R544" s="18">
        <f t="shared" si="251"/>
        <v>4.0928396831831228E-2</v>
      </c>
      <c r="S544" s="18">
        <f t="shared" si="253"/>
        <v>4.8992152613161965E-4</v>
      </c>
      <c r="T544" s="18">
        <f t="shared" si="255"/>
        <v>2.3201790795401175E-3</v>
      </c>
      <c r="U544" s="18">
        <f t="shared" si="257"/>
        <v>3.7230834464539648E-3</v>
      </c>
      <c r="V544" s="18">
        <f t="shared" si="258"/>
        <v>2.163486303179678E-3</v>
      </c>
      <c r="W544" s="18">
        <f t="shared" si="259"/>
        <v>6.3422924111431833E-4</v>
      </c>
      <c r="X544" s="18">
        <f t="shared" si="260"/>
        <v>4.4635268035062648E-3</v>
      </c>
      <c r="Y544" s="18">
        <f t="shared" si="261"/>
        <v>2.0215264856308793E-3</v>
      </c>
      <c r="AA544" s="18">
        <f t="shared" si="243"/>
        <v>-1.7056637976869404E-3</v>
      </c>
      <c r="AB544" s="18">
        <f t="shared" si="244"/>
        <v>2.9092889907398362E-6</v>
      </c>
      <c r="AC544" s="18">
        <f t="shared" si="246"/>
        <v>9.1160091371203129E-3</v>
      </c>
      <c r="AD544" s="18">
        <f t="shared" si="248"/>
        <v>1.4272455000105605E-3</v>
      </c>
      <c r="AE544" s="18">
        <f t="shared" si="250"/>
        <v>2.4993456256844227E-2</v>
      </c>
      <c r="AF544" s="18">
        <f t="shared" si="252"/>
        <v>3.192381248626662E-2</v>
      </c>
      <c r="AG544" s="18">
        <f t="shared" si="254"/>
        <v>3.6549244815484126E-2</v>
      </c>
      <c r="AH544" s="18">
        <f t="shared" si="256"/>
        <v>4.3469187347248055E-6</v>
      </c>
      <c r="AJ544" s="18">
        <f>IF(ISNUMBER(Kernel!M544),Kernel!M544,"")</f>
        <v>-8.0282583178448719E-2</v>
      </c>
      <c r="AK544" s="18">
        <f t="shared" si="241"/>
        <v>6.4452931618045372E-3</v>
      </c>
      <c r="AN544" s="18">
        <f>IF(ISNUMBER(Volcanic!G544),Volcanic!G544,"")</f>
        <v>4.5900000000000003E-3</v>
      </c>
    </row>
    <row r="545" spans="1:40">
      <c r="A545" s="18" t="str">
        <f>IF(Volcanic!A545="","",Volcanic!A545)</f>
        <v>6/2003</v>
      </c>
      <c r="B545" s="18">
        <f>IF(ISNUMBER(Volcanic!L545),Volcanic!L545,"")</f>
        <v>2003.4583333333333</v>
      </c>
      <c r="C545" s="18">
        <f>IF(ISNUMBER(Volcanic!J545),Volcanic!J545,"")</f>
        <v>-0.17105589710862001</v>
      </c>
      <c r="D545" s="18">
        <f t="shared" si="234"/>
        <v>2.9260119935634796E-2</v>
      </c>
      <c r="E545" s="18">
        <f>IF(ISNUMBER(Volcanic!C545),Volcanic!C545,"")</f>
        <v>0.43471400051463627</v>
      </c>
      <c r="F545" s="18">
        <f>IF(ISNUMBER(Volcanic!D545),Volcanic!D545,"")</f>
        <v>0.38</v>
      </c>
      <c r="G545" s="18">
        <f>IF(ISNUMBER(Volcanic!E545),Volcanic!E545,"")</f>
        <v>4.3499999999999997E-3</v>
      </c>
      <c r="H545" s="18">
        <f t="shared" si="235"/>
        <v>0.18897626224343919</v>
      </c>
      <c r="I545" s="18">
        <f t="shared" si="236"/>
        <v>0.1444</v>
      </c>
      <c r="J545" s="18">
        <f t="shared" si="237"/>
        <v>1.8922499999999997E-5</v>
      </c>
      <c r="K545" s="18">
        <f t="shared" si="238"/>
        <v>0.16519132019556179</v>
      </c>
      <c r="L545" s="18">
        <f t="shared" si="239"/>
        <v>1.8910059022386675E-3</v>
      </c>
      <c r="M545" s="18">
        <f t="shared" si="240"/>
        <v>1.653E-3</v>
      </c>
      <c r="N545" s="18">
        <f t="shared" si="242"/>
        <v>5.5413987764065097E-3</v>
      </c>
      <c r="O545" s="18">
        <f t="shared" si="245"/>
        <v>2.0926248810289878E-2</v>
      </c>
      <c r="P545" s="18">
        <f t="shared" si="247"/>
        <v>9.5676508357359583E-3</v>
      </c>
      <c r="Q545" s="18">
        <f t="shared" si="249"/>
        <v>1.4256777489526421E-2</v>
      </c>
      <c r="R545" s="18">
        <f t="shared" si="251"/>
        <v>5.9215497959134175E-3</v>
      </c>
      <c r="S545" s="18">
        <f t="shared" si="253"/>
        <v>4.0928396831831228E-2</v>
      </c>
      <c r="T545" s="18">
        <f t="shared" si="255"/>
        <v>4.8992152613161965E-4</v>
      </c>
      <c r="U545" s="18">
        <f t="shared" si="257"/>
        <v>2.3201790795401175E-3</v>
      </c>
      <c r="V545" s="18">
        <f t="shared" si="258"/>
        <v>3.7230834464539648E-3</v>
      </c>
      <c r="W545" s="18">
        <f t="shared" si="259"/>
        <v>2.163486303179678E-3</v>
      </c>
      <c r="X545" s="18">
        <f t="shared" si="260"/>
        <v>6.3422924111431833E-4</v>
      </c>
      <c r="Y545" s="18">
        <f t="shared" si="261"/>
        <v>4.4635268035062648E-3</v>
      </c>
      <c r="AA545" s="18">
        <f t="shared" si="243"/>
        <v>-0.13362701074222538</v>
      </c>
      <c r="AB545" s="18">
        <f t="shared" si="244"/>
        <v>1.7856177999902818E-2</v>
      </c>
      <c r="AC545" s="18">
        <f t="shared" si="246"/>
        <v>2.9092889907398362E-6</v>
      </c>
      <c r="AD545" s="18">
        <f t="shared" si="248"/>
        <v>9.1160091371203129E-3</v>
      </c>
      <c r="AE545" s="18">
        <f t="shared" si="250"/>
        <v>1.4272455000105605E-3</v>
      </c>
      <c r="AF545" s="18">
        <f t="shared" si="252"/>
        <v>2.4993456256844227E-2</v>
      </c>
      <c r="AG545" s="18">
        <f t="shared" si="254"/>
        <v>3.192381248626662E-2</v>
      </c>
      <c r="AH545" s="18">
        <f t="shared" si="256"/>
        <v>3.6549244815484126E-2</v>
      </c>
      <c r="AJ545" s="18">
        <f>IF(ISNUMBER(Kernel!M545),Kernel!M545,"")</f>
        <v>-0.18548109758777642</v>
      </c>
      <c r="AK545" s="18">
        <f t="shared" si="241"/>
        <v>3.440323756236624E-2</v>
      </c>
      <c r="AN545" s="18">
        <f>IF(ISNUMBER(Volcanic!G545),Volcanic!G545,"")</f>
        <v>4.7400000000000003E-3</v>
      </c>
    </row>
    <row r="546" spans="1:40">
      <c r="A546" s="18" t="str">
        <f>IF(Volcanic!A546="","",Volcanic!A546)</f>
        <v>7/2003</v>
      </c>
      <c r="B546" s="18">
        <f>IF(ISNUMBER(Volcanic!L546),Volcanic!L546,"")</f>
        <v>2003.5416666666667</v>
      </c>
      <c r="C546" s="18">
        <f>IF(ISNUMBER(Volcanic!J546),Volcanic!J546,"")</f>
        <v>-1.809616581622886E-2</v>
      </c>
      <c r="D546" s="18">
        <f t="shared" si="234"/>
        <v>3.2747121724844988E-4</v>
      </c>
      <c r="E546" s="18">
        <f>IF(ISNUMBER(Volcanic!C546),Volcanic!C546,"")</f>
        <v>0.42867840994823009</v>
      </c>
      <c r="F546" s="18">
        <f>IF(ISNUMBER(Volcanic!D546),Volcanic!D546,"")</f>
        <v>-0.01</v>
      </c>
      <c r="G546" s="18">
        <f>IF(ISNUMBER(Volcanic!E546),Volcanic!E546,"")</f>
        <v>4.4900000000000001E-3</v>
      </c>
      <c r="H546" s="18">
        <f t="shared" si="235"/>
        <v>0.18376517915574281</v>
      </c>
      <c r="I546" s="18">
        <f t="shared" si="236"/>
        <v>1E-4</v>
      </c>
      <c r="J546" s="18">
        <f t="shared" si="237"/>
        <v>2.01601E-5</v>
      </c>
      <c r="K546" s="18">
        <f t="shared" si="238"/>
        <v>-4.2867840994823009E-3</v>
      </c>
      <c r="L546" s="18">
        <f t="shared" si="239"/>
        <v>1.9247660606675531E-3</v>
      </c>
      <c r="M546" s="18">
        <f t="shared" si="240"/>
        <v>-4.49E-5</v>
      </c>
      <c r="N546" s="18">
        <f t="shared" si="242"/>
        <v>2.9260119935634796E-2</v>
      </c>
      <c r="O546" s="18">
        <f t="shared" si="245"/>
        <v>5.5413987764065097E-3</v>
      </c>
      <c r="P546" s="18">
        <f t="shared" si="247"/>
        <v>2.0926248810289878E-2</v>
      </c>
      <c r="Q546" s="18">
        <f t="shared" si="249"/>
        <v>9.5676508357359583E-3</v>
      </c>
      <c r="R546" s="18">
        <f t="shared" si="251"/>
        <v>1.4256777489526421E-2</v>
      </c>
      <c r="S546" s="18">
        <f t="shared" si="253"/>
        <v>5.9215497959134175E-3</v>
      </c>
      <c r="T546" s="18">
        <f t="shared" si="255"/>
        <v>4.0928396831831228E-2</v>
      </c>
      <c r="U546" s="18">
        <f t="shared" si="257"/>
        <v>4.8992152613161965E-4</v>
      </c>
      <c r="V546" s="18">
        <f t="shared" si="258"/>
        <v>2.3201790795401175E-3</v>
      </c>
      <c r="W546" s="18">
        <f t="shared" si="259"/>
        <v>3.7230834464539648E-3</v>
      </c>
      <c r="X546" s="18">
        <f t="shared" si="260"/>
        <v>2.163486303179678E-3</v>
      </c>
      <c r="Y546" s="18">
        <f t="shared" si="261"/>
        <v>6.3422924111431833E-4</v>
      </c>
      <c r="AA546" s="18">
        <f t="shared" si="243"/>
        <v>6.7911122326608467E-2</v>
      </c>
      <c r="AB546" s="18">
        <f t="shared" si="244"/>
        <v>4.6119205356595786E-3</v>
      </c>
      <c r="AC546" s="18">
        <f t="shared" si="246"/>
        <v>1.7856177999902818E-2</v>
      </c>
      <c r="AD546" s="18">
        <f t="shared" si="248"/>
        <v>2.9092889907398362E-6</v>
      </c>
      <c r="AE546" s="18">
        <f t="shared" si="250"/>
        <v>9.1160091371203129E-3</v>
      </c>
      <c r="AF546" s="18">
        <f t="shared" si="252"/>
        <v>1.4272455000105605E-3</v>
      </c>
      <c r="AG546" s="18">
        <f t="shared" si="254"/>
        <v>2.4993456256844227E-2</v>
      </c>
      <c r="AH546" s="18">
        <f t="shared" si="256"/>
        <v>3.192381248626662E-2</v>
      </c>
      <c r="AJ546" s="18">
        <f>IF(ISNUMBER(Kernel!M546),Kernel!M546,"")</f>
        <v>-6.415437326863993E-2</v>
      </c>
      <c r="AK546" s="18">
        <f t="shared" si="241"/>
        <v>4.1157836094919817E-3</v>
      </c>
      <c r="AN546" s="18">
        <f>IF(ISNUMBER(Volcanic!G546),Volcanic!G546,"")</f>
        <v>4.8399999999999997E-3</v>
      </c>
    </row>
    <row r="547" spans="1:40">
      <c r="A547" s="18" t="str">
        <f>IF(Volcanic!A547="","",Volcanic!A547)</f>
        <v>8/2003</v>
      </c>
      <c r="B547" s="18">
        <f>IF(ISNUMBER(Volcanic!L547),Volcanic!L547,"")</f>
        <v>2003.625</v>
      </c>
      <c r="C547" s="18">
        <f>IF(ISNUMBER(Volcanic!J547),Volcanic!J547,"")</f>
        <v>8.257504256400261E-2</v>
      </c>
      <c r="D547" s="18">
        <f t="shared" si="234"/>
        <v>6.8186376544468429E-3</v>
      </c>
      <c r="E547" s="18">
        <f>IF(ISNUMBER(Volcanic!C547),Volcanic!C547,"")</f>
        <v>0.41980852893927539</v>
      </c>
      <c r="F547" s="18">
        <f>IF(ISNUMBER(Volcanic!D547),Volcanic!D547,"")</f>
        <v>-0.18</v>
      </c>
      <c r="G547" s="18">
        <f>IF(ISNUMBER(Volcanic!E547),Volcanic!E547,"")</f>
        <v>4.81E-3</v>
      </c>
      <c r="H547" s="18">
        <f t="shared" si="235"/>
        <v>0.17623920097015844</v>
      </c>
      <c r="I547" s="18">
        <f t="shared" si="236"/>
        <v>3.2399999999999998E-2</v>
      </c>
      <c r="J547" s="18">
        <f t="shared" si="237"/>
        <v>2.31361E-5</v>
      </c>
      <c r="K547" s="18">
        <f t="shared" si="238"/>
        <v>-7.556553520906957E-2</v>
      </c>
      <c r="L547" s="18">
        <f t="shared" si="239"/>
        <v>2.0192790241979146E-3</v>
      </c>
      <c r="M547" s="18">
        <f t="shared" si="240"/>
        <v>-8.6580000000000001E-4</v>
      </c>
      <c r="N547" s="18">
        <f t="shared" si="242"/>
        <v>3.2747121724844988E-4</v>
      </c>
      <c r="O547" s="18">
        <f t="shared" si="245"/>
        <v>2.9260119935634796E-2</v>
      </c>
      <c r="P547" s="18">
        <f t="shared" si="247"/>
        <v>5.5413987764065097E-3</v>
      </c>
      <c r="Q547" s="18">
        <f t="shared" si="249"/>
        <v>2.0926248810289878E-2</v>
      </c>
      <c r="R547" s="18">
        <f t="shared" si="251"/>
        <v>9.5676508357359583E-3</v>
      </c>
      <c r="S547" s="18">
        <f t="shared" si="253"/>
        <v>1.4256777489526421E-2</v>
      </c>
      <c r="T547" s="18">
        <f t="shared" si="255"/>
        <v>5.9215497959134175E-3</v>
      </c>
      <c r="U547" s="18">
        <f t="shared" si="257"/>
        <v>4.0928396831831228E-2</v>
      </c>
      <c r="V547" s="18">
        <f t="shared" si="258"/>
        <v>4.8992152613161965E-4</v>
      </c>
      <c r="W547" s="18">
        <f t="shared" si="259"/>
        <v>2.3201790795401175E-3</v>
      </c>
      <c r="X547" s="18">
        <f t="shared" si="260"/>
        <v>3.7230834464539648E-3</v>
      </c>
      <c r="Y547" s="18">
        <f t="shared" si="261"/>
        <v>2.163486303179678E-3</v>
      </c>
      <c r="AA547" s="18">
        <f t="shared" si="243"/>
        <v>9.1673835262442271E-2</v>
      </c>
      <c r="AB547" s="18">
        <f t="shared" si="244"/>
        <v>8.4040920717254036E-3</v>
      </c>
      <c r="AC547" s="18">
        <f t="shared" si="246"/>
        <v>4.6119205356595786E-3</v>
      </c>
      <c r="AD547" s="18">
        <f t="shared" si="248"/>
        <v>1.7856177999902818E-2</v>
      </c>
      <c r="AE547" s="18">
        <f t="shared" si="250"/>
        <v>2.9092889907398362E-6</v>
      </c>
      <c r="AF547" s="18">
        <f t="shared" si="252"/>
        <v>9.1160091371203129E-3</v>
      </c>
      <c r="AG547" s="18">
        <f t="shared" si="254"/>
        <v>1.4272455000105605E-3</v>
      </c>
      <c r="AH547" s="18">
        <f t="shared" si="256"/>
        <v>2.4993456256844227E-2</v>
      </c>
      <c r="AJ547" s="18">
        <f>IF(ISNUMBER(Kernel!M547),Kernel!M547,"")</f>
        <v>2.3049983120411288E-2</v>
      </c>
      <c r="AK547" s="18">
        <f t="shared" si="241"/>
        <v>5.3130172185124531E-4</v>
      </c>
      <c r="AN547" s="18">
        <f>IF(ISNUMBER(Volcanic!G547),Volcanic!G547,"")</f>
        <v>5.0499999999999998E-3</v>
      </c>
    </row>
    <row r="548" spans="1:40">
      <c r="A548" s="18" t="str">
        <f>IF(Volcanic!A548="","",Volcanic!A548)</f>
        <v>9/2003</v>
      </c>
      <c r="B548" s="18">
        <f>IF(ISNUMBER(Volcanic!L548),Volcanic!L548,"")</f>
        <v>2003.7083333333333</v>
      </c>
      <c r="C548" s="18">
        <f>IF(ISNUMBER(Volcanic!J548),Volcanic!J548,"")</f>
        <v>7.1141699385947499E-2</v>
      </c>
      <c r="D548" s="18">
        <f t="shared" si="234"/>
        <v>5.0611413915205225E-3</v>
      </c>
      <c r="E548" s="18">
        <f>IF(ISNUMBER(Volcanic!C548),Volcanic!C548,"")</f>
        <v>0.41506326146026928</v>
      </c>
      <c r="F548" s="18">
        <f>IF(ISNUMBER(Volcanic!D548),Volcanic!D548,"")</f>
        <v>-0.13</v>
      </c>
      <c r="G548" s="18">
        <f>IF(ISNUMBER(Volcanic!E548),Volcanic!E548,"")</f>
        <v>4.9300000000000004E-3</v>
      </c>
      <c r="H548" s="18">
        <f t="shared" si="235"/>
        <v>0.17227751101403585</v>
      </c>
      <c r="I548" s="18">
        <f t="shared" si="236"/>
        <v>1.6900000000000002E-2</v>
      </c>
      <c r="J548" s="18">
        <f t="shared" si="237"/>
        <v>2.4304900000000005E-5</v>
      </c>
      <c r="K548" s="18">
        <f t="shared" si="238"/>
        <v>-5.3958223989835012E-2</v>
      </c>
      <c r="L548" s="18">
        <f t="shared" si="239"/>
        <v>2.0462618789991276E-3</v>
      </c>
      <c r="M548" s="18">
        <f t="shared" si="240"/>
        <v>-6.4090000000000002E-4</v>
      </c>
      <c r="N548" s="18">
        <f t="shared" si="242"/>
        <v>6.8186376544468429E-3</v>
      </c>
      <c r="O548" s="18">
        <f t="shared" si="245"/>
        <v>3.2747121724844988E-4</v>
      </c>
      <c r="P548" s="18">
        <f t="shared" si="247"/>
        <v>2.9260119935634796E-2</v>
      </c>
      <c r="Q548" s="18">
        <f t="shared" si="249"/>
        <v>5.5413987764065097E-3</v>
      </c>
      <c r="R548" s="18">
        <f t="shared" si="251"/>
        <v>2.0926248810289878E-2</v>
      </c>
      <c r="S548" s="18">
        <f t="shared" si="253"/>
        <v>9.5676508357359583E-3</v>
      </c>
      <c r="T548" s="18">
        <f t="shared" si="255"/>
        <v>1.4256777489526421E-2</v>
      </c>
      <c r="U548" s="18">
        <f t="shared" si="257"/>
        <v>5.9215497959134175E-3</v>
      </c>
      <c r="V548" s="18">
        <f t="shared" si="258"/>
        <v>4.0928396831831228E-2</v>
      </c>
      <c r="W548" s="18">
        <f t="shared" si="259"/>
        <v>4.8992152613161965E-4</v>
      </c>
      <c r="X548" s="18">
        <f t="shared" si="260"/>
        <v>2.3201790795401175E-3</v>
      </c>
      <c r="Y548" s="18">
        <f t="shared" si="261"/>
        <v>3.7230834464539648E-3</v>
      </c>
      <c r="AA548" s="18">
        <f t="shared" si="243"/>
        <v>2.962278305943556E-2</v>
      </c>
      <c r="AB548" s="18">
        <f t="shared" si="244"/>
        <v>8.7750927618638242E-4</v>
      </c>
      <c r="AC548" s="18">
        <f t="shared" si="246"/>
        <v>8.4040920717254036E-3</v>
      </c>
      <c r="AD548" s="18">
        <f t="shared" si="248"/>
        <v>4.6119205356595786E-3</v>
      </c>
      <c r="AE548" s="18">
        <f t="shared" si="250"/>
        <v>1.7856177999902818E-2</v>
      </c>
      <c r="AF548" s="18">
        <f t="shared" si="252"/>
        <v>2.9092889907398362E-6</v>
      </c>
      <c r="AG548" s="18">
        <f t="shared" si="254"/>
        <v>9.1160091371203129E-3</v>
      </c>
      <c r="AH548" s="18">
        <f t="shared" si="256"/>
        <v>1.4272455000105605E-3</v>
      </c>
      <c r="AJ548" s="18">
        <f>IF(ISNUMBER(Kernel!M548),Kernel!M548,"")</f>
        <v>1.6689898504873679E-2</v>
      </c>
      <c r="AK548" s="18">
        <f t="shared" si="241"/>
        <v>2.7855271210298465E-4</v>
      </c>
      <c r="AN548" s="18">
        <f>IF(ISNUMBER(Volcanic!G548),Volcanic!G548,"")</f>
        <v>5.13E-3</v>
      </c>
    </row>
    <row r="549" spans="1:40">
      <c r="A549" s="18" t="str">
        <f>IF(Volcanic!A549="","",Volcanic!A549)</f>
        <v>10/2003</v>
      </c>
      <c r="B549" s="18">
        <f>IF(ISNUMBER(Volcanic!L549),Volcanic!L549,"")</f>
        <v>2003.7916666666667</v>
      </c>
      <c r="C549" s="18">
        <f>IF(ISNUMBER(Volcanic!J549),Volcanic!J549,"")</f>
        <v>0.15128503457480935</v>
      </c>
      <c r="D549" s="18">
        <f t="shared" si="234"/>
        <v>2.2887161686301262E-2</v>
      </c>
      <c r="E549" s="18">
        <f>IF(ISNUMBER(Volcanic!C549),Volcanic!C549,"")</f>
        <v>0.41494732802090711</v>
      </c>
      <c r="F549" s="18">
        <f>IF(ISNUMBER(Volcanic!D549),Volcanic!D549,"")</f>
        <v>0.09</v>
      </c>
      <c r="G549" s="18">
        <f>IF(ISNUMBER(Volcanic!E549),Volcanic!E549,"")</f>
        <v>5.0400000000000002E-3</v>
      </c>
      <c r="H549" s="18">
        <f t="shared" si="235"/>
        <v>0.17218128503169028</v>
      </c>
      <c r="I549" s="18">
        <f t="shared" si="236"/>
        <v>8.0999999999999996E-3</v>
      </c>
      <c r="J549" s="18">
        <f t="shared" si="237"/>
        <v>2.5401600000000001E-5</v>
      </c>
      <c r="K549" s="18">
        <f t="shared" si="238"/>
        <v>3.7345259521881641E-2</v>
      </c>
      <c r="L549" s="18">
        <f t="shared" si="239"/>
        <v>2.0913345332253721E-3</v>
      </c>
      <c r="M549" s="18">
        <f t="shared" si="240"/>
        <v>4.5360000000000002E-4</v>
      </c>
      <c r="N549" s="18">
        <f t="shared" si="242"/>
        <v>5.0611413915205225E-3</v>
      </c>
      <c r="O549" s="18">
        <f t="shared" si="245"/>
        <v>6.8186376544468429E-3</v>
      </c>
      <c r="P549" s="18">
        <f t="shared" si="247"/>
        <v>3.2747121724844988E-4</v>
      </c>
      <c r="Q549" s="18">
        <f t="shared" si="249"/>
        <v>2.9260119935634796E-2</v>
      </c>
      <c r="R549" s="18">
        <f t="shared" si="251"/>
        <v>5.5413987764065097E-3</v>
      </c>
      <c r="S549" s="18">
        <f t="shared" si="253"/>
        <v>2.0926248810289878E-2</v>
      </c>
      <c r="T549" s="18">
        <f t="shared" si="255"/>
        <v>9.5676508357359583E-3</v>
      </c>
      <c r="U549" s="18">
        <f t="shared" si="257"/>
        <v>1.4256777489526421E-2</v>
      </c>
      <c r="V549" s="18">
        <f t="shared" si="258"/>
        <v>5.9215497959134175E-3</v>
      </c>
      <c r="W549" s="18">
        <f t="shared" si="259"/>
        <v>4.0928396831831228E-2</v>
      </c>
      <c r="X549" s="18">
        <f t="shared" si="260"/>
        <v>4.8992152613161965E-4</v>
      </c>
      <c r="Y549" s="18">
        <f t="shared" si="261"/>
        <v>2.3201790795401175E-3</v>
      </c>
      <c r="AA549" s="18">
        <f t="shared" si="243"/>
        <v>0.11551482880299115</v>
      </c>
      <c r="AB549" s="18">
        <f t="shared" si="244"/>
        <v>1.3343675673384353E-2</v>
      </c>
      <c r="AC549" s="18">
        <f t="shared" si="246"/>
        <v>8.7750927618638242E-4</v>
      </c>
      <c r="AD549" s="18">
        <f t="shared" si="248"/>
        <v>8.4040920717254036E-3</v>
      </c>
      <c r="AE549" s="18">
        <f t="shared" si="250"/>
        <v>4.6119205356595786E-3</v>
      </c>
      <c r="AF549" s="18">
        <f t="shared" si="252"/>
        <v>1.7856177999902818E-2</v>
      </c>
      <c r="AG549" s="18">
        <f t="shared" si="254"/>
        <v>2.9092889907398362E-6</v>
      </c>
      <c r="AH549" s="18">
        <f t="shared" si="256"/>
        <v>9.1160091371203129E-3</v>
      </c>
      <c r="AJ549" s="18">
        <f>IF(ISNUMBER(Kernel!M549),Kernel!M549,"")</f>
        <v>0.11770755317009718</v>
      </c>
      <c r="AK549" s="18">
        <f t="shared" si="241"/>
        <v>1.3855068073291255E-2</v>
      </c>
      <c r="AN549" s="18">
        <f>IF(ISNUMBER(Volcanic!G549),Volcanic!G549,"")</f>
        <v>5.1599999999999997E-3</v>
      </c>
    </row>
    <row r="550" spans="1:40">
      <c r="A550" s="18" t="str">
        <f>IF(Volcanic!A550="","",Volcanic!A550)</f>
        <v>11/2003</v>
      </c>
      <c r="B550" s="18">
        <f>IF(ISNUMBER(Volcanic!L550),Volcanic!L550,"")</f>
        <v>2003.875</v>
      </c>
      <c r="C550" s="18">
        <f>IF(ISNUMBER(Volcanic!J550),Volcanic!J550,"")</f>
        <v>-6.0152712218248805E-2</v>
      </c>
      <c r="D550" s="18">
        <f t="shared" si="234"/>
        <v>3.6183487872114592E-3</v>
      </c>
      <c r="E550" s="18">
        <f>IF(ISNUMBER(Volcanic!C550),Volcanic!C550,"")</f>
        <v>0.42084808719949091</v>
      </c>
      <c r="F550" s="18">
        <f>IF(ISNUMBER(Volcanic!D550),Volcanic!D550,"")</f>
        <v>0.14000000000000001</v>
      </c>
      <c r="G550" s="18">
        <f>IF(ISNUMBER(Volcanic!E550),Volcanic!E550,"")</f>
        <v>4.7200000000000002E-3</v>
      </c>
      <c r="H550" s="18">
        <f t="shared" si="235"/>
        <v>0.17711311249947029</v>
      </c>
      <c r="I550" s="18">
        <f t="shared" si="236"/>
        <v>1.9600000000000003E-2</v>
      </c>
      <c r="J550" s="18">
        <f t="shared" si="237"/>
        <v>2.2278400000000003E-5</v>
      </c>
      <c r="K550" s="18">
        <f t="shared" si="238"/>
        <v>5.8918732207928731E-2</v>
      </c>
      <c r="L550" s="18">
        <f t="shared" si="239"/>
        <v>1.9864029715815973E-3</v>
      </c>
      <c r="M550" s="18">
        <f t="shared" si="240"/>
        <v>6.6080000000000012E-4</v>
      </c>
      <c r="N550" s="18">
        <f t="shared" si="242"/>
        <v>2.2887161686301262E-2</v>
      </c>
      <c r="O550" s="18">
        <f t="shared" si="245"/>
        <v>5.0611413915205225E-3</v>
      </c>
      <c r="P550" s="18">
        <f t="shared" si="247"/>
        <v>6.8186376544468429E-3</v>
      </c>
      <c r="Q550" s="18">
        <f t="shared" si="249"/>
        <v>3.2747121724844988E-4</v>
      </c>
      <c r="R550" s="18">
        <f t="shared" si="251"/>
        <v>2.9260119935634796E-2</v>
      </c>
      <c r="S550" s="18">
        <f t="shared" si="253"/>
        <v>5.5413987764065097E-3</v>
      </c>
      <c r="T550" s="18">
        <f t="shared" si="255"/>
        <v>2.0926248810289878E-2</v>
      </c>
      <c r="U550" s="18">
        <f t="shared" si="257"/>
        <v>9.5676508357359583E-3</v>
      </c>
      <c r="V550" s="18">
        <f t="shared" si="258"/>
        <v>1.4256777489526421E-2</v>
      </c>
      <c r="W550" s="18">
        <f t="shared" si="259"/>
        <v>5.9215497959134175E-3</v>
      </c>
      <c r="X550" s="18">
        <f t="shared" si="260"/>
        <v>4.0928396831831228E-2</v>
      </c>
      <c r="Y550" s="18">
        <f t="shared" si="261"/>
        <v>4.8992152613161965E-4</v>
      </c>
      <c r="AA550" s="18">
        <f t="shared" si="243"/>
        <v>-0.13621916640259299</v>
      </c>
      <c r="AB550" s="18">
        <f t="shared" si="244"/>
        <v>1.855566129541732E-2</v>
      </c>
      <c r="AC550" s="18">
        <f t="shared" si="246"/>
        <v>1.3343675673384353E-2</v>
      </c>
      <c r="AD550" s="18">
        <f t="shared" si="248"/>
        <v>8.7750927618638242E-4</v>
      </c>
      <c r="AE550" s="18">
        <f t="shared" si="250"/>
        <v>8.4040920717254036E-3</v>
      </c>
      <c r="AF550" s="18">
        <f t="shared" si="252"/>
        <v>4.6119205356595786E-3</v>
      </c>
      <c r="AG550" s="18">
        <f t="shared" si="254"/>
        <v>1.7856177999902818E-2</v>
      </c>
      <c r="AH550" s="18">
        <f t="shared" si="256"/>
        <v>2.9092889907398362E-6</v>
      </c>
      <c r="AJ550" s="18">
        <f>IF(ISNUMBER(Kernel!M550),Kernel!M550,"")</f>
        <v>-8.8984573929668076E-2</v>
      </c>
      <c r="AK550" s="18">
        <f t="shared" si="241"/>
        <v>7.9182543974445629E-3</v>
      </c>
      <c r="AN550" s="18">
        <f>IF(ISNUMBER(Volcanic!G550),Volcanic!G550,"")</f>
        <v>5.0000000000000001E-3</v>
      </c>
    </row>
    <row r="551" spans="1:40">
      <c r="A551" s="18" t="str">
        <f>IF(Volcanic!A551="","",Volcanic!A551)</f>
        <v>12/2003</v>
      </c>
      <c r="B551" s="18">
        <f>IF(ISNUMBER(Volcanic!L551),Volcanic!L551,"")</f>
        <v>2003.9583333333333</v>
      </c>
      <c r="C551" s="18">
        <f>IF(ISNUMBER(Volcanic!J551),Volcanic!J551,"")</f>
        <v>0.13727286494497726</v>
      </c>
      <c r="D551" s="18">
        <f t="shared" si="234"/>
        <v>1.8843839450201967E-2</v>
      </c>
      <c r="E551" s="18">
        <f>IF(ISNUMBER(Volcanic!C551),Volcanic!C551,"")</f>
        <v>0.42595796965197702</v>
      </c>
      <c r="F551" s="18">
        <f>IF(ISNUMBER(Volcanic!D551),Volcanic!D551,"")</f>
        <v>0.23</v>
      </c>
      <c r="G551" s="18">
        <f>IF(ISNUMBER(Volcanic!E551),Volcanic!E551,"")</f>
        <v>4.5900000000000003E-3</v>
      </c>
      <c r="H551" s="18">
        <f t="shared" si="235"/>
        <v>0.18144019191003458</v>
      </c>
      <c r="I551" s="18">
        <f t="shared" si="236"/>
        <v>5.2900000000000003E-2</v>
      </c>
      <c r="J551" s="18">
        <f t="shared" si="237"/>
        <v>2.1068100000000002E-5</v>
      </c>
      <c r="K551" s="18">
        <f t="shared" si="238"/>
        <v>9.7970333019954725E-2</v>
      </c>
      <c r="L551" s="18">
        <f t="shared" si="239"/>
        <v>1.9551470807025748E-3</v>
      </c>
      <c r="M551" s="18">
        <f t="shared" si="240"/>
        <v>1.0557000000000001E-3</v>
      </c>
      <c r="N551" s="18">
        <f t="shared" si="242"/>
        <v>3.6183487872114592E-3</v>
      </c>
      <c r="O551" s="18">
        <f t="shared" si="245"/>
        <v>2.2887161686301262E-2</v>
      </c>
      <c r="P551" s="18">
        <f t="shared" si="247"/>
        <v>5.0611413915205225E-3</v>
      </c>
      <c r="Q551" s="18">
        <f t="shared" si="249"/>
        <v>6.8186376544468429E-3</v>
      </c>
      <c r="R551" s="18">
        <f t="shared" si="251"/>
        <v>3.2747121724844988E-4</v>
      </c>
      <c r="S551" s="18">
        <f t="shared" si="253"/>
        <v>2.9260119935634796E-2</v>
      </c>
      <c r="T551" s="18">
        <f t="shared" si="255"/>
        <v>5.5413987764065097E-3</v>
      </c>
      <c r="U551" s="18">
        <f t="shared" si="257"/>
        <v>2.0926248810289878E-2</v>
      </c>
      <c r="V551" s="18">
        <f t="shared" si="258"/>
        <v>9.5676508357359583E-3</v>
      </c>
      <c r="W551" s="18">
        <f t="shared" si="259"/>
        <v>1.4256777489526421E-2</v>
      </c>
      <c r="X551" s="18">
        <f t="shared" si="260"/>
        <v>5.9215497959134175E-3</v>
      </c>
      <c r="Y551" s="18">
        <f t="shared" si="261"/>
        <v>4.0928396831831228E-2</v>
      </c>
      <c r="AA551" s="18">
        <f t="shared" si="243"/>
        <v>0.16751778335923628</v>
      </c>
      <c r="AB551" s="18">
        <f t="shared" si="244"/>
        <v>2.8062207741592019E-2</v>
      </c>
      <c r="AC551" s="18">
        <f t="shared" si="246"/>
        <v>1.855566129541732E-2</v>
      </c>
      <c r="AD551" s="18">
        <f t="shared" si="248"/>
        <v>1.3343675673384353E-2</v>
      </c>
      <c r="AE551" s="18">
        <f t="shared" si="250"/>
        <v>8.7750927618638242E-4</v>
      </c>
      <c r="AF551" s="18">
        <f t="shared" si="252"/>
        <v>8.4040920717254036E-3</v>
      </c>
      <c r="AG551" s="18">
        <f t="shared" si="254"/>
        <v>4.6119205356595786E-3</v>
      </c>
      <c r="AH551" s="18">
        <f t="shared" si="256"/>
        <v>1.7856177999902818E-2</v>
      </c>
      <c r="AJ551" s="18">
        <f>IF(ISNUMBER(Kernel!M551),Kernel!M551,"")</f>
        <v>0.11652013149361473</v>
      </c>
      <c r="AK551" s="18">
        <f t="shared" si="241"/>
        <v>1.3576941043289268E-2</v>
      </c>
      <c r="AN551" s="18">
        <f>IF(ISNUMBER(Volcanic!G551),Volcanic!G551,"")</f>
        <v>4.7699999999999999E-3</v>
      </c>
    </row>
    <row r="552" spans="1:40">
      <c r="A552" s="18" t="str">
        <f>IF(Volcanic!A552="","",Volcanic!A552)</f>
        <v>1/2004</v>
      </c>
      <c r="B552" s="18">
        <f>IF(ISNUMBER(Volcanic!L552),Volcanic!L552,"")</f>
        <v>2004.0416666666667</v>
      </c>
      <c r="C552" s="18">
        <f>IF(ISNUMBER(Volcanic!J552),Volcanic!J552,"")</f>
        <v>-4.2843483848651998E-2</v>
      </c>
      <c r="D552" s="18">
        <f t="shared" si="234"/>
        <v>1.8355641082897045E-3</v>
      </c>
      <c r="E552" s="18">
        <f>IF(ISNUMBER(Volcanic!C552),Volcanic!C552,"")</f>
        <v>0.42978810183201854</v>
      </c>
      <c r="F552" s="18">
        <f>IF(ISNUMBER(Volcanic!D552),Volcanic!D552,"")</f>
        <v>0.23</v>
      </c>
      <c r="G552" s="18">
        <f>IF(ISNUMBER(Volcanic!E552),Volcanic!E552,"")</f>
        <v>4.7400000000000003E-3</v>
      </c>
      <c r="H552" s="18">
        <f t="shared" si="235"/>
        <v>0.18471781247636954</v>
      </c>
      <c r="I552" s="18">
        <f t="shared" si="236"/>
        <v>5.2900000000000003E-2</v>
      </c>
      <c r="J552" s="18">
        <f t="shared" si="237"/>
        <v>2.2467600000000002E-5</v>
      </c>
      <c r="K552" s="18">
        <f t="shared" si="238"/>
        <v>9.8851263421364272E-2</v>
      </c>
      <c r="L552" s="18">
        <f t="shared" si="239"/>
        <v>2.0371956026837682E-3</v>
      </c>
      <c r="M552" s="18">
        <f t="shared" si="240"/>
        <v>1.0902000000000002E-3</v>
      </c>
      <c r="N552" s="18">
        <f t="shared" si="242"/>
        <v>1.8843839450201967E-2</v>
      </c>
      <c r="O552" s="18">
        <f t="shared" si="245"/>
        <v>3.6183487872114592E-3</v>
      </c>
      <c r="P552" s="18">
        <f t="shared" si="247"/>
        <v>2.2887161686301262E-2</v>
      </c>
      <c r="Q552" s="18">
        <f t="shared" si="249"/>
        <v>5.0611413915205225E-3</v>
      </c>
      <c r="R552" s="18">
        <f t="shared" si="251"/>
        <v>6.8186376544468429E-3</v>
      </c>
      <c r="S552" s="18">
        <f t="shared" si="253"/>
        <v>3.2747121724844988E-4</v>
      </c>
      <c r="T552" s="18">
        <f t="shared" si="255"/>
        <v>2.9260119935634796E-2</v>
      </c>
      <c r="U552" s="18">
        <f t="shared" si="257"/>
        <v>5.5413987764065097E-3</v>
      </c>
      <c r="V552" s="18">
        <f t="shared" si="258"/>
        <v>2.0926248810289878E-2</v>
      </c>
      <c r="W552" s="18">
        <f t="shared" si="259"/>
        <v>9.5676508357359583E-3</v>
      </c>
      <c r="X552" s="18">
        <f t="shared" si="260"/>
        <v>1.4256777489526421E-2</v>
      </c>
      <c r="Y552" s="18">
        <f t="shared" si="261"/>
        <v>5.9215497959134175E-3</v>
      </c>
      <c r="AA552" s="18">
        <f t="shared" si="243"/>
        <v>-0.11186458776311324</v>
      </c>
      <c r="AB552" s="18">
        <f t="shared" si="244"/>
        <v>1.2513685995411264E-2</v>
      </c>
      <c r="AC552" s="18">
        <f t="shared" si="246"/>
        <v>2.8062207741592019E-2</v>
      </c>
      <c r="AD552" s="18">
        <f t="shared" si="248"/>
        <v>1.855566129541732E-2</v>
      </c>
      <c r="AE552" s="18">
        <f t="shared" si="250"/>
        <v>1.3343675673384353E-2</v>
      </c>
      <c r="AF552" s="18">
        <f t="shared" si="252"/>
        <v>8.7750927618638242E-4</v>
      </c>
      <c r="AG552" s="18">
        <f t="shared" si="254"/>
        <v>8.4040920717254036E-3</v>
      </c>
      <c r="AH552" s="18">
        <f t="shared" si="256"/>
        <v>4.6119205356595786E-3</v>
      </c>
      <c r="AJ552" s="18">
        <f>IF(ISNUMBER(Kernel!M552),Kernel!M552,"")</f>
        <v>-6.552114486733307E-2</v>
      </c>
      <c r="AK552" s="18">
        <f t="shared" si="241"/>
        <v>4.2930204247260467E-3</v>
      </c>
      <c r="AN552" s="18">
        <f>IF(ISNUMBER(Volcanic!G552),Volcanic!G552,"")</f>
        <v>4.6600000000000001E-3</v>
      </c>
    </row>
    <row r="553" spans="1:40">
      <c r="A553" s="18" t="str">
        <f>IF(Volcanic!A553="","",Volcanic!A553)</f>
        <v>2/2004</v>
      </c>
      <c r="B553" s="18">
        <f>IF(ISNUMBER(Volcanic!L553),Volcanic!L553,"")</f>
        <v>2004.125</v>
      </c>
      <c r="C553" s="18">
        <f>IF(ISNUMBER(Volcanic!J553),Volcanic!J553,"")</f>
        <v>8.2638902339370657E-2</v>
      </c>
      <c r="D553" s="18">
        <f t="shared" si="234"/>
        <v>6.8291881798560406E-3</v>
      </c>
      <c r="E553" s="18">
        <f>IF(ISNUMBER(Volcanic!C553),Volcanic!C553,"")</f>
        <v>0.43315022733337655</v>
      </c>
      <c r="F553" s="18">
        <f>IF(ISNUMBER(Volcanic!D553),Volcanic!D553,"")</f>
        <v>0.28999999999999998</v>
      </c>
      <c r="G553" s="18">
        <f>IF(ISNUMBER(Volcanic!E553),Volcanic!E553,"")</f>
        <v>4.8399999999999997E-3</v>
      </c>
      <c r="H553" s="18">
        <f t="shared" si="235"/>
        <v>0.18761911943895579</v>
      </c>
      <c r="I553" s="18">
        <f t="shared" si="236"/>
        <v>8.4099999999999994E-2</v>
      </c>
      <c r="J553" s="18">
        <f t="shared" si="237"/>
        <v>2.3425599999999998E-5</v>
      </c>
      <c r="K553" s="18">
        <f t="shared" si="238"/>
        <v>0.12561356592667919</v>
      </c>
      <c r="L553" s="18">
        <f t="shared" si="239"/>
        <v>2.0964471002935425E-3</v>
      </c>
      <c r="M553" s="18">
        <f t="shared" si="240"/>
        <v>1.4035999999999999E-3</v>
      </c>
      <c r="N553" s="18">
        <f t="shared" si="242"/>
        <v>1.8355641082897045E-3</v>
      </c>
      <c r="O553" s="18">
        <f t="shared" si="245"/>
        <v>1.8843839450201967E-2</v>
      </c>
      <c r="P553" s="18">
        <f t="shared" si="247"/>
        <v>3.6183487872114592E-3</v>
      </c>
      <c r="Q553" s="18">
        <f t="shared" si="249"/>
        <v>2.2887161686301262E-2</v>
      </c>
      <c r="R553" s="18">
        <f t="shared" si="251"/>
        <v>5.0611413915205225E-3</v>
      </c>
      <c r="S553" s="18">
        <f t="shared" si="253"/>
        <v>6.8186376544468429E-3</v>
      </c>
      <c r="T553" s="18">
        <f t="shared" si="255"/>
        <v>3.2747121724844988E-4</v>
      </c>
      <c r="U553" s="18">
        <f t="shared" si="257"/>
        <v>2.9260119935634796E-2</v>
      </c>
      <c r="V553" s="18">
        <f t="shared" si="258"/>
        <v>5.5413987764065097E-3</v>
      </c>
      <c r="W553" s="18">
        <f t="shared" si="259"/>
        <v>2.0926248810289878E-2</v>
      </c>
      <c r="X553" s="18">
        <f t="shared" si="260"/>
        <v>9.5676508357359583E-3</v>
      </c>
      <c r="Y553" s="18">
        <f t="shared" si="261"/>
        <v>1.4256777489526421E-2</v>
      </c>
      <c r="AA553" s="18">
        <f t="shared" si="243"/>
        <v>0.10418070196568895</v>
      </c>
      <c r="AB553" s="18">
        <f t="shared" si="244"/>
        <v>1.0853618662063705E-2</v>
      </c>
      <c r="AC553" s="18">
        <f t="shared" si="246"/>
        <v>1.2513685995411264E-2</v>
      </c>
      <c r="AD553" s="18">
        <f t="shared" si="248"/>
        <v>2.8062207741592019E-2</v>
      </c>
      <c r="AE553" s="18">
        <f t="shared" si="250"/>
        <v>1.855566129541732E-2</v>
      </c>
      <c r="AF553" s="18">
        <f t="shared" si="252"/>
        <v>1.3343675673384353E-2</v>
      </c>
      <c r="AG553" s="18">
        <f t="shared" si="254"/>
        <v>8.7750927618638242E-4</v>
      </c>
      <c r="AH553" s="18">
        <f t="shared" si="256"/>
        <v>8.4040920717254036E-3</v>
      </c>
      <c r="AJ553" s="18">
        <f>IF(ISNUMBER(Kernel!M553),Kernel!M553,"")</f>
        <v>6.5423996163954334E-2</v>
      </c>
      <c r="AK553" s="18">
        <f t="shared" si="241"/>
        <v>4.280299274061111E-3</v>
      </c>
      <c r="AN553" s="18">
        <f>IF(ISNUMBER(Volcanic!G553),Volcanic!G553,"")</f>
        <v>4.4600000000000004E-3</v>
      </c>
    </row>
    <row r="554" spans="1:40">
      <c r="A554" s="18" t="str">
        <f>IF(Volcanic!A554="","",Volcanic!A554)</f>
        <v>3/2004</v>
      </c>
      <c r="B554" s="18">
        <f>IF(ISNUMBER(Volcanic!L554),Volcanic!L554,"")</f>
        <v>2004.2083333333333</v>
      </c>
      <c r="C554" s="18">
        <f>IF(ISNUMBER(Volcanic!J554),Volcanic!J554,"")</f>
        <v>-1.7397351768984382E-2</v>
      </c>
      <c r="D554" s="18">
        <f t="shared" si="234"/>
        <v>3.02667848573784E-4</v>
      </c>
      <c r="E554" s="18">
        <f>IF(ISNUMBER(Volcanic!C554),Volcanic!C554,"")</f>
        <v>0.4369993981425544</v>
      </c>
      <c r="F554" s="18">
        <f>IF(ISNUMBER(Volcanic!D554),Volcanic!D554,"")</f>
        <v>0.28999999999999998</v>
      </c>
      <c r="G554" s="18">
        <f>IF(ISNUMBER(Volcanic!E554),Volcanic!E554,"")</f>
        <v>5.0499999999999998E-3</v>
      </c>
      <c r="H554" s="18">
        <f t="shared" si="235"/>
        <v>0.19096847397695477</v>
      </c>
      <c r="I554" s="18">
        <f t="shared" si="236"/>
        <v>8.4099999999999994E-2</v>
      </c>
      <c r="J554" s="18">
        <f t="shared" si="237"/>
        <v>2.5502499999999999E-5</v>
      </c>
      <c r="K554" s="18">
        <f t="shared" si="238"/>
        <v>0.12672982546134076</v>
      </c>
      <c r="L554" s="18">
        <f t="shared" si="239"/>
        <v>2.2068469606198998E-3</v>
      </c>
      <c r="M554" s="18">
        <f t="shared" si="240"/>
        <v>1.4644999999999999E-3</v>
      </c>
      <c r="N554" s="18">
        <f t="shared" si="242"/>
        <v>6.8291881798560406E-3</v>
      </c>
      <c r="O554" s="18">
        <f t="shared" si="245"/>
        <v>1.8355641082897045E-3</v>
      </c>
      <c r="P554" s="18">
        <f t="shared" si="247"/>
        <v>1.8843839450201967E-2</v>
      </c>
      <c r="Q554" s="18">
        <f t="shared" si="249"/>
        <v>3.6183487872114592E-3</v>
      </c>
      <c r="R554" s="18">
        <f t="shared" si="251"/>
        <v>2.2887161686301262E-2</v>
      </c>
      <c r="S554" s="18">
        <f t="shared" si="253"/>
        <v>5.0611413915205225E-3</v>
      </c>
      <c r="T554" s="18">
        <f t="shared" si="255"/>
        <v>6.8186376544468429E-3</v>
      </c>
      <c r="U554" s="18">
        <f t="shared" si="257"/>
        <v>3.2747121724844988E-4</v>
      </c>
      <c r="V554" s="18">
        <f t="shared" si="258"/>
        <v>2.9260119935634796E-2</v>
      </c>
      <c r="W554" s="18">
        <f t="shared" si="259"/>
        <v>5.5413987764065097E-3</v>
      </c>
      <c r="X554" s="18">
        <f t="shared" si="260"/>
        <v>2.0926248810289878E-2</v>
      </c>
      <c r="Y554" s="18">
        <f t="shared" si="261"/>
        <v>9.5676508357359583E-3</v>
      </c>
      <c r="AA554" s="18">
        <f t="shared" si="243"/>
        <v>-5.8948376933564202E-2</v>
      </c>
      <c r="AB554" s="18">
        <f t="shared" si="244"/>
        <v>3.4749111431015643E-3</v>
      </c>
      <c r="AC554" s="18">
        <f t="shared" si="246"/>
        <v>1.0853618662063705E-2</v>
      </c>
      <c r="AD554" s="18">
        <f t="shared" si="248"/>
        <v>1.2513685995411264E-2</v>
      </c>
      <c r="AE554" s="18">
        <f t="shared" si="250"/>
        <v>2.8062207741592019E-2</v>
      </c>
      <c r="AF554" s="18">
        <f t="shared" si="252"/>
        <v>1.855566129541732E-2</v>
      </c>
      <c r="AG554" s="18">
        <f t="shared" si="254"/>
        <v>1.3343675673384353E-2</v>
      </c>
      <c r="AH554" s="18">
        <f t="shared" si="256"/>
        <v>8.7750927618638242E-4</v>
      </c>
      <c r="AJ554" s="18">
        <f>IF(ISNUMBER(Kernel!M554),Kernel!M554,"")</f>
        <v>-3.3262327500048094E-2</v>
      </c>
      <c r="AK554" s="18">
        <f t="shared" si="241"/>
        <v>1.1063824307204558E-3</v>
      </c>
      <c r="AN554" s="18">
        <f>IF(ISNUMBER(Volcanic!G554),Volcanic!G554,"")</f>
        <v>4.3200000000000001E-3</v>
      </c>
    </row>
    <row r="555" spans="1:40">
      <c r="A555" s="18" t="str">
        <f>IF(Volcanic!A555="","",Volcanic!A555)</f>
        <v>4/2004</v>
      </c>
      <c r="B555" s="18">
        <f>IF(ISNUMBER(Volcanic!L555),Volcanic!L555,"")</f>
        <v>2004.2916666666667</v>
      </c>
      <c r="C555" s="18">
        <f>IF(ISNUMBER(Volcanic!J555),Volcanic!J555,"")</f>
        <v>-5.7194344983801604E-2</v>
      </c>
      <c r="D555" s="18">
        <f t="shared" si="234"/>
        <v>3.2711930981261118E-3</v>
      </c>
      <c r="E555" s="18">
        <f>IF(ISNUMBER(Volcanic!C555),Volcanic!C555,"")</f>
        <v>0.44262128166655951</v>
      </c>
      <c r="F555" s="18">
        <f>IF(ISNUMBER(Volcanic!D555),Volcanic!D555,"")</f>
        <v>0.34</v>
      </c>
      <c r="G555" s="18">
        <f>IF(ISNUMBER(Volcanic!E555),Volcanic!E555,"")</f>
        <v>5.13E-3</v>
      </c>
      <c r="H555" s="18">
        <f t="shared" si="235"/>
        <v>0.19591359898414781</v>
      </c>
      <c r="I555" s="18">
        <f t="shared" si="236"/>
        <v>0.11560000000000002</v>
      </c>
      <c r="J555" s="18">
        <f t="shared" si="237"/>
        <v>2.6316899999999999E-5</v>
      </c>
      <c r="K555" s="18">
        <f t="shared" si="238"/>
        <v>0.15049123576663023</v>
      </c>
      <c r="L555" s="18">
        <f t="shared" si="239"/>
        <v>2.2706471749494501E-3</v>
      </c>
      <c r="M555" s="18">
        <f t="shared" si="240"/>
        <v>1.7442000000000002E-3</v>
      </c>
      <c r="N555" s="18">
        <f t="shared" si="242"/>
        <v>3.02667848573784E-4</v>
      </c>
      <c r="O555" s="18">
        <f t="shared" si="245"/>
        <v>6.8291881798560406E-3</v>
      </c>
      <c r="P555" s="18">
        <f t="shared" si="247"/>
        <v>1.8355641082897045E-3</v>
      </c>
      <c r="Q555" s="18">
        <f t="shared" si="249"/>
        <v>1.8843839450201967E-2</v>
      </c>
      <c r="R555" s="18">
        <f t="shared" si="251"/>
        <v>3.6183487872114592E-3</v>
      </c>
      <c r="S555" s="18">
        <f t="shared" si="253"/>
        <v>2.2887161686301262E-2</v>
      </c>
      <c r="T555" s="18">
        <f t="shared" si="255"/>
        <v>5.0611413915205225E-3</v>
      </c>
      <c r="U555" s="18">
        <f t="shared" si="257"/>
        <v>6.8186376544468429E-3</v>
      </c>
      <c r="V555" s="18">
        <f t="shared" si="258"/>
        <v>3.2747121724844988E-4</v>
      </c>
      <c r="W555" s="18">
        <f t="shared" si="259"/>
        <v>2.9260119935634796E-2</v>
      </c>
      <c r="X555" s="18">
        <f t="shared" si="260"/>
        <v>5.5413987764065097E-3</v>
      </c>
      <c r="Y555" s="18">
        <f t="shared" si="261"/>
        <v>2.0926248810289878E-2</v>
      </c>
      <c r="AA555" s="18">
        <f t="shared" si="243"/>
        <v>-4.8446917553298025E-2</v>
      </c>
      <c r="AB555" s="18">
        <f t="shared" si="244"/>
        <v>2.3471038204160564E-3</v>
      </c>
      <c r="AC555" s="18">
        <f t="shared" si="246"/>
        <v>3.4749111431015643E-3</v>
      </c>
      <c r="AD555" s="18">
        <f t="shared" si="248"/>
        <v>1.0853618662063705E-2</v>
      </c>
      <c r="AE555" s="18">
        <f t="shared" si="250"/>
        <v>1.2513685995411264E-2</v>
      </c>
      <c r="AF555" s="18">
        <f t="shared" si="252"/>
        <v>2.8062207741592019E-2</v>
      </c>
      <c r="AG555" s="18">
        <f t="shared" si="254"/>
        <v>1.855566129541732E-2</v>
      </c>
      <c r="AH555" s="18">
        <f t="shared" si="256"/>
        <v>1.3343675673384353E-2</v>
      </c>
      <c r="AJ555" s="18">
        <f>IF(ISNUMBER(Kernel!M555),Kernel!M555,"")</f>
        <v>-6.5068836234293714E-2</v>
      </c>
      <c r="AK555" s="18">
        <f t="shared" si="241"/>
        <v>4.2339534488853347E-3</v>
      </c>
      <c r="AN555" s="18">
        <f>IF(ISNUMBER(Volcanic!G555),Volcanic!G555,"")</f>
        <v>4.3E-3</v>
      </c>
    </row>
    <row r="556" spans="1:40">
      <c r="A556" s="18" t="str">
        <f>IF(Volcanic!A556="","",Volcanic!A556)</f>
        <v>5/2004</v>
      </c>
      <c r="B556" s="18">
        <f>IF(ISNUMBER(Volcanic!L556),Volcanic!L556,"")</f>
        <v>2004.375</v>
      </c>
      <c r="C556" s="18">
        <f>IF(ISNUMBER(Volcanic!J556),Volcanic!J556,"")</f>
        <v>-0.2933202064460515</v>
      </c>
      <c r="D556" s="18">
        <f t="shared" si="234"/>
        <v>8.6036743509554273E-2</v>
      </c>
      <c r="E556" s="18">
        <f>IF(ISNUMBER(Volcanic!C556),Volcanic!C556,"")</f>
        <v>0.44360665147561484</v>
      </c>
      <c r="F556" s="18">
        <f>IF(ISNUMBER(Volcanic!D556),Volcanic!D556,"")</f>
        <v>0.27</v>
      </c>
      <c r="G556" s="18">
        <f>IF(ISNUMBER(Volcanic!E556),Volcanic!E556,"")</f>
        <v>5.1599999999999997E-3</v>
      </c>
      <c r="H556" s="18">
        <f t="shared" si="235"/>
        <v>0.19678686123340761</v>
      </c>
      <c r="I556" s="18">
        <f t="shared" si="236"/>
        <v>7.2900000000000006E-2</v>
      </c>
      <c r="J556" s="18">
        <f t="shared" si="237"/>
        <v>2.6625599999999998E-5</v>
      </c>
      <c r="K556" s="18">
        <f t="shared" si="238"/>
        <v>0.11977379589841601</v>
      </c>
      <c r="L556" s="18">
        <f t="shared" si="239"/>
        <v>2.2890103216141725E-3</v>
      </c>
      <c r="M556" s="18">
        <f t="shared" si="240"/>
        <v>1.3932E-3</v>
      </c>
      <c r="N556" s="18">
        <f t="shared" si="242"/>
        <v>3.2711930981261118E-3</v>
      </c>
      <c r="O556" s="18">
        <f t="shared" si="245"/>
        <v>3.02667848573784E-4</v>
      </c>
      <c r="P556" s="18">
        <f t="shared" si="247"/>
        <v>6.8291881798560406E-3</v>
      </c>
      <c r="Q556" s="18">
        <f t="shared" si="249"/>
        <v>1.8355641082897045E-3</v>
      </c>
      <c r="R556" s="18">
        <f t="shared" si="251"/>
        <v>1.8843839450201967E-2</v>
      </c>
      <c r="S556" s="18">
        <f t="shared" si="253"/>
        <v>3.6183487872114592E-3</v>
      </c>
      <c r="T556" s="18">
        <f t="shared" si="255"/>
        <v>2.2887161686301262E-2</v>
      </c>
      <c r="U556" s="18">
        <f t="shared" si="257"/>
        <v>5.0611413915205225E-3</v>
      </c>
      <c r="V556" s="18">
        <f t="shared" si="258"/>
        <v>6.8186376544468429E-3</v>
      </c>
      <c r="W556" s="18">
        <f t="shared" si="259"/>
        <v>3.2747121724844988E-4</v>
      </c>
      <c r="X556" s="18">
        <f t="shared" si="260"/>
        <v>2.9260119935634796E-2</v>
      </c>
      <c r="Y556" s="18">
        <f t="shared" si="261"/>
        <v>5.5413987764065097E-3</v>
      </c>
      <c r="AA556" s="18">
        <f t="shared" si="243"/>
        <v>-0.26456276170248305</v>
      </c>
      <c r="AB556" s="18">
        <f t="shared" si="244"/>
        <v>6.9993454879644826E-2</v>
      </c>
      <c r="AC556" s="18">
        <f t="shared" si="246"/>
        <v>2.3471038204160564E-3</v>
      </c>
      <c r="AD556" s="18">
        <f t="shared" si="248"/>
        <v>3.4749111431015643E-3</v>
      </c>
      <c r="AE556" s="18">
        <f t="shared" si="250"/>
        <v>1.0853618662063705E-2</v>
      </c>
      <c r="AF556" s="18">
        <f t="shared" si="252"/>
        <v>1.2513685995411264E-2</v>
      </c>
      <c r="AG556" s="18">
        <f t="shared" si="254"/>
        <v>2.8062207741592019E-2</v>
      </c>
      <c r="AH556" s="18">
        <f t="shared" si="256"/>
        <v>1.855566129541732E-2</v>
      </c>
      <c r="AJ556" s="18">
        <f>IF(ISNUMBER(Kernel!M556),Kernel!M556,"")</f>
        <v>-0.30532548188669884</v>
      </c>
      <c r="AK556" s="18">
        <f t="shared" si="241"/>
        <v>9.3223649889344853E-2</v>
      </c>
      <c r="AN556" s="18">
        <f>IF(ISNUMBER(Volcanic!G556),Volcanic!G556,"")</f>
        <v>4.1999999999999997E-3</v>
      </c>
    </row>
    <row r="557" spans="1:40">
      <c r="A557" s="18" t="str">
        <f>IF(Volcanic!A557="","",Volcanic!A557)</f>
        <v>6/2004</v>
      </c>
      <c r="B557" s="18">
        <f>IF(ISNUMBER(Volcanic!L557),Volcanic!L557,"")</f>
        <v>2004.4583333333333</v>
      </c>
      <c r="C557" s="18">
        <f>IF(ISNUMBER(Volcanic!J557),Volcanic!J557,"")</f>
        <v>-0.20662712646987869</v>
      </c>
      <c r="D557" s="18">
        <f t="shared" si="234"/>
        <v>4.2694769393199244E-2</v>
      </c>
      <c r="E557" s="18">
        <f>IF(ISNUMBER(Volcanic!C557),Volcanic!C557,"")</f>
        <v>0.44007895337646558</v>
      </c>
      <c r="F557" s="18">
        <f>IF(ISNUMBER(Volcanic!D557),Volcanic!D557,"")</f>
        <v>0.19</v>
      </c>
      <c r="G557" s="18">
        <f>IF(ISNUMBER(Volcanic!E557),Volcanic!E557,"")</f>
        <v>5.0000000000000001E-3</v>
      </c>
      <c r="H557" s="18">
        <f t="shared" si="235"/>
        <v>0.19366948520492536</v>
      </c>
      <c r="I557" s="18">
        <f t="shared" si="236"/>
        <v>3.61E-2</v>
      </c>
      <c r="J557" s="18">
        <f t="shared" si="237"/>
        <v>2.5000000000000001E-5</v>
      </c>
      <c r="K557" s="18">
        <f t="shared" si="238"/>
        <v>8.3615001141528464E-2</v>
      </c>
      <c r="L557" s="18">
        <f t="shared" si="239"/>
        <v>2.2003947668823281E-3</v>
      </c>
      <c r="M557" s="18">
        <f t="shared" si="240"/>
        <v>9.5E-4</v>
      </c>
      <c r="N557" s="18">
        <f t="shared" si="242"/>
        <v>8.6036743509554273E-2</v>
      </c>
      <c r="O557" s="18">
        <f t="shared" si="245"/>
        <v>3.2711930981261118E-3</v>
      </c>
      <c r="P557" s="18">
        <f t="shared" si="247"/>
        <v>3.02667848573784E-4</v>
      </c>
      <c r="Q557" s="18">
        <f t="shared" si="249"/>
        <v>6.8291881798560406E-3</v>
      </c>
      <c r="R557" s="18">
        <f t="shared" si="251"/>
        <v>1.8355641082897045E-3</v>
      </c>
      <c r="S557" s="18">
        <f t="shared" si="253"/>
        <v>1.8843839450201967E-2</v>
      </c>
      <c r="T557" s="18">
        <f t="shared" si="255"/>
        <v>3.6183487872114592E-3</v>
      </c>
      <c r="U557" s="18">
        <f t="shared" si="257"/>
        <v>2.2887161686301262E-2</v>
      </c>
      <c r="V557" s="18">
        <f t="shared" si="258"/>
        <v>5.0611413915205225E-3</v>
      </c>
      <c r="W557" s="18">
        <f t="shared" si="259"/>
        <v>6.8186376544468429E-3</v>
      </c>
      <c r="X557" s="18">
        <f t="shared" si="260"/>
        <v>3.2747121724844988E-4</v>
      </c>
      <c r="Y557" s="18">
        <f t="shared" si="261"/>
        <v>2.9260119935634796E-2</v>
      </c>
      <c r="AA557" s="18">
        <f t="shared" si="243"/>
        <v>-5.9145069783446053E-2</v>
      </c>
      <c r="AB557" s="18">
        <f t="shared" si="244"/>
        <v>3.4981392796887031E-3</v>
      </c>
      <c r="AC557" s="18">
        <f t="shared" si="246"/>
        <v>6.9993454879644826E-2</v>
      </c>
      <c r="AD557" s="18">
        <f t="shared" si="248"/>
        <v>2.3471038204160564E-3</v>
      </c>
      <c r="AE557" s="18">
        <f t="shared" si="250"/>
        <v>3.4749111431015643E-3</v>
      </c>
      <c r="AF557" s="18">
        <f t="shared" si="252"/>
        <v>1.0853618662063705E-2</v>
      </c>
      <c r="AG557" s="18">
        <f t="shared" si="254"/>
        <v>1.2513685995411264E-2</v>
      </c>
      <c r="AH557" s="18">
        <f t="shared" si="256"/>
        <v>2.8062207741592019E-2</v>
      </c>
      <c r="AJ557" s="18">
        <f>IF(ISNUMBER(Kernel!M557),Kernel!M557,"")</f>
        <v>-0.22593820909047602</v>
      </c>
      <c r="AK557" s="18">
        <f t="shared" si="241"/>
        <v>5.104807432701166E-2</v>
      </c>
      <c r="AN557" s="18">
        <f>IF(ISNUMBER(Volcanic!G557),Volcanic!G557,"")</f>
        <v>4.1399999999999996E-3</v>
      </c>
    </row>
    <row r="558" spans="1:40">
      <c r="A558" s="18" t="str">
        <f>IF(Volcanic!A558="","",Volcanic!A558)</f>
        <v>7/2004</v>
      </c>
      <c r="B558" s="18">
        <f>IF(ISNUMBER(Volcanic!L558),Volcanic!L558,"")</f>
        <v>2004.5416666666667</v>
      </c>
      <c r="C558" s="18">
        <f>IF(ISNUMBER(Volcanic!J558),Volcanic!J558,"")</f>
        <v>-0.35571856013056624</v>
      </c>
      <c r="D558" s="18">
        <f t="shared" si="234"/>
        <v>0.12653569402136328</v>
      </c>
      <c r="E558" s="18">
        <f>IF(ISNUMBER(Volcanic!C558),Volcanic!C558,"")</f>
        <v>0.43162295971329212</v>
      </c>
      <c r="F558" s="18">
        <f>IF(ISNUMBER(Volcanic!D558),Volcanic!D558,"")</f>
        <v>0.1</v>
      </c>
      <c r="G558" s="18">
        <f>IF(ISNUMBER(Volcanic!E558),Volcanic!E558,"")</f>
        <v>4.7699999999999999E-3</v>
      </c>
      <c r="H558" s="18">
        <f t="shared" si="235"/>
        <v>0.18629837935166219</v>
      </c>
      <c r="I558" s="18">
        <f t="shared" si="236"/>
        <v>1.0000000000000002E-2</v>
      </c>
      <c r="J558" s="18">
        <f t="shared" si="237"/>
        <v>2.27529E-5</v>
      </c>
      <c r="K558" s="18">
        <f t="shared" si="238"/>
        <v>4.3162295971329215E-2</v>
      </c>
      <c r="L558" s="18">
        <f t="shared" si="239"/>
        <v>2.0588415178324033E-3</v>
      </c>
      <c r="M558" s="18">
        <f t="shared" si="240"/>
        <v>4.7699999999999999E-4</v>
      </c>
      <c r="N558" s="18">
        <f t="shared" si="242"/>
        <v>4.2694769393199244E-2</v>
      </c>
      <c r="O558" s="18">
        <f t="shared" si="245"/>
        <v>8.6036743509554273E-2</v>
      </c>
      <c r="P558" s="18">
        <f t="shared" si="247"/>
        <v>3.2711930981261118E-3</v>
      </c>
      <c r="Q558" s="18">
        <f t="shared" si="249"/>
        <v>3.02667848573784E-4</v>
      </c>
      <c r="R558" s="18">
        <f t="shared" si="251"/>
        <v>6.8291881798560406E-3</v>
      </c>
      <c r="S558" s="18">
        <f t="shared" si="253"/>
        <v>1.8355641082897045E-3</v>
      </c>
      <c r="T558" s="18">
        <f t="shared" si="255"/>
        <v>1.8843839450201967E-2</v>
      </c>
      <c r="U558" s="18">
        <f t="shared" si="257"/>
        <v>3.6183487872114592E-3</v>
      </c>
      <c r="V558" s="18">
        <f t="shared" si="258"/>
        <v>2.2887161686301262E-2</v>
      </c>
      <c r="W558" s="18">
        <f t="shared" si="259"/>
        <v>5.0611413915205225E-3</v>
      </c>
      <c r="X558" s="18">
        <f t="shared" si="260"/>
        <v>6.8186376544468429E-3</v>
      </c>
      <c r="Y558" s="18">
        <f t="shared" si="261"/>
        <v>3.2747121724844988E-4</v>
      </c>
      <c r="AA558" s="18">
        <f t="shared" si="243"/>
        <v>-0.25182597820375591</v>
      </c>
      <c r="AB558" s="18">
        <f t="shared" si="244"/>
        <v>6.3416323298278551E-2</v>
      </c>
      <c r="AC558" s="18">
        <f t="shared" si="246"/>
        <v>3.4981392796887031E-3</v>
      </c>
      <c r="AD558" s="18">
        <f t="shared" si="248"/>
        <v>6.9993454879644826E-2</v>
      </c>
      <c r="AE558" s="18">
        <f t="shared" si="250"/>
        <v>2.3471038204160564E-3</v>
      </c>
      <c r="AF558" s="18">
        <f t="shared" si="252"/>
        <v>3.4749111431015643E-3</v>
      </c>
      <c r="AG558" s="18">
        <f t="shared" si="254"/>
        <v>1.0853618662063705E-2</v>
      </c>
      <c r="AH558" s="18">
        <f t="shared" si="256"/>
        <v>1.2513685995411264E-2</v>
      </c>
      <c r="AJ558" s="18">
        <f>IF(ISNUMBER(Kernel!M558),Kernel!M558,"")</f>
        <v>-0.38688110748158044</v>
      </c>
      <c r="AK558" s="18">
        <f t="shared" si="241"/>
        <v>0.14967699132617421</v>
      </c>
      <c r="AN558" s="18">
        <f>IF(ISNUMBER(Volcanic!G558),Volcanic!G558,"")</f>
        <v>4.1799999999999997E-3</v>
      </c>
    </row>
    <row r="559" spans="1:40">
      <c r="A559" s="18" t="str">
        <f>IF(Volcanic!A559="","",Volcanic!A559)</f>
        <v>8/2004</v>
      </c>
      <c r="B559" s="18">
        <f>IF(ISNUMBER(Volcanic!L559),Volcanic!L559,"")</f>
        <v>2004.625</v>
      </c>
      <c r="C559" s="18">
        <f>IF(ISNUMBER(Volcanic!J559),Volcanic!J559,"")</f>
        <v>-0.15236565868656704</v>
      </c>
      <c r="D559" s="18">
        <f t="shared" si="234"/>
        <v>2.3215293946991442E-2</v>
      </c>
      <c r="E559" s="18">
        <f>IF(ISNUMBER(Volcanic!C559),Volcanic!C559,"")</f>
        <v>0.42595796965197702</v>
      </c>
      <c r="F559" s="18">
        <f>IF(ISNUMBER(Volcanic!D559),Volcanic!D559,"")</f>
        <v>0.12</v>
      </c>
      <c r="G559" s="18">
        <f>IF(ISNUMBER(Volcanic!E559),Volcanic!E559,"")</f>
        <v>4.6600000000000001E-3</v>
      </c>
      <c r="H559" s="18">
        <f t="shared" si="235"/>
        <v>0.18144019191003458</v>
      </c>
      <c r="I559" s="18">
        <f t="shared" si="236"/>
        <v>1.44E-2</v>
      </c>
      <c r="J559" s="18">
        <f t="shared" si="237"/>
        <v>2.1715599999999999E-5</v>
      </c>
      <c r="K559" s="18">
        <f t="shared" si="238"/>
        <v>5.1114956358237242E-2</v>
      </c>
      <c r="L559" s="18">
        <f t="shared" si="239"/>
        <v>1.9849641385782128E-3</v>
      </c>
      <c r="M559" s="18">
        <f t="shared" si="240"/>
        <v>5.5920000000000004E-4</v>
      </c>
      <c r="N559" s="18">
        <f t="shared" si="242"/>
        <v>0.12653569402136328</v>
      </c>
      <c r="O559" s="18">
        <f t="shared" si="245"/>
        <v>4.2694769393199244E-2</v>
      </c>
      <c r="P559" s="18">
        <f t="shared" si="247"/>
        <v>8.6036743509554273E-2</v>
      </c>
      <c r="Q559" s="18">
        <f t="shared" si="249"/>
        <v>3.2711930981261118E-3</v>
      </c>
      <c r="R559" s="18">
        <f t="shared" si="251"/>
        <v>3.02667848573784E-4</v>
      </c>
      <c r="S559" s="18">
        <f t="shared" si="253"/>
        <v>6.8291881798560406E-3</v>
      </c>
      <c r="T559" s="18">
        <f t="shared" si="255"/>
        <v>1.8355641082897045E-3</v>
      </c>
      <c r="U559" s="18">
        <f t="shared" si="257"/>
        <v>1.8843839450201967E-2</v>
      </c>
      <c r="V559" s="18">
        <f t="shared" si="258"/>
        <v>3.6183487872114592E-3</v>
      </c>
      <c r="W559" s="18">
        <f t="shared" si="259"/>
        <v>2.2887161686301262E-2</v>
      </c>
      <c r="X559" s="18">
        <f t="shared" si="260"/>
        <v>5.0611413915205225E-3</v>
      </c>
      <c r="Y559" s="18">
        <f t="shared" si="261"/>
        <v>6.8186376544468429E-3</v>
      </c>
      <c r="AA559" s="18">
        <f t="shared" si="243"/>
        <v>2.649042997243703E-2</v>
      </c>
      <c r="AB559" s="18">
        <f t="shared" si="244"/>
        <v>7.0174288012459017E-4</v>
      </c>
      <c r="AC559" s="18">
        <f t="shared" si="246"/>
        <v>6.3416323298278551E-2</v>
      </c>
      <c r="AD559" s="18">
        <f t="shared" si="248"/>
        <v>3.4981392796887031E-3</v>
      </c>
      <c r="AE559" s="18">
        <f t="shared" si="250"/>
        <v>6.9993454879644826E-2</v>
      </c>
      <c r="AF559" s="18">
        <f t="shared" si="252"/>
        <v>2.3471038204160564E-3</v>
      </c>
      <c r="AG559" s="18">
        <f t="shared" si="254"/>
        <v>3.4749111431015643E-3</v>
      </c>
      <c r="AH559" s="18">
        <f t="shared" si="256"/>
        <v>1.0853618662063705E-2</v>
      </c>
      <c r="AJ559" s="18">
        <f>IF(ISNUMBER(Kernel!M559),Kernel!M559,"")</f>
        <v>-0.1880187447876156</v>
      </c>
      <c r="AK559" s="18">
        <f t="shared" si="241"/>
        <v>3.5351048391510528E-2</v>
      </c>
      <c r="AN559" s="18">
        <f>IF(ISNUMBER(Volcanic!G559),Volcanic!G559,"")</f>
        <v>4.2700000000000004E-3</v>
      </c>
    </row>
    <row r="560" spans="1:40">
      <c r="A560" s="18" t="str">
        <f>IF(Volcanic!A560="","",Volcanic!A560)</f>
        <v>9/2004</v>
      </c>
      <c r="B560" s="18">
        <f>IF(ISNUMBER(Volcanic!L560),Volcanic!L560,"")</f>
        <v>2004.7083333333333</v>
      </c>
      <c r="C560" s="18">
        <f>IF(ISNUMBER(Volcanic!J560),Volcanic!J560,"")</f>
        <v>-9.3842117286562998E-2</v>
      </c>
      <c r="D560" s="18">
        <f t="shared" si="234"/>
        <v>8.8063429768250462E-3</v>
      </c>
      <c r="E560" s="18">
        <f>IF(ISNUMBER(Volcanic!C560),Volcanic!C560,"")</f>
        <v>0.41926920368406412</v>
      </c>
      <c r="F560" s="18">
        <f>IF(ISNUMBER(Volcanic!D560),Volcanic!D560,"")</f>
        <v>0.22</v>
      </c>
      <c r="G560" s="18">
        <f>IF(ISNUMBER(Volcanic!E560),Volcanic!E560,"")</f>
        <v>4.4600000000000004E-3</v>
      </c>
      <c r="H560" s="18">
        <f t="shared" si="235"/>
        <v>0.17578666515786925</v>
      </c>
      <c r="I560" s="18">
        <f t="shared" si="236"/>
        <v>4.8399999999999999E-2</v>
      </c>
      <c r="J560" s="18">
        <f t="shared" si="237"/>
        <v>1.9891600000000005E-5</v>
      </c>
      <c r="K560" s="18">
        <f t="shared" si="238"/>
        <v>9.2239224810494111E-2</v>
      </c>
      <c r="L560" s="18">
        <f t="shared" si="239"/>
        <v>1.8699406484309262E-3</v>
      </c>
      <c r="M560" s="18">
        <f t="shared" si="240"/>
        <v>9.812E-4</v>
      </c>
      <c r="N560" s="18">
        <f t="shared" si="242"/>
        <v>2.3215293946991442E-2</v>
      </c>
      <c r="O560" s="18">
        <f t="shared" si="245"/>
        <v>0.12653569402136328</v>
      </c>
      <c r="P560" s="18">
        <f t="shared" si="247"/>
        <v>4.2694769393199244E-2</v>
      </c>
      <c r="Q560" s="18">
        <f t="shared" si="249"/>
        <v>8.6036743509554273E-2</v>
      </c>
      <c r="R560" s="18">
        <f t="shared" si="251"/>
        <v>3.2711930981261118E-3</v>
      </c>
      <c r="S560" s="18">
        <f t="shared" si="253"/>
        <v>3.02667848573784E-4</v>
      </c>
      <c r="T560" s="18">
        <f t="shared" si="255"/>
        <v>6.8291881798560406E-3</v>
      </c>
      <c r="U560" s="18">
        <f t="shared" si="257"/>
        <v>1.8355641082897045E-3</v>
      </c>
      <c r="V560" s="18">
        <f t="shared" si="258"/>
        <v>1.8843839450201967E-2</v>
      </c>
      <c r="W560" s="18">
        <f t="shared" si="259"/>
        <v>3.6183487872114592E-3</v>
      </c>
      <c r="X560" s="18">
        <f t="shared" si="260"/>
        <v>2.2887161686301262E-2</v>
      </c>
      <c r="Y560" s="18">
        <f t="shared" si="261"/>
        <v>5.0611413915205225E-3</v>
      </c>
      <c r="AA560" s="18">
        <f t="shared" si="243"/>
        <v>-1.7232322878788675E-2</v>
      </c>
      <c r="AB560" s="18">
        <f t="shared" si="244"/>
        <v>2.9695295179882363E-4</v>
      </c>
      <c r="AC560" s="18">
        <f t="shared" si="246"/>
        <v>7.0174288012459017E-4</v>
      </c>
      <c r="AD560" s="18">
        <f t="shared" si="248"/>
        <v>6.3416323298278551E-2</v>
      </c>
      <c r="AE560" s="18">
        <f t="shared" si="250"/>
        <v>3.4981392796887031E-3</v>
      </c>
      <c r="AF560" s="18">
        <f t="shared" si="252"/>
        <v>6.9993454879644826E-2</v>
      </c>
      <c r="AG560" s="18">
        <f t="shared" si="254"/>
        <v>2.3471038204160564E-3</v>
      </c>
      <c r="AH560" s="18">
        <f t="shared" si="256"/>
        <v>3.4749111431015643E-3</v>
      </c>
      <c r="AJ560" s="18">
        <f>IF(ISNUMBER(Kernel!M560),Kernel!M560,"")</f>
        <v>-0.12622442657824895</v>
      </c>
      <c r="AK560" s="18">
        <f t="shared" si="241"/>
        <v>1.5932605865007759E-2</v>
      </c>
      <c r="AN560" s="18">
        <f>IF(ISNUMBER(Volcanic!G560),Volcanic!G560,"")</f>
        <v>4.4299999999999999E-3</v>
      </c>
    </row>
    <row r="561" spans="1:40">
      <c r="A561" s="18" t="str">
        <f>IF(Volcanic!A561="","",Volcanic!A561)</f>
        <v>10/2004</v>
      </c>
      <c r="B561" s="18">
        <f>IF(ISNUMBER(Volcanic!L561),Volcanic!L561,"")</f>
        <v>2004.7916666666667</v>
      </c>
      <c r="C561" s="18">
        <f>IF(ISNUMBER(Volcanic!J561),Volcanic!J561,"")</f>
        <v>-2.0265361763022183E-3</v>
      </c>
      <c r="D561" s="18">
        <f t="shared" si="234"/>
        <v>4.1068488738616154E-6</v>
      </c>
      <c r="E561" s="18">
        <f>IF(ISNUMBER(Volcanic!C561),Volcanic!C561,"")</f>
        <v>0.42003960662918038</v>
      </c>
      <c r="F561" s="18">
        <f>IF(ISNUMBER(Volcanic!D561),Volcanic!D561,"")</f>
        <v>0.39</v>
      </c>
      <c r="G561" s="18">
        <f>IF(ISNUMBER(Volcanic!E561),Volcanic!E561,"")</f>
        <v>4.3200000000000001E-3</v>
      </c>
      <c r="H561" s="18">
        <f t="shared" si="235"/>
        <v>0.17643327113719659</v>
      </c>
      <c r="I561" s="18">
        <f t="shared" si="236"/>
        <v>0.15210000000000001</v>
      </c>
      <c r="J561" s="18">
        <f t="shared" si="237"/>
        <v>1.8662399999999999E-5</v>
      </c>
      <c r="K561" s="18">
        <f t="shared" si="238"/>
        <v>0.16381544658538036</v>
      </c>
      <c r="L561" s="18">
        <f t="shared" si="239"/>
        <v>1.8145711006380594E-3</v>
      </c>
      <c r="M561" s="18">
        <f t="shared" si="240"/>
        <v>1.6848000000000002E-3</v>
      </c>
      <c r="N561" s="18">
        <f t="shared" si="242"/>
        <v>8.8063429768250462E-3</v>
      </c>
      <c r="O561" s="18">
        <f t="shared" si="245"/>
        <v>2.3215293946991442E-2</v>
      </c>
      <c r="P561" s="18">
        <f t="shared" si="247"/>
        <v>0.12653569402136328</v>
      </c>
      <c r="Q561" s="18">
        <f t="shared" si="249"/>
        <v>4.2694769393199244E-2</v>
      </c>
      <c r="R561" s="18">
        <f t="shared" si="251"/>
        <v>8.6036743509554273E-2</v>
      </c>
      <c r="S561" s="18">
        <f t="shared" si="253"/>
        <v>3.2711930981261118E-3</v>
      </c>
      <c r="T561" s="18">
        <f t="shared" si="255"/>
        <v>3.02667848573784E-4</v>
      </c>
      <c r="U561" s="18">
        <f t="shared" si="257"/>
        <v>6.8291881798560406E-3</v>
      </c>
      <c r="V561" s="18">
        <f t="shared" si="258"/>
        <v>1.8355641082897045E-3</v>
      </c>
      <c r="W561" s="18">
        <f t="shared" si="259"/>
        <v>1.8843839450201967E-2</v>
      </c>
      <c r="X561" s="18">
        <f t="shared" si="260"/>
        <v>3.6183487872114592E-3</v>
      </c>
      <c r="Y561" s="18">
        <f t="shared" si="261"/>
        <v>2.2887161686301262E-2</v>
      </c>
      <c r="AA561" s="18">
        <f t="shared" si="243"/>
        <v>4.5157490553125477E-2</v>
      </c>
      <c r="AB561" s="18">
        <f t="shared" si="244"/>
        <v>2.0391989530556169E-3</v>
      </c>
      <c r="AC561" s="18">
        <f t="shared" si="246"/>
        <v>2.9695295179882363E-4</v>
      </c>
      <c r="AD561" s="18">
        <f t="shared" si="248"/>
        <v>7.0174288012459017E-4</v>
      </c>
      <c r="AE561" s="18">
        <f t="shared" si="250"/>
        <v>6.3416323298278551E-2</v>
      </c>
      <c r="AF561" s="18">
        <f t="shared" si="252"/>
        <v>3.4981392796887031E-3</v>
      </c>
      <c r="AG561" s="18">
        <f t="shared" si="254"/>
        <v>6.9993454879644826E-2</v>
      </c>
      <c r="AH561" s="18">
        <f t="shared" si="256"/>
        <v>2.3471038204160564E-3</v>
      </c>
      <c r="AJ561" s="18">
        <f>IF(ISNUMBER(Kernel!M561),Kernel!M561,"")</f>
        <v>-2.4318353582647889E-2</v>
      </c>
      <c r="AK561" s="18">
        <f t="shared" si="241"/>
        <v>5.9138232097068341E-4</v>
      </c>
      <c r="AN561" s="18">
        <f>IF(ISNUMBER(Volcanic!G561),Volcanic!G561,"")</f>
        <v>4.3099999999999996E-3</v>
      </c>
    </row>
    <row r="562" spans="1:40">
      <c r="A562" s="18" t="str">
        <f>IF(Volcanic!A562="","",Volcanic!A562)</f>
        <v>11/2004</v>
      </c>
      <c r="B562" s="18">
        <f>IF(ISNUMBER(Volcanic!L562),Volcanic!L562,"")</f>
        <v>2004.875</v>
      </c>
      <c r="C562" s="18">
        <f>IF(ISNUMBER(Volcanic!J562),Volcanic!J562,"")</f>
        <v>8.619501889118697E-2</v>
      </c>
      <c r="D562" s="18">
        <f t="shared" si="234"/>
        <v>7.4295812816520786E-3</v>
      </c>
      <c r="E562" s="18">
        <f>IF(ISNUMBER(Volcanic!C562),Volcanic!C562,"")</f>
        <v>0.42657147452910854</v>
      </c>
      <c r="F562" s="18">
        <f>IF(ISNUMBER(Volcanic!D562),Volcanic!D562,"")</f>
        <v>0.54</v>
      </c>
      <c r="G562" s="18">
        <f>IF(ISNUMBER(Volcanic!E562),Volcanic!E562,"")</f>
        <v>4.3E-3</v>
      </c>
      <c r="H562" s="18">
        <f t="shared" si="235"/>
        <v>0.18196322288193789</v>
      </c>
      <c r="I562" s="18">
        <f t="shared" si="236"/>
        <v>0.29160000000000003</v>
      </c>
      <c r="J562" s="18">
        <f t="shared" si="237"/>
        <v>1.8490000000000001E-5</v>
      </c>
      <c r="K562" s="18">
        <f t="shared" si="238"/>
        <v>0.23034859624571863</v>
      </c>
      <c r="L562" s="18">
        <f t="shared" si="239"/>
        <v>1.8342573404751667E-3</v>
      </c>
      <c r="M562" s="18">
        <f t="shared" si="240"/>
        <v>2.3220000000000003E-3</v>
      </c>
      <c r="N562" s="18">
        <f t="shared" si="242"/>
        <v>4.1068488738616154E-6</v>
      </c>
      <c r="O562" s="18">
        <f t="shared" si="245"/>
        <v>8.8063429768250462E-3</v>
      </c>
      <c r="P562" s="18">
        <f t="shared" si="247"/>
        <v>2.3215293946991442E-2</v>
      </c>
      <c r="Q562" s="18">
        <f t="shared" si="249"/>
        <v>0.12653569402136328</v>
      </c>
      <c r="R562" s="18">
        <f t="shared" si="251"/>
        <v>4.2694769393199244E-2</v>
      </c>
      <c r="S562" s="18">
        <f t="shared" si="253"/>
        <v>8.6036743509554273E-2</v>
      </c>
      <c r="T562" s="18">
        <f t="shared" si="255"/>
        <v>3.2711930981261118E-3</v>
      </c>
      <c r="U562" s="18">
        <f t="shared" si="257"/>
        <v>3.02667848573784E-4</v>
      </c>
      <c r="V562" s="18">
        <f t="shared" si="258"/>
        <v>6.8291881798560406E-3</v>
      </c>
      <c r="W562" s="18">
        <f t="shared" si="259"/>
        <v>1.8355641082897045E-3</v>
      </c>
      <c r="X562" s="18">
        <f t="shared" si="260"/>
        <v>1.8843839450201967E-2</v>
      </c>
      <c r="Y562" s="18">
        <f t="shared" si="261"/>
        <v>3.6183487872114592E-3</v>
      </c>
      <c r="AA562" s="18">
        <f t="shared" si="243"/>
        <v>8.7213965819023256E-2</v>
      </c>
      <c r="AB562" s="18">
        <f t="shared" si="244"/>
        <v>7.6062758338817571E-3</v>
      </c>
      <c r="AC562" s="18">
        <f t="shared" si="246"/>
        <v>2.0391989530556169E-3</v>
      </c>
      <c r="AD562" s="18">
        <f t="shared" si="248"/>
        <v>2.9695295179882363E-4</v>
      </c>
      <c r="AE562" s="18">
        <f t="shared" si="250"/>
        <v>7.0174288012459017E-4</v>
      </c>
      <c r="AF562" s="18">
        <f t="shared" si="252"/>
        <v>6.3416323298278551E-2</v>
      </c>
      <c r="AG562" s="18">
        <f t="shared" si="254"/>
        <v>3.4981392796887031E-3</v>
      </c>
      <c r="AH562" s="18">
        <f t="shared" si="256"/>
        <v>6.9993454879644826E-2</v>
      </c>
      <c r="AJ562" s="18">
        <f>IF(ISNUMBER(Kernel!M562),Kernel!M562,"")</f>
        <v>7.2301615614881576E-2</v>
      </c>
      <c r="AK562" s="18">
        <f t="shared" si="241"/>
        <v>5.2275236205220873E-3</v>
      </c>
      <c r="AN562" s="18">
        <f>IF(ISNUMBER(Volcanic!G562),Volcanic!G562,"")</f>
        <v>4.4000000000000003E-3</v>
      </c>
    </row>
    <row r="563" spans="1:40">
      <c r="A563" s="18" t="str">
        <f>IF(Volcanic!A563="","",Volcanic!A563)</f>
        <v>12/2004</v>
      </c>
      <c r="B563" s="18">
        <f>IF(ISNUMBER(Volcanic!L563),Volcanic!L563,"")</f>
        <v>2004.9583333333333</v>
      </c>
      <c r="C563" s="18">
        <f>IF(ISNUMBER(Volcanic!J563),Volcanic!J563,"")</f>
        <v>-0.15182693457918572</v>
      </c>
      <c r="D563" s="18">
        <f t="shared" si="234"/>
        <v>2.3051418063712342E-2</v>
      </c>
      <c r="E563" s="18">
        <f>IF(ISNUMBER(Volcanic!C563),Volcanic!C563,"")</f>
        <v>0.43173756088430215</v>
      </c>
      <c r="F563" s="18">
        <f>IF(ISNUMBER(Volcanic!D563),Volcanic!D563,"")</f>
        <v>0.57999999999999996</v>
      </c>
      <c r="G563" s="18">
        <f>IF(ISNUMBER(Volcanic!E563),Volcanic!E563,"")</f>
        <v>4.1999999999999997E-3</v>
      </c>
      <c r="H563" s="18">
        <f t="shared" si="235"/>
        <v>0.18639732147832649</v>
      </c>
      <c r="I563" s="18">
        <f t="shared" si="236"/>
        <v>0.33639999999999998</v>
      </c>
      <c r="J563" s="18">
        <f t="shared" si="237"/>
        <v>1.7639999999999997E-5</v>
      </c>
      <c r="K563" s="18">
        <f t="shared" si="238"/>
        <v>0.2504077853128952</v>
      </c>
      <c r="L563" s="18">
        <f t="shared" si="239"/>
        <v>1.813297755714069E-3</v>
      </c>
      <c r="M563" s="18">
        <f t="shared" si="240"/>
        <v>2.4359999999999998E-3</v>
      </c>
      <c r="N563" s="18">
        <f t="shared" si="242"/>
        <v>7.4295812816520786E-3</v>
      </c>
      <c r="O563" s="18">
        <f t="shared" si="245"/>
        <v>4.1068488738616154E-6</v>
      </c>
      <c r="P563" s="18">
        <f t="shared" si="247"/>
        <v>8.8063429768250462E-3</v>
      </c>
      <c r="Q563" s="18">
        <f t="shared" si="249"/>
        <v>2.3215293946991442E-2</v>
      </c>
      <c r="R563" s="18">
        <f t="shared" si="251"/>
        <v>0.12653569402136328</v>
      </c>
      <c r="S563" s="18">
        <f t="shared" si="253"/>
        <v>4.2694769393199244E-2</v>
      </c>
      <c r="T563" s="18">
        <f t="shared" si="255"/>
        <v>8.6036743509554273E-2</v>
      </c>
      <c r="U563" s="18">
        <f t="shared" si="257"/>
        <v>3.2711930981261118E-3</v>
      </c>
      <c r="V563" s="18">
        <f t="shared" si="258"/>
        <v>3.02667848573784E-4</v>
      </c>
      <c r="W563" s="18">
        <f t="shared" si="259"/>
        <v>6.8291881798560406E-3</v>
      </c>
      <c r="X563" s="18">
        <f t="shared" si="260"/>
        <v>1.8355641082897045E-3</v>
      </c>
      <c r="Y563" s="18">
        <f t="shared" si="261"/>
        <v>1.8843839450201967E-2</v>
      </c>
      <c r="AA563" s="18">
        <f t="shared" si="243"/>
        <v>-0.1951659831098782</v>
      </c>
      <c r="AB563" s="18">
        <f t="shared" si="244"/>
        <v>3.8089760963245262E-2</v>
      </c>
      <c r="AC563" s="18">
        <f t="shared" si="246"/>
        <v>7.6062758338817571E-3</v>
      </c>
      <c r="AD563" s="18">
        <f t="shared" si="248"/>
        <v>2.0391989530556169E-3</v>
      </c>
      <c r="AE563" s="18">
        <f t="shared" si="250"/>
        <v>2.9695295179882363E-4</v>
      </c>
      <c r="AF563" s="18">
        <f t="shared" si="252"/>
        <v>7.0174288012459017E-4</v>
      </c>
      <c r="AG563" s="18">
        <f t="shared" si="254"/>
        <v>6.3416323298278551E-2</v>
      </c>
      <c r="AH563" s="18">
        <f t="shared" si="256"/>
        <v>3.4981392796887031E-3</v>
      </c>
      <c r="AJ563" s="18">
        <f>IF(ISNUMBER(Kernel!M563),Kernel!M563,"")</f>
        <v>-0.16798457445219739</v>
      </c>
      <c r="AK563" s="18">
        <f t="shared" si="241"/>
        <v>2.8218817253885847E-2</v>
      </c>
      <c r="AN563" s="18">
        <f>IF(ISNUMBER(Volcanic!G563),Volcanic!G563,"")</f>
        <v>4.5500000000000002E-3</v>
      </c>
    </row>
    <row r="564" spans="1:40">
      <c r="A564" s="18" t="str">
        <f>IF(Volcanic!A564="","",Volcanic!A564)</f>
        <v>1/2005</v>
      </c>
      <c r="B564" s="18">
        <f>IF(ISNUMBER(Volcanic!L564),Volcanic!L564,"")</f>
        <v>2005.0416666666667</v>
      </c>
      <c r="C564" s="18">
        <f>IF(ISNUMBER(Volcanic!J564),Volcanic!J564,"")</f>
        <v>7.5372084359339064E-2</v>
      </c>
      <c r="D564" s="18">
        <f t="shared" si="234"/>
        <v>5.6809511006713246E-3</v>
      </c>
      <c r="E564" s="18">
        <f>IF(ISNUMBER(Volcanic!C564),Volcanic!C564,"")</f>
        <v>0.43536189749141069</v>
      </c>
      <c r="F564" s="18">
        <f>IF(ISNUMBER(Volcanic!D564),Volcanic!D564,"")</f>
        <v>0.61</v>
      </c>
      <c r="G564" s="18">
        <f>IF(ISNUMBER(Volcanic!E564),Volcanic!E564,"")</f>
        <v>4.1399999999999996E-3</v>
      </c>
      <c r="H564" s="18">
        <f t="shared" si="235"/>
        <v>0.18953998178732159</v>
      </c>
      <c r="I564" s="18">
        <f t="shared" si="236"/>
        <v>0.37209999999999999</v>
      </c>
      <c r="J564" s="18">
        <f t="shared" si="237"/>
        <v>1.7139599999999998E-5</v>
      </c>
      <c r="K564" s="18">
        <f t="shared" si="238"/>
        <v>0.2655707574697605</v>
      </c>
      <c r="L564" s="18">
        <f t="shared" si="239"/>
        <v>1.80239825561444E-3</v>
      </c>
      <c r="M564" s="18">
        <f t="shared" si="240"/>
        <v>2.5253999999999997E-3</v>
      </c>
      <c r="N564" s="18">
        <f t="shared" si="242"/>
        <v>2.3051418063712342E-2</v>
      </c>
      <c r="O564" s="18">
        <f t="shared" si="245"/>
        <v>7.4295812816520786E-3</v>
      </c>
      <c r="P564" s="18">
        <f t="shared" si="247"/>
        <v>4.1068488738616154E-6</v>
      </c>
      <c r="Q564" s="18">
        <f t="shared" si="249"/>
        <v>8.8063429768250462E-3</v>
      </c>
      <c r="R564" s="18">
        <f t="shared" si="251"/>
        <v>2.3215293946991442E-2</v>
      </c>
      <c r="S564" s="18">
        <f t="shared" si="253"/>
        <v>0.12653569402136328</v>
      </c>
      <c r="T564" s="18">
        <f t="shared" si="255"/>
        <v>4.2694769393199244E-2</v>
      </c>
      <c r="U564" s="18">
        <f t="shared" si="257"/>
        <v>8.6036743509554273E-2</v>
      </c>
      <c r="V564" s="18">
        <f t="shared" si="258"/>
        <v>3.2711930981261118E-3</v>
      </c>
      <c r="W564" s="18">
        <f t="shared" si="259"/>
        <v>3.02667848573784E-4</v>
      </c>
      <c r="X564" s="18">
        <f t="shared" si="260"/>
        <v>6.8291881798560406E-3</v>
      </c>
      <c r="Y564" s="18">
        <f t="shared" si="261"/>
        <v>1.8355641082897045E-3</v>
      </c>
      <c r="AA564" s="18">
        <f t="shared" si="243"/>
        <v>0.15171100707945906</v>
      </c>
      <c r="AB564" s="18">
        <f t="shared" si="244"/>
        <v>2.3016229669063675E-2</v>
      </c>
      <c r="AC564" s="18">
        <f t="shared" si="246"/>
        <v>3.8089760963245262E-2</v>
      </c>
      <c r="AD564" s="18">
        <f t="shared" si="248"/>
        <v>7.6062758338817571E-3</v>
      </c>
      <c r="AE564" s="18">
        <f t="shared" si="250"/>
        <v>2.0391989530556169E-3</v>
      </c>
      <c r="AF564" s="18">
        <f t="shared" si="252"/>
        <v>2.9695295179882363E-4</v>
      </c>
      <c r="AG564" s="18">
        <f t="shared" si="254"/>
        <v>7.0174288012459017E-4</v>
      </c>
      <c r="AH564" s="18">
        <f t="shared" si="256"/>
        <v>6.3416323298278551E-2</v>
      </c>
      <c r="AJ564" s="18">
        <f>IF(ISNUMBER(Kernel!M564),Kernel!M564,"")</f>
        <v>5.8863103785573467E-2</v>
      </c>
      <c r="AK564" s="18">
        <f t="shared" si="241"/>
        <v>3.4648649872711934E-3</v>
      </c>
      <c r="AN564" s="18">
        <f>IF(ISNUMBER(Volcanic!G564),Volcanic!G564,"")</f>
        <v>4.7099999999999998E-3</v>
      </c>
    </row>
    <row r="565" spans="1:40">
      <c r="A565" s="18" t="str">
        <f>IF(Volcanic!A565="","",Volcanic!A565)</f>
        <v>2/2005</v>
      </c>
      <c r="B565" s="18">
        <f>IF(ISNUMBER(Volcanic!L565),Volcanic!L565,"")</f>
        <v>2005.125</v>
      </c>
      <c r="C565" s="18">
        <f>IF(ISNUMBER(Volcanic!J565),Volcanic!J565,"")</f>
        <v>-9.0603486331823913E-2</v>
      </c>
      <c r="D565" s="18">
        <f t="shared" si="234"/>
        <v>8.208991735481003E-3</v>
      </c>
      <c r="E565" s="18">
        <f>IF(ISNUMBER(Volcanic!C565),Volcanic!C565,"")</f>
        <v>0.4402308599854548</v>
      </c>
      <c r="F565" s="18">
        <f>IF(ISNUMBER(Volcanic!D565),Volcanic!D565,"")</f>
        <v>0.64</v>
      </c>
      <c r="G565" s="18">
        <f>IF(ISNUMBER(Volcanic!E565),Volcanic!E565,"")</f>
        <v>4.1799999999999997E-3</v>
      </c>
      <c r="H565" s="18">
        <f t="shared" si="235"/>
        <v>0.1938032100835331</v>
      </c>
      <c r="I565" s="18">
        <f t="shared" si="236"/>
        <v>0.40960000000000002</v>
      </c>
      <c r="J565" s="18">
        <f t="shared" si="237"/>
        <v>1.7472399999999999E-5</v>
      </c>
      <c r="K565" s="18">
        <f t="shared" si="238"/>
        <v>0.28174775039069105</v>
      </c>
      <c r="L565" s="18">
        <f t="shared" si="239"/>
        <v>1.840164994739201E-3</v>
      </c>
      <c r="M565" s="18">
        <f t="shared" si="240"/>
        <v>2.6752E-3</v>
      </c>
      <c r="N565" s="18">
        <f t="shared" si="242"/>
        <v>5.6809511006713246E-3</v>
      </c>
      <c r="O565" s="18">
        <f t="shared" si="245"/>
        <v>2.3051418063712342E-2</v>
      </c>
      <c r="P565" s="18">
        <f t="shared" si="247"/>
        <v>7.4295812816520786E-3</v>
      </c>
      <c r="Q565" s="18">
        <f t="shared" si="249"/>
        <v>4.1068488738616154E-6</v>
      </c>
      <c r="R565" s="18">
        <f t="shared" si="251"/>
        <v>8.8063429768250462E-3</v>
      </c>
      <c r="S565" s="18">
        <f t="shared" si="253"/>
        <v>2.3215293946991442E-2</v>
      </c>
      <c r="T565" s="18">
        <f t="shared" si="255"/>
        <v>0.12653569402136328</v>
      </c>
      <c r="U565" s="18">
        <f t="shared" si="257"/>
        <v>4.2694769393199244E-2</v>
      </c>
      <c r="V565" s="18">
        <f t="shared" si="258"/>
        <v>8.6036743509554273E-2</v>
      </c>
      <c r="W565" s="18">
        <f t="shared" si="259"/>
        <v>3.2711930981261118E-3</v>
      </c>
      <c r="X565" s="18">
        <f t="shared" si="260"/>
        <v>3.02667848573784E-4</v>
      </c>
      <c r="Y565" s="18">
        <f t="shared" si="261"/>
        <v>6.8291881798560406E-3</v>
      </c>
      <c r="AA565" s="18">
        <f t="shared" si="243"/>
        <v>-0.12850073914213489</v>
      </c>
      <c r="AB565" s="18">
        <f t="shared" si="244"/>
        <v>1.6512439960074999E-2</v>
      </c>
      <c r="AC565" s="18">
        <f t="shared" si="246"/>
        <v>2.3016229669063675E-2</v>
      </c>
      <c r="AD565" s="18">
        <f t="shared" si="248"/>
        <v>3.8089760963245262E-2</v>
      </c>
      <c r="AE565" s="18">
        <f t="shared" si="250"/>
        <v>7.6062758338817571E-3</v>
      </c>
      <c r="AF565" s="18">
        <f t="shared" si="252"/>
        <v>2.0391989530556169E-3</v>
      </c>
      <c r="AG565" s="18">
        <f t="shared" si="254"/>
        <v>2.9695295179882363E-4</v>
      </c>
      <c r="AH565" s="18">
        <f t="shared" si="256"/>
        <v>7.0174288012459017E-4</v>
      </c>
      <c r="AJ565" s="18">
        <f>IF(ISNUMBER(Kernel!M565),Kernel!M565,"")</f>
        <v>-0.10557286636814445</v>
      </c>
      <c r="AK565" s="18">
        <f t="shared" si="241"/>
        <v>1.1145630113186086E-2</v>
      </c>
      <c r="AN565" s="18">
        <f>IF(ISNUMBER(Volcanic!G565),Volcanic!G565,"")</f>
        <v>4.8799999999999998E-3</v>
      </c>
    </row>
    <row r="566" spans="1:40">
      <c r="A566" s="18" t="str">
        <f>IF(Volcanic!A566="","",Volcanic!A566)</f>
        <v>3/2005</v>
      </c>
      <c r="B566" s="18">
        <f>IF(ISNUMBER(Volcanic!L566),Volcanic!L566,"")</f>
        <v>2005.2083333333333</v>
      </c>
      <c r="C566" s="18">
        <f>IF(ISNUMBER(Volcanic!J566),Volcanic!J566,"")</f>
        <v>3.2342013669144132E-2</v>
      </c>
      <c r="D566" s="18">
        <f t="shared" si="234"/>
        <v>1.0460058481751059E-3</v>
      </c>
      <c r="E566" s="18">
        <f>IF(ISNUMBER(Volcanic!C566),Volcanic!C566,"")</f>
        <v>0.44417482806617692</v>
      </c>
      <c r="F566" s="18">
        <f>IF(ISNUMBER(Volcanic!D566),Volcanic!D566,"")</f>
        <v>0.71</v>
      </c>
      <c r="G566" s="18">
        <f>IF(ISNUMBER(Volcanic!E566),Volcanic!E566,"")</f>
        <v>4.2700000000000004E-3</v>
      </c>
      <c r="H566" s="18">
        <f t="shared" si="235"/>
        <v>0.19729127788761783</v>
      </c>
      <c r="I566" s="18">
        <f t="shared" si="236"/>
        <v>0.50409999999999999</v>
      </c>
      <c r="J566" s="18">
        <f t="shared" si="237"/>
        <v>1.8232900000000003E-5</v>
      </c>
      <c r="K566" s="18">
        <f t="shared" si="238"/>
        <v>0.31536412792698559</v>
      </c>
      <c r="L566" s="18">
        <f t="shared" si="239"/>
        <v>1.8966265158425757E-3</v>
      </c>
      <c r="M566" s="18">
        <f t="shared" si="240"/>
        <v>3.0317E-3</v>
      </c>
      <c r="N566" s="18">
        <f t="shared" si="242"/>
        <v>8.208991735481003E-3</v>
      </c>
      <c r="O566" s="18">
        <f t="shared" si="245"/>
        <v>5.6809511006713246E-3</v>
      </c>
      <c r="P566" s="18">
        <f t="shared" si="247"/>
        <v>2.3051418063712342E-2</v>
      </c>
      <c r="Q566" s="18">
        <f t="shared" si="249"/>
        <v>7.4295812816520786E-3</v>
      </c>
      <c r="R566" s="18">
        <f t="shared" si="251"/>
        <v>4.1068488738616154E-6</v>
      </c>
      <c r="S566" s="18">
        <f t="shared" si="253"/>
        <v>8.8063429768250462E-3</v>
      </c>
      <c r="T566" s="18">
        <f t="shared" si="255"/>
        <v>2.3215293946991442E-2</v>
      </c>
      <c r="U566" s="18">
        <f t="shared" si="257"/>
        <v>0.12653569402136328</v>
      </c>
      <c r="V566" s="18">
        <f t="shared" si="258"/>
        <v>4.2694769393199244E-2</v>
      </c>
      <c r="W566" s="18">
        <f t="shared" si="259"/>
        <v>8.6036743509554273E-2</v>
      </c>
      <c r="X566" s="18">
        <f t="shared" si="260"/>
        <v>3.2711930981261118E-3</v>
      </c>
      <c r="Y566" s="18">
        <f t="shared" si="261"/>
        <v>3.02667848573784E-4</v>
      </c>
      <c r="AA566" s="18">
        <f t="shared" si="243"/>
        <v>7.7897649501672897E-2</v>
      </c>
      <c r="AB566" s="18">
        <f t="shared" si="244"/>
        <v>6.0680437978854794E-3</v>
      </c>
      <c r="AC566" s="18">
        <f t="shared" si="246"/>
        <v>1.6512439960074999E-2</v>
      </c>
      <c r="AD566" s="18">
        <f t="shared" si="248"/>
        <v>2.3016229669063675E-2</v>
      </c>
      <c r="AE566" s="18">
        <f t="shared" si="250"/>
        <v>3.8089760963245262E-2</v>
      </c>
      <c r="AF566" s="18">
        <f t="shared" si="252"/>
        <v>7.6062758338817571E-3</v>
      </c>
      <c r="AG566" s="18">
        <f t="shared" si="254"/>
        <v>2.0391989530556169E-3</v>
      </c>
      <c r="AH566" s="18">
        <f t="shared" si="256"/>
        <v>2.9695295179882363E-4</v>
      </c>
      <c r="AJ566" s="18">
        <f>IF(ISNUMBER(Kernel!M566),Kernel!M566,"")</f>
        <v>2.6123995836586089E-2</v>
      </c>
      <c r="AK566" s="18">
        <f t="shared" si="241"/>
        <v>6.8246315846996731E-4</v>
      </c>
      <c r="AN566" s="18">
        <f>IF(ISNUMBER(Volcanic!G566),Volcanic!G566,"")</f>
        <v>5.5399999999999998E-3</v>
      </c>
    </row>
    <row r="567" spans="1:40">
      <c r="A567" s="18" t="str">
        <f>IF(Volcanic!A567="","",Volcanic!A567)</f>
        <v>4/2005</v>
      </c>
      <c r="B567" s="18">
        <f>IF(ISNUMBER(Volcanic!L567),Volcanic!L567,"")</f>
        <v>2005.2916666666667</v>
      </c>
      <c r="C567" s="18">
        <f>IF(ISNUMBER(Volcanic!J567),Volcanic!J567,"")</f>
        <v>-4.4726143004822805E-2</v>
      </c>
      <c r="D567" s="18">
        <f t="shared" si="234"/>
        <v>2.0004278680878598E-3</v>
      </c>
      <c r="E567" s="18">
        <f>IF(ISNUMBER(Volcanic!C567),Volcanic!C567,"")</f>
        <v>0.44995748362800358</v>
      </c>
      <c r="F567" s="18">
        <f>IF(ISNUMBER(Volcanic!D567),Volcanic!D567,"")</f>
        <v>0.62</v>
      </c>
      <c r="G567" s="18">
        <f>IF(ISNUMBER(Volcanic!E567),Volcanic!E567,"")</f>
        <v>4.4299999999999999E-3</v>
      </c>
      <c r="H567" s="18">
        <f t="shared" si="235"/>
        <v>0.20246173707284512</v>
      </c>
      <c r="I567" s="18">
        <f t="shared" si="236"/>
        <v>0.38440000000000002</v>
      </c>
      <c r="J567" s="18">
        <f t="shared" si="237"/>
        <v>1.9624899999999999E-5</v>
      </c>
      <c r="K567" s="18">
        <f t="shared" si="238"/>
        <v>0.27897363984936224</v>
      </c>
      <c r="L567" s="18">
        <f t="shared" si="239"/>
        <v>1.9933116524720558E-3</v>
      </c>
      <c r="M567" s="18">
        <f t="shared" si="240"/>
        <v>2.7466000000000001E-3</v>
      </c>
      <c r="N567" s="18">
        <f t="shared" si="242"/>
        <v>1.0460058481751059E-3</v>
      </c>
      <c r="O567" s="18">
        <f t="shared" si="245"/>
        <v>8.208991735481003E-3</v>
      </c>
      <c r="P567" s="18">
        <f t="shared" si="247"/>
        <v>5.6809511006713246E-3</v>
      </c>
      <c r="Q567" s="18">
        <f t="shared" si="249"/>
        <v>2.3051418063712342E-2</v>
      </c>
      <c r="R567" s="18">
        <f t="shared" si="251"/>
        <v>7.4295812816520786E-3</v>
      </c>
      <c r="S567" s="18">
        <f t="shared" si="253"/>
        <v>4.1068488738616154E-6</v>
      </c>
      <c r="T567" s="18">
        <f t="shared" si="255"/>
        <v>8.8063429768250462E-3</v>
      </c>
      <c r="U567" s="18">
        <f t="shared" si="257"/>
        <v>2.3215293946991442E-2</v>
      </c>
      <c r="V567" s="18">
        <f t="shared" si="258"/>
        <v>0.12653569402136328</v>
      </c>
      <c r="W567" s="18">
        <f t="shared" si="259"/>
        <v>4.2694769393199244E-2</v>
      </c>
      <c r="X567" s="18">
        <f t="shared" si="260"/>
        <v>8.6036743509554273E-2</v>
      </c>
      <c r="Y567" s="18">
        <f t="shared" si="261"/>
        <v>3.2711930981261118E-3</v>
      </c>
      <c r="AA567" s="18">
        <f t="shared" si="243"/>
        <v>-6.0987779907029832E-2</v>
      </c>
      <c r="AB567" s="18">
        <f t="shared" si="244"/>
        <v>3.7195092979883117E-3</v>
      </c>
      <c r="AC567" s="18">
        <f t="shared" si="246"/>
        <v>6.0680437978854794E-3</v>
      </c>
      <c r="AD567" s="18">
        <f t="shared" si="248"/>
        <v>1.6512439960074999E-2</v>
      </c>
      <c r="AE567" s="18">
        <f t="shared" si="250"/>
        <v>2.3016229669063675E-2</v>
      </c>
      <c r="AF567" s="18">
        <f t="shared" si="252"/>
        <v>3.8089760963245262E-2</v>
      </c>
      <c r="AG567" s="18">
        <f t="shared" si="254"/>
        <v>7.6062758338817571E-3</v>
      </c>
      <c r="AH567" s="18">
        <f t="shared" si="256"/>
        <v>2.0391989530556169E-3</v>
      </c>
      <c r="AJ567" s="18">
        <f>IF(ISNUMBER(Kernel!M567),Kernel!M567,"")</f>
        <v>-5.6808262235966023E-2</v>
      </c>
      <c r="AK567" s="18">
        <f t="shared" si="241"/>
        <v>3.2271786582702832E-3</v>
      </c>
      <c r="AN567" s="18">
        <f>IF(ISNUMBER(Volcanic!G567),Volcanic!G567,"")</f>
        <v>5.6699999999999997E-3</v>
      </c>
    </row>
    <row r="568" spans="1:40">
      <c r="A568" s="18" t="str">
        <f>IF(Volcanic!A568="","",Volcanic!A568)</f>
        <v>5/2005</v>
      </c>
      <c r="B568" s="18">
        <f>IF(ISNUMBER(Volcanic!L568),Volcanic!L568,"")</f>
        <v>2005.375</v>
      </c>
      <c r="C568" s="18">
        <f>IF(ISNUMBER(Volcanic!J568),Volcanic!J568,"")</f>
        <v>-8.0140223792621201E-2</v>
      </c>
      <c r="D568" s="18">
        <f t="shared" si="234"/>
        <v>6.4224554695314091E-3</v>
      </c>
      <c r="E568" s="18">
        <f>IF(ISNUMBER(Volcanic!C568),Volcanic!C568,"")</f>
        <v>0.45056086926661437</v>
      </c>
      <c r="F568" s="18">
        <f>IF(ISNUMBER(Volcanic!D568),Volcanic!D568,"")</f>
        <v>0.55000000000000004</v>
      </c>
      <c r="G568" s="18">
        <f>IF(ISNUMBER(Volcanic!E568),Volcanic!E568,"")</f>
        <v>4.3099999999999996E-3</v>
      </c>
      <c r="H568" s="18">
        <f t="shared" si="235"/>
        <v>0.20300509691428717</v>
      </c>
      <c r="I568" s="18">
        <f t="shared" si="236"/>
        <v>0.30250000000000005</v>
      </c>
      <c r="J568" s="18">
        <f t="shared" si="237"/>
        <v>1.8576099999999997E-5</v>
      </c>
      <c r="K568" s="18">
        <f t="shared" si="238"/>
        <v>0.24780847809663792</v>
      </c>
      <c r="L568" s="18">
        <f t="shared" si="239"/>
        <v>1.9419173465391078E-3</v>
      </c>
      <c r="M568" s="18">
        <f t="shared" si="240"/>
        <v>2.3704999999999998E-3</v>
      </c>
      <c r="N568" s="18">
        <f t="shared" si="242"/>
        <v>2.0004278680878598E-3</v>
      </c>
      <c r="O568" s="18">
        <f t="shared" si="245"/>
        <v>1.0460058481751059E-3</v>
      </c>
      <c r="P568" s="18">
        <f t="shared" si="247"/>
        <v>8.208991735481003E-3</v>
      </c>
      <c r="Q568" s="18">
        <f t="shared" si="249"/>
        <v>5.6809511006713246E-3</v>
      </c>
      <c r="R568" s="18">
        <f t="shared" si="251"/>
        <v>2.3051418063712342E-2</v>
      </c>
      <c r="S568" s="18">
        <f t="shared" si="253"/>
        <v>7.4295812816520786E-3</v>
      </c>
      <c r="T568" s="18">
        <f t="shared" si="255"/>
        <v>4.1068488738616154E-6</v>
      </c>
      <c r="U568" s="18">
        <f t="shared" si="257"/>
        <v>8.8063429768250462E-3</v>
      </c>
      <c r="V568" s="18">
        <f t="shared" si="258"/>
        <v>2.3215293946991442E-2</v>
      </c>
      <c r="W568" s="18">
        <f t="shared" si="259"/>
        <v>0.12653569402136328</v>
      </c>
      <c r="X568" s="18">
        <f t="shared" si="260"/>
        <v>4.2694769393199244E-2</v>
      </c>
      <c r="Y568" s="18">
        <f t="shared" si="261"/>
        <v>8.6036743509554273E-2</v>
      </c>
      <c r="AA568" s="18">
        <f t="shared" si="243"/>
        <v>-5.7651818926398715E-2</v>
      </c>
      <c r="AB568" s="18">
        <f t="shared" si="244"/>
        <v>3.3237322255222652E-3</v>
      </c>
      <c r="AC568" s="18">
        <f t="shared" si="246"/>
        <v>3.7195092979883117E-3</v>
      </c>
      <c r="AD568" s="18">
        <f t="shared" si="248"/>
        <v>6.0680437978854794E-3</v>
      </c>
      <c r="AE568" s="18">
        <f t="shared" si="250"/>
        <v>1.6512439960074999E-2</v>
      </c>
      <c r="AF568" s="18">
        <f t="shared" si="252"/>
        <v>2.3016229669063675E-2</v>
      </c>
      <c r="AG568" s="18">
        <f t="shared" si="254"/>
        <v>3.8089760963245262E-2</v>
      </c>
      <c r="AH568" s="18">
        <f t="shared" si="256"/>
        <v>7.6062758338817571E-3</v>
      </c>
      <c r="AJ568" s="18">
        <f>IF(ISNUMBER(Kernel!M568),Kernel!M568,"")</f>
        <v>-9.3948734279133639E-2</v>
      </c>
      <c r="AK568" s="18">
        <f t="shared" si="241"/>
        <v>8.8263646726512608E-3</v>
      </c>
      <c r="AN568" s="18">
        <f>IF(ISNUMBER(Volcanic!G568),Volcanic!G568,"")</f>
        <v>5.7200000000000003E-3</v>
      </c>
    </row>
    <row r="569" spans="1:40">
      <c r="A569" s="18" t="str">
        <f>IF(Volcanic!A569="","",Volcanic!A569)</f>
        <v>6/2005</v>
      </c>
      <c r="B569" s="18">
        <f>IF(ISNUMBER(Volcanic!L569),Volcanic!L569,"")</f>
        <v>2005.4583333333333</v>
      </c>
      <c r="C569" s="18">
        <f>IF(ISNUMBER(Volcanic!J569),Volcanic!J569,"")</f>
        <v>-4.3554147168629931E-2</v>
      </c>
      <c r="D569" s="18">
        <f t="shared" si="234"/>
        <v>1.8969637355866747E-3</v>
      </c>
      <c r="E569" s="18">
        <f>IF(ISNUMBER(Volcanic!C569),Volcanic!C569,"")</f>
        <v>0.44965569614841971</v>
      </c>
      <c r="F569" s="18">
        <f>IF(ISNUMBER(Volcanic!D569),Volcanic!D569,"")</f>
        <v>0.4</v>
      </c>
      <c r="G569" s="18">
        <f>IF(ISNUMBER(Volcanic!E569),Volcanic!E569,"")</f>
        <v>4.4000000000000003E-3</v>
      </c>
      <c r="H569" s="18">
        <f t="shared" si="235"/>
        <v>0.20219024507871997</v>
      </c>
      <c r="I569" s="18">
        <f t="shared" si="236"/>
        <v>0.16000000000000003</v>
      </c>
      <c r="J569" s="18">
        <f t="shared" si="237"/>
        <v>1.9360000000000001E-5</v>
      </c>
      <c r="K569" s="18">
        <f t="shared" si="238"/>
        <v>0.17986227845936789</v>
      </c>
      <c r="L569" s="18">
        <f t="shared" si="239"/>
        <v>1.978485063053047E-3</v>
      </c>
      <c r="M569" s="18">
        <f t="shared" si="240"/>
        <v>1.7600000000000003E-3</v>
      </c>
      <c r="N569" s="18">
        <f t="shared" si="242"/>
        <v>6.4224554695314091E-3</v>
      </c>
      <c r="O569" s="18">
        <f t="shared" si="245"/>
        <v>2.0004278680878598E-3</v>
      </c>
      <c r="P569" s="18">
        <f t="shared" si="247"/>
        <v>1.0460058481751059E-3</v>
      </c>
      <c r="Q569" s="18">
        <f t="shared" si="249"/>
        <v>8.208991735481003E-3</v>
      </c>
      <c r="R569" s="18">
        <f t="shared" si="251"/>
        <v>5.6809511006713246E-3</v>
      </c>
      <c r="S569" s="18">
        <f t="shared" si="253"/>
        <v>2.3051418063712342E-2</v>
      </c>
      <c r="T569" s="18">
        <f t="shared" si="255"/>
        <v>7.4295812816520786E-3</v>
      </c>
      <c r="U569" s="18">
        <f t="shared" si="257"/>
        <v>4.1068488738616154E-6</v>
      </c>
      <c r="V569" s="18">
        <f t="shared" si="258"/>
        <v>8.8063429768250462E-3</v>
      </c>
      <c r="W569" s="18">
        <f t="shared" si="259"/>
        <v>2.3215293946991442E-2</v>
      </c>
      <c r="X569" s="18">
        <f t="shared" si="260"/>
        <v>0.12653569402136328</v>
      </c>
      <c r="Y569" s="18">
        <f t="shared" si="261"/>
        <v>4.2694769393199244E-2</v>
      </c>
      <c r="AA569" s="18">
        <f t="shared" si="243"/>
        <v>-3.2594631731016691E-3</v>
      </c>
      <c r="AB569" s="18">
        <f t="shared" si="244"/>
        <v>1.0624100176806E-5</v>
      </c>
      <c r="AC569" s="18">
        <f t="shared" si="246"/>
        <v>3.3237322255222652E-3</v>
      </c>
      <c r="AD569" s="18">
        <f t="shared" si="248"/>
        <v>3.7195092979883117E-3</v>
      </c>
      <c r="AE569" s="18">
        <f t="shared" si="250"/>
        <v>6.0680437978854794E-3</v>
      </c>
      <c r="AF569" s="18">
        <f t="shared" si="252"/>
        <v>1.6512439960074999E-2</v>
      </c>
      <c r="AG569" s="18">
        <f t="shared" si="254"/>
        <v>2.3016229669063675E-2</v>
      </c>
      <c r="AH569" s="18">
        <f t="shared" si="256"/>
        <v>3.8089760963245262E-2</v>
      </c>
      <c r="AJ569" s="18">
        <f>IF(ISNUMBER(Kernel!M569),Kernel!M569,"")</f>
        <v>-6.377083207103118E-2</v>
      </c>
      <c r="AK569" s="18">
        <f t="shared" si="241"/>
        <v>4.0667190230316589E-3</v>
      </c>
      <c r="AN569" s="18">
        <f>IF(ISNUMBER(Volcanic!G569),Volcanic!G569,"")</f>
        <v>5.7499999999999999E-3</v>
      </c>
    </row>
    <row r="570" spans="1:40">
      <c r="A570" s="18" t="str">
        <f>IF(Volcanic!A570="","",Volcanic!A570)</f>
        <v>7/2005</v>
      </c>
      <c r="B570" s="18">
        <f>IF(ISNUMBER(Volcanic!L570),Volcanic!L570,"")</f>
        <v>2005.5416666666667</v>
      </c>
      <c r="C570" s="18">
        <f>IF(ISNUMBER(Volcanic!J570),Volcanic!J570,"")</f>
        <v>-6.5284996399190942E-2</v>
      </c>
      <c r="D570" s="18">
        <f t="shared" si="234"/>
        <v>4.2621307548423746E-3</v>
      </c>
      <c r="E570" s="18">
        <f>IF(ISNUMBER(Volcanic!C570),Volcanic!C570,"")</f>
        <v>0.44409908411483445</v>
      </c>
      <c r="F570" s="18">
        <f>IF(ISNUMBER(Volcanic!D570),Volcanic!D570,"")</f>
        <v>0.37</v>
      </c>
      <c r="G570" s="18">
        <f>IF(ISNUMBER(Volcanic!E570),Volcanic!E570,"")</f>
        <v>4.5500000000000002E-3</v>
      </c>
      <c r="H570" s="18">
        <f t="shared" si="235"/>
        <v>0.1972239965116348</v>
      </c>
      <c r="I570" s="18">
        <f t="shared" si="236"/>
        <v>0.13689999999999999</v>
      </c>
      <c r="J570" s="18">
        <f t="shared" si="237"/>
        <v>2.07025E-5</v>
      </c>
      <c r="K570" s="18">
        <f t="shared" si="238"/>
        <v>0.16431666112248874</v>
      </c>
      <c r="L570" s="18">
        <f t="shared" si="239"/>
        <v>2.020650832722497E-3</v>
      </c>
      <c r="M570" s="18">
        <f t="shared" si="240"/>
        <v>1.6835000000000001E-3</v>
      </c>
      <c r="N570" s="18">
        <f t="shared" si="242"/>
        <v>1.8969637355866747E-3</v>
      </c>
      <c r="O570" s="18">
        <f t="shared" si="245"/>
        <v>6.4224554695314091E-3</v>
      </c>
      <c r="P570" s="18">
        <f t="shared" si="247"/>
        <v>2.0004278680878598E-3</v>
      </c>
      <c r="Q570" s="18">
        <f t="shared" si="249"/>
        <v>1.0460058481751059E-3</v>
      </c>
      <c r="R570" s="18">
        <f t="shared" si="251"/>
        <v>8.208991735481003E-3</v>
      </c>
      <c r="S570" s="18">
        <f t="shared" si="253"/>
        <v>5.6809511006713246E-3</v>
      </c>
      <c r="T570" s="18">
        <f t="shared" si="255"/>
        <v>2.3051418063712342E-2</v>
      </c>
      <c r="U570" s="18">
        <f t="shared" si="257"/>
        <v>7.4295812816520786E-3</v>
      </c>
      <c r="V570" s="18">
        <f t="shared" si="258"/>
        <v>4.1068488738616154E-6</v>
      </c>
      <c r="W570" s="18">
        <f t="shared" si="259"/>
        <v>8.8063429768250462E-3</v>
      </c>
      <c r="X570" s="18">
        <f t="shared" si="260"/>
        <v>2.3215293946991442E-2</v>
      </c>
      <c r="Y570" s="18">
        <f t="shared" si="261"/>
        <v>0.12653569402136328</v>
      </c>
      <c r="AA570" s="18">
        <f t="shared" si="243"/>
        <v>-4.3385873664069957E-2</v>
      </c>
      <c r="AB570" s="18">
        <f t="shared" si="244"/>
        <v>1.8823340335946391E-3</v>
      </c>
      <c r="AC570" s="18">
        <f t="shared" si="246"/>
        <v>1.0624100176806E-5</v>
      </c>
      <c r="AD570" s="18">
        <f t="shared" si="248"/>
        <v>3.3237322255222652E-3</v>
      </c>
      <c r="AE570" s="18">
        <f t="shared" si="250"/>
        <v>3.7195092979883117E-3</v>
      </c>
      <c r="AF570" s="18">
        <f t="shared" si="252"/>
        <v>6.0680437978854794E-3</v>
      </c>
      <c r="AG570" s="18">
        <f t="shared" si="254"/>
        <v>1.6512439960074999E-2</v>
      </c>
      <c r="AH570" s="18">
        <f t="shared" si="256"/>
        <v>2.3016229669063675E-2</v>
      </c>
      <c r="AJ570" s="18">
        <f>IF(ISNUMBER(Kernel!M570),Kernel!M570,"")</f>
        <v>-7.9297516000202184E-2</v>
      </c>
      <c r="AK570" s="18">
        <f t="shared" si="241"/>
        <v>6.2880960438023211E-3</v>
      </c>
      <c r="AN570" s="18">
        <f>IF(ISNUMBER(Volcanic!G570),Volcanic!G570,"")</f>
        <v>6.0000000000000001E-3</v>
      </c>
    </row>
    <row r="571" spans="1:40">
      <c r="A571" s="18" t="str">
        <f>IF(Volcanic!A571="","",Volcanic!A571)</f>
        <v>8/2005</v>
      </c>
      <c r="B571" s="18">
        <f>IF(ISNUMBER(Volcanic!L571),Volcanic!L571,"")</f>
        <v>2005.625</v>
      </c>
      <c r="C571" s="18">
        <f>IF(ISNUMBER(Volcanic!J571),Volcanic!J571,"")</f>
        <v>-4.4939870837218732E-2</v>
      </c>
      <c r="D571" s="18">
        <f t="shared" si="234"/>
        <v>2.0195919908659026E-3</v>
      </c>
      <c r="E571" s="18">
        <f>IF(ISNUMBER(Volcanic!C571),Volcanic!C571,"")</f>
        <v>0.43650453579040066</v>
      </c>
      <c r="F571" s="18">
        <f>IF(ISNUMBER(Volcanic!D571),Volcanic!D571,"")</f>
        <v>0.27</v>
      </c>
      <c r="G571" s="18">
        <f>IF(ISNUMBER(Volcanic!E571),Volcanic!E571,"")</f>
        <v>4.7099999999999998E-3</v>
      </c>
      <c r="H571" s="18">
        <f t="shared" si="235"/>
        <v>0.19053620976559318</v>
      </c>
      <c r="I571" s="18">
        <f t="shared" si="236"/>
        <v>7.2900000000000006E-2</v>
      </c>
      <c r="J571" s="18">
        <f t="shared" si="237"/>
        <v>2.2184099999999997E-5</v>
      </c>
      <c r="K571" s="18">
        <f t="shared" si="238"/>
        <v>0.11785622466340819</v>
      </c>
      <c r="L571" s="18">
        <f t="shared" si="239"/>
        <v>2.0559363635727869E-3</v>
      </c>
      <c r="M571" s="18">
        <f t="shared" si="240"/>
        <v>1.2717E-3</v>
      </c>
      <c r="N571" s="18">
        <f t="shared" si="242"/>
        <v>4.2621307548423746E-3</v>
      </c>
      <c r="O571" s="18">
        <f t="shared" si="245"/>
        <v>1.8969637355866747E-3</v>
      </c>
      <c r="P571" s="18">
        <f t="shared" si="247"/>
        <v>6.4224554695314091E-3</v>
      </c>
      <c r="Q571" s="18">
        <f t="shared" si="249"/>
        <v>2.0004278680878598E-3</v>
      </c>
      <c r="R571" s="18">
        <f t="shared" si="251"/>
        <v>1.0460058481751059E-3</v>
      </c>
      <c r="S571" s="18">
        <f t="shared" si="253"/>
        <v>8.208991735481003E-3</v>
      </c>
      <c r="T571" s="18">
        <f t="shared" si="255"/>
        <v>5.6809511006713246E-3</v>
      </c>
      <c r="U571" s="18">
        <f t="shared" si="257"/>
        <v>2.3051418063712342E-2</v>
      </c>
      <c r="V571" s="18">
        <f t="shared" si="258"/>
        <v>7.4295812816520786E-3</v>
      </c>
      <c r="W571" s="18">
        <f t="shared" si="259"/>
        <v>4.1068488738616154E-6</v>
      </c>
      <c r="X571" s="18">
        <f t="shared" si="260"/>
        <v>8.8063429768250462E-3</v>
      </c>
      <c r="Y571" s="18">
        <f t="shared" si="261"/>
        <v>2.3215293946991442E-2</v>
      </c>
      <c r="AA571" s="18">
        <f t="shared" si="243"/>
        <v>-1.2114428443123347E-2</v>
      </c>
      <c r="AB571" s="18">
        <f t="shared" si="244"/>
        <v>1.4675937650355598E-4</v>
      </c>
      <c r="AC571" s="18">
        <f t="shared" si="246"/>
        <v>1.8823340335946391E-3</v>
      </c>
      <c r="AD571" s="18">
        <f t="shared" si="248"/>
        <v>1.0624100176806E-5</v>
      </c>
      <c r="AE571" s="18">
        <f t="shared" si="250"/>
        <v>3.3237322255222652E-3</v>
      </c>
      <c r="AF571" s="18">
        <f t="shared" si="252"/>
        <v>3.7195092979883117E-3</v>
      </c>
      <c r="AG571" s="18">
        <f t="shared" si="254"/>
        <v>6.0680437978854794E-3</v>
      </c>
      <c r="AH571" s="18">
        <f t="shared" si="256"/>
        <v>1.6512439960074999E-2</v>
      </c>
      <c r="AJ571" s="18">
        <f>IF(ISNUMBER(Kernel!M571),Kernel!M571,"")</f>
        <v>-5.8449319767149399E-2</v>
      </c>
      <c r="AK571" s="18">
        <f t="shared" si="241"/>
        <v>3.4163229812424816E-3</v>
      </c>
      <c r="AN571" s="18">
        <f>IF(ISNUMBER(Volcanic!G571),Volcanic!G571,"")</f>
        <v>6.4599999999999996E-3</v>
      </c>
    </row>
    <row r="572" spans="1:40">
      <c r="A572" s="18" t="str">
        <f>IF(Volcanic!A572="","",Volcanic!A572)</f>
        <v>9/2005</v>
      </c>
      <c r="B572" s="18">
        <f>IF(ISNUMBER(Volcanic!L572),Volcanic!L572,"")</f>
        <v>2005.7083333333333</v>
      </c>
      <c r="C572" s="18">
        <f>IF(ISNUMBER(Volcanic!J572),Volcanic!J572,"")</f>
        <v>0.11337806564475406</v>
      </c>
      <c r="D572" s="18">
        <f t="shared" si="234"/>
        <v>1.285458576934616E-2</v>
      </c>
      <c r="E572" s="18">
        <f>IF(ISNUMBER(Volcanic!C572),Volcanic!C572,"")</f>
        <v>0.42871668939795532</v>
      </c>
      <c r="F572" s="18">
        <f>IF(ISNUMBER(Volcanic!D572),Volcanic!D572,"")</f>
        <v>0.09</v>
      </c>
      <c r="G572" s="18">
        <f>IF(ISNUMBER(Volcanic!E572),Volcanic!E572,"")</f>
        <v>4.8799999999999998E-3</v>
      </c>
      <c r="H572" s="18">
        <f t="shared" si="235"/>
        <v>0.18379799976834291</v>
      </c>
      <c r="I572" s="18">
        <f t="shared" si="236"/>
        <v>8.0999999999999996E-3</v>
      </c>
      <c r="J572" s="18">
        <f t="shared" si="237"/>
        <v>2.3814399999999997E-5</v>
      </c>
      <c r="K572" s="18">
        <f t="shared" si="238"/>
        <v>3.8584502045815976E-2</v>
      </c>
      <c r="L572" s="18">
        <f t="shared" si="239"/>
        <v>2.0921374442620217E-3</v>
      </c>
      <c r="M572" s="18">
        <f t="shared" si="240"/>
        <v>4.3919999999999994E-4</v>
      </c>
      <c r="N572" s="18">
        <f t="shared" si="242"/>
        <v>2.0195919908659026E-3</v>
      </c>
      <c r="O572" s="18">
        <f t="shared" si="245"/>
        <v>4.2621307548423746E-3</v>
      </c>
      <c r="P572" s="18">
        <f t="shared" si="247"/>
        <v>1.8969637355866747E-3</v>
      </c>
      <c r="Q572" s="18">
        <f t="shared" si="249"/>
        <v>6.4224554695314091E-3</v>
      </c>
      <c r="R572" s="18">
        <f t="shared" si="251"/>
        <v>2.0004278680878598E-3</v>
      </c>
      <c r="S572" s="18">
        <f t="shared" si="253"/>
        <v>1.0460058481751059E-3</v>
      </c>
      <c r="T572" s="18">
        <f t="shared" si="255"/>
        <v>8.208991735481003E-3</v>
      </c>
      <c r="U572" s="18">
        <f t="shared" si="257"/>
        <v>5.6809511006713246E-3</v>
      </c>
      <c r="V572" s="18">
        <f t="shared" si="258"/>
        <v>2.3051418063712342E-2</v>
      </c>
      <c r="W572" s="18">
        <f t="shared" si="259"/>
        <v>7.4295812816520786E-3</v>
      </c>
      <c r="X572" s="18">
        <f t="shared" si="260"/>
        <v>4.1068488738616154E-6</v>
      </c>
      <c r="Y572" s="18">
        <f t="shared" si="261"/>
        <v>8.8063429768250462E-3</v>
      </c>
      <c r="AA572" s="18">
        <f t="shared" si="243"/>
        <v>0.13597393334374488</v>
      </c>
      <c r="AB572" s="18">
        <f t="shared" si="244"/>
        <v>1.8488910548969176E-2</v>
      </c>
      <c r="AC572" s="18">
        <f t="shared" si="246"/>
        <v>1.4675937650355598E-4</v>
      </c>
      <c r="AD572" s="18">
        <f t="shared" si="248"/>
        <v>1.8823340335946391E-3</v>
      </c>
      <c r="AE572" s="18">
        <f t="shared" si="250"/>
        <v>1.0624100176806E-5</v>
      </c>
      <c r="AF572" s="18">
        <f t="shared" si="252"/>
        <v>3.3237322255222652E-3</v>
      </c>
      <c r="AG572" s="18">
        <f t="shared" si="254"/>
        <v>3.7195092979883117E-3</v>
      </c>
      <c r="AH572" s="18">
        <f t="shared" si="256"/>
        <v>6.0680437978854794E-3</v>
      </c>
      <c r="AJ572" s="18">
        <f>IF(ISNUMBER(Kernel!M572),Kernel!M572,"")</f>
        <v>9.0738050979927709E-2</v>
      </c>
      <c r="AK572" s="18">
        <f t="shared" si="241"/>
        <v>8.2333938956359598E-3</v>
      </c>
      <c r="AN572" s="18">
        <f>IF(ISNUMBER(Volcanic!G572),Volcanic!G572,"")</f>
        <v>6.5300000000000002E-3</v>
      </c>
    </row>
    <row r="573" spans="1:40">
      <c r="A573" s="18" t="str">
        <f>IF(Volcanic!A573="","",Volcanic!A573)</f>
        <v>10/2005</v>
      </c>
      <c r="B573" s="18">
        <f>IF(ISNUMBER(Volcanic!L573),Volcanic!L573,"")</f>
        <v>2005.7916666666667</v>
      </c>
      <c r="C573" s="18">
        <f>IF(ISNUMBER(Volcanic!J573),Volcanic!J573,"")</f>
        <v>0.16376280674173538</v>
      </c>
      <c r="D573" s="18">
        <f t="shared" si="234"/>
        <v>2.6818256871930971E-2</v>
      </c>
      <c r="E573" s="18">
        <f>IF(ISNUMBER(Volcanic!C573),Volcanic!C573,"")</f>
        <v>0.42986460085324052</v>
      </c>
      <c r="F573" s="18">
        <f>IF(ISNUMBER(Volcanic!D573),Volcanic!D573,"")</f>
        <v>-0.04</v>
      </c>
      <c r="G573" s="18">
        <f>IF(ISNUMBER(Volcanic!E573),Volcanic!E573,"")</f>
        <v>5.5399999999999998E-3</v>
      </c>
      <c r="H573" s="18">
        <f t="shared" si="235"/>
        <v>0.18478357506671578</v>
      </c>
      <c r="I573" s="18">
        <f t="shared" si="236"/>
        <v>1.6000000000000001E-3</v>
      </c>
      <c r="J573" s="18">
        <f t="shared" si="237"/>
        <v>3.0691599999999996E-5</v>
      </c>
      <c r="K573" s="18">
        <f t="shared" si="238"/>
        <v>-1.7194584034129622E-2</v>
      </c>
      <c r="L573" s="18">
        <f t="shared" si="239"/>
        <v>2.3814498887269526E-3</v>
      </c>
      <c r="M573" s="18">
        <f t="shared" si="240"/>
        <v>-2.2159999999999999E-4</v>
      </c>
      <c r="N573" s="18">
        <f t="shared" si="242"/>
        <v>1.285458576934616E-2</v>
      </c>
      <c r="O573" s="18">
        <f t="shared" si="245"/>
        <v>2.0195919908659026E-3</v>
      </c>
      <c r="P573" s="18">
        <f t="shared" si="247"/>
        <v>4.2621307548423746E-3</v>
      </c>
      <c r="Q573" s="18">
        <f t="shared" si="249"/>
        <v>1.8969637355866747E-3</v>
      </c>
      <c r="R573" s="18">
        <f t="shared" si="251"/>
        <v>6.4224554695314091E-3</v>
      </c>
      <c r="S573" s="18">
        <f t="shared" si="253"/>
        <v>2.0004278680878598E-3</v>
      </c>
      <c r="T573" s="18">
        <f t="shared" si="255"/>
        <v>1.0460058481751059E-3</v>
      </c>
      <c r="U573" s="18">
        <f t="shared" si="257"/>
        <v>8.208991735481003E-3</v>
      </c>
      <c r="V573" s="18">
        <f t="shared" si="258"/>
        <v>5.6809511006713246E-3</v>
      </c>
      <c r="W573" s="18">
        <f t="shared" si="259"/>
        <v>2.3051418063712342E-2</v>
      </c>
      <c r="X573" s="18">
        <f t="shared" si="260"/>
        <v>7.4295812816520786E-3</v>
      </c>
      <c r="Y573" s="18">
        <f t="shared" si="261"/>
        <v>4.1068488738616154E-6</v>
      </c>
      <c r="AA573" s="18">
        <f t="shared" si="243"/>
        <v>0.10675606142740217</v>
      </c>
      <c r="AB573" s="18">
        <f t="shared" si="244"/>
        <v>1.1396856651491266E-2</v>
      </c>
      <c r="AC573" s="18">
        <f t="shared" si="246"/>
        <v>1.8488910548969176E-2</v>
      </c>
      <c r="AD573" s="18">
        <f t="shared" si="248"/>
        <v>1.4675937650355598E-4</v>
      </c>
      <c r="AE573" s="18">
        <f t="shared" si="250"/>
        <v>1.8823340335946391E-3</v>
      </c>
      <c r="AF573" s="18">
        <f t="shared" si="252"/>
        <v>1.0624100176806E-5</v>
      </c>
      <c r="AG573" s="18">
        <f t="shared" si="254"/>
        <v>3.3237322255222652E-3</v>
      </c>
      <c r="AH573" s="18">
        <f t="shared" si="256"/>
        <v>3.7195092979883117E-3</v>
      </c>
      <c r="AJ573" s="18">
        <f>IF(ISNUMBER(Kernel!M573),Kernel!M573,"")</f>
        <v>0.13800138109060278</v>
      </c>
      <c r="AK573" s="18">
        <f t="shared" si="241"/>
        <v>1.904438118291378E-2</v>
      </c>
      <c r="AN573" s="18">
        <f>IF(ISNUMBER(Volcanic!G573),Volcanic!G573,"")</f>
        <v>6.4999999999999997E-3</v>
      </c>
    </row>
    <row r="574" spans="1:40">
      <c r="A574" s="18" t="str">
        <f>IF(Volcanic!A574="","",Volcanic!A574)</f>
        <v>11/2005</v>
      </c>
      <c r="B574" s="18">
        <f>IF(ISNUMBER(Volcanic!L574),Volcanic!L574,"")</f>
        <v>2005.875</v>
      </c>
      <c r="C574" s="18">
        <f>IF(ISNUMBER(Volcanic!J574),Volcanic!J574,"")</f>
        <v>0.13927030486932135</v>
      </c>
      <c r="D574" s="18">
        <f t="shared" si="234"/>
        <v>1.9396217818393714E-2</v>
      </c>
      <c r="E574" s="18">
        <f>IF(ISNUMBER(Volcanic!C574),Volcanic!C574,"")</f>
        <v>0.43501892945440074</v>
      </c>
      <c r="F574" s="18">
        <f>IF(ISNUMBER(Volcanic!D574),Volcanic!D574,"")</f>
        <v>-0.14000000000000001</v>
      </c>
      <c r="G574" s="18">
        <f>IF(ISNUMBER(Volcanic!E574),Volcanic!E574,"")</f>
        <v>5.6699999999999997E-3</v>
      </c>
      <c r="H574" s="18">
        <f t="shared" si="235"/>
        <v>0.18924146898365288</v>
      </c>
      <c r="I574" s="18">
        <f t="shared" si="236"/>
        <v>1.9600000000000003E-2</v>
      </c>
      <c r="J574" s="18">
        <f t="shared" si="237"/>
        <v>3.21489E-5</v>
      </c>
      <c r="K574" s="18">
        <f t="shared" si="238"/>
        <v>-6.0902650123616106E-2</v>
      </c>
      <c r="L574" s="18">
        <f t="shared" si="239"/>
        <v>2.4665573300064522E-3</v>
      </c>
      <c r="M574" s="18">
        <f t="shared" si="240"/>
        <v>-7.938E-4</v>
      </c>
      <c r="N574" s="18">
        <f t="shared" si="242"/>
        <v>2.6818256871930971E-2</v>
      </c>
      <c r="O574" s="18">
        <f t="shared" si="245"/>
        <v>1.285458576934616E-2</v>
      </c>
      <c r="P574" s="18">
        <f t="shared" si="247"/>
        <v>2.0195919908659026E-3</v>
      </c>
      <c r="Q574" s="18">
        <f t="shared" si="249"/>
        <v>4.2621307548423746E-3</v>
      </c>
      <c r="R574" s="18">
        <f t="shared" si="251"/>
        <v>1.8969637355866747E-3</v>
      </c>
      <c r="S574" s="18">
        <f t="shared" si="253"/>
        <v>6.4224554695314091E-3</v>
      </c>
      <c r="T574" s="18">
        <f t="shared" si="255"/>
        <v>2.0004278680878598E-3</v>
      </c>
      <c r="U574" s="18">
        <f t="shared" si="257"/>
        <v>1.0460058481751059E-3</v>
      </c>
      <c r="V574" s="18">
        <f t="shared" si="258"/>
        <v>8.208991735481003E-3</v>
      </c>
      <c r="W574" s="18">
        <f t="shared" si="259"/>
        <v>5.6809511006713246E-3</v>
      </c>
      <c r="X574" s="18">
        <f t="shared" si="260"/>
        <v>2.3051418063712342E-2</v>
      </c>
      <c r="Y574" s="18">
        <f t="shared" si="261"/>
        <v>7.4295812816520786E-3</v>
      </c>
      <c r="AA574" s="18">
        <f t="shared" si="243"/>
        <v>5.6929998895699094E-2</v>
      </c>
      <c r="AB574" s="18">
        <f t="shared" si="244"/>
        <v>3.2410247742643001E-3</v>
      </c>
      <c r="AC574" s="18">
        <f t="shared" si="246"/>
        <v>1.1396856651491266E-2</v>
      </c>
      <c r="AD574" s="18">
        <f t="shared" si="248"/>
        <v>1.8488910548969176E-2</v>
      </c>
      <c r="AE574" s="18">
        <f t="shared" si="250"/>
        <v>1.4675937650355598E-4</v>
      </c>
      <c r="AF574" s="18">
        <f t="shared" si="252"/>
        <v>1.8823340335946391E-3</v>
      </c>
      <c r="AG574" s="18">
        <f t="shared" si="254"/>
        <v>1.0624100176806E-5</v>
      </c>
      <c r="AH574" s="18">
        <f t="shared" si="256"/>
        <v>3.3237322255222652E-3</v>
      </c>
      <c r="AJ574" s="18">
        <f>IF(ISNUMBER(Kernel!M574),Kernel!M574,"")</f>
        <v>0.11931603476040442</v>
      </c>
      <c r="AK574" s="18">
        <f t="shared" si="241"/>
        <v>1.4236316150946036E-2</v>
      </c>
      <c r="AN574" s="18">
        <f>IF(ISNUMBER(Volcanic!G574),Volcanic!G574,"")</f>
        <v>6.3200000000000001E-3</v>
      </c>
    </row>
    <row r="575" spans="1:40">
      <c r="A575" s="18" t="str">
        <f>IF(Volcanic!A575="","",Volcanic!A575)</f>
        <v>12/2005</v>
      </c>
      <c r="B575" s="18">
        <f>IF(ISNUMBER(Volcanic!L575),Volcanic!L575,"")</f>
        <v>2005.9583333333333</v>
      </c>
      <c r="C575" s="18">
        <f>IF(ISNUMBER(Volcanic!J575),Volcanic!J575,"")</f>
        <v>5.8240575221319535E-2</v>
      </c>
      <c r="D575" s="18">
        <f t="shared" si="234"/>
        <v>3.3919646021101789E-3</v>
      </c>
      <c r="E575" s="18">
        <f>IF(ISNUMBER(Volcanic!C575),Volcanic!C575,"")</f>
        <v>0.44174904700923706</v>
      </c>
      <c r="F575" s="18">
        <f>IF(ISNUMBER(Volcanic!D575),Volcanic!D575,"")</f>
        <v>-0.11</v>
      </c>
      <c r="G575" s="18">
        <f>IF(ISNUMBER(Volcanic!E575),Volcanic!E575,"")</f>
        <v>5.7200000000000003E-3</v>
      </c>
      <c r="H575" s="18">
        <f t="shared" si="235"/>
        <v>0.19514222053356914</v>
      </c>
      <c r="I575" s="18">
        <f t="shared" si="236"/>
        <v>1.21E-2</v>
      </c>
      <c r="J575" s="18">
        <f t="shared" si="237"/>
        <v>3.2718400000000002E-5</v>
      </c>
      <c r="K575" s="18">
        <f t="shared" si="238"/>
        <v>-4.859239517101608E-2</v>
      </c>
      <c r="L575" s="18">
        <f t="shared" si="239"/>
        <v>2.5268045488928362E-3</v>
      </c>
      <c r="M575" s="18">
        <f t="shared" si="240"/>
        <v>-6.2920000000000001E-4</v>
      </c>
      <c r="N575" s="18">
        <f t="shared" si="242"/>
        <v>1.9396217818393714E-2</v>
      </c>
      <c r="O575" s="18">
        <f t="shared" si="245"/>
        <v>2.6818256871930971E-2</v>
      </c>
      <c r="P575" s="18">
        <f t="shared" si="247"/>
        <v>1.285458576934616E-2</v>
      </c>
      <c r="Q575" s="18">
        <f t="shared" si="249"/>
        <v>2.0195919908659026E-3</v>
      </c>
      <c r="R575" s="18">
        <f t="shared" si="251"/>
        <v>4.2621307548423746E-3</v>
      </c>
      <c r="S575" s="18">
        <f t="shared" si="253"/>
        <v>1.8969637355866747E-3</v>
      </c>
      <c r="T575" s="18">
        <f t="shared" si="255"/>
        <v>6.4224554695314091E-3</v>
      </c>
      <c r="U575" s="18">
        <f t="shared" si="257"/>
        <v>2.0004278680878598E-3</v>
      </c>
      <c r="V575" s="18">
        <f t="shared" si="258"/>
        <v>1.0460058481751059E-3</v>
      </c>
      <c r="W575" s="18">
        <f t="shared" si="259"/>
        <v>8.208991735481003E-3</v>
      </c>
      <c r="X575" s="18">
        <f t="shared" si="260"/>
        <v>5.6809511006713246E-3</v>
      </c>
      <c r="Y575" s="18">
        <f t="shared" si="261"/>
        <v>2.3051418063712342E-2</v>
      </c>
      <c r="AA575" s="18">
        <f t="shared" si="243"/>
        <v>-1.1784845960332913E-2</v>
      </c>
      <c r="AB575" s="18">
        <f t="shared" si="244"/>
        <v>1.3888259430877497E-4</v>
      </c>
      <c r="AC575" s="18">
        <f t="shared" si="246"/>
        <v>3.2410247742643001E-3</v>
      </c>
      <c r="AD575" s="18">
        <f t="shared" si="248"/>
        <v>1.1396856651491266E-2</v>
      </c>
      <c r="AE575" s="18">
        <f t="shared" si="250"/>
        <v>1.8488910548969176E-2</v>
      </c>
      <c r="AF575" s="18">
        <f t="shared" si="252"/>
        <v>1.4675937650355598E-4</v>
      </c>
      <c r="AG575" s="18">
        <f t="shared" si="254"/>
        <v>1.8823340335946391E-3</v>
      </c>
      <c r="AH575" s="18">
        <f t="shared" si="256"/>
        <v>1.0624100176806E-5</v>
      </c>
      <c r="AJ575" s="18">
        <f>IF(ISNUMBER(Kernel!M575),Kernel!M575,"")</f>
        <v>5.93616768324845E-2</v>
      </c>
      <c r="AK575" s="18">
        <f t="shared" si="241"/>
        <v>3.5238086763643272E-3</v>
      </c>
      <c r="AN575" s="18">
        <f>IF(ISNUMBER(Volcanic!G575),Volcanic!G575,"")</f>
        <v>5.94E-3</v>
      </c>
    </row>
    <row r="576" spans="1:40">
      <c r="A576" s="18" t="str">
        <f>IF(Volcanic!A576="","",Volcanic!A576)</f>
        <v>1/2006</v>
      </c>
      <c r="B576" s="18">
        <f>IF(ISNUMBER(Volcanic!L576),Volcanic!L576,"")</f>
        <v>2006.0416666666667</v>
      </c>
      <c r="C576" s="18">
        <f>IF(ISNUMBER(Volcanic!J576),Volcanic!J576,"")</f>
        <v>-5.9964263523955785E-2</v>
      </c>
      <c r="D576" s="18">
        <f t="shared" si="234"/>
        <v>3.5957128999704142E-3</v>
      </c>
      <c r="E576" s="18">
        <f>IF(ISNUMBER(Volcanic!C576),Volcanic!C576,"")</f>
        <v>0.44655872924400647</v>
      </c>
      <c r="F576" s="18">
        <f>IF(ISNUMBER(Volcanic!D576),Volcanic!D576,"")</f>
        <v>-0.27</v>
      </c>
      <c r="G576" s="18">
        <f>IF(ISNUMBER(Volcanic!E576),Volcanic!E576,"")</f>
        <v>5.7499999999999999E-3</v>
      </c>
      <c r="H576" s="18">
        <f t="shared" si="235"/>
        <v>0.19941469866402187</v>
      </c>
      <c r="I576" s="18">
        <f t="shared" si="236"/>
        <v>7.2900000000000006E-2</v>
      </c>
      <c r="J576" s="18">
        <f t="shared" si="237"/>
        <v>3.3062499999999997E-5</v>
      </c>
      <c r="K576" s="18">
        <f t="shared" si="238"/>
        <v>-0.12057085689588175</v>
      </c>
      <c r="L576" s="18">
        <f t="shared" si="239"/>
        <v>2.5677126931530373E-3</v>
      </c>
      <c r="M576" s="18">
        <f t="shared" si="240"/>
        <v>-1.5525000000000001E-3</v>
      </c>
      <c r="N576" s="18">
        <f t="shared" si="242"/>
        <v>3.3919646021101789E-3</v>
      </c>
      <c r="O576" s="18">
        <f t="shared" si="245"/>
        <v>1.9396217818393714E-2</v>
      </c>
      <c r="P576" s="18">
        <f t="shared" si="247"/>
        <v>2.6818256871930971E-2</v>
      </c>
      <c r="Q576" s="18">
        <f t="shared" si="249"/>
        <v>1.285458576934616E-2</v>
      </c>
      <c r="R576" s="18">
        <f t="shared" si="251"/>
        <v>2.0195919908659026E-3</v>
      </c>
      <c r="S576" s="18">
        <f t="shared" si="253"/>
        <v>4.2621307548423746E-3</v>
      </c>
      <c r="T576" s="18">
        <f t="shared" si="255"/>
        <v>1.8969637355866747E-3</v>
      </c>
      <c r="U576" s="18">
        <f t="shared" si="257"/>
        <v>6.4224554695314091E-3</v>
      </c>
      <c r="V576" s="18">
        <f t="shared" si="258"/>
        <v>2.0004278680878598E-3</v>
      </c>
      <c r="W576" s="18">
        <f t="shared" si="259"/>
        <v>1.0460058481751059E-3</v>
      </c>
      <c r="X576" s="18">
        <f t="shared" si="260"/>
        <v>8.208991735481003E-3</v>
      </c>
      <c r="Y576" s="18">
        <f t="shared" si="261"/>
        <v>5.6809511006713246E-3</v>
      </c>
      <c r="AA576" s="18">
        <f t="shared" si="243"/>
        <v>-8.9247755173962148E-2</v>
      </c>
      <c r="AB576" s="18">
        <f t="shared" si="244"/>
        <v>7.9651618035914869E-3</v>
      </c>
      <c r="AC576" s="18">
        <f t="shared" si="246"/>
        <v>1.3888259430877497E-4</v>
      </c>
      <c r="AD576" s="18">
        <f t="shared" si="248"/>
        <v>3.2410247742643001E-3</v>
      </c>
      <c r="AE576" s="18">
        <f t="shared" si="250"/>
        <v>1.1396856651491266E-2</v>
      </c>
      <c r="AF576" s="18">
        <f t="shared" si="252"/>
        <v>1.8488910548969176E-2</v>
      </c>
      <c r="AG576" s="18">
        <f t="shared" si="254"/>
        <v>1.4675937650355598E-4</v>
      </c>
      <c r="AH576" s="18">
        <f t="shared" si="256"/>
        <v>1.8823340335946391E-3</v>
      </c>
      <c r="AJ576" s="18">
        <f>IF(ISNUMBER(Kernel!M576),Kernel!M576,"")</f>
        <v>-5.7278994658299776E-2</v>
      </c>
      <c r="AK576" s="18">
        <f t="shared" si="241"/>
        <v>3.2808832290655344E-3</v>
      </c>
      <c r="AN576" s="18">
        <f>IF(ISNUMBER(Volcanic!G576),Volcanic!G576,"")</f>
        <v>6.1000000000000004E-3</v>
      </c>
    </row>
    <row r="577" spans="1:40">
      <c r="A577" s="18" t="str">
        <f>IF(Volcanic!A577="","",Volcanic!A577)</f>
        <v>2/2006</v>
      </c>
      <c r="B577" s="18">
        <f>IF(ISNUMBER(Volcanic!L577),Volcanic!L577,"")</f>
        <v>2006.125</v>
      </c>
      <c r="C577" s="18">
        <f>IF(ISNUMBER(Volcanic!J577),Volcanic!J577,"")</f>
        <v>0.13997758152052353</v>
      </c>
      <c r="D577" s="18">
        <f t="shared" si="234"/>
        <v>1.9593723328334811E-2</v>
      </c>
      <c r="E577" s="18">
        <f>IF(ISNUMBER(Volcanic!C577),Volcanic!C577,"")</f>
        <v>0.44965569614841971</v>
      </c>
      <c r="F577" s="18">
        <f>IF(ISNUMBER(Volcanic!D577),Volcanic!D577,"")</f>
        <v>-0.56999999999999995</v>
      </c>
      <c r="G577" s="18">
        <f>IF(ISNUMBER(Volcanic!E577),Volcanic!E577,"")</f>
        <v>6.0000000000000001E-3</v>
      </c>
      <c r="H577" s="18">
        <f t="shared" si="235"/>
        <v>0.20219024507871997</v>
      </c>
      <c r="I577" s="18">
        <f t="shared" si="236"/>
        <v>0.32489999999999997</v>
      </c>
      <c r="J577" s="18">
        <f t="shared" si="237"/>
        <v>3.6000000000000001E-5</v>
      </c>
      <c r="K577" s="18">
        <f t="shared" si="238"/>
        <v>-0.25630374680459922</v>
      </c>
      <c r="L577" s="18">
        <f t="shared" si="239"/>
        <v>2.6979341768905182E-3</v>
      </c>
      <c r="M577" s="18">
        <f t="shared" si="240"/>
        <v>-3.4199999999999999E-3</v>
      </c>
      <c r="N577" s="18">
        <f t="shared" si="242"/>
        <v>3.5957128999704142E-3</v>
      </c>
      <c r="O577" s="18">
        <f t="shared" si="245"/>
        <v>3.3919646021101789E-3</v>
      </c>
      <c r="P577" s="18">
        <f t="shared" si="247"/>
        <v>1.9396217818393714E-2</v>
      </c>
      <c r="Q577" s="18">
        <f t="shared" si="249"/>
        <v>2.6818256871930971E-2</v>
      </c>
      <c r="R577" s="18">
        <f t="shared" si="251"/>
        <v>1.285458576934616E-2</v>
      </c>
      <c r="S577" s="18">
        <f t="shared" si="253"/>
        <v>2.0195919908659026E-3</v>
      </c>
      <c r="T577" s="18">
        <f t="shared" si="255"/>
        <v>4.2621307548423746E-3</v>
      </c>
      <c r="U577" s="18">
        <f t="shared" si="257"/>
        <v>1.8969637355866747E-3</v>
      </c>
      <c r="V577" s="18">
        <f t="shared" si="258"/>
        <v>6.4224554695314091E-3</v>
      </c>
      <c r="W577" s="18">
        <f t="shared" si="259"/>
        <v>2.0004278680878598E-3</v>
      </c>
      <c r="X577" s="18">
        <f t="shared" si="260"/>
        <v>1.0460058481751059E-3</v>
      </c>
      <c r="Y577" s="18">
        <f t="shared" si="261"/>
        <v>8.208991735481003E-3</v>
      </c>
      <c r="AA577" s="18">
        <f t="shared" si="243"/>
        <v>0.17012774750926454</v>
      </c>
      <c r="AB577" s="18">
        <f t="shared" si="244"/>
        <v>2.8943450472576068E-2</v>
      </c>
      <c r="AC577" s="18">
        <f t="shared" si="246"/>
        <v>7.9651618035914869E-3</v>
      </c>
      <c r="AD577" s="18">
        <f t="shared" si="248"/>
        <v>1.3888259430877497E-4</v>
      </c>
      <c r="AE577" s="18">
        <f t="shared" si="250"/>
        <v>3.2410247742643001E-3</v>
      </c>
      <c r="AF577" s="18">
        <f t="shared" si="252"/>
        <v>1.1396856651491266E-2</v>
      </c>
      <c r="AG577" s="18">
        <f t="shared" si="254"/>
        <v>1.8488910548969176E-2</v>
      </c>
      <c r="AH577" s="18">
        <f t="shared" si="256"/>
        <v>1.4675937650355598E-4</v>
      </c>
      <c r="AJ577" s="18">
        <f>IF(ISNUMBER(Kernel!M577),Kernel!M577,"")</f>
        <v>0.1268861366728069</v>
      </c>
      <c r="AK577" s="18">
        <f t="shared" si="241"/>
        <v>1.6100091679750232E-2</v>
      </c>
      <c r="AN577" s="18">
        <f>IF(ISNUMBER(Volcanic!G577),Volcanic!G577,"")</f>
        <v>6.0000000000000001E-3</v>
      </c>
    </row>
    <row r="578" spans="1:40">
      <c r="A578" s="18" t="str">
        <f>IF(Volcanic!A578="","",Volcanic!A578)</f>
        <v>3/2006</v>
      </c>
      <c r="B578" s="18">
        <f>IF(ISNUMBER(Volcanic!L578),Volcanic!L578,"")</f>
        <v>2006.2083333333333</v>
      </c>
      <c r="C578" s="18">
        <f>IF(ISNUMBER(Volcanic!J578),Volcanic!J578,"")</f>
        <v>4.9458004900782337E-2</v>
      </c>
      <c r="D578" s="18">
        <f t="shared" ref="D578:D641" si="262">IF(ISNUMBER(C578),C578^2,"")</f>
        <v>2.4460942487658098E-3</v>
      </c>
      <c r="E578" s="18">
        <f>IF(ISNUMBER(Volcanic!C578),Volcanic!C578,"")</f>
        <v>0.4513901126832936</v>
      </c>
      <c r="F578" s="18">
        <f>IF(ISNUMBER(Volcanic!D578),Volcanic!D578,"")</f>
        <v>-0.82</v>
      </c>
      <c r="G578" s="18">
        <f>IF(ISNUMBER(Volcanic!E578),Volcanic!E578,"")</f>
        <v>6.4599999999999996E-3</v>
      </c>
      <c r="H578" s="18">
        <f t="shared" ref="H578:H641" si="263">IF(ISNUMBER(E578),E578^2,"")</f>
        <v>0.20375303382823648</v>
      </c>
      <c r="I578" s="18">
        <f t="shared" ref="I578:I641" si="264">IF(ISNUMBER(F578),F578^2,"")</f>
        <v>0.67239999999999989</v>
      </c>
      <c r="J578" s="18">
        <f t="shared" ref="J578:J641" si="265">IF(ISNUMBER(G578),G578^2,"")</f>
        <v>4.1731599999999992E-5</v>
      </c>
      <c r="K578" s="18">
        <f t="shared" ref="K578:K641" si="266">IF(AND(ISNUMBER(E578),ISNUMBER(F578)),E578*F578,"")</f>
        <v>-0.37013989240030071</v>
      </c>
      <c r="L578" s="18">
        <f t="shared" ref="L578:L641" si="267">IF(AND(ISNUMBER(E578),ISNUMBER(G578)),E578*G578,"")</f>
        <v>2.9159801279340764E-3</v>
      </c>
      <c r="M578" s="18">
        <f t="shared" ref="M578:M641" si="268">IF(AND(ISNUMBER(F578),ISNUMBER(G578)),F578*G578,"")</f>
        <v>-5.2971999999999993E-3</v>
      </c>
      <c r="N578" s="18">
        <f t="shared" si="242"/>
        <v>1.9593723328334811E-2</v>
      </c>
      <c r="O578" s="18">
        <f t="shared" si="245"/>
        <v>3.5957128999704142E-3</v>
      </c>
      <c r="P578" s="18">
        <f t="shared" si="247"/>
        <v>3.3919646021101789E-3</v>
      </c>
      <c r="Q578" s="18">
        <f t="shared" si="249"/>
        <v>1.9396217818393714E-2</v>
      </c>
      <c r="R578" s="18">
        <f t="shared" si="251"/>
        <v>2.6818256871930971E-2</v>
      </c>
      <c r="S578" s="18">
        <f t="shared" si="253"/>
        <v>1.285458576934616E-2</v>
      </c>
      <c r="T578" s="18">
        <f t="shared" si="255"/>
        <v>2.0195919908659026E-3</v>
      </c>
      <c r="U578" s="18">
        <f t="shared" si="257"/>
        <v>4.2621307548423746E-3</v>
      </c>
      <c r="V578" s="18">
        <f t="shared" si="258"/>
        <v>1.8969637355866747E-3</v>
      </c>
      <c r="W578" s="18">
        <f t="shared" si="259"/>
        <v>6.4224554695314091E-3</v>
      </c>
      <c r="X578" s="18">
        <f t="shared" si="260"/>
        <v>2.0004278680878598E-3</v>
      </c>
      <c r="Y578" s="18">
        <f t="shared" si="261"/>
        <v>1.0460058481751059E-3</v>
      </c>
      <c r="AA578" s="18">
        <f t="shared" si="243"/>
        <v>-2.0923036565027989E-2</v>
      </c>
      <c r="AB578" s="18">
        <f t="shared" si="244"/>
        <v>4.3777345910149822E-4</v>
      </c>
      <c r="AC578" s="18">
        <f t="shared" si="246"/>
        <v>2.8943450472576068E-2</v>
      </c>
      <c r="AD578" s="18">
        <f t="shared" si="248"/>
        <v>7.9651618035914869E-3</v>
      </c>
      <c r="AE578" s="18">
        <f t="shared" si="250"/>
        <v>1.3888259430877497E-4</v>
      </c>
      <c r="AF578" s="18">
        <f t="shared" si="252"/>
        <v>3.2410247742643001E-3</v>
      </c>
      <c r="AG578" s="18">
        <f t="shared" si="254"/>
        <v>1.1396856651491266E-2</v>
      </c>
      <c r="AH578" s="18">
        <f t="shared" si="256"/>
        <v>1.8488910548969176E-2</v>
      </c>
      <c r="AJ578" s="18">
        <f>IF(ISNUMBER(Kernel!M578),Kernel!M578,"")</f>
        <v>1.9089571126986393E-2</v>
      </c>
      <c r="AK578" s="18">
        <f t="shared" ref="AK578:AK641" si="269">IF(ISNUMBER(AJ578),AJ578^2,"")</f>
        <v>3.6441172581227257E-4</v>
      </c>
      <c r="AN578" s="18">
        <f>IF(ISNUMBER(Volcanic!G578),Volcanic!G578,"")</f>
        <v>5.8199999999999997E-3</v>
      </c>
    </row>
    <row r="579" spans="1:40">
      <c r="A579" s="18" t="str">
        <f>IF(Volcanic!A579="","",Volcanic!A579)</f>
        <v>4/2006</v>
      </c>
      <c r="B579" s="18">
        <f>IF(ISNUMBER(Volcanic!L579),Volcanic!L579,"")</f>
        <v>2006.2916666666667</v>
      </c>
      <c r="C579" s="18">
        <f>IF(ISNUMBER(Volcanic!J579),Volcanic!J579,"")</f>
        <v>-0.12656417546274756</v>
      </c>
      <c r="D579" s="18">
        <f t="shared" si="262"/>
        <v>1.6018490510565152E-2</v>
      </c>
      <c r="E579" s="18">
        <f>IF(ISNUMBER(Volcanic!C579),Volcanic!C579,"")</f>
        <v>0.45868197193771321</v>
      </c>
      <c r="F579" s="18">
        <f>IF(ISNUMBER(Volcanic!D579),Volcanic!D579,"")</f>
        <v>-0.86</v>
      </c>
      <c r="G579" s="18">
        <f>IF(ISNUMBER(Volcanic!E579),Volcanic!E579,"")</f>
        <v>6.5300000000000002E-3</v>
      </c>
      <c r="H579" s="18">
        <f t="shared" si="263"/>
        <v>0.21038915138066913</v>
      </c>
      <c r="I579" s="18">
        <f t="shared" si="264"/>
        <v>0.73959999999999992</v>
      </c>
      <c r="J579" s="18">
        <f t="shared" si="265"/>
        <v>4.26409E-5</v>
      </c>
      <c r="K579" s="18">
        <f t="shared" si="266"/>
        <v>-0.39446649586643334</v>
      </c>
      <c r="L579" s="18">
        <f t="shared" si="267"/>
        <v>2.9951932767532672E-3</v>
      </c>
      <c r="M579" s="18">
        <f t="shared" si="268"/>
        <v>-5.6157999999999998E-3</v>
      </c>
      <c r="N579" s="18">
        <f t="shared" ref="N579:N642" si="270">IF(ISNUMBER(D578),D578,"")</f>
        <v>2.4460942487658098E-3</v>
      </c>
      <c r="O579" s="18">
        <f t="shared" si="245"/>
        <v>1.9593723328334811E-2</v>
      </c>
      <c r="P579" s="18">
        <f t="shared" si="247"/>
        <v>3.5957128999704142E-3</v>
      </c>
      <c r="Q579" s="18">
        <f t="shared" si="249"/>
        <v>3.3919646021101789E-3</v>
      </c>
      <c r="R579" s="18">
        <f t="shared" si="251"/>
        <v>1.9396217818393714E-2</v>
      </c>
      <c r="S579" s="18">
        <f t="shared" si="253"/>
        <v>2.6818256871930971E-2</v>
      </c>
      <c r="T579" s="18">
        <f t="shared" si="255"/>
        <v>1.285458576934616E-2</v>
      </c>
      <c r="U579" s="18">
        <f t="shared" si="257"/>
        <v>2.0195919908659026E-3</v>
      </c>
      <c r="V579" s="18">
        <f t="shared" si="258"/>
        <v>4.2621307548423746E-3</v>
      </c>
      <c r="W579" s="18">
        <f t="shared" si="259"/>
        <v>1.8969637355866747E-3</v>
      </c>
      <c r="X579" s="18">
        <f t="shared" si="260"/>
        <v>6.4224554695314091E-3</v>
      </c>
      <c r="Y579" s="18">
        <f t="shared" si="261"/>
        <v>2.0004278680878598E-3</v>
      </c>
      <c r="AA579" s="18">
        <f t="shared" ref="AA579:AA642" si="271">IF(AND(ISNUMBER(C579),ISNUMBER(C578)),C579-$AX$16*C578,"")</f>
        <v>-0.15143177108717862</v>
      </c>
      <c r="AB579" s="18">
        <f t="shared" ref="AB579:AB642" si="272">IF(ISNUMBER(AA579),AA579^2,"")</f>
        <v>2.2931581294599667E-2</v>
      </c>
      <c r="AC579" s="18">
        <f t="shared" si="246"/>
        <v>4.3777345910149822E-4</v>
      </c>
      <c r="AD579" s="18">
        <f t="shared" si="248"/>
        <v>2.8943450472576068E-2</v>
      </c>
      <c r="AE579" s="18">
        <f t="shared" si="250"/>
        <v>7.9651618035914869E-3</v>
      </c>
      <c r="AF579" s="18">
        <f t="shared" si="252"/>
        <v>1.3888259430877497E-4</v>
      </c>
      <c r="AG579" s="18">
        <f t="shared" si="254"/>
        <v>3.2410247742643001E-3</v>
      </c>
      <c r="AH579" s="18">
        <f t="shared" si="256"/>
        <v>1.1396856651491266E-2</v>
      </c>
      <c r="AJ579" s="18">
        <f>IF(ISNUMBER(Kernel!M579),Kernel!M579,"")</f>
        <v>-0.15867616704577425</v>
      </c>
      <c r="AK579" s="18">
        <f t="shared" si="269"/>
        <v>2.5178125988338455E-2</v>
      </c>
      <c r="AN579" s="18">
        <f>IF(ISNUMBER(Volcanic!G579),Volcanic!G579,"")</f>
        <v>5.8599999999999998E-3</v>
      </c>
    </row>
    <row r="580" spans="1:40">
      <c r="A580" s="18" t="str">
        <f>IF(Volcanic!A580="","",Volcanic!A580)</f>
        <v>5/2006</v>
      </c>
      <c r="B580" s="18">
        <f>IF(ISNUMBER(Volcanic!L580),Volcanic!L580,"")</f>
        <v>2006.375</v>
      </c>
      <c r="C580" s="18">
        <f>IF(ISNUMBER(Volcanic!J580),Volcanic!J580,"")</f>
        <v>-0.12649033276037625</v>
      </c>
      <c r="D580" s="18">
        <f t="shared" si="262"/>
        <v>1.5999804281830711E-2</v>
      </c>
      <c r="E580" s="18">
        <f>IF(ISNUMBER(Volcanic!C580),Volcanic!C580,"")</f>
        <v>0.46025578035116405</v>
      </c>
      <c r="F580" s="18">
        <f>IF(ISNUMBER(Volcanic!D580),Volcanic!D580,"")</f>
        <v>-0.8</v>
      </c>
      <c r="G580" s="18">
        <f>IF(ISNUMBER(Volcanic!E580),Volcanic!E580,"")</f>
        <v>6.4999999999999997E-3</v>
      </c>
      <c r="H580" s="18">
        <f t="shared" si="263"/>
        <v>0.21183538334665897</v>
      </c>
      <c r="I580" s="18">
        <f t="shared" si="264"/>
        <v>0.64000000000000012</v>
      </c>
      <c r="J580" s="18">
        <f t="shared" si="265"/>
        <v>4.2249999999999997E-5</v>
      </c>
      <c r="K580" s="18">
        <f t="shared" si="266"/>
        <v>-0.36820462428093126</v>
      </c>
      <c r="L580" s="18">
        <f t="shared" si="267"/>
        <v>2.9916625722825664E-3</v>
      </c>
      <c r="M580" s="18">
        <f t="shared" si="268"/>
        <v>-5.1999999999999998E-3</v>
      </c>
      <c r="N580" s="18">
        <f t="shared" si="270"/>
        <v>1.6018490510565152E-2</v>
      </c>
      <c r="O580" s="18">
        <f t="shared" ref="O580:O643" si="273">IF(ISNUMBER(D578),D578,"")</f>
        <v>2.4460942487658098E-3</v>
      </c>
      <c r="P580" s="18">
        <f t="shared" si="247"/>
        <v>1.9593723328334811E-2</v>
      </c>
      <c r="Q580" s="18">
        <f t="shared" si="249"/>
        <v>3.5957128999704142E-3</v>
      </c>
      <c r="R580" s="18">
        <f t="shared" si="251"/>
        <v>3.3919646021101789E-3</v>
      </c>
      <c r="S580" s="18">
        <f t="shared" si="253"/>
        <v>1.9396217818393714E-2</v>
      </c>
      <c r="T580" s="18">
        <f t="shared" si="255"/>
        <v>2.6818256871930971E-2</v>
      </c>
      <c r="U580" s="18">
        <f t="shared" si="257"/>
        <v>1.285458576934616E-2</v>
      </c>
      <c r="V580" s="18">
        <f t="shared" si="258"/>
        <v>2.0195919908659026E-3</v>
      </c>
      <c r="W580" s="18">
        <f t="shared" si="259"/>
        <v>4.2621307548423746E-3</v>
      </c>
      <c r="X580" s="18">
        <f t="shared" si="260"/>
        <v>1.8969637355866747E-3</v>
      </c>
      <c r="Y580" s="18">
        <f t="shared" si="261"/>
        <v>6.4224554695314091E-3</v>
      </c>
      <c r="AA580" s="18">
        <f t="shared" si="271"/>
        <v>-6.2853581899498717E-2</v>
      </c>
      <c r="AB580" s="18">
        <f t="shared" si="272"/>
        <v>3.9505727575969924E-3</v>
      </c>
      <c r="AC580" s="18">
        <f t="shared" ref="AC580:AC643" si="274">IF(ISNUMBER(AB579),AB579,"")</f>
        <v>2.2931581294599667E-2</v>
      </c>
      <c r="AD580" s="18">
        <f t="shared" si="248"/>
        <v>4.3777345910149822E-4</v>
      </c>
      <c r="AE580" s="18">
        <f t="shared" si="250"/>
        <v>2.8943450472576068E-2</v>
      </c>
      <c r="AF580" s="18">
        <f t="shared" si="252"/>
        <v>7.9651618035914869E-3</v>
      </c>
      <c r="AG580" s="18">
        <f t="shared" si="254"/>
        <v>1.3888259430877497E-4</v>
      </c>
      <c r="AH580" s="18">
        <f t="shared" si="256"/>
        <v>3.2410247742643001E-3</v>
      </c>
      <c r="AJ580" s="18">
        <f>IF(ISNUMBER(Kernel!M580),Kernel!M580,"")</f>
        <v>-0.15691352250397494</v>
      </c>
      <c r="AK580" s="18">
        <f t="shared" si="269"/>
        <v>2.462185354460545E-2</v>
      </c>
      <c r="AN580" s="18">
        <f>IF(ISNUMBER(Volcanic!G580),Volcanic!G580,"")</f>
        <v>5.8300000000000001E-3</v>
      </c>
    </row>
    <row r="581" spans="1:40">
      <c r="A581" s="18" t="str">
        <f>IF(Volcanic!A581="","",Volcanic!A581)</f>
        <v>6/2006</v>
      </c>
      <c r="B581" s="18">
        <f>IF(ISNUMBER(Volcanic!L581),Volcanic!L581,"")</f>
        <v>2006.4583333333333</v>
      </c>
      <c r="C581" s="18">
        <f>IF(ISNUMBER(Volcanic!J581),Volcanic!J581,"")</f>
        <v>5.7361451737602764E-2</v>
      </c>
      <c r="D581" s="18">
        <f t="shared" si="262"/>
        <v>3.2903361454453312E-3</v>
      </c>
      <c r="E581" s="18">
        <f>IF(ISNUMBER(Volcanic!C581),Volcanic!C581,"")</f>
        <v>0.45658088651772205</v>
      </c>
      <c r="F581" s="18">
        <f>IF(ISNUMBER(Volcanic!D581),Volcanic!D581,"")</f>
        <v>-0.63</v>
      </c>
      <c r="G581" s="18">
        <f>IF(ISNUMBER(Volcanic!E581),Volcanic!E581,"")</f>
        <v>6.3200000000000001E-3</v>
      </c>
      <c r="H581" s="18">
        <f t="shared" si="263"/>
        <v>0.20846610593330897</v>
      </c>
      <c r="I581" s="18">
        <f t="shared" si="264"/>
        <v>0.39690000000000003</v>
      </c>
      <c r="J581" s="18">
        <f t="shared" si="265"/>
        <v>3.9942399999999999E-5</v>
      </c>
      <c r="K581" s="18">
        <f t="shared" si="266"/>
        <v>-0.28764595850616487</v>
      </c>
      <c r="L581" s="18">
        <f t="shared" si="267"/>
        <v>2.8855912027920035E-3</v>
      </c>
      <c r="M581" s="18">
        <f t="shared" si="268"/>
        <v>-3.9816000000000001E-3</v>
      </c>
      <c r="N581" s="18">
        <f t="shared" si="270"/>
        <v>1.5999804281830711E-2</v>
      </c>
      <c r="O581" s="18">
        <f t="shared" si="273"/>
        <v>1.6018490510565152E-2</v>
      </c>
      <c r="P581" s="18">
        <f t="shared" ref="P581:P644" si="275">IF(ISNUMBER(D578),D578,"")</f>
        <v>2.4460942487658098E-3</v>
      </c>
      <c r="Q581" s="18">
        <f t="shared" si="249"/>
        <v>1.9593723328334811E-2</v>
      </c>
      <c r="R581" s="18">
        <f t="shared" si="251"/>
        <v>3.5957128999704142E-3</v>
      </c>
      <c r="S581" s="18">
        <f t="shared" si="253"/>
        <v>3.3919646021101789E-3</v>
      </c>
      <c r="T581" s="18">
        <f t="shared" si="255"/>
        <v>1.9396217818393714E-2</v>
      </c>
      <c r="U581" s="18">
        <f t="shared" si="257"/>
        <v>2.6818256871930971E-2</v>
      </c>
      <c r="V581" s="18">
        <f t="shared" si="258"/>
        <v>1.285458576934616E-2</v>
      </c>
      <c r="W581" s="18">
        <f t="shared" si="259"/>
        <v>2.0195919908659026E-3</v>
      </c>
      <c r="X581" s="18">
        <f t="shared" si="260"/>
        <v>4.2621307548423746E-3</v>
      </c>
      <c r="Y581" s="18">
        <f t="shared" si="261"/>
        <v>1.8969637355866747E-3</v>
      </c>
      <c r="AA581" s="18">
        <f t="shared" si="271"/>
        <v>0.12096107432235859</v>
      </c>
      <c r="AB581" s="18">
        <f t="shared" si="272"/>
        <v>1.4631581501219158E-2</v>
      </c>
      <c r="AC581" s="18">
        <f t="shared" si="274"/>
        <v>3.9505727575969924E-3</v>
      </c>
      <c r="AD581" s="18">
        <f t="shared" ref="AD581:AD644" si="276">IF(ISNUMBER(AB579),AB579,"")</f>
        <v>2.2931581294599667E-2</v>
      </c>
      <c r="AE581" s="18">
        <f t="shared" si="250"/>
        <v>4.3777345910149822E-4</v>
      </c>
      <c r="AF581" s="18">
        <f t="shared" si="252"/>
        <v>2.8943450472576068E-2</v>
      </c>
      <c r="AG581" s="18">
        <f t="shared" si="254"/>
        <v>7.9651618035914869E-3</v>
      </c>
      <c r="AH581" s="18">
        <f t="shared" si="256"/>
        <v>1.3888259430877497E-4</v>
      </c>
      <c r="AJ581" s="18">
        <f>IF(ISNUMBER(Kernel!M581),Kernel!M581,"")</f>
        <v>3.6758999933785175E-2</v>
      </c>
      <c r="AK581" s="18">
        <f t="shared" si="269"/>
        <v>1.3512240761320185E-3</v>
      </c>
      <c r="AN581" s="18">
        <f>IF(ISNUMBER(Volcanic!G581),Volcanic!G581,"")</f>
        <v>6.3200000000000001E-3</v>
      </c>
    </row>
    <row r="582" spans="1:40">
      <c r="A582" s="18" t="str">
        <f>IF(Volcanic!A582="","",Volcanic!A582)</f>
        <v>7/2006</v>
      </c>
      <c r="B582" s="18">
        <f>IF(ISNUMBER(Volcanic!L582),Volcanic!L582,"")</f>
        <v>2006.5416666666667</v>
      </c>
      <c r="C582" s="18">
        <f>IF(ISNUMBER(Volcanic!J582),Volcanic!J582,"")</f>
        <v>-7.3861466820085764E-2</v>
      </c>
      <c r="D582" s="18">
        <f t="shared" si="262"/>
        <v>5.4555162808146299E-3</v>
      </c>
      <c r="E582" s="18">
        <f>IF(ISNUMBER(Volcanic!C582),Volcanic!C582,"")</f>
        <v>0.45059857249129948</v>
      </c>
      <c r="F582" s="18">
        <f>IF(ISNUMBER(Volcanic!D582),Volcanic!D582,"")</f>
        <v>-0.45</v>
      </c>
      <c r="G582" s="18">
        <f>IF(ISNUMBER(Volcanic!E582),Volcanic!E582,"")</f>
        <v>5.94E-3</v>
      </c>
      <c r="H582" s="18">
        <f t="shared" si="263"/>
        <v>0.20303907353119688</v>
      </c>
      <c r="I582" s="18">
        <f t="shared" si="264"/>
        <v>0.20250000000000001</v>
      </c>
      <c r="J582" s="18">
        <f t="shared" si="265"/>
        <v>3.5283600000000002E-5</v>
      </c>
      <c r="K582" s="18">
        <f t="shared" si="266"/>
        <v>-0.20276935762108478</v>
      </c>
      <c r="L582" s="18">
        <f t="shared" si="267"/>
        <v>2.676555520598319E-3</v>
      </c>
      <c r="M582" s="18">
        <f t="shared" si="268"/>
        <v>-2.673E-3</v>
      </c>
      <c r="N582" s="18">
        <f t="shared" si="270"/>
        <v>3.2903361454453312E-3</v>
      </c>
      <c r="O582" s="18">
        <f t="shared" si="273"/>
        <v>1.5999804281830711E-2</v>
      </c>
      <c r="P582" s="18">
        <f t="shared" si="275"/>
        <v>1.6018490510565152E-2</v>
      </c>
      <c r="Q582" s="18">
        <f t="shared" ref="Q582:Q645" si="277">IF(ISNUMBER(D578),D578,"")</f>
        <v>2.4460942487658098E-3</v>
      </c>
      <c r="R582" s="18">
        <f t="shared" si="251"/>
        <v>1.9593723328334811E-2</v>
      </c>
      <c r="S582" s="18">
        <f t="shared" si="253"/>
        <v>3.5957128999704142E-3</v>
      </c>
      <c r="T582" s="18">
        <f t="shared" si="255"/>
        <v>3.3919646021101789E-3</v>
      </c>
      <c r="U582" s="18">
        <f t="shared" si="257"/>
        <v>1.9396217818393714E-2</v>
      </c>
      <c r="V582" s="18">
        <f t="shared" si="258"/>
        <v>2.6818256871930971E-2</v>
      </c>
      <c r="W582" s="18">
        <f t="shared" si="259"/>
        <v>1.285458576934616E-2</v>
      </c>
      <c r="X582" s="18">
        <f t="shared" si="260"/>
        <v>2.0195919908659026E-3</v>
      </c>
      <c r="Y582" s="18">
        <f t="shared" si="261"/>
        <v>4.2621307548423746E-3</v>
      </c>
      <c r="AA582" s="18">
        <f t="shared" si="271"/>
        <v>-0.10270293321369801</v>
      </c>
      <c r="AB582" s="18">
        <f t="shared" si="272"/>
        <v>1.0547892490697314E-2</v>
      </c>
      <c r="AC582" s="18">
        <f t="shared" si="274"/>
        <v>1.4631581501219158E-2</v>
      </c>
      <c r="AD582" s="18">
        <f t="shared" si="276"/>
        <v>3.9505727575969924E-3</v>
      </c>
      <c r="AE582" s="18">
        <f t="shared" ref="AE582:AE645" si="278">IF(ISNUMBER(AB579),AB579,"")</f>
        <v>2.2931581294599667E-2</v>
      </c>
      <c r="AF582" s="18">
        <f t="shared" si="252"/>
        <v>4.3777345910149822E-4</v>
      </c>
      <c r="AG582" s="18">
        <f t="shared" si="254"/>
        <v>2.8943450472576068E-2</v>
      </c>
      <c r="AH582" s="18">
        <f t="shared" si="256"/>
        <v>7.9651618035914869E-3</v>
      </c>
      <c r="AJ582" s="18">
        <f>IF(ISNUMBER(Kernel!M582),Kernel!M582,"")</f>
        <v>-8.5896943214427646E-2</v>
      </c>
      <c r="AK582" s="18">
        <f t="shared" si="269"/>
        <v>7.378284853582608E-3</v>
      </c>
      <c r="AN582" s="18">
        <f>IF(ISNUMBER(Volcanic!G582),Volcanic!G582,"")</f>
        <v>6.8300000000000001E-3</v>
      </c>
    </row>
    <row r="583" spans="1:40">
      <c r="A583" s="18" t="str">
        <f>IF(Volcanic!A583="","",Volcanic!A583)</f>
        <v>8/2006</v>
      </c>
      <c r="B583" s="18">
        <f>IF(ISNUMBER(Volcanic!L583),Volcanic!L583,"")</f>
        <v>2006.625</v>
      </c>
      <c r="C583" s="18">
        <f>IF(ISNUMBER(Volcanic!J583),Volcanic!J583,"")</f>
        <v>9.350099435808723E-2</v>
      </c>
      <c r="D583" s="18">
        <f t="shared" si="262"/>
        <v>8.7424359459510603E-3</v>
      </c>
      <c r="E583" s="18">
        <f>IF(ISNUMBER(Volcanic!C583),Volcanic!C583,"")</f>
        <v>0.44284873444169331</v>
      </c>
      <c r="F583" s="18">
        <f>IF(ISNUMBER(Volcanic!D583),Volcanic!D583,"")</f>
        <v>-0.19</v>
      </c>
      <c r="G583" s="18">
        <f>IF(ISNUMBER(Volcanic!E583),Volcanic!E583,"")</f>
        <v>6.1000000000000004E-3</v>
      </c>
      <c r="H583" s="18">
        <f t="shared" si="263"/>
        <v>0.19611500159660941</v>
      </c>
      <c r="I583" s="18">
        <f t="shared" si="264"/>
        <v>3.61E-2</v>
      </c>
      <c r="J583" s="18">
        <f t="shared" si="265"/>
        <v>3.7210000000000005E-5</v>
      </c>
      <c r="K583" s="18">
        <f t="shared" si="266"/>
        <v>-8.4141259543921737E-2</v>
      </c>
      <c r="L583" s="18">
        <f t="shared" si="267"/>
        <v>2.7013772800943293E-3</v>
      </c>
      <c r="M583" s="18">
        <f t="shared" si="268"/>
        <v>-1.1590000000000001E-3</v>
      </c>
      <c r="N583" s="18">
        <f t="shared" si="270"/>
        <v>5.4555162808146299E-3</v>
      </c>
      <c r="O583" s="18">
        <f t="shared" si="273"/>
        <v>3.2903361454453312E-3</v>
      </c>
      <c r="P583" s="18">
        <f t="shared" si="275"/>
        <v>1.5999804281830711E-2</v>
      </c>
      <c r="Q583" s="18">
        <f t="shared" si="277"/>
        <v>1.6018490510565152E-2</v>
      </c>
      <c r="R583" s="18">
        <f t="shared" ref="R583:R646" si="279">IF(ISNUMBER(D578),D578,"")</f>
        <v>2.4460942487658098E-3</v>
      </c>
      <c r="S583" s="18">
        <f t="shared" si="253"/>
        <v>1.9593723328334811E-2</v>
      </c>
      <c r="T583" s="18">
        <f t="shared" si="255"/>
        <v>3.5957128999704142E-3</v>
      </c>
      <c r="U583" s="18">
        <f t="shared" si="257"/>
        <v>3.3919646021101789E-3</v>
      </c>
      <c r="V583" s="18">
        <f t="shared" si="258"/>
        <v>1.9396217818393714E-2</v>
      </c>
      <c r="W583" s="18">
        <f t="shared" si="259"/>
        <v>2.6818256871930971E-2</v>
      </c>
      <c r="X583" s="18">
        <f t="shared" si="260"/>
        <v>1.285458576934616E-2</v>
      </c>
      <c r="Y583" s="18">
        <f t="shared" si="261"/>
        <v>2.0195919908659026E-3</v>
      </c>
      <c r="AA583" s="18">
        <f t="shared" si="271"/>
        <v>0.13063870528666069</v>
      </c>
      <c r="AB583" s="18">
        <f t="shared" si="272"/>
        <v>1.7066471318974989E-2</v>
      </c>
      <c r="AC583" s="18">
        <f t="shared" si="274"/>
        <v>1.0547892490697314E-2</v>
      </c>
      <c r="AD583" s="18">
        <f t="shared" si="276"/>
        <v>1.4631581501219158E-2</v>
      </c>
      <c r="AE583" s="18">
        <f t="shared" si="278"/>
        <v>3.9505727575969924E-3</v>
      </c>
      <c r="AF583" s="18">
        <f t="shared" ref="AF583:AF646" si="280">IF(ISNUMBER(AB579),AB579,"")</f>
        <v>2.2931581294599667E-2</v>
      </c>
      <c r="AG583" s="18">
        <f t="shared" si="254"/>
        <v>4.3777345910149822E-4</v>
      </c>
      <c r="AH583" s="18">
        <f t="shared" si="256"/>
        <v>2.8943450472576068E-2</v>
      </c>
      <c r="AJ583" s="18">
        <f>IF(ISNUMBER(Kernel!M583),Kernel!M583,"")</f>
        <v>9.3200767109169913E-2</v>
      </c>
      <c r="AK583" s="18">
        <f t="shared" si="269"/>
        <v>8.6863829897377287E-3</v>
      </c>
      <c r="AN583" s="18">
        <f>IF(ISNUMBER(Volcanic!G583),Volcanic!G583,"")</f>
        <v>7.3600000000000002E-3</v>
      </c>
    </row>
    <row r="584" spans="1:40">
      <c r="A584" s="18" t="str">
        <f>IF(Volcanic!A584="","",Volcanic!A584)</f>
        <v>9/2006</v>
      </c>
      <c r="B584" s="18">
        <f>IF(ISNUMBER(Volcanic!L584),Volcanic!L584,"")</f>
        <v>2006.7083333333333</v>
      </c>
      <c r="C584" s="18">
        <f>IF(ISNUMBER(Volcanic!J584),Volcanic!J584,"")</f>
        <v>4.6450904240044277E-2</v>
      </c>
      <c r="D584" s="18">
        <f t="shared" si="262"/>
        <v>2.1576865047177635E-3</v>
      </c>
      <c r="E584" s="18">
        <f>IF(ISNUMBER(Volcanic!C584),Volcanic!C584,"")</f>
        <v>0.4369232765205403</v>
      </c>
      <c r="F584" s="18">
        <f>IF(ISNUMBER(Volcanic!D584),Volcanic!D584,"")</f>
        <v>-0.05</v>
      </c>
      <c r="G584" s="18">
        <f>IF(ISNUMBER(Volcanic!E584),Volcanic!E584,"")</f>
        <v>6.0000000000000001E-3</v>
      </c>
      <c r="H584" s="18">
        <f t="shared" si="263"/>
        <v>0.19090194956544454</v>
      </c>
      <c r="I584" s="18">
        <f t="shared" si="264"/>
        <v>2.5000000000000005E-3</v>
      </c>
      <c r="J584" s="18">
        <f t="shared" si="265"/>
        <v>3.6000000000000001E-5</v>
      </c>
      <c r="K584" s="18">
        <f t="shared" si="266"/>
        <v>-2.1846163826027016E-2</v>
      </c>
      <c r="L584" s="18">
        <f t="shared" si="267"/>
        <v>2.6215396591232421E-3</v>
      </c>
      <c r="M584" s="18">
        <f t="shared" si="268"/>
        <v>-3.0000000000000003E-4</v>
      </c>
      <c r="N584" s="18">
        <f t="shared" si="270"/>
        <v>8.7424359459510603E-3</v>
      </c>
      <c r="O584" s="18">
        <f t="shared" si="273"/>
        <v>5.4555162808146299E-3</v>
      </c>
      <c r="P584" s="18">
        <f t="shared" si="275"/>
        <v>3.2903361454453312E-3</v>
      </c>
      <c r="Q584" s="18">
        <f t="shared" si="277"/>
        <v>1.5999804281830711E-2</v>
      </c>
      <c r="R584" s="18">
        <f t="shared" si="279"/>
        <v>1.6018490510565152E-2</v>
      </c>
      <c r="S584" s="18">
        <f t="shared" ref="S584:S647" si="281">IF(ISNUMBER(D578),D578,"")</f>
        <v>2.4460942487658098E-3</v>
      </c>
      <c r="T584" s="18">
        <f t="shared" si="255"/>
        <v>1.9593723328334811E-2</v>
      </c>
      <c r="U584" s="18">
        <f t="shared" si="257"/>
        <v>3.5957128999704142E-3</v>
      </c>
      <c r="V584" s="18">
        <f t="shared" si="258"/>
        <v>3.3919646021101789E-3</v>
      </c>
      <c r="W584" s="18">
        <f t="shared" si="259"/>
        <v>1.9396217818393714E-2</v>
      </c>
      <c r="X584" s="18">
        <f t="shared" si="260"/>
        <v>2.6818256871930971E-2</v>
      </c>
      <c r="Y584" s="18">
        <f t="shared" si="261"/>
        <v>1.285458576934616E-2</v>
      </c>
      <c r="AA584" s="18">
        <f t="shared" si="271"/>
        <v>-5.616051170070982E-4</v>
      </c>
      <c r="AB584" s="18">
        <f t="shared" si="272"/>
        <v>3.1540030744855644E-7</v>
      </c>
      <c r="AC584" s="18">
        <f t="shared" si="274"/>
        <v>1.7066471318974989E-2</v>
      </c>
      <c r="AD584" s="18">
        <f t="shared" si="276"/>
        <v>1.0547892490697314E-2</v>
      </c>
      <c r="AE584" s="18">
        <f t="shared" si="278"/>
        <v>1.4631581501219158E-2</v>
      </c>
      <c r="AF584" s="18">
        <f t="shared" si="280"/>
        <v>3.9505727575969924E-3</v>
      </c>
      <c r="AG584" s="18">
        <f t="shared" ref="AG584:AG647" si="282">IF(ISNUMBER(AB579),AB579,"")</f>
        <v>2.2931581294599667E-2</v>
      </c>
      <c r="AH584" s="18">
        <f t="shared" si="256"/>
        <v>4.3777345910149822E-4</v>
      </c>
      <c r="AJ584" s="18">
        <f>IF(ISNUMBER(Kernel!M584),Kernel!M584,"")</f>
        <v>4.4725430732090898E-2</v>
      </c>
      <c r="AK584" s="18">
        <f t="shared" si="269"/>
        <v>2.000364154171061E-3</v>
      </c>
      <c r="AN584" s="18">
        <f>IF(ISNUMBER(Volcanic!G584),Volcanic!G584,"")</f>
        <v>7.5700000000000003E-3</v>
      </c>
    </row>
    <row r="585" spans="1:40">
      <c r="A585" s="18" t="str">
        <f>IF(Volcanic!A585="","",Volcanic!A585)</f>
        <v>10/2006</v>
      </c>
      <c r="B585" s="18">
        <f>IF(ISNUMBER(Volcanic!L585),Volcanic!L585,"")</f>
        <v>2006.7916666666667</v>
      </c>
      <c r="C585" s="18">
        <f>IF(ISNUMBER(Volcanic!J585),Volcanic!J585,"")</f>
        <v>7.7270326651849408E-2</v>
      </c>
      <c r="D585" s="18">
        <f t="shared" si="262"/>
        <v>5.9707033808835087E-3</v>
      </c>
      <c r="E585" s="18">
        <f>IF(ISNUMBER(Volcanic!C585),Volcanic!C585,"")</f>
        <v>0.43802664712394201</v>
      </c>
      <c r="F585" s="18">
        <f>IF(ISNUMBER(Volcanic!D585),Volcanic!D585,"")</f>
        <v>0.12</v>
      </c>
      <c r="G585" s="18">
        <f>IF(ISNUMBER(Volcanic!E585),Volcanic!E585,"")</f>
        <v>5.8199999999999997E-3</v>
      </c>
      <c r="H585" s="18">
        <f t="shared" si="263"/>
        <v>0.19186734359064242</v>
      </c>
      <c r="I585" s="18">
        <f t="shared" si="264"/>
        <v>1.44E-2</v>
      </c>
      <c r="J585" s="18">
        <f t="shared" si="265"/>
        <v>3.3872399999999998E-5</v>
      </c>
      <c r="K585" s="18">
        <f t="shared" si="266"/>
        <v>5.2563197654873037E-2</v>
      </c>
      <c r="L585" s="18">
        <f t="shared" si="267"/>
        <v>2.5493150862613422E-3</v>
      </c>
      <c r="M585" s="18">
        <f t="shared" si="268"/>
        <v>6.9839999999999995E-4</v>
      </c>
      <c r="N585" s="18">
        <f t="shared" si="270"/>
        <v>2.1576865047177635E-3</v>
      </c>
      <c r="O585" s="18">
        <f t="shared" si="273"/>
        <v>8.7424359459510603E-3</v>
      </c>
      <c r="P585" s="18">
        <f t="shared" si="275"/>
        <v>5.4555162808146299E-3</v>
      </c>
      <c r="Q585" s="18">
        <f t="shared" si="277"/>
        <v>3.2903361454453312E-3</v>
      </c>
      <c r="R585" s="18">
        <f t="shared" si="279"/>
        <v>1.5999804281830711E-2</v>
      </c>
      <c r="S585" s="18">
        <f t="shared" si="281"/>
        <v>1.6018490510565152E-2</v>
      </c>
      <c r="T585" s="18">
        <f t="shared" ref="T585:T648" si="283">IF(ISNUMBER(D578),D578,"")</f>
        <v>2.4460942487658098E-3</v>
      </c>
      <c r="U585" s="18">
        <f t="shared" si="257"/>
        <v>1.9593723328334811E-2</v>
      </c>
      <c r="V585" s="18">
        <f t="shared" si="258"/>
        <v>3.5957128999704142E-3</v>
      </c>
      <c r="W585" s="18">
        <f t="shared" si="259"/>
        <v>3.3919646021101789E-3</v>
      </c>
      <c r="X585" s="18">
        <f t="shared" si="260"/>
        <v>1.9396217818393714E-2</v>
      </c>
      <c r="Y585" s="18">
        <f t="shared" si="261"/>
        <v>2.6818256871930971E-2</v>
      </c>
      <c r="AA585" s="18">
        <f t="shared" si="271"/>
        <v>5.3914707973985621E-2</v>
      </c>
      <c r="AB585" s="18">
        <f t="shared" si="272"/>
        <v>2.9067957359201488E-3</v>
      </c>
      <c r="AC585" s="18">
        <f t="shared" si="274"/>
        <v>3.1540030744855644E-7</v>
      </c>
      <c r="AD585" s="18">
        <f t="shared" si="276"/>
        <v>1.7066471318974989E-2</v>
      </c>
      <c r="AE585" s="18">
        <f t="shared" si="278"/>
        <v>1.0547892490697314E-2</v>
      </c>
      <c r="AF585" s="18">
        <f t="shared" si="280"/>
        <v>1.4631581501219158E-2</v>
      </c>
      <c r="AG585" s="18">
        <f t="shared" si="282"/>
        <v>3.9505727575969924E-3</v>
      </c>
      <c r="AH585" s="18">
        <f t="shared" ref="AH585:AH648" si="284">IF(ISNUMBER(AB579),AB579,"")</f>
        <v>2.2931581294599667E-2</v>
      </c>
      <c r="AJ585" s="18">
        <f>IF(ISNUMBER(Kernel!M585),Kernel!M585,"")</f>
        <v>7.5800779406867913E-2</v>
      </c>
      <c r="AK585" s="18">
        <f t="shared" si="269"/>
        <v>5.7457581586886509E-3</v>
      </c>
      <c r="AN585" s="18">
        <f>IF(ISNUMBER(Volcanic!G585),Volcanic!G585,"")</f>
        <v>7.4999999999999997E-3</v>
      </c>
    </row>
    <row r="586" spans="1:40">
      <c r="A586" s="18" t="str">
        <f>IF(Volcanic!A586="","",Volcanic!A586)</f>
        <v>11/2006</v>
      </c>
      <c r="B586" s="18">
        <f>IF(ISNUMBER(Volcanic!L586),Volcanic!L586,"")</f>
        <v>2006.875</v>
      </c>
      <c r="C586" s="18">
        <f>IF(ISNUMBER(Volcanic!J586),Volcanic!J586,"")</f>
        <v>6.7304982992264506E-2</v>
      </c>
      <c r="D586" s="18">
        <f t="shared" si="262"/>
        <v>4.5299607355890146E-3</v>
      </c>
      <c r="E586" s="18">
        <f>IF(ISNUMBER(Volcanic!C586),Volcanic!C586,"")</f>
        <v>0.44190077787897852</v>
      </c>
      <c r="F586" s="18">
        <f>IF(ISNUMBER(Volcanic!D586),Volcanic!D586,"")</f>
        <v>0.33</v>
      </c>
      <c r="G586" s="18">
        <f>IF(ISNUMBER(Volcanic!E586),Volcanic!E586,"")</f>
        <v>5.8599999999999998E-3</v>
      </c>
      <c r="H586" s="18">
        <f t="shared" si="263"/>
        <v>0.19527629749004632</v>
      </c>
      <c r="I586" s="18">
        <f t="shared" si="264"/>
        <v>0.10890000000000001</v>
      </c>
      <c r="J586" s="18">
        <f t="shared" si="265"/>
        <v>3.4339599999999999E-5</v>
      </c>
      <c r="K586" s="18">
        <f t="shared" si="266"/>
        <v>0.14582725670006291</v>
      </c>
      <c r="L586" s="18">
        <f t="shared" si="267"/>
        <v>2.5895385583708142E-3</v>
      </c>
      <c r="M586" s="18">
        <f t="shared" si="268"/>
        <v>1.9338000000000001E-3</v>
      </c>
      <c r="N586" s="18">
        <f t="shared" si="270"/>
        <v>5.9707033808835087E-3</v>
      </c>
      <c r="O586" s="18">
        <f t="shared" si="273"/>
        <v>2.1576865047177635E-3</v>
      </c>
      <c r="P586" s="18">
        <f t="shared" si="275"/>
        <v>8.7424359459510603E-3</v>
      </c>
      <c r="Q586" s="18">
        <f t="shared" si="277"/>
        <v>5.4555162808146299E-3</v>
      </c>
      <c r="R586" s="18">
        <f t="shared" si="279"/>
        <v>3.2903361454453312E-3</v>
      </c>
      <c r="S586" s="18">
        <f t="shared" si="281"/>
        <v>1.5999804281830711E-2</v>
      </c>
      <c r="T586" s="18">
        <f t="shared" si="283"/>
        <v>1.6018490510565152E-2</v>
      </c>
      <c r="U586" s="18">
        <f t="shared" ref="U586:U649" si="285">IF(ISNUMBER(D578),D578,"")</f>
        <v>2.4460942487658098E-3</v>
      </c>
      <c r="V586" s="18">
        <f t="shared" si="258"/>
        <v>1.9593723328334811E-2</v>
      </c>
      <c r="W586" s="18">
        <f t="shared" si="259"/>
        <v>3.5957128999704142E-3</v>
      </c>
      <c r="X586" s="18">
        <f t="shared" si="260"/>
        <v>3.3919646021101789E-3</v>
      </c>
      <c r="Y586" s="18">
        <f t="shared" si="261"/>
        <v>1.9396217818393714E-2</v>
      </c>
      <c r="AA586" s="18">
        <f t="shared" si="271"/>
        <v>2.845328970619964E-2</v>
      </c>
      <c r="AB586" s="18">
        <f t="shared" si="272"/>
        <v>8.0958969510492641E-4</v>
      </c>
      <c r="AC586" s="18">
        <f t="shared" si="274"/>
        <v>2.9067957359201488E-3</v>
      </c>
      <c r="AD586" s="18">
        <f t="shared" si="276"/>
        <v>3.1540030744855644E-7</v>
      </c>
      <c r="AE586" s="18">
        <f t="shared" si="278"/>
        <v>1.7066471318974989E-2</v>
      </c>
      <c r="AF586" s="18">
        <f t="shared" si="280"/>
        <v>1.0547892490697314E-2</v>
      </c>
      <c r="AG586" s="18">
        <f t="shared" si="282"/>
        <v>1.4631581501219158E-2</v>
      </c>
      <c r="AH586" s="18">
        <f t="shared" si="284"/>
        <v>3.9505727575969924E-3</v>
      </c>
      <c r="AJ586" s="18">
        <f>IF(ISNUMBER(Kernel!M586),Kernel!M586,"")</f>
        <v>6.8416327565890001E-2</v>
      </c>
      <c r="AK586" s="18">
        <f t="shared" si="269"/>
        <v>4.6807938776031602E-3</v>
      </c>
      <c r="AN586" s="18">
        <f>IF(ISNUMBER(Volcanic!G586),Volcanic!G586,"")</f>
        <v>8.3800000000000003E-3</v>
      </c>
    </row>
    <row r="587" spans="1:40">
      <c r="A587" s="18" t="str">
        <f>IF(Volcanic!A587="","",Volcanic!A587)</f>
        <v>12/2006</v>
      </c>
      <c r="B587" s="18">
        <f>IF(ISNUMBER(Volcanic!L587),Volcanic!L587,"")</f>
        <v>2006.9583333333333</v>
      </c>
      <c r="C587" s="18">
        <f>IF(ISNUMBER(Volcanic!J587),Volcanic!J587,"")</f>
        <v>9.0513146584569326E-2</v>
      </c>
      <c r="D587" s="18">
        <f t="shared" si="262"/>
        <v>8.1926297046397336E-3</v>
      </c>
      <c r="E587" s="18">
        <f>IF(ISNUMBER(Volcanic!C587),Volcanic!C587,"")</f>
        <v>0.44822134288530163</v>
      </c>
      <c r="F587" s="18">
        <f>IF(ISNUMBER(Volcanic!D587),Volcanic!D587,"")</f>
        <v>0.54</v>
      </c>
      <c r="G587" s="18">
        <f>IF(ISNUMBER(Volcanic!E587),Volcanic!E587,"")</f>
        <v>5.8300000000000001E-3</v>
      </c>
      <c r="H587" s="18">
        <f t="shared" si="263"/>
        <v>0.20090237221790314</v>
      </c>
      <c r="I587" s="18">
        <f t="shared" si="264"/>
        <v>0.29160000000000003</v>
      </c>
      <c r="J587" s="18">
        <f t="shared" si="265"/>
        <v>3.3988900000000002E-5</v>
      </c>
      <c r="K587" s="18">
        <f t="shared" si="266"/>
        <v>0.2420395251580629</v>
      </c>
      <c r="L587" s="18">
        <f t="shared" si="267"/>
        <v>2.6131304290213085E-3</v>
      </c>
      <c r="M587" s="18">
        <f t="shared" si="268"/>
        <v>3.1482000000000003E-3</v>
      </c>
      <c r="N587" s="18">
        <f t="shared" si="270"/>
        <v>4.5299607355890146E-3</v>
      </c>
      <c r="O587" s="18">
        <f t="shared" si="273"/>
        <v>5.9707033808835087E-3</v>
      </c>
      <c r="P587" s="18">
        <f t="shared" si="275"/>
        <v>2.1576865047177635E-3</v>
      </c>
      <c r="Q587" s="18">
        <f t="shared" si="277"/>
        <v>8.7424359459510603E-3</v>
      </c>
      <c r="R587" s="18">
        <f t="shared" si="279"/>
        <v>5.4555162808146299E-3</v>
      </c>
      <c r="S587" s="18">
        <f t="shared" si="281"/>
        <v>3.2903361454453312E-3</v>
      </c>
      <c r="T587" s="18">
        <f t="shared" si="283"/>
        <v>1.5999804281830711E-2</v>
      </c>
      <c r="U587" s="18">
        <f t="shared" si="285"/>
        <v>1.6018490510565152E-2</v>
      </c>
      <c r="V587" s="18">
        <f t="shared" ref="V587:V650" si="286">IF(ISNUMBER(D578),D578,"")</f>
        <v>2.4460942487658098E-3</v>
      </c>
      <c r="W587" s="18">
        <f t="shared" si="259"/>
        <v>1.9593723328334811E-2</v>
      </c>
      <c r="X587" s="18">
        <f t="shared" si="260"/>
        <v>3.5957128999704142E-3</v>
      </c>
      <c r="Y587" s="18">
        <f t="shared" si="261"/>
        <v>3.3919646021101789E-3</v>
      </c>
      <c r="AA587" s="18">
        <f t="shared" si="271"/>
        <v>5.6672050407752694E-2</v>
      </c>
      <c r="AB587" s="18">
        <f t="shared" si="272"/>
        <v>3.2117212974188624E-3</v>
      </c>
      <c r="AC587" s="18">
        <f t="shared" si="274"/>
        <v>8.0958969510492641E-4</v>
      </c>
      <c r="AD587" s="18">
        <f t="shared" si="276"/>
        <v>2.9067957359201488E-3</v>
      </c>
      <c r="AE587" s="18">
        <f t="shared" si="278"/>
        <v>3.1540030744855644E-7</v>
      </c>
      <c r="AF587" s="18">
        <f t="shared" si="280"/>
        <v>1.7066471318974989E-2</v>
      </c>
      <c r="AG587" s="18">
        <f t="shared" si="282"/>
        <v>1.0547892490697314E-2</v>
      </c>
      <c r="AH587" s="18">
        <f t="shared" si="284"/>
        <v>1.4631581501219158E-2</v>
      </c>
      <c r="AJ587" s="18">
        <f>IF(ISNUMBER(Kernel!M587),Kernel!M587,"")</f>
        <v>9.7170978099139327E-2</v>
      </c>
      <c r="AK587" s="18">
        <f t="shared" si="269"/>
        <v>9.4421989847434142E-3</v>
      </c>
      <c r="AN587" s="18">
        <f>IF(ISNUMBER(Volcanic!G587),Volcanic!G587,"")</f>
        <v>8.8000000000000005E-3</v>
      </c>
    </row>
    <row r="588" spans="1:40">
      <c r="A588" s="18" t="str">
        <f>IF(Volcanic!A588="","",Volcanic!A588)</f>
        <v>1/2007</v>
      </c>
      <c r="B588" s="18">
        <f>IF(ISNUMBER(Volcanic!L588),Volcanic!L588,"")</f>
        <v>2007.0416666666667</v>
      </c>
      <c r="C588" s="18">
        <f>IF(ISNUMBER(Volcanic!J588),Volcanic!J588,"")</f>
        <v>0.2847077544854224</v>
      </c>
      <c r="D588" s="18">
        <f t="shared" si="262"/>
        <v>8.1058505464131556E-2</v>
      </c>
      <c r="E588" s="18">
        <f>IF(ISNUMBER(Volcanic!C588),Volcanic!C588,"")</f>
        <v>0.45229419859155129</v>
      </c>
      <c r="F588" s="18">
        <f>IF(ISNUMBER(Volcanic!D588),Volcanic!D588,"")</f>
        <v>0.71</v>
      </c>
      <c r="G588" s="18">
        <f>IF(ISNUMBER(Volcanic!E588),Volcanic!E588,"")</f>
        <v>6.3200000000000001E-3</v>
      </c>
      <c r="H588" s="18">
        <f t="shared" si="263"/>
        <v>0.20457004207957363</v>
      </c>
      <c r="I588" s="18">
        <f t="shared" si="264"/>
        <v>0.50409999999999999</v>
      </c>
      <c r="J588" s="18">
        <f t="shared" si="265"/>
        <v>3.9942399999999999E-5</v>
      </c>
      <c r="K588" s="18">
        <f t="shared" si="266"/>
        <v>0.32112888100000142</v>
      </c>
      <c r="L588" s="18">
        <f t="shared" si="267"/>
        <v>2.8584993350986043E-3</v>
      </c>
      <c r="M588" s="18">
        <f t="shared" si="268"/>
        <v>4.4872000000000002E-3</v>
      </c>
      <c r="N588" s="18">
        <f t="shared" si="270"/>
        <v>8.1926297046397336E-3</v>
      </c>
      <c r="O588" s="18">
        <f t="shared" si="273"/>
        <v>4.5299607355890146E-3</v>
      </c>
      <c r="P588" s="18">
        <f t="shared" si="275"/>
        <v>5.9707033808835087E-3</v>
      </c>
      <c r="Q588" s="18">
        <f t="shared" si="277"/>
        <v>2.1576865047177635E-3</v>
      </c>
      <c r="R588" s="18">
        <f t="shared" si="279"/>
        <v>8.7424359459510603E-3</v>
      </c>
      <c r="S588" s="18">
        <f t="shared" si="281"/>
        <v>5.4555162808146299E-3</v>
      </c>
      <c r="T588" s="18">
        <f t="shared" si="283"/>
        <v>3.2903361454453312E-3</v>
      </c>
      <c r="U588" s="18">
        <f t="shared" si="285"/>
        <v>1.5999804281830711E-2</v>
      </c>
      <c r="V588" s="18">
        <f t="shared" si="286"/>
        <v>1.6018490510565152E-2</v>
      </c>
      <c r="W588" s="18">
        <f t="shared" ref="W588:W651" si="287">IF(ISNUMBER(D578),D578,"")</f>
        <v>2.4460942487658098E-3</v>
      </c>
      <c r="X588" s="18">
        <f t="shared" si="260"/>
        <v>1.9593723328334811E-2</v>
      </c>
      <c r="Y588" s="18">
        <f t="shared" si="261"/>
        <v>3.5957128999704142E-3</v>
      </c>
      <c r="AA588" s="18">
        <f t="shared" si="271"/>
        <v>0.2391975416801275</v>
      </c>
      <c r="AB588" s="18">
        <f t="shared" si="272"/>
        <v>5.7215463945816329E-2</v>
      </c>
      <c r="AC588" s="18">
        <f t="shared" si="274"/>
        <v>3.2117212974188624E-3</v>
      </c>
      <c r="AD588" s="18">
        <f t="shared" si="276"/>
        <v>8.0958969510492641E-4</v>
      </c>
      <c r="AE588" s="18">
        <f t="shared" si="278"/>
        <v>2.9067957359201488E-3</v>
      </c>
      <c r="AF588" s="18">
        <f t="shared" si="280"/>
        <v>3.1540030744855644E-7</v>
      </c>
      <c r="AG588" s="18">
        <f t="shared" si="282"/>
        <v>1.7066471318974989E-2</v>
      </c>
      <c r="AH588" s="18">
        <f t="shared" si="284"/>
        <v>1.0547892490697314E-2</v>
      </c>
      <c r="AJ588" s="18">
        <f>IF(ISNUMBER(Kernel!M588),Kernel!M588,"")</f>
        <v>0.29990810592248229</v>
      </c>
      <c r="AK588" s="18">
        <f t="shared" si="269"/>
        <v>8.9944871998010864E-2</v>
      </c>
      <c r="AN588" s="18">
        <f>IF(ISNUMBER(Volcanic!G588),Volcanic!G588,"")</f>
        <v>8.9800000000000001E-3</v>
      </c>
    </row>
    <row r="589" spans="1:40">
      <c r="A589" s="18" t="str">
        <f>IF(Volcanic!A589="","",Volcanic!A589)</f>
        <v>2/2007</v>
      </c>
      <c r="B589" s="18">
        <f>IF(ISNUMBER(Volcanic!L589),Volcanic!L589,"")</f>
        <v>2007.125</v>
      </c>
      <c r="C589" s="18">
        <f>IF(ISNUMBER(Volcanic!J589),Volcanic!J589,"")</f>
        <v>-5.0407779527546936E-2</v>
      </c>
      <c r="D589" s="18">
        <f t="shared" si="262"/>
        <v>2.5409442368977799E-3</v>
      </c>
      <c r="E589" s="18">
        <f>IF(ISNUMBER(Volcanic!C589),Volcanic!C589,"")</f>
        <v>0.45613025554704617</v>
      </c>
      <c r="F589" s="18">
        <f>IF(ISNUMBER(Volcanic!D589),Volcanic!D589,"")</f>
        <v>0.88</v>
      </c>
      <c r="G589" s="18">
        <f>IF(ISNUMBER(Volcanic!E589),Volcanic!E589,"")</f>
        <v>6.8300000000000001E-3</v>
      </c>
      <c r="H589" s="18">
        <f t="shared" si="263"/>
        <v>0.20805481002541365</v>
      </c>
      <c r="I589" s="18">
        <f t="shared" si="264"/>
        <v>0.77439999999999998</v>
      </c>
      <c r="J589" s="18">
        <f t="shared" si="265"/>
        <v>4.66489E-5</v>
      </c>
      <c r="K589" s="18">
        <f t="shared" si="266"/>
        <v>0.40139462488140065</v>
      </c>
      <c r="L589" s="18">
        <f t="shared" si="267"/>
        <v>3.1153696453863253E-3</v>
      </c>
      <c r="M589" s="18">
        <f t="shared" si="268"/>
        <v>6.0103999999999999E-3</v>
      </c>
      <c r="N589" s="18">
        <f t="shared" si="270"/>
        <v>8.1058505464131556E-2</v>
      </c>
      <c r="O589" s="18">
        <f t="shared" si="273"/>
        <v>8.1926297046397336E-3</v>
      </c>
      <c r="P589" s="18">
        <f t="shared" si="275"/>
        <v>4.5299607355890146E-3</v>
      </c>
      <c r="Q589" s="18">
        <f t="shared" si="277"/>
        <v>5.9707033808835087E-3</v>
      </c>
      <c r="R589" s="18">
        <f t="shared" si="279"/>
        <v>2.1576865047177635E-3</v>
      </c>
      <c r="S589" s="18">
        <f t="shared" si="281"/>
        <v>8.7424359459510603E-3</v>
      </c>
      <c r="T589" s="18">
        <f t="shared" si="283"/>
        <v>5.4555162808146299E-3</v>
      </c>
      <c r="U589" s="18">
        <f t="shared" si="285"/>
        <v>3.2903361454453312E-3</v>
      </c>
      <c r="V589" s="18">
        <f t="shared" si="286"/>
        <v>1.5999804281830711E-2</v>
      </c>
      <c r="W589" s="18">
        <f t="shared" si="287"/>
        <v>1.6018490510565152E-2</v>
      </c>
      <c r="X589" s="18">
        <f t="shared" ref="X589:X652" si="288">IF(ISNUMBER(D578),D578,"")</f>
        <v>2.4460942487658098E-3</v>
      </c>
      <c r="Y589" s="18">
        <f t="shared" si="261"/>
        <v>1.9593723328334811E-2</v>
      </c>
      <c r="AA589" s="18">
        <f t="shared" si="271"/>
        <v>-0.19355947608074309</v>
      </c>
      <c r="AB589" s="18">
        <f t="shared" si="272"/>
        <v>3.7465270780651753E-2</v>
      </c>
      <c r="AC589" s="18">
        <f t="shared" si="274"/>
        <v>5.7215463945816329E-2</v>
      </c>
      <c r="AD589" s="18">
        <f t="shared" si="276"/>
        <v>3.2117212974188624E-3</v>
      </c>
      <c r="AE589" s="18">
        <f t="shared" si="278"/>
        <v>8.0958969510492641E-4</v>
      </c>
      <c r="AF589" s="18">
        <f t="shared" si="280"/>
        <v>2.9067957359201488E-3</v>
      </c>
      <c r="AG589" s="18">
        <f t="shared" si="282"/>
        <v>3.1540030744855644E-7</v>
      </c>
      <c r="AH589" s="18">
        <f t="shared" si="284"/>
        <v>1.7066471318974989E-2</v>
      </c>
      <c r="AJ589" s="18">
        <f>IF(ISNUMBER(Kernel!M589),Kernel!M589,"")</f>
        <v>-1.6403380339360729E-2</v>
      </c>
      <c r="AK589" s="18">
        <f t="shared" si="269"/>
        <v>2.690708865577261E-4</v>
      </c>
      <c r="AN589" s="18">
        <f>IF(ISNUMBER(Volcanic!G589),Volcanic!G589,"")</f>
        <v>8.9300000000000004E-3</v>
      </c>
    </row>
    <row r="590" spans="1:40">
      <c r="A590" s="18" t="str">
        <f>IF(Volcanic!A590="","",Volcanic!A590)</f>
        <v>3/2007</v>
      </c>
      <c r="B590" s="18">
        <f>IF(ISNUMBER(Volcanic!L590),Volcanic!L590,"")</f>
        <v>2007.2083333333333</v>
      </c>
      <c r="C590" s="18">
        <f>IF(ISNUMBER(Volcanic!J590),Volcanic!J590,"")</f>
        <v>-4.630346568291277E-2</v>
      </c>
      <c r="D590" s="18">
        <f t="shared" si="262"/>
        <v>2.1440109342486806E-3</v>
      </c>
      <c r="E590" s="18">
        <f>IF(ISNUMBER(Volcanic!C590),Volcanic!C590,"")</f>
        <v>0.45871946352542553</v>
      </c>
      <c r="F590" s="18">
        <f>IF(ISNUMBER(Volcanic!D590),Volcanic!D590,"")</f>
        <v>0.88</v>
      </c>
      <c r="G590" s="18">
        <f>IF(ISNUMBER(Volcanic!E590),Volcanic!E590,"")</f>
        <v>7.3600000000000002E-3</v>
      </c>
      <c r="H590" s="18">
        <f t="shared" si="263"/>
        <v>0.2104235462170542</v>
      </c>
      <c r="I590" s="18">
        <f t="shared" si="264"/>
        <v>0.77439999999999998</v>
      </c>
      <c r="J590" s="18">
        <f t="shared" si="265"/>
        <v>5.4169600000000004E-5</v>
      </c>
      <c r="K590" s="18">
        <f t="shared" si="266"/>
        <v>0.40367312790237447</v>
      </c>
      <c r="L590" s="18">
        <f t="shared" si="267"/>
        <v>3.376175251547132E-3</v>
      </c>
      <c r="M590" s="18">
        <f t="shared" si="268"/>
        <v>6.4768000000000004E-3</v>
      </c>
      <c r="N590" s="18">
        <f t="shared" si="270"/>
        <v>2.5409442368977799E-3</v>
      </c>
      <c r="O590" s="18">
        <f t="shared" si="273"/>
        <v>8.1058505464131556E-2</v>
      </c>
      <c r="P590" s="18">
        <f t="shared" si="275"/>
        <v>8.1926297046397336E-3</v>
      </c>
      <c r="Q590" s="18">
        <f t="shared" si="277"/>
        <v>4.5299607355890146E-3</v>
      </c>
      <c r="R590" s="18">
        <f t="shared" si="279"/>
        <v>5.9707033808835087E-3</v>
      </c>
      <c r="S590" s="18">
        <f t="shared" si="281"/>
        <v>2.1576865047177635E-3</v>
      </c>
      <c r="T590" s="18">
        <f t="shared" si="283"/>
        <v>8.7424359459510603E-3</v>
      </c>
      <c r="U590" s="18">
        <f t="shared" si="285"/>
        <v>5.4555162808146299E-3</v>
      </c>
      <c r="V590" s="18">
        <f t="shared" si="286"/>
        <v>3.2903361454453312E-3</v>
      </c>
      <c r="W590" s="18">
        <f t="shared" si="287"/>
        <v>1.5999804281830711E-2</v>
      </c>
      <c r="X590" s="18">
        <f t="shared" si="288"/>
        <v>1.6018490510565152E-2</v>
      </c>
      <c r="Y590" s="18">
        <f t="shared" ref="Y590:Y653" si="289">IF(ISNUMBER(D578),D578,"")</f>
        <v>2.4460942487658098E-3</v>
      </c>
      <c r="AA590" s="18">
        <f t="shared" si="271"/>
        <v>-2.0958321249141182E-2</v>
      </c>
      <c r="AB590" s="18">
        <f t="shared" si="272"/>
        <v>4.3925122958220279E-4</v>
      </c>
      <c r="AC590" s="18">
        <f t="shared" si="274"/>
        <v>3.7465270780651753E-2</v>
      </c>
      <c r="AD590" s="18">
        <f t="shared" si="276"/>
        <v>5.7215463945816329E-2</v>
      </c>
      <c r="AE590" s="18">
        <f t="shared" si="278"/>
        <v>3.2117212974188624E-3</v>
      </c>
      <c r="AF590" s="18">
        <f t="shared" si="280"/>
        <v>8.0958969510492641E-4</v>
      </c>
      <c r="AG590" s="18">
        <f t="shared" si="282"/>
        <v>2.9067957359201488E-3</v>
      </c>
      <c r="AH590" s="18">
        <f t="shared" si="284"/>
        <v>3.1540030744855644E-7</v>
      </c>
      <c r="AJ590" s="18">
        <f>IF(ISNUMBER(Kernel!M590),Kernel!M590,"")</f>
        <v>-3.4150636887404495E-3</v>
      </c>
      <c r="AK590" s="18">
        <f t="shared" si="269"/>
        <v>1.1662659998153526E-5</v>
      </c>
      <c r="AN590" s="18">
        <f>IF(ISNUMBER(Volcanic!G590),Volcanic!G590,"")</f>
        <v>8.1600000000000006E-3</v>
      </c>
    </row>
    <row r="591" spans="1:40">
      <c r="A591" s="18" t="str">
        <f>IF(Volcanic!A591="","",Volcanic!A591)</f>
        <v>4/2007</v>
      </c>
      <c r="B591" s="18">
        <f>IF(ISNUMBER(Volcanic!L591),Volcanic!L591,"")</f>
        <v>2007.2916666666667</v>
      </c>
      <c r="C591" s="18">
        <f>IF(ISNUMBER(Volcanic!J591),Volcanic!J591,"")</f>
        <v>1.8701322716245361E-2</v>
      </c>
      <c r="D591" s="18">
        <f t="shared" si="262"/>
        <v>3.4973947133715475E-4</v>
      </c>
      <c r="E591" s="18">
        <f>IF(ISNUMBER(Volcanic!C591),Volcanic!C591,"")</f>
        <v>0.46589985649655991</v>
      </c>
      <c r="F591" s="18">
        <f>IF(ISNUMBER(Volcanic!D591),Volcanic!D591,"")</f>
        <v>0.62</v>
      </c>
      <c r="G591" s="18">
        <f>IF(ISNUMBER(Volcanic!E591),Volcanic!E591,"")</f>
        <v>7.5700000000000003E-3</v>
      </c>
      <c r="H591" s="18">
        <f t="shared" si="263"/>
        <v>0.21706267628351511</v>
      </c>
      <c r="I591" s="18">
        <f t="shared" si="264"/>
        <v>0.38440000000000002</v>
      </c>
      <c r="J591" s="18">
        <f t="shared" si="265"/>
        <v>5.7304900000000008E-5</v>
      </c>
      <c r="K591" s="18">
        <f t="shared" si="266"/>
        <v>0.28885791102786712</v>
      </c>
      <c r="L591" s="18">
        <f t="shared" si="267"/>
        <v>3.5268619136789585E-3</v>
      </c>
      <c r="M591" s="18">
        <f t="shared" si="268"/>
        <v>4.6934000000000003E-3</v>
      </c>
      <c r="N591" s="18">
        <f t="shared" si="270"/>
        <v>2.1440109342486806E-3</v>
      </c>
      <c r="O591" s="18">
        <f t="shared" si="273"/>
        <v>2.5409442368977799E-3</v>
      </c>
      <c r="P591" s="18">
        <f t="shared" si="275"/>
        <v>8.1058505464131556E-2</v>
      </c>
      <c r="Q591" s="18">
        <f t="shared" si="277"/>
        <v>8.1926297046397336E-3</v>
      </c>
      <c r="R591" s="18">
        <f t="shared" si="279"/>
        <v>4.5299607355890146E-3</v>
      </c>
      <c r="S591" s="18">
        <f t="shared" si="281"/>
        <v>5.9707033808835087E-3</v>
      </c>
      <c r="T591" s="18">
        <f t="shared" si="283"/>
        <v>2.1576865047177635E-3</v>
      </c>
      <c r="U591" s="18">
        <f t="shared" si="285"/>
        <v>8.7424359459510603E-3</v>
      </c>
      <c r="V591" s="18">
        <f t="shared" si="286"/>
        <v>5.4555162808146299E-3</v>
      </c>
      <c r="W591" s="18">
        <f t="shared" si="287"/>
        <v>3.2903361454453312E-3</v>
      </c>
      <c r="X591" s="18">
        <f t="shared" si="288"/>
        <v>1.5999804281830711E-2</v>
      </c>
      <c r="Y591" s="18">
        <f t="shared" si="289"/>
        <v>1.6018490510565152E-2</v>
      </c>
      <c r="AA591" s="18">
        <f t="shared" si="271"/>
        <v>4.1982808957397422E-2</v>
      </c>
      <c r="AB591" s="18">
        <f t="shared" si="272"/>
        <v>1.7625562479533293E-3</v>
      </c>
      <c r="AC591" s="18">
        <f t="shared" si="274"/>
        <v>4.3925122958220279E-4</v>
      </c>
      <c r="AD591" s="18">
        <f t="shared" si="276"/>
        <v>3.7465270780651753E-2</v>
      </c>
      <c r="AE591" s="18">
        <f t="shared" si="278"/>
        <v>5.7215463945816329E-2</v>
      </c>
      <c r="AF591" s="18">
        <f t="shared" si="280"/>
        <v>3.2117212974188624E-3</v>
      </c>
      <c r="AG591" s="18">
        <f t="shared" si="282"/>
        <v>8.0958969510492641E-4</v>
      </c>
      <c r="AH591" s="18">
        <f t="shared" si="284"/>
        <v>2.9067957359201488E-3</v>
      </c>
      <c r="AJ591" s="18">
        <f>IF(ISNUMBER(Kernel!M591),Kernel!M591,"")</f>
        <v>4.9885099290549517E-2</v>
      </c>
      <c r="AK591" s="18">
        <f t="shared" si="269"/>
        <v>2.4885231312279841E-3</v>
      </c>
      <c r="AN591" s="18">
        <f>IF(ISNUMBER(Volcanic!G591),Volcanic!G591,"")</f>
        <v>7.7999999999999996E-3</v>
      </c>
    </row>
    <row r="592" spans="1:40">
      <c r="A592" s="18" t="str">
        <f>IF(Volcanic!A592="","",Volcanic!A592)</f>
        <v>5/2007</v>
      </c>
      <c r="B592" s="18">
        <f>IF(ISNUMBER(Volcanic!L592),Volcanic!L592,"")</f>
        <v>2007.375</v>
      </c>
      <c r="C592" s="18">
        <f>IF(ISNUMBER(Volcanic!J592),Volcanic!J592,"")</f>
        <v>-2.2059545050149398E-2</v>
      </c>
      <c r="D592" s="18">
        <f t="shared" si="262"/>
        <v>4.8662352781957081E-4</v>
      </c>
      <c r="E592" s="18">
        <f>IF(ISNUMBER(Volcanic!C592),Volcanic!C592,"")</f>
        <v>0.46608636928151376</v>
      </c>
      <c r="F592" s="18">
        <f>IF(ISNUMBER(Volcanic!D592),Volcanic!D592,"")</f>
        <v>0.19</v>
      </c>
      <c r="G592" s="18">
        <f>IF(ISNUMBER(Volcanic!E592),Volcanic!E592,"")</f>
        <v>7.4999999999999997E-3</v>
      </c>
      <c r="H592" s="18">
        <f t="shared" si="263"/>
        <v>0.21723650363002361</v>
      </c>
      <c r="I592" s="18">
        <f t="shared" si="264"/>
        <v>3.61E-2</v>
      </c>
      <c r="J592" s="18">
        <f t="shared" si="265"/>
        <v>5.6249999999999998E-5</v>
      </c>
      <c r="K592" s="18">
        <f t="shared" si="266"/>
        <v>8.8556410163487614E-2</v>
      </c>
      <c r="L592" s="18">
        <f t="shared" si="267"/>
        <v>3.4956477696113531E-3</v>
      </c>
      <c r="M592" s="18">
        <f t="shared" si="268"/>
        <v>1.4250000000000001E-3</v>
      </c>
      <c r="N592" s="18">
        <f t="shared" si="270"/>
        <v>3.4973947133715475E-4</v>
      </c>
      <c r="O592" s="18">
        <f t="shared" si="273"/>
        <v>2.1440109342486806E-3</v>
      </c>
      <c r="P592" s="18">
        <f t="shared" si="275"/>
        <v>2.5409442368977799E-3</v>
      </c>
      <c r="Q592" s="18">
        <f t="shared" si="277"/>
        <v>8.1058505464131556E-2</v>
      </c>
      <c r="R592" s="18">
        <f t="shared" si="279"/>
        <v>8.1926297046397336E-3</v>
      </c>
      <c r="S592" s="18">
        <f t="shared" si="281"/>
        <v>4.5299607355890146E-3</v>
      </c>
      <c r="T592" s="18">
        <f t="shared" si="283"/>
        <v>5.9707033808835087E-3</v>
      </c>
      <c r="U592" s="18">
        <f t="shared" si="285"/>
        <v>2.1576865047177635E-3</v>
      </c>
      <c r="V592" s="18">
        <f t="shared" si="286"/>
        <v>8.7424359459510603E-3</v>
      </c>
      <c r="W592" s="18">
        <f t="shared" si="287"/>
        <v>5.4555162808146299E-3</v>
      </c>
      <c r="X592" s="18">
        <f t="shared" si="288"/>
        <v>3.2903361454453312E-3</v>
      </c>
      <c r="Y592" s="18">
        <f t="shared" si="289"/>
        <v>1.5999804281830711E-2</v>
      </c>
      <c r="AA592" s="18">
        <f t="shared" si="271"/>
        <v>-3.146261199315542E-2</v>
      </c>
      <c r="AB592" s="18">
        <f t="shared" si="272"/>
        <v>9.8989595343184733E-4</v>
      </c>
      <c r="AC592" s="18">
        <f t="shared" si="274"/>
        <v>1.7625562479533293E-3</v>
      </c>
      <c r="AD592" s="18">
        <f t="shared" si="276"/>
        <v>4.3925122958220279E-4</v>
      </c>
      <c r="AE592" s="18">
        <f t="shared" si="278"/>
        <v>3.7465270780651753E-2</v>
      </c>
      <c r="AF592" s="18">
        <f t="shared" si="280"/>
        <v>5.7215463945816329E-2</v>
      </c>
      <c r="AG592" s="18">
        <f t="shared" si="282"/>
        <v>3.2117212974188624E-3</v>
      </c>
      <c r="AH592" s="18">
        <f t="shared" si="284"/>
        <v>8.0958969510492641E-4</v>
      </c>
      <c r="AJ592" s="18">
        <f>IF(ISNUMBER(Kernel!M592),Kernel!M592,"")</f>
        <v>-1.9502400694204058E-2</v>
      </c>
      <c r="AK592" s="18">
        <f t="shared" si="269"/>
        <v>3.8034363283729093E-4</v>
      </c>
      <c r="AN592" s="18">
        <f>IF(ISNUMBER(Volcanic!G592),Volcanic!G592,"")</f>
        <v>7.4400000000000004E-3</v>
      </c>
    </row>
    <row r="593" spans="1:40">
      <c r="A593" s="18" t="str">
        <f>IF(Volcanic!A593="","",Volcanic!A593)</f>
        <v>6/2007</v>
      </c>
      <c r="B593" s="18">
        <f>IF(ISNUMBER(Volcanic!L593),Volcanic!L593,"")</f>
        <v>2007.4583333333333</v>
      </c>
      <c r="C593" s="18">
        <f>IF(ISNUMBER(Volcanic!J593),Volcanic!J593,"")</f>
        <v>-6.6776112797375942E-2</v>
      </c>
      <c r="D593" s="18">
        <f t="shared" si="262"/>
        <v>4.4590492403278753E-3</v>
      </c>
      <c r="E593" s="18">
        <f>IF(ISNUMBER(Volcanic!C593),Volcanic!C593,"")</f>
        <v>0.4644068855296089</v>
      </c>
      <c r="F593" s="18">
        <f>IF(ISNUMBER(Volcanic!D593),Volcanic!D593,"")</f>
        <v>-0.12</v>
      </c>
      <c r="G593" s="18">
        <f>IF(ISNUMBER(Volcanic!E593),Volcanic!E593,"")</f>
        <v>8.3800000000000003E-3</v>
      </c>
      <c r="H593" s="18">
        <f t="shared" si="263"/>
        <v>0.21567375532731126</v>
      </c>
      <c r="I593" s="18">
        <f t="shared" si="264"/>
        <v>1.44E-2</v>
      </c>
      <c r="J593" s="18">
        <f t="shared" si="265"/>
        <v>7.0224400000000012E-5</v>
      </c>
      <c r="K593" s="18">
        <f t="shared" si="266"/>
        <v>-5.5728826263553063E-2</v>
      </c>
      <c r="L593" s="18">
        <f t="shared" si="267"/>
        <v>3.8917297007381229E-3</v>
      </c>
      <c r="M593" s="18">
        <f t="shared" si="268"/>
        <v>-1.0055999999999999E-3</v>
      </c>
      <c r="N593" s="18">
        <f t="shared" si="270"/>
        <v>4.8662352781957081E-4</v>
      </c>
      <c r="O593" s="18">
        <f t="shared" si="273"/>
        <v>3.4973947133715475E-4</v>
      </c>
      <c r="P593" s="18">
        <f t="shared" si="275"/>
        <v>2.1440109342486806E-3</v>
      </c>
      <c r="Q593" s="18">
        <f t="shared" si="277"/>
        <v>2.5409442368977799E-3</v>
      </c>
      <c r="R593" s="18">
        <f t="shared" si="279"/>
        <v>8.1058505464131556E-2</v>
      </c>
      <c r="S593" s="18">
        <f t="shared" si="281"/>
        <v>8.1926297046397336E-3</v>
      </c>
      <c r="T593" s="18">
        <f t="shared" si="283"/>
        <v>4.5299607355890146E-3</v>
      </c>
      <c r="U593" s="18">
        <f t="shared" si="285"/>
        <v>5.9707033808835087E-3</v>
      </c>
      <c r="V593" s="18">
        <f t="shared" si="286"/>
        <v>2.1576865047177635E-3</v>
      </c>
      <c r="W593" s="18">
        <f t="shared" si="287"/>
        <v>8.7424359459510603E-3</v>
      </c>
      <c r="X593" s="18">
        <f t="shared" si="288"/>
        <v>5.4555162808146299E-3</v>
      </c>
      <c r="Y593" s="18">
        <f t="shared" si="289"/>
        <v>3.2903361454453312E-3</v>
      </c>
      <c r="AA593" s="18">
        <f t="shared" si="271"/>
        <v>-5.5684524144204099E-2</v>
      </c>
      <c r="AB593" s="18">
        <f t="shared" si="272"/>
        <v>3.1007662291664493E-3</v>
      </c>
      <c r="AC593" s="18">
        <f t="shared" si="274"/>
        <v>9.8989595343184733E-4</v>
      </c>
      <c r="AD593" s="18">
        <f t="shared" si="276"/>
        <v>1.7625562479533293E-3</v>
      </c>
      <c r="AE593" s="18">
        <f t="shared" si="278"/>
        <v>4.3925122958220279E-4</v>
      </c>
      <c r="AF593" s="18">
        <f t="shared" si="280"/>
        <v>3.7465270780651753E-2</v>
      </c>
      <c r="AG593" s="18">
        <f t="shared" si="282"/>
        <v>5.7215463945816329E-2</v>
      </c>
      <c r="AH593" s="18">
        <f t="shared" si="284"/>
        <v>3.2117212974188624E-3</v>
      </c>
      <c r="AJ593" s="18">
        <f>IF(ISNUMBER(Kernel!M593),Kernel!M593,"")</f>
        <v>-8.408856921782637E-2</v>
      </c>
      <c r="AK593" s="18">
        <f t="shared" si="269"/>
        <v>7.0708874731011768E-3</v>
      </c>
      <c r="AN593" s="18">
        <f>IF(ISNUMBER(Volcanic!G593),Volcanic!G593,"")</f>
        <v>7.2100000000000003E-3</v>
      </c>
    </row>
    <row r="594" spans="1:40">
      <c r="A594" s="18" t="str">
        <f>IF(Volcanic!A594="","",Volcanic!A594)</f>
        <v>7/2007</v>
      </c>
      <c r="B594" s="18">
        <f>IF(ISNUMBER(Volcanic!L594),Volcanic!L594,"")</f>
        <v>2007.5416666666667</v>
      </c>
      <c r="C594" s="18">
        <f>IF(ISNUMBER(Volcanic!J594),Volcanic!J594,"")</f>
        <v>-4.0962821148937123E-2</v>
      </c>
      <c r="D594" s="18">
        <f t="shared" si="262"/>
        <v>1.6779527164798105E-3</v>
      </c>
      <c r="E594" s="18">
        <f>IF(ISNUMBER(Volcanic!C594),Volcanic!C594,"")</f>
        <v>0.45841950353975386</v>
      </c>
      <c r="F594" s="18">
        <f>IF(ISNUMBER(Volcanic!D594),Volcanic!D594,"")</f>
        <v>-0.32</v>
      </c>
      <c r="G594" s="18">
        <f>IF(ISNUMBER(Volcanic!E594),Volcanic!E594,"")</f>
        <v>8.8000000000000005E-3</v>
      </c>
      <c r="H594" s="18">
        <f t="shared" si="263"/>
        <v>0.21014844122563439</v>
      </c>
      <c r="I594" s="18">
        <f t="shared" si="264"/>
        <v>0.1024</v>
      </c>
      <c r="J594" s="18">
        <f t="shared" si="265"/>
        <v>7.7440000000000004E-5</v>
      </c>
      <c r="K594" s="18">
        <f t="shared" si="266"/>
        <v>-0.14669424113272123</v>
      </c>
      <c r="L594" s="18">
        <f t="shared" si="267"/>
        <v>4.0340916311498339E-3</v>
      </c>
      <c r="M594" s="18">
        <f t="shared" si="268"/>
        <v>-2.8160000000000004E-3</v>
      </c>
      <c r="N594" s="18">
        <f t="shared" si="270"/>
        <v>4.4590492403278753E-3</v>
      </c>
      <c r="O594" s="18">
        <f t="shared" si="273"/>
        <v>4.8662352781957081E-4</v>
      </c>
      <c r="P594" s="18">
        <f t="shared" si="275"/>
        <v>3.4973947133715475E-4</v>
      </c>
      <c r="Q594" s="18">
        <f t="shared" si="277"/>
        <v>2.1440109342486806E-3</v>
      </c>
      <c r="R594" s="18">
        <f t="shared" si="279"/>
        <v>2.5409442368977799E-3</v>
      </c>
      <c r="S594" s="18">
        <f t="shared" si="281"/>
        <v>8.1058505464131556E-2</v>
      </c>
      <c r="T594" s="18">
        <f t="shared" si="283"/>
        <v>8.1926297046397336E-3</v>
      </c>
      <c r="U594" s="18">
        <f t="shared" si="285"/>
        <v>4.5299607355890146E-3</v>
      </c>
      <c r="V594" s="18">
        <f t="shared" si="286"/>
        <v>5.9707033808835087E-3</v>
      </c>
      <c r="W594" s="18">
        <f t="shared" si="287"/>
        <v>2.1576865047177635E-3</v>
      </c>
      <c r="X594" s="18">
        <f t="shared" si="288"/>
        <v>8.7424359459510603E-3</v>
      </c>
      <c r="Y594" s="18">
        <f t="shared" si="289"/>
        <v>5.4555162808146299E-3</v>
      </c>
      <c r="AA594" s="18">
        <f t="shared" si="271"/>
        <v>-7.387642090505811E-3</v>
      </c>
      <c r="AB594" s="18">
        <f t="shared" si="272"/>
        <v>5.4577255657413069E-5</v>
      </c>
      <c r="AC594" s="18">
        <f t="shared" si="274"/>
        <v>3.1007662291664493E-3</v>
      </c>
      <c r="AD594" s="18">
        <f t="shared" si="276"/>
        <v>9.8989595343184733E-4</v>
      </c>
      <c r="AE594" s="18">
        <f t="shared" si="278"/>
        <v>1.7625562479533293E-3</v>
      </c>
      <c r="AF594" s="18">
        <f t="shared" si="280"/>
        <v>4.3925122958220279E-4</v>
      </c>
      <c r="AG594" s="18">
        <f t="shared" si="282"/>
        <v>3.7465270780651753E-2</v>
      </c>
      <c r="AH594" s="18">
        <f t="shared" si="284"/>
        <v>5.7215463945816329E-2</v>
      </c>
      <c r="AJ594" s="18">
        <f>IF(ISNUMBER(Kernel!M594),Kernel!M594,"")</f>
        <v>-6.6974981294698033E-2</v>
      </c>
      <c r="AK594" s="18">
        <f t="shared" si="269"/>
        <v>4.4856481194251513E-3</v>
      </c>
      <c r="AN594" s="18">
        <f>IF(ISNUMBER(Volcanic!G594),Volcanic!G594,"")</f>
        <v>7.1500000000000001E-3</v>
      </c>
    </row>
    <row r="595" spans="1:40">
      <c r="A595" s="18" t="str">
        <f>IF(Volcanic!A595="","",Volcanic!A595)</f>
        <v>8/2007</v>
      </c>
      <c r="B595" s="18">
        <f>IF(ISNUMBER(Volcanic!L595),Volcanic!L595,"")</f>
        <v>2007.625</v>
      </c>
      <c r="C595" s="18">
        <f>IF(ISNUMBER(Volcanic!J595),Volcanic!J595,"")</f>
        <v>-1.3161499664719467E-2</v>
      </c>
      <c r="D595" s="18">
        <f t="shared" si="262"/>
        <v>1.7322507342441064E-4</v>
      </c>
      <c r="E595" s="18">
        <f>IF(ISNUMBER(Volcanic!C595),Volcanic!C595,"")</f>
        <v>0.44905193173664115</v>
      </c>
      <c r="F595" s="18">
        <f>IF(ISNUMBER(Volcanic!D595),Volcanic!D595,"")</f>
        <v>-0.34</v>
      </c>
      <c r="G595" s="18">
        <f>IF(ISNUMBER(Volcanic!E595),Volcanic!E595,"")</f>
        <v>8.9800000000000001E-3</v>
      </c>
      <c r="H595" s="18">
        <f t="shared" si="263"/>
        <v>0.20164763739640904</v>
      </c>
      <c r="I595" s="18">
        <f t="shared" si="264"/>
        <v>0.11560000000000002</v>
      </c>
      <c r="J595" s="18">
        <f t="shared" si="265"/>
        <v>8.0640400000000001E-5</v>
      </c>
      <c r="K595" s="18">
        <f t="shared" si="266"/>
        <v>-0.152677656790458</v>
      </c>
      <c r="L595" s="18">
        <f t="shared" si="267"/>
        <v>4.0324863469950378E-3</v>
      </c>
      <c r="M595" s="18">
        <f t="shared" si="268"/>
        <v>-3.0532000000000003E-3</v>
      </c>
      <c r="N595" s="18">
        <f t="shared" si="270"/>
        <v>1.6779527164798105E-3</v>
      </c>
      <c r="O595" s="18">
        <f t="shared" si="273"/>
        <v>4.4590492403278753E-3</v>
      </c>
      <c r="P595" s="18">
        <f t="shared" si="275"/>
        <v>4.8662352781957081E-4</v>
      </c>
      <c r="Q595" s="18">
        <f t="shared" si="277"/>
        <v>3.4973947133715475E-4</v>
      </c>
      <c r="R595" s="18">
        <f t="shared" si="279"/>
        <v>2.1440109342486806E-3</v>
      </c>
      <c r="S595" s="18">
        <f t="shared" si="281"/>
        <v>2.5409442368977799E-3</v>
      </c>
      <c r="T595" s="18">
        <f t="shared" si="283"/>
        <v>8.1058505464131556E-2</v>
      </c>
      <c r="U595" s="18">
        <f t="shared" si="285"/>
        <v>8.1926297046397336E-3</v>
      </c>
      <c r="V595" s="18">
        <f t="shared" si="286"/>
        <v>4.5299607355890146E-3</v>
      </c>
      <c r="W595" s="18">
        <f t="shared" si="287"/>
        <v>5.9707033808835087E-3</v>
      </c>
      <c r="X595" s="18">
        <f t="shared" si="288"/>
        <v>2.1576865047177635E-3</v>
      </c>
      <c r="Y595" s="18">
        <f t="shared" si="289"/>
        <v>8.7424359459510603E-3</v>
      </c>
      <c r="AA595" s="18">
        <f t="shared" si="271"/>
        <v>7.43469854447169E-3</v>
      </c>
      <c r="AB595" s="18">
        <f t="shared" si="272"/>
        <v>5.5274742447169465E-5</v>
      </c>
      <c r="AC595" s="18">
        <f t="shared" si="274"/>
        <v>5.4577255657413069E-5</v>
      </c>
      <c r="AD595" s="18">
        <f t="shared" si="276"/>
        <v>3.1007662291664493E-3</v>
      </c>
      <c r="AE595" s="18">
        <f t="shared" si="278"/>
        <v>9.8989595343184733E-4</v>
      </c>
      <c r="AF595" s="18">
        <f t="shared" si="280"/>
        <v>1.7625562479533293E-3</v>
      </c>
      <c r="AG595" s="18">
        <f t="shared" si="282"/>
        <v>4.3925122958220279E-4</v>
      </c>
      <c r="AH595" s="18">
        <f t="shared" si="284"/>
        <v>3.7465270780651753E-2</v>
      </c>
      <c r="AJ595" s="18">
        <f>IF(ISNUMBER(Kernel!M595),Kernel!M595,"")</f>
        <v>-2.6316708763469032E-2</v>
      </c>
      <c r="AK595" s="18">
        <f t="shared" si="269"/>
        <v>6.9256916014124779E-4</v>
      </c>
      <c r="AN595" s="18">
        <f>IF(ISNUMBER(Volcanic!G595),Volcanic!G595,"")</f>
        <v>7.1999999999999998E-3</v>
      </c>
    </row>
    <row r="596" spans="1:40">
      <c r="A596" s="18" t="str">
        <f>IF(Volcanic!A596="","",Volcanic!A596)</f>
        <v>9/2007</v>
      </c>
      <c r="B596" s="18">
        <f>IF(ISNUMBER(Volcanic!L596),Volcanic!L596,"")</f>
        <v>2007.7083333333333</v>
      </c>
      <c r="C596" s="18">
        <f>IF(ISNUMBER(Volcanic!J596),Volcanic!J596,"")</f>
        <v>3.9446621421066475E-3</v>
      </c>
      <c r="D596" s="18">
        <f t="shared" si="262"/>
        <v>1.5560359415369405E-5</v>
      </c>
      <c r="E596" s="18">
        <f>IF(ISNUMBER(Volcanic!C596),Volcanic!C596,"")</f>
        <v>0.44512129207761308</v>
      </c>
      <c r="F596" s="18">
        <f>IF(ISNUMBER(Volcanic!D596),Volcanic!D596,"")</f>
        <v>-0.41</v>
      </c>
      <c r="G596" s="18">
        <f>IF(ISNUMBER(Volcanic!E596),Volcanic!E596,"")</f>
        <v>8.9300000000000004E-3</v>
      </c>
      <c r="H596" s="18">
        <f t="shared" si="263"/>
        <v>0.19813296466084374</v>
      </c>
      <c r="I596" s="18">
        <f t="shared" si="264"/>
        <v>0.16809999999999997</v>
      </c>
      <c r="J596" s="18">
        <f t="shared" si="265"/>
        <v>7.974490000000001E-5</v>
      </c>
      <c r="K596" s="18">
        <f t="shared" si="266"/>
        <v>-0.18249972975182135</v>
      </c>
      <c r="L596" s="18">
        <f t="shared" si="267"/>
        <v>3.9749331382530851E-3</v>
      </c>
      <c r="M596" s="18">
        <f t="shared" si="268"/>
        <v>-3.6613000000000001E-3</v>
      </c>
      <c r="N596" s="18">
        <f t="shared" si="270"/>
        <v>1.7322507342441064E-4</v>
      </c>
      <c r="O596" s="18">
        <f t="shared" si="273"/>
        <v>1.6779527164798105E-3</v>
      </c>
      <c r="P596" s="18">
        <f t="shared" si="275"/>
        <v>4.4590492403278753E-3</v>
      </c>
      <c r="Q596" s="18">
        <f t="shared" si="277"/>
        <v>4.8662352781957081E-4</v>
      </c>
      <c r="R596" s="18">
        <f t="shared" si="279"/>
        <v>3.4973947133715475E-4</v>
      </c>
      <c r="S596" s="18">
        <f t="shared" si="281"/>
        <v>2.1440109342486806E-3</v>
      </c>
      <c r="T596" s="18">
        <f t="shared" si="283"/>
        <v>2.5409442368977799E-3</v>
      </c>
      <c r="U596" s="18">
        <f t="shared" si="285"/>
        <v>8.1058505464131556E-2</v>
      </c>
      <c r="V596" s="18">
        <f t="shared" si="286"/>
        <v>8.1926297046397336E-3</v>
      </c>
      <c r="W596" s="18">
        <f t="shared" si="287"/>
        <v>4.5299607355890146E-3</v>
      </c>
      <c r="X596" s="18">
        <f t="shared" si="288"/>
        <v>5.9707033808835087E-3</v>
      </c>
      <c r="Y596" s="18">
        <f t="shared" si="289"/>
        <v>2.1576865047177635E-3</v>
      </c>
      <c r="AA596" s="18">
        <f t="shared" si="271"/>
        <v>1.0562293648470774E-2</v>
      </c>
      <c r="AB596" s="18">
        <f t="shared" si="272"/>
        <v>1.1156204711652605E-4</v>
      </c>
      <c r="AC596" s="18">
        <f t="shared" si="274"/>
        <v>5.5274742447169465E-5</v>
      </c>
      <c r="AD596" s="18">
        <f t="shared" si="276"/>
        <v>5.4577255657413069E-5</v>
      </c>
      <c r="AE596" s="18">
        <f t="shared" si="278"/>
        <v>3.1007662291664493E-3</v>
      </c>
      <c r="AF596" s="18">
        <f t="shared" si="280"/>
        <v>9.8989595343184733E-4</v>
      </c>
      <c r="AG596" s="18">
        <f t="shared" si="282"/>
        <v>1.7625562479533293E-3</v>
      </c>
      <c r="AH596" s="18">
        <f t="shared" si="284"/>
        <v>4.3925122958220279E-4</v>
      </c>
      <c r="AJ596" s="18">
        <f>IF(ISNUMBER(Kernel!M596),Kernel!M596,"")</f>
        <v>3.3300384196827126E-3</v>
      </c>
      <c r="AK596" s="18">
        <f t="shared" si="269"/>
        <v>1.1089155876562937E-5</v>
      </c>
      <c r="AN596" s="18">
        <f>IF(ISNUMBER(Volcanic!G596),Volcanic!G596,"")</f>
        <v>7.11E-3</v>
      </c>
    </row>
    <row r="597" spans="1:40">
      <c r="A597" s="18" t="str">
        <f>IF(Volcanic!A597="","",Volcanic!A597)</f>
        <v>10/2007</v>
      </c>
      <c r="B597" s="18">
        <f>IF(ISNUMBER(Volcanic!L597),Volcanic!L597,"")</f>
        <v>2007.7916666666667</v>
      </c>
      <c r="C597" s="18">
        <f>IF(ISNUMBER(Volcanic!J597),Volcanic!J597,"")</f>
        <v>-2.080400114647607E-3</v>
      </c>
      <c r="D597" s="18">
        <f t="shared" si="262"/>
        <v>4.3280646370257765E-6</v>
      </c>
      <c r="E597" s="18">
        <f>IF(ISNUMBER(Volcanic!C597),Volcanic!C597,"")</f>
        <v>0.44576453312043945</v>
      </c>
      <c r="F597" s="18">
        <f>IF(ISNUMBER(Volcanic!D597),Volcanic!D597,"")</f>
        <v>-0.49</v>
      </c>
      <c r="G597" s="18">
        <f>IF(ISNUMBER(Volcanic!E597),Volcanic!E597,"")</f>
        <v>8.1600000000000006E-3</v>
      </c>
      <c r="H597" s="18">
        <f t="shared" si="263"/>
        <v>0.19870601898808338</v>
      </c>
      <c r="I597" s="18">
        <f t="shared" si="264"/>
        <v>0.24009999999999998</v>
      </c>
      <c r="J597" s="18">
        <f t="shared" si="265"/>
        <v>6.6585600000000015E-5</v>
      </c>
      <c r="K597" s="18">
        <f t="shared" si="266"/>
        <v>-0.21842462122901532</v>
      </c>
      <c r="L597" s="18">
        <f t="shared" si="267"/>
        <v>3.6374385902627863E-3</v>
      </c>
      <c r="M597" s="18">
        <f t="shared" si="268"/>
        <v>-3.9984E-3</v>
      </c>
      <c r="N597" s="18">
        <f t="shared" si="270"/>
        <v>1.5560359415369405E-5</v>
      </c>
      <c r="O597" s="18">
        <f t="shared" si="273"/>
        <v>1.7322507342441064E-4</v>
      </c>
      <c r="P597" s="18">
        <f t="shared" si="275"/>
        <v>1.6779527164798105E-3</v>
      </c>
      <c r="Q597" s="18">
        <f t="shared" si="277"/>
        <v>4.4590492403278753E-3</v>
      </c>
      <c r="R597" s="18">
        <f t="shared" si="279"/>
        <v>4.8662352781957081E-4</v>
      </c>
      <c r="S597" s="18">
        <f t="shared" si="281"/>
        <v>3.4973947133715475E-4</v>
      </c>
      <c r="T597" s="18">
        <f t="shared" si="283"/>
        <v>2.1440109342486806E-3</v>
      </c>
      <c r="U597" s="18">
        <f t="shared" si="285"/>
        <v>2.5409442368977799E-3</v>
      </c>
      <c r="V597" s="18">
        <f t="shared" si="286"/>
        <v>8.1058505464131556E-2</v>
      </c>
      <c r="W597" s="18">
        <f t="shared" si="287"/>
        <v>8.1926297046397336E-3</v>
      </c>
      <c r="X597" s="18">
        <f t="shared" si="288"/>
        <v>4.5299607355890146E-3</v>
      </c>
      <c r="Y597" s="18">
        <f t="shared" si="289"/>
        <v>5.9707033808835087E-3</v>
      </c>
      <c r="AA597" s="18">
        <f t="shared" si="271"/>
        <v>-4.0637850736991686E-3</v>
      </c>
      <c r="AB597" s="18">
        <f t="shared" si="272"/>
        <v>1.6514349125220156E-5</v>
      </c>
      <c r="AC597" s="18">
        <f t="shared" si="274"/>
        <v>1.1156204711652605E-4</v>
      </c>
      <c r="AD597" s="18">
        <f t="shared" si="276"/>
        <v>5.5274742447169465E-5</v>
      </c>
      <c r="AE597" s="18">
        <f t="shared" si="278"/>
        <v>5.4577255657413069E-5</v>
      </c>
      <c r="AF597" s="18">
        <f t="shared" si="280"/>
        <v>3.1007662291664493E-3</v>
      </c>
      <c r="AG597" s="18">
        <f t="shared" si="282"/>
        <v>9.8989595343184733E-4</v>
      </c>
      <c r="AH597" s="18">
        <f t="shared" si="284"/>
        <v>1.7625562479533293E-3</v>
      </c>
      <c r="AJ597" s="18">
        <f>IF(ISNUMBER(Kernel!M597),Kernel!M597,"")</f>
        <v>1.4802900142724118E-2</v>
      </c>
      <c r="AK597" s="18">
        <f t="shared" si="269"/>
        <v>2.1912585263546172E-4</v>
      </c>
      <c r="AN597" s="18">
        <f>IF(ISNUMBER(Volcanic!G597),Volcanic!G597,"")</f>
        <v>6.9800000000000001E-3</v>
      </c>
    </row>
    <row r="598" spans="1:40">
      <c r="A598" s="18" t="str">
        <f>IF(Volcanic!A598="","",Volcanic!A598)</f>
        <v>11/2007</v>
      </c>
      <c r="B598" s="18">
        <f>IF(ISNUMBER(Volcanic!L598),Volcanic!L598,"")</f>
        <v>2007.875</v>
      </c>
      <c r="C598" s="18">
        <f>IF(ISNUMBER(Volcanic!J598),Volcanic!J598,"")</f>
        <v>9.4114698985837686E-3</v>
      </c>
      <c r="D598" s="18">
        <f t="shared" si="262"/>
        <v>8.8575765651948375E-5</v>
      </c>
      <c r="E598" s="18">
        <f>IF(ISNUMBER(Volcanic!C598),Volcanic!C598,"")</f>
        <v>0.4507870738361669</v>
      </c>
      <c r="F598" s="18">
        <f>IF(ISNUMBER(Volcanic!D598),Volcanic!D598,"")</f>
        <v>-0.77</v>
      </c>
      <c r="G598" s="18">
        <f>IF(ISNUMBER(Volcanic!E598),Volcanic!E598,"")</f>
        <v>7.7999999999999996E-3</v>
      </c>
      <c r="H598" s="18">
        <f t="shared" si="263"/>
        <v>0.20320898593777378</v>
      </c>
      <c r="I598" s="18">
        <f t="shared" si="264"/>
        <v>0.59289999999999998</v>
      </c>
      <c r="J598" s="18">
        <f t="shared" si="265"/>
        <v>6.0839999999999993E-5</v>
      </c>
      <c r="K598" s="18">
        <f t="shared" si="266"/>
        <v>-0.34710604685384849</v>
      </c>
      <c r="L598" s="18">
        <f t="shared" si="267"/>
        <v>3.5161391759221017E-3</v>
      </c>
      <c r="M598" s="18">
        <f t="shared" si="268"/>
        <v>-6.0060000000000001E-3</v>
      </c>
      <c r="N598" s="18">
        <f t="shared" si="270"/>
        <v>4.3280646370257765E-6</v>
      </c>
      <c r="O598" s="18">
        <f t="shared" si="273"/>
        <v>1.5560359415369405E-5</v>
      </c>
      <c r="P598" s="18">
        <f t="shared" si="275"/>
        <v>1.7322507342441064E-4</v>
      </c>
      <c r="Q598" s="18">
        <f t="shared" si="277"/>
        <v>1.6779527164798105E-3</v>
      </c>
      <c r="R598" s="18">
        <f t="shared" si="279"/>
        <v>4.4590492403278753E-3</v>
      </c>
      <c r="S598" s="18">
        <f t="shared" si="281"/>
        <v>4.8662352781957081E-4</v>
      </c>
      <c r="T598" s="18">
        <f t="shared" si="283"/>
        <v>3.4973947133715475E-4</v>
      </c>
      <c r="U598" s="18">
        <f t="shared" si="285"/>
        <v>2.1440109342486806E-3</v>
      </c>
      <c r="V598" s="18">
        <f t="shared" si="286"/>
        <v>2.5409442368977799E-3</v>
      </c>
      <c r="W598" s="18">
        <f t="shared" si="287"/>
        <v>8.1058505464131556E-2</v>
      </c>
      <c r="X598" s="18">
        <f t="shared" si="288"/>
        <v>8.1926297046397336E-3</v>
      </c>
      <c r="Y598" s="18">
        <f t="shared" si="289"/>
        <v>4.5299607355890146E-3</v>
      </c>
      <c r="AA598" s="18">
        <f t="shared" si="271"/>
        <v>1.0457499735247445E-2</v>
      </c>
      <c r="AB598" s="18">
        <f t="shared" si="272"/>
        <v>1.0935930071270038E-4</v>
      </c>
      <c r="AC598" s="18">
        <f t="shared" si="274"/>
        <v>1.6514349125220156E-5</v>
      </c>
      <c r="AD598" s="18">
        <f t="shared" si="276"/>
        <v>1.1156204711652605E-4</v>
      </c>
      <c r="AE598" s="18">
        <f t="shared" si="278"/>
        <v>5.5274742447169465E-5</v>
      </c>
      <c r="AF598" s="18">
        <f t="shared" si="280"/>
        <v>5.4577255657413069E-5</v>
      </c>
      <c r="AG598" s="18">
        <f t="shared" si="282"/>
        <v>3.1007662291664493E-3</v>
      </c>
      <c r="AH598" s="18">
        <f t="shared" si="284"/>
        <v>9.8989595343184733E-4</v>
      </c>
      <c r="AJ598" s="18">
        <f>IF(ISNUMBER(Kernel!M598),Kernel!M598,"")</f>
        <v>2.4972850626999166E-2</v>
      </c>
      <c r="AK598" s="18">
        <f t="shared" si="269"/>
        <v>6.2364326843841267E-4</v>
      </c>
      <c r="AN598" s="18">
        <f>IF(ISNUMBER(Volcanic!G598),Volcanic!G598,"")</f>
        <v>6.94E-3</v>
      </c>
    </row>
    <row r="599" spans="1:40">
      <c r="A599" s="18" t="str">
        <f>IF(Volcanic!A599="","",Volcanic!A599)</f>
        <v>12/2007</v>
      </c>
      <c r="B599" s="18">
        <f>IF(ISNUMBER(Volcanic!L599),Volcanic!L599,"")</f>
        <v>2007.9583333333333</v>
      </c>
      <c r="C599" s="18">
        <f>IF(ISNUMBER(Volcanic!J599),Volcanic!J599,"")</f>
        <v>-7.0688184457320946E-2</v>
      </c>
      <c r="D599" s="18">
        <f t="shared" si="262"/>
        <v>4.9968194218722303E-3</v>
      </c>
      <c r="E599" s="18">
        <f>IF(ISNUMBER(Volcanic!C599),Volcanic!C599,"")</f>
        <v>0.45639314071876497</v>
      </c>
      <c r="F599" s="18">
        <f>IF(ISNUMBER(Volcanic!D599),Volcanic!D599,"")</f>
        <v>-1.05</v>
      </c>
      <c r="G599" s="18">
        <f>IF(ISNUMBER(Volcanic!E599),Volcanic!E599,"")</f>
        <v>7.4400000000000004E-3</v>
      </c>
      <c r="H599" s="18">
        <f t="shared" si="263"/>
        <v>0.20829469889513841</v>
      </c>
      <c r="I599" s="18">
        <f t="shared" si="264"/>
        <v>1.1025</v>
      </c>
      <c r="J599" s="18">
        <f t="shared" si="265"/>
        <v>5.5353600000000005E-5</v>
      </c>
      <c r="K599" s="18">
        <f t="shared" si="266"/>
        <v>-0.47921279775470321</v>
      </c>
      <c r="L599" s="18">
        <f t="shared" si="267"/>
        <v>3.3955649669476116E-3</v>
      </c>
      <c r="M599" s="18">
        <f t="shared" si="268"/>
        <v>-7.8120000000000004E-3</v>
      </c>
      <c r="N599" s="18">
        <f t="shared" si="270"/>
        <v>8.8575765651948375E-5</v>
      </c>
      <c r="O599" s="18">
        <f t="shared" si="273"/>
        <v>4.3280646370257765E-6</v>
      </c>
      <c r="P599" s="18">
        <f t="shared" si="275"/>
        <v>1.5560359415369405E-5</v>
      </c>
      <c r="Q599" s="18">
        <f t="shared" si="277"/>
        <v>1.7322507342441064E-4</v>
      </c>
      <c r="R599" s="18">
        <f t="shared" si="279"/>
        <v>1.6779527164798105E-3</v>
      </c>
      <c r="S599" s="18">
        <f t="shared" si="281"/>
        <v>4.4590492403278753E-3</v>
      </c>
      <c r="T599" s="18">
        <f t="shared" si="283"/>
        <v>4.8662352781957081E-4</v>
      </c>
      <c r="U599" s="18">
        <f t="shared" si="285"/>
        <v>3.4973947133715475E-4</v>
      </c>
      <c r="V599" s="18">
        <f t="shared" si="286"/>
        <v>2.1440109342486806E-3</v>
      </c>
      <c r="W599" s="18">
        <f t="shared" si="287"/>
        <v>2.5409442368977799E-3</v>
      </c>
      <c r="X599" s="18">
        <f t="shared" si="288"/>
        <v>8.1058505464131556E-2</v>
      </c>
      <c r="Y599" s="18">
        <f t="shared" si="289"/>
        <v>8.1926297046397336E-3</v>
      </c>
      <c r="AA599" s="18">
        <f t="shared" si="271"/>
        <v>-7.5420292599147426E-2</v>
      </c>
      <c r="AB599" s="18">
        <f t="shared" si="272"/>
        <v>5.6882205357410122E-3</v>
      </c>
      <c r="AC599" s="18">
        <f t="shared" si="274"/>
        <v>1.0935930071270038E-4</v>
      </c>
      <c r="AD599" s="18">
        <f t="shared" si="276"/>
        <v>1.6514349125220156E-5</v>
      </c>
      <c r="AE599" s="18">
        <f t="shared" si="278"/>
        <v>1.1156204711652605E-4</v>
      </c>
      <c r="AF599" s="18">
        <f t="shared" si="280"/>
        <v>5.5274742447169465E-5</v>
      </c>
      <c r="AG599" s="18">
        <f t="shared" si="282"/>
        <v>5.4577255657413069E-5</v>
      </c>
      <c r="AH599" s="18">
        <f t="shared" si="284"/>
        <v>3.1007662291664493E-3</v>
      </c>
      <c r="AJ599" s="18">
        <f>IF(ISNUMBER(Kernel!M599),Kernel!M599,"")</f>
        <v>-5.6929770677162983E-2</v>
      </c>
      <c r="AK599" s="18">
        <f t="shared" si="269"/>
        <v>3.2409987893543663E-3</v>
      </c>
      <c r="AN599" s="18">
        <f>IF(ISNUMBER(Volcanic!G599),Volcanic!G599,"")</f>
        <v>6.5900000000000004E-3</v>
      </c>
    </row>
    <row r="600" spans="1:40">
      <c r="A600" s="18" t="str">
        <f>IF(Volcanic!A600="","",Volcanic!A600)</f>
        <v>1/2008</v>
      </c>
      <c r="B600" s="18">
        <f>IF(ISNUMBER(Volcanic!L600),Volcanic!L600,"")</f>
        <v>2008.0416666666667</v>
      </c>
      <c r="C600" s="18">
        <f>IF(ISNUMBER(Volcanic!J600),Volcanic!J600,"")</f>
        <v>-0.25682296043895425</v>
      </c>
      <c r="D600" s="18">
        <f t="shared" si="262"/>
        <v>6.5958033008628666E-2</v>
      </c>
      <c r="E600" s="18">
        <f>IF(ISNUMBER(Volcanic!C600),Volcanic!C600,"")</f>
        <v>0.46235152448856948</v>
      </c>
      <c r="F600" s="18">
        <f>IF(ISNUMBER(Volcanic!D600),Volcanic!D600,"")</f>
        <v>-1.38</v>
      </c>
      <c r="G600" s="18">
        <f>IF(ISNUMBER(Volcanic!E600),Volcanic!E600,"")</f>
        <v>7.2100000000000003E-3</v>
      </c>
      <c r="H600" s="18">
        <f t="shared" si="263"/>
        <v>0.21376893219690427</v>
      </c>
      <c r="I600" s="18">
        <f t="shared" si="264"/>
        <v>1.9043999999999996</v>
      </c>
      <c r="J600" s="18">
        <f t="shared" si="265"/>
        <v>5.1984100000000003E-5</v>
      </c>
      <c r="K600" s="18">
        <f t="shared" si="266"/>
        <v>-0.63804510379422585</v>
      </c>
      <c r="L600" s="18">
        <f t="shared" si="267"/>
        <v>3.3335544915625861E-3</v>
      </c>
      <c r="M600" s="18">
        <f t="shared" si="268"/>
        <v>-9.9498E-3</v>
      </c>
      <c r="N600" s="18">
        <f t="shared" si="270"/>
        <v>4.9968194218722303E-3</v>
      </c>
      <c r="O600" s="18">
        <f t="shared" si="273"/>
        <v>8.8575765651948375E-5</v>
      </c>
      <c r="P600" s="18">
        <f t="shared" si="275"/>
        <v>4.3280646370257765E-6</v>
      </c>
      <c r="Q600" s="18">
        <f t="shared" si="277"/>
        <v>1.5560359415369405E-5</v>
      </c>
      <c r="R600" s="18">
        <f t="shared" si="279"/>
        <v>1.7322507342441064E-4</v>
      </c>
      <c r="S600" s="18">
        <f t="shared" si="281"/>
        <v>1.6779527164798105E-3</v>
      </c>
      <c r="T600" s="18">
        <f t="shared" si="283"/>
        <v>4.4590492403278753E-3</v>
      </c>
      <c r="U600" s="18">
        <f t="shared" si="285"/>
        <v>4.8662352781957081E-4</v>
      </c>
      <c r="V600" s="18">
        <f t="shared" si="286"/>
        <v>3.4973947133715475E-4</v>
      </c>
      <c r="W600" s="18">
        <f t="shared" si="287"/>
        <v>2.1440109342486806E-3</v>
      </c>
      <c r="X600" s="18">
        <f t="shared" si="288"/>
        <v>2.5409442368977799E-3</v>
      </c>
      <c r="Y600" s="18">
        <f t="shared" si="289"/>
        <v>8.1058505464131556E-2</v>
      </c>
      <c r="AA600" s="18">
        <f t="shared" si="271"/>
        <v>-0.22128078298888804</v>
      </c>
      <c r="AB600" s="18">
        <f t="shared" si="272"/>
        <v>4.8965184920175361E-2</v>
      </c>
      <c r="AC600" s="18">
        <f t="shared" si="274"/>
        <v>5.6882205357410122E-3</v>
      </c>
      <c r="AD600" s="18">
        <f t="shared" si="276"/>
        <v>1.0935930071270038E-4</v>
      </c>
      <c r="AE600" s="18">
        <f t="shared" si="278"/>
        <v>1.6514349125220156E-5</v>
      </c>
      <c r="AF600" s="18">
        <f t="shared" si="280"/>
        <v>1.1156204711652605E-4</v>
      </c>
      <c r="AG600" s="18">
        <f t="shared" si="282"/>
        <v>5.5274742447169465E-5</v>
      </c>
      <c r="AH600" s="18">
        <f t="shared" si="284"/>
        <v>5.4577255657413069E-5</v>
      </c>
      <c r="AJ600" s="18">
        <f>IF(ISNUMBER(Kernel!M600),Kernel!M600,"")</f>
        <v>-0.25259094003685079</v>
      </c>
      <c r="AK600" s="18">
        <f t="shared" si="269"/>
        <v>6.3802182988699954E-2</v>
      </c>
      <c r="AN600" s="18">
        <f>IF(ISNUMBER(Volcanic!G600),Volcanic!G600,"")</f>
        <v>6.2500000000000003E-3</v>
      </c>
    </row>
    <row r="601" spans="1:40">
      <c r="A601" s="18" t="str">
        <f>IF(Volcanic!A601="","",Volcanic!A601)</f>
        <v>2/2008</v>
      </c>
      <c r="B601" s="18">
        <f>IF(ISNUMBER(Volcanic!L601),Volcanic!L601,"")</f>
        <v>2008.125</v>
      </c>
      <c r="C601" s="18">
        <f>IF(ISNUMBER(Volcanic!J601),Volcanic!J601,"")</f>
        <v>-0.16217881126280298</v>
      </c>
      <c r="D601" s="18">
        <f t="shared" si="262"/>
        <v>2.6301966822615871E-2</v>
      </c>
      <c r="E601" s="18">
        <f>IF(ISNUMBER(Volcanic!C601),Volcanic!C601,"")</f>
        <v>0.46339825601108536</v>
      </c>
      <c r="F601" s="18">
        <f>IF(ISNUMBER(Volcanic!D601),Volcanic!D601,"")</f>
        <v>-1.57</v>
      </c>
      <c r="G601" s="18">
        <f>IF(ISNUMBER(Volcanic!E601),Volcanic!E601,"")</f>
        <v>7.1500000000000001E-3</v>
      </c>
      <c r="H601" s="18">
        <f t="shared" si="263"/>
        <v>0.21473794367411542</v>
      </c>
      <c r="I601" s="18">
        <f t="shared" si="264"/>
        <v>2.4649000000000001</v>
      </c>
      <c r="J601" s="18">
        <f t="shared" si="265"/>
        <v>5.1122500000000004E-5</v>
      </c>
      <c r="K601" s="18">
        <f t="shared" si="266"/>
        <v>-0.72753526193740403</v>
      </c>
      <c r="L601" s="18">
        <f t="shared" si="267"/>
        <v>3.3132975304792605E-3</v>
      </c>
      <c r="M601" s="18">
        <f t="shared" si="268"/>
        <v>-1.1225500000000001E-2</v>
      </c>
      <c r="N601" s="18">
        <f t="shared" si="270"/>
        <v>6.5958033008628666E-2</v>
      </c>
      <c r="O601" s="18">
        <f t="shared" si="273"/>
        <v>4.9968194218722303E-3</v>
      </c>
      <c r="P601" s="18">
        <f t="shared" si="275"/>
        <v>8.8575765651948375E-5</v>
      </c>
      <c r="Q601" s="18">
        <f t="shared" si="277"/>
        <v>4.3280646370257765E-6</v>
      </c>
      <c r="R601" s="18">
        <f t="shared" si="279"/>
        <v>1.5560359415369405E-5</v>
      </c>
      <c r="S601" s="18">
        <f t="shared" si="281"/>
        <v>1.7322507342441064E-4</v>
      </c>
      <c r="T601" s="18">
        <f t="shared" si="283"/>
        <v>1.6779527164798105E-3</v>
      </c>
      <c r="U601" s="18">
        <f t="shared" si="285"/>
        <v>4.4590492403278753E-3</v>
      </c>
      <c r="V601" s="18">
        <f t="shared" si="286"/>
        <v>4.8662352781957081E-4</v>
      </c>
      <c r="W601" s="18">
        <f t="shared" si="287"/>
        <v>3.4973947133715475E-4</v>
      </c>
      <c r="X601" s="18">
        <f t="shared" si="288"/>
        <v>2.1440109342486806E-3</v>
      </c>
      <c r="Y601" s="18">
        <f t="shared" si="289"/>
        <v>2.5409442368977799E-3</v>
      </c>
      <c r="AA601" s="18">
        <f t="shared" si="271"/>
        <v>-3.3047651603668737E-2</v>
      </c>
      <c r="AB601" s="18">
        <f t="shared" si="272"/>
        <v>1.0921472765174688E-3</v>
      </c>
      <c r="AC601" s="18">
        <f t="shared" si="274"/>
        <v>4.8965184920175361E-2</v>
      </c>
      <c r="AD601" s="18">
        <f t="shared" si="276"/>
        <v>5.6882205357410122E-3</v>
      </c>
      <c r="AE601" s="18">
        <f t="shared" si="278"/>
        <v>1.0935930071270038E-4</v>
      </c>
      <c r="AF601" s="18">
        <f t="shared" si="280"/>
        <v>1.6514349125220156E-5</v>
      </c>
      <c r="AG601" s="18">
        <f t="shared" si="282"/>
        <v>1.1156204711652605E-4</v>
      </c>
      <c r="AH601" s="18">
        <f t="shared" si="284"/>
        <v>5.5274742447169465E-5</v>
      </c>
      <c r="AJ601" s="18">
        <f>IF(ISNUMBER(Kernel!M601),Kernel!M601,"")</f>
        <v>-0.16137799993950763</v>
      </c>
      <c r="AK601" s="18">
        <f t="shared" si="269"/>
        <v>2.6042858864475726E-2</v>
      </c>
      <c r="AN601" s="18">
        <f>IF(ISNUMBER(Volcanic!G601),Volcanic!G601,"")</f>
        <v>6.2399999999999999E-3</v>
      </c>
    </row>
    <row r="602" spans="1:40">
      <c r="A602" s="18" t="str">
        <f>IF(Volcanic!A602="","",Volcanic!A602)</f>
        <v>3/2008</v>
      </c>
      <c r="B602" s="18">
        <f>IF(ISNUMBER(Volcanic!L602),Volcanic!L602,"")</f>
        <v>2008.2083333333333</v>
      </c>
      <c r="C602" s="18">
        <f>IF(ISNUMBER(Volcanic!J602),Volcanic!J602,"")</f>
        <v>0.21960878880286794</v>
      </c>
      <c r="D602" s="18">
        <f t="shared" si="262"/>
        <v>4.8228020119462651E-2</v>
      </c>
      <c r="E602" s="18">
        <f>IF(ISNUMBER(Volcanic!C602),Volcanic!C602,"")</f>
        <v>0.46422015547914297</v>
      </c>
      <c r="F602" s="18">
        <f>IF(ISNUMBER(Volcanic!D602),Volcanic!D602,"")</f>
        <v>-1.72</v>
      </c>
      <c r="G602" s="18">
        <f>IF(ISNUMBER(Volcanic!E602),Volcanic!E602,"")</f>
        <v>7.1999999999999998E-3</v>
      </c>
      <c r="H602" s="18">
        <f t="shared" si="263"/>
        <v>0.21550035275307966</v>
      </c>
      <c r="I602" s="18">
        <f t="shared" si="264"/>
        <v>2.9583999999999997</v>
      </c>
      <c r="J602" s="18">
        <f t="shared" si="265"/>
        <v>5.1839999999999998E-5</v>
      </c>
      <c r="K602" s="18">
        <f t="shared" si="266"/>
        <v>-0.79845866742412586</v>
      </c>
      <c r="L602" s="18">
        <f t="shared" si="267"/>
        <v>3.3423851194498292E-3</v>
      </c>
      <c r="M602" s="18">
        <f t="shared" si="268"/>
        <v>-1.2383999999999999E-2</v>
      </c>
      <c r="N602" s="18">
        <f t="shared" si="270"/>
        <v>2.6301966822615871E-2</v>
      </c>
      <c r="O602" s="18">
        <f t="shared" si="273"/>
        <v>6.5958033008628666E-2</v>
      </c>
      <c r="P602" s="18">
        <f t="shared" si="275"/>
        <v>4.9968194218722303E-3</v>
      </c>
      <c r="Q602" s="18">
        <f t="shared" si="277"/>
        <v>8.8575765651948375E-5</v>
      </c>
      <c r="R602" s="18">
        <f t="shared" si="279"/>
        <v>4.3280646370257765E-6</v>
      </c>
      <c r="S602" s="18">
        <f t="shared" si="281"/>
        <v>1.5560359415369405E-5</v>
      </c>
      <c r="T602" s="18">
        <f t="shared" si="283"/>
        <v>1.7322507342441064E-4</v>
      </c>
      <c r="U602" s="18">
        <f t="shared" si="285"/>
        <v>1.6779527164798105E-3</v>
      </c>
      <c r="V602" s="18">
        <f t="shared" si="286"/>
        <v>4.4590492403278753E-3</v>
      </c>
      <c r="W602" s="18">
        <f t="shared" si="287"/>
        <v>4.8662352781957081E-4</v>
      </c>
      <c r="X602" s="18">
        <f t="shared" si="288"/>
        <v>3.4973947133715475E-4</v>
      </c>
      <c r="Y602" s="18">
        <f t="shared" si="289"/>
        <v>2.1440109342486806E-3</v>
      </c>
      <c r="AA602" s="18">
        <f t="shared" si="271"/>
        <v>0.30115265830235344</v>
      </c>
      <c r="AB602" s="18">
        <f t="shared" si="272"/>
        <v>9.0692923602574041E-2</v>
      </c>
      <c r="AC602" s="18">
        <f t="shared" si="274"/>
        <v>1.0921472765174688E-3</v>
      </c>
      <c r="AD602" s="18">
        <f t="shared" si="276"/>
        <v>4.8965184920175361E-2</v>
      </c>
      <c r="AE602" s="18">
        <f t="shared" si="278"/>
        <v>5.6882205357410122E-3</v>
      </c>
      <c r="AF602" s="18">
        <f t="shared" si="280"/>
        <v>1.0935930071270038E-4</v>
      </c>
      <c r="AG602" s="18">
        <f t="shared" si="282"/>
        <v>1.6514349125220156E-5</v>
      </c>
      <c r="AH602" s="18">
        <f t="shared" si="284"/>
        <v>1.1156204711652605E-4</v>
      </c>
      <c r="AJ602" s="18">
        <f>IF(ISNUMBER(Kernel!M602),Kernel!M602,"")</f>
        <v>0.21305918986094097</v>
      </c>
      <c r="AK602" s="18">
        <f t="shared" si="269"/>
        <v>4.5394218384200491E-2</v>
      </c>
      <c r="AN602" s="18">
        <f>IF(ISNUMBER(Volcanic!G602),Volcanic!G602,"")</f>
        <v>6.1900000000000002E-3</v>
      </c>
    </row>
    <row r="603" spans="1:40">
      <c r="A603" s="18" t="str">
        <f>IF(Volcanic!A603="","",Volcanic!A603)</f>
        <v>4/2008</v>
      </c>
      <c r="B603" s="18">
        <f>IF(ISNUMBER(Volcanic!L603),Volcanic!L603,"")</f>
        <v>2008.2916666666667</v>
      </c>
      <c r="C603" s="18">
        <f>IF(ISNUMBER(Volcanic!J603),Volcanic!J603,"")</f>
        <v>2.441236338220576E-3</v>
      </c>
      <c r="D603" s="18">
        <f t="shared" si="262"/>
        <v>5.9596348590486061E-6</v>
      </c>
      <c r="E603" s="18">
        <f>IF(ISNUMBER(Volcanic!C603),Volcanic!C603,"")</f>
        <v>0.46813642006500927</v>
      </c>
      <c r="F603" s="18">
        <f>IF(ISNUMBER(Volcanic!D603),Volcanic!D603,"")</f>
        <v>-1.76</v>
      </c>
      <c r="G603" s="18">
        <f>IF(ISNUMBER(Volcanic!E603),Volcanic!E603,"")</f>
        <v>7.11E-3</v>
      </c>
      <c r="H603" s="18">
        <f t="shared" si="263"/>
        <v>0.21915170779128282</v>
      </c>
      <c r="I603" s="18">
        <f t="shared" si="264"/>
        <v>3.0975999999999999</v>
      </c>
      <c r="J603" s="18">
        <f t="shared" si="265"/>
        <v>5.05521E-5</v>
      </c>
      <c r="K603" s="18">
        <f t="shared" si="266"/>
        <v>-0.82392009931441634</v>
      </c>
      <c r="L603" s="18">
        <f t="shared" si="267"/>
        <v>3.3284499466622159E-3</v>
      </c>
      <c r="M603" s="18">
        <f t="shared" si="268"/>
        <v>-1.25136E-2</v>
      </c>
      <c r="N603" s="18">
        <f t="shared" si="270"/>
        <v>4.8228020119462651E-2</v>
      </c>
      <c r="O603" s="18">
        <f t="shared" si="273"/>
        <v>2.6301966822615871E-2</v>
      </c>
      <c r="P603" s="18">
        <f t="shared" si="275"/>
        <v>6.5958033008628666E-2</v>
      </c>
      <c r="Q603" s="18">
        <f t="shared" si="277"/>
        <v>4.9968194218722303E-3</v>
      </c>
      <c r="R603" s="18">
        <f t="shared" si="279"/>
        <v>8.8575765651948375E-5</v>
      </c>
      <c r="S603" s="18">
        <f t="shared" si="281"/>
        <v>4.3280646370257765E-6</v>
      </c>
      <c r="T603" s="18">
        <f t="shared" si="283"/>
        <v>1.5560359415369405E-5</v>
      </c>
      <c r="U603" s="18">
        <f t="shared" si="285"/>
        <v>1.7322507342441064E-4</v>
      </c>
      <c r="V603" s="18">
        <f t="shared" si="286"/>
        <v>1.6779527164798105E-3</v>
      </c>
      <c r="W603" s="18">
        <f t="shared" si="287"/>
        <v>4.4590492403278753E-3</v>
      </c>
      <c r="X603" s="18">
        <f t="shared" si="288"/>
        <v>4.8662352781957081E-4</v>
      </c>
      <c r="Y603" s="18">
        <f t="shared" si="289"/>
        <v>3.4973947133715475E-4</v>
      </c>
      <c r="AA603" s="18">
        <f t="shared" si="271"/>
        <v>-0.10797855448181747</v>
      </c>
      <c r="AB603" s="18">
        <f t="shared" si="272"/>
        <v>1.1659368227982823E-2</v>
      </c>
      <c r="AC603" s="18">
        <f t="shared" si="274"/>
        <v>9.0692923602574041E-2</v>
      </c>
      <c r="AD603" s="18">
        <f t="shared" si="276"/>
        <v>1.0921472765174688E-3</v>
      </c>
      <c r="AE603" s="18">
        <f t="shared" si="278"/>
        <v>4.8965184920175361E-2</v>
      </c>
      <c r="AF603" s="18">
        <f t="shared" si="280"/>
        <v>5.6882205357410122E-3</v>
      </c>
      <c r="AG603" s="18">
        <f t="shared" si="282"/>
        <v>1.0935930071270038E-4</v>
      </c>
      <c r="AH603" s="18">
        <f t="shared" si="284"/>
        <v>1.6514349125220156E-5</v>
      </c>
      <c r="AJ603" s="18">
        <f>IF(ISNUMBER(Kernel!M603),Kernel!M603,"")</f>
        <v>-8.8219622892463656E-3</v>
      </c>
      <c r="AK603" s="18">
        <f t="shared" si="269"/>
        <v>7.7827018632884974E-5</v>
      </c>
      <c r="AN603" s="18">
        <f>IF(ISNUMBER(Volcanic!G603),Volcanic!G603,"")</f>
        <v>6.2599999999999999E-3</v>
      </c>
    </row>
    <row r="604" spans="1:40">
      <c r="A604" s="18" t="str">
        <f>IF(Volcanic!A604="","",Volcanic!A604)</f>
        <v>5/2008</v>
      </c>
      <c r="B604" s="18">
        <f>IF(ISNUMBER(Volcanic!L604),Volcanic!L604,"")</f>
        <v>2008.375</v>
      </c>
      <c r="C604" s="18">
        <f>IF(ISNUMBER(Volcanic!J604),Volcanic!J604,"")</f>
        <v>-6.6466952191883255E-2</v>
      </c>
      <c r="D604" s="18">
        <f t="shared" si="262"/>
        <v>4.417855733678094E-3</v>
      </c>
      <c r="E604" s="18">
        <f>IF(ISNUMBER(Volcanic!C604),Volcanic!C604,"")</f>
        <v>0.47352717715675879</v>
      </c>
      <c r="F604" s="18">
        <f>IF(ISNUMBER(Volcanic!D604),Volcanic!D604,"")</f>
        <v>-1.61</v>
      </c>
      <c r="G604" s="18">
        <f>IF(ISNUMBER(Volcanic!E604),Volcanic!E604,"")</f>
        <v>6.9800000000000001E-3</v>
      </c>
      <c r="H604" s="18">
        <f t="shared" si="263"/>
        <v>0.22422798750604842</v>
      </c>
      <c r="I604" s="18">
        <f t="shared" si="264"/>
        <v>2.5921000000000003</v>
      </c>
      <c r="J604" s="18">
        <f t="shared" si="265"/>
        <v>4.8720400000000002E-5</v>
      </c>
      <c r="K604" s="18">
        <f t="shared" si="266"/>
        <v>-0.76237875522238174</v>
      </c>
      <c r="L604" s="18">
        <f t="shared" si="267"/>
        <v>3.3052196965541766E-3</v>
      </c>
      <c r="M604" s="18">
        <f t="shared" si="268"/>
        <v>-1.1237800000000001E-2</v>
      </c>
      <c r="N604" s="18">
        <f t="shared" si="270"/>
        <v>5.9596348590486061E-6</v>
      </c>
      <c r="O604" s="18">
        <f t="shared" si="273"/>
        <v>4.8228020119462651E-2</v>
      </c>
      <c r="P604" s="18">
        <f t="shared" si="275"/>
        <v>2.6301966822615871E-2</v>
      </c>
      <c r="Q604" s="18">
        <f t="shared" si="277"/>
        <v>6.5958033008628666E-2</v>
      </c>
      <c r="R604" s="18">
        <f t="shared" si="279"/>
        <v>4.9968194218722303E-3</v>
      </c>
      <c r="S604" s="18">
        <f t="shared" si="281"/>
        <v>8.8575765651948375E-5</v>
      </c>
      <c r="T604" s="18">
        <f t="shared" si="283"/>
        <v>4.3280646370257765E-6</v>
      </c>
      <c r="U604" s="18">
        <f t="shared" si="285"/>
        <v>1.5560359415369405E-5</v>
      </c>
      <c r="V604" s="18">
        <f t="shared" si="286"/>
        <v>1.7322507342441064E-4</v>
      </c>
      <c r="W604" s="18">
        <f t="shared" si="287"/>
        <v>1.6779527164798105E-3</v>
      </c>
      <c r="X604" s="18">
        <f t="shared" si="288"/>
        <v>4.4590492403278753E-3</v>
      </c>
      <c r="Y604" s="18">
        <f t="shared" si="289"/>
        <v>4.8662352781957081E-4</v>
      </c>
      <c r="AA604" s="18">
        <f t="shared" si="271"/>
        <v>-6.7694411289845685E-2</v>
      </c>
      <c r="AB604" s="18">
        <f t="shared" si="272"/>
        <v>4.5825333198787873E-3</v>
      </c>
      <c r="AC604" s="18">
        <f t="shared" si="274"/>
        <v>1.1659368227982823E-2</v>
      </c>
      <c r="AD604" s="18">
        <f t="shared" si="276"/>
        <v>9.0692923602574041E-2</v>
      </c>
      <c r="AE604" s="18">
        <f t="shared" si="278"/>
        <v>1.0921472765174688E-3</v>
      </c>
      <c r="AF604" s="18">
        <f t="shared" si="280"/>
        <v>4.8965184920175361E-2</v>
      </c>
      <c r="AG604" s="18">
        <f t="shared" si="282"/>
        <v>5.6882205357410122E-3</v>
      </c>
      <c r="AH604" s="18">
        <f t="shared" si="284"/>
        <v>1.0935930071270038E-4</v>
      </c>
      <c r="AJ604" s="18">
        <f>IF(ISNUMBER(Kernel!M604),Kernel!M604,"")</f>
        <v>-6.8880537918435958E-2</v>
      </c>
      <c r="AK604" s="18">
        <f t="shared" si="269"/>
        <v>4.7445285039330936E-3</v>
      </c>
      <c r="AN604" s="18">
        <f>IF(ISNUMBER(Volcanic!G604),Volcanic!G604,"")</f>
        <v>6.1000000000000004E-3</v>
      </c>
    </row>
    <row r="605" spans="1:40">
      <c r="A605" s="18" t="str">
        <f>IF(Volcanic!A605="","",Volcanic!A605)</f>
        <v>6/2008</v>
      </c>
      <c r="B605" s="18">
        <f>IF(ISNUMBER(Volcanic!L605),Volcanic!L605,"")</f>
        <v>2008.4583333333333</v>
      </c>
      <c r="C605" s="18">
        <f>IF(ISNUMBER(Volcanic!J605),Volcanic!J605,"")</f>
        <v>-8.0822042612901268E-2</v>
      </c>
      <c r="D605" s="18">
        <f t="shared" si="262"/>
        <v>6.5322025721216287E-3</v>
      </c>
      <c r="E605" s="18">
        <f>IF(ISNUMBER(Volcanic!C605),Volcanic!C605,"")</f>
        <v>0.47059264190111394</v>
      </c>
      <c r="F605" s="18">
        <f>IF(ISNUMBER(Volcanic!D605),Volcanic!D605,"")</f>
        <v>-1.37</v>
      </c>
      <c r="G605" s="18">
        <f>IF(ISNUMBER(Volcanic!E605),Volcanic!E605,"")</f>
        <v>6.94E-3</v>
      </c>
      <c r="H605" s="18">
        <f t="shared" si="263"/>
        <v>0.22145743461147005</v>
      </c>
      <c r="I605" s="18">
        <f t="shared" si="264"/>
        <v>1.8769000000000002</v>
      </c>
      <c r="J605" s="18">
        <f t="shared" si="265"/>
        <v>4.8163600000000001E-5</v>
      </c>
      <c r="K605" s="18">
        <f t="shared" si="266"/>
        <v>-0.6447119194045261</v>
      </c>
      <c r="L605" s="18">
        <f t="shared" si="267"/>
        <v>3.2659129347937309E-3</v>
      </c>
      <c r="M605" s="18">
        <f t="shared" si="268"/>
        <v>-9.5078000000000003E-3</v>
      </c>
      <c r="N605" s="18">
        <f t="shared" si="270"/>
        <v>4.417855733678094E-3</v>
      </c>
      <c r="O605" s="18">
        <f t="shared" si="273"/>
        <v>5.9596348590486061E-6</v>
      </c>
      <c r="P605" s="18">
        <f t="shared" si="275"/>
        <v>4.8228020119462651E-2</v>
      </c>
      <c r="Q605" s="18">
        <f t="shared" si="277"/>
        <v>2.6301966822615871E-2</v>
      </c>
      <c r="R605" s="18">
        <f t="shared" si="279"/>
        <v>6.5958033008628666E-2</v>
      </c>
      <c r="S605" s="18">
        <f t="shared" si="281"/>
        <v>4.9968194218722303E-3</v>
      </c>
      <c r="T605" s="18">
        <f t="shared" si="283"/>
        <v>8.8575765651948375E-5</v>
      </c>
      <c r="U605" s="18">
        <f t="shared" si="285"/>
        <v>4.3280646370257765E-6</v>
      </c>
      <c r="V605" s="18">
        <f t="shared" si="286"/>
        <v>1.5560359415369405E-5</v>
      </c>
      <c r="W605" s="18">
        <f t="shared" si="287"/>
        <v>1.7322507342441064E-4</v>
      </c>
      <c r="X605" s="18">
        <f t="shared" si="288"/>
        <v>1.6779527164798105E-3</v>
      </c>
      <c r="Y605" s="18">
        <f t="shared" si="289"/>
        <v>4.4590492403278753E-3</v>
      </c>
      <c r="AA605" s="18">
        <f t="shared" si="271"/>
        <v>-4.7402310199271325E-2</v>
      </c>
      <c r="AB605" s="18">
        <f t="shared" si="272"/>
        <v>2.2469790122279423E-3</v>
      </c>
      <c r="AC605" s="18">
        <f t="shared" si="274"/>
        <v>4.5825333198787873E-3</v>
      </c>
      <c r="AD605" s="18">
        <f t="shared" si="276"/>
        <v>1.1659368227982823E-2</v>
      </c>
      <c r="AE605" s="18">
        <f t="shared" si="278"/>
        <v>9.0692923602574041E-2</v>
      </c>
      <c r="AF605" s="18">
        <f t="shared" si="280"/>
        <v>1.0921472765174688E-3</v>
      </c>
      <c r="AG605" s="18">
        <f t="shared" si="282"/>
        <v>4.8965184920175361E-2</v>
      </c>
      <c r="AH605" s="18">
        <f t="shared" si="284"/>
        <v>5.6882205357410122E-3</v>
      </c>
      <c r="AJ605" s="18">
        <f>IF(ISNUMBER(Kernel!M605),Kernel!M605,"")</f>
        <v>-7.1906016750604596E-2</v>
      </c>
      <c r="AK605" s="18">
        <f t="shared" si="269"/>
        <v>5.1704752449382285E-3</v>
      </c>
      <c r="AN605" s="18">
        <f>IF(ISNUMBER(Volcanic!G605),Volcanic!G605,"")</f>
        <v>6.0099999999999997E-3</v>
      </c>
    </row>
    <row r="606" spans="1:40">
      <c r="A606" s="18" t="str">
        <f>IF(Volcanic!A606="","",Volcanic!A606)</f>
        <v>7/2008</v>
      </c>
      <c r="B606" s="18">
        <f>IF(ISNUMBER(Volcanic!L606),Volcanic!L606,"")</f>
        <v>2008.5416666666667</v>
      </c>
      <c r="C606" s="18">
        <f>IF(ISNUMBER(Volcanic!J606),Volcanic!J606,"")</f>
        <v>2.6320245830177003E-3</v>
      </c>
      <c r="D606" s="18">
        <f t="shared" si="262"/>
        <v>6.9275534056094993E-6</v>
      </c>
      <c r="E606" s="18">
        <f>IF(ISNUMBER(Volcanic!C606),Volcanic!C606,"")</f>
        <v>0.46548944347381965</v>
      </c>
      <c r="F606" s="18">
        <f>IF(ISNUMBER(Volcanic!D606),Volcanic!D606,"")</f>
        <v>-1.05</v>
      </c>
      <c r="G606" s="18">
        <f>IF(ISNUMBER(Volcanic!E606),Volcanic!E606,"")</f>
        <v>6.5900000000000004E-3</v>
      </c>
      <c r="H606" s="18">
        <f t="shared" si="263"/>
        <v>0.21668042198556633</v>
      </c>
      <c r="I606" s="18">
        <f t="shared" si="264"/>
        <v>1.1025</v>
      </c>
      <c r="J606" s="18">
        <f t="shared" si="265"/>
        <v>4.3428100000000005E-5</v>
      </c>
      <c r="K606" s="18">
        <f t="shared" si="266"/>
        <v>-0.48876391564751065</v>
      </c>
      <c r="L606" s="18">
        <f t="shared" si="267"/>
        <v>3.0675754324924719E-3</v>
      </c>
      <c r="M606" s="18">
        <f t="shared" si="268"/>
        <v>-6.9195000000000003E-3</v>
      </c>
      <c r="N606" s="18">
        <f t="shared" si="270"/>
        <v>6.5322025721216287E-3</v>
      </c>
      <c r="O606" s="18">
        <f t="shared" si="273"/>
        <v>4.417855733678094E-3</v>
      </c>
      <c r="P606" s="18">
        <f t="shared" si="275"/>
        <v>5.9596348590486061E-6</v>
      </c>
      <c r="Q606" s="18">
        <f t="shared" si="277"/>
        <v>4.8228020119462651E-2</v>
      </c>
      <c r="R606" s="18">
        <f t="shared" si="279"/>
        <v>2.6301966822615871E-2</v>
      </c>
      <c r="S606" s="18">
        <f t="shared" si="281"/>
        <v>6.5958033008628666E-2</v>
      </c>
      <c r="T606" s="18">
        <f t="shared" si="283"/>
        <v>4.9968194218722303E-3</v>
      </c>
      <c r="U606" s="18">
        <f t="shared" si="285"/>
        <v>8.8575765651948375E-5</v>
      </c>
      <c r="V606" s="18">
        <f t="shared" si="286"/>
        <v>4.3280646370257765E-6</v>
      </c>
      <c r="W606" s="18">
        <f t="shared" si="287"/>
        <v>1.5560359415369405E-5</v>
      </c>
      <c r="X606" s="18">
        <f t="shared" si="288"/>
        <v>1.7322507342441064E-4</v>
      </c>
      <c r="Y606" s="18">
        <f t="shared" si="289"/>
        <v>1.6779527164798105E-3</v>
      </c>
      <c r="AA606" s="18">
        <f t="shared" si="271"/>
        <v>4.3269528608303832E-2</v>
      </c>
      <c r="AB606" s="18">
        <f t="shared" si="272"/>
        <v>1.8722521059848238E-3</v>
      </c>
      <c r="AC606" s="18">
        <f t="shared" si="274"/>
        <v>2.2469790122279423E-3</v>
      </c>
      <c r="AD606" s="18">
        <f t="shared" si="276"/>
        <v>4.5825333198787873E-3</v>
      </c>
      <c r="AE606" s="18">
        <f t="shared" si="278"/>
        <v>1.1659368227982823E-2</v>
      </c>
      <c r="AF606" s="18">
        <f t="shared" si="280"/>
        <v>9.0692923602574041E-2</v>
      </c>
      <c r="AG606" s="18">
        <f t="shared" si="282"/>
        <v>1.0921472765174688E-3</v>
      </c>
      <c r="AH606" s="18">
        <f t="shared" si="284"/>
        <v>4.8965184920175361E-2</v>
      </c>
      <c r="AJ606" s="18">
        <f>IF(ISNUMBER(Kernel!M606),Kernel!M606,"")</f>
        <v>2.7639607039045555E-2</v>
      </c>
      <c r="AK606" s="18">
        <f t="shared" si="269"/>
        <v>7.6394787727285664E-4</v>
      </c>
      <c r="AN606" s="18">
        <f>IF(ISNUMBER(Volcanic!G606),Volcanic!G606,"")</f>
        <v>6.0899999999999999E-3</v>
      </c>
    </row>
    <row r="607" spans="1:40">
      <c r="A607" s="18" t="str">
        <f>IF(Volcanic!A607="","",Volcanic!A607)</f>
        <v>8/2008</v>
      </c>
      <c r="B607" s="18">
        <f>IF(ISNUMBER(Volcanic!L607),Volcanic!L607,"")</f>
        <v>2008.625</v>
      </c>
      <c r="C607" s="18">
        <f>IF(ISNUMBER(Volcanic!J607),Volcanic!J607,"")</f>
        <v>-0.14319683131899497</v>
      </c>
      <c r="D607" s="18">
        <f t="shared" si="262"/>
        <v>2.0505332499800698E-2</v>
      </c>
      <c r="E607" s="18">
        <f>IF(ISNUMBER(Volcanic!C607),Volcanic!C607,"")</f>
        <v>0.45688122898594291</v>
      </c>
      <c r="F607" s="18">
        <f>IF(ISNUMBER(Volcanic!D607),Volcanic!D607,"")</f>
        <v>-0.85</v>
      </c>
      <c r="G607" s="18">
        <f>IF(ISNUMBER(Volcanic!E607),Volcanic!E607,"")</f>
        <v>6.2500000000000003E-3</v>
      </c>
      <c r="H607" s="18">
        <f t="shared" si="263"/>
        <v>0.20874045739970559</v>
      </c>
      <c r="I607" s="18">
        <f t="shared" si="264"/>
        <v>0.72249999999999992</v>
      </c>
      <c r="J607" s="18">
        <f t="shared" si="265"/>
        <v>3.9062500000000008E-5</v>
      </c>
      <c r="K607" s="18">
        <f t="shared" si="266"/>
        <v>-0.38834904463805148</v>
      </c>
      <c r="L607" s="18">
        <f t="shared" si="267"/>
        <v>2.8555076811621434E-3</v>
      </c>
      <c r="M607" s="18">
        <f t="shared" si="268"/>
        <v>-5.3125000000000004E-3</v>
      </c>
      <c r="N607" s="18">
        <f t="shared" si="270"/>
        <v>6.9275534056094993E-6</v>
      </c>
      <c r="O607" s="18">
        <f t="shared" si="273"/>
        <v>6.5322025721216287E-3</v>
      </c>
      <c r="P607" s="18">
        <f t="shared" si="275"/>
        <v>4.417855733678094E-3</v>
      </c>
      <c r="Q607" s="18">
        <f t="shared" si="277"/>
        <v>5.9596348590486061E-6</v>
      </c>
      <c r="R607" s="18">
        <f t="shared" si="279"/>
        <v>4.8228020119462651E-2</v>
      </c>
      <c r="S607" s="18">
        <f t="shared" si="281"/>
        <v>2.6301966822615871E-2</v>
      </c>
      <c r="T607" s="18">
        <f t="shared" si="283"/>
        <v>6.5958033008628666E-2</v>
      </c>
      <c r="U607" s="18">
        <f t="shared" si="285"/>
        <v>4.9968194218722303E-3</v>
      </c>
      <c r="V607" s="18">
        <f t="shared" si="286"/>
        <v>8.8575765651948375E-5</v>
      </c>
      <c r="W607" s="18">
        <f t="shared" si="287"/>
        <v>4.3280646370257765E-6</v>
      </c>
      <c r="X607" s="18">
        <f t="shared" si="288"/>
        <v>1.5560359415369405E-5</v>
      </c>
      <c r="Y607" s="18">
        <f t="shared" si="289"/>
        <v>1.7322507342441064E-4</v>
      </c>
      <c r="AA607" s="18">
        <f t="shared" si="271"/>
        <v>-0.14452021917370825</v>
      </c>
      <c r="AB607" s="18">
        <f t="shared" si="272"/>
        <v>2.0886093750016668E-2</v>
      </c>
      <c r="AC607" s="18">
        <f t="shared" si="274"/>
        <v>1.8722521059848238E-3</v>
      </c>
      <c r="AD607" s="18">
        <f t="shared" si="276"/>
        <v>2.2469790122279423E-3</v>
      </c>
      <c r="AE607" s="18">
        <f t="shared" si="278"/>
        <v>4.5825333198787873E-3</v>
      </c>
      <c r="AF607" s="18">
        <f t="shared" si="280"/>
        <v>1.1659368227982823E-2</v>
      </c>
      <c r="AG607" s="18">
        <f t="shared" si="282"/>
        <v>9.0692923602574041E-2</v>
      </c>
      <c r="AH607" s="18">
        <f t="shared" si="284"/>
        <v>1.0921472765174688E-3</v>
      </c>
      <c r="AJ607" s="18">
        <f>IF(ISNUMBER(Kernel!M607),Kernel!M607,"")</f>
        <v>-0.11386558810010006</v>
      </c>
      <c r="AK607" s="18">
        <f t="shared" si="269"/>
        <v>1.2965372153381647E-2</v>
      </c>
      <c r="AN607" s="18">
        <f>IF(ISNUMBER(Volcanic!G607),Volcanic!G607,"")</f>
        <v>6.4999999999999997E-3</v>
      </c>
    </row>
    <row r="608" spans="1:40">
      <c r="A608" s="18" t="str">
        <f>IF(Volcanic!A608="","",Volcanic!A608)</f>
        <v>9/2008</v>
      </c>
      <c r="B608" s="18">
        <f>IF(ISNUMBER(Volcanic!L608),Volcanic!L608,"")</f>
        <v>2008.7083333333333</v>
      </c>
      <c r="C608" s="18">
        <f>IF(ISNUMBER(Volcanic!J608),Volcanic!J608,"")</f>
        <v>-1.080134556812784E-2</v>
      </c>
      <c r="D608" s="18">
        <f t="shared" si="262"/>
        <v>1.1666906608211494E-4</v>
      </c>
      <c r="E608" s="18">
        <f>IF(ISNUMBER(Volcanic!C608),Volcanic!C608,"")</f>
        <v>0.45346113832373852</v>
      </c>
      <c r="F608" s="18">
        <f>IF(ISNUMBER(Volcanic!D608),Volcanic!D608,"")</f>
        <v>-0.56000000000000005</v>
      </c>
      <c r="G608" s="18">
        <f>IF(ISNUMBER(Volcanic!E608),Volcanic!E608,"")</f>
        <v>6.2399999999999999E-3</v>
      </c>
      <c r="H608" s="18">
        <f t="shared" si="263"/>
        <v>0.20562700396986072</v>
      </c>
      <c r="I608" s="18">
        <f t="shared" si="264"/>
        <v>0.31360000000000005</v>
      </c>
      <c r="J608" s="18">
        <f t="shared" si="265"/>
        <v>3.8937599999999998E-5</v>
      </c>
      <c r="K608" s="18">
        <f t="shared" si="266"/>
        <v>-0.25393823746129357</v>
      </c>
      <c r="L608" s="18">
        <f t="shared" si="267"/>
        <v>2.8295975031401282E-3</v>
      </c>
      <c r="M608" s="18">
        <f t="shared" si="268"/>
        <v>-3.4944000000000004E-3</v>
      </c>
      <c r="N608" s="18">
        <f t="shared" si="270"/>
        <v>2.0505332499800698E-2</v>
      </c>
      <c r="O608" s="18">
        <f t="shared" si="273"/>
        <v>6.9275534056094993E-6</v>
      </c>
      <c r="P608" s="18">
        <f t="shared" si="275"/>
        <v>6.5322025721216287E-3</v>
      </c>
      <c r="Q608" s="18">
        <f t="shared" si="277"/>
        <v>4.417855733678094E-3</v>
      </c>
      <c r="R608" s="18">
        <f t="shared" si="279"/>
        <v>5.9596348590486061E-6</v>
      </c>
      <c r="S608" s="18">
        <f t="shared" si="281"/>
        <v>4.8228020119462651E-2</v>
      </c>
      <c r="T608" s="18">
        <f t="shared" si="283"/>
        <v>2.6301966822615871E-2</v>
      </c>
      <c r="U608" s="18">
        <f t="shared" si="285"/>
        <v>6.5958033008628666E-2</v>
      </c>
      <c r="V608" s="18">
        <f t="shared" si="286"/>
        <v>4.9968194218722303E-3</v>
      </c>
      <c r="W608" s="18">
        <f t="shared" si="287"/>
        <v>8.8575765651948375E-5</v>
      </c>
      <c r="X608" s="18">
        <f t="shared" si="288"/>
        <v>4.3280646370257765E-6</v>
      </c>
      <c r="Y608" s="18">
        <f t="shared" si="289"/>
        <v>1.5560359415369405E-5</v>
      </c>
      <c r="AA608" s="18">
        <f t="shared" si="271"/>
        <v>6.1198341905806281E-2</v>
      </c>
      <c r="AB608" s="18">
        <f t="shared" si="272"/>
        <v>3.7452370520199649E-3</v>
      </c>
      <c r="AC608" s="18">
        <f t="shared" si="274"/>
        <v>2.0886093750016668E-2</v>
      </c>
      <c r="AD608" s="18">
        <f t="shared" si="276"/>
        <v>1.8722521059848238E-3</v>
      </c>
      <c r="AE608" s="18">
        <f t="shared" si="278"/>
        <v>2.2469790122279423E-3</v>
      </c>
      <c r="AF608" s="18">
        <f t="shared" si="280"/>
        <v>4.5825333198787873E-3</v>
      </c>
      <c r="AG608" s="18">
        <f t="shared" si="282"/>
        <v>1.1659368227982823E-2</v>
      </c>
      <c r="AH608" s="18">
        <f t="shared" si="284"/>
        <v>9.0692923602574041E-2</v>
      </c>
      <c r="AJ608" s="18">
        <f>IF(ISNUMBER(Kernel!M608),Kernel!M608,"")</f>
        <v>3.4253209877506019E-2</v>
      </c>
      <c r="AK608" s="18">
        <f t="shared" si="269"/>
        <v>1.1732823869124759E-3</v>
      </c>
      <c r="AN608" s="18">
        <f>IF(ISNUMBER(Volcanic!G608),Volcanic!G608,"")</f>
        <v>7.62E-3</v>
      </c>
    </row>
    <row r="609" spans="1:40">
      <c r="A609" s="18" t="str">
        <f>IF(Volcanic!A609="","",Volcanic!A609)</f>
        <v>10/2008</v>
      </c>
      <c r="B609" s="18">
        <f>IF(ISNUMBER(Volcanic!L609),Volcanic!L609,"")</f>
        <v>2008.7916666666667</v>
      </c>
      <c r="C609" s="18">
        <f>IF(ISNUMBER(Volcanic!J609),Volcanic!J609,"")</f>
        <v>3.9696190441542156E-2</v>
      </c>
      <c r="D609" s="18">
        <f t="shared" si="262"/>
        <v>1.5757875355711828E-3</v>
      </c>
      <c r="E609" s="18">
        <f>IF(ISNUMBER(Volcanic!C609),Volcanic!C609,"")</f>
        <v>0.45274602917491535</v>
      </c>
      <c r="F609" s="18">
        <f>IF(ISNUMBER(Volcanic!D609),Volcanic!D609,"")</f>
        <v>-0.33</v>
      </c>
      <c r="G609" s="18">
        <f>IF(ISNUMBER(Volcanic!E609),Volcanic!E609,"")</f>
        <v>6.1900000000000002E-3</v>
      </c>
      <c r="H609" s="18">
        <f t="shared" si="263"/>
        <v>0.20497896693365331</v>
      </c>
      <c r="I609" s="18">
        <f t="shared" si="264"/>
        <v>0.10890000000000001</v>
      </c>
      <c r="J609" s="18">
        <f t="shared" si="265"/>
        <v>3.8316100000000004E-5</v>
      </c>
      <c r="K609" s="18">
        <f t="shared" si="266"/>
        <v>-0.14940618962772206</v>
      </c>
      <c r="L609" s="18">
        <f t="shared" si="267"/>
        <v>2.8024979205927263E-3</v>
      </c>
      <c r="M609" s="18">
        <f t="shared" si="268"/>
        <v>-2.0427000000000002E-3</v>
      </c>
      <c r="N609" s="18">
        <f t="shared" si="270"/>
        <v>1.1666906608211494E-4</v>
      </c>
      <c r="O609" s="18">
        <f t="shared" si="273"/>
        <v>2.0505332499800698E-2</v>
      </c>
      <c r="P609" s="18">
        <f t="shared" si="275"/>
        <v>6.9275534056094993E-6</v>
      </c>
      <c r="Q609" s="18">
        <f t="shared" si="277"/>
        <v>6.5322025721216287E-3</v>
      </c>
      <c r="R609" s="18">
        <f t="shared" si="279"/>
        <v>4.417855733678094E-3</v>
      </c>
      <c r="S609" s="18">
        <f t="shared" si="281"/>
        <v>5.9596348590486061E-6</v>
      </c>
      <c r="T609" s="18">
        <f t="shared" si="283"/>
        <v>4.8228020119462651E-2</v>
      </c>
      <c r="U609" s="18">
        <f t="shared" si="285"/>
        <v>2.6301966822615871E-2</v>
      </c>
      <c r="V609" s="18">
        <f t="shared" si="286"/>
        <v>6.5958033008628666E-2</v>
      </c>
      <c r="W609" s="18">
        <f t="shared" si="287"/>
        <v>4.9968194218722303E-3</v>
      </c>
      <c r="X609" s="18">
        <f t="shared" si="288"/>
        <v>8.8575765651948375E-5</v>
      </c>
      <c r="Y609" s="18">
        <f t="shared" si="289"/>
        <v>4.3280646370257765E-6</v>
      </c>
      <c r="AA609" s="18">
        <f t="shared" si="271"/>
        <v>4.512713118261711E-2</v>
      </c>
      <c r="AB609" s="18">
        <f t="shared" si="272"/>
        <v>2.0364579687731335E-3</v>
      </c>
      <c r="AC609" s="18">
        <f t="shared" si="274"/>
        <v>3.7452370520199649E-3</v>
      </c>
      <c r="AD609" s="18">
        <f t="shared" si="276"/>
        <v>2.0886093750016668E-2</v>
      </c>
      <c r="AE609" s="18">
        <f t="shared" si="278"/>
        <v>1.8722521059848238E-3</v>
      </c>
      <c r="AF609" s="18">
        <f t="shared" si="280"/>
        <v>2.2469790122279423E-3</v>
      </c>
      <c r="AG609" s="18">
        <f t="shared" si="282"/>
        <v>4.5825333198787873E-3</v>
      </c>
      <c r="AH609" s="18">
        <f t="shared" si="284"/>
        <v>1.1659368227982823E-2</v>
      </c>
      <c r="AJ609" s="18">
        <f>IF(ISNUMBER(Kernel!M609),Kernel!M609,"")</f>
        <v>9.9179481250557644E-2</v>
      </c>
      <c r="AK609" s="18">
        <f t="shared" si="269"/>
        <v>9.8365695011297157E-3</v>
      </c>
      <c r="AN609" s="18">
        <f>IF(ISNUMBER(Volcanic!G609),Volcanic!G609,"")</f>
        <v>7.6600000000000001E-3</v>
      </c>
    </row>
    <row r="610" spans="1:40">
      <c r="A610" s="18" t="str">
        <f>IF(Volcanic!A610="","",Volcanic!A610)</f>
        <v>11/2008</v>
      </c>
      <c r="B610" s="18">
        <f>IF(ISNUMBER(Volcanic!L610),Volcanic!L610,"")</f>
        <v>2008.875</v>
      </c>
      <c r="C610" s="18">
        <f>IF(ISNUMBER(Volcanic!J610),Volcanic!J610,"")</f>
        <v>3.5587058841646479E-2</v>
      </c>
      <c r="D610" s="18">
        <f t="shared" si="262"/>
        <v>1.2664387569988088E-3</v>
      </c>
      <c r="E610" s="18">
        <f>IF(ISNUMBER(Volcanic!C610),Volcanic!C610,"")</f>
        <v>0.45721903954172527</v>
      </c>
      <c r="F610" s="18">
        <f>IF(ISNUMBER(Volcanic!D610),Volcanic!D610,"")</f>
        <v>-0.2</v>
      </c>
      <c r="G610" s="18">
        <f>IF(ISNUMBER(Volcanic!E610),Volcanic!E610,"")</f>
        <v>6.2599999999999999E-3</v>
      </c>
      <c r="H610" s="18">
        <f t="shared" si="263"/>
        <v>0.20904925011945774</v>
      </c>
      <c r="I610" s="18">
        <f t="shared" si="264"/>
        <v>4.0000000000000008E-2</v>
      </c>
      <c r="J610" s="18">
        <f t="shared" si="265"/>
        <v>3.9187599999999997E-5</v>
      </c>
      <c r="K610" s="18">
        <f t="shared" si="266"/>
        <v>-9.1443807908345054E-2</v>
      </c>
      <c r="L610" s="18">
        <f t="shared" si="267"/>
        <v>2.8621911875312002E-3</v>
      </c>
      <c r="M610" s="18">
        <f t="shared" si="268"/>
        <v>-1.2520000000000001E-3</v>
      </c>
      <c r="N610" s="18">
        <f t="shared" si="270"/>
        <v>1.5757875355711828E-3</v>
      </c>
      <c r="O610" s="18">
        <f t="shared" si="273"/>
        <v>1.1666906608211494E-4</v>
      </c>
      <c r="P610" s="18">
        <f t="shared" si="275"/>
        <v>2.0505332499800698E-2</v>
      </c>
      <c r="Q610" s="18">
        <f t="shared" si="277"/>
        <v>6.9275534056094993E-6</v>
      </c>
      <c r="R610" s="18">
        <f t="shared" si="279"/>
        <v>6.5322025721216287E-3</v>
      </c>
      <c r="S610" s="18">
        <f t="shared" si="281"/>
        <v>4.417855733678094E-3</v>
      </c>
      <c r="T610" s="18">
        <f t="shared" si="283"/>
        <v>5.9596348590486061E-6</v>
      </c>
      <c r="U610" s="18">
        <f t="shared" si="285"/>
        <v>4.8228020119462651E-2</v>
      </c>
      <c r="V610" s="18">
        <f t="shared" si="286"/>
        <v>2.6301966822615871E-2</v>
      </c>
      <c r="W610" s="18">
        <f t="shared" si="287"/>
        <v>6.5958033008628666E-2</v>
      </c>
      <c r="X610" s="18">
        <f t="shared" si="288"/>
        <v>4.9968194218722303E-3</v>
      </c>
      <c r="Y610" s="18">
        <f t="shared" si="289"/>
        <v>8.8575765651948375E-5</v>
      </c>
      <c r="AA610" s="18">
        <f t="shared" si="271"/>
        <v>1.5627725388730335E-2</v>
      </c>
      <c r="AB610" s="18">
        <f t="shared" si="272"/>
        <v>2.4422580082556671E-4</v>
      </c>
      <c r="AC610" s="18">
        <f t="shared" si="274"/>
        <v>2.0364579687731335E-3</v>
      </c>
      <c r="AD610" s="18">
        <f t="shared" si="276"/>
        <v>3.7452370520199649E-3</v>
      </c>
      <c r="AE610" s="18">
        <f t="shared" si="278"/>
        <v>2.0886093750016668E-2</v>
      </c>
      <c r="AF610" s="18">
        <f t="shared" si="280"/>
        <v>1.8722521059848238E-3</v>
      </c>
      <c r="AG610" s="18">
        <f t="shared" si="282"/>
        <v>2.2469790122279423E-3</v>
      </c>
      <c r="AH610" s="18">
        <f t="shared" si="284"/>
        <v>4.5825333198787873E-3</v>
      </c>
      <c r="AJ610" s="18">
        <f>IF(ISNUMBER(Kernel!M610),Kernel!M610,"")</f>
        <v>0.10571768462583053</v>
      </c>
      <c r="AK610" s="18">
        <f t="shared" si="269"/>
        <v>1.1176228842646565E-2</v>
      </c>
      <c r="AN610" s="18">
        <f>IF(ISNUMBER(Volcanic!G610),Volcanic!G610,"")</f>
        <v>7.6499999999999997E-3</v>
      </c>
    </row>
    <row r="611" spans="1:40">
      <c r="A611" s="18" t="str">
        <f>IF(Volcanic!A611="","",Volcanic!A611)</f>
        <v>12/2008</v>
      </c>
      <c r="B611" s="18">
        <f>IF(ISNUMBER(Volcanic!L611),Volcanic!L611,"")</f>
        <v>2008.9583333333333</v>
      </c>
      <c r="C611" s="18">
        <f>IF(ISNUMBER(Volcanic!J611),Volcanic!J611,"")</f>
        <v>-0.12422571478275524</v>
      </c>
      <c r="D611" s="18">
        <f t="shared" si="262"/>
        <v>1.5432028213286453E-2</v>
      </c>
      <c r="E611" s="18">
        <f>IF(ISNUMBER(Volcanic!C611),Volcanic!C611,"")</f>
        <v>0.4623889208373384</v>
      </c>
      <c r="F611" s="18">
        <f>IF(ISNUMBER(Volcanic!D611),Volcanic!D611,"")</f>
        <v>-0.25</v>
      </c>
      <c r="G611" s="18">
        <f>IF(ISNUMBER(Volcanic!E611),Volcanic!E611,"")</f>
        <v>6.1000000000000004E-3</v>
      </c>
      <c r="H611" s="18">
        <f t="shared" si="263"/>
        <v>0.2138035141131184</v>
      </c>
      <c r="I611" s="18">
        <f t="shared" si="264"/>
        <v>6.25E-2</v>
      </c>
      <c r="J611" s="18">
        <f t="shared" si="265"/>
        <v>3.7210000000000005E-5</v>
      </c>
      <c r="K611" s="18">
        <f t="shared" si="266"/>
        <v>-0.1155972302093346</v>
      </c>
      <c r="L611" s="18">
        <f t="shared" si="267"/>
        <v>2.8205724171077645E-3</v>
      </c>
      <c r="M611" s="18">
        <f t="shared" si="268"/>
        <v>-1.5250000000000001E-3</v>
      </c>
      <c r="N611" s="18">
        <f t="shared" si="270"/>
        <v>1.2664387569988088E-3</v>
      </c>
      <c r="O611" s="18">
        <f t="shared" si="273"/>
        <v>1.5757875355711828E-3</v>
      </c>
      <c r="P611" s="18">
        <f t="shared" si="275"/>
        <v>1.1666906608211494E-4</v>
      </c>
      <c r="Q611" s="18">
        <f t="shared" si="277"/>
        <v>2.0505332499800698E-2</v>
      </c>
      <c r="R611" s="18">
        <f t="shared" si="279"/>
        <v>6.9275534056094993E-6</v>
      </c>
      <c r="S611" s="18">
        <f t="shared" si="281"/>
        <v>6.5322025721216287E-3</v>
      </c>
      <c r="T611" s="18">
        <f t="shared" si="283"/>
        <v>4.417855733678094E-3</v>
      </c>
      <c r="U611" s="18">
        <f t="shared" si="285"/>
        <v>5.9596348590486061E-6</v>
      </c>
      <c r="V611" s="18">
        <f t="shared" si="286"/>
        <v>4.8228020119462651E-2</v>
      </c>
      <c r="W611" s="18">
        <f t="shared" si="287"/>
        <v>2.6301966822615871E-2</v>
      </c>
      <c r="X611" s="18">
        <f t="shared" si="288"/>
        <v>6.5958033008628666E-2</v>
      </c>
      <c r="Y611" s="18">
        <f t="shared" si="289"/>
        <v>4.9968194218722303E-3</v>
      </c>
      <c r="AA611" s="18">
        <f t="shared" si="271"/>
        <v>-0.14211896766491708</v>
      </c>
      <c r="AB611" s="18">
        <f t="shared" si="272"/>
        <v>2.0197800970141747E-2</v>
      </c>
      <c r="AC611" s="18">
        <f t="shared" si="274"/>
        <v>2.4422580082556671E-4</v>
      </c>
      <c r="AD611" s="18">
        <f t="shared" si="276"/>
        <v>2.0364579687731335E-3</v>
      </c>
      <c r="AE611" s="18">
        <f t="shared" si="278"/>
        <v>3.7452370520199649E-3</v>
      </c>
      <c r="AF611" s="18">
        <f t="shared" si="280"/>
        <v>2.0886093750016668E-2</v>
      </c>
      <c r="AG611" s="18">
        <f t="shared" si="282"/>
        <v>1.8722521059848238E-3</v>
      </c>
      <c r="AH611" s="18">
        <f t="shared" si="284"/>
        <v>2.2469790122279423E-3</v>
      </c>
      <c r="AJ611" s="18">
        <f>IF(ISNUMBER(Kernel!M611),Kernel!M611,"")</f>
        <v>-5.4741269819868932E-2</v>
      </c>
      <c r="AK611" s="18">
        <f t="shared" si="269"/>
        <v>2.9966066214916934E-3</v>
      </c>
      <c r="AN611" s="18">
        <f>IF(ISNUMBER(Volcanic!G611),Volcanic!G611,"")</f>
        <v>7.26E-3</v>
      </c>
    </row>
    <row r="612" spans="1:40">
      <c r="A612" s="18" t="str">
        <f>IF(Volcanic!A612="","",Volcanic!A612)</f>
        <v>1/2009</v>
      </c>
      <c r="B612" s="18">
        <f>IF(ISNUMBER(Volcanic!L612),Volcanic!L612,"")</f>
        <v>2009.0416666666667</v>
      </c>
      <c r="C612" s="18">
        <f>IF(ISNUMBER(Volcanic!J612),Volcanic!J612,"")</f>
        <v>-1.8266414318830915E-2</v>
      </c>
      <c r="D612" s="18">
        <f t="shared" si="262"/>
        <v>3.3366189206719107E-4</v>
      </c>
      <c r="E612" s="18">
        <f>IF(ISNUMBER(Volcanic!C612),Volcanic!C612,"")</f>
        <v>0.46754034205383838</v>
      </c>
      <c r="F612" s="18">
        <f>IF(ISNUMBER(Volcanic!D612),Volcanic!D612,"")</f>
        <v>-0.36</v>
      </c>
      <c r="G612" s="18">
        <f>IF(ISNUMBER(Volcanic!E612),Volcanic!E612,"")</f>
        <v>6.0099999999999997E-3</v>
      </c>
      <c r="H612" s="18">
        <f t="shared" si="263"/>
        <v>0.2185939714478202</v>
      </c>
      <c r="I612" s="18">
        <f t="shared" si="264"/>
        <v>0.12959999999999999</v>
      </c>
      <c r="J612" s="18">
        <f t="shared" si="265"/>
        <v>3.61201E-5</v>
      </c>
      <c r="K612" s="18">
        <f t="shared" si="266"/>
        <v>-0.16831452313938181</v>
      </c>
      <c r="L612" s="18">
        <f t="shared" si="267"/>
        <v>2.8099174557435686E-3</v>
      </c>
      <c r="M612" s="18">
        <f t="shared" si="268"/>
        <v>-2.1635999999999999E-3</v>
      </c>
      <c r="N612" s="18">
        <f t="shared" si="270"/>
        <v>1.5432028213286453E-2</v>
      </c>
      <c r="O612" s="18">
        <f t="shared" si="273"/>
        <v>1.2664387569988088E-3</v>
      </c>
      <c r="P612" s="18">
        <f t="shared" si="275"/>
        <v>1.5757875355711828E-3</v>
      </c>
      <c r="Q612" s="18">
        <f t="shared" si="277"/>
        <v>1.1666906608211494E-4</v>
      </c>
      <c r="R612" s="18">
        <f t="shared" si="279"/>
        <v>2.0505332499800698E-2</v>
      </c>
      <c r="S612" s="18">
        <f t="shared" si="281"/>
        <v>6.9275534056094993E-6</v>
      </c>
      <c r="T612" s="18">
        <f t="shared" si="283"/>
        <v>6.5322025721216287E-3</v>
      </c>
      <c r="U612" s="18">
        <f t="shared" si="285"/>
        <v>4.417855733678094E-3</v>
      </c>
      <c r="V612" s="18">
        <f t="shared" si="286"/>
        <v>5.9596348590486061E-6</v>
      </c>
      <c r="W612" s="18">
        <f t="shared" si="287"/>
        <v>4.8228020119462651E-2</v>
      </c>
      <c r="X612" s="18">
        <f t="shared" si="288"/>
        <v>2.6301966822615871E-2</v>
      </c>
      <c r="Y612" s="18">
        <f t="shared" si="289"/>
        <v>6.5958033008628666E-2</v>
      </c>
      <c r="AA612" s="18">
        <f t="shared" si="271"/>
        <v>4.4194553275205585E-2</v>
      </c>
      <c r="AB612" s="18">
        <f t="shared" si="272"/>
        <v>1.9531585391949846E-3</v>
      </c>
      <c r="AC612" s="18">
        <f t="shared" si="274"/>
        <v>2.0197800970141747E-2</v>
      </c>
      <c r="AD612" s="18">
        <f t="shared" si="276"/>
        <v>2.4422580082556671E-4</v>
      </c>
      <c r="AE612" s="18">
        <f t="shared" si="278"/>
        <v>2.0364579687731335E-3</v>
      </c>
      <c r="AF612" s="18">
        <f t="shared" si="280"/>
        <v>3.7452370520199649E-3</v>
      </c>
      <c r="AG612" s="18">
        <f t="shared" si="282"/>
        <v>2.0886093750016668E-2</v>
      </c>
      <c r="AH612" s="18">
        <f t="shared" si="284"/>
        <v>1.8722521059848238E-3</v>
      </c>
      <c r="AJ612" s="18">
        <f>IF(ISNUMBER(Kernel!M612),Kernel!M612,"")</f>
        <v>4.6402207322052469E-2</v>
      </c>
      <c r="AK612" s="18">
        <f t="shared" si="269"/>
        <v>2.1531648443587396E-3</v>
      </c>
      <c r="AN612" s="18">
        <f>IF(ISNUMBER(Volcanic!G612),Volcanic!G612,"")</f>
        <v>6.96E-3</v>
      </c>
    </row>
    <row r="613" spans="1:40">
      <c r="A613" s="18" t="str">
        <f>IF(Volcanic!A613="","",Volcanic!A613)</f>
        <v>2/2009</v>
      </c>
      <c r="B613" s="18">
        <f>IF(ISNUMBER(Volcanic!L613),Volcanic!L613,"")</f>
        <v>2009.125</v>
      </c>
      <c r="C613" s="18">
        <f>IF(ISNUMBER(Volcanic!J613),Volcanic!J613,"")</f>
        <v>-0.12398618748852153</v>
      </c>
      <c r="D613" s="18">
        <f t="shared" si="262"/>
        <v>1.5372574687938812E-2</v>
      </c>
      <c r="E613" s="18">
        <f>IF(ISNUMBER(Volcanic!C613),Volcanic!C613,"")</f>
        <v>0.46951390791885167</v>
      </c>
      <c r="F613" s="18">
        <f>IF(ISNUMBER(Volcanic!D613),Volcanic!D613,"")</f>
        <v>-0.56999999999999995</v>
      </c>
      <c r="G613" s="18">
        <f>IF(ISNUMBER(Volcanic!E613),Volcanic!E613,"")</f>
        <v>6.0899999999999999E-3</v>
      </c>
      <c r="H613" s="18">
        <f t="shared" si="263"/>
        <v>0.22044330972923193</v>
      </c>
      <c r="I613" s="18">
        <f t="shared" si="264"/>
        <v>0.32489999999999997</v>
      </c>
      <c r="J613" s="18">
        <f t="shared" si="265"/>
        <v>3.7088100000000002E-5</v>
      </c>
      <c r="K613" s="18">
        <f t="shared" si="266"/>
        <v>-0.26762292751374545</v>
      </c>
      <c r="L613" s="18">
        <f t="shared" si="267"/>
        <v>2.8593396992258068E-3</v>
      </c>
      <c r="M613" s="18">
        <f t="shared" si="268"/>
        <v>-3.4712999999999996E-3</v>
      </c>
      <c r="N613" s="18">
        <f t="shared" si="270"/>
        <v>3.3366189206719107E-4</v>
      </c>
      <c r="O613" s="18">
        <f t="shared" si="273"/>
        <v>1.5432028213286453E-2</v>
      </c>
      <c r="P613" s="18">
        <f t="shared" si="275"/>
        <v>1.2664387569988088E-3</v>
      </c>
      <c r="Q613" s="18">
        <f t="shared" si="277"/>
        <v>1.5757875355711828E-3</v>
      </c>
      <c r="R613" s="18">
        <f t="shared" si="279"/>
        <v>1.1666906608211494E-4</v>
      </c>
      <c r="S613" s="18">
        <f t="shared" si="281"/>
        <v>2.0505332499800698E-2</v>
      </c>
      <c r="T613" s="18">
        <f t="shared" si="283"/>
        <v>6.9275534056094993E-6</v>
      </c>
      <c r="U613" s="18">
        <f t="shared" si="285"/>
        <v>6.5322025721216287E-3</v>
      </c>
      <c r="V613" s="18">
        <f t="shared" si="286"/>
        <v>4.417855733678094E-3</v>
      </c>
      <c r="W613" s="18">
        <f t="shared" si="287"/>
        <v>5.9596348590486061E-6</v>
      </c>
      <c r="X613" s="18">
        <f t="shared" si="288"/>
        <v>4.8228020119462651E-2</v>
      </c>
      <c r="Y613" s="18">
        <f t="shared" si="289"/>
        <v>2.6301966822615871E-2</v>
      </c>
      <c r="AA613" s="18">
        <f t="shared" si="271"/>
        <v>-0.11480179346170508</v>
      </c>
      <c r="AB613" s="18">
        <f t="shared" si="272"/>
        <v>1.3179451782023991E-2</v>
      </c>
      <c r="AC613" s="18">
        <f t="shared" si="274"/>
        <v>1.9531585391949846E-3</v>
      </c>
      <c r="AD613" s="18">
        <f t="shared" si="276"/>
        <v>2.0197800970141747E-2</v>
      </c>
      <c r="AE613" s="18">
        <f t="shared" si="278"/>
        <v>2.4422580082556671E-4</v>
      </c>
      <c r="AF613" s="18">
        <f t="shared" si="280"/>
        <v>2.0364579687731335E-3</v>
      </c>
      <c r="AG613" s="18">
        <f t="shared" si="282"/>
        <v>3.7452370520199649E-3</v>
      </c>
      <c r="AH613" s="18">
        <f t="shared" si="284"/>
        <v>2.0886093750016668E-2</v>
      </c>
      <c r="AJ613" s="18">
        <f>IF(ISNUMBER(Kernel!M613),Kernel!M613,"")</f>
        <v>-7.5794854552474478E-2</v>
      </c>
      <c r="AK613" s="18">
        <f t="shared" si="269"/>
        <v>5.7448599766307612E-3</v>
      </c>
      <c r="AN613" s="18">
        <f>IF(ISNUMBER(Volcanic!G613),Volcanic!G613,"")</f>
        <v>6.6899999999999998E-3</v>
      </c>
    </row>
    <row r="614" spans="1:40">
      <c r="A614" s="18" t="str">
        <f>IF(Volcanic!A614="","",Volcanic!A614)</f>
        <v>3/2009</v>
      </c>
      <c r="B614" s="18">
        <f>IF(ISNUMBER(Volcanic!L614),Volcanic!L614,"")</f>
        <v>2009.2083333333333</v>
      </c>
      <c r="C614" s="18">
        <f>IF(ISNUMBER(Volcanic!J614),Volcanic!J614,"")</f>
        <v>-0.11624561545601675</v>
      </c>
      <c r="D614" s="18">
        <f t="shared" si="262"/>
        <v>1.351304311274812E-2</v>
      </c>
      <c r="E614" s="18">
        <f>IF(ISNUMBER(Volcanic!C614),Volcanic!C614,"")</f>
        <v>0.47449166951900662</v>
      </c>
      <c r="F614" s="18">
        <f>IF(ISNUMBER(Volcanic!D614),Volcanic!D614,"")</f>
        <v>-0.79</v>
      </c>
      <c r="G614" s="18">
        <f>IF(ISNUMBER(Volcanic!E614),Volcanic!E614,"")</f>
        <v>6.4999999999999997E-3</v>
      </c>
      <c r="H614" s="18">
        <f t="shared" si="263"/>
        <v>0.22514234444293418</v>
      </c>
      <c r="I614" s="18">
        <f t="shared" si="264"/>
        <v>0.6241000000000001</v>
      </c>
      <c r="J614" s="18">
        <f t="shared" si="265"/>
        <v>4.2249999999999997E-5</v>
      </c>
      <c r="K614" s="18">
        <f t="shared" si="266"/>
        <v>-0.37484841892001525</v>
      </c>
      <c r="L614" s="18">
        <f t="shared" si="267"/>
        <v>3.0841958518735427E-3</v>
      </c>
      <c r="M614" s="18">
        <f t="shared" si="268"/>
        <v>-5.1349999999999998E-3</v>
      </c>
      <c r="N614" s="18">
        <f t="shared" si="270"/>
        <v>1.5372574687938812E-2</v>
      </c>
      <c r="O614" s="18">
        <f t="shared" si="273"/>
        <v>3.3366189206719107E-4</v>
      </c>
      <c r="P614" s="18">
        <f t="shared" si="275"/>
        <v>1.5432028213286453E-2</v>
      </c>
      <c r="Q614" s="18">
        <f t="shared" si="277"/>
        <v>1.2664387569988088E-3</v>
      </c>
      <c r="R614" s="18">
        <f t="shared" si="279"/>
        <v>1.5757875355711828E-3</v>
      </c>
      <c r="S614" s="18">
        <f t="shared" si="281"/>
        <v>1.1666906608211494E-4</v>
      </c>
      <c r="T614" s="18">
        <f t="shared" si="283"/>
        <v>2.0505332499800698E-2</v>
      </c>
      <c r="U614" s="18">
        <f t="shared" si="285"/>
        <v>6.9275534056094993E-6</v>
      </c>
      <c r="V614" s="18">
        <f t="shared" si="286"/>
        <v>6.5322025721216287E-3</v>
      </c>
      <c r="W614" s="18">
        <f t="shared" si="287"/>
        <v>4.417855733678094E-3</v>
      </c>
      <c r="X614" s="18">
        <f t="shared" si="288"/>
        <v>5.9596348590486061E-6</v>
      </c>
      <c r="Y614" s="18">
        <f t="shared" si="289"/>
        <v>4.8228020119462651E-2</v>
      </c>
      <c r="AA614" s="18">
        <f t="shared" si="271"/>
        <v>-5.3905082721938051E-2</v>
      </c>
      <c r="AB614" s="18">
        <f t="shared" si="272"/>
        <v>2.9057579432589841E-3</v>
      </c>
      <c r="AC614" s="18">
        <f t="shared" si="274"/>
        <v>1.3179451782023991E-2</v>
      </c>
      <c r="AD614" s="18">
        <f t="shared" si="276"/>
        <v>1.9531585391949846E-3</v>
      </c>
      <c r="AE614" s="18">
        <f t="shared" si="278"/>
        <v>2.0197800970141747E-2</v>
      </c>
      <c r="AF614" s="18">
        <f t="shared" si="280"/>
        <v>2.4422580082556671E-4</v>
      </c>
      <c r="AG614" s="18">
        <f t="shared" si="282"/>
        <v>2.0364579687731335E-3</v>
      </c>
      <c r="AH614" s="18">
        <f t="shared" si="284"/>
        <v>3.7452370520199649E-3</v>
      </c>
      <c r="AJ614" s="18">
        <f>IF(ISNUMBER(Kernel!M614),Kernel!M614,"")</f>
        <v>-9.0999603204249824E-2</v>
      </c>
      <c r="AK614" s="18">
        <f t="shared" si="269"/>
        <v>8.2809277833309144E-3</v>
      </c>
      <c r="AN614" s="18">
        <f>IF(ISNUMBER(Volcanic!G614),Volcanic!G614,"")</f>
        <v>7.2500000000000004E-3</v>
      </c>
    </row>
    <row r="615" spans="1:40">
      <c r="A615" s="18" t="str">
        <f>IF(Volcanic!A615="","",Volcanic!A615)</f>
        <v>4/2009</v>
      </c>
      <c r="B615" s="18">
        <f>IF(ISNUMBER(Volcanic!L615),Volcanic!L615,"")</f>
        <v>2009.2916666666667</v>
      </c>
      <c r="C615" s="18">
        <f>IF(ISNUMBER(Volcanic!J615),Volcanic!J615,"")</f>
        <v>-3.1777241558939906E-2</v>
      </c>
      <c r="D615" s="18">
        <f t="shared" si="262"/>
        <v>1.0097930810952175E-3</v>
      </c>
      <c r="E615" s="18">
        <f>IF(ISNUMBER(Volcanic!C615),Volcanic!C615,"")</f>
        <v>0.47715921118664112</v>
      </c>
      <c r="F615" s="18">
        <f>IF(ISNUMBER(Volcanic!D615),Volcanic!D615,"")</f>
        <v>-0.89</v>
      </c>
      <c r="G615" s="18">
        <f>IF(ISNUMBER(Volcanic!E615),Volcanic!E615,"")</f>
        <v>7.62E-3</v>
      </c>
      <c r="H615" s="18">
        <f t="shared" si="263"/>
        <v>0.22768091282025757</v>
      </c>
      <c r="I615" s="18">
        <f t="shared" si="264"/>
        <v>0.79210000000000003</v>
      </c>
      <c r="J615" s="18">
        <f t="shared" si="265"/>
        <v>5.8064399999999999E-5</v>
      </c>
      <c r="K615" s="18">
        <f t="shared" si="266"/>
        <v>-0.42467169795611059</v>
      </c>
      <c r="L615" s="18">
        <f t="shared" si="267"/>
        <v>3.6359531892422052E-3</v>
      </c>
      <c r="M615" s="18">
        <f t="shared" si="268"/>
        <v>-6.7818000000000002E-3</v>
      </c>
      <c r="N615" s="18">
        <f t="shared" si="270"/>
        <v>1.351304311274812E-2</v>
      </c>
      <c r="O615" s="18">
        <f t="shared" si="273"/>
        <v>1.5372574687938812E-2</v>
      </c>
      <c r="P615" s="18">
        <f t="shared" si="275"/>
        <v>3.3366189206719107E-4</v>
      </c>
      <c r="Q615" s="18">
        <f t="shared" si="277"/>
        <v>1.5432028213286453E-2</v>
      </c>
      <c r="R615" s="18">
        <f t="shared" si="279"/>
        <v>1.2664387569988088E-3</v>
      </c>
      <c r="S615" s="18">
        <f t="shared" si="281"/>
        <v>1.5757875355711828E-3</v>
      </c>
      <c r="T615" s="18">
        <f t="shared" si="283"/>
        <v>1.1666906608211494E-4</v>
      </c>
      <c r="U615" s="18">
        <f t="shared" si="285"/>
        <v>2.0505332499800698E-2</v>
      </c>
      <c r="V615" s="18">
        <f t="shared" si="286"/>
        <v>6.9275534056094993E-6</v>
      </c>
      <c r="W615" s="18">
        <f t="shared" si="287"/>
        <v>6.5322025721216287E-3</v>
      </c>
      <c r="X615" s="18">
        <f t="shared" si="288"/>
        <v>4.417855733678094E-3</v>
      </c>
      <c r="Y615" s="18">
        <f t="shared" si="289"/>
        <v>5.9596348590486061E-6</v>
      </c>
      <c r="AA615" s="18">
        <f t="shared" si="271"/>
        <v>2.6671314222322724E-2</v>
      </c>
      <c r="AB615" s="18">
        <f t="shared" si="272"/>
        <v>7.1135900234587442E-4</v>
      </c>
      <c r="AC615" s="18">
        <f t="shared" si="274"/>
        <v>2.9057579432589841E-3</v>
      </c>
      <c r="AD615" s="18">
        <f t="shared" si="276"/>
        <v>1.3179451782023991E-2</v>
      </c>
      <c r="AE615" s="18">
        <f t="shared" si="278"/>
        <v>1.9531585391949846E-3</v>
      </c>
      <c r="AF615" s="18">
        <f t="shared" si="280"/>
        <v>2.0197800970141747E-2</v>
      </c>
      <c r="AG615" s="18">
        <f t="shared" si="282"/>
        <v>2.4422580082556671E-4</v>
      </c>
      <c r="AH615" s="18">
        <f t="shared" si="284"/>
        <v>2.0364579687731335E-3</v>
      </c>
      <c r="AJ615" s="18">
        <f>IF(ISNUMBER(Kernel!M615),Kernel!M615,"")</f>
        <v>-2.562061255429815E-2</v>
      </c>
      <c r="AK615" s="18">
        <f t="shared" si="269"/>
        <v>6.5641578765746002E-4</v>
      </c>
      <c r="AN615" s="18">
        <f>IF(ISNUMBER(Volcanic!G615),Volcanic!G615,"")</f>
        <v>7.7200000000000003E-3</v>
      </c>
    </row>
    <row r="616" spans="1:40">
      <c r="A616" s="18" t="str">
        <f>IF(Volcanic!A616="","",Volcanic!A616)</f>
        <v>5/2009</v>
      </c>
      <c r="B616" s="18">
        <f>IF(ISNUMBER(Volcanic!L616),Volcanic!L616,"")</f>
        <v>2009.375</v>
      </c>
      <c r="C616" s="18">
        <f>IF(ISNUMBER(Volcanic!J616),Volcanic!J616,"")</f>
        <v>-2.3816540921284268E-3</v>
      </c>
      <c r="D616" s="18">
        <f t="shared" si="262"/>
        <v>5.672276214552081E-6</v>
      </c>
      <c r="E616" s="18">
        <f>IF(ISNUMBER(Volcanic!C616),Volcanic!C616,"")</f>
        <v>0.47937840104259694</v>
      </c>
      <c r="F616" s="18">
        <f>IF(ISNUMBER(Volcanic!D616),Volcanic!D616,"")</f>
        <v>-0.84</v>
      </c>
      <c r="G616" s="18">
        <f>IF(ISNUMBER(Volcanic!E616),Volcanic!E616,"")</f>
        <v>7.6600000000000001E-3</v>
      </c>
      <c r="H616" s="18">
        <f t="shared" si="263"/>
        <v>0.22980365138615691</v>
      </c>
      <c r="I616" s="18">
        <f t="shared" si="264"/>
        <v>0.70559999999999989</v>
      </c>
      <c r="J616" s="18">
        <f t="shared" si="265"/>
        <v>5.8675600000000005E-5</v>
      </c>
      <c r="K616" s="18">
        <f t="shared" si="266"/>
        <v>-0.40267785687578139</v>
      </c>
      <c r="L616" s="18">
        <f t="shared" si="267"/>
        <v>3.6720385519862925E-3</v>
      </c>
      <c r="M616" s="18">
        <f t="shared" si="268"/>
        <v>-6.4343999999999998E-3</v>
      </c>
      <c r="N616" s="18">
        <f t="shared" si="270"/>
        <v>1.0097930810952175E-3</v>
      </c>
      <c r="O616" s="18">
        <f t="shared" si="273"/>
        <v>1.351304311274812E-2</v>
      </c>
      <c r="P616" s="18">
        <f t="shared" si="275"/>
        <v>1.5372574687938812E-2</v>
      </c>
      <c r="Q616" s="18">
        <f t="shared" si="277"/>
        <v>3.3366189206719107E-4</v>
      </c>
      <c r="R616" s="18">
        <f t="shared" si="279"/>
        <v>1.5432028213286453E-2</v>
      </c>
      <c r="S616" s="18">
        <f t="shared" si="281"/>
        <v>1.2664387569988088E-3</v>
      </c>
      <c r="T616" s="18">
        <f t="shared" si="283"/>
        <v>1.5757875355711828E-3</v>
      </c>
      <c r="U616" s="18">
        <f t="shared" si="285"/>
        <v>1.1666906608211494E-4</v>
      </c>
      <c r="V616" s="18">
        <f t="shared" si="286"/>
        <v>2.0505332499800698E-2</v>
      </c>
      <c r="W616" s="18">
        <f t="shared" si="287"/>
        <v>6.9275534056094993E-6</v>
      </c>
      <c r="X616" s="18">
        <f t="shared" si="288"/>
        <v>6.5322025721216287E-3</v>
      </c>
      <c r="Y616" s="18">
        <f t="shared" si="289"/>
        <v>4.417855733678094E-3</v>
      </c>
      <c r="AA616" s="18">
        <f t="shared" si="271"/>
        <v>1.359601412827087E-2</v>
      </c>
      <c r="AB616" s="18">
        <f t="shared" si="272"/>
        <v>1.8485160017614111E-4</v>
      </c>
      <c r="AC616" s="18">
        <f t="shared" si="274"/>
        <v>7.1135900234587442E-4</v>
      </c>
      <c r="AD616" s="18">
        <f t="shared" si="276"/>
        <v>2.9057579432589841E-3</v>
      </c>
      <c r="AE616" s="18">
        <f t="shared" si="278"/>
        <v>1.3179451782023991E-2</v>
      </c>
      <c r="AF616" s="18">
        <f t="shared" si="280"/>
        <v>1.9531585391949846E-3</v>
      </c>
      <c r="AG616" s="18">
        <f t="shared" si="282"/>
        <v>2.0197800970141747E-2</v>
      </c>
      <c r="AH616" s="18">
        <f t="shared" si="284"/>
        <v>2.4422580082556671E-4</v>
      </c>
      <c r="AJ616" s="18">
        <f>IF(ISNUMBER(Kernel!M616),Kernel!M616,"")</f>
        <v>-6.2304652929077164E-3</v>
      </c>
      <c r="AK616" s="18">
        <f t="shared" si="269"/>
        <v>3.881869776612764E-5</v>
      </c>
      <c r="AN616" s="18">
        <f>IF(ISNUMBER(Volcanic!G616),Volcanic!G616,"")</f>
        <v>7.2700000000000004E-3</v>
      </c>
    </row>
    <row r="617" spans="1:40">
      <c r="A617" s="18" t="str">
        <f>IF(Volcanic!A617="","",Volcanic!A617)</f>
        <v>6/2009</v>
      </c>
      <c r="B617" s="18">
        <f>IF(ISNUMBER(Volcanic!L617),Volcanic!L617,"")</f>
        <v>2009.4583333333333</v>
      </c>
      <c r="C617" s="18">
        <f>IF(ISNUMBER(Volcanic!J617),Volcanic!J617,"")</f>
        <v>-3.5232155064584547E-2</v>
      </c>
      <c r="D617" s="18">
        <f t="shared" si="262"/>
        <v>1.2413047504949305E-3</v>
      </c>
      <c r="E617" s="18">
        <f>IF(ISNUMBER(Volcanic!C617),Volcanic!C617,"")</f>
        <v>0.47693710433670838</v>
      </c>
      <c r="F617" s="18">
        <f>IF(ISNUMBER(Volcanic!D617),Volcanic!D617,"")</f>
        <v>-0.63</v>
      </c>
      <c r="G617" s="18">
        <f>IF(ISNUMBER(Volcanic!E617),Volcanic!E617,"")</f>
        <v>7.6499999999999997E-3</v>
      </c>
      <c r="H617" s="18">
        <f t="shared" si="263"/>
        <v>0.22746900149308427</v>
      </c>
      <c r="I617" s="18">
        <f t="shared" si="264"/>
        <v>0.39690000000000003</v>
      </c>
      <c r="J617" s="18">
        <f t="shared" si="265"/>
        <v>5.8522499999999994E-5</v>
      </c>
      <c r="K617" s="18">
        <f t="shared" si="266"/>
        <v>-0.30047037573212626</v>
      </c>
      <c r="L617" s="18">
        <f t="shared" si="267"/>
        <v>3.6485688481758191E-3</v>
      </c>
      <c r="M617" s="18">
        <f t="shared" si="268"/>
        <v>-4.8195E-3</v>
      </c>
      <c r="N617" s="18">
        <f t="shared" si="270"/>
        <v>5.672276214552081E-6</v>
      </c>
      <c r="O617" s="18">
        <f t="shared" si="273"/>
        <v>1.0097930810952175E-3</v>
      </c>
      <c r="P617" s="18">
        <f t="shared" si="275"/>
        <v>1.351304311274812E-2</v>
      </c>
      <c r="Q617" s="18">
        <f t="shared" si="277"/>
        <v>1.5372574687938812E-2</v>
      </c>
      <c r="R617" s="18">
        <f t="shared" si="279"/>
        <v>3.3366189206719107E-4</v>
      </c>
      <c r="S617" s="18">
        <f t="shared" si="281"/>
        <v>1.5432028213286453E-2</v>
      </c>
      <c r="T617" s="18">
        <f t="shared" si="283"/>
        <v>1.2664387569988088E-3</v>
      </c>
      <c r="U617" s="18">
        <f t="shared" si="285"/>
        <v>1.5757875355711828E-3</v>
      </c>
      <c r="V617" s="18">
        <f t="shared" si="286"/>
        <v>1.1666906608211494E-4</v>
      </c>
      <c r="W617" s="18">
        <f t="shared" si="287"/>
        <v>2.0505332499800698E-2</v>
      </c>
      <c r="X617" s="18">
        <f t="shared" si="288"/>
        <v>6.9275534056094993E-6</v>
      </c>
      <c r="Y617" s="18">
        <f t="shared" si="289"/>
        <v>6.5322025721216287E-3</v>
      </c>
      <c r="AA617" s="18">
        <f t="shared" si="271"/>
        <v>-3.4034654053390616E-2</v>
      </c>
      <c r="AB617" s="18">
        <f t="shared" si="272"/>
        <v>1.1583576765339782E-3</v>
      </c>
      <c r="AC617" s="18">
        <f t="shared" si="274"/>
        <v>1.8485160017614111E-4</v>
      </c>
      <c r="AD617" s="18">
        <f t="shared" si="276"/>
        <v>7.1135900234587442E-4</v>
      </c>
      <c r="AE617" s="18">
        <f t="shared" si="278"/>
        <v>2.9057579432589841E-3</v>
      </c>
      <c r="AF617" s="18">
        <f t="shared" si="280"/>
        <v>1.3179451782023991E-2</v>
      </c>
      <c r="AG617" s="18">
        <f t="shared" si="282"/>
        <v>1.9531585391949846E-3</v>
      </c>
      <c r="AH617" s="18">
        <f t="shared" si="284"/>
        <v>2.0197800970141747E-2</v>
      </c>
      <c r="AJ617" s="18">
        <f>IF(ISNUMBER(Kernel!M617),Kernel!M617,"")</f>
        <v>-3.877550148533393E-2</v>
      </c>
      <c r="AK617" s="18">
        <f t="shared" si="269"/>
        <v>1.5035395154391338E-3</v>
      </c>
      <c r="AN617" s="18">
        <f>IF(ISNUMBER(Volcanic!G617),Volcanic!G617,"")</f>
        <v>7.0099999999999997E-3</v>
      </c>
    </row>
    <row r="618" spans="1:40">
      <c r="A618" s="18" t="str">
        <f>IF(Volcanic!A618="","",Volcanic!A618)</f>
        <v>7/2009</v>
      </c>
      <c r="B618" s="18">
        <f>IF(ISNUMBER(Volcanic!L618),Volcanic!L618,"")</f>
        <v>2009.5416666666667</v>
      </c>
      <c r="C618" s="18">
        <f>IF(ISNUMBER(Volcanic!J618),Volcanic!J618,"")</f>
        <v>6.269656789183875E-2</v>
      </c>
      <c r="D618" s="18">
        <f t="shared" si="262"/>
        <v>3.9308596254159457E-3</v>
      </c>
      <c r="E618" s="18">
        <f>IF(ISNUMBER(Volcanic!C618),Volcanic!C618,"")</f>
        <v>0.47152193804450682</v>
      </c>
      <c r="F618" s="18">
        <f>IF(ISNUMBER(Volcanic!D618),Volcanic!D618,"")</f>
        <v>-0.35</v>
      </c>
      <c r="G618" s="18">
        <f>IF(ISNUMBER(Volcanic!E618),Volcanic!E618,"")</f>
        <v>7.26E-3</v>
      </c>
      <c r="H618" s="18">
        <f t="shared" si="263"/>
        <v>0.22233293805724771</v>
      </c>
      <c r="I618" s="18">
        <f t="shared" si="264"/>
        <v>0.12249999999999998</v>
      </c>
      <c r="J618" s="18">
        <f t="shared" si="265"/>
        <v>5.2707599999999997E-5</v>
      </c>
      <c r="K618" s="18">
        <f t="shared" si="266"/>
        <v>-0.16503267831557739</v>
      </c>
      <c r="L618" s="18">
        <f t="shared" si="267"/>
        <v>3.4232492702031196E-3</v>
      </c>
      <c r="M618" s="18">
        <f t="shared" si="268"/>
        <v>-2.5409999999999999E-3</v>
      </c>
      <c r="N618" s="18">
        <f t="shared" si="270"/>
        <v>1.2413047504949305E-3</v>
      </c>
      <c r="O618" s="18">
        <f t="shared" si="273"/>
        <v>5.672276214552081E-6</v>
      </c>
      <c r="P618" s="18">
        <f t="shared" si="275"/>
        <v>1.0097930810952175E-3</v>
      </c>
      <c r="Q618" s="18">
        <f t="shared" si="277"/>
        <v>1.351304311274812E-2</v>
      </c>
      <c r="R618" s="18">
        <f t="shared" si="279"/>
        <v>1.5372574687938812E-2</v>
      </c>
      <c r="S618" s="18">
        <f t="shared" si="281"/>
        <v>3.3366189206719107E-4</v>
      </c>
      <c r="T618" s="18">
        <f t="shared" si="283"/>
        <v>1.5432028213286453E-2</v>
      </c>
      <c r="U618" s="18">
        <f t="shared" si="285"/>
        <v>1.2664387569988088E-3</v>
      </c>
      <c r="V618" s="18">
        <f t="shared" si="286"/>
        <v>1.5757875355711828E-3</v>
      </c>
      <c r="W618" s="18">
        <f t="shared" si="287"/>
        <v>1.1666906608211494E-4</v>
      </c>
      <c r="X618" s="18">
        <f t="shared" si="288"/>
        <v>2.0505332499800698E-2</v>
      </c>
      <c r="Y618" s="18">
        <f t="shared" si="289"/>
        <v>6.9275534056094993E-6</v>
      </c>
      <c r="AA618" s="18">
        <f t="shared" si="271"/>
        <v>8.0411374360093199E-2</v>
      </c>
      <c r="AB618" s="18">
        <f t="shared" si="272"/>
        <v>6.4659891264790539E-3</v>
      </c>
      <c r="AC618" s="18">
        <f t="shared" si="274"/>
        <v>1.1583576765339782E-3</v>
      </c>
      <c r="AD618" s="18">
        <f t="shared" si="276"/>
        <v>1.8485160017614111E-4</v>
      </c>
      <c r="AE618" s="18">
        <f t="shared" si="278"/>
        <v>7.1135900234587442E-4</v>
      </c>
      <c r="AF618" s="18">
        <f t="shared" si="280"/>
        <v>2.9057579432589841E-3</v>
      </c>
      <c r="AG618" s="18">
        <f t="shared" si="282"/>
        <v>1.3179451782023991E-2</v>
      </c>
      <c r="AH618" s="18">
        <f t="shared" si="284"/>
        <v>1.9531585391949846E-3</v>
      </c>
      <c r="AJ618" s="18">
        <f>IF(ISNUMBER(Kernel!M618),Kernel!M618,"")</f>
        <v>6.6720796387631731E-2</v>
      </c>
      <c r="AK618" s="18">
        <f t="shared" si="269"/>
        <v>4.4516646705998111E-3</v>
      </c>
      <c r="AN618" s="18">
        <f>IF(ISNUMBER(Volcanic!G618),Volcanic!G618,"")</f>
        <v>8.9499999999999996E-3</v>
      </c>
    </row>
    <row r="619" spans="1:40">
      <c r="A619" s="18" t="str">
        <f>IF(Volcanic!A619="","",Volcanic!A619)</f>
        <v>8/2009</v>
      </c>
      <c r="B619" s="18">
        <f>IF(ISNUMBER(Volcanic!L619),Volcanic!L619,"")</f>
        <v>2009.625</v>
      </c>
      <c r="C619" s="18">
        <f>IF(ISNUMBER(Volcanic!J619),Volcanic!J619,"")</f>
        <v>-3.4124367035335279E-3</v>
      </c>
      <c r="D619" s="18">
        <f t="shared" si="262"/>
        <v>1.1644724255622771E-5</v>
      </c>
      <c r="E619" s="18">
        <f>IF(ISNUMBER(Volcanic!C619),Volcanic!C619,"")</f>
        <v>0.46425750342278521</v>
      </c>
      <c r="F619" s="18">
        <f>IF(ISNUMBER(Volcanic!D619),Volcanic!D619,"")</f>
        <v>0.03</v>
      </c>
      <c r="G619" s="18">
        <f>IF(ISNUMBER(Volcanic!E619),Volcanic!E619,"")</f>
        <v>6.96E-3</v>
      </c>
      <c r="H619" s="18">
        <f t="shared" si="263"/>
        <v>0.21553502948435743</v>
      </c>
      <c r="I619" s="18">
        <f t="shared" si="264"/>
        <v>8.9999999999999998E-4</v>
      </c>
      <c r="J619" s="18">
        <f t="shared" si="265"/>
        <v>4.8441600000000001E-5</v>
      </c>
      <c r="K619" s="18">
        <f t="shared" si="266"/>
        <v>1.3927725102683556E-2</v>
      </c>
      <c r="L619" s="18">
        <f t="shared" si="267"/>
        <v>3.2312322238225851E-3</v>
      </c>
      <c r="M619" s="18">
        <f t="shared" si="268"/>
        <v>2.0880000000000001E-4</v>
      </c>
      <c r="N619" s="18">
        <f t="shared" si="270"/>
        <v>3.9308596254159457E-3</v>
      </c>
      <c r="O619" s="18">
        <f t="shared" si="273"/>
        <v>1.2413047504949305E-3</v>
      </c>
      <c r="P619" s="18">
        <f t="shared" si="275"/>
        <v>5.672276214552081E-6</v>
      </c>
      <c r="Q619" s="18">
        <f t="shared" si="277"/>
        <v>1.0097930810952175E-3</v>
      </c>
      <c r="R619" s="18">
        <f t="shared" si="279"/>
        <v>1.351304311274812E-2</v>
      </c>
      <c r="S619" s="18">
        <f t="shared" si="281"/>
        <v>1.5372574687938812E-2</v>
      </c>
      <c r="T619" s="18">
        <f t="shared" si="283"/>
        <v>3.3366189206719107E-4</v>
      </c>
      <c r="U619" s="18">
        <f t="shared" si="285"/>
        <v>1.5432028213286453E-2</v>
      </c>
      <c r="V619" s="18">
        <f t="shared" si="286"/>
        <v>1.2664387569988088E-3</v>
      </c>
      <c r="W619" s="18">
        <f t="shared" si="287"/>
        <v>1.5757875355711828E-3</v>
      </c>
      <c r="X619" s="18">
        <f t="shared" si="288"/>
        <v>1.1666906608211494E-4</v>
      </c>
      <c r="Y619" s="18">
        <f t="shared" si="289"/>
        <v>2.0505332499800698E-2</v>
      </c>
      <c r="AA619" s="18">
        <f t="shared" si="271"/>
        <v>-3.4936411447392866E-2</v>
      </c>
      <c r="AB619" s="18">
        <f t="shared" si="272"/>
        <v>1.2205528448215233E-3</v>
      </c>
      <c r="AC619" s="18">
        <f t="shared" si="274"/>
        <v>6.4659891264790539E-3</v>
      </c>
      <c r="AD619" s="18">
        <f t="shared" si="276"/>
        <v>1.1583576765339782E-3</v>
      </c>
      <c r="AE619" s="18">
        <f t="shared" si="278"/>
        <v>1.8485160017614111E-4</v>
      </c>
      <c r="AF619" s="18">
        <f t="shared" si="280"/>
        <v>7.1135900234587442E-4</v>
      </c>
      <c r="AG619" s="18">
        <f t="shared" si="282"/>
        <v>2.9057579432589841E-3</v>
      </c>
      <c r="AH619" s="18">
        <f t="shared" si="284"/>
        <v>1.3179451782023991E-2</v>
      </c>
      <c r="AJ619" s="18">
        <f>IF(ISNUMBER(Kernel!M619),Kernel!M619,"")</f>
        <v>1.9154019278582624E-2</v>
      </c>
      <c r="AK619" s="18">
        <f t="shared" si="269"/>
        <v>3.6687645452431481E-4</v>
      </c>
      <c r="AN619" s="18">
        <f>IF(ISNUMBER(Volcanic!G619),Volcanic!G619,"")</f>
        <v>9.9000000000000008E-3</v>
      </c>
    </row>
    <row r="620" spans="1:40">
      <c r="A620" s="18" t="str">
        <f>IF(Volcanic!A620="","",Volcanic!A620)</f>
        <v>9/2009</v>
      </c>
      <c r="B620" s="18">
        <f>IF(ISNUMBER(Volcanic!L620),Volcanic!L620,"")</f>
        <v>2009.7083333333333</v>
      </c>
      <c r="C620" s="18">
        <f>IF(ISNUMBER(Volcanic!J620),Volcanic!J620,"")</f>
        <v>1.0900308284635951E-2</v>
      </c>
      <c r="D620" s="18">
        <f t="shared" si="262"/>
        <v>1.1881672070010315E-4</v>
      </c>
      <c r="E620" s="18">
        <f>IF(ISNUMBER(Volcanic!C620),Volcanic!C620,"")</f>
        <v>0.45924424347749254</v>
      </c>
      <c r="F620" s="18">
        <f>IF(ISNUMBER(Volcanic!D620),Volcanic!D620,"")</f>
        <v>0.34</v>
      </c>
      <c r="G620" s="18">
        <f>IF(ISNUMBER(Volcanic!E620),Volcanic!E620,"")</f>
        <v>6.6899999999999998E-3</v>
      </c>
      <c r="H620" s="18">
        <f t="shared" si="263"/>
        <v>0.21090527516721444</v>
      </c>
      <c r="I620" s="18">
        <f t="shared" si="264"/>
        <v>0.11560000000000002</v>
      </c>
      <c r="J620" s="18">
        <f t="shared" si="265"/>
        <v>4.4756099999999997E-5</v>
      </c>
      <c r="K620" s="18">
        <f t="shared" si="266"/>
        <v>0.15614304278234747</v>
      </c>
      <c r="L620" s="18">
        <f t="shared" si="267"/>
        <v>3.0723439888644252E-3</v>
      </c>
      <c r="M620" s="18">
        <f t="shared" si="268"/>
        <v>2.2745999999999999E-3</v>
      </c>
      <c r="N620" s="18">
        <f t="shared" si="270"/>
        <v>1.1644724255622771E-5</v>
      </c>
      <c r="O620" s="18">
        <f t="shared" si="273"/>
        <v>3.9308596254159457E-3</v>
      </c>
      <c r="P620" s="18">
        <f t="shared" si="275"/>
        <v>1.2413047504949305E-3</v>
      </c>
      <c r="Q620" s="18">
        <f t="shared" si="277"/>
        <v>5.672276214552081E-6</v>
      </c>
      <c r="R620" s="18">
        <f t="shared" si="279"/>
        <v>1.0097930810952175E-3</v>
      </c>
      <c r="S620" s="18">
        <f t="shared" si="281"/>
        <v>1.351304311274812E-2</v>
      </c>
      <c r="T620" s="18">
        <f t="shared" si="283"/>
        <v>1.5372574687938812E-2</v>
      </c>
      <c r="U620" s="18">
        <f t="shared" si="285"/>
        <v>3.3366189206719107E-4</v>
      </c>
      <c r="V620" s="18">
        <f t="shared" si="286"/>
        <v>1.5432028213286453E-2</v>
      </c>
      <c r="W620" s="18">
        <f t="shared" si="287"/>
        <v>1.2664387569988088E-3</v>
      </c>
      <c r="X620" s="18">
        <f t="shared" si="288"/>
        <v>1.5757875355711828E-3</v>
      </c>
      <c r="Y620" s="18">
        <f t="shared" si="289"/>
        <v>1.1666906608211494E-4</v>
      </c>
      <c r="AA620" s="18">
        <f t="shared" si="271"/>
        <v>1.2616089101263593E-2</v>
      </c>
      <c r="AB620" s="18">
        <f t="shared" si="272"/>
        <v>1.5916570421102203E-4</v>
      </c>
      <c r="AC620" s="18">
        <f t="shared" si="274"/>
        <v>1.2205528448215233E-3</v>
      </c>
      <c r="AD620" s="18">
        <f t="shared" si="276"/>
        <v>6.4659891264790539E-3</v>
      </c>
      <c r="AE620" s="18">
        <f t="shared" si="278"/>
        <v>1.1583576765339782E-3</v>
      </c>
      <c r="AF620" s="18">
        <f t="shared" si="280"/>
        <v>1.8485160017614111E-4</v>
      </c>
      <c r="AG620" s="18">
        <f t="shared" si="282"/>
        <v>7.1135900234587442E-4</v>
      </c>
      <c r="AH620" s="18">
        <f t="shared" si="284"/>
        <v>2.9057579432589841E-3</v>
      </c>
      <c r="AJ620" s="18">
        <f>IF(ISNUMBER(Kernel!M620),Kernel!M620,"")</f>
        <v>4.6030195909302574E-2</v>
      </c>
      <c r="AK620" s="18">
        <f t="shared" si="269"/>
        <v>2.1187789354487753E-3</v>
      </c>
      <c r="AN620" s="18">
        <f>IF(ISNUMBER(Volcanic!G620),Volcanic!G620,"")</f>
        <v>9.9000000000000008E-3</v>
      </c>
    </row>
    <row r="621" spans="1:40">
      <c r="A621" s="18" t="str">
        <f>IF(Volcanic!A621="","",Volcanic!A621)</f>
        <v>10/2009</v>
      </c>
      <c r="B621" s="18">
        <f>IF(ISNUMBER(Volcanic!L621),Volcanic!L621,"")</f>
        <v>2009.7916666666667</v>
      </c>
      <c r="C621" s="18">
        <f>IF(ISNUMBER(Volcanic!J621),Volcanic!J621,"")</f>
        <v>-6.9544693067382757E-2</v>
      </c>
      <c r="D621" s="18">
        <f t="shared" si="262"/>
        <v>4.8364643338364753E-3</v>
      </c>
      <c r="E621" s="18">
        <f>IF(ISNUMBER(Volcanic!C621),Volcanic!C621,"")</f>
        <v>0.45808197399149425</v>
      </c>
      <c r="F621" s="18">
        <f>IF(ISNUMBER(Volcanic!D621),Volcanic!D621,"")</f>
        <v>0.5</v>
      </c>
      <c r="G621" s="18">
        <f>IF(ISNUMBER(Volcanic!E621),Volcanic!E621,"")</f>
        <v>7.2500000000000004E-3</v>
      </c>
      <c r="H621" s="18">
        <f t="shared" si="263"/>
        <v>0.20983909489594402</v>
      </c>
      <c r="I621" s="18">
        <f t="shared" si="264"/>
        <v>0.25</v>
      </c>
      <c r="J621" s="18">
        <f t="shared" si="265"/>
        <v>5.2562500000000004E-5</v>
      </c>
      <c r="K621" s="18">
        <f t="shared" si="266"/>
        <v>0.22904098699574713</v>
      </c>
      <c r="L621" s="18">
        <f t="shared" si="267"/>
        <v>3.3210943114383336E-3</v>
      </c>
      <c r="M621" s="18">
        <f t="shared" si="268"/>
        <v>3.6250000000000002E-3</v>
      </c>
      <c r="N621" s="18">
        <f t="shared" si="270"/>
        <v>1.1881672070010315E-4</v>
      </c>
      <c r="O621" s="18">
        <f t="shared" si="273"/>
        <v>1.1644724255622771E-5</v>
      </c>
      <c r="P621" s="18">
        <f t="shared" si="275"/>
        <v>3.9308596254159457E-3</v>
      </c>
      <c r="Q621" s="18">
        <f t="shared" si="277"/>
        <v>1.2413047504949305E-3</v>
      </c>
      <c r="R621" s="18">
        <f t="shared" si="279"/>
        <v>5.672276214552081E-6</v>
      </c>
      <c r="S621" s="18">
        <f t="shared" si="281"/>
        <v>1.0097930810952175E-3</v>
      </c>
      <c r="T621" s="18">
        <f t="shared" si="283"/>
        <v>1.351304311274812E-2</v>
      </c>
      <c r="U621" s="18">
        <f t="shared" si="285"/>
        <v>1.5372574687938812E-2</v>
      </c>
      <c r="V621" s="18">
        <f t="shared" si="286"/>
        <v>3.3366189206719107E-4</v>
      </c>
      <c r="W621" s="18">
        <f t="shared" si="287"/>
        <v>1.5432028213286453E-2</v>
      </c>
      <c r="X621" s="18">
        <f t="shared" si="288"/>
        <v>1.2664387569988088E-3</v>
      </c>
      <c r="Y621" s="18">
        <f t="shared" si="289"/>
        <v>1.5757875355711828E-3</v>
      </c>
      <c r="AA621" s="18">
        <f t="shared" si="271"/>
        <v>-7.5025392483943229E-2</v>
      </c>
      <c r="AB621" s="18">
        <f t="shared" si="272"/>
        <v>5.6288095173697254E-3</v>
      </c>
      <c r="AC621" s="18">
        <f t="shared" si="274"/>
        <v>1.5916570421102203E-4</v>
      </c>
      <c r="AD621" s="18">
        <f t="shared" si="276"/>
        <v>1.2205528448215233E-3</v>
      </c>
      <c r="AE621" s="18">
        <f t="shared" si="278"/>
        <v>6.4659891264790539E-3</v>
      </c>
      <c r="AF621" s="18">
        <f t="shared" si="280"/>
        <v>1.1583576765339782E-3</v>
      </c>
      <c r="AG621" s="18">
        <f t="shared" si="282"/>
        <v>1.8485160017614111E-4</v>
      </c>
      <c r="AH621" s="18">
        <f t="shared" si="284"/>
        <v>7.1135900234587442E-4</v>
      </c>
      <c r="AJ621" s="18">
        <f>IF(ISNUMBER(Kernel!M621),Kernel!M621,"")</f>
        <v>-4.0756863149454259E-2</v>
      </c>
      <c r="AK621" s="18">
        <f t="shared" si="269"/>
        <v>1.6611218937833425E-3</v>
      </c>
      <c r="AN621" s="18">
        <f>IF(ISNUMBER(Volcanic!G621),Volcanic!G621,"")</f>
        <v>9.0600000000000003E-3</v>
      </c>
    </row>
    <row r="622" spans="1:40">
      <c r="A622" s="18" t="str">
        <f>IF(Volcanic!A622="","",Volcanic!A622)</f>
        <v>11/2009</v>
      </c>
      <c r="B622" s="18">
        <f>IF(ISNUMBER(Volcanic!L622),Volcanic!L622,"")</f>
        <v>2009.875</v>
      </c>
      <c r="C622" s="18">
        <f>IF(ISNUMBER(Volcanic!J622),Volcanic!J622,"")</f>
        <v>5.9689694811775995E-2</v>
      </c>
      <c r="D622" s="18">
        <f t="shared" si="262"/>
        <v>3.5628596667229583E-3</v>
      </c>
      <c r="E622" s="18">
        <f>IF(ISNUMBER(Volcanic!C622),Volcanic!C622,"")</f>
        <v>0.46403340125681564</v>
      </c>
      <c r="F622" s="18">
        <f>IF(ISNUMBER(Volcanic!D622),Volcanic!D622,"")</f>
        <v>0.56000000000000005</v>
      </c>
      <c r="G622" s="18">
        <f>IF(ISNUMBER(Volcanic!E622),Volcanic!E622,"")</f>
        <v>7.7200000000000003E-3</v>
      </c>
      <c r="H622" s="18">
        <f t="shared" si="263"/>
        <v>0.21532699748196887</v>
      </c>
      <c r="I622" s="18">
        <f t="shared" si="264"/>
        <v>0.31360000000000005</v>
      </c>
      <c r="J622" s="18">
        <f t="shared" si="265"/>
        <v>5.9598400000000002E-5</v>
      </c>
      <c r="K622" s="18">
        <f t="shared" si="266"/>
        <v>0.25985870470381678</v>
      </c>
      <c r="L622" s="18">
        <f t="shared" si="267"/>
        <v>3.5823378577026169E-3</v>
      </c>
      <c r="M622" s="18">
        <f t="shared" si="268"/>
        <v>4.323200000000001E-3</v>
      </c>
      <c r="N622" s="18">
        <f t="shared" si="270"/>
        <v>4.8364643338364753E-3</v>
      </c>
      <c r="O622" s="18">
        <f t="shared" si="273"/>
        <v>1.1881672070010315E-4</v>
      </c>
      <c r="P622" s="18">
        <f t="shared" si="275"/>
        <v>1.1644724255622771E-5</v>
      </c>
      <c r="Q622" s="18">
        <f t="shared" si="277"/>
        <v>3.9308596254159457E-3</v>
      </c>
      <c r="R622" s="18">
        <f t="shared" si="279"/>
        <v>1.2413047504949305E-3</v>
      </c>
      <c r="S622" s="18">
        <f t="shared" si="281"/>
        <v>5.672276214552081E-6</v>
      </c>
      <c r="T622" s="18">
        <f t="shared" si="283"/>
        <v>1.0097930810952175E-3</v>
      </c>
      <c r="U622" s="18">
        <f t="shared" si="285"/>
        <v>1.351304311274812E-2</v>
      </c>
      <c r="V622" s="18">
        <f t="shared" si="286"/>
        <v>1.5372574687938812E-2</v>
      </c>
      <c r="W622" s="18">
        <f t="shared" si="287"/>
        <v>3.3366189206719107E-4</v>
      </c>
      <c r="X622" s="18">
        <f t="shared" si="288"/>
        <v>1.5432028213286453E-2</v>
      </c>
      <c r="Y622" s="18">
        <f t="shared" si="289"/>
        <v>1.2664387569988088E-3</v>
      </c>
      <c r="AA622" s="18">
        <f t="shared" si="271"/>
        <v>9.4656922230152749E-2</v>
      </c>
      <c r="AB622" s="18">
        <f t="shared" si="272"/>
        <v>8.9599329260851863E-3</v>
      </c>
      <c r="AC622" s="18">
        <f t="shared" si="274"/>
        <v>5.6288095173697254E-3</v>
      </c>
      <c r="AD622" s="18">
        <f t="shared" si="276"/>
        <v>1.5916570421102203E-4</v>
      </c>
      <c r="AE622" s="18">
        <f t="shared" si="278"/>
        <v>1.2205528448215233E-3</v>
      </c>
      <c r="AF622" s="18">
        <f t="shared" si="280"/>
        <v>6.4659891264790539E-3</v>
      </c>
      <c r="AG622" s="18">
        <f t="shared" si="282"/>
        <v>1.1583576765339782E-3</v>
      </c>
      <c r="AH622" s="18">
        <f t="shared" si="284"/>
        <v>1.8485160017614111E-4</v>
      </c>
      <c r="AJ622" s="18">
        <f>IF(ISNUMBER(Kernel!M622),Kernel!M622,"")</f>
        <v>6.7737361680245467E-2</v>
      </c>
      <c r="AK622" s="18">
        <f t="shared" si="269"/>
        <v>4.5883501674003867E-3</v>
      </c>
      <c r="AN622" s="18">
        <f>IF(ISNUMBER(Volcanic!G622),Volcanic!G622,"")</f>
        <v>8.6099999999999996E-3</v>
      </c>
    </row>
    <row r="623" spans="1:40">
      <c r="A623" s="18" t="str">
        <f>IF(Volcanic!A623="","",Volcanic!A623)</f>
        <v>12/2009</v>
      </c>
      <c r="B623" s="18">
        <f>IF(ISNUMBER(Volcanic!L623),Volcanic!L623,"")</f>
        <v>2009.9583333333333</v>
      </c>
      <c r="C623" s="18">
        <f>IF(ISNUMBER(Volcanic!J623),Volcanic!J623,"")</f>
        <v>-9.481713300750827E-2</v>
      </c>
      <c r="D623" s="18">
        <f t="shared" si="262"/>
        <v>8.9902887117635135E-3</v>
      </c>
      <c r="E623" s="18">
        <f>IF(ISNUMBER(Volcanic!C623),Volcanic!C623,"")</f>
        <v>0.46925340296447982</v>
      </c>
      <c r="F623" s="18">
        <f>IF(ISNUMBER(Volcanic!D623),Volcanic!D623,"")</f>
        <v>0.66</v>
      </c>
      <c r="G623" s="18">
        <f>IF(ISNUMBER(Volcanic!E623),Volcanic!E623,"")</f>
        <v>7.2700000000000004E-3</v>
      </c>
      <c r="H623" s="18">
        <f t="shared" si="263"/>
        <v>0.22019875619374446</v>
      </c>
      <c r="I623" s="18">
        <f t="shared" si="264"/>
        <v>0.43560000000000004</v>
      </c>
      <c r="J623" s="18">
        <f t="shared" si="265"/>
        <v>5.2852900000000003E-5</v>
      </c>
      <c r="K623" s="18">
        <f t="shared" si="266"/>
        <v>0.30970724595655669</v>
      </c>
      <c r="L623" s="18">
        <f t="shared" si="267"/>
        <v>3.4114722395517686E-3</v>
      </c>
      <c r="M623" s="18">
        <f t="shared" si="268"/>
        <v>4.7982000000000007E-3</v>
      </c>
      <c r="N623" s="18">
        <f t="shared" si="270"/>
        <v>3.5628596667229583E-3</v>
      </c>
      <c r="O623" s="18">
        <f t="shared" si="273"/>
        <v>4.8364643338364753E-3</v>
      </c>
      <c r="P623" s="18">
        <f t="shared" si="275"/>
        <v>1.1881672070010315E-4</v>
      </c>
      <c r="Q623" s="18">
        <f t="shared" si="277"/>
        <v>1.1644724255622771E-5</v>
      </c>
      <c r="R623" s="18">
        <f t="shared" si="279"/>
        <v>3.9308596254159457E-3</v>
      </c>
      <c r="S623" s="18">
        <f t="shared" si="281"/>
        <v>1.2413047504949305E-3</v>
      </c>
      <c r="T623" s="18">
        <f t="shared" si="283"/>
        <v>5.672276214552081E-6</v>
      </c>
      <c r="U623" s="18">
        <f t="shared" si="285"/>
        <v>1.0097930810952175E-3</v>
      </c>
      <c r="V623" s="18">
        <f t="shared" si="286"/>
        <v>1.351304311274812E-2</v>
      </c>
      <c r="W623" s="18">
        <f t="shared" si="287"/>
        <v>1.5372574687938812E-2</v>
      </c>
      <c r="X623" s="18">
        <f t="shared" si="288"/>
        <v>3.3366189206719107E-4</v>
      </c>
      <c r="Y623" s="18">
        <f t="shared" si="289"/>
        <v>1.5432028213286453E-2</v>
      </c>
      <c r="AA623" s="18">
        <f t="shared" si="271"/>
        <v>-0.12482924523287356</v>
      </c>
      <c r="AB623" s="18">
        <f t="shared" si="272"/>
        <v>1.5582340465408887E-2</v>
      </c>
      <c r="AC623" s="18">
        <f t="shared" si="274"/>
        <v>8.9599329260851863E-3</v>
      </c>
      <c r="AD623" s="18">
        <f t="shared" si="276"/>
        <v>5.6288095173697254E-3</v>
      </c>
      <c r="AE623" s="18">
        <f t="shared" si="278"/>
        <v>1.5916570421102203E-4</v>
      </c>
      <c r="AF623" s="18">
        <f t="shared" si="280"/>
        <v>1.2205528448215233E-3</v>
      </c>
      <c r="AG623" s="18">
        <f t="shared" si="282"/>
        <v>6.4659891264790539E-3</v>
      </c>
      <c r="AH623" s="18">
        <f t="shared" si="284"/>
        <v>1.1583576765339782E-3</v>
      </c>
      <c r="AJ623" s="18">
        <f>IF(ISNUMBER(Kernel!M623),Kernel!M623,"")</f>
        <v>-0.1022287218838791</v>
      </c>
      <c r="AK623" s="18">
        <f t="shared" si="269"/>
        <v>1.0450711578011503E-2</v>
      </c>
      <c r="AN623" s="18">
        <f>IF(ISNUMBER(Volcanic!G623),Volcanic!G623,"")</f>
        <v>7.7200000000000003E-3</v>
      </c>
    </row>
    <row r="624" spans="1:40">
      <c r="A624" s="18" t="str">
        <f>IF(Volcanic!A624="","",Volcanic!A624)</f>
        <v>1/2010</v>
      </c>
      <c r="B624" s="18">
        <f>IF(ISNUMBER(Volcanic!L624),Volcanic!L624,"")</f>
        <v>2010.0416666666667</v>
      </c>
      <c r="C624" s="18">
        <f>IF(ISNUMBER(Volcanic!J624),Volcanic!J624,"")</f>
        <v>-5.248784151813235E-2</v>
      </c>
      <c r="D624" s="18">
        <f t="shared" si="262"/>
        <v>2.754973507232578E-3</v>
      </c>
      <c r="E624" s="18">
        <f>IF(ISNUMBER(Volcanic!C624),Volcanic!C624,"")</f>
        <v>0.47400950393751357</v>
      </c>
      <c r="F624" s="18">
        <f>IF(ISNUMBER(Volcanic!D624),Volcanic!D624,"")</f>
        <v>0.92</v>
      </c>
      <c r="G624" s="18">
        <f>IF(ISNUMBER(Volcanic!E624),Volcanic!E624,"")</f>
        <v>7.0099999999999997E-3</v>
      </c>
      <c r="H624" s="18">
        <f t="shared" si="263"/>
        <v>0.2246850098230877</v>
      </c>
      <c r="I624" s="18">
        <f t="shared" si="264"/>
        <v>0.84640000000000004</v>
      </c>
      <c r="J624" s="18">
        <f t="shared" si="265"/>
        <v>4.9140099999999994E-5</v>
      </c>
      <c r="K624" s="18">
        <f t="shared" si="266"/>
        <v>0.43608874362251249</v>
      </c>
      <c r="L624" s="18">
        <f t="shared" si="267"/>
        <v>3.3228066226019702E-3</v>
      </c>
      <c r="M624" s="18">
        <f t="shared" si="268"/>
        <v>6.4492000000000004E-3</v>
      </c>
      <c r="N624" s="18">
        <f t="shared" si="270"/>
        <v>8.9902887117635135E-3</v>
      </c>
      <c r="O624" s="18">
        <f t="shared" si="273"/>
        <v>3.5628596667229583E-3</v>
      </c>
      <c r="P624" s="18">
        <f t="shared" si="275"/>
        <v>4.8364643338364753E-3</v>
      </c>
      <c r="Q624" s="18">
        <f t="shared" si="277"/>
        <v>1.1881672070010315E-4</v>
      </c>
      <c r="R624" s="18">
        <f t="shared" si="279"/>
        <v>1.1644724255622771E-5</v>
      </c>
      <c r="S624" s="18">
        <f t="shared" si="281"/>
        <v>3.9308596254159457E-3</v>
      </c>
      <c r="T624" s="18">
        <f t="shared" si="283"/>
        <v>1.2413047504949305E-3</v>
      </c>
      <c r="U624" s="18">
        <f t="shared" si="285"/>
        <v>5.672276214552081E-6</v>
      </c>
      <c r="V624" s="18">
        <f t="shared" si="286"/>
        <v>1.0097930810952175E-3</v>
      </c>
      <c r="W624" s="18">
        <f t="shared" si="287"/>
        <v>1.351304311274812E-2</v>
      </c>
      <c r="X624" s="18">
        <f t="shared" si="288"/>
        <v>1.5372574687938812E-2</v>
      </c>
      <c r="Y624" s="18">
        <f t="shared" si="289"/>
        <v>3.3366189206719107E-4</v>
      </c>
      <c r="AA624" s="18">
        <f t="shared" si="271"/>
        <v>-4.8135747006831028E-3</v>
      </c>
      <c r="AB624" s="18">
        <f t="shared" si="272"/>
        <v>2.3170501399056423E-5</v>
      </c>
      <c r="AC624" s="18">
        <f t="shared" si="274"/>
        <v>1.5582340465408887E-2</v>
      </c>
      <c r="AD624" s="18">
        <f t="shared" si="276"/>
        <v>8.9599329260851863E-3</v>
      </c>
      <c r="AE624" s="18">
        <f t="shared" si="278"/>
        <v>5.6288095173697254E-3</v>
      </c>
      <c r="AF624" s="18">
        <f t="shared" si="280"/>
        <v>1.5916570421102203E-4</v>
      </c>
      <c r="AG624" s="18">
        <f t="shared" si="282"/>
        <v>1.2205528448215233E-3</v>
      </c>
      <c r="AH624" s="18">
        <f t="shared" si="284"/>
        <v>6.4659891264790539E-3</v>
      </c>
      <c r="AJ624" s="18">
        <f>IF(ISNUMBER(Kernel!M624),Kernel!M624,"")</f>
        <v>-5.6529008357022015E-2</v>
      </c>
      <c r="AK624" s="18">
        <f t="shared" si="269"/>
        <v>3.1955287858282649E-3</v>
      </c>
      <c r="AN624" s="18">
        <f>IF(ISNUMBER(Volcanic!G624),Volcanic!G624,"")</f>
        <v>6.96E-3</v>
      </c>
    </row>
    <row r="625" spans="1:40">
      <c r="A625" s="18" t="str">
        <f>IF(Volcanic!A625="","",Volcanic!A625)</f>
        <v>2/2010</v>
      </c>
      <c r="B625" s="18">
        <f>IF(ISNUMBER(Volcanic!L625),Volcanic!L625,"")</f>
        <v>2010.125</v>
      </c>
      <c r="C625" s="18">
        <f>IF(ISNUMBER(Volcanic!J625),Volcanic!J625,"")</f>
        <v>-9.5564527716417436E-3</v>
      </c>
      <c r="D625" s="18">
        <f t="shared" si="262"/>
        <v>9.1325789576619158E-5</v>
      </c>
      <c r="E625" s="18">
        <f>IF(ISNUMBER(Volcanic!C625),Volcanic!C625,"")</f>
        <v>0.47956317953598965</v>
      </c>
      <c r="F625" s="18">
        <f>IF(ISNUMBER(Volcanic!D625),Volcanic!D625,"")</f>
        <v>1.31</v>
      </c>
      <c r="G625" s="18">
        <f>IF(ISNUMBER(Volcanic!E625),Volcanic!E625,"")</f>
        <v>8.9499999999999996E-3</v>
      </c>
      <c r="H625" s="18">
        <f t="shared" si="263"/>
        <v>0.22998084316666784</v>
      </c>
      <c r="I625" s="18">
        <f t="shared" si="264"/>
        <v>1.7161000000000002</v>
      </c>
      <c r="J625" s="18">
        <f t="shared" si="265"/>
        <v>8.0102499999999994E-5</v>
      </c>
      <c r="K625" s="18">
        <f t="shared" si="266"/>
        <v>0.62822776519214651</v>
      </c>
      <c r="L625" s="18">
        <f t="shared" si="267"/>
        <v>4.2920904568471072E-3</v>
      </c>
      <c r="M625" s="18">
        <f t="shared" si="268"/>
        <v>1.1724500000000001E-2</v>
      </c>
      <c r="N625" s="18">
        <f t="shared" si="270"/>
        <v>2.754973507232578E-3</v>
      </c>
      <c r="O625" s="18">
        <f t="shared" si="273"/>
        <v>8.9902887117635135E-3</v>
      </c>
      <c r="P625" s="18">
        <f t="shared" si="275"/>
        <v>3.5628596667229583E-3</v>
      </c>
      <c r="Q625" s="18">
        <f t="shared" si="277"/>
        <v>4.8364643338364753E-3</v>
      </c>
      <c r="R625" s="18">
        <f t="shared" si="279"/>
        <v>1.1881672070010315E-4</v>
      </c>
      <c r="S625" s="18">
        <f t="shared" si="281"/>
        <v>1.1644724255622771E-5</v>
      </c>
      <c r="T625" s="18">
        <f t="shared" si="283"/>
        <v>3.9308596254159457E-3</v>
      </c>
      <c r="U625" s="18">
        <f t="shared" si="285"/>
        <v>1.2413047504949305E-3</v>
      </c>
      <c r="V625" s="18">
        <f t="shared" si="286"/>
        <v>5.672276214552081E-6</v>
      </c>
      <c r="W625" s="18">
        <f t="shared" si="287"/>
        <v>1.0097930810952175E-3</v>
      </c>
      <c r="X625" s="18">
        <f t="shared" si="288"/>
        <v>1.351304311274812E-2</v>
      </c>
      <c r="Y625" s="18">
        <f t="shared" si="289"/>
        <v>1.5372574687938812E-2</v>
      </c>
      <c r="AA625" s="18">
        <f t="shared" si="271"/>
        <v>1.6834551489257828E-2</v>
      </c>
      <c r="AB625" s="18">
        <f t="shared" si="272"/>
        <v>2.8340212384447296E-4</v>
      </c>
      <c r="AC625" s="18">
        <f t="shared" si="274"/>
        <v>2.3170501399056423E-5</v>
      </c>
      <c r="AD625" s="18">
        <f t="shared" si="276"/>
        <v>1.5582340465408887E-2</v>
      </c>
      <c r="AE625" s="18">
        <f t="shared" si="278"/>
        <v>8.9599329260851863E-3</v>
      </c>
      <c r="AF625" s="18">
        <f t="shared" si="280"/>
        <v>5.6288095173697254E-3</v>
      </c>
      <c r="AG625" s="18">
        <f t="shared" si="282"/>
        <v>1.5916570421102203E-4</v>
      </c>
      <c r="AH625" s="18">
        <f t="shared" si="284"/>
        <v>1.2205528448215233E-3</v>
      </c>
      <c r="AJ625" s="18">
        <f>IF(ISNUMBER(Kernel!M625),Kernel!M625,"")</f>
        <v>5.7537890770609224E-3</v>
      </c>
      <c r="AK625" s="18">
        <f t="shared" si="269"/>
        <v>3.3106088743305582E-5</v>
      </c>
      <c r="AN625" s="18">
        <f>IF(ISNUMBER(Volcanic!G625),Volcanic!G625,"")</f>
        <v>6.3400000000000001E-3</v>
      </c>
    </row>
    <row r="626" spans="1:40">
      <c r="A626" s="18" t="str">
        <f>IF(Volcanic!A626="","",Volcanic!A626)</f>
        <v>3/2010</v>
      </c>
      <c r="B626" s="18">
        <f>IF(ISNUMBER(Volcanic!L626),Volcanic!L626,"")</f>
        <v>2010.2083333333333</v>
      </c>
      <c r="C626" s="18">
        <f>IF(ISNUMBER(Volcanic!J626),Volcanic!J626,"")</f>
        <v>4.5239107818462632E-2</v>
      </c>
      <c r="D626" s="18">
        <f t="shared" si="262"/>
        <v>2.046576876210487E-3</v>
      </c>
      <c r="E626" s="18">
        <f>IF(ISNUMBER(Volcanic!C626),Volcanic!C626,"")</f>
        <v>0.48310634496717497</v>
      </c>
      <c r="F626" s="18">
        <f>IF(ISNUMBER(Volcanic!D626),Volcanic!D626,"")</f>
        <v>1.5</v>
      </c>
      <c r="G626" s="18">
        <f>IF(ISNUMBER(Volcanic!E626),Volcanic!E626,"")</f>
        <v>9.9000000000000008E-3</v>
      </c>
      <c r="H626" s="18">
        <f t="shared" si="263"/>
        <v>0.23339174054754305</v>
      </c>
      <c r="I626" s="18">
        <f t="shared" si="264"/>
        <v>2.25</v>
      </c>
      <c r="J626" s="18">
        <f t="shared" si="265"/>
        <v>9.8010000000000019E-5</v>
      </c>
      <c r="K626" s="18">
        <f t="shared" si="266"/>
        <v>0.7246595174507624</v>
      </c>
      <c r="L626" s="18">
        <f t="shared" si="267"/>
        <v>4.7827528151750329E-3</v>
      </c>
      <c r="M626" s="18">
        <f t="shared" si="268"/>
        <v>1.4850000000000002E-2</v>
      </c>
      <c r="N626" s="18">
        <f t="shared" si="270"/>
        <v>9.1325789576619158E-5</v>
      </c>
      <c r="O626" s="18">
        <f t="shared" si="273"/>
        <v>2.754973507232578E-3</v>
      </c>
      <c r="P626" s="18">
        <f t="shared" si="275"/>
        <v>8.9902887117635135E-3</v>
      </c>
      <c r="Q626" s="18">
        <f t="shared" si="277"/>
        <v>3.5628596667229583E-3</v>
      </c>
      <c r="R626" s="18">
        <f t="shared" si="279"/>
        <v>4.8364643338364753E-3</v>
      </c>
      <c r="S626" s="18">
        <f t="shared" si="281"/>
        <v>1.1881672070010315E-4</v>
      </c>
      <c r="T626" s="18">
        <f t="shared" si="283"/>
        <v>1.1644724255622771E-5</v>
      </c>
      <c r="U626" s="18">
        <f t="shared" si="285"/>
        <v>3.9308596254159457E-3</v>
      </c>
      <c r="V626" s="18">
        <f t="shared" si="286"/>
        <v>1.2413047504949305E-3</v>
      </c>
      <c r="W626" s="18">
        <f t="shared" si="287"/>
        <v>5.672276214552081E-6</v>
      </c>
      <c r="X626" s="18">
        <f t="shared" si="288"/>
        <v>1.0097930810952175E-3</v>
      </c>
      <c r="Y626" s="18">
        <f t="shared" si="289"/>
        <v>1.351304311274812E-2</v>
      </c>
      <c r="AA626" s="18">
        <f t="shared" si="271"/>
        <v>5.0044113673549218E-2</v>
      </c>
      <c r="AB626" s="18">
        <f t="shared" si="272"/>
        <v>2.5044133133711156E-3</v>
      </c>
      <c r="AC626" s="18">
        <f t="shared" si="274"/>
        <v>2.8340212384447296E-4</v>
      </c>
      <c r="AD626" s="18">
        <f t="shared" si="276"/>
        <v>2.3170501399056423E-5</v>
      </c>
      <c r="AE626" s="18">
        <f t="shared" si="278"/>
        <v>1.5582340465408887E-2</v>
      </c>
      <c r="AF626" s="18">
        <f t="shared" si="280"/>
        <v>8.9599329260851863E-3</v>
      </c>
      <c r="AG626" s="18">
        <f t="shared" si="282"/>
        <v>5.6288095173697254E-3</v>
      </c>
      <c r="AH626" s="18">
        <f t="shared" si="284"/>
        <v>1.5916570421102203E-4</v>
      </c>
      <c r="AJ626" s="18">
        <f>IF(ISNUMBER(Kernel!M626),Kernel!M626,"")</f>
        <v>7.2577646239993632E-2</v>
      </c>
      <c r="AK626" s="18">
        <f t="shared" si="269"/>
        <v>5.2675147337376618E-3</v>
      </c>
      <c r="AN626" s="18">
        <f>IF(ISNUMBER(Volcanic!G626),Volcanic!G626,"")</f>
        <v>6.4599999999999996E-3</v>
      </c>
    </row>
    <row r="627" spans="1:40">
      <c r="A627" s="18" t="str">
        <f>IF(Volcanic!A627="","",Volcanic!A627)</f>
        <v>4/2010</v>
      </c>
      <c r="B627" s="18">
        <f>IF(ISNUMBER(Volcanic!L627),Volcanic!L627,"")</f>
        <v>2010.2916666666667</v>
      </c>
      <c r="C627" s="18">
        <f>IF(ISNUMBER(Volcanic!J627),Volcanic!J627,"")</f>
        <v>-3.5025614788955051E-2</v>
      </c>
      <c r="D627" s="18">
        <f t="shared" si="262"/>
        <v>1.2267936913442667E-3</v>
      </c>
      <c r="E627" s="18">
        <f>IF(ISNUMBER(Volcanic!C627),Volcanic!C627,"")</f>
        <v>0.4878905530991211</v>
      </c>
      <c r="F627" s="18">
        <f>IF(ISNUMBER(Volcanic!D627),Volcanic!D627,"")</f>
        <v>1.47</v>
      </c>
      <c r="G627" s="18">
        <f>IF(ISNUMBER(Volcanic!E627),Volcanic!E627,"")</f>
        <v>9.9000000000000008E-3</v>
      </c>
      <c r="H627" s="18">
        <f t="shared" si="263"/>
        <v>0.2380371918033663</v>
      </c>
      <c r="I627" s="18">
        <f t="shared" si="264"/>
        <v>2.1608999999999998</v>
      </c>
      <c r="J627" s="18">
        <f t="shared" si="265"/>
        <v>9.8010000000000019E-5</v>
      </c>
      <c r="K627" s="18">
        <f t="shared" si="266"/>
        <v>0.71719911305570805</v>
      </c>
      <c r="L627" s="18">
        <f t="shared" si="267"/>
        <v>4.8301164756812997E-3</v>
      </c>
      <c r="M627" s="18">
        <f t="shared" si="268"/>
        <v>1.4553000000000002E-2</v>
      </c>
      <c r="N627" s="18">
        <f t="shared" si="270"/>
        <v>2.046576876210487E-3</v>
      </c>
      <c r="O627" s="18">
        <f t="shared" si="273"/>
        <v>9.1325789576619158E-5</v>
      </c>
      <c r="P627" s="18">
        <f t="shared" si="275"/>
        <v>2.754973507232578E-3</v>
      </c>
      <c r="Q627" s="18">
        <f t="shared" si="277"/>
        <v>8.9902887117635135E-3</v>
      </c>
      <c r="R627" s="18">
        <f t="shared" si="279"/>
        <v>3.5628596667229583E-3</v>
      </c>
      <c r="S627" s="18">
        <f t="shared" si="281"/>
        <v>4.8364643338364753E-3</v>
      </c>
      <c r="T627" s="18">
        <f t="shared" si="283"/>
        <v>1.1881672070010315E-4</v>
      </c>
      <c r="U627" s="18">
        <f t="shared" si="285"/>
        <v>1.1644724255622771E-5</v>
      </c>
      <c r="V627" s="18">
        <f t="shared" si="286"/>
        <v>3.9308596254159457E-3</v>
      </c>
      <c r="W627" s="18">
        <f t="shared" si="287"/>
        <v>1.2413047504949305E-3</v>
      </c>
      <c r="X627" s="18">
        <f t="shared" si="288"/>
        <v>5.672276214552081E-6</v>
      </c>
      <c r="Y627" s="18">
        <f t="shared" si="289"/>
        <v>1.0097930810952175E-3</v>
      </c>
      <c r="AA627" s="18">
        <f t="shared" si="271"/>
        <v>-5.7771939512251166E-2</v>
      </c>
      <c r="AB627" s="18">
        <f t="shared" si="272"/>
        <v>3.3375969950072077E-3</v>
      </c>
      <c r="AC627" s="18">
        <f t="shared" si="274"/>
        <v>2.5044133133711156E-3</v>
      </c>
      <c r="AD627" s="18">
        <f t="shared" si="276"/>
        <v>2.8340212384447296E-4</v>
      </c>
      <c r="AE627" s="18">
        <f t="shared" si="278"/>
        <v>2.3170501399056423E-5</v>
      </c>
      <c r="AF627" s="18">
        <f t="shared" si="280"/>
        <v>1.5582340465408887E-2</v>
      </c>
      <c r="AG627" s="18">
        <f t="shared" si="282"/>
        <v>8.9599329260851863E-3</v>
      </c>
      <c r="AH627" s="18">
        <f t="shared" si="284"/>
        <v>5.6288095173697254E-3</v>
      </c>
      <c r="AJ627" s="18">
        <f>IF(ISNUMBER(Kernel!M627),Kernel!M627,"")</f>
        <v>-2.568459280238633E-3</v>
      </c>
      <c r="AK627" s="18">
        <f t="shared" si="269"/>
        <v>6.5969830742439564E-6</v>
      </c>
      <c r="AN627" s="18">
        <f>IF(ISNUMBER(Volcanic!G627),Volcanic!G627,"")</f>
        <v>6.5500000000000003E-3</v>
      </c>
    </row>
    <row r="628" spans="1:40">
      <c r="A628" s="18" t="str">
        <f>IF(Volcanic!A628="","",Volcanic!A628)</f>
        <v>5/2010</v>
      </c>
      <c r="B628" s="18">
        <f>IF(ISNUMBER(Volcanic!L628),Volcanic!L628,"")</f>
        <v>2010.375</v>
      </c>
      <c r="C628" s="18">
        <f>IF(ISNUMBER(Volcanic!J628),Volcanic!J628,"")</f>
        <v>-0.11815468864839185</v>
      </c>
      <c r="D628" s="18">
        <f t="shared" si="262"/>
        <v>1.3960530449598418E-2</v>
      </c>
      <c r="E628" s="18">
        <f>IF(ISNUMBER(Volcanic!C628),Volcanic!C628,"")</f>
        <v>0.4898731851668387</v>
      </c>
      <c r="F628" s="18">
        <f>IF(ISNUMBER(Volcanic!D628),Volcanic!D628,"")</f>
        <v>1.21</v>
      </c>
      <c r="G628" s="18">
        <f>IF(ISNUMBER(Volcanic!E628),Volcanic!E628,"")</f>
        <v>9.0600000000000003E-3</v>
      </c>
      <c r="H628" s="18">
        <f t="shared" si="263"/>
        <v>0.23997573754550383</v>
      </c>
      <c r="I628" s="18">
        <f t="shared" si="264"/>
        <v>1.4641</v>
      </c>
      <c r="J628" s="18">
        <f t="shared" si="265"/>
        <v>8.2083600000000008E-5</v>
      </c>
      <c r="K628" s="18">
        <f t="shared" si="266"/>
        <v>0.59274655405187482</v>
      </c>
      <c r="L628" s="18">
        <f t="shared" si="267"/>
        <v>4.4382510576115586E-3</v>
      </c>
      <c r="M628" s="18">
        <f t="shared" si="268"/>
        <v>1.0962599999999999E-2</v>
      </c>
      <c r="N628" s="18">
        <f t="shared" si="270"/>
        <v>1.2267936913442667E-3</v>
      </c>
      <c r="O628" s="18">
        <f t="shared" si="273"/>
        <v>2.046576876210487E-3</v>
      </c>
      <c r="P628" s="18">
        <f t="shared" si="275"/>
        <v>9.1325789576619158E-5</v>
      </c>
      <c r="Q628" s="18">
        <f t="shared" si="277"/>
        <v>2.754973507232578E-3</v>
      </c>
      <c r="R628" s="18">
        <f t="shared" si="279"/>
        <v>8.9902887117635135E-3</v>
      </c>
      <c r="S628" s="18">
        <f t="shared" si="281"/>
        <v>3.5628596667229583E-3</v>
      </c>
      <c r="T628" s="18">
        <f t="shared" si="283"/>
        <v>4.8364643338364753E-3</v>
      </c>
      <c r="U628" s="18">
        <f t="shared" si="285"/>
        <v>1.1881672070010315E-4</v>
      </c>
      <c r="V628" s="18">
        <f t="shared" si="286"/>
        <v>1.1644724255622771E-5</v>
      </c>
      <c r="W628" s="18">
        <f t="shared" si="287"/>
        <v>3.9308596254159457E-3</v>
      </c>
      <c r="X628" s="18">
        <f t="shared" si="288"/>
        <v>1.2413047504949305E-3</v>
      </c>
      <c r="Y628" s="18">
        <f t="shared" si="289"/>
        <v>5.672276214552081E-6</v>
      </c>
      <c r="AA628" s="18">
        <f t="shared" si="271"/>
        <v>-0.10054373109326717</v>
      </c>
      <c r="AB628" s="18">
        <f t="shared" si="272"/>
        <v>1.010904186215522E-2</v>
      </c>
      <c r="AC628" s="18">
        <f t="shared" si="274"/>
        <v>3.3375969950072077E-3</v>
      </c>
      <c r="AD628" s="18">
        <f t="shared" si="276"/>
        <v>2.5044133133711156E-3</v>
      </c>
      <c r="AE628" s="18">
        <f t="shared" si="278"/>
        <v>2.8340212384447296E-4</v>
      </c>
      <c r="AF628" s="18">
        <f t="shared" si="280"/>
        <v>2.3170501399056423E-5</v>
      </c>
      <c r="AG628" s="18">
        <f t="shared" si="282"/>
        <v>1.5582340465408887E-2</v>
      </c>
      <c r="AH628" s="18">
        <f t="shared" si="284"/>
        <v>8.9599329260851863E-3</v>
      </c>
      <c r="AJ628" s="18">
        <f>IF(ISNUMBER(Kernel!M628),Kernel!M628,"")</f>
        <v>-8.9725294542933653E-2</v>
      </c>
      <c r="AK628" s="18">
        <f t="shared" si="269"/>
        <v>8.0506284808162E-3</v>
      </c>
      <c r="AN628" s="18">
        <f>IF(ISNUMBER(Volcanic!G628),Volcanic!G628,"")</f>
        <v>6.2899999999999996E-3</v>
      </c>
    </row>
    <row r="629" spans="1:40">
      <c r="A629" s="18" t="str">
        <f>IF(Volcanic!A629="","",Volcanic!A629)</f>
        <v>6/2010</v>
      </c>
      <c r="B629" s="18">
        <f>IF(ISNUMBER(Volcanic!L629),Volcanic!L629,"")</f>
        <v>2010.4583333333333</v>
      </c>
      <c r="C629" s="18">
        <f>IF(ISNUMBER(Volcanic!J629),Volcanic!J629,"")</f>
        <v>-0.15020792193011823</v>
      </c>
      <c r="D629" s="18">
        <f t="shared" si="262"/>
        <v>2.2562419810564491E-2</v>
      </c>
      <c r="E629" s="18">
        <f>IF(ISNUMBER(Volcanic!C629),Volcanic!C629,"")</f>
        <v>0.4868246806556118</v>
      </c>
      <c r="F629" s="18">
        <f>IF(ISNUMBER(Volcanic!D629),Volcanic!D629,"")</f>
        <v>0.88</v>
      </c>
      <c r="G629" s="18">
        <f>IF(ISNUMBER(Volcanic!E629),Volcanic!E629,"")</f>
        <v>8.6099999999999996E-3</v>
      </c>
      <c r="H629" s="18">
        <f t="shared" si="263"/>
        <v>0.23699826969543841</v>
      </c>
      <c r="I629" s="18">
        <f t="shared" si="264"/>
        <v>0.77439999999999998</v>
      </c>
      <c r="J629" s="18">
        <f t="shared" si="265"/>
        <v>7.4132099999999995E-5</v>
      </c>
      <c r="K629" s="18">
        <f t="shared" si="266"/>
        <v>0.42840571897693841</v>
      </c>
      <c r="L629" s="18">
        <f t="shared" si="267"/>
        <v>4.1915605004448171E-3</v>
      </c>
      <c r="M629" s="18">
        <f t="shared" si="268"/>
        <v>7.5767999999999999E-3</v>
      </c>
      <c r="N629" s="18">
        <f t="shared" si="270"/>
        <v>1.3960530449598418E-2</v>
      </c>
      <c r="O629" s="18">
        <f t="shared" si="273"/>
        <v>1.2267936913442667E-3</v>
      </c>
      <c r="P629" s="18">
        <f t="shared" si="275"/>
        <v>2.046576876210487E-3</v>
      </c>
      <c r="Q629" s="18">
        <f t="shared" si="277"/>
        <v>9.1325789576619158E-5</v>
      </c>
      <c r="R629" s="18">
        <f t="shared" si="279"/>
        <v>2.754973507232578E-3</v>
      </c>
      <c r="S629" s="18">
        <f t="shared" si="281"/>
        <v>8.9902887117635135E-3</v>
      </c>
      <c r="T629" s="18">
        <f t="shared" si="283"/>
        <v>3.5628596667229583E-3</v>
      </c>
      <c r="U629" s="18">
        <f t="shared" si="285"/>
        <v>4.8364643338364753E-3</v>
      </c>
      <c r="V629" s="18">
        <f t="shared" si="286"/>
        <v>1.1881672070010315E-4</v>
      </c>
      <c r="W629" s="18">
        <f t="shared" si="287"/>
        <v>1.1644724255622771E-5</v>
      </c>
      <c r="X629" s="18">
        <f t="shared" si="288"/>
        <v>3.9308596254159457E-3</v>
      </c>
      <c r="Y629" s="18">
        <f t="shared" si="289"/>
        <v>1.2413047504949305E-3</v>
      </c>
      <c r="AA629" s="18">
        <f t="shared" si="271"/>
        <v>-9.0799479872394118E-2</v>
      </c>
      <c r="AB629" s="18">
        <f t="shared" si="272"/>
        <v>8.2445455450973048E-3</v>
      </c>
      <c r="AC629" s="18">
        <f t="shared" si="274"/>
        <v>1.010904186215522E-2</v>
      </c>
      <c r="AD629" s="18">
        <f t="shared" si="276"/>
        <v>3.3375969950072077E-3</v>
      </c>
      <c r="AE629" s="18">
        <f t="shared" si="278"/>
        <v>2.5044133133711156E-3</v>
      </c>
      <c r="AF629" s="18">
        <f t="shared" si="280"/>
        <v>2.8340212384447296E-4</v>
      </c>
      <c r="AG629" s="18">
        <f t="shared" si="282"/>
        <v>2.3170501399056423E-5</v>
      </c>
      <c r="AH629" s="18">
        <f t="shared" si="284"/>
        <v>1.5582340465408887E-2</v>
      </c>
      <c r="AJ629" s="18">
        <f>IF(ISNUMBER(Kernel!M629),Kernel!M629,"")</f>
        <v>-0.12528109653017838</v>
      </c>
      <c r="AK629" s="18">
        <f t="shared" si="269"/>
        <v>1.5695353147803875E-2</v>
      </c>
      <c r="AN629" s="18">
        <f>IF(ISNUMBER(Volcanic!G629),Volcanic!G629,"")</f>
        <v>6.2199999999999998E-3</v>
      </c>
    </row>
    <row r="630" spans="1:40">
      <c r="A630" s="18" t="str">
        <f>IF(Volcanic!A630="","",Volcanic!A630)</f>
        <v>7/2010</v>
      </c>
      <c r="B630" s="18">
        <f>IF(ISNUMBER(Volcanic!L630),Volcanic!L630,"")</f>
        <v>2010.5416666666667</v>
      </c>
      <c r="C630" s="18">
        <f>IF(ISNUMBER(Volcanic!J630),Volcanic!J630,"")</f>
        <v>-0.13596352157676517</v>
      </c>
      <c r="D630" s="18">
        <f t="shared" si="262"/>
        <v>1.8486079199555486E-2</v>
      </c>
      <c r="E630" s="18">
        <f>IF(ISNUMBER(Volcanic!C630),Volcanic!C630,"")</f>
        <v>0.47956317953598965</v>
      </c>
      <c r="F630" s="18">
        <f>IF(ISNUMBER(Volcanic!D630),Volcanic!D630,"")</f>
        <v>0.38</v>
      </c>
      <c r="G630" s="18">
        <f>IF(ISNUMBER(Volcanic!E630),Volcanic!E630,"")</f>
        <v>7.7200000000000003E-3</v>
      </c>
      <c r="H630" s="18">
        <f t="shared" si="263"/>
        <v>0.22998084316666784</v>
      </c>
      <c r="I630" s="18">
        <f t="shared" si="264"/>
        <v>0.1444</v>
      </c>
      <c r="J630" s="18">
        <f t="shared" si="265"/>
        <v>5.9598400000000002E-5</v>
      </c>
      <c r="K630" s="18">
        <f t="shared" si="266"/>
        <v>0.18223400822367608</v>
      </c>
      <c r="L630" s="18">
        <f t="shared" si="267"/>
        <v>3.7022277460178402E-3</v>
      </c>
      <c r="M630" s="18">
        <f t="shared" si="268"/>
        <v>2.9336000000000002E-3</v>
      </c>
      <c r="N630" s="18">
        <f t="shared" si="270"/>
        <v>2.2562419810564491E-2</v>
      </c>
      <c r="O630" s="18">
        <f t="shared" si="273"/>
        <v>1.3960530449598418E-2</v>
      </c>
      <c r="P630" s="18">
        <f t="shared" si="275"/>
        <v>1.2267936913442667E-3</v>
      </c>
      <c r="Q630" s="18">
        <f t="shared" si="277"/>
        <v>2.046576876210487E-3</v>
      </c>
      <c r="R630" s="18">
        <f t="shared" si="279"/>
        <v>9.1325789576619158E-5</v>
      </c>
      <c r="S630" s="18">
        <f t="shared" si="281"/>
        <v>2.754973507232578E-3</v>
      </c>
      <c r="T630" s="18">
        <f t="shared" si="283"/>
        <v>8.9902887117635135E-3</v>
      </c>
      <c r="U630" s="18">
        <f t="shared" si="285"/>
        <v>3.5628596667229583E-3</v>
      </c>
      <c r="V630" s="18">
        <f t="shared" si="286"/>
        <v>4.8364643338364753E-3</v>
      </c>
      <c r="W630" s="18">
        <f t="shared" si="287"/>
        <v>1.1881672070010315E-4</v>
      </c>
      <c r="X630" s="18">
        <f t="shared" si="288"/>
        <v>1.1644724255622771E-5</v>
      </c>
      <c r="Y630" s="18">
        <f t="shared" si="289"/>
        <v>3.9308596254159457E-3</v>
      </c>
      <c r="AA630" s="18">
        <f t="shared" si="271"/>
        <v>-6.0438642042346197E-2</v>
      </c>
      <c r="AB630" s="18">
        <f t="shared" si="272"/>
        <v>3.6528294519228574E-3</v>
      </c>
      <c r="AC630" s="18">
        <f t="shared" si="274"/>
        <v>8.2445455450973048E-3</v>
      </c>
      <c r="AD630" s="18">
        <f t="shared" si="276"/>
        <v>1.010904186215522E-2</v>
      </c>
      <c r="AE630" s="18">
        <f t="shared" si="278"/>
        <v>3.3375969950072077E-3</v>
      </c>
      <c r="AF630" s="18">
        <f t="shared" si="280"/>
        <v>2.5044133133711156E-3</v>
      </c>
      <c r="AG630" s="18">
        <f t="shared" si="282"/>
        <v>2.8340212384447296E-4</v>
      </c>
      <c r="AH630" s="18">
        <f t="shared" si="284"/>
        <v>2.3170501399056423E-5</v>
      </c>
      <c r="AJ630" s="18">
        <f>IF(ISNUMBER(Kernel!M630),Kernel!M630,"")</f>
        <v>-0.12653160956236875</v>
      </c>
      <c r="AK630" s="18">
        <f t="shared" si="269"/>
        <v>1.6010248218443726E-2</v>
      </c>
      <c r="AN630" s="18">
        <f>IF(ISNUMBER(Volcanic!G630),Volcanic!G630,"")</f>
        <v>6.3099999999999996E-3</v>
      </c>
    </row>
    <row r="631" spans="1:40">
      <c r="A631" s="18" t="str">
        <f>IF(Volcanic!A631="","",Volcanic!A631)</f>
        <v>8/2010</v>
      </c>
      <c r="B631" s="18">
        <f>IF(ISNUMBER(Volcanic!L631),Volcanic!L631,"")</f>
        <v>2010.625</v>
      </c>
      <c r="C631" s="18">
        <f>IF(ISNUMBER(Volcanic!J631),Volcanic!J631,"")</f>
        <v>-2.863394086644877E-2</v>
      </c>
      <c r="D631" s="18">
        <f t="shared" si="262"/>
        <v>8.19902569543285E-4</v>
      </c>
      <c r="E631" s="18">
        <f>IF(ISNUMBER(Volcanic!C631),Volcanic!C631,"")</f>
        <v>0.47263630384637006</v>
      </c>
      <c r="F631" s="18">
        <f>IF(ISNUMBER(Volcanic!D631),Volcanic!D631,"")</f>
        <v>-0.16</v>
      </c>
      <c r="G631" s="18">
        <f>IF(ISNUMBER(Volcanic!E631),Volcanic!E631,"")</f>
        <v>6.96E-3</v>
      </c>
      <c r="H631" s="18">
        <f t="shared" si="263"/>
        <v>0.22338507571355826</v>
      </c>
      <c r="I631" s="18">
        <f t="shared" si="264"/>
        <v>2.5600000000000001E-2</v>
      </c>
      <c r="J631" s="18">
        <f t="shared" si="265"/>
        <v>4.8441600000000001E-5</v>
      </c>
      <c r="K631" s="18">
        <f t="shared" si="266"/>
        <v>-7.5621808615419214E-2</v>
      </c>
      <c r="L631" s="18">
        <f t="shared" si="267"/>
        <v>3.2895486747707356E-3</v>
      </c>
      <c r="M631" s="18">
        <f t="shared" si="268"/>
        <v>-1.1136E-3</v>
      </c>
      <c r="N631" s="18">
        <f t="shared" si="270"/>
        <v>1.8486079199555486E-2</v>
      </c>
      <c r="O631" s="18">
        <f t="shared" si="273"/>
        <v>2.2562419810564491E-2</v>
      </c>
      <c r="P631" s="18">
        <f t="shared" si="275"/>
        <v>1.3960530449598418E-2</v>
      </c>
      <c r="Q631" s="18">
        <f t="shared" si="277"/>
        <v>1.2267936913442667E-3</v>
      </c>
      <c r="R631" s="18">
        <f t="shared" si="279"/>
        <v>2.046576876210487E-3</v>
      </c>
      <c r="S631" s="18">
        <f t="shared" si="281"/>
        <v>9.1325789576619158E-5</v>
      </c>
      <c r="T631" s="18">
        <f t="shared" si="283"/>
        <v>2.754973507232578E-3</v>
      </c>
      <c r="U631" s="18">
        <f t="shared" si="285"/>
        <v>8.9902887117635135E-3</v>
      </c>
      <c r="V631" s="18">
        <f t="shared" si="286"/>
        <v>3.5628596667229583E-3</v>
      </c>
      <c r="W631" s="18">
        <f t="shared" si="287"/>
        <v>4.8364643338364753E-3</v>
      </c>
      <c r="X631" s="18">
        <f t="shared" si="288"/>
        <v>1.1881672070010315E-4</v>
      </c>
      <c r="Y631" s="18">
        <f t="shared" si="289"/>
        <v>1.1644724255622771E-5</v>
      </c>
      <c r="AA631" s="18">
        <f t="shared" si="271"/>
        <v>3.9728822270224368E-2</v>
      </c>
      <c r="AB631" s="18">
        <f t="shared" si="272"/>
        <v>1.5783793189790758E-3</v>
      </c>
      <c r="AC631" s="18">
        <f t="shared" si="274"/>
        <v>3.6528294519228574E-3</v>
      </c>
      <c r="AD631" s="18">
        <f t="shared" si="276"/>
        <v>8.2445455450973048E-3</v>
      </c>
      <c r="AE631" s="18">
        <f t="shared" si="278"/>
        <v>1.010904186215522E-2</v>
      </c>
      <c r="AF631" s="18">
        <f t="shared" si="280"/>
        <v>3.3375969950072077E-3</v>
      </c>
      <c r="AG631" s="18">
        <f t="shared" si="282"/>
        <v>2.5044133133711156E-3</v>
      </c>
      <c r="AH631" s="18">
        <f t="shared" si="284"/>
        <v>2.8340212384447296E-4</v>
      </c>
      <c r="AJ631" s="18">
        <f>IF(ISNUMBER(Kernel!M631),Kernel!M631,"")</f>
        <v>-3.7561238300495514E-2</v>
      </c>
      <c r="AK631" s="18">
        <f t="shared" si="269"/>
        <v>1.4108466226666111E-3</v>
      </c>
      <c r="AN631" s="18">
        <f>IF(ISNUMBER(Volcanic!G631),Volcanic!G631,"")</f>
        <v>6.2399999999999999E-3</v>
      </c>
    </row>
    <row r="632" spans="1:40">
      <c r="A632" s="18" t="str">
        <f>IF(Volcanic!A632="","",Volcanic!A632)</f>
        <v>9/2010</v>
      </c>
      <c r="B632" s="18">
        <f>IF(ISNUMBER(Volcanic!L632),Volcanic!L632,"")</f>
        <v>2010.7083333333333</v>
      </c>
      <c r="C632" s="18">
        <f>IF(ISNUMBER(Volcanic!J632),Volcanic!J632,"")</f>
        <v>-8.2787034155478167E-3</v>
      </c>
      <c r="D632" s="18">
        <f t="shared" si="262"/>
        <v>6.853693024260309E-5</v>
      </c>
      <c r="E632" s="18">
        <f>IF(ISNUMBER(Volcanic!C632),Volcanic!C632,"")</f>
        <v>0.46701857168978234</v>
      </c>
      <c r="F632" s="18">
        <f>IF(ISNUMBER(Volcanic!D632),Volcanic!D632,"")</f>
        <v>-0.66</v>
      </c>
      <c r="G632" s="18">
        <f>IF(ISNUMBER(Volcanic!E632),Volcanic!E632,"")</f>
        <v>6.3400000000000001E-3</v>
      </c>
      <c r="H632" s="18">
        <f t="shared" si="263"/>
        <v>0.21810634630316436</v>
      </c>
      <c r="I632" s="18">
        <f t="shared" si="264"/>
        <v>0.43560000000000004</v>
      </c>
      <c r="J632" s="18">
        <f t="shared" si="265"/>
        <v>4.0195600000000005E-5</v>
      </c>
      <c r="K632" s="18">
        <f t="shared" si="266"/>
        <v>-0.30823225731525633</v>
      </c>
      <c r="L632" s="18">
        <f t="shared" si="267"/>
        <v>2.9608977445132203E-3</v>
      </c>
      <c r="M632" s="18">
        <f t="shared" si="268"/>
        <v>-4.1844000000000004E-3</v>
      </c>
      <c r="N632" s="18">
        <f t="shared" si="270"/>
        <v>8.19902569543285E-4</v>
      </c>
      <c r="O632" s="18">
        <f t="shared" si="273"/>
        <v>1.8486079199555486E-2</v>
      </c>
      <c r="P632" s="18">
        <f t="shared" si="275"/>
        <v>2.2562419810564491E-2</v>
      </c>
      <c r="Q632" s="18">
        <f t="shared" si="277"/>
        <v>1.3960530449598418E-2</v>
      </c>
      <c r="R632" s="18">
        <f t="shared" si="279"/>
        <v>1.2267936913442667E-3</v>
      </c>
      <c r="S632" s="18">
        <f t="shared" si="281"/>
        <v>2.046576876210487E-3</v>
      </c>
      <c r="T632" s="18">
        <f t="shared" si="283"/>
        <v>9.1325789576619158E-5</v>
      </c>
      <c r="U632" s="18">
        <f t="shared" si="285"/>
        <v>2.754973507232578E-3</v>
      </c>
      <c r="V632" s="18">
        <f t="shared" si="286"/>
        <v>8.9902887117635135E-3</v>
      </c>
      <c r="W632" s="18">
        <f t="shared" si="287"/>
        <v>3.5628596667229583E-3</v>
      </c>
      <c r="X632" s="18">
        <f t="shared" si="288"/>
        <v>4.8364643338364753E-3</v>
      </c>
      <c r="Y632" s="18">
        <f t="shared" si="289"/>
        <v>1.1881672070010315E-4</v>
      </c>
      <c r="AA632" s="18">
        <f t="shared" si="271"/>
        <v>6.1185061773012372E-3</v>
      </c>
      <c r="AB632" s="18">
        <f t="shared" si="272"/>
        <v>3.7436117841673396E-5</v>
      </c>
      <c r="AC632" s="18">
        <f t="shared" si="274"/>
        <v>1.5783793189790758E-3</v>
      </c>
      <c r="AD632" s="18">
        <f t="shared" si="276"/>
        <v>3.6528294519228574E-3</v>
      </c>
      <c r="AE632" s="18">
        <f t="shared" si="278"/>
        <v>8.2445455450973048E-3</v>
      </c>
      <c r="AF632" s="18">
        <f t="shared" si="280"/>
        <v>1.010904186215522E-2</v>
      </c>
      <c r="AG632" s="18">
        <f t="shared" si="282"/>
        <v>3.3375969950072077E-3</v>
      </c>
      <c r="AH632" s="18">
        <f t="shared" si="284"/>
        <v>2.5044133133711156E-3</v>
      </c>
      <c r="AJ632" s="18">
        <f>IF(ISNUMBER(Kernel!M632),Kernel!M632,"")</f>
        <v>-3.2718917533164804E-2</v>
      </c>
      <c r="AK632" s="18">
        <f t="shared" si="269"/>
        <v>1.0705275645420391E-3</v>
      </c>
      <c r="AN632" s="18">
        <f>IF(ISNUMBER(Volcanic!G632),Volcanic!G632,"")</f>
        <v>6.0800000000000003E-3</v>
      </c>
    </row>
    <row r="633" spans="1:40">
      <c r="A633" s="18" t="str">
        <f>IF(Volcanic!A633="","",Volcanic!A633)</f>
        <v>10/2010</v>
      </c>
      <c r="B633" s="18">
        <f>IF(ISNUMBER(Volcanic!L633),Volcanic!L633,"")</f>
        <v>2010.7916666666667</v>
      </c>
      <c r="C633" s="18">
        <f>IF(ISNUMBER(Volcanic!J633),Volcanic!J633,"")</f>
        <v>9.7615137121166873E-2</v>
      </c>
      <c r="D633" s="18">
        <f t="shared" si="262"/>
        <v>9.52871499518421E-3</v>
      </c>
      <c r="E633" s="18">
        <f>IF(ISNUMBER(Volcanic!C633),Volcanic!C633,"")</f>
        <v>0.46850884379594554</v>
      </c>
      <c r="F633" s="18">
        <f>IF(ISNUMBER(Volcanic!D633),Volcanic!D633,"")</f>
        <v>-0.98</v>
      </c>
      <c r="G633" s="18">
        <f>IF(ISNUMBER(Volcanic!E633),Volcanic!E633,"")</f>
        <v>6.4599999999999996E-3</v>
      </c>
      <c r="H633" s="18">
        <f t="shared" si="263"/>
        <v>0.21950053671501371</v>
      </c>
      <c r="I633" s="18">
        <f t="shared" si="264"/>
        <v>0.96039999999999992</v>
      </c>
      <c r="J633" s="18">
        <f t="shared" si="265"/>
        <v>4.1731599999999992E-5</v>
      </c>
      <c r="K633" s="18">
        <f t="shared" si="266"/>
        <v>-0.45913866692002664</v>
      </c>
      <c r="L633" s="18">
        <f t="shared" si="267"/>
        <v>3.0265671309218081E-3</v>
      </c>
      <c r="M633" s="18">
        <f t="shared" si="268"/>
        <v>-6.3307999999999993E-3</v>
      </c>
      <c r="N633" s="18">
        <f t="shared" si="270"/>
        <v>6.853693024260309E-5</v>
      </c>
      <c r="O633" s="18">
        <f t="shared" si="273"/>
        <v>8.19902569543285E-4</v>
      </c>
      <c r="P633" s="18">
        <f t="shared" si="275"/>
        <v>1.8486079199555486E-2</v>
      </c>
      <c r="Q633" s="18">
        <f t="shared" si="277"/>
        <v>2.2562419810564491E-2</v>
      </c>
      <c r="R633" s="18">
        <f t="shared" si="279"/>
        <v>1.3960530449598418E-2</v>
      </c>
      <c r="S633" s="18">
        <f t="shared" si="281"/>
        <v>1.2267936913442667E-3</v>
      </c>
      <c r="T633" s="18">
        <f t="shared" si="283"/>
        <v>2.046576876210487E-3</v>
      </c>
      <c r="U633" s="18">
        <f t="shared" si="285"/>
        <v>9.1325789576619158E-5</v>
      </c>
      <c r="V633" s="18">
        <f t="shared" si="286"/>
        <v>2.754973507232578E-3</v>
      </c>
      <c r="W633" s="18">
        <f t="shared" si="287"/>
        <v>8.9902887117635135E-3</v>
      </c>
      <c r="X633" s="18">
        <f t="shared" si="288"/>
        <v>3.5628596667229583E-3</v>
      </c>
      <c r="Y633" s="18">
        <f t="shared" si="289"/>
        <v>4.8364643338364753E-3</v>
      </c>
      <c r="AA633" s="18">
        <f t="shared" si="271"/>
        <v>0.10177768773851259</v>
      </c>
      <c r="AB633" s="18">
        <f t="shared" si="272"/>
        <v>1.0358697721398176E-2</v>
      </c>
      <c r="AC633" s="18">
        <f t="shared" si="274"/>
        <v>3.7436117841673396E-5</v>
      </c>
      <c r="AD633" s="18">
        <f t="shared" si="276"/>
        <v>1.5783793189790758E-3</v>
      </c>
      <c r="AE633" s="18">
        <f t="shared" si="278"/>
        <v>3.6528294519228574E-3</v>
      </c>
      <c r="AF633" s="18">
        <f t="shared" si="280"/>
        <v>8.2445455450973048E-3</v>
      </c>
      <c r="AG633" s="18">
        <f t="shared" si="282"/>
        <v>1.010904186215522E-2</v>
      </c>
      <c r="AH633" s="18">
        <f t="shared" si="284"/>
        <v>3.3375969950072077E-3</v>
      </c>
      <c r="AJ633" s="18">
        <f>IF(ISNUMBER(Kernel!M633),Kernel!M633,"")</f>
        <v>7.065061055869104E-2</v>
      </c>
      <c r="AK633" s="18">
        <f t="shared" si="269"/>
        <v>4.9915087723158263E-3</v>
      </c>
      <c r="AN633" s="18">
        <f>IF(ISNUMBER(Volcanic!G633),Volcanic!G633,"")</f>
        <v>5.8500000000000002E-3</v>
      </c>
    </row>
    <row r="634" spans="1:40">
      <c r="A634" s="18" t="str">
        <f>IF(Volcanic!A634="","",Volcanic!A634)</f>
        <v>11/2010</v>
      </c>
      <c r="B634" s="18">
        <f>IF(ISNUMBER(Volcanic!L634),Volcanic!L634,"")</f>
        <v>2010.875</v>
      </c>
      <c r="C634" s="18">
        <f>IF(ISNUMBER(Volcanic!J634),Volcanic!J634,"")</f>
        <v>0.20734195567481251</v>
      </c>
      <c r="D634" s="18">
        <f t="shared" si="262"/>
        <v>4.2990686583055916E-2</v>
      </c>
      <c r="E634" s="18">
        <f>IF(ISNUMBER(Volcanic!C634),Volcanic!C634,"")</f>
        <v>0.47386111287143712</v>
      </c>
      <c r="F634" s="18">
        <f>IF(ISNUMBER(Volcanic!D634),Volcanic!D634,"")</f>
        <v>-1.24</v>
      </c>
      <c r="G634" s="18">
        <f>IF(ISNUMBER(Volcanic!E634),Volcanic!E634,"")</f>
        <v>6.5500000000000003E-3</v>
      </c>
      <c r="H634" s="18">
        <f t="shared" si="263"/>
        <v>0.22454435429175687</v>
      </c>
      <c r="I634" s="18">
        <f t="shared" si="264"/>
        <v>1.5376000000000001</v>
      </c>
      <c r="J634" s="18">
        <f t="shared" si="265"/>
        <v>4.2902500000000005E-5</v>
      </c>
      <c r="K634" s="18">
        <f t="shared" si="266"/>
        <v>-0.58758777996058198</v>
      </c>
      <c r="L634" s="18">
        <f t="shared" si="267"/>
        <v>3.1037902893079131E-3</v>
      </c>
      <c r="M634" s="18">
        <f t="shared" si="268"/>
        <v>-8.1220000000000007E-3</v>
      </c>
      <c r="N634" s="18">
        <f t="shared" si="270"/>
        <v>9.52871499518421E-3</v>
      </c>
      <c r="O634" s="18">
        <f t="shared" si="273"/>
        <v>6.853693024260309E-5</v>
      </c>
      <c r="P634" s="18">
        <f t="shared" si="275"/>
        <v>8.19902569543285E-4</v>
      </c>
      <c r="Q634" s="18">
        <f t="shared" si="277"/>
        <v>1.8486079199555486E-2</v>
      </c>
      <c r="R634" s="18">
        <f t="shared" si="279"/>
        <v>2.2562419810564491E-2</v>
      </c>
      <c r="S634" s="18">
        <f t="shared" si="281"/>
        <v>1.3960530449598418E-2</v>
      </c>
      <c r="T634" s="18">
        <f t="shared" si="283"/>
        <v>1.2267936913442667E-3</v>
      </c>
      <c r="U634" s="18">
        <f t="shared" si="285"/>
        <v>2.046576876210487E-3</v>
      </c>
      <c r="V634" s="18">
        <f t="shared" si="286"/>
        <v>9.1325789576619158E-5</v>
      </c>
      <c r="W634" s="18">
        <f t="shared" si="287"/>
        <v>2.754973507232578E-3</v>
      </c>
      <c r="X634" s="18">
        <f t="shared" si="288"/>
        <v>8.9902887117635135E-3</v>
      </c>
      <c r="Y634" s="18">
        <f t="shared" si="289"/>
        <v>3.5628596667229583E-3</v>
      </c>
      <c r="AA634" s="18">
        <f t="shared" si="271"/>
        <v>0.15826084612293553</v>
      </c>
      <c r="AB634" s="18">
        <f t="shared" si="272"/>
        <v>2.504649541554748E-2</v>
      </c>
      <c r="AC634" s="18">
        <f t="shared" si="274"/>
        <v>1.0358697721398176E-2</v>
      </c>
      <c r="AD634" s="18">
        <f t="shared" si="276"/>
        <v>3.7436117841673396E-5</v>
      </c>
      <c r="AE634" s="18">
        <f t="shared" si="278"/>
        <v>1.5783793189790758E-3</v>
      </c>
      <c r="AF634" s="18">
        <f t="shared" si="280"/>
        <v>3.6528294519228574E-3</v>
      </c>
      <c r="AG634" s="18">
        <f t="shared" si="282"/>
        <v>8.2445455450973048E-3</v>
      </c>
      <c r="AH634" s="18">
        <f t="shared" si="284"/>
        <v>1.010904186215522E-2</v>
      </c>
      <c r="AJ634" s="18">
        <f>IF(ISNUMBER(Kernel!M634),Kernel!M634,"")</f>
        <v>0.18005125525781551</v>
      </c>
      <c r="AK634" s="18">
        <f t="shared" si="269"/>
        <v>3.2418454519915041E-2</v>
      </c>
      <c r="AN634" s="18">
        <f>IF(ISNUMBER(Volcanic!G634),Volcanic!G634,"")</f>
        <v>6.0499999999999998E-3</v>
      </c>
    </row>
    <row r="635" spans="1:40">
      <c r="A635" s="18" t="str">
        <f>IF(Volcanic!A635="","",Volcanic!A635)</f>
        <v>12/2010</v>
      </c>
      <c r="B635" s="18">
        <f>IF(ISNUMBER(Volcanic!L635),Volcanic!L635,"")</f>
        <v>2010.9583333333333</v>
      </c>
      <c r="C635" s="18">
        <f>IF(ISNUMBER(Volcanic!J635),Volcanic!J635,"")</f>
        <v>-0.14691569462900556</v>
      </c>
      <c r="D635" s="18">
        <f t="shared" si="262"/>
        <v>2.1584221328323213E-2</v>
      </c>
      <c r="E635" s="18">
        <f>IF(ISNUMBER(Volcanic!C635),Volcanic!C635,"")</f>
        <v>0.47801030414984191</v>
      </c>
      <c r="F635" s="18">
        <f>IF(ISNUMBER(Volcanic!D635),Volcanic!D635,"")</f>
        <v>-1.43</v>
      </c>
      <c r="G635" s="18">
        <f>IF(ISNUMBER(Volcanic!E635),Volcanic!E635,"")</f>
        <v>6.2899999999999996E-3</v>
      </c>
      <c r="H635" s="18">
        <f t="shared" si="263"/>
        <v>0.22849385087342439</v>
      </c>
      <c r="I635" s="18">
        <f t="shared" si="264"/>
        <v>2.0448999999999997</v>
      </c>
      <c r="J635" s="18">
        <f t="shared" si="265"/>
        <v>3.9564099999999996E-5</v>
      </c>
      <c r="K635" s="18">
        <f t="shared" si="266"/>
        <v>-0.68355473493427388</v>
      </c>
      <c r="L635" s="18">
        <f t="shared" si="267"/>
        <v>3.0066848131025054E-3</v>
      </c>
      <c r="M635" s="18">
        <f t="shared" si="268"/>
        <v>-8.9946999999999996E-3</v>
      </c>
      <c r="N635" s="18">
        <f t="shared" si="270"/>
        <v>4.2990686583055916E-2</v>
      </c>
      <c r="O635" s="18">
        <f t="shared" si="273"/>
        <v>9.52871499518421E-3</v>
      </c>
      <c r="P635" s="18">
        <f t="shared" si="275"/>
        <v>6.853693024260309E-5</v>
      </c>
      <c r="Q635" s="18">
        <f t="shared" si="277"/>
        <v>8.19902569543285E-4</v>
      </c>
      <c r="R635" s="18">
        <f t="shared" si="279"/>
        <v>1.8486079199555486E-2</v>
      </c>
      <c r="S635" s="18">
        <f t="shared" si="281"/>
        <v>2.2562419810564491E-2</v>
      </c>
      <c r="T635" s="18">
        <f t="shared" si="283"/>
        <v>1.3960530449598418E-2</v>
      </c>
      <c r="U635" s="18">
        <f t="shared" si="285"/>
        <v>1.2267936913442667E-3</v>
      </c>
      <c r="V635" s="18">
        <f t="shared" si="286"/>
        <v>2.046576876210487E-3</v>
      </c>
      <c r="W635" s="18">
        <f t="shared" si="287"/>
        <v>9.1325789576619158E-5</v>
      </c>
      <c r="X635" s="18">
        <f t="shared" si="288"/>
        <v>2.754973507232578E-3</v>
      </c>
      <c r="Y635" s="18">
        <f t="shared" si="289"/>
        <v>8.9902887117635135E-3</v>
      </c>
      <c r="AA635" s="18">
        <f t="shared" si="271"/>
        <v>-0.25116769428090385</v>
      </c>
      <c r="AB635" s="18">
        <f t="shared" si="272"/>
        <v>6.3085210650385581E-2</v>
      </c>
      <c r="AC635" s="18">
        <f t="shared" si="274"/>
        <v>2.504649541554748E-2</v>
      </c>
      <c r="AD635" s="18">
        <f t="shared" si="276"/>
        <v>1.0358697721398176E-2</v>
      </c>
      <c r="AE635" s="18">
        <f t="shared" si="278"/>
        <v>3.7436117841673396E-5</v>
      </c>
      <c r="AF635" s="18">
        <f t="shared" si="280"/>
        <v>1.5783793189790758E-3</v>
      </c>
      <c r="AG635" s="18">
        <f t="shared" si="282"/>
        <v>3.6528294519228574E-3</v>
      </c>
      <c r="AH635" s="18">
        <f t="shared" si="284"/>
        <v>8.2445455450973048E-3</v>
      </c>
      <c r="AJ635" s="18">
        <f>IF(ISNUMBER(Kernel!M635),Kernel!M635,"")</f>
        <v>-0.17268297266061861</v>
      </c>
      <c r="AK635" s="18">
        <f t="shared" si="269"/>
        <v>2.9819409046907951E-2</v>
      </c>
      <c r="AN635" s="18">
        <f>IF(ISNUMBER(Volcanic!G635),Volcanic!G635,"")</f>
        <v>6.9499999999999996E-3</v>
      </c>
    </row>
    <row r="636" spans="1:40">
      <c r="A636" s="18" t="str">
        <f>IF(Volcanic!A636="","",Volcanic!A636)</f>
        <v>1/2011</v>
      </c>
      <c r="B636" s="18">
        <f>IF(ISNUMBER(Volcanic!L636),Volcanic!L636,"")</f>
        <v>2011.0416666666667</v>
      </c>
      <c r="C636" s="18">
        <f>IF(ISNUMBER(Volcanic!J636),Volcanic!J636,"")</f>
        <v>-8.2068147418519533E-2</v>
      </c>
      <c r="D636" s="18">
        <f t="shared" si="262"/>
        <v>6.7351808207078544E-3</v>
      </c>
      <c r="E636" s="18">
        <f>IF(ISNUMBER(Volcanic!C636),Volcanic!C636,"")</f>
        <v>0.48358548034607413</v>
      </c>
      <c r="F636" s="18">
        <f>IF(ISNUMBER(Volcanic!D636),Volcanic!D636,"")</f>
        <v>-1.54</v>
      </c>
      <c r="G636" s="18">
        <f>IF(ISNUMBER(Volcanic!E636),Volcanic!E636,"")</f>
        <v>6.2199999999999998E-3</v>
      </c>
      <c r="H636" s="18">
        <f t="shared" si="263"/>
        <v>0.23385491680154324</v>
      </c>
      <c r="I636" s="18">
        <f t="shared" si="264"/>
        <v>2.3715999999999999</v>
      </c>
      <c r="J636" s="18">
        <f t="shared" si="265"/>
        <v>3.86884E-5</v>
      </c>
      <c r="K636" s="18">
        <f t="shared" si="266"/>
        <v>-0.74472163973295413</v>
      </c>
      <c r="L636" s="18">
        <f t="shared" si="267"/>
        <v>3.0079016877525809E-3</v>
      </c>
      <c r="M636" s="18">
        <f t="shared" si="268"/>
        <v>-9.5788000000000002E-3</v>
      </c>
      <c r="N636" s="18">
        <f t="shared" si="270"/>
        <v>2.1584221328323213E-2</v>
      </c>
      <c r="O636" s="18">
        <f t="shared" si="273"/>
        <v>4.2990686583055916E-2</v>
      </c>
      <c r="P636" s="18">
        <f t="shared" si="275"/>
        <v>9.52871499518421E-3</v>
      </c>
      <c r="Q636" s="18">
        <f t="shared" si="277"/>
        <v>6.853693024260309E-5</v>
      </c>
      <c r="R636" s="18">
        <f t="shared" si="279"/>
        <v>8.19902569543285E-4</v>
      </c>
      <c r="S636" s="18">
        <f t="shared" si="281"/>
        <v>1.8486079199555486E-2</v>
      </c>
      <c r="T636" s="18">
        <f t="shared" si="283"/>
        <v>2.2562419810564491E-2</v>
      </c>
      <c r="U636" s="18">
        <f t="shared" si="285"/>
        <v>1.3960530449598418E-2</v>
      </c>
      <c r="V636" s="18">
        <f t="shared" si="286"/>
        <v>1.2267936913442667E-3</v>
      </c>
      <c r="W636" s="18">
        <f t="shared" si="287"/>
        <v>2.046576876210487E-3</v>
      </c>
      <c r="X636" s="18">
        <f t="shared" si="288"/>
        <v>9.1325789576619158E-5</v>
      </c>
      <c r="Y636" s="18">
        <f t="shared" si="289"/>
        <v>2.754973507232578E-3</v>
      </c>
      <c r="AA636" s="18">
        <f t="shared" si="271"/>
        <v>-8.1986071439841962E-3</v>
      </c>
      <c r="AB636" s="18">
        <f t="shared" si="272"/>
        <v>6.7217159101388697E-5</v>
      </c>
      <c r="AC636" s="18">
        <f t="shared" si="274"/>
        <v>6.3085210650385581E-2</v>
      </c>
      <c r="AD636" s="18">
        <f t="shared" si="276"/>
        <v>2.504649541554748E-2</v>
      </c>
      <c r="AE636" s="18">
        <f t="shared" si="278"/>
        <v>1.0358697721398176E-2</v>
      </c>
      <c r="AF636" s="18">
        <f t="shared" si="280"/>
        <v>3.7436117841673396E-5</v>
      </c>
      <c r="AG636" s="18">
        <f t="shared" si="282"/>
        <v>1.5783793189790758E-3</v>
      </c>
      <c r="AH636" s="18">
        <f t="shared" si="284"/>
        <v>3.6528294519228574E-3</v>
      </c>
      <c r="AJ636" s="18">
        <f>IF(ISNUMBER(Kernel!M636),Kernel!M636,"")</f>
        <v>-0.10615775079396117</v>
      </c>
      <c r="AK636" s="18">
        <f t="shared" si="269"/>
        <v>1.1269468053632763E-2</v>
      </c>
      <c r="AN636" s="18">
        <f>IF(ISNUMBER(Volcanic!G636),Volcanic!G636,"")</f>
        <v>7.1999999999999998E-3</v>
      </c>
    </row>
    <row r="637" spans="1:40">
      <c r="A637" s="18" t="str">
        <f>IF(Volcanic!A637="","",Volcanic!A637)</f>
        <v>2/2011</v>
      </c>
      <c r="B637" s="18">
        <f>IF(ISNUMBER(Volcanic!L637),Volcanic!L637,"")</f>
        <v>2011.125</v>
      </c>
      <c r="C637" s="18">
        <f>IF(ISNUMBER(Volcanic!J637),Volcanic!J637,"")</f>
        <v>-0.13461026356637695</v>
      </c>
      <c r="D637" s="18">
        <f t="shared" si="262"/>
        <v>1.8119923057409469E-2</v>
      </c>
      <c r="E637" s="18">
        <f>IF(ISNUMBER(Volcanic!C637),Volcanic!C637,"")</f>
        <v>0.48561083266005051</v>
      </c>
      <c r="F637" s="18">
        <f>IF(ISNUMBER(Volcanic!D637),Volcanic!D637,"")</f>
        <v>-1.57</v>
      </c>
      <c r="G637" s="18">
        <f>IF(ISNUMBER(Volcanic!E637),Volcanic!E637,"")</f>
        <v>6.3099999999999996E-3</v>
      </c>
      <c r="H637" s="18">
        <f t="shared" si="263"/>
        <v>0.23581788079678759</v>
      </c>
      <c r="I637" s="18">
        <f t="shared" si="264"/>
        <v>2.4649000000000001</v>
      </c>
      <c r="J637" s="18">
        <f t="shared" si="265"/>
        <v>3.9816099999999993E-5</v>
      </c>
      <c r="K637" s="18">
        <f t="shared" si="266"/>
        <v>-0.76240900727627936</v>
      </c>
      <c r="L637" s="18">
        <f t="shared" si="267"/>
        <v>3.0642043540849186E-3</v>
      </c>
      <c r="M637" s="18">
        <f t="shared" si="268"/>
        <v>-9.9066999999999992E-3</v>
      </c>
      <c r="N637" s="18">
        <f t="shared" si="270"/>
        <v>6.7351808207078544E-3</v>
      </c>
      <c r="O637" s="18">
        <f t="shared" si="273"/>
        <v>2.1584221328323213E-2</v>
      </c>
      <c r="P637" s="18">
        <f t="shared" si="275"/>
        <v>4.2990686583055916E-2</v>
      </c>
      <c r="Q637" s="18">
        <f t="shared" si="277"/>
        <v>9.52871499518421E-3</v>
      </c>
      <c r="R637" s="18">
        <f t="shared" si="279"/>
        <v>6.853693024260309E-5</v>
      </c>
      <c r="S637" s="18">
        <f t="shared" si="281"/>
        <v>8.19902569543285E-4</v>
      </c>
      <c r="T637" s="18">
        <f t="shared" si="283"/>
        <v>1.8486079199555486E-2</v>
      </c>
      <c r="U637" s="18">
        <f t="shared" si="285"/>
        <v>2.2562419810564491E-2</v>
      </c>
      <c r="V637" s="18">
        <f t="shared" si="286"/>
        <v>1.3960530449598418E-2</v>
      </c>
      <c r="W637" s="18">
        <f t="shared" si="287"/>
        <v>1.2267936913442667E-3</v>
      </c>
      <c r="X637" s="18">
        <f t="shared" si="288"/>
        <v>2.046576876210487E-3</v>
      </c>
      <c r="Y637" s="18">
        <f t="shared" si="289"/>
        <v>9.1325789576619158E-5</v>
      </c>
      <c r="AA637" s="18">
        <f t="shared" si="271"/>
        <v>-9.3346215254196521E-2</v>
      </c>
      <c r="AB637" s="18">
        <f t="shared" si="272"/>
        <v>8.7135159022827917E-3</v>
      </c>
      <c r="AC637" s="18">
        <f t="shared" si="274"/>
        <v>6.7217159101388697E-5</v>
      </c>
      <c r="AD637" s="18">
        <f t="shared" si="276"/>
        <v>6.3085210650385581E-2</v>
      </c>
      <c r="AE637" s="18">
        <f t="shared" si="278"/>
        <v>2.504649541554748E-2</v>
      </c>
      <c r="AF637" s="18">
        <f t="shared" si="280"/>
        <v>1.0358697721398176E-2</v>
      </c>
      <c r="AG637" s="18">
        <f t="shared" si="282"/>
        <v>3.7436117841673396E-5</v>
      </c>
      <c r="AH637" s="18">
        <f t="shared" si="284"/>
        <v>1.5783793189790758E-3</v>
      </c>
      <c r="AJ637" s="18">
        <f>IF(ISNUMBER(Kernel!M637),Kernel!M637,"")</f>
        <v>-0.15679572834937672</v>
      </c>
      <c r="AK637" s="18">
        <f t="shared" si="269"/>
        <v>2.4584900428611538E-2</v>
      </c>
      <c r="AN637" s="18">
        <f>IF(ISNUMBER(Volcanic!G637),Volcanic!G637,"")</f>
        <v>7.1799999999999998E-3</v>
      </c>
    </row>
    <row r="638" spans="1:40">
      <c r="A638" s="18" t="str">
        <f>IF(Volcanic!A638="","",Volcanic!A638)</f>
        <v>3/2011</v>
      </c>
      <c r="B638" s="18">
        <f>IF(ISNUMBER(Volcanic!L638),Volcanic!L638,"")</f>
        <v>2011.2083333333333</v>
      </c>
      <c r="C638" s="18">
        <f>IF(ISNUMBER(Volcanic!J638),Volcanic!J638,"")</f>
        <v>2.9363911304914225E-2</v>
      </c>
      <c r="D638" s="18">
        <f t="shared" si="262"/>
        <v>8.6223928712286942E-4</v>
      </c>
      <c r="E638" s="18">
        <f>IF(ISNUMBER(Volcanic!C638),Volcanic!C638,"")</f>
        <v>0.48836810248236423</v>
      </c>
      <c r="F638" s="18">
        <f>IF(ISNUMBER(Volcanic!D638),Volcanic!D638,"")</f>
        <v>-1.48</v>
      </c>
      <c r="G638" s="18">
        <f>IF(ISNUMBER(Volcanic!E638),Volcanic!E638,"")</f>
        <v>6.2399999999999999E-3</v>
      </c>
      <c r="H638" s="18">
        <f t="shared" si="263"/>
        <v>0.23850340352222502</v>
      </c>
      <c r="I638" s="18">
        <f t="shared" si="264"/>
        <v>2.1903999999999999</v>
      </c>
      <c r="J638" s="18">
        <f t="shared" si="265"/>
        <v>3.8937599999999998E-5</v>
      </c>
      <c r="K638" s="18">
        <f t="shared" si="266"/>
        <v>-0.72278479167389909</v>
      </c>
      <c r="L638" s="18">
        <f t="shared" si="267"/>
        <v>3.0474169594899526E-3</v>
      </c>
      <c r="M638" s="18">
        <f t="shared" si="268"/>
        <v>-9.235199999999999E-3</v>
      </c>
      <c r="N638" s="18">
        <f t="shared" si="270"/>
        <v>1.8119923057409469E-2</v>
      </c>
      <c r="O638" s="18">
        <f t="shared" si="273"/>
        <v>6.7351808207078544E-3</v>
      </c>
      <c r="P638" s="18">
        <f t="shared" si="275"/>
        <v>2.1584221328323213E-2</v>
      </c>
      <c r="Q638" s="18">
        <f t="shared" si="277"/>
        <v>4.2990686583055916E-2</v>
      </c>
      <c r="R638" s="18">
        <f t="shared" si="279"/>
        <v>9.52871499518421E-3</v>
      </c>
      <c r="S638" s="18">
        <f t="shared" si="281"/>
        <v>6.853693024260309E-5</v>
      </c>
      <c r="T638" s="18">
        <f t="shared" si="283"/>
        <v>8.19902569543285E-4</v>
      </c>
      <c r="U638" s="18">
        <f t="shared" si="285"/>
        <v>1.8486079199555486E-2</v>
      </c>
      <c r="V638" s="18">
        <f t="shared" si="286"/>
        <v>2.2562419810564491E-2</v>
      </c>
      <c r="W638" s="18">
        <f t="shared" si="287"/>
        <v>1.3960530449598418E-2</v>
      </c>
      <c r="X638" s="18">
        <f t="shared" si="288"/>
        <v>1.2267936913442667E-3</v>
      </c>
      <c r="Y638" s="18">
        <f t="shared" si="289"/>
        <v>2.046576876210487E-3</v>
      </c>
      <c r="AA638" s="18">
        <f t="shared" si="271"/>
        <v>9.7046253283367051E-2</v>
      </c>
      <c r="AB638" s="18">
        <f t="shared" si="272"/>
        <v>9.4179752763394308E-3</v>
      </c>
      <c r="AC638" s="18">
        <f t="shared" si="274"/>
        <v>8.7135159022827917E-3</v>
      </c>
      <c r="AD638" s="18">
        <f t="shared" si="276"/>
        <v>6.7217159101388697E-5</v>
      </c>
      <c r="AE638" s="18">
        <f t="shared" si="278"/>
        <v>6.3085210650385581E-2</v>
      </c>
      <c r="AF638" s="18">
        <f t="shared" si="280"/>
        <v>2.504649541554748E-2</v>
      </c>
      <c r="AG638" s="18">
        <f t="shared" si="282"/>
        <v>1.0358697721398176E-2</v>
      </c>
      <c r="AH638" s="18">
        <f t="shared" si="284"/>
        <v>3.7436117841673396E-5</v>
      </c>
      <c r="AJ638" s="18">
        <f>IF(ISNUMBER(Kernel!M638),Kernel!M638,"")</f>
        <v>1.5254359690693664E-2</v>
      </c>
      <c r="AK638" s="18">
        <f t="shared" si="269"/>
        <v>2.3269548957305968E-4</v>
      </c>
      <c r="AN638" s="18">
        <f>IF(ISNUMBER(Volcanic!G638),Volcanic!G638,"")</f>
        <v>7.0099999999999997E-3</v>
      </c>
    </row>
    <row r="639" spans="1:40">
      <c r="A639" s="18" t="str">
        <f>IF(Volcanic!A639="","",Volcanic!A639)</f>
        <v>4/2011</v>
      </c>
      <c r="B639" s="18">
        <f>IF(ISNUMBER(Volcanic!L639),Volcanic!L639,"")</f>
        <v>2011.2916666666667</v>
      </c>
      <c r="C639" s="18">
        <f>IF(ISNUMBER(Volcanic!J639),Volcanic!J639,"")</f>
        <v>-5.0251315235575467E-3</v>
      </c>
      <c r="D639" s="18">
        <f t="shared" si="262"/>
        <v>2.525194682905179E-5</v>
      </c>
      <c r="E639" s="18">
        <f>IF(ISNUMBER(Volcanic!C639),Volcanic!C639,"")</f>
        <v>0.49071681287639107</v>
      </c>
      <c r="F639" s="18">
        <f>IF(ISNUMBER(Volcanic!D639),Volcanic!D639,"")</f>
        <v>-1.29</v>
      </c>
      <c r="G639" s="18">
        <f>IF(ISNUMBER(Volcanic!E639),Volcanic!E639,"")</f>
        <v>6.0800000000000003E-3</v>
      </c>
      <c r="H639" s="18">
        <f t="shared" si="263"/>
        <v>0.24080299043956302</v>
      </c>
      <c r="I639" s="18">
        <f t="shared" si="264"/>
        <v>1.6641000000000001</v>
      </c>
      <c r="J639" s="18">
        <f t="shared" si="265"/>
        <v>3.6966400000000006E-5</v>
      </c>
      <c r="K639" s="18">
        <f t="shared" si="266"/>
        <v>-0.63302468861054451</v>
      </c>
      <c r="L639" s="18">
        <f t="shared" si="267"/>
        <v>2.9835582222884579E-3</v>
      </c>
      <c r="M639" s="18">
        <f t="shared" si="268"/>
        <v>-7.8431999999999998E-3</v>
      </c>
      <c r="N639" s="18">
        <f t="shared" si="270"/>
        <v>8.6223928712286942E-4</v>
      </c>
      <c r="O639" s="18">
        <f t="shared" si="273"/>
        <v>1.8119923057409469E-2</v>
      </c>
      <c r="P639" s="18">
        <f t="shared" si="275"/>
        <v>6.7351808207078544E-3</v>
      </c>
      <c r="Q639" s="18">
        <f t="shared" si="277"/>
        <v>2.1584221328323213E-2</v>
      </c>
      <c r="R639" s="18">
        <f t="shared" si="279"/>
        <v>4.2990686583055916E-2</v>
      </c>
      <c r="S639" s="18">
        <f t="shared" si="281"/>
        <v>9.52871499518421E-3</v>
      </c>
      <c r="T639" s="18">
        <f t="shared" si="283"/>
        <v>6.853693024260309E-5</v>
      </c>
      <c r="U639" s="18">
        <f t="shared" si="285"/>
        <v>8.19902569543285E-4</v>
      </c>
      <c r="V639" s="18">
        <f t="shared" si="286"/>
        <v>1.8486079199555486E-2</v>
      </c>
      <c r="W639" s="18">
        <f t="shared" si="287"/>
        <v>2.2562419810564491E-2</v>
      </c>
      <c r="X639" s="18">
        <f t="shared" si="288"/>
        <v>1.3960530449598418E-2</v>
      </c>
      <c r="Y639" s="18">
        <f t="shared" si="289"/>
        <v>1.2267936913442667E-3</v>
      </c>
      <c r="AA639" s="18">
        <f t="shared" si="271"/>
        <v>-1.9789371887622774E-2</v>
      </c>
      <c r="AB639" s="18">
        <f t="shared" si="272"/>
        <v>3.9161923970663454E-4</v>
      </c>
      <c r="AC639" s="18">
        <f t="shared" si="274"/>
        <v>9.4179752763394308E-3</v>
      </c>
      <c r="AD639" s="18">
        <f t="shared" si="276"/>
        <v>8.7135159022827917E-3</v>
      </c>
      <c r="AE639" s="18">
        <f t="shared" si="278"/>
        <v>6.7217159101388697E-5</v>
      </c>
      <c r="AF639" s="18">
        <f t="shared" si="280"/>
        <v>6.3085210650385581E-2</v>
      </c>
      <c r="AG639" s="18">
        <f t="shared" si="282"/>
        <v>2.504649541554748E-2</v>
      </c>
      <c r="AH639" s="18">
        <f t="shared" si="284"/>
        <v>1.0358697721398176E-2</v>
      </c>
      <c r="AJ639" s="18">
        <f>IF(ISNUMBER(Kernel!M639),Kernel!M639,"")</f>
        <v>-5.2501822961833478E-3</v>
      </c>
      <c r="AK639" s="18">
        <f t="shared" si="269"/>
        <v>2.756441414315705E-5</v>
      </c>
      <c r="AN639" s="18">
        <f>IF(ISNUMBER(Volcanic!G639),Volcanic!G639,"")</f>
        <v>6.8100000000000001E-3</v>
      </c>
    </row>
    <row r="640" spans="1:40">
      <c r="A640" s="18" t="str">
        <f>IF(Volcanic!A640="","",Volcanic!A640)</f>
        <v>5/2011</v>
      </c>
      <c r="B640" s="18">
        <f>IF(ISNUMBER(Volcanic!L640),Volcanic!L640,"")</f>
        <v>2011.375</v>
      </c>
      <c r="C640" s="18">
        <f>IF(ISNUMBER(Volcanic!J640),Volcanic!J640,"")</f>
        <v>-0.14656322117656428</v>
      </c>
      <c r="D640" s="18">
        <f t="shared" si="262"/>
        <v>2.1480777801650502E-2</v>
      </c>
      <c r="E640" s="18">
        <f>IF(ISNUMBER(Volcanic!C640),Volcanic!C640,"")</f>
        <v>0.49426930357072107</v>
      </c>
      <c r="F640" s="18">
        <f>IF(ISNUMBER(Volcanic!D640),Volcanic!D640,"")</f>
        <v>-1.06</v>
      </c>
      <c r="G640" s="18">
        <f>IF(ISNUMBER(Volcanic!E640),Volcanic!E640,"")</f>
        <v>5.8500000000000002E-3</v>
      </c>
      <c r="H640" s="18">
        <f t="shared" si="263"/>
        <v>0.24430214445228562</v>
      </c>
      <c r="I640" s="18">
        <f t="shared" si="264"/>
        <v>1.1236000000000002</v>
      </c>
      <c r="J640" s="18">
        <f t="shared" si="265"/>
        <v>3.42225E-5</v>
      </c>
      <c r="K640" s="18">
        <f t="shared" si="266"/>
        <v>-0.52392546178496435</v>
      </c>
      <c r="L640" s="18">
        <f t="shared" si="267"/>
        <v>2.8914754258887185E-3</v>
      </c>
      <c r="M640" s="18">
        <f t="shared" si="268"/>
        <v>-6.2010000000000008E-3</v>
      </c>
      <c r="N640" s="18">
        <f t="shared" si="270"/>
        <v>2.525194682905179E-5</v>
      </c>
      <c r="O640" s="18">
        <f t="shared" si="273"/>
        <v>8.6223928712286942E-4</v>
      </c>
      <c r="P640" s="18">
        <f t="shared" si="275"/>
        <v>1.8119923057409469E-2</v>
      </c>
      <c r="Q640" s="18">
        <f t="shared" si="277"/>
        <v>6.7351808207078544E-3</v>
      </c>
      <c r="R640" s="18">
        <f t="shared" si="279"/>
        <v>2.1584221328323213E-2</v>
      </c>
      <c r="S640" s="18">
        <f t="shared" si="281"/>
        <v>4.2990686583055916E-2</v>
      </c>
      <c r="T640" s="18">
        <f t="shared" si="283"/>
        <v>9.52871499518421E-3</v>
      </c>
      <c r="U640" s="18">
        <f t="shared" si="285"/>
        <v>6.853693024260309E-5</v>
      </c>
      <c r="V640" s="18">
        <f t="shared" si="286"/>
        <v>8.19902569543285E-4</v>
      </c>
      <c r="W640" s="18">
        <f t="shared" si="287"/>
        <v>1.8486079199555486E-2</v>
      </c>
      <c r="X640" s="18">
        <f t="shared" si="288"/>
        <v>2.2562419810564491E-2</v>
      </c>
      <c r="Y640" s="18">
        <f t="shared" si="289"/>
        <v>1.3960530449598418E-2</v>
      </c>
      <c r="AA640" s="18">
        <f t="shared" si="271"/>
        <v>-0.14403657379282736</v>
      </c>
      <c r="AB640" s="18">
        <f t="shared" si="272"/>
        <v>2.0746534589976603E-2</v>
      </c>
      <c r="AC640" s="18">
        <f t="shared" si="274"/>
        <v>3.9161923970663454E-4</v>
      </c>
      <c r="AD640" s="18">
        <f t="shared" si="276"/>
        <v>9.4179752763394308E-3</v>
      </c>
      <c r="AE640" s="18">
        <f t="shared" si="278"/>
        <v>8.7135159022827917E-3</v>
      </c>
      <c r="AF640" s="18">
        <f t="shared" si="280"/>
        <v>6.7217159101388697E-5</v>
      </c>
      <c r="AG640" s="18">
        <f t="shared" si="282"/>
        <v>6.3085210650385581E-2</v>
      </c>
      <c r="AH640" s="18">
        <f t="shared" si="284"/>
        <v>2.504649541554748E-2</v>
      </c>
      <c r="AJ640" s="18">
        <f>IF(ISNUMBER(Kernel!M640),Kernel!M640,"")</f>
        <v>-0.13234468014113254</v>
      </c>
      <c r="AK640" s="18">
        <f t="shared" si="269"/>
        <v>1.7515114361658684E-2</v>
      </c>
      <c r="AN640" s="18">
        <f>IF(ISNUMBER(Volcanic!G640),Volcanic!G640,"")</f>
        <v>6.5500000000000003E-3</v>
      </c>
    </row>
    <row r="641" spans="1:40">
      <c r="A641" s="18" t="str">
        <f>IF(Volcanic!A641="","",Volcanic!A641)</f>
        <v>6/2011</v>
      </c>
      <c r="B641" s="18">
        <f>IF(ISNUMBER(Volcanic!L641),Volcanic!L641,"")</f>
        <v>2011.4583333333333</v>
      </c>
      <c r="C641" s="18">
        <f>IF(ISNUMBER(Volcanic!J641),Volcanic!J641,"")</f>
        <v>-7.1018221224514622E-2</v>
      </c>
      <c r="D641" s="18">
        <f t="shared" si="262"/>
        <v>5.0435877458940995E-3</v>
      </c>
      <c r="E641" s="18">
        <f>IF(ISNUMBER(Volcanic!C641),Volcanic!C641,"")</f>
        <v>0.49258570776646082</v>
      </c>
      <c r="F641" s="18">
        <f>IF(ISNUMBER(Volcanic!D641),Volcanic!D641,"")</f>
        <v>-0.85</v>
      </c>
      <c r="G641" s="18">
        <f>IF(ISNUMBER(Volcanic!E641),Volcanic!E641,"")</f>
        <v>6.0499999999999998E-3</v>
      </c>
      <c r="H641" s="18">
        <f t="shared" si="263"/>
        <v>0.24264067949578513</v>
      </c>
      <c r="I641" s="18">
        <f t="shared" si="264"/>
        <v>0.72249999999999992</v>
      </c>
      <c r="J641" s="18">
        <f t="shared" si="265"/>
        <v>3.6602500000000001E-5</v>
      </c>
      <c r="K641" s="18">
        <f t="shared" si="266"/>
        <v>-0.4186978516014917</v>
      </c>
      <c r="L641" s="18">
        <f t="shared" si="267"/>
        <v>2.9801435319870878E-3</v>
      </c>
      <c r="M641" s="18">
        <f t="shared" si="268"/>
        <v>-5.1424999999999995E-3</v>
      </c>
      <c r="N641" s="18">
        <f t="shared" si="270"/>
        <v>2.1480777801650502E-2</v>
      </c>
      <c r="O641" s="18">
        <f t="shared" si="273"/>
        <v>2.525194682905179E-5</v>
      </c>
      <c r="P641" s="18">
        <f t="shared" si="275"/>
        <v>8.6223928712286942E-4</v>
      </c>
      <c r="Q641" s="18">
        <f t="shared" si="277"/>
        <v>1.8119923057409469E-2</v>
      </c>
      <c r="R641" s="18">
        <f t="shared" si="279"/>
        <v>6.7351808207078544E-3</v>
      </c>
      <c r="S641" s="18">
        <f t="shared" si="281"/>
        <v>2.1584221328323213E-2</v>
      </c>
      <c r="T641" s="18">
        <f t="shared" si="283"/>
        <v>4.2990686583055916E-2</v>
      </c>
      <c r="U641" s="18">
        <f t="shared" si="285"/>
        <v>9.52871499518421E-3</v>
      </c>
      <c r="V641" s="18">
        <f t="shared" si="286"/>
        <v>6.853693024260309E-5</v>
      </c>
      <c r="W641" s="18">
        <f t="shared" si="287"/>
        <v>8.19902569543285E-4</v>
      </c>
      <c r="X641" s="18">
        <f t="shared" si="288"/>
        <v>1.8486079199555486E-2</v>
      </c>
      <c r="Y641" s="18">
        <f t="shared" si="289"/>
        <v>2.2562419810564491E-2</v>
      </c>
      <c r="AA641" s="18">
        <f t="shared" si="271"/>
        <v>2.6740946087752543E-3</v>
      </c>
      <c r="AB641" s="18">
        <f t="shared" si="272"/>
        <v>7.1507819766808807E-6</v>
      </c>
      <c r="AC641" s="18">
        <f t="shared" si="274"/>
        <v>2.0746534589976603E-2</v>
      </c>
      <c r="AD641" s="18">
        <f t="shared" si="276"/>
        <v>3.9161923970663454E-4</v>
      </c>
      <c r="AE641" s="18">
        <f t="shared" si="278"/>
        <v>9.4179752763394308E-3</v>
      </c>
      <c r="AF641" s="18">
        <f t="shared" si="280"/>
        <v>8.7135159022827917E-3</v>
      </c>
      <c r="AG641" s="18">
        <f t="shared" si="282"/>
        <v>6.7217159101388697E-5</v>
      </c>
      <c r="AH641" s="18">
        <f t="shared" si="284"/>
        <v>6.3085210650385581E-2</v>
      </c>
      <c r="AJ641" s="18">
        <f>IF(ISNUMBER(Kernel!M641),Kernel!M641,"")</f>
        <v>-4.7327207922114756E-2</v>
      </c>
      <c r="AK641" s="18">
        <f t="shared" si="269"/>
        <v>2.2398646097030817E-3</v>
      </c>
      <c r="AN641" s="18">
        <f>IF(ISNUMBER(Volcanic!G641),Volcanic!G641,"")</f>
        <v>7.5700000000000003E-3</v>
      </c>
    </row>
    <row r="642" spans="1:40">
      <c r="A642" s="18" t="str">
        <f>IF(Volcanic!A642="","",Volcanic!A642)</f>
        <v>7/2011</v>
      </c>
      <c r="B642" s="18">
        <f>IF(ISNUMBER(Volcanic!L642),Volcanic!L642,"")</f>
        <v>2011.5416666666667</v>
      </c>
      <c r="C642" s="18">
        <f>IF(ISNUMBER(Volcanic!J642),Volcanic!J642,"")</f>
        <v>1.7491624428032426E-2</v>
      </c>
      <c r="D642" s="18">
        <f t="shared" ref="D642:D705" si="290">IF(ISNUMBER(C642),C642^2,"")</f>
        <v>3.059569251313407E-4</v>
      </c>
      <c r="E642" s="18">
        <f>IF(ISNUMBER(Volcanic!C642),Volcanic!C642,"")</f>
        <v>0.48807424464635712</v>
      </c>
      <c r="F642" s="18">
        <f>IF(ISNUMBER(Volcanic!D642),Volcanic!D642,"")</f>
        <v>-0.68</v>
      </c>
      <c r="G642" s="18">
        <f>IF(ISNUMBER(Volcanic!E642),Volcanic!E642,"")</f>
        <v>6.9499999999999996E-3</v>
      </c>
      <c r="H642" s="18">
        <f t="shared" ref="H642:H705" si="291">IF(ISNUMBER(E642),E642^2,"")</f>
        <v>0.23821646828711207</v>
      </c>
      <c r="I642" s="18">
        <f t="shared" ref="I642:I705" si="292">IF(ISNUMBER(F642),F642^2,"")</f>
        <v>0.46240000000000009</v>
      </c>
      <c r="J642" s="18">
        <f t="shared" ref="J642:J705" si="293">IF(ISNUMBER(G642),G642^2,"")</f>
        <v>4.8302499999999994E-5</v>
      </c>
      <c r="K642" s="18">
        <f t="shared" ref="K642:K705" si="294">IF(AND(ISNUMBER(E642),ISNUMBER(F642)),E642*F642,"")</f>
        <v>-0.3318904863595229</v>
      </c>
      <c r="L642" s="18">
        <f t="shared" ref="L642:L705" si="295">IF(AND(ISNUMBER(E642),ISNUMBER(G642)),E642*G642,"")</f>
        <v>3.3921160002921818E-3</v>
      </c>
      <c r="M642" s="18">
        <f t="shared" ref="M642:M705" si="296">IF(AND(ISNUMBER(F642),ISNUMBER(G642)),F642*G642,"")</f>
        <v>-4.7260000000000002E-3</v>
      </c>
      <c r="N642" s="18">
        <f t="shared" si="270"/>
        <v>5.0435877458940995E-3</v>
      </c>
      <c r="O642" s="18">
        <f t="shared" si="273"/>
        <v>2.1480777801650502E-2</v>
      </c>
      <c r="P642" s="18">
        <f t="shared" si="275"/>
        <v>2.525194682905179E-5</v>
      </c>
      <c r="Q642" s="18">
        <f t="shared" si="277"/>
        <v>8.6223928712286942E-4</v>
      </c>
      <c r="R642" s="18">
        <f t="shared" si="279"/>
        <v>1.8119923057409469E-2</v>
      </c>
      <c r="S642" s="18">
        <f t="shared" si="281"/>
        <v>6.7351808207078544E-3</v>
      </c>
      <c r="T642" s="18">
        <f t="shared" si="283"/>
        <v>2.1584221328323213E-2</v>
      </c>
      <c r="U642" s="18">
        <f t="shared" si="285"/>
        <v>4.2990686583055916E-2</v>
      </c>
      <c r="V642" s="18">
        <f t="shared" si="286"/>
        <v>9.52871499518421E-3</v>
      </c>
      <c r="W642" s="18">
        <f t="shared" si="287"/>
        <v>6.853693024260309E-5</v>
      </c>
      <c r="X642" s="18">
        <f t="shared" si="288"/>
        <v>8.19902569543285E-4</v>
      </c>
      <c r="Y642" s="18">
        <f t="shared" si="289"/>
        <v>1.8486079199555486E-2</v>
      </c>
      <c r="AA642" s="18">
        <f t="shared" si="271"/>
        <v>5.3199745103755046E-2</v>
      </c>
      <c r="AB642" s="18">
        <f t="shared" si="272"/>
        <v>2.8302128791045092E-3</v>
      </c>
      <c r="AC642" s="18">
        <f t="shared" si="274"/>
        <v>7.1507819766808807E-6</v>
      </c>
      <c r="AD642" s="18">
        <f t="shared" si="276"/>
        <v>2.0746534589976603E-2</v>
      </c>
      <c r="AE642" s="18">
        <f t="shared" si="278"/>
        <v>3.9161923970663454E-4</v>
      </c>
      <c r="AF642" s="18">
        <f t="shared" si="280"/>
        <v>9.4179752763394308E-3</v>
      </c>
      <c r="AG642" s="18">
        <f t="shared" si="282"/>
        <v>8.7135159022827917E-3</v>
      </c>
      <c r="AH642" s="18">
        <f t="shared" si="284"/>
        <v>6.7217159101388697E-5</v>
      </c>
      <c r="AJ642" s="18">
        <f>IF(ISNUMBER(Kernel!M642),Kernel!M642,"")</f>
        <v>4.7879832993348415E-2</v>
      </c>
      <c r="AK642" s="18">
        <f t="shared" ref="AK642:AK705" si="297">IF(ISNUMBER(AJ642),AJ642^2,"")</f>
        <v>2.2924784074709356E-3</v>
      </c>
      <c r="AN642" s="18">
        <f>IF(ISNUMBER(Volcanic!G642),Volcanic!G642,"")</f>
        <v>9.1000000000000004E-3</v>
      </c>
    </row>
    <row r="643" spans="1:40">
      <c r="A643" s="18" t="str">
        <f>IF(Volcanic!A643="","",Volcanic!A643)</f>
        <v>8/2011</v>
      </c>
      <c r="B643" s="18">
        <f>IF(ISNUMBER(Volcanic!L643),Volcanic!L643,"")</f>
        <v>2011.625</v>
      </c>
      <c r="C643" s="18">
        <f>IF(ISNUMBER(Volcanic!J643),Volcanic!J643,"")</f>
        <v>5.5358291356849443E-2</v>
      </c>
      <c r="D643" s="18">
        <f t="shared" si="290"/>
        <v>3.0645404219498316E-3</v>
      </c>
      <c r="E643" s="18">
        <f>IF(ISNUMBER(Volcanic!C643),Volcanic!C643,"")</f>
        <v>0.47926752258572419</v>
      </c>
      <c r="F643" s="18">
        <f>IF(ISNUMBER(Volcanic!D643),Volcanic!D643,"")</f>
        <v>-0.5</v>
      </c>
      <c r="G643" s="18">
        <f>IF(ISNUMBER(Volcanic!E643),Volcanic!E643,"")</f>
        <v>7.1999999999999998E-3</v>
      </c>
      <c r="H643" s="18">
        <f t="shared" si="291"/>
        <v>0.22969735820545764</v>
      </c>
      <c r="I643" s="18">
        <f t="shared" si="292"/>
        <v>0.25</v>
      </c>
      <c r="J643" s="18">
        <f t="shared" si="293"/>
        <v>5.1839999999999998E-5</v>
      </c>
      <c r="K643" s="18">
        <f t="shared" si="294"/>
        <v>-0.2396337612928621</v>
      </c>
      <c r="L643" s="18">
        <f t="shared" si="295"/>
        <v>3.4507261626172143E-3</v>
      </c>
      <c r="M643" s="18">
        <f t="shared" si="296"/>
        <v>-3.5999999999999999E-3</v>
      </c>
      <c r="N643" s="18">
        <f t="shared" ref="N643:N706" si="298">IF(ISNUMBER(D642),D642,"")</f>
        <v>3.059569251313407E-4</v>
      </c>
      <c r="O643" s="18">
        <f t="shared" si="273"/>
        <v>5.0435877458940995E-3</v>
      </c>
      <c r="P643" s="18">
        <f t="shared" si="275"/>
        <v>2.1480777801650502E-2</v>
      </c>
      <c r="Q643" s="18">
        <f t="shared" si="277"/>
        <v>2.525194682905179E-5</v>
      </c>
      <c r="R643" s="18">
        <f t="shared" si="279"/>
        <v>8.6223928712286942E-4</v>
      </c>
      <c r="S643" s="18">
        <f t="shared" si="281"/>
        <v>1.8119923057409469E-2</v>
      </c>
      <c r="T643" s="18">
        <f t="shared" si="283"/>
        <v>6.7351808207078544E-3</v>
      </c>
      <c r="U643" s="18">
        <f t="shared" si="285"/>
        <v>2.1584221328323213E-2</v>
      </c>
      <c r="V643" s="18">
        <f t="shared" si="286"/>
        <v>4.2990686583055916E-2</v>
      </c>
      <c r="W643" s="18">
        <f t="shared" si="287"/>
        <v>9.52871499518421E-3</v>
      </c>
      <c r="X643" s="18">
        <f t="shared" si="288"/>
        <v>6.853693024260309E-5</v>
      </c>
      <c r="Y643" s="18">
        <f t="shared" si="289"/>
        <v>8.19902569543285E-4</v>
      </c>
      <c r="AA643" s="18">
        <f t="shared" ref="AA643:AA706" si="299">IF(AND(ISNUMBER(C643),ISNUMBER(C642)),C643-$AX$16*C642,"")</f>
        <v>4.6563463422254571E-2</v>
      </c>
      <c r="AB643" s="18">
        <f t="shared" ref="AB643:AB706" si="300">IF(ISNUMBER(AA643),AA643^2,"")</f>
        <v>2.1681561258756394E-3</v>
      </c>
      <c r="AC643" s="18">
        <f t="shared" si="274"/>
        <v>2.8302128791045092E-3</v>
      </c>
      <c r="AD643" s="18">
        <f t="shared" si="276"/>
        <v>7.1507819766808807E-6</v>
      </c>
      <c r="AE643" s="18">
        <f t="shared" si="278"/>
        <v>2.0746534589976603E-2</v>
      </c>
      <c r="AF643" s="18">
        <f t="shared" si="280"/>
        <v>3.9161923970663454E-4</v>
      </c>
      <c r="AG643" s="18">
        <f t="shared" si="282"/>
        <v>9.4179752763394308E-3</v>
      </c>
      <c r="AH643" s="18">
        <f t="shared" si="284"/>
        <v>8.7135159022827917E-3</v>
      </c>
      <c r="AJ643" s="18">
        <f>IF(ISNUMBER(Kernel!M643),Kernel!M643,"")</f>
        <v>9.8966010477584021E-2</v>
      </c>
      <c r="AK643" s="18">
        <f t="shared" si="297"/>
        <v>9.7942712298492701E-3</v>
      </c>
      <c r="AN643" s="18">
        <f>IF(ISNUMBER(Volcanic!G643),Volcanic!G643,"")</f>
        <v>1.0319999999999999E-2</v>
      </c>
    </row>
    <row r="644" spans="1:40">
      <c r="A644" s="18" t="str">
        <f>IF(Volcanic!A644="","",Volcanic!A644)</f>
        <v>9/2011</v>
      </c>
      <c r="B644" s="18">
        <f>IF(ISNUMBER(Volcanic!L644),Volcanic!L644,"")</f>
        <v>2011.7083333333333</v>
      </c>
      <c r="C644" s="18">
        <f>IF(ISNUMBER(Volcanic!J644),Volcanic!J644,"")</f>
        <v>-0.12893380200555726</v>
      </c>
      <c r="D644" s="18">
        <f t="shared" si="290"/>
        <v>1.6623925299608242E-2</v>
      </c>
      <c r="E644" s="18">
        <f>IF(ISNUMBER(Volcanic!C644),Volcanic!C644,"")</f>
        <v>0.47538139821873787</v>
      </c>
      <c r="F644" s="18">
        <f>IF(ISNUMBER(Volcanic!D644),Volcanic!D644,"")</f>
        <v>-0.34</v>
      </c>
      <c r="G644" s="18">
        <f>IF(ISNUMBER(Volcanic!E644),Volcanic!E644,"")</f>
        <v>7.1799999999999998E-3</v>
      </c>
      <c r="H644" s="18">
        <f t="shared" si="291"/>
        <v>0.22598747377240225</v>
      </c>
      <c r="I644" s="18">
        <f t="shared" si="292"/>
        <v>0.11560000000000002</v>
      </c>
      <c r="J644" s="18">
        <f t="shared" si="293"/>
        <v>5.1552399999999998E-5</v>
      </c>
      <c r="K644" s="18">
        <f t="shared" si="294"/>
        <v>-0.1616296753943709</v>
      </c>
      <c r="L644" s="18">
        <f t="shared" si="295"/>
        <v>3.4132384392105376E-3</v>
      </c>
      <c r="M644" s="18">
        <f t="shared" si="296"/>
        <v>-2.4412000000000001E-3</v>
      </c>
      <c r="N644" s="18">
        <f t="shared" si="298"/>
        <v>3.0645404219498316E-3</v>
      </c>
      <c r="O644" s="18">
        <f t="shared" ref="O644:O707" si="301">IF(ISNUMBER(D642),D642,"")</f>
        <v>3.059569251313407E-4</v>
      </c>
      <c r="P644" s="18">
        <f t="shared" si="275"/>
        <v>5.0435877458940995E-3</v>
      </c>
      <c r="Q644" s="18">
        <f t="shared" si="277"/>
        <v>2.1480777801650502E-2</v>
      </c>
      <c r="R644" s="18">
        <f t="shared" si="279"/>
        <v>2.525194682905179E-5</v>
      </c>
      <c r="S644" s="18">
        <f t="shared" si="281"/>
        <v>8.6223928712286942E-4</v>
      </c>
      <c r="T644" s="18">
        <f t="shared" si="283"/>
        <v>1.8119923057409469E-2</v>
      </c>
      <c r="U644" s="18">
        <f t="shared" si="285"/>
        <v>6.7351808207078544E-3</v>
      </c>
      <c r="V644" s="18">
        <f t="shared" si="286"/>
        <v>2.1584221328323213E-2</v>
      </c>
      <c r="W644" s="18">
        <f t="shared" si="287"/>
        <v>4.2990686583055916E-2</v>
      </c>
      <c r="X644" s="18">
        <f t="shared" si="288"/>
        <v>9.52871499518421E-3</v>
      </c>
      <c r="Y644" s="18">
        <f t="shared" si="289"/>
        <v>6.853693024260309E-5</v>
      </c>
      <c r="AA644" s="18">
        <f t="shared" si="299"/>
        <v>-0.15676807487368488</v>
      </c>
      <c r="AB644" s="18">
        <f t="shared" si="300"/>
        <v>2.4576229299601269E-2</v>
      </c>
      <c r="AC644" s="18">
        <f t="shared" ref="AC644:AC707" si="302">IF(ISNUMBER(AB643),AB643,"")</f>
        <v>2.1681561258756394E-3</v>
      </c>
      <c r="AD644" s="18">
        <f t="shared" si="276"/>
        <v>2.8302128791045092E-3</v>
      </c>
      <c r="AE644" s="18">
        <f t="shared" si="278"/>
        <v>7.1507819766808807E-6</v>
      </c>
      <c r="AF644" s="18">
        <f t="shared" si="280"/>
        <v>2.0746534589976603E-2</v>
      </c>
      <c r="AG644" s="18">
        <f t="shared" si="282"/>
        <v>3.9161923970663454E-4</v>
      </c>
      <c r="AH644" s="18">
        <f t="shared" si="284"/>
        <v>9.4179752763394308E-3</v>
      </c>
      <c r="AJ644" s="18">
        <f>IF(ISNUMBER(Kernel!M644),Kernel!M644,"")</f>
        <v>-6.7056804073867493E-2</v>
      </c>
      <c r="AK644" s="18">
        <f t="shared" si="297"/>
        <v>4.4966149726010521E-3</v>
      </c>
      <c r="AN644" s="18">
        <f>IF(ISNUMBER(Volcanic!G644),Volcanic!G644,"")</f>
        <v>1.0619999999999999E-2</v>
      </c>
    </row>
    <row r="645" spans="1:40">
      <c r="A645" s="18" t="str">
        <f>IF(Volcanic!A645="","",Volcanic!A645)</f>
        <v>10/2011</v>
      </c>
      <c r="B645" s="18">
        <f>IF(ISNUMBER(Volcanic!L645),Volcanic!L645,"")</f>
        <v>2011.7916666666667</v>
      </c>
      <c r="C645" s="18">
        <f>IF(ISNUMBER(Volcanic!J645),Volcanic!J645,"")</f>
        <v>-3.561418588498233E-2</v>
      </c>
      <c r="D645" s="18">
        <f t="shared" si="290"/>
        <v>1.2683702362500746E-3</v>
      </c>
      <c r="E645" s="18">
        <f>IF(ISNUMBER(Volcanic!C645),Volcanic!C645,"")</f>
        <v>0.47504781425465853</v>
      </c>
      <c r="F645" s="18">
        <f>IF(ISNUMBER(Volcanic!D645),Volcanic!D645,"")</f>
        <v>-0.37</v>
      </c>
      <c r="G645" s="18">
        <f>IF(ISNUMBER(Volcanic!E645),Volcanic!E645,"")</f>
        <v>7.0099999999999997E-3</v>
      </c>
      <c r="H645" s="18">
        <f t="shared" si="291"/>
        <v>0.22567042582812855</v>
      </c>
      <c r="I645" s="18">
        <f t="shared" si="292"/>
        <v>0.13689999999999999</v>
      </c>
      <c r="J645" s="18">
        <f t="shared" si="293"/>
        <v>4.9140099999999994E-5</v>
      </c>
      <c r="K645" s="18">
        <f t="shared" si="294"/>
        <v>-0.17576769127422365</v>
      </c>
      <c r="L645" s="18">
        <f t="shared" si="295"/>
        <v>3.3300851779251564E-3</v>
      </c>
      <c r="M645" s="18">
        <f t="shared" si="296"/>
        <v>-2.5937E-3</v>
      </c>
      <c r="N645" s="18">
        <f t="shared" si="298"/>
        <v>1.6623925299608242E-2</v>
      </c>
      <c r="O645" s="18">
        <f t="shared" si="301"/>
        <v>3.0645404219498316E-3</v>
      </c>
      <c r="P645" s="18">
        <f t="shared" ref="P645:P708" si="303">IF(ISNUMBER(D642),D642,"")</f>
        <v>3.059569251313407E-4</v>
      </c>
      <c r="Q645" s="18">
        <f t="shared" si="277"/>
        <v>5.0435877458940995E-3</v>
      </c>
      <c r="R645" s="18">
        <f t="shared" si="279"/>
        <v>2.1480777801650502E-2</v>
      </c>
      <c r="S645" s="18">
        <f t="shared" si="281"/>
        <v>2.525194682905179E-5</v>
      </c>
      <c r="T645" s="18">
        <f t="shared" si="283"/>
        <v>8.6223928712286942E-4</v>
      </c>
      <c r="U645" s="18">
        <f t="shared" si="285"/>
        <v>1.8119923057409469E-2</v>
      </c>
      <c r="V645" s="18">
        <f t="shared" si="286"/>
        <v>6.7351808207078544E-3</v>
      </c>
      <c r="W645" s="18">
        <f t="shared" si="287"/>
        <v>2.1584221328323213E-2</v>
      </c>
      <c r="X645" s="18">
        <f t="shared" si="288"/>
        <v>4.2990686583055916E-2</v>
      </c>
      <c r="Y645" s="18">
        <f t="shared" si="289"/>
        <v>9.52871499518421E-3</v>
      </c>
      <c r="AA645" s="18">
        <f t="shared" si="299"/>
        <v>2.9214018508356185E-2</v>
      </c>
      <c r="AB645" s="18">
        <f t="shared" si="300"/>
        <v>8.534588774065777E-4</v>
      </c>
      <c r="AC645" s="18">
        <f t="shared" si="302"/>
        <v>2.4576229299601269E-2</v>
      </c>
      <c r="AD645" s="18">
        <f t="shared" ref="AD645:AD708" si="304">IF(ISNUMBER(AB643),AB643,"")</f>
        <v>2.1681561258756394E-3</v>
      </c>
      <c r="AE645" s="18">
        <f t="shared" si="278"/>
        <v>2.8302128791045092E-3</v>
      </c>
      <c r="AF645" s="18">
        <f t="shared" si="280"/>
        <v>7.1507819766808807E-6</v>
      </c>
      <c r="AG645" s="18">
        <f t="shared" si="282"/>
        <v>2.0746534589976603E-2</v>
      </c>
      <c r="AH645" s="18">
        <f t="shared" si="284"/>
        <v>3.9161923970663454E-4</v>
      </c>
      <c r="AJ645" s="18">
        <f>IF(ISNUMBER(Kernel!M645),Kernel!M645,"")</f>
        <v>3.069426081261295E-2</v>
      </c>
      <c r="AK645" s="18">
        <f t="shared" si="297"/>
        <v>9.4213764683270698E-4</v>
      </c>
      <c r="AN645" s="18">
        <f>IF(ISNUMBER(Volcanic!G645),Volcanic!G645,"")</f>
        <v>1.043E-2</v>
      </c>
    </row>
    <row r="646" spans="1:40">
      <c r="A646" s="18" t="str">
        <f>IF(Volcanic!A646="","",Volcanic!A646)</f>
        <v>11/2011</v>
      </c>
      <c r="B646" s="18">
        <f>IF(ISNUMBER(Volcanic!L646),Volcanic!L646,"")</f>
        <v>2011.875</v>
      </c>
      <c r="C646" s="18">
        <f>IF(ISNUMBER(Volcanic!J646),Volcanic!J646,"")</f>
        <v>-8.7011677519257424E-2</v>
      </c>
      <c r="D646" s="18">
        <f t="shared" si="290"/>
        <v>7.5710320247152482E-3</v>
      </c>
      <c r="E646" s="18">
        <f>IF(ISNUMBER(Volcanic!C646),Volcanic!C646,"")</f>
        <v>0.47982182967399284</v>
      </c>
      <c r="F646" s="18">
        <f>IF(ISNUMBER(Volcanic!D646),Volcanic!D646,"")</f>
        <v>-0.5</v>
      </c>
      <c r="G646" s="18">
        <f>IF(ISNUMBER(Volcanic!E646),Volcanic!E646,"")</f>
        <v>6.8100000000000001E-3</v>
      </c>
      <c r="H646" s="18">
        <f t="shared" si="291"/>
        <v>0.23022898823169818</v>
      </c>
      <c r="I646" s="18">
        <f t="shared" si="292"/>
        <v>0.25</v>
      </c>
      <c r="J646" s="18">
        <f t="shared" si="293"/>
        <v>4.6376099999999998E-5</v>
      </c>
      <c r="K646" s="18">
        <f t="shared" si="294"/>
        <v>-0.23991091483699642</v>
      </c>
      <c r="L646" s="18">
        <f t="shared" si="295"/>
        <v>3.2675866600798912E-3</v>
      </c>
      <c r="M646" s="18">
        <f t="shared" si="296"/>
        <v>-3.405E-3</v>
      </c>
      <c r="N646" s="18">
        <f t="shared" si="298"/>
        <v>1.2683702362500746E-3</v>
      </c>
      <c r="O646" s="18">
        <f t="shared" si="301"/>
        <v>1.6623925299608242E-2</v>
      </c>
      <c r="P646" s="18">
        <f t="shared" si="303"/>
        <v>3.0645404219498316E-3</v>
      </c>
      <c r="Q646" s="18">
        <f t="shared" ref="Q646:Q709" si="305">IF(ISNUMBER(D642),D642,"")</f>
        <v>3.059569251313407E-4</v>
      </c>
      <c r="R646" s="18">
        <f t="shared" si="279"/>
        <v>5.0435877458940995E-3</v>
      </c>
      <c r="S646" s="18">
        <f t="shared" si="281"/>
        <v>2.1480777801650502E-2</v>
      </c>
      <c r="T646" s="18">
        <f t="shared" si="283"/>
        <v>2.525194682905179E-5</v>
      </c>
      <c r="U646" s="18">
        <f t="shared" si="285"/>
        <v>8.6223928712286942E-4</v>
      </c>
      <c r="V646" s="18">
        <f t="shared" si="286"/>
        <v>1.8119923057409469E-2</v>
      </c>
      <c r="W646" s="18">
        <f t="shared" si="287"/>
        <v>6.7351808207078544E-3</v>
      </c>
      <c r="X646" s="18">
        <f t="shared" si="288"/>
        <v>2.1584221328323213E-2</v>
      </c>
      <c r="Y646" s="18">
        <f t="shared" si="289"/>
        <v>4.2990686583055916E-2</v>
      </c>
      <c r="AA646" s="18">
        <f t="shared" si="299"/>
        <v>-6.910478509895579E-2</v>
      </c>
      <c r="AB646" s="18">
        <f t="shared" si="300"/>
        <v>4.775471323572862E-3</v>
      </c>
      <c r="AC646" s="18">
        <f t="shared" si="302"/>
        <v>8.534588774065777E-4</v>
      </c>
      <c r="AD646" s="18">
        <f t="shared" si="304"/>
        <v>2.4576229299601269E-2</v>
      </c>
      <c r="AE646" s="18">
        <f t="shared" ref="AE646:AE709" si="306">IF(ISNUMBER(AB643),AB643,"")</f>
        <v>2.1681561258756394E-3</v>
      </c>
      <c r="AF646" s="18">
        <f t="shared" si="280"/>
        <v>2.8302128791045092E-3</v>
      </c>
      <c r="AG646" s="18">
        <f t="shared" si="282"/>
        <v>7.1507819766808807E-6</v>
      </c>
      <c r="AH646" s="18">
        <f t="shared" si="284"/>
        <v>2.0746534589976603E-2</v>
      </c>
      <c r="AJ646" s="18">
        <f>IF(ISNUMBER(Kernel!M646),Kernel!M646,"")</f>
        <v>-2.4769880427032653E-2</v>
      </c>
      <c r="AK646" s="18">
        <f t="shared" si="297"/>
        <v>6.1354697636949531E-4</v>
      </c>
      <c r="AN646" s="18">
        <f>IF(ISNUMBER(Volcanic!G646),Volcanic!G646,"")</f>
        <v>9.9100000000000004E-3</v>
      </c>
    </row>
    <row r="647" spans="1:40">
      <c r="A647" s="18" t="str">
        <f>IF(Volcanic!A647="","",Volcanic!A647)</f>
        <v>12/2011</v>
      </c>
      <c r="B647" s="18">
        <f>IF(ISNUMBER(Volcanic!L647),Volcanic!L647,"")</f>
        <v>2011.9583333333333</v>
      </c>
      <c r="C647" s="18">
        <f>IF(ISNUMBER(Volcanic!J647),Volcanic!J647,"")</f>
        <v>-7.9346506210393963E-2</v>
      </c>
      <c r="D647" s="18">
        <f t="shared" si="290"/>
        <v>6.2958680477960879E-3</v>
      </c>
      <c r="E647" s="18">
        <f>IF(ISNUMBER(Volcanic!C647),Volcanic!C647,"")</f>
        <v>0.48564763094194874</v>
      </c>
      <c r="F647" s="18">
        <f>IF(ISNUMBER(Volcanic!D647),Volcanic!D647,"")</f>
        <v>-0.76</v>
      </c>
      <c r="G647" s="18">
        <f>IF(ISNUMBER(Volcanic!E647),Volcanic!E647,"")</f>
        <v>6.5500000000000003E-3</v>
      </c>
      <c r="H647" s="18">
        <f t="shared" si="291"/>
        <v>0.23585362143952723</v>
      </c>
      <c r="I647" s="18">
        <f t="shared" si="292"/>
        <v>0.5776</v>
      </c>
      <c r="J647" s="18">
        <f t="shared" si="293"/>
        <v>4.2902500000000005E-5</v>
      </c>
      <c r="K647" s="18">
        <f t="shared" si="294"/>
        <v>-0.36909219951588107</v>
      </c>
      <c r="L647" s="18">
        <f t="shared" si="295"/>
        <v>3.1809919826697643E-3</v>
      </c>
      <c r="M647" s="18">
        <f t="shared" si="296"/>
        <v>-4.9780000000000007E-3</v>
      </c>
      <c r="N647" s="18">
        <f t="shared" si="298"/>
        <v>7.5710320247152482E-3</v>
      </c>
      <c r="O647" s="18">
        <f t="shared" si="301"/>
        <v>1.2683702362500746E-3</v>
      </c>
      <c r="P647" s="18">
        <f t="shared" si="303"/>
        <v>1.6623925299608242E-2</v>
      </c>
      <c r="Q647" s="18">
        <f t="shared" si="305"/>
        <v>3.0645404219498316E-3</v>
      </c>
      <c r="R647" s="18">
        <f t="shared" ref="R647:R710" si="307">IF(ISNUMBER(D642),D642,"")</f>
        <v>3.059569251313407E-4</v>
      </c>
      <c r="S647" s="18">
        <f t="shared" si="281"/>
        <v>5.0435877458940995E-3</v>
      </c>
      <c r="T647" s="18">
        <f t="shared" si="283"/>
        <v>2.1480777801650502E-2</v>
      </c>
      <c r="U647" s="18">
        <f t="shared" si="285"/>
        <v>2.525194682905179E-5</v>
      </c>
      <c r="V647" s="18">
        <f t="shared" si="286"/>
        <v>8.6223928712286942E-4</v>
      </c>
      <c r="W647" s="18">
        <f t="shared" si="287"/>
        <v>1.8119923057409469E-2</v>
      </c>
      <c r="X647" s="18">
        <f t="shared" si="288"/>
        <v>6.7351808207078544E-3</v>
      </c>
      <c r="Y647" s="18">
        <f t="shared" si="289"/>
        <v>2.1584221328323213E-2</v>
      </c>
      <c r="AA647" s="18">
        <f t="shared" si="299"/>
        <v>-3.5596839892615244E-2</v>
      </c>
      <c r="AB647" s="18">
        <f t="shared" si="300"/>
        <v>1.2671350103404841E-3</v>
      </c>
      <c r="AC647" s="18">
        <f t="shared" si="302"/>
        <v>4.775471323572862E-3</v>
      </c>
      <c r="AD647" s="18">
        <f t="shared" si="304"/>
        <v>8.534588774065777E-4</v>
      </c>
      <c r="AE647" s="18">
        <f t="shared" si="306"/>
        <v>2.4576229299601269E-2</v>
      </c>
      <c r="AF647" s="18">
        <f t="shared" ref="AF647:AF710" si="308">IF(ISNUMBER(AB643),AB643,"")</f>
        <v>2.1681561258756394E-3</v>
      </c>
      <c r="AG647" s="18">
        <f t="shared" si="282"/>
        <v>2.8302128791045092E-3</v>
      </c>
      <c r="AH647" s="18">
        <f t="shared" si="284"/>
        <v>7.1507819766808807E-6</v>
      </c>
      <c r="AJ647" s="18">
        <f>IF(ISNUMBER(Kernel!M647),Kernel!M647,"")</f>
        <v>-3.6775196126646259E-2</v>
      </c>
      <c r="AK647" s="18">
        <f t="shared" si="297"/>
        <v>1.352415050153298E-3</v>
      </c>
      <c r="AN647" s="18">
        <f>IF(ISNUMBER(Volcanic!G647),Volcanic!G647,"")</f>
        <v>8.3300000000000006E-3</v>
      </c>
    </row>
    <row r="648" spans="1:40">
      <c r="A648" s="18" t="str">
        <f>IF(Volcanic!A648="","",Volcanic!A648)</f>
        <v>1/2012</v>
      </c>
      <c r="B648" s="18">
        <f>IF(ISNUMBER(Volcanic!L648),Volcanic!L648,"")</f>
        <v>2012.0416666666667</v>
      </c>
      <c r="C648" s="18">
        <f>IF(ISNUMBER(Volcanic!J648),Volcanic!J648,"")</f>
        <v>-0.20292450063133849</v>
      </c>
      <c r="D648" s="18">
        <f t="shared" si="290"/>
        <v>4.1178352956478093E-2</v>
      </c>
      <c r="E648" s="18">
        <f>IF(ISNUMBER(Volcanic!C648),Volcanic!C648,"")</f>
        <v>0.4902400404403634</v>
      </c>
      <c r="F648" s="18">
        <f>IF(ISNUMBER(Volcanic!D648),Volcanic!D648,"")</f>
        <v>-0.94</v>
      </c>
      <c r="G648" s="18">
        <f>IF(ISNUMBER(Volcanic!E648),Volcanic!E648,"")</f>
        <v>7.5700000000000003E-3</v>
      </c>
      <c r="H648" s="18">
        <f t="shared" si="291"/>
        <v>0.24033529725096914</v>
      </c>
      <c r="I648" s="18">
        <f t="shared" si="292"/>
        <v>0.88359999999999994</v>
      </c>
      <c r="J648" s="18">
        <f t="shared" si="293"/>
        <v>5.7304900000000008E-5</v>
      </c>
      <c r="K648" s="18">
        <f t="shared" si="294"/>
        <v>-0.46082563801394155</v>
      </c>
      <c r="L648" s="18">
        <f t="shared" si="295"/>
        <v>3.7111171061335511E-3</v>
      </c>
      <c r="M648" s="18">
        <f t="shared" si="296"/>
        <v>-7.1158000000000002E-3</v>
      </c>
      <c r="N648" s="18">
        <f t="shared" si="298"/>
        <v>6.2958680477960879E-3</v>
      </c>
      <c r="O648" s="18">
        <f t="shared" si="301"/>
        <v>7.5710320247152482E-3</v>
      </c>
      <c r="P648" s="18">
        <f t="shared" si="303"/>
        <v>1.2683702362500746E-3</v>
      </c>
      <c r="Q648" s="18">
        <f t="shared" si="305"/>
        <v>1.6623925299608242E-2</v>
      </c>
      <c r="R648" s="18">
        <f t="shared" si="307"/>
        <v>3.0645404219498316E-3</v>
      </c>
      <c r="S648" s="18">
        <f t="shared" ref="S648:S711" si="309">IF(ISNUMBER(D642),D642,"")</f>
        <v>3.059569251313407E-4</v>
      </c>
      <c r="T648" s="18">
        <f t="shared" si="283"/>
        <v>5.0435877458940995E-3</v>
      </c>
      <c r="U648" s="18">
        <f t="shared" si="285"/>
        <v>2.1480777801650502E-2</v>
      </c>
      <c r="V648" s="18">
        <f t="shared" si="286"/>
        <v>2.525194682905179E-5</v>
      </c>
      <c r="W648" s="18">
        <f t="shared" si="287"/>
        <v>8.6223928712286942E-4</v>
      </c>
      <c r="X648" s="18">
        <f t="shared" si="288"/>
        <v>1.8119923057409469E-2</v>
      </c>
      <c r="Y648" s="18">
        <f t="shared" si="289"/>
        <v>6.7351808207078544E-3</v>
      </c>
      <c r="AA648" s="18">
        <f t="shared" si="299"/>
        <v>-0.16302889961367042</v>
      </c>
      <c r="AB648" s="18">
        <f t="shared" si="300"/>
        <v>2.6578422109244229E-2</v>
      </c>
      <c r="AC648" s="18">
        <f t="shared" si="302"/>
        <v>1.2671350103404841E-3</v>
      </c>
      <c r="AD648" s="18">
        <f t="shared" si="304"/>
        <v>4.775471323572862E-3</v>
      </c>
      <c r="AE648" s="18">
        <f t="shared" si="306"/>
        <v>8.534588774065777E-4</v>
      </c>
      <c r="AF648" s="18">
        <f t="shared" si="308"/>
        <v>2.4576229299601269E-2</v>
      </c>
      <c r="AG648" s="18">
        <f t="shared" ref="AG648:AG711" si="310">IF(ISNUMBER(AB643),AB643,"")</f>
        <v>2.1681561258756394E-3</v>
      </c>
      <c r="AH648" s="18">
        <f t="shared" si="284"/>
        <v>2.8302128791045092E-3</v>
      </c>
      <c r="AJ648" s="18">
        <f>IF(ISNUMBER(Kernel!M648),Kernel!M648,"")</f>
        <v>-0.18074571263710904</v>
      </c>
      <c r="AK648" s="18">
        <f t="shared" si="297"/>
        <v>3.2669012636696394E-2</v>
      </c>
      <c r="AN648" s="18">
        <f>IF(ISNUMBER(Volcanic!G648),Volcanic!G648,"")</f>
        <v>7.6600000000000001E-3</v>
      </c>
    </row>
    <row r="649" spans="1:40">
      <c r="A649" s="18" t="str">
        <f>IF(Volcanic!A649="","",Volcanic!A649)</f>
        <v>2/2012</v>
      </c>
      <c r="B649" s="18">
        <f>IF(ISNUMBER(Volcanic!L649),Volcanic!L649,"")</f>
        <v>2012.125</v>
      </c>
      <c r="C649" s="18">
        <f>IF(ISNUMBER(Volcanic!J649),Volcanic!J649,"")</f>
        <v>-0.18943082780923381</v>
      </c>
      <c r="D649" s="18">
        <f t="shared" si="290"/>
        <v>3.5884038524491589E-2</v>
      </c>
      <c r="E649" s="18">
        <f>IF(ISNUMBER(Volcanic!C649),Volcanic!C649,"")</f>
        <v>0.49291526157867827</v>
      </c>
      <c r="F649" s="18">
        <f>IF(ISNUMBER(Volcanic!D649),Volcanic!D649,"")</f>
        <v>-1.02</v>
      </c>
      <c r="G649" s="18">
        <f>IF(ISNUMBER(Volcanic!E649),Volcanic!E649,"")</f>
        <v>9.1000000000000004E-3</v>
      </c>
      <c r="H649" s="18">
        <f t="shared" si="291"/>
        <v>0.24296545509717682</v>
      </c>
      <c r="I649" s="18">
        <f t="shared" si="292"/>
        <v>1.0404</v>
      </c>
      <c r="J649" s="18">
        <f t="shared" si="293"/>
        <v>8.2810000000000002E-5</v>
      </c>
      <c r="K649" s="18">
        <f t="shared" si="294"/>
        <v>-0.50277356681025187</v>
      </c>
      <c r="L649" s="18">
        <f t="shared" si="295"/>
        <v>4.4855288803659727E-3</v>
      </c>
      <c r="M649" s="18">
        <f t="shared" si="296"/>
        <v>-9.2820000000000003E-3</v>
      </c>
      <c r="N649" s="18">
        <f t="shared" si="298"/>
        <v>4.1178352956478093E-2</v>
      </c>
      <c r="O649" s="18">
        <f t="shared" si="301"/>
        <v>6.2958680477960879E-3</v>
      </c>
      <c r="P649" s="18">
        <f t="shared" si="303"/>
        <v>7.5710320247152482E-3</v>
      </c>
      <c r="Q649" s="18">
        <f t="shared" si="305"/>
        <v>1.2683702362500746E-3</v>
      </c>
      <c r="R649" s="18">
        <f t="shared" si="307"/>
        <v>1.6623925299608242E-2</v>
      </c>
      <c r="S649" s="18">
        <f t="shared" si="309"/>
        <v>3.0645404219498316E-3</v>
      </c>
      <c r="T649" s="18">
        <f t="shared" ref="T649:T712" si="311">IF(ISNUMBER(D642),D642,"")</f>
        <v>3.059569251313407E-4</v>
      </c>
      <c r="U649" s="18">
        <f t="shared" si="285"/>
        <v>5.0435877458940995E-3</v>
      </c>
      <c r="V649" s="18">
        <f t="shared" si="286"/>
        <v>2.1480777801650502E-2</v>
      </c>
      <c r="W649" s="18">
        <f t="shared" si="287"/>
        <v>2.525194682905179E-5</v>
      </c>
      <c r="X649" s="18">
        <f t="shared" si="288"/>
        <v>8.6223928712286942E-4</v>
      </c>
      <c r="Y649" s="18">
        <f t="shared" si="289"/>
        <v>1.8119923057409469E-2</v>
      </c>
      <c r="AA649" s="18">
        <f t="shared" si="299"/>
        <v>-8.7399934446005842E-2</v>
      </c>
      <c r="AB649" s="18">
        <f t="shared" si="300"/>
        <v>7.6387485411661188E-3</v>
      </c>
      <c r="AC649" s="18">
        <f t="shared" si="302"/>
        <v>2.6578422109244229E-2</v>
      </c>
      <c r="AD649" s="18">
        <f t="shared" si="304"/>
        <v>1.2671350103404841E-3</v>
      </c>
      <c r="AE649" s="18">
        <f t="shared" si="306"/>
        <v>4.775471323572862E-3</v>
      </c>
      <c r="AF649" s="18">
        <f t="shared" si="308"/>
        <v>8.534588774065777E-4</v>
      </c>
      <c r="AG649" s="18">
        <f t="shared" si="310"/>
        <v>2.4576229299601269E-2</v>
      </c>
      <c r="AH649" s="18">
        <f t="shared" ref="AH649:AH712" si="312">IF(ISNUMBER(AB643),AB643,"")</f>
        <v>2.1681561258756394E-3</v>
      </c>
      <c r="AJ649" s="18">
        <f>IF(ISNUMBER(Kernel!M649),Kernel!M649,"")</f>
        <v>-0.18264308375966609</v>
      </c>
      <c r="AK649" s="18">
        <f t="shared" si="297"/>
        <v>3.3358496045240403E-2</v>
      </c>
      <c r="AN649" s="18">
        <f>IF(ISNUMBER(Volcanic!G649),Volcanic!G649,"")</f>
        <v>7.3200000000000001E-3</v>
      </c>
    </row>
    <row r="650" spans="1:40">
      <c r="A650" s="18" t="str">
        <f>IF(Volcanic!A650="","",Volcanic!A650)</f>
        <v>3/2012</v>
      </c>
      <c r="B650" s="18">
        <f>IF(ISNUMBER(Volcanic!L650),Volcanic!L650,"")</f>
        <v>2012.2083333333333</v>
      </c>
      <c r="C650" s="18">
        <f>IF(ISNUMBER(Volcanic!J650),Volcanic!J650,"")</f>
        <v>-0.11151431480873641</v>
      </c>
      <c r="D650" s="18">
        <f t="shared" si="290"/>
        <v>1.243544240726197E-2</v>
      </c>
      <c r="E650" s="18">
        <f>IF(ISNUMBER(Volcanic!C650),Volcanic!C650,"")</f>
        <v>0.49492756747912453</v>
      </c>
      <c r="F650" s="18">
        <f>IF(ISNUMBER(Volcanic!D650),Volcanic!D650,"")</f>
        <v>-0.92</v>
      </c>
      <c r="G650" s="18">
        <f>IF(ISNUMBER(Volcanic!E650),Volcanic!E650,"")</f>
        <v>1.0319999999999999E-2</v>
      </c>
      <c r="H650" s="18">
        <f t="shared" si="291"/>
        <v>0.24495329705080338</v>
      </c>
      <c r="I650" s="18">
        <f t="shared" si="292"/>
        <v>0.84640000000000004</v>
      </c>
      <c r="J650" s="18">
        <f t="shared" si="293"/>
        <v>1.0650239999999999E-4</v>
      </c>
      <c r="K650" s="18">
        <f t="shared" si="294"/>
        <v>-0.45533336208079461</v>
      </c>
      <c r="L650" s="18">
        <f t="shared" si="295"/>
        <v>5.1076524963845652E-3</v>
      </c>
      <c r="M650" s="18">
        <f t="shared" si="296"/>
        <v>-9.4944000000000001E-3</v>
      </c>
      <c r="N650" s="18">
        <f t="shared" si="298"/>
        <v>3.5884038524491589E-2</v>
      </c>
      <c r="O650" s="18">
        <f t="shared" si="301"/>
        <v>4.1178352956478093E-2</v>
      </c>
      <c r="P650" s="18">
        <f t="shared" si="303"/>
        <v>6.2958680477960879E-3</v>
      </c>
      <c r="Q650" s="18">
        <f t="shared" si="305"/>
        <v>7.5710320247152482E-3</v>
      </c>
      <c r="R650" s="18">
        <f t="shared" si="307"/>
        <v>1.2683702362500746E-3</v>
      </c>
      <c r="S650" s="18">
        <f t="shared" si="309"/>
        <v>1.6623925299608242E-2</v>
      </c>
      <c r="T650" s="18">
        <f t="shared" si="311"/>
        <v>3.0645404219498316E-3</v>
      </c>
      <c r="U650" s="18">
        <f t="shared" ref="U650:U713" si="313">IF(ISNUMBER(D642),D642,"")</f>
        <v>3.059569251313407E-4</v>
      </c>
      <c r="V650" s="18">
        <f t="shared" si="286"/>
        <v>5.0435877458940995E-3</v>
      </c>
      <c r="W650" s="18">
        <f t="shared" si="287"/>
        <v>2.1480777801650502E-2</v>
      </c>
      <c r="X650" s="18">
        <f t="shared" si="288"/>
        <v>2.525194682905179E-5</v>
      </c>
      <c r="Y650" s="18">
        <f t="shared" si="289"/>
        <v>8.6223928712286942E-4</v>
      </c>
      <c r="AA650" s="18">
        <f t="shared" si="299"/>
        <v>-1.6268070359301695E-2</v>
      </c>
      <c r="AB650" s="18">
        <f t="shared" si="300"/>
        <v>2.6465011321519038E-4</v>
      </c>
      <c r="AC650" s="18">
        <f t="shared" si="302"/>
        <v>7.6387485411661188E-3</v>
      </c>
      <c r="AD650" s="18">
        <f t="shared" si="304"/>
        <v>2.6578422109244229E-2</v>
      </c>
      <c r="AE650" s="18">
        <f t="shared" si="306"/>
        <v>1.2671350103404841E-3</v>
      </c>
      <c r="AF650" s="18">
        <f t="shared" si="308"/>
        <v>4.775471323572862E-3</v>
      </c>
      <c r="AG650" s="18">
        <f t="shared" si="310"/>
        <v>8.534588774065777E-4</v>
      </c>
      <c r="AH650" s="18">
        <f t="shared" si="312"/>
        <v>2.4576229299601269E-2</v>
      </c>
      <c r="AJ650" s="18">
        <f>IF(ISNUMBER(Kernel!M650),Kernel!M650,"")</f>
        <v>-0.10475938358286185</v>
      </c>
      <c r="AK650" s="18">
        <f t="shared" si="297"/>
        <v>1.0974528448661185E-2</v>
      </c>
      <c r="AN650" s="18">
        <f>IF(ISNUMBER(Volcanic!G650),Volcanic!G650,"")</f>
        <v>6.8999999999999999E-3</v>
      </c>
    </row>
    <row r="651" spans="1:40">
      <c r="A651" s="18" t="str">
        <f>IF(Volcanic!A651="","",Volcanic!A651)</f>
        <v>4/2012</v>
      </c>
      <c r="B651" s="18">
        <f>IF(ISNUMBER(Volcanic!L651),Volcanic!L651,"")</f>
        <v>2012.2916666666667</v>
      </c>
      <c r="C651" s="18">
        <f>IF(ISNUMBER(Volcanic!J651),Volcanic!J651,"")</f>
        <v>1.1849357062863497E-2</v>
      </c>
      <c r="D651" s="18">
        <f t="shared" si="290"/>
        <v>1.4040726280323303E-4</v>
      </c>
      <c r="E651" s="18">
        <f>IF(ISNUMBER(Volcanic!C651),Volcanic!C651,"")</f>
        <v>0.50145734365703309</v>
      </c>
      <c r="F651" s="18">
        <f>IF(ISNUMBER(Volcanic!D651),Volcanic!D651,"")</f>
        <v>-0.71</v>
      </c>
      <c r="G651" s="18">
        <f>IF(ISNUMBER(Volcanic!E651),Volcanic!E651,"")</f>
        <v>1.0619999999999999E-2</v>
      </c>
      <c r="H651" s="18">
        <f t="shared" si="291"/>
        <v>0.25145946750756781</v>
      </c>
      <c r="I651" s="18">
        <f t="shared" si="292"/>
        <v>0.50409999999999999</v>
      </c>
      <c r="J651" s="18">
        <f t="shared" si="293"/>
        <v>1.1278439999999998E-4</v>
      </c>
      <c r="K651" s="18">
        <f t="shared" si="294"/>
        <v>-0.3560347139964935</v>
      </c>
      <c r="L651" s="18">
        <f t="shared" si="295"/>
        <v>5.3254769896376912E-3</v>
      </c>
      <c r="M651" s="18">
        <f t="shared" si="296"/>
        <v>-7.5401999999999995E-3</v>
      </c>
      <c r="N651" s="18">
        <f t="shared" si="298"/>
        <v>1.243544240726197E-2</v>
      </c>
      <c r="O651" s="18">
        <f t="shared" si="301"/>
        <v>3.5884038524491589E-2</v>
      </c>
      <c r="P651" s="18">
        <f t="shared" si="303"/>
        <v>4.1178352956478093E-2</v>
      </c>
      <c r="Q651" s="18">
        <f t="shared" si="305"/>
        <v>6.2958680477960879E-3</v>
      </c>
      <c r="R651" s="18">
        <f t="shared" si="307"/>
        <v>7.5710320247152482E-3</v>
      </c>
      <c r="S651" s="18">
        <f t="shared" si="309"/>
        <v>1.2683702362500746E-3</v>
      </c>
      <c r="T651" s="18">
        <f t="shared" si="311"/>
        <v>1.6623925299608242E-2</v>
      </c>
      <c r="U651" s="18">
        <f t="shared" si="313"/>
        <v>3.0645404219498316E-3</v>
      </c>
      <c r="V651" s="18">
        <f t="shared" ref="V651:V714" si="314">IF(ISNUMBER(D642),D642,"")</f>
        <v>3.059569251313407E-4</v>
      </c>
      <c r="W651" s="18">
        <f t="shared" si="287"/>
        <v>5.0435877458940995E-3</v>
      </c>
      <c r="X651" s="18">
        <f t="shared" si="288"/>
        <v>2.1480777801650502E-2</v>
      </c>
      <c r="Y651" s="18">
        <f t="shared" si="289"/>
        <v>2.525194682905179E-5</v>
      </c>
      <c r="AA651" s="18">
        <f t="shared" si="299"/>
        <v>6.791900428301037E-2</v>
      </c>
      <c r="AB651" s="18">
        <f t="shared" si="300"/>
        <v>4.6129911427955812E-3</v>
      </c>
      <c r="AC651" s="18">
        <f t="shared" si="302"/>
        <v>2.6465011321519038E-4</v>
      </c>
      <c r="AD651" s="18">
        <f t="shared" si="304"/>
        <v>7.6387485411661188E-3</v>
      </c>
      <c r="AE651" s="18">
        <f t="shared" si="306"/>
        <v>2.6578422109244229E-2</v>
      </c>
      <c r="AF651" s="18">
        <f t="shared" si="308"/>
        <v>1.2671350103404841E-3</v>
      </c>
      <c r="AG651" s="18">
        <f t="shared" si="310"/>
        <v>4.775471323572862E-3</v>
      </c>
      <c r="AH651" s="18">
        <f t="shared" si="312"/>
        <v>8.534588774065777E-4</v>
      </c>
      <c r="AJ651" s="18">
        <f>IF(ISNUMBER(Kernel!M651),Kernel!M651,"")</f>
        <v>2.9978390932036358E-2</v>
      </c>
      <c r="AK651" s="18">
        <f t="shared" si="297"/>
        <v>8.9870392287399981E-4</v>
      </c>
      <c r="AN651" s="18">
        <f>IF(ISNUMBER(Volcanic!G651),Volcanic!G651,"")</f>
        <v>6.96E-3</v>
      </c>
    </row>
    <row r="652" spans="1:40">
      <c r="A652" s="18" t="str">
        <f>IF(Volcanic!A652="","",Volcanic!A652)</f>
        <v>5/2012</v>
      </c>
      <c r="B652" s="18">
        <f>IF(ISNUMBER(Volcanic!L652),Volcanic!L652,"")</f>
        <v>2012.375</v>
      </c>
      <c r="C652" s="18">
        <f>IF(ISNUMBER(Volcanic!J652),Volcanic!J652,"")</f>
        <v>4.205600061109116E-2</v>
      </c>
      <c r="D652" s="18">
        <f t="shared" si="290"/>
        <v>1.7687071874001E-3</v>
      </c>
      <c r="E652" s="18">
        <f>IF(ISNUMBER(Volcanic!C652),Volcanic!C652,"")</f>
        <v>0.50345777829071003</v>
      </c>
      <c r="F652" s="18">
        <f>IF(ISNUMBER(Volcanic!D652),Volcanic!D652,"")</f>
        <v>-0.56000000000000005</v>
      </c>
      <c r="G652" s="18">
        <f>IF(ISNUMBER(Volcanic!E652),Volcanic!E652,"")</f>
        <v>1.043E-2</v>
      </c>
      <c r="H652" s="18">
        <f t="shared" si="291"/>
        <v>0.25346973452141774</v>
      </c>
      <c r="I652" s="18">
        <f t="shared" si="292"/>
        <v>0.31360000000000005</v>
      </c>
      <c r="J652" s="18">
        <f t="shared" si="293"/>
        <v>1.087849E-4</v>
      </c>
      <c r="K652" s="18">
        <f t="shared" si="294"/>
        <v>-0.28193635584279764</v>
      </c>
      <c r="L652" s="18">
        <f t="shared" si="295"/>
        <v>5.251064627572106E-3</v>
      </c>
      <c r="M652" s="18">
        <f t="shared" si="296"/>
        <v>-5.8408000000000002E-3</v>
      </c>
      <c r="N652" s="18">
        <f t="shared" si="298"/>
        <v>1.4040726280323303E-4</v>
      </c>
      <c r="O652" s="18">
        <f t="shared" si="301"/>
        <v>1.243544240726197E-2</v>
      </c>
      <c r="P652" s="18">
        <f t="shared" si="303"/>
        <v>3.5884038524491589E-2</v>
      </c>
      <c r="Q652" s="18">
        <f t="shared" si="305"/>
        <v>4.1178352956478093E-2</v>
      </c>
      <c r="R652" s="18">
        <f t="shared" si="307"/>
        <v>6.2958680477960879E-3</v>
      </c>
      <c r="S652" s="18">
        <f t="shared" si="309"/>
        <v>7.5710320247152482E-3</v>
      </c>
      <c r="T652" s="18">
        <f t="shared" si="311"/>
        <v>1.2683702362500746E-3</v>
      </c>
      <c r="U652" s="18">
        <f t="shared" si="313"/>
        <v>1.6623925299608242E-2</v>
      </c>
      <c r="V652" s="18">
        <f t="shared" si="314"/>
        <v>3.0645404219498316E-3</v>
      </c>
      <c r="W652" s="18">
        <f t="shared" ref="W652:W715" si="315">IF(ISNUMBER(D642),D642,"")</f>
        <v>3.059569251313407E-4</v>
      </c>
      <c r="X652" s="18">
        <f t="shared" si="288"/>
        <v>5.0435877458940995E-3</v>
      </c>
      <c r="Y652" s="18">
        <f t="shared" si="289"/>
        <v>2.1480777801650502E-2</v>
      </c>
      <c r="AA652" s="18">
        <f t="shared" si="299"/>
        <v>3.6098117343460114E-2</v>
      </c>
      <c r="AB652" s="18">
        <f t="shared" si="300"/>
        <v>1.3030740757422159E-3</v>
      </c>
      <c r="AC652" s="18">
        <f t="shared" si="302"/>
        <v>4.6129911427955812E-3</v>
      </c>
      <c r="AD652" s="18">
        <f t="shared" si="304"/>
        <v>2.6465011321519038E-4</v>
      </c>
      <c r="AE652" s="18">
        <f t="shared" si="306"/>
        <v>7.6387485411661188E-3</v>
      </c>
      <c r="AF652" s="18">
        <f t="shared" si="308"/>
        <v>2.6578422109244229E-2</v>
      </c>
      <c r="AG652" s="18">
        <f t="shared" si="310"/>
        <v>1.2671350103404841E-3</v>
      </c>
      <c r="AH652" s="18">
        <f t="shared" si="312"/>
        <v>4.775471323572862E-3</v>
      </c>
      <c r="AJ652" s="18">
        <f>IF(ISNUMBER(Kernel!M652),Kernel!M652,"")</f>
        <v>6.4327511610344557E-2</v>
      </c>
      <c r="AK652" s="18">
        <f t="shared" si="297"/>
        <v>4.138028749979014E-3</v>
      </c>
      <c r="AN652" s="18">
        <f>IF(ISNUMBER(Volcanic!G652),Volcanic!G652,"")</f>
        <v>6.5799999999999999E-3</v>
      </c>
    </row>
    <row r="653" spans="1:40">
      <c r="A653" s="18" t="str">
        <f>IF(Volcanic!A653="","",Volcanic!A653)</f>
        <v>6/2012</v>
      </c>
      <c r="B653" s="18">
        <f>IF(ISNUMBER(Volcanic!L653),Volcanic!L653,"")</f>
        <v>2012.4583333333333</v>
      </c>
      <c r="C653" s="18">
        <f>IF(ISNUMBER(Volcanic!J653),Volcanic!J653,"")</f>
        <v>-9.0099113204995307E-2</v>
      </c>
      <c r="D653" s="18">
        <f t="shared" si="290"/>
        <v>8.1178502003265603E-3</v>
      </c>
      <c r="E653" s="18">
        <f>IF(ISNUMBER(Volcanic!C653),Volcanic!C653,"")</f>
        <v>0.49974568063274527</v>
      </c>
      <c r="F653" s="18">
        <f>IF(ISNUMBER(Volcanic!D653),Volcanic!D653,"")</f>
        <v>-0.44</v>
      </c>
      <c r="G653" s="18">
        <f>IF(ISNUMBER(Volcanic!E653),Volcanic!E653,"")</f>
        <v>9.9100000000000004E-3</v>
      </c>
      <c r="H653" s="18">
        <f t="shared" si="291"/>
        <v>0.24974574531108584</v>
      </c>
      <c r="I653" s="18">
        <f t="shared" si="292"/>
        <v>0.19359999999999999</v>
      </c>
      <c r="J653" s="18">
        <f t="shared" si="293"/>
        <v>9.8208100000000013E-5</v>
      </c>
      <c r="K653" s="18">
        <f t="shared" si="294"/>
        <v>-0.21988809947840793</v>
      </c>
      <c r="L653" s="18">
        <f t="shared" si="295"/>
        <v>4.9524796950705056E-3</v>
      </c>
      <c r="M653" s="18">
        <f t="shared" si="296"/>
        <v>-4.3604000000000004E-3</v>
      </c>
      <c r="N653" s="18">
        <f t="shared" si="298"/>
        <v>1.7687071874001E-3</v>
      </c>
      <c r="O653" s="18">
        <f t="shared" si="301"/>
        <v>1.4040726280323303E-4</v>
      </c>
      <c r="P653" s="18">
        <f t="shared" si="303"/>
        <v>1.243544240726197E-2</v>
      </c>
      <c r="Q653" s="18">
        <f t="shared" si="305"/>
        <v>3.5884038524491589E-2</v>
      </c>
      <c r="R653" s="18">
        <f t="shared" si="307"/>
        <v>4.1178352956478093E-2</v>
      </c>
      <c r="S653" s="18">
        <f t="shared" si="309"/>
        <v>6.2958680477960879E-3</v>
      </c>
      <c r="T653" s="18">
        <f t="shared" si="311"/>
        <v>7.5710320247152482E-3</v>
      </c>
      <c r="U653" s="18">
        <f t="shared" si="313"/>
        <v>1.2683702362500746E-3</v>
      </c>
      <c r="V653" s="18">
        <f t="shared" si="314"/>
        <v>1.6623925299608242E-2</v>
      </c>
      <c r="W653" s="18">
        <f t="shared" si="315"/>
        <v>3.0645404219498316E-3</v>
      </c>
      <c r="X653" s="18">
        <f t="shared" ref="X653:X716" si="316">IF(ISNUMBER(D642),D642,"")</f>
        <v>3.059569251313407E-4</v>
      </c>
      <c r="Y653" s="18">
        <f t="shared" si="289"/>
        <v>5.0435877458940995E-3</v>
      </c>
      <c r="AA653" s="18">
        <f t="shared" si="299"/>
        <v>-0.11124496449591337</v>
      </c>
      <c r="AB653" s="18">
        <f t="shared" si="300"/>
        <v>1.2375442125697026E-2</v>
      </c>
      <c r="AC653" s="18">
        <f t="shared" si="302"/>
        <v>1.3030740757422159E-3</v>
      </c>
      <c r="AD653" s="18">
        <f t="shared" si="304"/>
        <v>4.6129911427955812E-3</v>
      </c>
      <c r="AE653" s="18">
        <f t="shared" si="306"/>
        <v>2.6465011321519038E-4</v>
      </c>
      <c r="AF653" s="18">
        <f t="shared" si="308"/>
        <v>7.6387485411661188E-3</v>
      </c>
      <c r="AG653" s="18">
        <f t="shared" si="310"/>
        <v>2.6578422109244229E-2</v>
      </c>
      <c r="AH653" s="18">
        <f t="shared" si="312"/>
        <v>1.2671350103404841E-3</v>
      </c>
      <c r="AJ653" s="18">
        <f>IF(ISNUMBER(Kernel!M653),Kernel!M653,"")</f>
        <v>-6.8947841113497943E-2</v>
      </c>
      <c r="AK653" s="18">
        <f t="shared" si="297"/>
        <v>4.7538047942121573E-3</v>
      </c>
      <c r="AN653" s="18">
        <f>IF(ISNUMBER(Volcanic!G653),Volcanic!G653,"")</f>
        <v>6.3200000000000001E-3</v>
      </c>
    </row>
    <row r="654" spans="1:40">
      <c r="A654" s="18" t="str">
        <f>IF(Volcanic!A654="","",Volcanic!A654)</f>
        <v>7/2012</v>
      </c>
      <c r="B654" s="18">
        <f>IF(ISNUMBER(Volcanic!L654),Volcanic!L654,"")</f>
        <v>2012.5416666666667</v>
      </c>
      <c r="C654" s="18">
        <f>IF(ISNUMBER(Volcanic!J654),Volcanic!J654,"")</f>
        <v>-0.14848700386648106</v>
      </c>
      <c r="D654" s="18">
        <f t="shared" si="290"/>
        <v>2.204839031724436E-2</v>
      </c>
      <c r="E654" s="18">
        <f>IF(ISNUMBER(Volcanic!C654),Volcanic!C654,"")</f>
        <v>0.49481787768314806</v>
      </c>
      <c r="F654" s="18">
        <f>IF(ISNUMBER(Volcanic!D654),Volcanic!D654,"")</f>
        <v>-0.35</v>
      </c>
      <c r="G654" s="18">
        <f>IF(ISNUMBER(Volcanic!E654),Volcanic!E654,"")</f>
        <v>8.3300000000000006E-3</v>
      </c>
      <c r="H654" s="18">
        <f t="shared" si="291"/>
        <v>0.24484473207485488</v>
      </c>
      <c r="I654" s="18">
        <f t="shared" si="292"/>
        <v>0.12249999999999998</v>
      </c>
      <c r="J654" s="18">
        <f t="shared" si="293"/>
        <v>6.9388900000000016E-5</v>
      </c>
      <c r="K654" s="18">
        <f t="shared" si="294"/>
        <v>-0.1731862571891018</v>
      </c>
      <c r="L654" s="18">
        <f t="shared" si="295"/>
        <v>4.1218329211006235E-3</v>
      </c>
      <c r="M654" s="18">
        <f t="shared" si="296"/>
        <v>-2.9155000000000001E-3</v>
      </c>
      <c r="N654" s="18">
        <f t="shared" si="298"/>
        <v>8.1178502003265603E-3</v>
      </c>
      <c r="O654" s="18">
        <f t="shared" si="301"/>
        <v>1.7687071874001E-3</v>
      </c>
      <c r="P654" s="18">
        <f t="shared" si="303"/>
        <v>1.4040726280323303E-4</v>
      </c>
      <c r="Q654" s="18">
        <f t="shared" si="305"/>
        <v>1.243544240726197E-2</v>
      </c>
      <c r="R654" s="18">
        <f t="shared" si="307"/>
        <v>3.5884038524491589E-2</v>
      </c>
      <c r="S654" s="18">
        <f t="shared" si="309"/>
        <v>4.1178352956478093E-2</v>
      </c>
      <c r="T654" s="18">
        <f t="shared" si="311"/>
        <v>6.2958680477960879E-3</v>
      </c>
      <c r="U654" s="18">
        <f t="shared" si="313"/>
        <v>7.5710320247152482E-3</v>
      </c>
      <c r="V654" s="18">
        <f t="shared" si="314"/>
        <v>1.2683702362500746E-3</v>
      </c>
      <c r="W654" s="18">
        <f t="shared" si="315"/>
        <v>1.6623925299608242E-2</v>
      </c>
      <c r="X654" s="18">
        <f t="shared" si="316"/>
        <v>3.0645404219498316E-3</v>
      </c>
      <c r="Y654" s="18">
        <f t="shared" ref="Y654:Y717" si="317">IF(ISNUMBER(D642),D642,"")</f>
        <v>3.059569251313407E-4</v>
      </c>
      <c r="AA654" s="18">
        <f t="shared" si="299"/>
        <v>-0.10318496797165633</v>
      </c>
      <c r="AB654" s="18">
        <f t="shared" si="300"/>
        <v>1.0647137615311742E-2</v>
      </c>
      <c r="AC654" s="18">
        <f t="shared" si="302"/>
        <v>1.2375442125697026E-2</v>
      </c>
      <c r="AD654" s="18">
        <f t="shared" si="304"/>
        <v>1.3030740757422159E-3</v>
      </c>
      <c r="AE654" s="18">
        <f t="shared" si="306"/>
        <v>4.6129911427955812E-3</v>
      </c>
      <c r="AF654" s="18">
        <f t="shared" si="308"/>
        <v>2.6465011321519038E-4</v>
      </c>
      <c r="AG654" s="18">
        <f t="shared" si="310"/>
        <v>7.6387485411661188E-3</v>
      </c>
      <c r="AH654" s="18">
        <f t="shared" si="312"/>
        <v>2.6578422109244229E-2</v>
      </c>
      <c r="AJ654" s="18">
        <f>IF(ISNUMBER(Kernel!M654),Kernel!M654,"")</f>
        <v>-0.13235453389682728</v>
      </c>
      <c r="AK654" s="18">
        <f t="shared" si="297"/>
        <v>1.75177226430464E-2</v>
      </c>
      <c r="AN654" s="18">
        <f>IF(ISNUMBER(Volcanic!G654),Volcanic!G654,"")</f>
        <v>6.2500000000000003E-3</v>
      </c>
    </row>
    <row r="655" spans="1:40">
      <c r="A655" s="18" t="str">
        <f>IF(Volcanic!A655="","",Volcanic!A655)</f>
        <v>8/2012</v>
      </c>
      <c r="B655" s="18">
        <f>IF(ISNUMBER(Volcanic!L655),Volcanic!L655,"")</f>
        <v>2012.625</v>
      </c>
      <c r="C655" s="18">
        <f>IF(ISNUMBER(Volcanic!J655),Volcanic!J655,"")</f>
        <v>-7.6040887334103302E-2</v>
      </c>
      <c r="D655" s="18">
        <f t="shared" si="290"/>
        <v>5.7822165465577918E-3</v>
      </c>
      <c r="E655" s="18">
        <f>IF(ISNUMBER(Volcanic!C655),Volcanic!C655,"")</f>
        <v>0.48759659796662874</v>
      </c>
      <c r="F655" s="18">
        <f>IF(ISNUMBER(Volcanic!D655),Volcanic!D655,"")</f>
        <v>-0.18</v>
      </c>
      <c r="G655" s="18">
        <f>IF(ISNUMBER(Volcanic!E655),Volcanic!E655,"")</f>
        <v>7.6600000000000001E-3</v>
      </c>
      <c r="H655" s="18">
        <f t="shared" si="291"/>
        <v>0.23775044234863019</v>
      </c>
      <c r="I655" s="18">
        <f t="shared" si="292"/>
        <v>3.2399999999999998E-2</v>
      </c>
      <c r="J655" s="18">
        <f t="shared" si="293"/>
        <v>5.8675600000000005E-5</v>
      </c>
      <c r="K655" s="18">
        <f t="shared" si="294"/>
        <v>-8.7767387633993166E-2</v>
      </c>
      <c r="L655" s="18">
        <f t="shared" si="295"/>
        <v>3.7349899404243762E-3</v>
      </c>
      <c r="M655" s="18">
        <f t="shared" si="296"/>
        <v>-1.3787999999999999E-3</v>
      </c>
      <c r="N655" s="18">
        <f t="shared" si="298"/>
        <v>2.204839031724436E-2</v>
      </c>
      <c r="O655" s="18">
        <f t="shared" si="301"/>
        <v>8.1178502003265603E-3</v>
      </c>
      <c r="P655" s="18">
        <f t="shared" si="303"/>
        <v>1.7687071874001E-3</v>
      </c>
      <c r="Q655" s="18">
        <f t="shared" si="305"/>
        <v>1.4040726280323303E-4</v>
      </c>
      <c r="R655" s="18">
        <f t="shared" si="307"/>
        <v>1.243544240726197E-2</v>
      </c>
      <c r="S655" s="18">
        <f t="shared" si="309"/>
        <v>3.5884038524491589E-2</v>
      </c>
      <c r="T655" s="18">
        <f t="shared" si="311"/>
        <v>4.1178352956478093E-2</v>
      </c>
      <c r="U655" s="18">
        <f t="shared" si="313"/>
        <v>6.2958680477960879E-3</v>
      </c>
      <c r="V655" s="18">
        <f t="shared" si="314"/>
        <v>7.5710320247152482E-3</v>
      </c>
      <c r="W655" s="18">
        <f t="shared" si="315"/>
        <v>1.2683702362500746E-3</v>
      </c>
      <c r="X655" s="18">
        <f t="shared" si="316"/>
        <v>1.6623925299608242E-2</v>
      </c>
      <c r="Y655" s="18">
        <f t="shared" si="317"/>
        <v>3.0645404219498316E-3</v>
      </c>
      <c r="AA655" s="18">
        <f t="shared" si="299"/>
        <v>-1.3812892560463308E-3</v>
      </c>
      <c r="AB655" s="18">
        <f t="shared" si="300"/>
        <v>1.9079600088690261E-6</v>
      </c>
      <c r="AC655" s="18">
        <f t="shared" si="302"/>
        <v>1.0647137615311742E-2</v>
      </c>
      <c r="AD655" s="18">
        <f t="shared" si="304"/>
        <v>1.2375442125697026E-2</v>
      </c>
      <c r="AE655" s="18">
        <f t="shared" si="306"/>
        <v>1.3030740757422159E-3</v>
      </c>
      <c r="AF655" s="18">
        <f t="shared" si="308"/>
        <v>4.6129911427955812E-3</v>
      </c>
      <c r="AG655" s="18">
        <f t="shared" si="310"/>
        <v>2.6465011321519038E-4</v>
      </c>
      <c r="AH655" s="18">
        <f t="shared" si="312"/>
        <v>7.6387485411661188E-3</v>
      </c>
      <c r="AJ655" s="18">
        <f>IF(ISNUMBER(Kernel!M655),Kernel!M655,"")</f>
        <v>-5.9422090577163411E-2</v>
      </c>
      <c r="AK655" s="18">
        <f t="shared" si="297"/>
        <v>3.5309848485606129E-3</v>
      </c>
      <c r="AN655" s="18">
        <f>IF(ISNUMBER(Volcanic!G655),Volcanic!G655,"")</f>
        <v>6.1700000000000001E-3</v>
      </c>
    </row>
    <row r="656" spans="1:40">
      <c r="A656" s="18" t="str">
        <f>IF(Volcanic!A656="","",Volcanic!A656)</f>
        <v>9/2012</v>
      </c>
      <c r="B656" s="18">
        <f>IF(ISNUMBER(Volcanic!L656),Volcanic!L656,"")</f>
        <v>2012.7083333333333</v>
      </c>
      <c r="C656" s="18">
        <f>IF(ISNUMBER(Volcanic!J656),Volcanic!J656,"")</f>
        <v>-2.3526394759865399E-2</v>
      </c>
      <c r="D656" s="18">
        <f t="shared" si="290"/>
        <v>5.5349125039702205E-4</v>
      </c>
      <c r="E656" s="18">
        <f>IF(ISNUMBER(Volcanic!C656),Volcanic!C656,"")</f>
        <v>0.48292201974993032</v>
      </c>
      <c r="F656" s="18">
        <f>IF(ISNUMBER(Volcanic!D656),Volcanic!D656,"")</f>
        <v>0.03</v>
      </c>
      <c r="G656" s="18">
        <f>IF(ISNUMBER(Volcanic!E656),Volcanic!E656,"")</f>
        <v>7.3200000000000001E-3</v>
      </c>
      <c r="H656" s="18">
        <f t="shared" si="291"/>
        <v>0.2332136771593521</v>
      </c>
      <c r="I656" s="18">
        <f t="shared" si="292"/>
        <v>8.9999999999999998E-4</v>
      </c>
      <c r="J656" s="18">
        <f t="shared" si="293"/>
        <v>5.3582400000000004E-5</v>
      </c>
      <c r="K656" s="18">
        <f t="shared" si="294"/>
        <v>1.448766059249791E-2</v>
      </c>
      <c r="L656" s="18">
        <f t="shared" si="295"/>
        <v>3.53498918456949E-3</v>
      </c>
      <c r="M656" s="18">
        <f t="shared" si="296"/>
        <v>2.196E-4</v>
      </c>
      <c r="N656" s="18">
        <f t="shared" si="298"/>
        <v>5.7822165465577918E-3</v>
      </c>
      <c r="O656" s="18">
        <f t="shared" si="301"/>
        <v>2.204839031724436E-2</v>
      </c>
      <c r="P656" s="18">
        <f t="shared" si="303"/>
        <v>8.1178502003265603E-3</v>
      </c>
      <c r="Q656" s="18">
        <f t="shared" si="305"/>
        <v>1.7687071874001E-3</v>
      </c>
      <c r="R656" s="18">
        <f t="shared" si="307"/>
        <v>1.4040726280323303E-4</v>
      </c>
      <c r="S656" s="18">
        <f t="shared" si="309"/>
        <v>1.243544240726197E-2</v>
      </c>
      <c r="T656" s="18">
        <f t="shared" si="311"/>
        <v>3.5884038524491589E-2</v>
      </c>
      <c r="U656" s="18">
        <f t="shared" si="313"/>
        <v>4.1178352956478093E-2</v>
      </c>
      <c r="V656" s="18">
        <f t="shared" si="314"/>
        <v>6.2958680477960879E-3</v>
      </c>
      <c r="W656" s="18">
        <f t="shared" si="315"/>
        <v>7.5710320247152482E-3</v>
      </c>
      <c r="X656" s="18">
        <f t="shared" si="316"/>
        <v>1.2683702362500746E-3</v>
      </c>
      <c r="Y656" s="18">
        <f t="shared" si="317"/>
        <v>1.6623925299608242E-2</v>
      </c>
      <c r="AA656" s="18">
        <f t="shared" si="299"/>
        <v>1.4707133683929355E-2</v>
      </c>
      <c r="AB656" s="18">
        <f t="shared" si="300"/>
        <v>2.1629978119696943E-4</v>
      </c>
      <c r="AC656" s="18">
        <f t="shared" si="302"/>
        <v>1.9079600088690261E-6</v>
      </c>
      <c r="AD656" s="18">
        <f t="shared" si="304"/>
        <v>1.0647137615311742E-2</v>
      </c>
      <c r="AE656" s="18">
        <f t="shared" si="306"/>
        <v>1.2375442125697026E-2</v>
      </c>
      <c r="AF656" s="18">
        <f t="shared" si="308"/>
        <v>1.3030740757422159E-3</v>
      </c>
      <c r="AG656" s="18">
        <f t="shared" si="310"/>
        <v>4.6129911427955812E-3</v>
      </c>
      <c r="AH656" s="18">
        <f t="shared" si="312"/>
        <v>2.6465011321519038E-4</v>
      </c>
      <c r="AJ656" s="18">
        <f>IF(ISNUMBER(Kernel!M656),Kernel!M656,"")</f>
        <v>-4.4330875707043749E-4</v>
      </c>
      <c r="AK656" s="18">
        <f t="shared" si="297"/>
        <v>1.9652265409533616E-7</v>
      </c>
      <c r="AN656" s="18">
        <f>IF(ISNUMBER(Volcanic!G656),Volcanic!G656,"")</f>
        <v>6.0899999999999999E-3</v>
      </c>
    </row>
    <row r="657" spans="1:40">
      <c r="A657" s="18" t="str">
        <f>IF(Volcanic!A657="","",Volcanic!A657)</f>
        <v>10/2012</v>
      </c>
      <c r="B657" s="18">
        <f>IF(ISNUMBER(Volcanic!L657),Volcanic!L657,"")</f>
        <v>2012.7916666666667</v>
      </c>
      <c r="C657" s="18">
        <f>IF(ISNUMBER(Volcanic!J657),Volcanic!J657,"")</f>
        <v>3.2853501013682895E-2</v>
      </c>
      <c r="D657" s="18">
        <f t="shared" si="290"/>
        <v>1.0793525288560631E-3</v>
      </c>
      <c r="E657" s="18">
        <f>IF(ISNUMBER(Volcanic!C657),Volcanic!C657,"")</f>
        <v>0.48273767097945647</v>
      </c>
      <c r="F657" s="18">
        <f>IF(ISNUMBER(Volcanic!D657),Volcanic!D657,"")</f>
        <v>0.28000000000000003</v>
      </c>
      <c r="G657" s="18">
        <f>IF(ISNUMBER(Volcanic!E657),Volcanic!E657,"")</f>
        <v>6.8999999999999999E-3</v>
      </c>
      <c r="H657" s="18">
        <f t="shared" si="291"/>
        <v>0.23303565898266998</v>
      </c>
      <c r="I657" s="18">
        <f t="shared" si="292"/>
        <v>7.8400000000000011E-2</v>
      </c>
      <c r="J657" s="18">
        <f t="shared" si="293"/>
        <v>4.761E-5</v>
      </c>
      <c r="K657" s="18">
        <f t="shared" si="294"/>
        <v>0.13516654787424781</v>
      </c>
      <c r="L657" s="18">
        <f t="shared" si="295"/>
        <v>3.3308899297582496E-3</v>
      </c>
      <c r="M657" s="18">
        <f t="shared" si="296"/>
        <v>1.9320000000000001E-3</v>
      </c>
      <c r="N657" s="18">
        <f t="shared" si="298"/>
        <v>5.5349125039702205E-4</v>
      </c>
      <c r="O657" s="18">
        <f t="shared" si="301"/>
        <v>5.7822165465577918E-3</v>
      </c>
      <c r="P657" s="18">
        <f t="shared" si="303"/>
        <v>2.204839031724436E-2</v>
      </c>
      <c r="Q657" s="18">
        <f t="shared" si="305"/>
        <v>8.1178502003265603E-3</v>
      </c>
      <c r="R657" s="18">
        <f t="shared" si="307"/>
        <v>1.7687071874001E-3</v>
      </c>
      <c r="S657" s="18">
        <f t="shared" si="309"/>
        <v>1.4040726280323303E-4</v>
      </c>
      <c r="T657" s="18">
        <f t="shared" si="311"/>
        <v>1.243544240726197E-2</v>
      </c>
      <c r="U657" s="18">
        <f t="shared" si="313"/>
        <v>3.5884038524491589E-2</v>
      </c>
      <c r="V657" s="18">
        <f t="shared" si="314"/>
        <v>4.1178352956478093E-2</v>
      </c>
      <c r="W657" s="18">
        <f t="shared" si="315"/>
        <v>6.2958680477960879E-3</v>
      </c>
      <c r="X657" s="18">
        <f t="shared" si="316"/>
        <v>7.5710320247152482E-3</v>
      </c>
      <c r="Y657" s="18">
        <f t="shared" si="317"/>
        <v>1.2683702362500746E-3</v>
      </c>
      <c r="AA657" s="18">
        <f t="shared" si="299"/>
        <v>4.4682624985883643E-2</v>
      </c>
      <c r="AB657" s="18">
        <f t="shared" si="300"/>
        <v>1.9965369756291132E-3</v>
      </c>
      <c r="AC657" s="18">
        <f t="shared" si="302"/>
        <v>2.1629978119696943E-4</v>
      </c>
      <c r="AD657" s="18">
        <f t="shared" si="304"/>
        <v>1.9079600088690261E-6</v>
      </c>
      <c r="AE657" s="18">
        <f t="shared" si="306"/>
        <v>1.0647137615311742E-2</v>
      </c>
      <c r="AF657" s="18">
        <f t="shared" si="308"/>
        <v>1.2375442125697026E-2</v>
      </c>
      <c r="AG657" s="18">
        <f t="shared" si="310"/>
        <v>1.3030740757422159E-3</v>
      </c>
      <c r="AH657" s="18">
        <f t="shared" si="312"/>
        <v>4.6129911427955812E-3</v>
      </c>
      <c r="AJ657" s="18">
        <f>IF(ISNUMBER(Kernel!M657),Kernel!M657,"")</f>
        <v>7.0373931705987269E-2</v>
      </c>
      <c r="AK657" s="18">
        <f t="shared" si="297"/>
        <v>4.9524902637589603E-3</v>
      </c>
      <c r="AN657" s="18">
        <f>IF(ISNUMBER(Volcanic!G657),Volcanic!G657,"")</f>
        <v>5.94E-3</v>
      </c>
    </row>
    <row r="658" spans="1:40">
      <c r="A658" s="18" t="str">
        <f>IF(Volcanic!A658="","",Volcanic!A658)</f>
        <v>11/2012</v>
      </c>
      <c r="B658" s="18">
        <f>IF(ISNUMBER(Volcanic!L658),Volcanic!L658,"")</f>
        <v>2012.875</v>
      </c>
      <c r="C658" s="18">
        <f>IF(ISNUMBER(Volcanic!J658),Volcanic!J658,"")</f>
        <v>-1.6583444571514505E-2</v>
      </c>
      <c r="D658" s="18">
        <f t="shared" si="290"/>
        <v>2.7501063385649389E-4</v>
      </c>
      <c r="E658" s="18">
        <f>IF(ISNUMBER(Volcanic!C658),Volcanic!C658,"")</f>
        <v>0.48983649450825167</v>
      </c>
      <c r="F658" s="18">
        <f>IF(ISNUMBER(Volcanic!D658),Volcanic!D658,"")</f>
        <v>0.39</v>
      </c>
      <c r="G658" s="18">
        <f>IF(ISNUMBER(Volcanic!E658),Volcanic!E658,"")</f>
        <v>6.96E-3</v>
      </c>
      <c r="H658" s="18">
        <f t="shared" si="291"/>
        <v>0.23993979135213248</v>
      </c>
      <c r="I658" s="18">
        <f t="shared" si="292"/>
        <v>0.15210000000000001</v>
      </c>
      <c r="J658" s="18">
        <f t="shared" si="293"/>
        <v>4.8441600000000001E-5</v>
      </c>
      <c r="K658" s="18">
        <f t="shared" si="294"/>
        <v>0.19103623285821816</v>
      </c>
      <c r="L658" s="18">
        <f t="shared" si="295"/>
        <v>3.4092620017774316E-3</v>
      </c>
      <c r="M658" s="18">
        <f t="shared" si="296"/>
        <v>2.7144000000000001E-3</v>
      </c>
      <c r="N658" s="18">
        <f t="shared" si="298"/>
        <v>1.0793525288560631E-3</v>
      </c>
      <c r="O658" s="18">
        <f t="shared" si="301"/>
        <v>5.5349125039702205E-4</v>
      </c>
      <c r="P658" s="18">
        <f t="shared" si="303"/>
        <v>5.7822165465577918E-3</v>
      </c>
      <c r="Q658" s="18">
        <f t="shared" si="305"/>
        <v>2.204839031724436E-2</v>
      </c>
      <c r="R658" s="18">
        <f t="shared" si="307"/>
        <v>8.1178502003265603E-3</v>
      </c>
      <c r="S658" s="18">
        <f t="shared" si="309"/>
        <v>1.7687071874001E-3</v>
      </c>
      <c r="T658" s="18">
        <f t="shared" si="311"/>
        <v>1.4040726280323303E-4</v>
      </c>
      <c r="U658" s="18">
        <f t="shared" si="313"/>
        <v>1.243544240726197E-2</v>
      </c>
      <c r="V658" s="18">
        <f t="shared" si="314"/>
        <v>3.5884038524491589E-2</v>
      </c>
      <c r="W658" s="18">
        <f t="shared" si="315"/>
        <v>4.1178352956478093E-2</v>
      </c>
      <c r="X658" s="18">
        <f t="shared" si="316"/>
        <v>6.2958680477960879E-3</v>
      </c>
      <c r="Y658" s="18">
        <f t="shared" si="317"/>
        <v>7.5710320247152482E-3</v>
      </c>
      <c r="AA658" s="18">
        <f t="shared" si="299"/>
        <v>-3.3102258456022382E-2</v>
      </c>
      <c r="AB658" s="18">
        <f t="shared" si="300"/>
        <v>1.0957595148893052E-3</v>
      </c>
      <c r="AC658" s="18">
        <f t="shared" si="302"/>
        <v>1.9965369756291132E-3</v>
      </c>
      <c r="AD658" s="18">
        <f t="shared" si="304"/>
        <v>2.1629978119696943E-4</v>
      </c>
      <c r="AE658" s="18">
        <f t="shared" si="306"/>
        <v>1.9079600088690261E-6</v>
      </c>
      <c r="AF658" s="18">
        <f t="shared" si="308"/>
        <v>1.0647137615311742E-2</v>
      </c>
      <c r="AG658" s="18">
        <f t="shared" si="310"/>
        <v>1.2375442125697026E-2</v>
      </c>
      <c r="AH658" s="18">
        <f t="shared" si="312"/>
        <v>1.3030740757422159E-3</v>
      </c>
      <c r="AJ658" s="18">
        <f>IF(ISNUMBER(Kernel!M658),Kernel!M658,"")</f>
        <v>2.6208237404615753E-2</v>
      </c>
      <c r="AK658" s="18">
        <f t="shared" si="297"/>
        <v>6.8687170785670026E-4</v>
      </c>
      <c r="AN658" s="18">
        <f>IF(ISNUMBER(Volcanic!G658),Volcanic!G658,"")</f>
        <v>5.9500000000000004E-3</v>
      </c>
    </row>
    <row r="659" spans="1:40">
      <c r="A659" s="18" t="str">
        <f>IF(Volcanic!A659="","",Volcanic!A659)</f>
        <v>12/2012</v>
      </c>
      <c r="B659" s="18">
        <f>IF(ISNUMBER(Volcanic!L659),Volcanic!L659,"")</f>
        <v>2012.9583333333333</v>
      </c>
      <c r="C659" s="18">
        <f>IF(ISNUMBER(Volcanic!J659),Volcanic!J659,"")</f>
        <v>-0.27924975762860171</v>
      </c>
      <c r="D659" s="18">
        <f t="shared" si="290"/>
        <v>7.7980427135632802E-2</v>
      </c>
      <c r="E659" s="18">
        <f>IF(ISNUMBER(Volcanic!C659),Volcanic!C659,"")</f>
        <v>0.49485444187513067</v>
      </c>
      <c r="F659" s="18">
        <f>IF(ISNUMBER(Volcanic!D659),Volcanic!D659,"")</f>
        <v>0.37</v>
      </c>
      <c r="G659" s="18">
        <f>IF(ISNUMBER(Volcanic!E659),Volcanic!E659,"")</f>
        <v>6.5799999999999999E-3</v>
      </c>
      <c r="H659" s="18">
        <f t="shared" si="291"/>
        <v>0.24488091864354708</v>
      </c>
      <c r="I659" s="18">
        <f t="shared" si="292"/>
        <v>0.13689999999999999</v>
      </c>
      <c r="J659" s="18">
        <f t="shared" si="293"/>
        <v>4.3296400000000001E-5</v>
      </c>
      <c r="K659" s="18">
        <f t="shared" si="294"/>
        <v>0.18309614349379835</v>
      </c>
      <c r="L659" s="18">
        <f t="shared" si="295"/>
        <v>3.2561422275383597E-3</v>
      </c>
      <c r="M659" s="18">
        <f t="shared" si="296"/>
        <v>2.4345999999999999E-3</v>
      </c>
      <c r="N659" s="18">
        <f t="shared" si="298"/>
        <v>2.7501063385649389E-4</v>
      </c>
      <c r="O659" s="18">
        <f t="shared" si="301"/>
        <v>1.0793525288560631E-3</v>
      </c>
      <c r="P659" s="18">
        <f t="shared" si="303"/>
        <v>5.5349125039702205E-4</v>
      </c>
      <c r="Q659" s="18">
        <f t="shared" si="305"/>
        <v>5.7822165465577918E-3</v>
      </c>
      <c r="R659" s="18">
        <f t="shared" si="307"/>
        <v>2.204839031724436E-2</v>
      </c>
      <c r="S659" s="18">
        <f t="shared" si="309"/>
        <v>8.1178502003265603E-3</v>
      </c>
      <c r="T659" s="18">
        <f t="shared" si="311"/>
        <v>1.7687071874001E-3</v>
      </c>
      <c r="U659" s="18">
        <f t="shared" si="313"/>
        <v>1.4040726280323303E-4</v>
      </c>
      <c r="V659" s="18">
        <f t="shared" si="314"/>
        <v>1.243544240726197E-2</v>
      </c>
      <c r="W659" s="18">
        <f t="shared" si="315"/>
        <v>3.5884038524491589E-2</v>
      </c>
      <c r="X659" s="18">
        <f t="shared" si="316"/>
        <v>4.1178352956478093E-2</v>
      </c>
      <c r="Y659" s="18">
        <f t="shared" si="317"/>
        <v>6.2958680477960879E-3</v>
      </c>
      <c r="AA659" s="18">
        <f t="shared" si="299"/>
        <v>-0.2709115645597166</v>
      </c>
      <c r="AB659" s="18">
        <f t="shared" si="300"/>
        <v>7.3393075812193495E-2</v>
      </c>
      <c r="AC659" s="18">
        <f t="shared" si="302"/>
        <v>1.0957595148893052E-3</v>
      </c>
      <c r="AD659" s="18">
        <f t="shared" si="304"/>
        <v>1.9965369756291132E-3</v>
      </c>
      <c r="AE659" s="18">
        <f t="shared" si="306"/>
        <v>2.1629978119696943E-4</v>
      </c>
      <c r="AF659" s="18">
        <f t="shared" si="308"/>
        <v>1.9079600088690261E-6</v>
      </c>
      <c r="AG659" s="18">
        <f t="shared" si="310"/>
        <v>1.0647137615311742E-2</v>
      </c>
      <c r="AH659" s="18">
        <f t="shared" si="312"/>
        <v>1.2375442125697026E-2</v>
      </c>
      <c r="AJ659" s="18">
        <f>IF(ISNUMBER(Kernel!M659),Kernel!M659,"")</f>
        <v>-0.23819873007571812</v>
      </c>
      <c r="AK659" s="18">
        <f t="shared" si="297"/>
        <v>5.6738635009684825E-2</v>
      </c>
      <c r="AN659" s="18">
        <f>IF(ISNUMBER(Volcanic!G659),Volcanic!G659,"")</f>
        <v>5.6800000000000002E-3</v>
      </c>
    </row>
    <row r="660" spans="1:40">
      <c r="A660" s="18" t="str">
        <f>IF(Volcanic!A660="","",Volcanic!A660)</f>
        <v>1/2013</v>
      </c>
      <c r="B660" s="18">
        <f>IF(ISNUMBER(Volcanic!L660),Volcanic!L660,"")</f>
        <v>2013.0416666666667</v>
      </c>
      <c r="C660" s="18">
        <f>IF(ISNUMBER(Volcanic!J660),Volcanic!J660,"")</f>
        <v>-0.10351854152243256</v>
      </c>
      <c r="D660" s="18">
        <f t="shared" si="290"/>
        <v>1.0716088438931595E-2</v>
      </c>
      <c r="E660" s="18">
        <f>IF(ISNUMBER(Volcanic!C660),Volcanic!C660,"")</f>
        <v>0.49927188316908833</v>
      </c>
      <c r="F660" s="18">
        <f>IF(ISNUMBER(Volcanic!D660),Volcanic!D660,"")</f>
        <v>0.28000000000000003</v>
      </c>
      <c r="G660" s="18">
        <f>IF(ISNUMBER(Volcanic!E660),Volcanic!E660,"")</f>
        <v>6.3200000000000001E-3</v>
      </c>
      <c r="H660" s="18">
        <f t="shared" si="291"/>
        <v>0.24927241332320779</v>
      </c>
      <c r="I660" s="18">
        <f t="shared" si="292"/>
        <v>7.8400000000000011E-2</v>
      </c>
      <c r="J660" s="18">
        <f t="shared" si="293"/>
        <v>3.9942399999999999E-5</v>
      </c>
      <c r="K660" s="18">
        <f t="shared" si="294"/>
        <v>0.13979612728734475</v>
      </c>
      <c r="L660" s="18">
        <f t="shared" si="295"/>
        <v>3.1553983016286381E-3</v>
      </c>
      <c r="M660" s="18">
        <f t="shared" si="296"/>
        <v>1.7696000000000003E-3</v>
      </c>
      <c r="N660" s="18">
        <f t="shared" si="298"/>
        <v>7.7980427135632802E-2</v>
      </c>
      <c r="O660" s="18">
        <f t="shared" si="301"/>
        <v>2.7501063385649389E-4</v>
      </c>
      <c r="P660" s="18">
        <f t="shared" si="303"/>
        <v>1.0793525288560631E-3</v>
      </c>
      <c r="Q660" s="18">
        <f t="shared" si="305"/>
        <v>5.5349125039702205E-4</v>
      </c>
      <c r="R660" s="18">
        <f t="shared" si="307"/>
        <v>5.7822165465577918E-3</v>
      </c>
      <c r="S660" s="18">
        <f t="shared" si="309"/>
        <v>2.204839031724436E-2</v>
      </c>
      <c r="T660" s="18">
        <f t="shared" si="311"/>
        <v>8.1178502003265603E-3</v>
      </c>
      <c r="U660" s="18">
        <f t="shared" si="313"/>
        <v>1.7687071874001E-3</v>
      </c>
      <c r="V660" s="18">
        <f t="shared" si="314"/>
        <v>1.4040726280323303E-4</v>
      </c>
      <c r="W660" s="18">
        <f t="shared" si="315"/>
        <v>1.243544240726197E-2</v>
      </c>
      <c r="X660" s="18">
        <f t="shared" si="316"/>
        <v>3.5884038524491589E-2</v>
      </c>
      <c r="Y660" s="18">
        <f t="shared" si="317"/>
        <v>4.1178352956478093E-2</v>
      </c>
      <c r="AA660" s="18">
        <f t="shared" si="299"/>
        <v>3.6888861988067762E-2</v>
      </c>
      <c r="AB660" s="18">
        <f t="shared" si="300"/>
        <v>1.3607881387747106E-3</v>
      </c>
      <c r="AC660" s="18">
        <f t="shared" si="302"/>
        <v>7.3393075812193495E-2</v>
      </c>
      <c r="AD660" s="18">
        <f t="shared" si="304"/>
        <v>1.0957595148893052E-3</v>
      </c>
      <c r="AE660" s="18">
        <f t="shared" si="306"/>
        <v>1.9965369756291132E-3</v>
      </c>
      <c r="AF660" s="18">
        <f t="shared" si="308"/>
        <v>2.1629978119696943E-4</v>
      </c>
      <c r="AG660" s="18">
        <f t="shared" si="310"/>
        <v>1.9079600088690261E-6</v>
      </c>
      <c r="AH660" s="18">
        <f t="shared" si="312"/>
        <v>1.0647137615311742E-2</v>
      </c>
      <c r="AJ660" s="18">
        <f>IF(ISNUMBER(Kernel!M660),Kernel!M660,"")</f>
        <v>-6.6458896396071832E-2</v>
      </c>
      <c r="AK660" s="18">
        <f t="shared" si="297"/>
        <v>4.4167849101838094E-3</v>
      </c>
      <c r="AN660" s="18">
        <f>IF(ISNUMBER(Volcanic!G660),Volcanic!G660,"")</f>
        <v>5.2100000000000002E-3</v>
      </c>
    </row>
    <row r="661" spans="1:40">
      <c r="A661" s="18" t="str">
        <f>IF(Volcanic!A661="","",Volcanic!A661)</f>
        <v>2/2013</v>
      </c>
      <c r="B661" s="18">
        <f>IF(ISNUMBER(Volcanic!L661),Volcanic!L661,"")</f>
        <v>2013.125</v>
      </c>
      <c r="C661" s="18">
        <f>IF(ISNUMBER(Volcanic!J661),Volcanic!J661,"")</f>
        <v>-0.1921612270037395</v>
      </c>
      <c r="D661" s="18">
        <f t="shared" si="290"/>
        <v>3.6925937163582702E-2</v>
      </c>
      <c r="E661" s="18">
        <f>IF(ISNUMBER(Volcanic!C661),Volcanic!C661,"")</f>
        <v>0.50382119585545315</v>
      </c>
      <c r="F661" s="18">
        <f>IF(ISNUMBER(Volcanic!D661),Volcanic!D661,"")</f>
        <v>0.13</v>
      </c>
      <c r="G661" s="18">
        <f>IF(ISNUMBER(Volcanic!E661),Volcanic!E661,"")</f>
        <v>6.2500000000000003E-3</v>
      </c>
      <c r="H661" s="18">
        <f t="shared" si="291"/>
        <v>0.25383579739321888</v>
      </c>
      <c r="I661" s="18">
        <f t="shared" si="292"/>
        <v>1.6900000000000002E-2</v>
      </c>
      <c r="J661" s="18">
        <f t="shared" si="293"/>
        <v>3.9062500000000008E-5</v>
      </c>
      <c r="K661" s="18">
        <f t="shared" si="294"/>
        <v>6.5496755461208908E-2</v>
      </c>
      <c r="L661" s="18">
        <f t="shared" si="295"/>
        <v>3.1488824740965823E-3</v>
      </c>
      <c r="M661" s="18">
        <f t="shared" si="296"/>
        <v>8.1250000000000007E-4</v>
      </c>
      <c r="N661" s="18">
        <f t="shared" si="298"/>
        <v>1.0716088438931595E-2</v>
      </c>
      <c r="O661" s="18">
        <f t="shared" si="301"/>
        <v>7.7980427135632802E-2</v>
      </c>
      <c r="P661" s="18">
        <f t="shared" si="303"/>
        <v>2.7501063385649389E-4</v>
      </c>
      <c r="Q661" s="18">
        <f t="shared" si="305"/>
        <v>1.0793525288560631E-3</v>
      </c>
      <c r="R661" s="18">
        <f t="shared" si="307"/>
        <v>5.5349125039702205E-4</v>
      </c>
      <c r="S661" s="18">
        <f t="shared" si="309"/>
        <v>5.7822165465577918E-3</v>
      </c>
      <c r="T661" s="18">
        <f t="shared" si="311"/>
        <v>2.204839031724436E-2</v>
      </c>
      <c r="U661" s="18">
        <f t="shared" si="313"/>
        <v>8.1178502003265603E-3</v>
      </c>
      <c r="V661" s="18">
        <f t="shared" si="314"/>
        <v>1.7687071874001E-3</v>
      </c>
      <c r="W661" s="18">
        <f t="shared" si="315"/>
        <v>1.4040726280323303E-4</v>
      </c>
      <c r="X661" s="18">
        <f t="shared" si="316"/>
        <v>1.243544240726197E-2</v>
      </c>
      <c r="Y661" s="18">
        <f t="shared" si="317"/>
        <v>3.5884038524491589E-2</v>
      </c>
      <c r="AA661" s="18">
        <f t="shared" si="299"/>
        <v>-0.14011187249833751</v>
      </c>
      <c r="AB661" s="18">
        <f t="shared" si="300"/>
        <v>1.9631336814990387E-2</v>
      </c>
      <c r="AC661" s="18">
        <f t="shared" si="302"/>
        <v>1.3607881387747106E-3</v>
      </c>
      <c r="AD661" s="18">
        <f t="shared" si="304"/>
        <v>7.3393075812193495E-2</v>
      </c>
      <c r="AE661" s="18">
        <f t="shared" si="306"/>
        <v>1.0957595148893052E-3</v>
      </c>
      <c r="AF661" s="18">
        <f t="shared" si="308"/>
        <v>1.9965369756291132E-3</v>
      </c>
      <c r="AG661" s="18">
        <f t="shared" si="310"/>
        <v>2.1629978119696943E-4</v>
      </c>
      <c r="AH661" s="18">
        <f t="shared" si="312"/>
        <v>1.9079600088690261E-6</v>
      </c>
      <c r="AJ661" s="18">
        <f>IF(ISNUMBER(Kernel!M661),Kernel!M661,"")</f>
        <v>-0.16483416848192334</v>
      </c>
      <c r="AK661" s="18">
        <f t="shared" si="297"/>
        <v>2.7170303099127088E-2</v>
      </c>
      <c r="AN661" s="18">
        <f>IF(ISNUMBER(Volcanic!G661),Volcanic!G661,"")</f>
        <v>5.1200000000000004E-3</v>
      </c>
    </row>
    <row r="662" spans="1:40">
      <c r="A662" s="18" t="str">
        <f>IF(Volcanic!A662="","",Volcanic!A662)</f>
        <v>3/2013</v>
      </c>
      <c r="B662" s="18">
        <f>IF(ISNUMBER(Volcanic!L662),Volcanic!L662,"")</f>
        <v>2013.2083333333333</v>
      </c>
      <c r="C662" s="18">
        <f>IF(ISNUMBER(Volcanic!J662),Volcanic!J662,"")</f>
        <v>-0.13372884293527498</v>
      </c>
      <c r="D662" s="18">
        <f t="shared" si="290"/>
        <v>1.7883403432807445E-2</v>
      </c>
      <c r="E662" s="18">
        <f>IF(ISNUMBER(Volcanic!C662),Volcanic!C662,"")</f>
        <v>0.50610862382400879</v>
      </c>
      <c r="F662" s="18">
        <f>IF(ISNUMBER(Volcanic!D662),Volcanic!D662,"")</f>
        <v>-0.03</v>
      </c>
      <c r="G662" s="18">
        <f>IF(ISNUMBER(Volcanic!E662),Volcanic!E662,"")</f>
        <v>6.1700000000000001E-3</v>
      </c>
      <c r="H662" s="18">
        <f t="shared" si="291"/>
        <v>0.25614593910903205</v>
      </c>
      <c r="I662" s="18">
        <f t="shared" si="292"/>
        <v>8.9999999999999998E-4</v>
      </c>
      <c r="J662" s="18">
        <f t="shared" si="293"/>
        <v>3.8068900000000004E-5</v>
      </c>
      <c r="K662" s="18">
        <f t="shared" si="294"/>
        <v>-1.5183258714720264E-2</v>
      </c>
      <c r="L662" s="18">
        <f t="shared" si="295"/>
        <v>3.1226902089941341E-3</v>
      </c>
      <c r="M662" s="18">
        <f t="shared" si="296"/>
        <v>-1.851E-4</v>
      </c>
      <c r="N662" s="18">
        <f t="shared" si="298"/>
        <v>3.6925937163582702E-2</v>
      </c>
      <c r="O662" s="18">
        <f t="shared" si="301"/>
        <v>1.0716088438931595E-2</v>
      </c>
      <c r="P662" s="18">
        <f t="shared" si="303"/>
        <v>7.7980427135632802E-2</v>
      </c>
      <c r="Q662" s="18">
        <f t="shared" si="305"/>
        <v>2.7501063385649389E-4</v>
      </c>
      <c r="R662" s="18">
        <f t="shared" si="307"/>
        <v>1.0793525288560631E-3</v>
      </c>
      <c r="S662" s="18">
        <f t="shared" si="309"/>
        <v>5.5349125039702205E-4</v>
      </c>
      <c r="T662" s="18">
        <f t="shared" si="311"/>
        <v>5.7822165465577918E-3</v>
      </c>
      <c r="U662" s="18">
        <f t="shared" si="313"/>
        <v>2.204839031724436E-2</v>
      </c>
      <c r="V662" s="18">
        <f t="shared" si="314"/>
        <v>8.1178502003265603E-3</v>
      </c>
      <c r="W662" s="18">
        <f t="shared" si="315"/>
        <v>1.7687071874001E-3</v>
      </c>
      <c r="X662" s="18">
        <f t="shared" si="316"/>
        <v>1.4040726280323303E-4</v>
      </c>
      <c r="Y662" s="18">
        <f t="shared" si="317"/>
        <v>1.243544240726197E-2</v>
      </c>
      <c r="AA662" s="18">
        <f t="shared" si="299"/>
        <v>-3.7109747656162623E-2</v>
      </c>
      <c r="AB662" s="18">
        <f t="shared" si="300"/>
        <v>1.3771333711040672E-3</v>
      </c>
      <c r="AC662" s="18">
        <f t="shared" si="302"/>
        <v>1.9631336814990387E-2</v>
      </c>
      <c r="AD662" s="18">
        <f t="shared" si="304"/>
        <v>1.3607881387747106E-3</v>
      </c>
      <c r="AE662" s="18">
        <f t="shared" si="306"/>
        <v>7.3393075812193495E-2</v>
      </c>
      <c r="AF662" s="18">
        <f t="shared" si="308"/>
        <v>1.0957595148893052E-3</v>
      </c>
      <c r="AG662" s="18">
        <f t="shared" si="310"/>
        <v>1.9965369756291132E-3</v>
      </c>
      <c r="AH662" s="18">
        <f t="shared" si="312"/>
        <v>2.1629978119696943E-4</v>
      </c>
      <c r="AJ662" s="18">
        <f>IF(ISNUMBER(Kernel!M662),Kernel!M662,"")</f>
        <v>-0.11885629764630068</v>
      </c>
      <c r="AK662" s="18">
        <f t="shared" si="297"/>
        <v>1.4126819490186021E-2</v>
      </c>
      <c r="AN662" s="18">
        <f>IF(ISNUMBER(Volcanic!G662),Volcanic!G662,"")</f>
        <v>4.96E-3</v>
      </c>
    </row>
    <row r="663" spans="1:40">
      <c r="A663" s="18" t="str">
        <f>IF(Volcanic!A663="","",Volcanic!A663)</f>
        <v>4/2013</v>
      </c>
      <c r="B663" s="18">
        <f>IF(ISNUMBER(Volcanic!L663),Volcanic!L663,"")</f>
        <v>2013.2916666666667</v>
      </c>
      <c r="C663" s="18">
        <f>IF(ISNUMBER(Volcanic!J663),Volcanic!J663,"")</f>
        <v>-0.26410308389817294</v>
      </c>
      <c r="D663" s="18">
        <f t="shared" si="290"/>
        <v>6.9750438924525371E-2</v>
      </c>
      <c r="E663" s="18">
        <f>IF(ISNUMBER(Volcanic!C663),Volcanic!C663,"")</f>
        <v>0.50965965196384122</v>
      </c>
      <c r="F663" s="18">
        <f>IF(ISNUMBER(Volcanic!D663),Volcanic!D663,"")</f>
        <v>-0.24</v>
      </c>
      <c r="G663" s="18">
        <f>IF(ISNUMBER(Volcanic!E663),Volcanic!E663,"")</f>
        <v>6.0899999999999999E-3</v>
      </c>
      <c r="H663" s="18">
        <f t="shared" si="291"/>
        <v>0.25975296083990373</v>
      </c>
      <c r="I663" s="18">
        <f t="shared" si="292"/>
        <v>5.7599999999999998E-2</v>
      </c>
      <c r="J663" s="18">
        <f t="shared" si="293"/>
        <v>3.7088100000000002E-5</v>
      </c>
      <c r="K663" s="18">
        <f t="shared" si="294"/>
        <v>-0.12231831647132189</v>
      </c>
      <c r="L663" s="18">
        <f t="shared" si="295"/>
        <v>3.103827280459793E-3</v>
      </c>
      <c r="M663" s="18">
        <f t="shared" si="296"/>
        <v>-1.4616E-3</v>
      </c>
      <c r="N663" s="18">
        <f t="shared" si="298"/>
        <v>1.7883403432807445E-2</v>
      </c>
      <c r="O663" s="18">
        <f t="shared" si="301"/>
        <v>3.6925937163582702E-2</v>
      </c>
      <c r="P663" s="18">
        <f t="shared" si="303"/>
        <v>1.0716088438931595E-2</v>
      </c>
      <c r="Q663" s="18">
        <f t="shared" si="305"/>
        <v>7.7980427135632802E-2</v>
      </c>
      <c r="R663" s="18">
        <f t="shared" si="307"/>
        <v>2.7501063385649389E-4</v>
      </c>
      <c r="S663" s="18">
        <f t="shared" si="309"/>
        <v>1.0793525288560631E-3</v>
      </c>
      <c r="T663" s="18">
        <f t="shared" si="311"/>
        <v>5.5349125039702205E-4</v>
      </c>
      <c r="U663" s="18">
        <f t="shared" si="313"/>
        <v>5.7822165465577918E-3</v>
      </c>
      <c r="V663" s="18">
        <f t="shared" si="314"/>
        <v>2.204839031724436E-2</v>
      </c>
      <c r="W663" s="18">
        <f t="shared" si="315"/>
        <v>8.1178502003265603E-3</v>
      </c>
      <c r="X663" s="18">
        <f t="shared" si="316"/>
        <v>1.7687071874001E-3</v>
      </c>
      <c r="Y663" s="18">
        <f t="shared" si="317"/>
        <v>1.4040726280323303E-4</v>
      </c>
      <c r="AA663" s="18">
        <f t="shared" si="299"/>
        <v>-0.19686392218696391</v>
      </c>
      <c r="AB663" s="18">
        <f t="shared" si="300"/>
        <v>3.8755403858834983E-2</v>
      </c>
      <c r="AC663" s="18">
        <f t="shared" si="302"/>
        <v>1.3771333711040672E-3</v>
      </c>
      <c r="AD663" s="18">
        <f t="shared" si="304"/>
        <v>1.9631336814990387E-2</v>
      </c>
      <c r="AE663" s="18">
        <f t="shared" si="306"/>
        <v>1.3607881387747106E-3</v>
      </c>
      <c r="AF663" s="18">
        <f t="shared" si="308"/>
        <v>7.3393075812193495E-2</v>
      </c>
      <c r="AG663" s="18">
        <f t="shared" si="310"/>
        <v>1.0957595148893052E-3</v>
      </c>
      <c r="AH663" s="18">
        <f t="shared" si="312"/>
        <v>1.9965369756291132E-3</v>
      </c>
      <c r="AJ663" s="18">
        <f>IF(ISNUMBER(Kernel!M663),Kernel!M663,"")</f>
        <v>-0.26734714717954178</v>
      </c>
      <c r="AK663" s="18">
        <f t="shared" si="297"/>
        <v>7.1474497105039572E-2</v>
      </c>
      <c r="AN663" s="18">
        <f>IF(ISNUMBER(Volcanic!G663),Volcanic!G663,"")</f>
        <v>4.8300000000000001E-3</v>
      </c>
    </row>
    <row r="664" spans="1:40">
      <c r="A664" s="18" t="str">
        <f>IF(Volcanic!A664="","",Volcanic!A664)</f>
        <v>5/2013</v>
      </c>
      <c r="B664" s="18">
        <f>IF(ISNUMBER(Volcanic!L664),Volcanic!L664,"")</f>
        <v>2013.375</v>
      </c>
      <c r="C664" s="18">
        <f>IF(ISNUMBER(Volcanic!J664),Volcanic!J664,"")</f>
        <v>-0.2043193373562191</v>
      </c>
      <c r="D664" s="18">
        <f t="shared" si="290"/>
        <v>4.1746391617684467E-2</v>
      </c>
      <c r="E664" s="18">
        <f>IF(ISNUMBER(Volcanic!C664),Volcanic!C664,"")</f>
        <v>0.51464530577849399</v>
      </c>
      <c r="F664" s="18">
        <f>IF(ISNUMBER(Volcanic!D664),Volcanic!D664,"")</f>
        <v>-0.28000000000000003</v>
      </c>
      <c r="G664" s="18">
        <f>IF(ISNUMBER(Volcanic!E664),Volcanic!E664,"")</f>
        <v>5.94E-3</v>
      </c>
      <c r="H664" s="18">
        <f t="shared" si="291"/>
        <v>0.26485979075983956</v>
      </c>
      <c r="I664" s="18">
        <f t="shared" si="292"/>
        <v>7.8400000000000011E-2</v>
      </c>
      <c r="J664" s="18">
        <f t="shared" si="293"/>
        <v>3.5283600000000002E-5</v>
      </c>
      <c r="K664" s="18">
        <f t="shared" si="294"/>
        <v>-0.14410068561797834</v>
      </c>
      <c r="L664" s="18">
        <f t="shared" si="295"/>
        <v>3.0569931163242541E-3</v>
      </c>
      <c r="M664" s="18">
        <f t="shared" si="296"/>
        <v>-1.6632000000000001E-3</v>
      </c>
      <c r="N664" s="18">
        <f t="shared" si="298"/>
        <v>6.9750438924525371E-2</v>
      </c>
      <c r="O664" s="18">
        <f t="shared" si="301"/>
        <v>1.7883403432807445E-2</v>
      </c>
      <c r="P664" s="18">
        <f t="shared" si="303"/>
        <v>3.6925937163582702E-2</v>
      </c>
      <c r="Q664" s="18">
        <f t="shared" si="305"/>
        <v>1.0716088438931595E-2</v>
      </c>
      <c r="R664" s="18">
        <f t="shared" si="307"/>
        <v>7.7980427135632802E-2</v>
      </c>
      <c r="S664" s="18">
        <f t="shared" si="309"/>
        <v>2.7501063385649389E-4</v>
      </c>
      <c r="T664" s="18">
        <f t="shared" si="311"/>
        <v>1.0793525288560631E-3</v>
      </c>
      <c r="U664" s="18">
        <f t="shared" si="313"/>
        <v>5.5349125039702205E-4</v>
      </c>
      <c r="V664" s="18">
        <f t="shared" si="314"/>
        <v>5.7822165465577918E-3</v>
      </c>
      <c r="W664" s="18">
        <f t="shared" si="315"/>
        <v>2.204839031724436E-2</v>
      </c>
      <c r="X664" s="18">
        <f t="shared" si="316"/>
        <v>8.1178502003265603E-3</v>
      </c>
      <c r="Y664" s="18">
        <f t="shared" si="317"/>
        <v>1.7687071874001E-3</v>
      </c>
      <c r="AA664" s="18">
        <f t="shared" si="299"/>
        <v>-7.1527715318083385E-2</v>
      </c>
      <c r="AB664" s="18">
        <f t="shared" si="300"/>
        <v>5.1162140586247804E-3</v>
      </c>
      <c r="AC664" s="18">
        <f t="shared" si="302"/>
        <v>3.8755403858834983E-2</v>
      </c>
      <c r="AD664" s="18">
        <f t="shared" si="304"/>
        <v>1.3771333711040672E-3</v>
      </c>
      <c r="AE664" s="18">
        <f t="shared" si="306"/>
        <v>1.9631336814990387E-2</v>
      </c>
      <c r="AF664" s="18">
        <f t="shared" si="308"/>
        <v>1.3607881387747106E-3</v>
      </c>
      <c r="AG664" s="18">
        <f t="shared" si="310"/>
        <v>7.3393075812193495E-2</v>
      </c>
      <c r="AH664" s="18">
        <f t="shared" si="312"/>
        <v>1.0957595148893052E-3</v>
      </c>
      <c r="AJ664" s="18">
        <f>IF(ISNUMBER(Kernel!M664),Kernel!M664,"")</f>
        <v>-0.20779931756573433</v>
      </c>
      <c r="AK664" s="18">
        <f t="shared" si="297"/>
        <v>4.3180556380784905E-2</v>
      </c>
      <c r="AN664" s="18">
        <f>IF(ISNUMBER(Volcanic!G664),Volcanic!G664,"")</f>
        <v>4.6699999999999997E-3</v>
      </c>
    </row>
    <row r="665" spans="1:40">
      <c r="A665" s="18" t="str">
        <f>IF(Volcanic!A665="","",Volcanic!A665)</f>
        <v>6/2013</v>
      </c>
      <c r="B665" s="18">
        <f>IF(ISNUMBER(Volcanic!L665),Volcanic!L665,"")</f>
        <v>2013.4583333333333</v>
      </c>
      <c r="C665" s="18">
        <f>IF(ISNUMBER(Volcanic!J665),Volcanic!J665,"")</f>
        <v>-9.7016739534619756E-2</v>
      </c>
      <c r="D665" s="18">
        <f t="shared" si="290"/>
        <v>9.4122477499282518E-3</v>
      </c>
      <c r="E665" s="18">
        <f>IF(ISNUMBER(Volcanic!C665),Volcanic!C665,"")</f>
        <v>0.5102747580160486</v>
      </c>
      <c r="F665" s="18">
        <f>IF(ISNUMBER(Volcanic!D665),Volcanic!D665,"")</f>
        <v>-0.23</v>
      </c>
      <c r="G665" s="18">
        <f>IF(ISNUMBER(Volcanic!E665),Volcanic!E665,"")</f>
        <v>5.9500000000000004E-3</v>
      </c>
      <c r="H665" s="18">
        <f t="shared" si="291"/>
        <v>0.26038032866833694</v>
      </c>
      <c r="I665" s="18">
        <f t="shared" si="292"/>
        <v>5.2900000000000003E-2</v>
      </c>
      <c r="J665" s="18">
        <f t="shared" si="293"/>
        <v>3.5402500000000005E-5</v>
      </c>
      <c r="K665" s="18">
        <f t="shared" si="294"/>
        <v>-0.11736319434369118</v>
      </c>
      <c r="L665" s="18">
        <f t="shared" si="295"/>
        <v>3.0361348101954895E-3</v>
      </c>
      <c r="M665" s="18">
        <f t="shared" si="296"/>
        <v>-1.3685000000000001E-3</v>
      </c>
      <c r="N665" s="18">
        <f t="shared" si="298"/>
        <v>4.1746391617684467E-2</v>
      </c>
      <c r="O665" s="18">
        <f t="shared" si="301"/>
        <v>6.9750438924525371E-2</v>
      </c>
      <c r="P665" s="18">
        <f t="shared" si="303"/>
        <v>1.7883403432807445E-2</v>
      </c>
      <c r="Q665" s="18">
        <f t="shared" si="305"/>
        <v>3.6925937163582702E-2</v>
      </c>
      <c r="R665" s="18">
        <f t="shared" si="307"/>
        <v>1.0716088438931595E-2</v>
      </c>
      <c r="S665" s="18">
        <f t="shared" si="309"/>
        <v>7.7980427135632802E-2</v>
      </c>
      <c r="T665" s="18">
        <f t="shared" si="311"/>
        <v>2.7501063385649389E-4</v>
      </c>
      <c r="U665" s="18">
        <f t="shared" si="313"/>
        <v>1.0793525288560631E-3</v>
      </c>
      <c r="V665" s="18">
        <f t="shared" si="314"/>
        <v>5.5349125039702205E-4</v>
      </c>
      <c r="W665" s="18">
        <f t="shared" si="315"/>
        <v>5.7822165465577918E-3</v>
      </c>
      <c r="X665" s="18">
        <f t="shared" si="316"/>
        <v>2.204839031724436E-2</v>
      </c>
      <c r="Y665" s="18">
        <f t="shared" si="317"/>
        <v>8.1178502003265603E-3</v>
      </c>
      <c r="AA665" s="18">
        <f t="shared" si="299"/>
        <v>5.715480857590105E-3</v>
      </c>
      <c r="AB665" s="18">
        <f t="shared" si="300"/>
        <v>3.2666721433478924E-5</v>
      </c>
      <c r="AC665" s="18">
        <f t="shared" si="302"/>
        <v>5.1162140586247804E-3</v>
      </c>
      <c r="AD665" s="18">
        <f t="shared" si="304"/>
        <v>3.8755403858834983E-2</v>
      </c>
      <c r="AE665" s="18">
        <f t="shared" si="306"/>
        <v>1.3771333711040672E-3</v>
      </c>
      <c r="AF665" s="18">
        <f t="shared" si="308"/>
        <v>1.9631336814990387E-2</v>
      </c>
      <c r="AG665" s="18">
        <f t="shared" si="310"/>
        <v>1.3607881387747106E-3</v>
      </c>
      <c r="AH665" s="18">
        <f t="shared" si="312"/>
        <v>7.3393075812193495E-2</v>
      </c>
      <c r="AJ665" s="18">
        <f>IF(ISNUMBER(Kernel!M665),Kernel!M665,"")</f>
        <v>-9.1793303617698441E-2</v>
      </c>
      <c r="AK665" s="18">
        <f t="shared" si="297"/>
        <v>8.4260105890509689E-3</v>
      </c>
      <c r="AN665" s="18">
        <f>IF(ISNUMBER(Volcanic!G665),Volcanic!G665,"")</f>
        <v>4.3899999999999998E-3</v>
      </c>
    </row>
    <row r="666" spans="1:40">
      <c r="A666" s="18" t="str">
        <f>IF(Volcanic!A666="","",Volcanic!A666)</f>
        <v>7/2013</v>
      </c>
      <c r="B666" s="18">
        <f>IF(ISNUMBER(Volcanic!L666),Volcanic!L666,"")</f>
        <v>2013.5416666666667</v>
      </c>
      <c r="C666" s="18">
        <f>IF(ISNUMBER(Volcanic!J666),Volcanic!J666,"")</f>
        <v>-0.18754733360973075</v>
      </c>
      <c r="D666" s="18">
        <f t="shared" si="290"/>
        <v>3.5174002344119638E-2</v>
      </c>
      <c r="E666" s="18">
        <f>IF(ISNUMBER(Volcanic!C666),Volcanic!C666,"")</f>
        <v>0.50556432698509302</v>
      </c>
      <c r="F666" s="18">
        <f>IF(ISNUMBER(Volcanic!D666),Volcanic!D666,"")</f>
        <v>-0.2</v>
      </c>
      <c r="G666" s="18">
        <f>IF(ISNUMBER(Volcanic!E666),Volcanic!E666,"")</f>
        <v>5.6800000000000002E-3</v>
      </c>
      <c r="H666" s="18">
        <f t="shared" si="291"/>
        <v>0.25559528871989007</v>
      </c>
      <c r="I666" s="18">
        <f t="shared" si="292"/>
        <v>4.0000000000000008E-2</v>
      </c>
      <c r="J666" s="18">
        <f t="shared" si="293"/>
        <v>3.2262400000000005E-5</v>
      </c>
      <c r="K666" s="18">
        <f t="shared" si="294"/>
        <v>-0.10111286539701861</v>
      </c>
      <c r="L666" s="18">
        <f t="shared" si="295"/>
        <v>2.8716053772753283E-3</v>
      </c>
      <c r="M666" s="18">
        <f t="shared" si="296"/>
        <v>-1.1360000000000001E-3</v>
      </c>
      <c r="N666" s="18">
        <f t="shared" si="298"/>
        <v>9.4122477499282518E-3</v>
      </c>
      <c r="O666" s="18">
        <f t="shared" si="301"/>
        <v>4.1746391617684467E-2</v>
      </c>
      <c r="P666" s="18">
        <f t="shared" si="303"/>
        <v>6.9750438924525371E-2</v>
      </c>
      <c r="Q666" s="18">
        <f t="shared" si="305"/>
        <v>1.7883403432807445E-2</v>
      </c>
      <c r="R666" s="18">
        <f t="shared" si="307"/>
        <v>3.6925937163582702E-2</v>
      </c>
      <c r="S666" s="18">
        <f t="shared" si="309"/>
        <v>1.0716088438931595E-2</v>
      </c>
      <c r="T666" s="18">
        <f t="shared" si="311"/>
        <v>7.7980427135632802E-2</v>
      </c>
      <c r="U666" s="18">
        <f t="shared" si="313"/>
        <v>2.7501063385649389E-4</v>
      </c>
      <c r="V666" s="18">
        <f t="shared" si="314"/>
        <v>1.0793525288560631E-3</v>
      </c>
      <c r="W666" s="18">
        <f t="shared" si="315"/>
        <v>5.5349125039702205E-4</v>
      </c>
      <c r="X666" s="18">
        <f t="shared" si="316"/>
        <v>5.7822165465577918E-3</v>
      </c>
      <c r="Y666" s="18">
        <f t="shared" si="317"/>
        <v>2.204839031724436E-2</v>
      </c>
      <c r="AA666" s="18">
        <f t="shared" si="299"/>
        <v>-0.13876709970447035</v>
      </c>
      <c r="AB666" s="18">
        <f t="shared" si="300"/>
        <v>1.9256307960390413E-2</v>
      </c>
      <c r="AC666" s="18">
        <f t="shared" si="302"/>
        <v>3.2666721433478924E-5</v>
      </c>
      <c r="AD666" s="18">
        <f t="shared" si="304"/>
        <v>5.1162140586247804E-3</v>
      </c>
      <c r="AE666" s="18">
        <f t="shared" si="306"/>
        <v>3.8755403858834983E-2</v>
      </c>
      <c r="AF666" s="18">
        <f t="shared" si="308"/>
        <v>1.3771333711040672E-3</v>
      </c>
      <c r="AG666" s="18">
        <f t="shared" si="310"/>
        <v>1.9631336814990387E-2</v>
      </c>
      <c r="AH666" s="18">
        <f t="shared" si="312"/>
        <v>1.3607881387747106E-3</v>
      </c>
      <c r="AJ666" s="18">
        <f>IF(ISNUMBER(Kernel!M666),Kernel!M666,"")</f>
        <v>-0.1740319912125522</v>
      </c>
      <c r="AK666" s="18">
        <f t="shared" si="297"/>
        <v>3.0287133965405843E-2</v>
      </c>
      <c r="AN666" s="18">
        <f>IF(ISNUMBER(Volcanic!G666),Volcanic!G666,"")</f>
        <v>4.3899999999999998E-3</v>
      </c>
    </row>
    <row r="667" spans="1:40">
      <c r="A667" s="18" t="str">
        <f>IF(Volcanic!A667="","",Volcanic!A667)</f>
        <v>8/2013</v>
      </c>
      <c r="B667" s="18">
        <f>IF(ISNUMBER(Volcanic!L667),Volcanic!L667,"")</f>
        <v>2013.625</v>
      </c>
      <c r="C667" s="18">
        <f>IF(ISNUMBER(Volcanic!J667),Volcanic!J667,"")</f>
        <v>-5.8260532822774214E-2</v>
      </c>
      <c r="D667" s="18">
        <f t="shared" si="290"/>
        <v>3.3942896847935513E-3</v>
      </c>
      <c r="E667" s="18">
        <f>IF(ISNUMBER(Volcanic!C667),Volcanic!C667,"")</f>
        <v>0.49784955645922896</v>
      </c>
      <c r="F667" s="18">
        <f>IF(ISNUMBER(Volcanic!D667),Volcanic!D667,"")</f>
        <v>-0.3</v>
      </c>
      <c r="G667" s="18">
        <f>IF(ISNUMBER(Volcanic!E667),Volcanic!E667,"")</f>
        <v>5.2100000000000002E-3</v>
      </c>
      <c r="H667" s="18">
        <f t="shared" si="291"/>
        <v>0.24785418086665101</v>
      </c>
      <c r="I667" s="18">
        <f t="shared" si="292"/>
        <v>0.09</v>
      </c>
      <c r="J667" s="18">
        <f t="shared" si="293"/>
        <v>2.7144100000000003E-5</v>
      </c>
      <c r="K667" s="18">
        <f t="shared" si="294"/>
        <v>-0.14935486693776867</v>
      </c>
      <c r="L667" s="18">
        <f t="shared" si="295"/>
        <v>2.5937961891525831E-3</v>
      </c>
      <c r="M667" s="18">
        <f t="shared" si="296"/>
        <v>-1.5629999999999999E-3</v>
      </c>
      <c r="N667" s="18">
        <f t="shared" si="298"/>
        <v>3.5174002344119638E-2</v>
      </c>
      <c r="O667" s="18">
        <f t="shared" si="301"/>
        <v>9.4122477499282518E-3</v>
      </c>
      <c r="P667" s="18">
        <f t="shared" si="303"/>
        <v>4.1746391617684467E-2</v>
      </c>
      <c r="Q667" s="18">
        <f t="shared" si="305"/>
        <v>6.9750438924525371E-2</v>
      </c>
      <c r="R667" s="18">
        <f t="shared" si="307"/>
        <v>1.7883403432807445E-2</v>
      </c>
      <c r="S667" s="18">
        <f t="shared" si="309"/>
        <v>3.6925937163582702E-2</v>
      </c>
      <c r="T667" s="18">
        <f t="shared" si="311"/>
        <v>1.0716088438931595E-2</v>
      </c>
      <c r="U667" s="18">
        <f t="shared" si="313"/>
        <v>7.7980427135632802E-2</v>
      </c>
      <c r="V667" s="18">
        <f t="shared" si="314"/>
        <v>2.7501063385649389E-4</v>
      </c>
      <c r="W667" s="18">
        <f t="shared" si="315"/>
        <v>1.0793525288560631E-3</v>
      </c>
      <c r="X667" s="18">
        <f t="shared" si="316"/>
        <v>5.5349125039702205E-4</v>
      </c>
      <c r="Y667" s="18">
        <f t="shared" si="317"/>
        <v>5.7822165465577918E-3</v>
      </c>
      <c r="AA667" s="18">
        <f t="shared" si="299"/>
        <v>3.6038686525098784E-2</v>
      </c>
      <c r="AB667" s="18">
        <f t="shared" si="300"/>
        <v>1.2987869264543368E-3</v>
      </c>
      <c r="AC667" s="18">
        <f t="shared" si="302"/>
        <v>1.9256307960390413E-2</v>
      </c>
      <c r="AD667" s="18">
        <f t="shared" si="304"/>
        <v>3.2666721433478924E-5</v>
      </c>
      <c r="AE667" s="18">
        <f t="shared" si="306"/>
        <v>5.1162140586247804E-3</v>
      </c>
      <c r="AF667" s="18">
        <f t="shared" si="308"/>
        <v>3.8755403858834983E-2</v>
      </c>
      <c r="AG667" s="18">
        <f t="shared" si="310"/>
        <v>1.3771333711040672E-3</v>
      </c>
      <c r="AH667" s="18">
        <f t="shared" si="312"/>
        <v>1.9631336814990387E-2</v>
      </c>
      <c r="AJ667" s="18">
        <f>IF(ISNUMBER(Kernel!M667),Kernel!M667,"")</f>
        <v>-5.1305400148114466E-2</v>
      </c>
      <c r="AK667" s="18">
        <f t="shared" si="297"/>
        <v>2.6322440843581439E-3</v>
      </c>
      <c r="AN667" s="18">
        <f>IF(ISNUMBER(Volcanic!G667),Volcanic!G667,"")</f>
        <v>4.4999999999999997E-3</v>
      </c>
    </row>
    <row r="668" spans="1:40">
      <c r="A668" s="18" t="str">
        <f>IF(Volcanic!A668="","",Volcanic!A668)</f>
        <v>9/2013</v>
      </c>
      <c r="B668" s="18">
        <f>IF(ISNUMBER(Volcanic!L668),Volcanic!L668,"")</f>
        <v>2013.7083333333333</v>
      </c>
      <c r="C668" s="18">
        <f>IF(ISNUMBER(Volcanic!J668),Volcanic!J668,"")</f>
        <v>3.5619746307748779E-2</v>
      </c>
      <c r="D668" s="18">
        <f t="shared" si="290"/>
        <v>1.2687663270283828E-3</v>
      </c>
      <c r="E668" s="18">
        <f>IF(ISNUMBER(Volcanic!C668),Volcanic!C668,"")</f>
        <v>0.49174317251988486</v>
      </c>
      <c r="F668" s="18">
        <f>IF(ISNUMBER(Volcanic!D668),Volcanic!D668,"")</f>
        <v>-0.38</v>
      </c>
      <c r="G668" s="18">
        <f>IF(ISNUMBER(Volcanic!E668),Volcanic!E668,"")</f>
        <v>5.1200000000000004E-3</v>
      </c>
      <c r="H668" s="18">
        <f t="shared" si="291"/>
        <v>0.24181134771992124</v>
      </c>
      <c r="I668" s="18">
        <f t="shared" si="292"/>
        <v>0.1444</v>
      </c>
      <c r="J668" s="18">
        <f t="shared" si="293"/>
        <v>2.6214400000000004E-5</v>
      </c>
      <c r="K668" s="18">
        <f t="shared" si="294"/>
        <v>-0.18686240555755626</v>
      </c>
      <c r="L668" s="18">
        <f t="shared" si="295"/>
        <v>2.5177250433018107E-3</v>
      </c>
      <c r="M668" s="18">
        <f t="shared" si="296"/>
        <v>-1.9456000000000002E-3</v>
      </c>
      <c r="N668" s="18">
        <f t="shared" si="298"/>
        <v>3.3942896847935513E-3</v>
      </c>
      <c r="O668" s="18">
        <f t="shared" si="301"/>
        <v>3.5174002344119638E-2</v>
      </c>
      <c r="P668" s="18">
        <f t="shared" si="303"/>
        <v>9.4122477499282518E-3</v>
      </c>
      <c r="Q668" s="18">
        <f t="shared" si="305"/>
        <v>4.1746391617684467E-2</v>
      </c>
      <c r="R668" s="18">
        <f t="shared" si="307"/>
        <v>6.9750438924525371E-2</v>
      </c>
      <c r="S668" s="18">
        <f t="shared" si="309"/>
        <v>1.7883403432807445E-2</v>
      </c>
      <c r="T668" s="18">
        <f t="shared" si="311"/>
        <v>3.6925937163582702E-2</v>
      </c>
      <c r="U668" s="18">
        <f t="shared" si="313"/>
        <v>1.0716088438931595E-2</v>
      </c>
      <c r="V668" s="18">
        <f t="shared" si="314"/>
        <v>7.7980427135632802E-2</v>
      </c>
      <c r="W668" s="18">
        <f t="shared" si="315"/>
        <v>2.7501063385649389E-4</v>
      </c>
      <c r="X668" s="18">
        <f t="shared" si="316"/>
        <v>1.0793525288560631E-3</v>
      </c>
      <c r="Y668" s="18">
        <f t="shared" si="317"/>
        <v>5.5349125039702205E-4</v>
      </c>
      <c r="AA668" s="18">
        <f t="shared" si="299"/>
        <v>6.4913272684461246E-2</v>
      </c>
      <c r="AB668" s="18">
        <f t="shared" si="300"/>
        <v>4.2137329706072226E-3</v>
      </c>
      <c r="AC668" s="18">
        <f t="shared" si="302"/>
        <v>1.2987869264543368E-3</v>
      </c>
      <c r="AD668" s="18">
        <f t="shared" si="304"/>
        <v>1.9256307960390413E-2</v>
      </c>
      <c r="AE668" s="18">
        <f t="shared" si="306"/>
        <v>3.2666721433478924E-5</v>
      </c>
      <c r="AF668" s="18">
        <f t="shared" si="308"/>
        <v>5.1162140586247804E-3</v>
      </c>
      <c r="AG668" s="18">
        <f t="shared" si="310"/>
        <v>3.8755403858834983E-2</v>
      </c>
      <c r="AH668" s="18">
        <f t="shared" si="312"/>
        <v>1.3771333711040672E-3</v>
      </c>
      <c r="AJ668" s="18">
        <f>IF(ISNUMBER(Kernel!M668),Kernel!M668,"")</f>
        <v>3.6344451638698039E-2</v>
      </c>
      <c r="AK668" s="18">
        <f t="shared" si="297"/>
        <v>1.3209191649176605E-3</v>
      </c>
      <c r="AN668" s="18">
        <f>IF(ISNUMBER(Volcanic!G668),Volcanic!G668,"")</f>
        <v>4.5799999999999999E-3</v>
      </c>
    </row>
    <row r="669" spans="1:40">
      <c r="A669" s="18" t="str">
        <f>IF(Volcanic!A669="","",Volcanic!A669)</f>
        <v>10/2013</v>
      </c>
      <c r="B669" s="18">
        <f>IF(ISNUMBER(Volcanic!L669),Volcanic!L669,"")</f>
        <v>2013.7916666666667</v>
      </c>
      <c r="C669" s="18">
        <f>IF(ISNUMBER(Volcanic!J669),Volcanic!J669,"")</f>
        <v>-4.0035170669379005E-2</v>
      </c>
      <c r="D669" s="18">
        <f t="shared" si="290"/>
        <v>1.602814890526305E-3</v>
      </c>
      <c r="E669" s="18">
        <f>IF(ISNUMBER(Volcanic!C669),Volcanic!C669,"")</f>
        <v>0.49240258978171431</v>
      </c>
      <c r="F669" s="18">
        <f>IF(ISNUMBER(Volcanic!D669),Volcanic!D669,"")</f>
        <v>-0.45</v>
      </c>
      <c r="G669" s="18">
        <f>IF(ISNUMBER(Volcanic!E669),Volcanic!E669,"")</f>
        <v>4.96E-3</v>
      </c>
      <c r="H669" s="18">
        <f t="shared" si="291"/>
        <v>0.24246031042373922</v>
      </c>
      <c r="I669" s="18">
        <f t="shared" si="292"/>
        <v>0.20250000000000001</v>
      </c>
      <c r="J669" s="18">
        <f t="shared" si="293"/>
        <v>2.4601599999999998E-5</v>
      </c>
      <c r="K669" s="18">
        <f t="shared" si="294"/>
        <v>-0.22158116540177145</v>
      </c>
      <c r="L669" s="18">
        <f t="shared" si="295"/>
        <v>2.4423168453173031E-3</v>
      </c>
      <c r="M669" s="18">
        <f t="shared" si="296"/>
        <v>-2.232E-3</v>
      </c>
      <c r="N669" s="18">
        <f t="shared" si="298"/>
        <v>1.2687663270283828E-3</v>
      </c>
      <c r="O669" s="18">
        <f t="shared" si="301"/>
        <v>3.3942896847935513E-3</v>
      </c>
      <c r="P669" s="18">
        <f t="shared" si="303"/>
        <v>3.5174002344119638E-2</v>
      </c>
      <c r="Q669" s="18">
        <f t="shared" si="305"/>
        <v>9.4122477499282518E-3</v>
      </c>
      <c r="R669" s="18">
        <f t="shared" si="307"/>
        <v>4.1746391617684467E-2</v>
      </c>
      <c r="S669" s="18">
        <f t="shared" si="309"/>
        <v>6.9750438924525371E-2</v>
      </c>
      <c r="T669" s="18">
        <f t="shared" si="311"/>
        <v>1.7883403432807445E-2</v>
      </c>
      <c r="U669" s="18">
        <f t="shared" si="313"/>
        <v>3.6925937163582702E-2</v>
      </c>
      <c r="V669" s="18">
        <f t="shared" si="314"/>
        <v>1.0716088438931595E-2</v>
      </c>
      <c r="W669" s="18">
        <f t="shared" si="315"/>
        <v>7.7980427135632802E-2</v>
      </c>
      <c r="X669" s="18">
        <f t="shared" si="316"/>
        <v>2.7501063385649389E-4</v>
      </c>
      <c r="Y669" s="18">
        <f t="shared" si="317"/>
        <v>1.0793525288560631E-3</v>
      </c>
      <c r="AA669" s="18">
        <f t="shared" si="299"/>
        <v>-5.7944858882700082E-2</v>
      </c>
      <c r="AB669" s="18">
        <f t="shared" si="300"/>
        <v>3.3576066709360267E-3</v>
      </c>
      <c r="AC669" s="18">
        <f t="shared" si="302"/>
        <v>4.2137329706072226E-3</v>
      </c>
      <c r="AD669" s="18">
        <f t="shared" si="304"/>
        <v>1.2987869264543368E-3</v>
      </c>
      <c r="AE669" s="18">
        <f t="shared" si="306"/>
        <v>1.9256307960390413E-2</v>
      </c>
      <c r="AF669" s="18">
        <f t="shared" si="308"/>
        <v>3.2666721433478924E-5</v>
      </c>
      <c r="AG669" s="18">
        <f t="shared" si="310"/>
        <v>5.1162140586247804E-3</v>
      </c>
      <c r="AH669" s="18">
        <f t="shared" si="312"/>
        <v>3.8755403858834983E-2</v>
      </c>
      <c r="AJ669" s="18">
        <f>IF(ISNUMBER(Kernel!M669),Kernel!M669,"")</f>
        <v>-4.8409536807697995E-2</v>
      </c>
      <c r="AK669" s="18">
        <f t="shared" si="297"/>
        <v>2.3434832539358671E-3</v>
      </c>
      <c r="AN669" s="18">
        <f>IF(ISNUMBER(Volcanic!G669),Volcanic!G669,"")</f>
        <v>4.5500000000000002E-3</v>
      </c>
    </row>
    <row r="670" spans="1:40">
      <c r="A670" s="18" t="str">
        <f>IF(Volcanic!A670="","",Volcanic!A670)</f>
        <v>11/2013</v>
      </c>
      <c r="B670" s="18">
        <f>IF(ISNUMBER(Volcanic!L670),Volcanic!L670,"")</f>
        <v>2013.875</v>
      </c>
      <c r="C670" s="18">
        <f>IF(ISNUMBER(Volcanic!J670),Volcanic!J670,"")</f>
        <v>7.4913699391206623E-2</v>
      </c>
      <c r="D670" s="18">
        <f t="shared" si="290"/>
        <v>5.6120623564760719E-3</v>
      </c>
      <c r="E670" s="18">
        <f>IF(ISNUMBER(Volcanic!C670),Volcanic!C670,"")</f>
        <v>0.49774008860909347</v>
      </c>
      <c r="F670" s="18">
        <f>IF(ISNUMBER(Volcanic!D670),Volcanic!D670,"")</f>
        <v>-0.34</v>
      </c>
      <c r="G670" s="18">
        <f>IF(ISNUMBER(Volcanic!E670),Volcanic!E670,"")</f>
        <v>4.8300000000000001E-3</v>
      </c>
      <c r="H670" s="18">
        <f t="shared" si="291"/>
        <v>0.24774519580858823</v>
      </c>
      <c r="I670" s="18">
        <f t="shared" si="292"/>
        <v>0.11560000000000002</v>
      </c>
      <c r="J670" s="18">
        <f t="shared" si="293"/>
        <v>2.33289E-5</v>
      </c>
      <c r="K670" s="18">
        <f t="shared" si="294"/>
        <v>-0.1692316301270918</v>
      </c>
      <c r="L670" s="18">
        <f t="shared" si="295"/>
        <v>2.4040846279819216E-3</v>
      </c>
      <c r="M670" s="18">
        <f t="shared" si="296"/>
        <v>-1.6422000000000001E-3</v>
      </c>
      <c r="N670" s="18">
        <f t="shared" si="298"/>
        <v>1.602814890526305E-3</v>
      </c>
      <c r="O670" s="18">
        <f t="shared" si="301"/>
        <v>1.2687663270283828E-3</v>
      </c>
      <c r="P670" s="18">
        <f t="shared" si="303"/>
        <v>3.3942896847935513E-3</v>
      </c>
      <c r="Q670" s="18">
        <f t="shared" si="305"/>
        <v>3.5174002344119638E-2</v>
      </c>
      <c r="R670" s="18">
        <f t="shared" si="307"/>
        <v>9.4122477499282518E-3</v>
      </c>
      <c r="S670" s="18">
        <f t="shared" si="309"/>
        <v>4.1746391617684467E-2</v>
      </c>
      <c r="T670" s="18">
        <f t="shared" si="311"/>
        <v>6.9750438924525371E-2</v>
      </c>
      <c r="U670" s="18">
        <f t="shared" si="313"/>
        <v>1.7883403432807445E-2</v>
      </c>
      <c r="V670" s="18">
        <f t="shared" si="314"/>
        <v>3.6925937163582702E-2</v>
      </c>
      <c r="W670" s="18">
        <f t="shared" si="315"/>
        <v>1.0716088438931595E-2</v>
      </c>
      <c r="X670" s="18">
        <f t="shared" si="316"/>
        <v>7.7980427135632802E-2</v>
      </c>
      <c r="Y670" s="18">
        <f t="shared" si="317"/>
        <v>2.7501063385649389E-4</v>
      </c>
      <c r="AA670" s="18">
        <f t="shared" si="299"/>
        <v>9.50434728618193E-2</v>
      </c>
      <c r="AB670" s="18">
        <f t="shared" si="300"/>
        <v>9.0332617336353824E-3</v>
      </c>
      <c r="AC670" s="18">
        <f t="shared" si="302"/>
        <v>3.3576066709360267E-3</v>
      </c>
      <c r="AD670" s="18">
        <f t="shared" si="304"/>
        <v>4.2137329706072226E-3</v>
      </c>
      <c r="AE670" s="18">
        <f t="shared" si="306"/>
        <v>1.2987869264543368E-3</v>
      </c>
      <c r="AF670" s="18">
        <f t="shared" si="308"/>
        <v>1.9256307960390413E-2</v>
      </c>
      <c r="AG670" s="18">
        <f t="shared" si="310"/>
        <v>3.2666721433478924E-5</v>
      </c>
      <c r="AH670" s="18">
        <f t="shared" si="312"/>
        <v>5.1162140586247804E-3</v>
      </c>
      <c r="AJ670" s="18">
        <f>IF(ISNUMBER(Kernel!M670),Kernel!M670,"")</f>
        <v>7.4182051287405959E-2</v>
      </c>
      <c r="AK670" s="18">
        <f t="shared" si="297"/>
        <v>5.5029767332073279E-3</v>
      </c>
      <c r="AN670" s="18">
        <f>IF(ISNUMBER(Volcanic!G670),Volcanic!G670,"")</f>
        <v>4.5399999999999998E-3</v>
      </c>
    </row>
    <row r="671" spans="1:40">
      <c r="A671" s="18" t="str">
        <f>IF(Volcanic!A671="","",Volcanic!A671)</f>
        <v>12/2013</v>
      </c>
      <c r="B671" s="18">
        <f>IF(ISNUMBER(Volcanic!L671),Volcanic!L671,"")</f>
        <v>2013.9583333333333</v>
      </c>
      <c r="C671" s="18">
        <f>IF(ISNUMBER(Volcanic!J671),Volcanic!J671,"")</f>
        <v>-7.3880026562438528E-2</v>
      </c>
      <c r="D671" s="18">
        <f t="shared" si="290"/>
        <v>5.458258324866622E-3</v>
      </c>
      <c r="E671" s="18">
        <f>IF(ISNUMBER(Volcanic!C671),Volcanic!C671,"")</f>
        <v>0.50382119585545315</v>
      </c>
      <c r="F671" s="18">
        <f>IF(ISNUMBER(Volcanic!D671),Volcanic!D671,"")</f>
        <v>-0.32</v>
      </c>
      <c r="G671" s="18">
        <f>IF(ISNUMBER(Volcanic!E671),Volcanic!E671,"")</f>
        <v>4.6699999999999997E-3</v>
      </c>
      <c r="H671" s="18">
        <f t="shared" si="291"/>
        <v>0.25383579739321888</v>
      </c>
      <c r="I671" s="18">
        <f t="shared" si="292"/>
        <v>0.1024</v>
      </c>
      <c r="J671" s="18">
        <f t="shared" si="293"/>
        <v>2.1808899999999997E-5</v>
      </c>
      <c r="K671" s="18">
        <f t="shared" si="294"/>
        <v>-0.16122278267374501</v>
      </c>
      <c r="L671" s="18">
        <f t="shared" si="295"/>
        <v>2.352844984644966E-3</v>
      </c>
      <c r="M671" s="18">
        <f t="shared" si="296"/>
        <v>-1.4943999999999999E-3</v>
      </c>
      <c r="N671" s="18">
        <f t="shared" si="298"/>
        <v>5.6120623564760719E-3</v>
      </c>
      <c r="O671" s="18">
        <f t="shared" si="301"/>
        <v>1.602814890526305E-3</v>
      </c>
      <c r="P671" s="18">
        <f t="shared" si="303"/>
        <v>1.2687663270283828E-3</v>
      </c>
      <c r="Q671" s="18">
        <f t="shared" si="305"/>
        <v>3.3942896847935513E-3</v>
      </c>
      <c r="R671" s="18">
        <f t="shared" si="307"/>
        <v>3.5174002344119638E-2</v>
      </c>
      <c r="S671" s="18">
        <f t="shared" si="309"/>
        <v>9.4122477499282518E-3</v>
      </c>
      <c r="T671" s="18">
        <f t="shared" si="311"/>
        <v>4.1746391617684467E-2</v>
      </c>
      <c r="U671" s="18">
        <f t="shared" si="313"/>
        <v>6.9750438924525371E-2</v>
      </c>
      <c r="V671" s="18">
        <f t="shared" si="314"/>
        <v>1.7883403432807445E-2</v>
      </c>
      <c r="W671" s="18">
        <f t="shared" si="315"/>
        <v>3.6925937163582702E-2</v>
      </c>
      <c r="X671" s="18">
        <f t="shared" si="316"/>
        <v>1.0716088438931595E-2</v>
      </c>
      <c r="Y671" s="18">
        <f t="shared" si="317"/>
        <v>7.7980427135632802E-2</v>
      </c>
      <c r="AA671" s="18">
        <f t="shared" si="299"/>
        <v>-0.11154680238422759</v>
      </c>
      <c r="AB671" s="18">
        <f t="shared" si="300"/>
        <v>1.2442689122145923E-2</v>
      </c>
      <c r="AC671" s="18">
        <f t="shared" si="302"/>
        <v>9.0332617336353824E-3</v>
      </c>
      <c r="AD671" s="18">
        <f t="shared" si="304"/>
        <v>3.3576066709360267E-3</v>
      </c>
      <c r="AE671" s="18">
        <f t="shared" si="306"/>
        <v>4.2137329706072226E-3</v>
      </c>
      <c r="AF671" s="18">
        <f t="shared" si="308"/>
        <v>1.2987869264543368E-3</v>
      </c>
      <c r="AG671" s="18">
        <f t="shared" si="310"/>
        <v>1.9256307960390413E-2</v>
      </c>
      <c r="AH671" s="18">
        <f t="shared" si="312"/>
        <v>3.2666721433478924E-5</v>
      </c>
      <c r="AJ671" s="18">
        <f>IF(ISNUMBER(Kernel!M671),Kernel!M671,"")</f>
        <v>-7.5092803114247819E-2</v>
      </c>
      <c r="AK671" s="18">
        <f t="shared" si="297"/>
        <v>5.6389290795551871E-3</v>
      </c>
      <c r="AN671" s="18">
        <f>IF(ISNUMBER(Volcanic!G671),Volcanic!G671,"")</f>
        <v>4.2700000000000004E-3</v>
      </c>
    </row>
    <row r="672" spans="1:40">
      <c r="A672" s="18" t="str">
        <f>IF(Volcanic!A672="","",Volcanic!A672)</f>
        <v>1/2014</v>
      </c>
      <c r="B672" s="18">
        <f>IF(ISNUMBER(Volcanic!L672),Volcanic!L672,"")</f>
        <v>2014.0416666666667</v>
      </c>
      <c r="C672" s="18">
        <f>IF(ISNUMBER(Volcanic!J672),Volcanic!J672,"")</f>
        <v>-4.1196320995692259E-2</v>
      </c>
      <c r="D672" s="18">
        <f t="shared" si="290"/>
        <v>1.6971368635801149E-3</v>
      </c>
      <c r="E672" s="18">
        <f>IF(ISNUMBER(Volcanic!C672),Volcanic!C672,"")</f>
        <v>0.50748659078948732</v>
      </c>
      <c r="F672" s="18">
        <f>IF(ISNUMBER(Volcanic!D672),Volcanic!D672,"")</f>
        <v>-0.14000000000000001</v>
      </c>
      <c r="G672" s="18">
        <f>IF(ISNUMBER(Volcanic!E672),Volcanic!E672,"")</f>
        <v>4.3899999999999998E-3</v>
      </c>
      <c r="H672" s="18">
        <f t="shared" si="291"/>
        <v>0.25754263983113657</v>
      </c>
      <c r="I672" s="18">
        <f t="shared" si="292"/>
        <v>1.9600000000000003E-2</v>
      </c>
      <c r="J672" s="18">
        <f t="shared" si="293"/>
        <v>1.9272099999999998E-5</v>
      </c>
      <c r="K672" s="18">
        <f t="shared" si="294"/>
        <v>-7.1048122710528239E-2</v>
      </c>
      <c r="L672" s="18">
        <f t="shared" si="295"/>
        <v>2.2278661335658491E-3</v>
      </c>
      <c r="M672" s="18">
        <f t="shared" si="296"/>
        <v>-6.1459999999999998E-4</v>
      </c>
      <c r="N672" s="18">
        <f t="shared" si="298"/>
        <v>5.458258324866622E-3</v>
      </c>
      <c r="O672" s="18">
        <f t="shared" si="301"/>
        <v>5.6120623564760719E-3</v>
      </c>
      <c r="P672" s="18">
        <f t="shared" si="303"/>
        <v>1.602814890526305E-3</v>
      </c>
      <c r="Q672" s="18">
        <f t="shared" si="305"/>
        <v>1.2687663270283828E-3</v>
      </c>
      <c r="R672" s="18">
        <f t="shared" si="307"/>
        <v>3.3942896847935513E-3</v>
      </c>
      <c r="S672" s="18">
        <f t="shared" si="309"/>
        <v>3.5174002344119638E-2</v>
      </c>
      <c r="T672" s="18">
        <f t="shared" si="311"/>
        <v>9.4122477499282518E-3</v>
      </c>
      <c r="U672" s="18">
        <f t="shared" si="313"/>
        <v>4.1746391617684467E-2</v>
      </c>
      <c r="V672" s="18">
        <f t="shared" si="314"/>
        <v>6.9750438924525371E-2</v>
      </c>
      <c r="W672" s="18">
        <f t="shared" si="315"/>
        <v>1.7883403432807445E-2</v>
      </c>
      <c r="X672" s="18">
        <f t="shared" si="316"/>
        <v>3.6925937163582702E-2</v>
      </c>
      <c r="Y672" s="18">
        <f t="shared" si="317"/>
        <v>1.0716088438931595E-2</v>
      </c>
      <c r="AA672" s="18">
        <f t="shared" si="299"/>
        <v>-4.049278187099617E-3</v>
      </c>
      <c r="AB672" s="18">
        <f t="shared" si="300"/>
        <v>1.639665383652076E-5</v>
      </c>
      <c r="AC672" s="18">
        <f t="shared" si="302"/>
        <v>1.2442689122145923E-2</v>
      </c>
      <c r="AD672" s="18">
        <f t="shared" si="304"/>
        <v>9.0332617336353824E-3</v>
      </c>
      <c r="AE672" s="18">
        <f t="shared" si="306"/>
        <v>3.3576066709360267E-3</v>
      </c>
      <c r="AF672" s="18">
        <f t="shared" si="308"/>
        <v>4.2137329706072226E-3</v>
      </c>
      <c r="AG672" s="18">
        <f t="shared" si="310"/>
        <v>1.2987869264543368E-3</v>
      </c>
      <c r="AH672" s="18">
        <f t="shared" si="312"/>
        <v>1.9256307960390413E-2</v>
      </c>
      <c r="AJ672" s="18">
        <f>IF(ISNUMBER(Kernel!M672),Kernel!M672,"")</f>
        <v>-2.4653623796134561E-2</v>
      </c>
      <c r="AK672" s="18">
        <f t="shared" si="297"/>
        <v>6.0780116628133228E-4</v>
      </c>
      <c r="AN672" s="18">
        <f>IF(ISNUMBER(Volcanic!G672),Volcanic!G672,"")</f>
        <v>4.1099999999999999E-3</v>
      </c>
    </row>
    <row r="673" spans="1:40">
      <c r="A673" s="18" t="str">
        <f>IF(Volcanic!A673="","",Volcanic!A673)</f>
        <v>2/2014</v>
      </c>
      <c r="B673" s="18">
        <f>IF(ISNUMBER(Volcanic!L673),Volcanic!L673,"")</f>
        <v>2014.125</v>
      </c>
      <c r="C673" s="18">
        <f>IF(ISNUMBER(Volcanic!J673),Volcanic!J673,"")</f>
        <v>-0.25532524085235508</v>
      </c>
      <c r="D673" s="18">
        <f t="shared" si="290"/>
        <v>6.5190978616313136E-2</v>
      </c>
      <c r="E673" s="18">
        <f>IF(ISNUMBER(Volcanic!C673),Volcanic!C673,"")</f>
        <v>0.50831998448950766</v>
      </c>
      <c r="F673" s="18">
        <f>IF(ISNUMBER(Volcanic!D673),Volcanic!D673,"")</f>
        <v>-0.12</v>
      </c>
      <c r="G673" s="18">
        <f>IF(ISNUMBER(Volcanic!E673),Volcanic!E673,"")</f>
        <v>4.3899999999999998E-3</v>
      </c>
      <c r="H673" s="18">
        <f t="shared" si="291"/>
        <v>0.25838920663141329</v>
      </c>
      <c r="I673" s="18">
        <f t="shared" si="292"/>
        <v>1.44E-2</v>
      </c>
      <c r="J673" s="18">
        <f t="shared" si="293"/>
        <v>1.9272099999999998E-5</v>
      </c>
      <c r="K673" s="18">
        <f t="shared" si="294"/>
        <v>-6.0998398138740917E-2</v>
      </c>
      <c r="L673" s="18">
        <f t="shared" si="295"/>
        <v>2.2315247319089383E-3</v>
      </c>
      <c r="M673" s="18">
        <f t="shared" si="296"/>
        <v>-5.2680000000000001E-4</v>
      </c>
      <c r="N673" s="18">
        <f t="shared" si="298"/>
        <v>1.6971368635801149E-3</v>
      </c>
      <c r="O673" s="18">
        <f t="shared" si="301"/>
        <v>5.458258324866622E-3</v>
      </c>
      <c r="P673" s="18">
        <f t="shared" si="303"/>
        <v>5.6120623564760719E-3</v>
      </c>
      <c r="Q673" s="18">
        <f t="shared" si="305"/>
        <v>1.602814890526305E-3</v>
      </c>
      <c r="R673" s="18">
        <f t="shared" si="307"/>
        <v>1.2687663270283828E-3</v>
      </c>
      <c r="S673" s="18">
        <f t="shared" si="309"/>
        <v>3.3942896847935513E-3</v>
      </c>
      <c r="T673" s="18">
        <f t="shared" si="311"/>
        <v>3.5174002344119638E-2</v>
      </c>
      <c r="U673" s="18">
        <f t="shared" si="313"/>
        <v>9.4122477499282518E-3</v>
      </c>
      <c r="V673" s="18">
        <f t="shared" si="314"/>
        <v>4.1746391617684467E-2</v>
      </c>
      <c r="W673" s="18">
        <f t="shared" si="315"/>
        <v>6.9750438924525371E-2</v>
      </c>
      <c r="X673" s="18">
        <f t="shared" si="316"/>
        <v>1.7883403432807445E-2</v>
      </c>
      <c r="Y673" s="18">
        <f t="shared" si="317"/>
        <v>3.6925937163582702E-2</v>
      </c>
      <c r="AA673" s="18">
        <f t="shared" si="299"/>
        <v>-0.23461163839729671</v>
      </c>
      <c r="AB673" s="18">
        <f t="shared" si="300"/>
        <v>5.5042620871463908E-2</v>
      </c>
      <c r="AC673" s="18">
        <f t="shared" si="302"/>
        <v>1.639665383652076E-5</v>
      </c>
      <c r="AD673" s="18">
        <f t="shared" si="304"/>
        <v>1.2442689122145923E-2</v>
      </c>
      <c r="AE673" s="18">
        <f t="shared" si="306"/>
        <v>9.0332617336353824E-3</v>
      </c>
      <c r="AF673" s="18">
        <f t="shared" si="308"/>
        <v>3.3576066709360267E-3</v>
      </c>
      <c r="AG673" s="18">
        <f t="shared" si="310"/>
        <v>4.2137329706072226E-3</v>
      </c>
      <c r="AH673" s="18">
        <f t="shared" si="312"/>
        <v>1.2987869264543368E-3</v>
      </c>
      <c r="AJ673" s="18">
        <f>IF(ISNUMBER(Kernel!M673),Kernel!M673,"")</f>
        <v>-0.23716240385090281</v>
      </c>
      <c r="AK673" s="18">
        <f t="shared" si="297"/>
        <v>5.6246005800338721E-2</v>
      </c>
      <c r="AN673" s="18">
        <f>IF(ISNUMBER(Volcanic!G673),Volcanic!G673,"")</f>
        <v>4.5700000000000003E-3</v>
      </c>
    </row>
    <row r="674" spans="1:40">
      <c r="A674" s="18" t="str">
        <f>IF(Volcanic!A674="","",Volcanic!A674)</f>
        <v>3/2014</v>
      </c>
      <c r="B674" s="18">
        <f>IF(ISNUMBER(Volcanic!L674),Volcanic!L674,"")</f>
        <v>2014.2083333333333</v>
      </c>
      <c r="C674" s="18">
        <f>IF(ISNUMBER(Volcanic!J674),Volcanic!J674,"")</f>
        <v>-4.2180820502714989E-2</v>
      </c>
      <c r="D674" s="18">
        <f t="shared" si="290"/>
        <v>1.7792216182822612E-3</v>
      </c>
      <c r="E674" s="18">
        <f>IF(ISNUMBER(Volcanic!C674),Volcanic!C674,"")</f>
        <v>0.51424852992186132</v>
      </c>
      <c r="F674" s="18">
        <f>IF(ISNUMBER(Volcanic!D674),Volcanic!D674,"")</f>
        <v>-0.11</v>
      </c>
      <c r="G674" s="18">
        <f>IF(ISNUMBER(Volcanic!E674),Volcanic!E674,"")</f>
        <v>4.4999999999999997E-3</v>
      </c>
      <c r="H674" s="18">
        <f t="shared" si="291"/>
        <v>0.26445155052679548</v>
      </c>
      <c r="I674" s="18">
        <f t="shared" si="292"/>
        <v>1.21E-2</v>
      </c>
      <c r="J674" s="18">
        <f t="shared" si="293"/>
        <v>2.0249999999999998E-5</v>
      </c>
      <c r="K674" s="18">
        <f t="shared" si="294"/>
        <v>-5.6567338291404742E-2</v>
      </c>
      <c r="L674" s="18">
        <f t="shared" si="295"/>
        <v>2.3141183846483756E-3</v>
      </c>
      <c r="M674" s="18">
        <f t="shared" si="296"/>
        <v>-4.95E-4</v>
      </c>
      <c r="N674" s="18">
        <f t="shared" si="298"/>
        <v>6.5190978616313136E-2</v>
      </c>
      <c r="O674" s="18">
        <f t="shared" si="301"/>
        <v>1.6971368635801149E-3</v>
      </c>
      <c r="P674" s="18">
        <f t="shared" si="303"/>
        <v>5.458258324866622E-3</v>
      </c>
      <c r="Q674" s="18">
        <f t="shared" si="305"/>
        <v>5.6120623564760719E-3</v>
      </c>
      <c r="R674" s="18">
        <f t="shared" si="307"/>
        <v>1.602814890526305E-3</v>
      </c>
      <c r="S674" s="18">
        <f t="shared" si="309"/>
        <v>1.2687663270283828E-3</v>
      </c>
      <c r="T674" s="18">
        <f t="shared" si="311"/>
        <v>3.3942896847935513E-3</v>
      </c>
      <c r="U674" s="18">
        <f t="shared" si="313"/>
        <v>3.5174002344119638E-2</v>
      </c>
      <c r="V674" s="18">
        <f t="shared" si="314"/>
        <v>9.4122477499282518E-3</v>
      </c>
      <c r="W674" s="18">
        <f t="shared" si="315"/>
        <v>4.1746391617684467E-2</v>
      </c>
      <c r="X674" s="18">
        <f t="shared" si="316"/>
        <v>6.9750438924525371E-2</v>
      </c>
      <c r="Y674" s="18">
        <f t="shared" si="317"/>
        <v>1.7883403432807445E-2</v>
      </c>
      <c r="AA674" s="18">
        <f t="shared" si="299"/>
        <v>8.6197282394160968E-2</v>
      </c>
      <c r="AB674" s="18">
        <f t="shared" si="300"/>
        <v>7.4299714921387322E-3</v>
      </c>
      <c r="AC674" s="18">
        <f t="shared" si="302"/>
        <v>5.5042620871463908E-2</v>
      </c>
      <c r="AD674" s="18">
        <f t="shared" si="304"/>
        <v>1.639665383652076E-5</v>
      </c>
      <c r="AE674" s="18">
        <f t="shared" si="306"/>
        <v>1.2442689122145923E-2</v>
      </c>
      <c r="AF674" s="18">
        <f t="shared" si="308"/>
        <v>9.0332617336353824E-3</v>
      </c>
      <c r="AG674" s="18">
        <f t="shared" si="310"/>
        <v>3.3576066709360267E-3</v>
      </c>
      <c r="AH674" s="18">
        <f t="shared" si="312"/>
        <v>4.2137329706072226E-3</v>
      </c>
      <c r="AJ674" s="18">
        <f>IF(ISNUMBER(Kernel!M674),Kernel!M674,"")</f>
        <v>-2.6883138488460467E-2</v>
      </c>
      <c r="AK674" s="18">
        <f t="shared" si="297"/>
        <v>7.2270313498974453E-4</v>
      </c>
      <c r="AN674" s="18">
        <f>IF(ISNUMBER(Volcanic!G674),Volcanic!G674,"")</f>
        <v>7.0000000000000001E-3</v>
      </c>
    </row>
    <row r="675" spans="1:40">
      <c r="A675" s="18" t="str">
        <f>IF(Volcanic!A675="","",Volcanic!A675)</f>
        <v>4/2014</v>
      </c>
      <c r="B675" s="18">
        <f>IF(ISNUMBER(Volcanic!L675),Volcanic!L675,"")</f>
        <v>2014.2916666666667</v>
      </c>
      <c r="C675" s="18">
        <f>IF(ISNUMBER(Volcanic!J675),Volcanic!J675,"")</f>
        <v>-1.5652948450724402E-2</v>
      </c>
      <c r="D675" s="18">
        <f t="shared" si="290"/>
        <v>2.4501479520103544E-4</v>
      </c>
      <c r="E675" s="18">
        <f>IF(ISNUMBER(Volcanic!C675),Volcanic!C675,"")</f>
        <v>0.52000909275354024</v>
      </c>
      <c r="F675" s="18">
        <f>IF(ISNUMBER(Volcanic!D675),Volcanic!D675,"")</f>
        <v>-0.24</v>
      </c>
      <c r="G675" s="18">
        <f>IF(ISNUMBER(Volcanic!E675),Volcanic!E675,"")</f>
        <v>4.5799999999999999E-3</v>
      </c>
      <c r="H675" s="18">
        <f t="shared" si="291"/>
        <v>0.27040945654636001</v>
      </c>
      <c r="I675" s="18">
        <f t="shared" si="292"/>
        <v>5.7599999999999998E-2</v>
      </c>
      <c r="J675" s="18">
        <f t="shared" si="293"/>
        <v>2.0976399999999998E-5</v>
      </c>
      <c r="K675" s="18">
        <f t="shared" si="294"/>
        <v>-0.12480218226084966</v>
      </c>
      <c r="L675" s="18">
        <f t="shared" si="295"/>
        <v>2.3816416448112143E-3</v>
      </c>
      <c r="M675" s="18">
        <f t="shared" si="296"/>
        <v>-1.0991999999999998E-3</v>
      </c>
      <c r="N675" s="18">
        <f t="shared" si="298"/>
        <v>1.7792216182822612E-3</v>
      </c>
      <c r="O675" s="18">
        <f t="shared" si="301"/>
        <v>6.5190978616313136E-2</v>
      </c>
      <c r="P675" s="18">
        <f t="shared" si="303"/>
        <v>1.6971368635801149E-3</v>
      </c>
      <c r="Q675" s="18">
        <f t="shared" si="305"/>
        <v>5.458258324866622E-3</v>
      </c>
      <c r="R675" s="18">
        <f t="shared" si="307"/>
        <v>5.6120623564760719E-3</v>
      </c>
      <c r="S675" s="18">
        <f t="shared" si="309"/>
        <v>1.602814890526305E-3</v>
      </c>
      <c r="T675" s="18">
        <f t="shared" si="311"/>
        <v>1.2687663270283828E-3</v>
      </c>
      <c r="U675" s="18">
        <f t="shared" si="313"/>
        <v>3.3942896847935513E-3</v>
      </c>
      <c r="V675" s="18">
        <f t="shared" si="314"/>
        <v>3.5174002344119638E-2</v>
      </c>
      <c r="W675" s="18">
        <f t="shared" si="315"/>
        <v>9.4122477499282518E-3</v>
      </c>
      <c r="X675" s="18">
        <f t="shared" si="316"/>
        <v>4.1746391617684467E-2</v>
      </c>
      <c r="Y675" s="18">
        <f t="shared" si="317"/>
        <v>6.9750438924525371E-2</v>
      </c>
      <c r="AA675" s="18">
        <f t="shared" si="299"/>
        <v>5.5556625612340413E-3</v>
      </c>
      <c r="AB675" s="18">
        <f t="shared" si="300"/>
        <v>3.0865386494297589E-5</v>
      </c>
      <c r="AC675" s="18">
        <f t="shared" si="302"/>
        <v>7.4299714921387322E-3</v>
      </c>
      <c r="AD675" s="18">
        <f t="shared" si="304"/>
        <v>5.5042620871463908E-2</v>
      </c>
      <c r="AE675" s="18">
        <f t="shared" si="306"/>
        <v>1.639665383652076E-5</v>
      </c>
      <c r="AF675" s="18">
        <f t="shared" si="308"/>
        <v>1.2442689122145923E-2</v>
      </c>
      <c r="AG675" s="18">
        <f t="shared" si="310"/>
        <v>9.0332617336353824E-3</v>
      </c>
      <c r="AH675" s="18">
        <f t="shared" si="312"/>
        <v>3.3576066709360267E-3</v>
      </c>
      <c r="AJ675" s="18">
        <f>IF(ISNUMBER(Kernel!M675),Kernel!M675,"")</f>
        <v>-2.1282152952392441E-2</v>
      </c>
      <c r="AK675" s="18">
        <f t="shared" si="297"/>
        <v>4.5293003428902631E-4</v>
      </c>
      <c r="AN675" s="18">
        <f>IF(ISNUMBER(Volcanic!G675),Volcanic!G675,"")</f>
        <v>7.43E-3</v>
      </c>
    </row>
    <row r="676" spans="1:40">
      <c r="A676" s="18" t="str">
        <f>IF(Volcanic!A676="","",Volcanic!A676)</f>
        <v>5/2014</v>
      </c>
      <c r="B676" s="18">
        <f>IF(ISNUMBER(Volcanic!L676),Volcanic!L676,"")</f>
        <v>2014.375</v>
      </c>
      <c r="C676" s="18">
        <f>IF(ISNUMBER(Volcanic!J676),Volcanic!J676,"")</f>
        <v>3.7089608673233299E-2</v>
      </c>
      <c r="D676" s="18">
        <f t="shared" si="290"/>
        <v>1.3756390715335828E-3</v>
      </c>
      <c r="E676" s="18">
        <f>IF(ISNUMBER(Volcanic!C676),Volcanic!C676,"")</f>
        <v>0.52162511534624834</v>
      </c>
      <c r="F676" s="18">
        <f>IF(ISNUMBER(Volcanic!D676),Volcanic!D676,"")</f>
        <v>-0.21</v>
      </c>
      <c r="G676" s="18">
        <f>IF(ISNUMBER(Volcanic!E676),Volcanic!E676,"")</f>
        <v>4.5500000000000002E-3</v>
      </c>
      <c r="H676" s="18">
        <f t="shared" si="291"/>
        <v>0.27209276095998686</v>
      </c>
      <c r="I676" s="18">
        <f t="shared" si="292"/>
        <v>4.4099999999999993E-2</v>
      </c>
      <c r="J676" s="18">
        <f t="shared" si="293"/>
        <v>2.07025E-5</v>
      </c>
      <c r="K676" s="18">
        <f t="shared" si="294"/>
        <v>-0.10954127422271215</v>
      </c>
      <c r="L676" s="18">
        <f t="shared" si="295"/>
        <v>2.3733942748254302E-3</v>
      </c>
      <c r="M676" s="18">
        <f t="shared" si="296"/>
        <v>-9.5549999999999997E-4</v>
      </c>
      <c r="N676" s="18">
        <f t="shared" si="298"/>
        <v>2.4501479520103544E-4</v>
      </c>
      <c r="O676" s="18">
        <f t="shared" si="301"/>
        <v>1.7792216182822612E-3</v>
      </c>
      <c r="P676" s="18">
        <f t="shared" si="303"/>
        <v>6.5190978616313136E-2</v>
      </c>
      <c r="Q676" s="18">
        <f t="shared" si="305"/>
        <v>1.6971368635801149E-3</v>
      </c>
      <c r="R676" s="18">
        <f t="shared" si="307"/>
        <v>5.458258324866622E-3</v>
      </c>
      <c r="S676" s="18">
        <f t="shared" si="309"/>
        <v>5.6120623564760719E-3</v>
      </c>
      <c r="T676" s="18">
        <f t="shared" si="311"/>
        <v>1.602814890526305E-3</v>
      </c>
      <c r="U676" s="18">
        <f t="shared" si="313"/>
        <v>1.2687663270283828E-3</v>
      </c>
      <c r="V676" s="18">
        <f t="shared" si="314"/>
        <v>3.3942896847935513E-3</v>
      </c>
      <c r="W676" s="18">
        <f t="shared" si="315"/>
        <v>3.5174002344119638E-2</v>
      </c>
      <c r="X676" s="18">
        <f t="shared" si="316"/>
        <v>9.4122477499282518E-3</v>
      </c>
      <c r="Y676" s="18">
        <f t="shared" si="317"/>
        <v>4.1746391617684467E-2</v>
      </c>
      <c r="AA676" s="18">
        <f t="shared" si="299"/>
        <v>4.4959946208755715E-2</v>
      </c>
      <c r="AB676" s="18">
        <f t="shared" si="300"/>
        <v>2.0213967630942076E-3</v>
      </c>
      <c r="AC676" s="18">
        <f t="shared" si="302"/>
        <v>3.0865386494297589E-5</v>
      </c>
      <c r="AD676" s="18">
        <f t="shared" si="304"/>
        <v>7.4299714921387322E-3</v>
      </c>
      <c r="AE676" s="18">
        <f t="shared" si="306"/>
        <v>5.5042620871463908E-2</v>
      </c>
      <c r="AF676" s="18">
        <f t="shared" si="308"/>
        <v>1.639665383652076E-5</v>
      </c>
      <c r="AG676" s="18">
        <f t="shared" si="310"/>
        <v>1.2442689122145923E-2</v>
      </c>
      <c r="AH676" s="18">
        <f t="shared" si="312"/>
        <v>9.0332617336353824E-3</v>
      </c>
      <c r="AJ676" s="18">
        <f>IF(ISNUMBER(Kernel!M676),Kernel!M676,"")</f>
        <v>2.473502824773377E-2</v>
      </c>
      <c r="AK676" s="18">
        <f t="shared" si="297"/>
        <v>6.1182162241618751E-4</v>
      </c>
      <c r="AN676" s="18">
        <f>IF(ISNUMBER(Volcanic!G676),Volcanic!G676,"")</f>
        <v>7.3600000000000002E-3</v>
      </c>
    </row>
    <row r="677" spans="1:40">
      <c r="A677" s="18" t="str">
        <f>IF(Volcanic!A677="","",Volcanic!A677)</f>
        <v>6/2014</v>
      </c>
      <c r="B677" s="18">
        <f>IF(ISNUMBER(Volcanic!L677),Volcanic!L677,"")</f>
        <v>2014.4583333333333</v>
      </c>
      <c r="C677" s="18">
        <f>IF(ISNUMBER(Volcanic!J677),Volcanic!J677,"")</f>
        <v>-0.17537177872221099</v>
      </c>
      <c r="D677" s="18">
        <f t="shared" si="290"/>
        <v>3.0755260772192136E-2</v>
      </c>
      <c r="E677" s="18">
        <f>IF(ISNUMBER(Volcanic!C677),Volcanic!C677,"")</f>
        <v>0.5197216102426353</v>
      </c>
      <c r="F677" s="18">
        <f>IF(ISNUMBER(Volcanic!D677),Volcanic!D677,"")</f>
        <v>-0.02</v>
      </c>
      <c r="G677" s="18">
        <f>IF(ISNUMBER(Volcanic!E677),Volcanic!E677,"")</f>
        <v>4.5399999999999998E-3</v>
      </c>
      <c r="H677" s="18">
        <f t="shared" si="291"/>
        <v>0.27011055215319774</v>
      </c>
      <c r="I677" s="18">
        <f t="shared" si="292"/>
        <v>4.0000000000000002E-4</v>
      </c>
      <c r="J677" s="18">
        <f t="shared" si="293"/>
        <v>2.0611599999999998E-5</v>
      </c>
      <c r="K677" s="18">
        <f t="shared" si="294"/>
        <v>-1.0394432204852706E-2</v>
      </c>
      <c r="L677" s="18">
        <f t="shared" si="295"/>
        <v>2.3595361105015642E-3</v>
      </c>
      <c r="M677" s="18">
        <f t="shared" si="296"/>
        <v>-9.0799999999999998E-5</v>
      </c>
      <c r="N677" s="18">
        <f t="shared" si="298"/>
        <v>1.3756390715335828E-3</v>
      </c>
      <c r="O677" s="18">
        <f t="shared" si="301"/>
        <v>2.4501479520103544E-4</v>
      </c>
      <c r="P677" s="18">
        <f t="shared" si="303"/>
        <v>1.7792216182822612E-3</v>
      </c>
      <c r="Q677" s="18">
        <f t="shared" si="305"/>
        <v>6.5190978616313136E-2</v>
      </c>
      <c r="R677" s="18">
        <f t="shared" si="307"/>
        <v>1.6971368635801149E-3</v>
      </c>
      <c r="S677" s="18">
        <f t="shared" si="309"/>
        <v>5.458258324866622E-3</v>
      </c>
      <c r="T677" s="18">
        <f t="shared" si="311"/>
        <v>5.6120623564760719E-3</v>
      </c>
      <c r="U677" s="18">
        <f t="shared" si="313"/>
        <v>1.602814890526305E-3</v>
      </c>
      <c r="V677" s="18">
        <f t="shared" si="314"/>
        <v>1.2687663270283828E-3</v>
      </c>
      <c r="W677" s="18">
        <f t="shared" si="315"/>
        <v>3.3942896847935513E-3</v>
      </c>
      <c r="X677" s="18">
        <f t="shared" si="316"/>
        <v>3.5174002344119638E-2</v>
      </c>
      <c r="Y677" s="18">
        <f t="shared" si="317"/>
        <v>9.4122477499282518E-3</v>
      </c>
      <c r="AA677" s="18">
        <f t="shared" si="299"/>
        <v>-0.19402051702462816</v>
      </c>
      <c r="AB677" s="18">
        <f t="shared" si="300"/>
        <v>3.7643961026504025E-2</v>
      </c>
      <c r="AC677" s="18">
        <f t="shared" si="302"/>
        <v>2.0213967630942076E-3</v>
      </c>
      <c r="AD677" s="18">
        <f t="shared" si="304"/>
        <v>3.0865386494297589E-5</v>
      </c>
      <c r="AE677" s="18">
        <f t="shared" si="306"/>
        <v>7.4299714921387322E-3</v>
      </c>
      <c r="AF677" s="18">
        <f t="shared" si="308"/>
        <v>5.5042620871463908E-2</v>
      </c>
      <c r="AG677" s="18">
        <f t="shared" si="310"/>
        <v>1.639665383652076E-5</v>
      </c>
      <c r="AH677" s="18">
        <f t="shared" si="312"/>
        <v>1.2442689122145923E-2</v>
      </c>
      <c r="AJ677" s="18">
        <f>IF(ISNUMBER(Kernel!M677),Kernel!M677,"")</f>
        <v>-0.17542738632977961</v>
      </c>
      <c r="AK677" s="18">
        <f t="shared" si="297"/>
        <v>3.0774767874497747E-2</v>
      </c>
      <c r="AN677" s="18">
        <f>IF(ISNUMBER(Volcanic!G677),Volcanic!G677,"")</f>
        <v>7.2700000000000004E-3</v>
      </c>
    </row>
    <row r="678" spans="1:40">
      <c r="A678" s="18" t="str">
        <f>IF(Volcanic!A678="","",Volcanic!A678)</f>
        <v>7/2014</v>
      </c>
      <c r="B678" s="18">
        <f>IF(ISNUMBER(Volcanic!L678),Volcanic!L678,"")</f>
        <v>2014.5416666666667</v>
      </c>
      <c r="C678" s="18">
        <f>IF(ISNUMBER(Volcanic!J678),Volcanic!J678,"")</f>
        <v>-0.2697908959412294</v>
      </c>
      <c r="D678" s="18">
        <f t="shared" si="290"/>
        <v>7.2787127532771279E-2</v>
      </c>
      <c r="E678" s="18">
        <f>IF(ISNUMBER(Volcanic!C678),Volcanic!C678,"")</f>
        <v>0.51193784891495564</v>
      </c>
      <c r="F678" s="18">
        <f>IF(ISNUMBER(Volcanic!D678),Volcanic!D678,"")</f>
        <v>0.25</v>
      </c>
      <c r="G678" s="18">
        <f>IF(ISNUMBER(Volcanic!E678),Volcanic!E678,"")</f>
        <v>4.2700000000000004E-3</v>
      </c>
      <c r="H678" s="18">
        <f t="shared" si="291"/>
        <v>0.26208036115167194</v>
      </c>
      <c r="I678" s="18">
        <f t="shared" si="292"/>
        <v>6.25E-2</v>
      </c>
      <c r="J678" s="18">
        <f t="shared" si="293"/>
        <v>1.8232900000000003E-5</v>
      </c>
      <c r="K678" s="18">
        <f t="shared" si="294"/>
        <v>0.12798446222873891</v>
      </c>
      <c r="L678" s="18">
        <f t="shared" si="295"/>
        <v>2.1859746148668608E-3</v>
      </c>
      <c r="M678" s="18">
        <f t="shared" si="296"/>
        <v>1.0675000000000001E-3</v>
      </c>
      <c r="N678" s="18">
        <f t="shared" si="298"/>
        <v>3.0755260772192136E-2</v>
      </c>
      <c r="O678" s="18">
        <f t="shared" si="301"/>
        <v>1.3756390715335828E-3</v>
      </c>
      <c r="P678" s="18">
        <f t="shared" si="303"/>
        <v>2.4501479520103544E-4</v>
      </c>
      <c r="Q678" s="18">
        <f t="shared" si="305"/>
        <v>1.7792216182822612E-3</v>
      </c>
      <c r="R678" s="18">
        <f t="shared" si="307"/>
        <v>6.5190978616313136E-2</v>
      </c>
      <c r="S678" s="18">
        <f t="shared" si="309"/>
        <v>1.6971368635801149E-3</v>
      </c>
      <c r="T678" s="18">
        <f t="shared" si="311"/>
        <v>5.458258324866622E-3</v>
      </c>
      <c r="U678" s="18">
        <f t="shared" si="313"/>
        <v>5.6120623564760719E-3</v>
      </c>
      <c r="V678" s="18">
        <f t="shared" si="314"/>
        <v>1.602814890526305E-3</v>
      </c>
      <c r="W678" s="18">
        <f t="shared" si="315"/>
        <v>1.2687663270283828E-3</v>
      </c>
      <c r="X678" s="18">
        <f t="shared" si="316"/>
        <v>3.3942896847935513E-3</v>
      </c>
      <c r="Y678" s="18">
        <f t="shared" si="317"/>
        <v>3.5174002344119638E-2</v>
      </c>
      <c r="AA678" s="18">
        <f t="shared" si="299"/>
        <v>-0.18161357285773883</v>
      </c>
      <c r="AB678" s="18">
        <f t="shared" si="300"/>
        <v>3.2983489846153208E-2</v>
      </c>
      <c r="AC678" s="18">
        <f t="shared" si="302"/>
        <v>3.7643961026504025E-2</v>
      </c>
      <c r="AD678" s="18">
        <f t="shared" si="304"/>
        <v>2.0213967630942076E-3</v>
      </c>
      <c r="AE678" s="18">
        <f t="shared" si="306"/>
        <v>3.0865386494297589E-5</v>
      </c>
      <c r="AF678" s="18">
        <f t="shared" si="308"/>
        <v>7.4299714921387322E-3</v>
      </c>
      <c r="AG678" s="18">
        <f t="shared" si="310"/>
        <v>5.5042620871463908E-2</v>
      </c>
      <c r="AH678" s="18">
        <f t="shared" si="312"/>
        <v>1.639665383652076E-5</v>
      </c>
      <c r="AJ678" s="18">
        <f>IF(ISNUMBER(Kernel!M678),Kernel!M678,"")</f>
        <v>-0.24570156934524379</v>
      </c>
      <c r="AK678" s="18">
        <f t="shared" si="297"/>
        <v>6.036926117871564E-2</v>
      </c>
      <c r="AN678" s="18">
        <f>IF(ISNUMBER(Volcanic!G678),Volcanic!G678,"")</f>
        <v>6.8700000000000002E-3</v>
      </c>
    </row>
    <row r="679" spans="1:40">
      <c r="A679" s="18" t="str">
        <f>IF(Volcanic!A679="","",Volcanic!A679)</f>
        <v>8/2014</v>
      </c>
      <c r="B679" s="18">
        <f>IF(ISNUMBER(Volcanic!L679),Volcanic!L679,"")</f>
        <v>2014.625</v>
      </c>
      <c r="C679" s="18">
        <f>IF(ISNUMBER(Volcanic!J679),Volcanic!J679,"")</f>
        <v>-8.7712079510826602E-3</v>
      </c>
      <c r="D679" s="18">
        <f t="shared" si="290"/>
        <v>7.6934088921135679E-5</v>
      </c>
      <c r="E679" s="18">
        <f>IF(ISNUMBER(Volcanic!C679),Volcanic!C679,"")</f>
        <v>0.50436615061227197</v>
      </c>
      <c r="F679" s="18">
        <f>IF(ISNUMBER(Volcanic!D679),Volcanic!D679,"")</f>
        <v>0.35</v>
      </c>
      <c r="G679" s="18">
        <f>IF(ISNUMBER(Volcanic!E679),Volcanic!E679,"")</f>
        <v>4.1099999999999999E-3</v>
      </c>
      <c r="H679" s="18">
        <f t="shared" si="291"/>
        <v>0.25438521388344099</v>
      </c>
      <c r="I679" s="18">
        <f t="shared" si="292"/>
        <v>0.12249999999999998</v>
      </c>
      <c r="J679" s="18">
        <f t="shared" si="293"/>
        <v>1.68921E-5</v>
      </c>
      <c r="K679" s="18">
        <f t="shared" si="294"/>
        <v>0.17652815271429517</v>
      </c>
      <c r="L679" s="18">
        <f t="shared" si="295"/>
        <v>2.0729448790164379E-3</v>
      </c>
      <c r="M679" s="18">
        <f t="shared" si="296"/>
        <v>1.4384999999999999E-3</v>
      </c>
      <c r="N679" s="18">
        <f t="shared" si="298"/>
        <v>7.2787127532771279E-2</v>
      </c>
      <c r="O679" s="18">
        <f t="shared" si="301"/>
        <v>3.0755260772192136E-2</v>
      </c>
      <c r="P679" s="18">
        <f t="shared" si="303"/>
        <v>1.3756390715335828E-3</v>
      </c>
      <c r="Q679" s="18">
        <f t="shared" si="305"/>
        <v>2.4501479520103544E-4</v>
      </c>
      <c r="R679" s="18">
        <f t="shared" si="307"/>
        <v>1.7792216182822612E-3</v>
      </c>
      <c r="S679" s="18">
        <f t="shared" si="309"/>
        <v>6.5190978616313136E-2</v>
      </c>
      <c r="T679" s="18">
        <f t="shared" si="311"/>
        <v>1.6971368635801149E-3</v>
      </c>
      <c r="U679" s="18">
        <f t="shared" si="313"/>
        <v>5.458258324866622E-3</v>
      </c>
      <c r="V679" s="18">
        <f t="shared" si="314"/>
        <v>5.6120623564760719E-3</v>
      </c>
      <c r="W679" s="18">
        <f t="shared" si="315"/>
        <v>1.602814890526305E-3</v>
      </c>
      <c r="X679" s="18">
        <f t="shared" si="316"/>
        <v>1.2687663270283828E-3</v>
      </c>
      <c r="Y679" s="18">
        <f t="shared" si="317"/>
        <v>3.3942896847935513E-3</v>
      </c>
      <c r="AA679" s="18">
        <f t="shared" si="299"/>
        <v>0.12688025872005523</v>
      </c>
      <c r="AB679" s="18">
        <f t="shared" si="300"/>
        <v>1.6098600052868152E-2</v>
      </c>
      <c r="AC679" s="18">
        <f t="shared" si="302"/>
        <v>3.2983489846153208E-2</v>
      </c>
      <c r="AD679" s="18">
        <f t="shared" si="304"/>
        <v>3.7643961026504025E-2</v>
      </c>
      <c r="AE679" s="18">
        <f t="shared" si="306"/>
        <v>2.0213967630942076E-3</v>
      </c>
      <c r="AF679" s="18">
        <f t="shared" si="308"/>
        <v>3.0865386494297589E-5</v>
      </c>
      <c r="AG679" s="18">
        <f t="shared" si="310"/>
        <v>7.4299714921387322E-3</v>
      </c>
      <c r="AH679" s="18">
        <f t="shared" si="312"/>
        <v>5.5042620871463908E-2</v>
      </c>
      <c r="AJ679" s="18">
        <f>IF(ISNUMBER(Kernel!M679),Kernel!M679,"")</f>
        <v>2.3703915223700966E-2</v>
      </c>
      <c r="AK679" s="18">
        <f t="shared" si="297"/>
        <v>5.6187559693240247E-4</v>
      </c>
      <c r="AN679" s="18">
        <f>IF(ISNUMBER(Volcanic!G679),Volcanic!G679,"")</f>
        <v>6.9800000000000001E-3</v>
      </c>
    </row>
    <row r="680" spans="1:40">
      <c r="A680" s="18" t="str">
        <f>IF(Volcanic!A680="","",Volcanic!A680)</f>
        <v>9/2014</v>
      </c>
      <c r="B680" s="18">
        <f>IF(ISNUMBER(Volcanic!L680),Volcanic!L680,"")</f>
        <v>2014.7083333333333</v>
      </c>
      <c r="C680" s="18">
        <f>IF(ISNUMBER(Volcanic!J680),Volcanic!J680,"")</f>
        <v>7.0585346131881166E-2</v>
      </c>
      <c r="D680" s="18">
        <f t="shared" si="290"/>
        <v>4.9822910885574711E-3</v>
      </c>
      <c r="E680" s="18">
        <f>IF(ISNUMBER(Volcanic!C680),Volcanic!C680,"")</f>
        <v>0.49839677115263525</v>
      </c>
      <c r="F680" s="18">
        <f>IF(ISNUMBER(Volcanic!D680),Volcanic!D680,"")</f>
        <v>0.22</v>
      </c>
      <c r="G680" s="18">
        <f>IF(ISNUMBER(Volcanic!E680),Volcanic!E680,"")</f>
        <v>4.5700000000000003E-3</v>
      </c>
      <c r="H680" s="18">
        <f t="shared" si="291"/>
        <v>0.24839934149537227</v>
      </c>
      <c r="I680" s="18">
        <f t="shared" si="292"/>
        <v>4.8399999999999999E-2</v>
      </c>
      <c r="J680" s="18">
        <f t="shared" si="293"/>
        <v>2.0884900000000004E-5</v>
      </c>
      <c r="K680" s="18">
        <f t="shared" si="294"/>
        <v>0.10964728965357975</v>
      </c>
      <c r="L680" s="18">
        <f t="shared" si="295"/>
        <v>2.2776732441675434E-3</v>
      </c>
      <c r="M680" s="18">
        <f t="shared" si="296"/>
        <v>1.0054E-3</v>
      </c>
      <c r="N680" s="18">
        <f t="shared" si="298"/>
        <v>7.6934088921135679E-5</v>
      </c>
      <c r="O680" s="18">
        <f t="shared" si="301"/>
        <v>7.2787127532771279E-2</v>
      </c>
      <c r="P680" s="18">
        <f t="shared" si="303"/>
        <v>3.0755260772192136E-2</v>
      </c>
      <c r="Q680" s="18">
        <f t="shared" si="305"/>
        <v>1.3756390715335828E-3</v>
      </c>
      <c r="R680" s="18">
        <f t="shared" si="307"/>
        <v>2.4501479520103544E-4</v>
      </c>
      <c r="S680" s="18">
        <f t="shared" si="309"/>
        <v>1.7792216182822612E-3</v>
      </c>
      <c r="T680" s="18">
        <f t="shared" si="311"/>
        <v>6.5190978616313136E-2</v>
      </c>
      <c r="U680" s="18">
        <f t="shared" si="313"/>
        <v>1.6971368635801149E-3</v>
      </c>
      <c r="V680" s="18">
        <f t="shared" si="314"/>
        <v>5.458258324866622E-3</v>
      </c>
      <c r="W680" s="18">
        <f t="shared" si="315"/>
        <v>5.6120623564760719E-3</v>
      </c>
      <c r="X680" s="18">
        <f t="shared" si="316"/>
        <v>1.602814890526305E-3</v>
      </c>
      <c r="Y680" s="18">
        <f t="shared" si="317"/>
        <v>1.2687663270283828E-3</v>
      </c>
      <c r="AA680" s="18">
        <f t="shared" si="299"/>
        <v>7.4995529132648911E-2</v>
      </c>
      <c r="AB680" s="18">
        <f t="shared" si="300"/>
        <v>5.6243293898859915E-3</v>
      </c>
      <c r="AC680" s="18">
        <f t="shared" si="302"/>
        <v>1.6098600052868152E-2</v>
      </c>
      <c r="AD680" s="18">
        <f t="shared" si="304"/>
        <v>3.2983489846153208E-2</v>
      </c>
      <c r="AE680" s="18">
        <f t="shared" si="306"/>
        <v>3.7643961026504025E-2</v>
      </c>
      <c r="AF680" s="18">
        <f t="shared" si="308"/>
        <v>2.0213967630942076E-3</v>
      </c>
      <c r="AG680" s="18">
        <f t="shared" si="310"/>
        <v>3.0865386494297589E-5</v>
      </c>
      <c r="AH680" s="18">
        <f t="shared" si="312"/>
        <v>7.4299714921387322E-3</v>
      </c>
      <c r="AJ680" s="18">
        <f>IF(ISNUMBER(Kernel!M680),Kernel!M680,"")</f>
        <v>8.5264905224009202E-2</v>
      </c>
      <c r="AK680" s="18">
        <f t="shared" si="297"/>
        <v>7.2701040628592719E-3</v>
      </c>
      <c r="AN680" s="18">
        <f>IF(ISNUMBER(Volcanic!G680),Volcanic!G680,"")</f>
        <v>6.9300000000000004E-3</v>
      </c>
    </row>
    <row r="681" spans="1:40">
      <c r="A681" s="18" t="str">
        <f>IF(Volcanic!A681="","",Volcanic!A681)</f>
        <v>10/2014</v>
      </c>
      <c r="B681" s="18">
        <f>IF(ISNUMBER(Volcanic!L681),Volcanic!L681,"")</f>
        <v>2014.7916666666667</v>
      </c>
      <c r="C681" s="18">
        <f>IF(ISNUMBER(Volcanic!J681),Volcanic!J681,"")</f>
        <v>3.6885047095145396E-3</v>
      </c>
      <c r="D681" s="18">
        <f t="shared" si="290"/>
        <v>1.3605066992110938E-5</v>
      </c>
      <c r="E681" s="18">
        <f>IF(ISNUMBER(Volcanic!C681),Volcanic!C681,"")</f>
        <v>0.50065639249457372</v>
      </c>
      <c r="F681" s="18">
        <f>IF(ISNUMBER(Volcanic!D681),Volcanic!D681,"")</f>
        <v>7.0000000000000007E-2</v>
      </c>
      <c r="G681" s="18">
        <f>IF(ISNUMBER(Volcanic!E681),Volcanic!E681,"")</f>
        <v>7.0000000000000001E-3</v>
      </c>
      <c r="H681" s="18">
        <f t="shared" si="291"/>
        <v>0.25065682334568068</v>
      </c>
      <c r="I681" s="18">
        <f t="shared" si="292"/>
        <v>4.9000000000000007E-3</v>
      </c>
      <c r="J681" s="18">
        <f t="shared" si="293"/>
        <v>4.9000000000000005E-5</v>
      </c>
      <c r="K681" s="18">
        <f t="shared" si="294"/>
        <v>3.5045947474620164E-2</v>
      </c>
      <c r="L681" s="18">
        <f t="shared" si="295"/>
        <v>3.5045947474620161E-3</v>
      </c>
      <c r="M681" s="18">
        <f t="shared" si="296"/>
        <v>4.9000000000000009E-4</v>
      </c>
      <c r="N681" s="18">
        <f t="shared" si="298"/>
        <v>4.9822910885574711E-3</v>
      </c>
      <c r="O681" s="18">
        <f t="shared" si="301"/>
        <v>7.6934088921135679E-5</v>
      </c>
      <c r="P681" s="18">
        <f t="shared" si="303"/>
        <v>7.2787127532771279E-2</v>
      </c>
      <c r="Q681" s="18">
        <f t="shared" si="305"/>
        <v>3.0755260772192136E-2</v>
      </c>
      <c r="R681" s="18">
        <f t="shared" si="307"/>
        <v>1.3756390715335828E-3</v>
      </c>
      <c r="S681" s="18">
        <f t="shared" si="309"/>
        <v>2.4501479520103544E-4</v>
      </c>
      <c r="T681" s="18">
        <f t="shared" si="311"/>
        <v>1.7792216182822612E-3</v>
      </c>
      <c r="U681" s="18">
        <f t="shared" si="313"/>
        <v>6.5190978616313136E-2</v>
      </c>
      <c r="V681" s="18">
        <f t="shared" si="314"/>
        <v>1.6971368635801149E-3</v>
      </c>
      <c r="W681" s="18">
        <f t="shared" si="315"/>
        <v>5.458258324866622E-3</v>
      </c>
      <c r="X681" s="18">
        <f t="shared" si="316"/>
        <v>5.6120623564760719E-3</v>
      </c>
      <c r="Y681" s="18">
        <f t="shared" si="317"/>
        <v>1.602814890526305E-3</v>
      </c>
      <c r="AA681" s="18">
        <f t="shared" si="299"/>
        <v>-3.1801965400215945E-2</v>
      </c>
      <c r="AB681" s="18">
        <f t="shared" si="300"/>
        <v>1.0113650033165321E-3</v>
      </c>
      <c r="AC681" s="18">
        <f t="shared" si="302"/>
        <v>5.6243293898859915E-3</v>
      </c>
      <c r="AD681" s="18">
        <f t="shared" si="304"/>
        <v>1.6098600052868152E-2</v>
      </c>
      <c r="AE681" s="18">
        <f t="shared" si="306"/>
        <v>3.2983489846153208E-2</v>
      </c>
      <c r="AF681" s="18">
        <f t="shared" si="308"/>
        <v>3.7643961026504025E-2</v>
      </c>
      <c r="AG681" s="18">
        <f t="shared" si="310"/>
        <v>2.0213967630942076E-3</v>
      </c>
      <c r="AH681" s="18">
        <f t="shared" si="312"/>
        <v>3.0865386494297589E-5</v>
      </c>
      <c r="AJ681" s="18">
        <f>IF(ISNUMBER(Kernel!M681),Kernel!M681,"")</f>
        <v>-1.0638860649782811E-2</v>
      </c>
      <c r="AK681" s="18">
        <f t="shared" si="297"/>
        <v>1.1318535592549713E-4</v>
      </c>
      <c r="AN681" s="18">
        <f>IF(ISNUMBER(Volcanic!G681),Volcanic!G681,"")</f>
        <v>6.62E-3</v>
      </c>
    </row>
    <row r="682" spans="1:40">
      <c r="A682" s="18" t="str">
        <f>IF(Volcanic!A682="","",Volcanic!A682)</f>
        <v>11/2014</v>
      </c>
      <c r="B682" s="18">
        <f>IF(ISNUMBER(Volcanic!L682),Volcanic!L682,"")</f>
        <v>2014.875</v>
      </c>
      <c r="C682" s="18">
        <f>IF(ISNUMBER(Volcanic!J682),Volcanic!J682,"")</f>
        <v>-0.13766236048742919</v>
      </c>
      <c r="D682" s="18">
        <f t="shared" si="290"/>
        <v>1.8950925494970905E-2</v>
      </c>
      <c r="E682" s="18">
        <f>IF(ISNUMBER(Volcanic!C682),Volcanic!C682,"")</f>
        <v>0.50516504541734131</v>
      </c>
      <c r="F682" s="18">
        <f>IF(ISNUMBER(Volcanic!D682),Volcanic!D682,"")</f>
        <v>7.0000000000000007E-2</v>
      </c>
      <c r="G682" s="18">
        <f>IF(ISNUMBER(Volcanic!E682),Volcanic!E682,"")</f>
        <v>7.43E-3</v>
      </c>
      <c r="H682" s="18">
        <f t="shared" si="291"/>
        <v>0.25519172311150451</v>
      </c>
      <c r="I682" s="18">
        <f t="shared" si="292"/>
        <v>4.9000000000000007E-3</v>
      </c>
      <c r="J682" s="18">
        <f t="shared" si="293"/>
        <v>5.5204899999999997E-5</v>
      </c>
      <c r="K682" s="18">
        <f t="shared" si="294"/>
        <v>3.5361553179213898E-2</v>
      </c>
      <c r="L682" s="18">
        <f t="shared" si="295"/>
        <v>3.7533762874508458E-3</v>
      </c>
      <c r="M682" s="18">
        <f t="shared" si="296"/>
        <v>5.2010000000000001E-4</v>
      </c>
      <c r="N682" s="18">
        <f t="shared" si="298"/>
        <v>1.3605066992110938E-5</v>
      </c>
      <c r="O682" s="18">
        <f t="shared" si="301"/>
        <v>4.9822910885574711E-3</v>
      </c>
      <c r="P682" s="18">
        <f t="shared" si="303"/>
        <v>7.6934088921135679E-5</v>
      </c>
      <c r="Q682" s="18">
        <f t="shared" si="305"/>
        <v>7.2787127532771279E-2</v>
      </c>
      <c r="R682" s="18">
        <f t="shared" si="307"/>
        <v>3.0755260772192136E-2</v>
      </c>
      <c r="S682" s="18">
        <f t="shared" si="309"/>
        <v>1.3756390715335828E-3</v>
      </c>
      <c r="T682" s="18">
        <f t="shared" si="311"/>
        <v>2.4501479520103544E-4</v>
      </c>
      <c r="U682" s="18">
        <f t="shared" si="313"/>
        <v>1.7792216182822612E-3</v>
      </c>
      <c r="V682" s="18">
        <f t="shared" si="314"/>
        <v>6.5190978616313136E-2</v>
      </c>
      <c r="W682" s="18">
        <f t="shared" si="315"/>
        <v>1.6971368635801149E-3</v>
      </c>
      <c r="X682" s="18">
        <f t="shared" si="316"/>
        <v>5.458258324866622E-3</v>
      </c>
      <c r="Y682" s="18">
        <f t="shared" si="317"/>
        <v>5.6120623564760719E-3</v>
      </c>
      <c r="AA682" s="18">
        <f t="shared" si="299"/>
        <v>-0.13951694891571345</v>
      </c>
      <c r="AB682" s="18">
        <f t="shared" si="300"/>
        <v>1.9464979034749797E-2</v>
      </c>
      <c r="AC682" s="18">
        <f t="shared" si="302"/>
        <v>1.0113650033165321E-3</v>
      </c>
      <c r="AD682" s="18">
        <f t="shared" si="304"/>
        <v>5.6243293898859915E-3</v>
      </c>
      <c r="AE682" s="18">
        <f t="shared" si="306"/>
        <v>1.6098600052868152E-2</v>
      </c>
      <c r="AF682" s="18">
        <f t="shared" si="308"/>
        <v>3.2983489846153208E-2</v>
      </c>
      <c r="AG682" s="18">
        <f t="shared" si="310"/>
        <v>3.7643961026504025E-2</v>
      </c>
      <c r="AH682" s="18">
        <f t="shared" si="312"/>
        <v>2.0213967630942076E-3</v>
      </c>
      <c r="AJ682" s="18">
        <f>IF(ISNUMBER(Kernel!M682),Kernel!M682,"")</f>
        <v>-0.16522944285049446</v>
      </c>
      <c r="AK682" s="18">
        <f t="shared" si="297"/>
        <v>2.7300768784684813E-2</v>
      </c>
      <c r="AN682" s="18">
        <f>IF(ISNUMBER(Volcanic!G682),Volcanic!G682,"")</f>
        <v>6.6100000000000004E-3</v>
      </c>
    </row>
    <row r="683" spans="1:40">
      <c r="A683" s="18" t="str">
        <f>IF(Volcanic!A683="","",Volcanic!A683)</f>
        <v>12/2014</v>
      </c>
      <c r="B683" s="18">
        <f>IF(ISNUMBER(Volcanic!L683),Volcanic!L683,"")</f>
        <v>2014.9583333333333</v>
      </c>
      <c r="C683" s="18">
        <f>IF(ISNUMBER(Volcanic!J683),Volcanic!J683,"")</f>
        <v>-5.0190943607377192E-2</v>
      </c>
      <c r="D683" s="18">
        <f t="shared" si="290"/>
        <v>2.5191308201989175E-3</v>
      </c>
      <c r="E683" s="18">
        <f>IF(ISNUMBER(Volcanic!C683),Volcanic!C683,"")</f>
        <v>0.51125115244612851</v>
      </c>
      <c r="F683" s="18">
        <f>IF(ISNUMBER(Volcanic!D683),Volcanic!D683,"")</f>
        <v>0.24</v>
      </c>
      <c r="G683" s="18">
        <f>IF(ISNUMBER(Volcanic!E683),Volcanic!E683,"")</f>
        <v>7.3600000000000002E-3</v>
      </c>
      <c r="H683" s="18">
        <f t="shared" si="291"/>
        <v>0.26137774087749455</v>
      </c>
      <c r="I683" s="18">
        <f t="shared" si="292"/>
        <v>5.7599999999999998E-2</v>
      </c>
      <c r="J683" s="18">
        <f t="shared" si="293"/>
        <v>5.4169600000000004E-5</v>
      </c>
      <c r="K683" s="18">
        <f t="shared" si="294"/>
        <v>0.12270027658707083</v>
      </c>
      <c r="L683" s="18">
        <f t="shared" si="295"/>
        <v>3.762808482003506E-3</v>
      </c>
      <c r="M683" s="18">
        <f t="shared" si="296"/>
        <v>1.7664E-3</v>
      </c>
      <c r="N683" s="18">
        <f t="shared" si="298"/>
        <v>1.8950925494970905E-2</v>
      </c>
      <c r="O683" s="18">
        <f t="shared" si="301"/>
        <v>1.3605066992110938E-5</v>
      </c>
      <c r="P683" s="18">
        <f t="shared" si="303"/>
        <v>4.9822910885574711E-3</v>
      </c>
      <c r="Q683" s="18">
        <f t="shared" si="305"/>
        <v>7.6934088921135679E-5</v>
      </c>
      <c r="R683" s="18">
        <f t="shared" si="307"/>
        <v>7.2787127532771279E-2</v>
      </c>
      <c r="S683" s="18">
        <f t="shared" si="309"/>
        <v>3.0755260772192136E-2</v>
      </c>
      <c r="T683" s="18">
        <f t="shared" si="311"/>
        <v>1.3756390715335828E-3</v>
      </c>
      <c r="U683" s="18">
        <f t="shared" si="313"/>
        <v>2.4501479520103544E-4</v>
      </c>
      <c r="V683" s="18">
        <f t="shared" si="314"/>
        <v>1.7792216182822612E-3</v>
      </c>
      <c r="W683" s="18">
        <f t="shared" si="315"/>
        <v>6.5190978616313136E-2</v>
      </c>
      <c r="X683" s="18">
        <f t="shared" si="316"/>
        <v>1.6971368635801149E-3</v>
      </c>
      <c r="Y683" s="18">
        <f t="shared" si="317"/>
        <v>5.458258324866622E-3</v>
      </c>
      <c r="AA683" s="18">
        <f t="shared" si="299"/>
        <v>1.9025999538097194E-2</v>
      </c>
      <c r="AB683" s="18">
        <f t="shared" si="300"/>
        <v>3.6198865842367462E-4</v>
      </c>
      <c r="AC683" s="18">
        <f t="shared" si="302"/>
        <v>1.9464979034749797E-2</v>
      </c>
      <c r="AD683" s="18">
        <f t="shared" si="304"/>
        <v>1.0113650033165321E-3</v>
      </c>
      <c r="AE683" s="18">
        <f t="shared" si="306"/>
        <v>5.6243293898859915E-3</v>
      </c>
      <c r="AF683" s="18">
        <f t="shared" si="308"/>
        <v>1.6098600052868152E-2</v>
      </c>
      <c r="AG683" s="18">
        <f t="shared" si="310"/>
        <v>3.2983489846153208E-2</v>
      </c>
      <c r="AH683" s="18">
        <f t="shared" si="312"/>
        <v>3.7643961026504025E-2</v>
      </c>
      <c r="AJ683" s="18">
        <f>IF(ISNUMBER(Kernel!M683),Kernel!M683,"")</f>
        <v>-7.4342077330120548E-2</v>
      </c>
      <c r="AK683" s="18">
        <f t="shared" si="297"/>
        <v>5.5267444617576236E-3</v>
      </c>
      <c r="AN683" s="18">
        <f>IF(ISNUMBER(Volcanic!G683),Volcanic!G683,"")</f>
        <v>6.6E-3</v>
      </c>
    </row>
    <row r="684" spans="1:40">
      <c r="A684" s="18" t="str">
        <f>IF(Volcanic!A684="","",Volcanic!A684)</f>
        <v>1/2015</v>
      </c>
      <c r="B684" s="18">
        <f>IF(ISNUMBER(Volcanic!L684),Volcanic!L684,"")</f>
        <v>2015.0416666666667</v>
      </c>
      <c r="C684" s="18">
        <f>IF(ISNUMBER(Volcanic!J684),Volcanic!J684,"")</f>
        <v>-1.6274475299973168E-2</v>
      </c>
      <c r="D684" s="18">
        <f t="shared" si="290"/>
        <v>2.6485854628943673E-4</v>
      </c>
      <c r="E684" s="18">
        <f>IF(ISNUMBER(Volcanic!C684),Volcanic!C684,"")</f>
        <v>0.51522223956909252</v>
      </c>
      <c r="F684" s="18">
        <f>IF(ISNUMBER(Volcanic!D684),Volcanic!D684,"")</f>
        <v>0.51</v>
      </c>
      <c r="G684" s="18">
        <f>IF(ISNUMBER(Volcanic!E684),Volcanic!E684,"")</f>
        <v>7.2700000000000004E-3</v>
      </c>
      <c r="H684" s="18">
        <f t="shared" si="291"/>
        <v>0.26545395614659134</v>
      </c>
      <c r="I684" s="18">
        <f t="shared" si="292"/>
        <v>0.2601</v>
      </c>
      <c r="J684" s="18">
        <f t="shared" si="293"/>
        <v>5.2852900000000003E-5</v>
      </c>
      <c r="K684" s="18">
        <f t="shared" si="294"/>
        <v>0.26276334218023717</v>
      </c>
      <c r="L684" s="18">
        <f t="shared" si="295"/>
        <v>3.7456656816673029E-3</v>
      </c>
      <c r="M684" s="18">
        <f t="shared" si="296"/>
        <v>3.7077000000000004E-3</v>
      </c>
      <c r="N684" s="18">
        <f t="shared" si="298"/>
        <v>2.5191308201989175E-3</v>
      </c>
      <c r="O684" s="18">
        <f t="shared" si="301"/>
        <v>1.8950925494970905E-2</v>
      </c>
      <c r="P684" s="18">
        <f t="shared" si="303"/>
        <v>1.3605066992110938E-5</v>
      </c>
      <c r="Q684" s="18">
        <f t="shared" si="305"/>
        <v>4.9822910885574711E-3</v>
      </c>
      <c r="R684" s="18">
        <f t="shared" si="307"/>
        <v>7.6934088921135679E-5</v>
      </c>
      <c r="S684" s="18">
        <f t="shared" si="309"/>
        <v>7.2787127532771279E-2</v>
      </c>
      <c r="T684" s="18">
        <f t="shared" si="311"/>
        <v>3.0755260772192136E-2</v>
      </c>
      <c r="U684" s="18">
        <f t="shared" si="313"/>
        <v>1.3756390715335828E-3</v>
      </c>
      <c r="V684" s="18">
        <f t="shared" si="314"/>
        <v>2.4501479520103544E-4</v>
      </c>
      <c r="W684" s="18">
        <f t="shared" si="315"/>
        <v>1.7792216182822612E-3</v>
      </c>
      <c r="X684" s="18">
        <f t="shared" si="316"/>
        <v>6.5190978616313136E-2</v>
      </c>
      <c r="Y684" s="18">
        <f t="shared" si="317"/>
        <v>1.6971368635801149E-3</v>
      </c>
      <c r="AA684" s="18">
        <f t="shared" si="299"/>
        <v>8.9616435475369065E-3</v>
      </c>
      <c r="AB684" s="18">
        <f t="shared" si="300"/>
        <v>8.0311055073109875E-5</v>
      </c>
      <c r="AC684" s="18">
        <f t="shared" si="302"/>
        <v>3.6198865842367462E-4</v>
      </c>
      <c r="AD684" s="18">
        <f t="shared" si="304"/>
        <v>1.9464979034749797E-2</v>
      </c>
      <c r="AE684" s="18">
        <f t="shared" si="306"/>
        <v>1.0113650033165321E-3</v>
      </c>
      <c r="AF684" s="18">
        <f t="shared" si="308"/>
        <v>5.6243293898859915E-3</v>
      </c>
      <c r="AG684" s="18">
        <f t="shared" si="310"/>
        <v>1.6098600052868152E-2</v>
      </c>
      <c r="AH684" s="18">
        <f t="shared" si="312"/>
        <v>3.2983489846153208E-2</v>
      </c>
      <c r="AJ684" s="18">
        <f>IF(ISNUMBER(Kernel!M684),Kernel!M684,"")</f>
        <v>-2.4367930228142987E-2</v>
      </c>
      <c r="AK684" s="18">
        <f t="shared" si="297"/>
        <v>5.9379602360364471E-4</v>
      </c>
      <c r="AN684" s="18">
        <f>IF(ISNUMBER(Volcanic!G684),Volcanic!G684,"")</f>
        <v>6.2300000000000003E-3</v>
      </c>
    </row>
    <row r="685" spans="1:40">
      <c r="A685" s="18" t="str">
        <f>IF(Volcanic!A685="","",Volcanic!A685)</f>
        <v>2/2015</v>
      </c>
      <c r="B685" s="18">
        <f>IF(ISNUMBER(Volcanic!L685),Volcanic!L685,"")</f>
        <v>2015.125</v>
      </c>
      <c r="C685" s="18">
        <f>IF(ISNUMBER(Volcanic!J685),Volcanic!J685,"")</f>
        <v>1.1577918304663037E-2</v>
      </c>
      <c r="D685" s="18">
        <f t="shared" si="290"/>
        <v>1.3404819226945142E-4</v>
      </c>
      <c r="E685" s="18">
        <f>IF(ISNUMBER(Volcanic!C685),Volcanic!C685,"")</f>
        <v>0.51655551596218474</v>
      </c>
      <c r="F685" s="18">
        <f>IF(ISNUMBER(Volcanic!D685),Volcanic!D685,"")</f>
        <v>0.7</v>
      </c>
      <c r="G685" s="18">
        <f>IF(ISNUMBER(Volcanic!E685),Volcanic!E685,"")</f>
        <v>6.8700000000000002E-3</v>
      </c>
      <c r="H685" s="18">
        <f t="shared" si="291"/>
        <v>0.26682960107095888</v>
      </c>
      <c r="I685" s="18">
        <f t="shared" si="292"/>
        <v>0.48999999999999994</v>
      </c>
      <c r="J685" s="18">
        <f t="shared" si="293"/>
        <v>4.7196900000000002E-5</v>
      </c>
      <c r="K685" s="18">
        <f t="shared" si="294"/>
        <v>0.36158886117352929</v>
      </c>
      <c r="L685" s="18">
        <f t="shared" si="295"/>
        <v>3.5487363946602093E-3</v>
      </c>
      <c r="M685" s="18">
        <f t="shared" si="296"/>
        <v>4.8089999999999999E-3</v>
      </c>
      <c r="N685" s="18">
        <f t="shared" si="298"/>
        <v>2.6485854628943673E-4</v>
      </c>
      <c r="O685" s="18">
        <f t="shared" si="301"/>
        <v>2.5191308201989175E-3</v>
      </c>
      <c r="P685" s="18">
        <f t="shared" si="303"/>
        <v>1.8950925494970905E-2</v>
      </c>
      <c r="Q685" s="18">
        <f t="shared" si="305"/>
        <v>1.3605066992110938E-5</v>
      </c>
      <c r="R685" s="18">
        <f t="shared" si="307"/>
        <v>4.9822910885574711E-3</v>
      </c>
      <c r="S685" s="18">
        <f t="shared" si="309"/>
        <v>7.6934088921135679E-5</v>
      </c>
      <c r="T685" s="18">
        <f t="shared" si="311"/>
        <v>7.2787127532771279E-2</v>
      </c>
      <c r="U685" s="18">
        <f t="shared" si="313"/>
        <v>3.0755260772192136E-2</v>
      </c>
      <c r="V685" s="18">
        <f t="shared" si="314"/>
        <v>1.3756390715335828E-3</v>
      </c>
      <c r="W685" s="18">
        <f t="shared" si="315"/>
        <v>2.4501479520103544E-4</v>
      </c>
      <c r="X685" s="18">
        <f t="shared" si="316"/>
        <v>1.7792216182822612E-3</v>
      </c>
      <c r="Y685" s="18">
        <f t="shared" si="317"/>
        <v>6.5190978616313136E-2</v>
      </c>
      <c r="AA685" s="18">
        <f t="shared" si="299"/>
        <v>1.9760760931886001E-2</v>
      </c>
      <c r="AB685" s="18">
        <f t="shared" si="300"/>
        <v>3.9048767260715212E-4</v>
      </c>
      <c r="AC685" s="18">
        <f t="shared" si="302"/>
        <v>8.0311055073109875E-5</v>
      </c>
      <c r="AD685" s="18">
        <f t="shared" si="304"/>
        <v>3.6198865842367462E-4</v>
      </c>
      <c r="AE685" s="18">
        <f t="shared" si="306"/>
        <v>1.9464979034749797E-2</v>
      </c>
      <c r="AF685" s="18">
        <f t="shared" si="308"/>
        <v>1.0113650033165321E-3</v>
      </c>
      <c r="AG685" s="18">
        <f t="shared" si="310"/>
        <v>5.6243293898859915E-3</v>
      </c>
      <c r="AH685" s="18">
        <f t="shared" si="312"/>
        <v>1.6098600052868152E-2</v>
      </c>
      <c r="AJ685" s="18">
        <f>IF(ISNUMBER(Kernel!M685),Kernel!M685,"")</f>
        <v>1.5833603835864074E-2</v>
      </c>
      <c r="AK685" s="18">
        <f t="shared" si="297"/>
        <v>2.5070301043108949E-4</v>
      </c>
      <c r="AN685" s="18">
        <f>IF(ISNUMBER(Volcanic!G685),Volcanic!G685,"")</f>
        <v>5.9899999999999997E-3</v>
      </c>
    </row>
    <row r="686" spans="1:40">
      <c r="A686" s="18" t="str">
        <f>IF(Volcanic!A686="","",Volcanic!A686)</f>
        <v>3/2015</v>
      </c>
      <c r="B686" s="18">
        <f>IF(ISNUMBER(Volcanic!L686),Volcanic!L686,"")</f>
        <v>2015.2083333333333</v>
      </c>
      <c r="C686" s="18">
        <f>IF(ISNUMBER(Volcanic!J686),Volcanic!J686,"")</f>
        <v>4.0867699895949294E-2</v>
      </c>
      <c r="D686" s="18">
        <f t="shared" si="290"/>
        <v>1.6701688947853739E-3</v>
      </c>
      <c r="E686" s="18">
        <f>IF(ISNUMBER(Volcanic!C686),Volcanic!C686,"")</f>
        <v>0.52083528601459983</v>
      </c>
      <c r="F686" s="18">
        <f>IF(ISNUMBER(Volcanic!D686),Volcanic!D686,"")</f>
        <v>0.8</v>
      </c>
      <c r="G686" s="18">
        <f>IF(ISNUMBER(Volcanic!E686),Volcanic!E686,"")</f>
        <v>6.9800000000000001E-3</v>
      </c>
      <c r="H686" s="18">
        <f t="shared" si="291"/>
        <v>0.27126939515790999</v>
      </c>
      <c r="I686" s="18">
        <f t="shared" si="292"/>
        <v>0.64000000000000012</v>
      </c>
      <c r="J686" s="18">
        <f t="shared" si="293"/>
        <v>4.8720400000000002E-5</v>
      </c>
      <c r="K686" s="18">
        <f t="shared" si="294"/>
        <v>0.41666822881167986</v>
      </c>
      <c r="L686" s="18">
        <f t="shared" si="295"/>
        <v>3.6354302963819067E-3</v>
      </c>
      <c r="M686" s="18">
        <f t="shared" si="296"/>
        <v>5.5840000000000004E-3</v>
      </c>
      <c r="N686" s="18">
        <f t="shared" si="298"/>
        <v>1.3404819226945142E-4</v>
      </c>
      <c r="O686" s="18">
        <f t="shared" si="301"/>
        <v>2.6485854628943673E-4</v>
      </c>
      <c r="P686" s="18">
        <f t="shared" si="303"/>
        <v>2.5191308201989175E-3</v>
      </c>
      <c r="Q686" s="18">
        <f t="shared" si="305"/>
        <v>1.8950925494970905E-2</v>
      </c>
      <c r="R686" s="18">
        <f t="shared" si="307"/>
        <v>1.3605066992110938E-5</v>
      </c>
      <c r="S686" s="18">
        <f t="shared" si="309"/>
        <v>4.9822910885574711E-3</v>
      </c>
      <c r="T686" s="18">
        <f t="shared" si="311"/>
        <v>7.6934088921135679E-5</v>
      </c>
      <c r="U686" s="18">
        <f t="shared" si="313"/>
        <v>7.2787127532771279E-2</v>
      </c>
      <c r="V686" s="18">
        <f t="shared" si="314"/>
        <v>3.0755260772192136E-2</v>
      </c>
      <c r="W686" s="18">
        <f t="shared" si="315"/>
        <v>1.3756390715335828E-3</v>
      </c>
      <c r="X686" s="18">
        <f t="shared" si="316"/>
        <v>2.4501479520103544E-4</v>
      </c>
      <c r="Y686" s="18">
        <f t="shared" si="317"/>
        <v>1.7792216182822612E-3</v>
      </c>
      <c r="AA686" s="18">
        <f t="shared" si="299"/>
        <v>3.5046296643823679E-2</v>
      </c>
      <c r="AB686" s="18">
        <f t="shared" si="300"/>
        <v>1.228242908446887E-3</v>
      </c>
      <c r="AC686" s="18">
        <f t="shared" si="302"/>
        <v>3.9048767260715212E-4</v>
      </c>
      <c r="AD686" s="18">
        <f t="shared" si="304"/>
        <v>8.0311055073109875E-5</v>
      </c>
      <c r="AE686" s="18">
        <f t="shared" si="306"/>
        <v>3.6198865842367462E-4</v>
      </c>
      <c r="AF686" s="18">
        <f t="shared" si="308"/>
        <v>1.9464979034749797E-2</v>
      </c>
      <c r="AG686" s="18">
        <f t="shared" si="310"/>
        <v>1.0113650033165321E-3</v>
      </c>
      <c r="AH686" s="18">
        <f t="shared" si="312"/>
        <v>5.6243293898859915E-3</v>
      </c>
      <c r="AJ686" s="18">
        <f>IF(ISNUMBER(Kernel!M686),Kernel!M686,"")</f>
        <v>4.7432043588780948E-2</v>
      </c>
      <c r="AK686" s="18">
        <f t="shared" si="297"/>
        <v>2.2497987590080156E-3</v>
      </c>
      <c r="AN686" s="18">
        <f>IF(ISNUMBER(Volcanic!G686),Volcanic!G686,"")</f>
        <v>5.7499999999999999E-3</v>
      </c>
    </row>
    <row r="687" spans="1:40">
      <c r="A687" s="18" t="str">
        <f>IF(Volcanic!A687="","",Volcanic!A687)</f>
        <v>4/2015</v>
      </c>
      <c r="B687" s="18">
        <f>IF(ISNUMBER(Volcanic!L687),Volcanic!L687,"")</f>
        <v>2015.2916666666667</v>
      </c>
      <c r="C687" s="18">
        <f>IF(ISNUMBER(Volcanic!J687),Volcanic!J687,"")</f>
        <v>-0.17848430328721443</v>
      </c>
      <c r="D687" s="18">
        <f t="shared" si="290"/>
        <v>3.1856646519922344E-2</v>
      </c>
      <c r="E687" s="18">
        <f>IF(ISNUMBER(Volcanic!C687),Volcanic!C687,"")</f>
        <v>0.52660542876170069</v>
      </c>
      <c r="F687" s="18">
        <f>IF(ISNUMBER(Volcanic!D687),Volcanic!D687,"")</f>
        <v>0.73</v>
      </c>
      <c r="G687" s="18">
        <f>IF(ISNUMBER(Volcanic!E687),Volcanic!E687,"")</f>
        <v>6.9300000000000004E-3</v>
      </c>
      <c r="H687" s="18">
        <f t="shared" si="291"/>
        <v>0.27731327760129459</v>
      </c>
      <c r="I687" s="18">
        <f t="shared" si="292"/>
        <v>0.53289999999999993</v>
      </c>
      <c r="J687" s="18">
        <f t="shared" si="293"/>
        <v>4.8024900000000008E-5</v>
      </c>
      <c r="K687" s="18">
        <f t="shared" si="294"/>
        <v>0.38442196299604148</v>
      </c>
      <c r="L687" s="18">
        <f t="shared" si="295"/>
        <v>3.6493756213185858E-3</v>
      </c>
      <c r="M687" s="18">
        <f t="shared" si="296"/>
        <v>5.0588999999999999E-3</v>
      </c>
      <c r="N687" s="18">
        <f t="shared" si="298"/>
        <v>1.6701688947853739E-3</v>
      </c>
      <c r="O687" s="18">
        <f t="shared" si="301"/>
        <v>1.3404819226945142E-4</v>
      </c>
      <c r="P687" s="18">
        <f t="shared" si="303"/>
        <v>2.6485854628943673E-4</v>
      </c>
      <c r="Q687" s="18">
        <f t="shared" si="305"/>
        <v>2.5191308201989175E-3</v>
      </c>
      <c r="R687" s="18">
        <f t="shared" si="307"/>
        <v>1.8950925494970905E-2</v>
      </c>
      <c r="S687" s="18">
        <f t="shared" si="309"/>
        <v>1.3605066992110938E-5</v>
      </c>
      <c r="T687" s="18">
        <f t="shared" si="311"/>
        <v>4.9822910885574711E-3</v>
      </c>
      <c r="U687" s="18">
        <f t="shared" si="313"/>
        <v>7.6934088921135679E-5</v>
      </c>
      <c r="V687" s="18">
        <f t="shared" si="314"/>
        <v>7.2787127532771279E-2</v>
      </c>
      <c r="W687" s="18">
        <f t="shared" si="315"/>
        <v>3.0755260772192136E-2</v>
      </c>
      <c r="X687" s="18">
        <f t="shared" si="316"/>
        <v>1.3756390715335828E-3</v>
      </c>
      <c r="Y687" s="18">
        <f t="shared" si="317"/>
        <v>2.4501479520103544E-4</v>
      </c>
      <c r="AA687" s="18">
        <f t="shared" si="299"/>
        <v>-0.19903267431738098</v>
      </c>
      <c r="AB687" s="18">
        <f t="shared" si="300"/>
        <v>3.9614005445928642E-2</v>
      </c>
      <c r="AC687" s="18">
        <f t="shared" si="302"/>
        <v>1.228242908446887E-3</v>
      </c>
      <c r="AD687" s="18">
        <f t="shared" si="304"/>
        <v>3.9048767260715212E-4</v>
      </c>
      <c r="AE687" s="18">
        <f t="shared" si="306"/>
        <v>8.0311055073109875E-5</v>
      </c>
      <c r="AF687" s="18">
        <f t="shared" si="308"/>
        <v>3.6198865842367462E-4</v>
      </c>
      <c r="AG687" s="18">
        <f t="shared" si="310"/>
        <v>1.9464979034749797E-2</v>
      </c>
      <c r="AH687" s="18">
        <f t="shared" si="312"/>
        <v>1.0113650033165321E-3</v>
      </c>
      <c r="AJ687" s="18">
        <f>IF(ISNUMBER(Kernel!M687),Kernel!M687,"")</f>
        <v>-0.18697436123143851</v>
      </c>
      <c r="AK687" s="18">
        <f t="shared" si="297"/>
        <v>3.4959411757904457E-2</v>
      </c>
      <c r="AN687" s="18">
        <f>IF(ISNUMBER(Volcanic!G687),Volcanic!G687,"")</f>
        <v>5.8199999999999997E-3</v>
      </c>
    </row>
    <row r="688" spans="1:40">
      <c r="A688" s="18" t="str">
        <f>IF(Volcanic!A688="","",Volcanic!A688)</f>
        <v>5/2015</v>
      </c>
      <c r="B688" s="18">
        <f>IF(ISNUMBER(Volcanic!L688),Volcanic!L688,"")</f>
        <v>2015.375</v>
      </c>
      <c r="C688" s="18">
        <f>IF(ISNUMBER(Volcanic!J688),Volcanic!J688,"")</f>
        <v>-0.12953940830098454</v>
      </c>
      <c r="D688" s="18">
        <f t="shared" si="290"/>
        <v>1.6780458302969183E-2</v>
      </c>
      <c r="E688" s="18">
        <f>IF(ISNUMBER(Volcanic!C688),Volcanic!C688,"")</f>
        <v>0.52946402049003916</v>
      </c>
      <c r="F688" s="18">
        <f>IF(ISNUMBER(Volcanic!D688),Volcanic!D688,"")</f>
        <v>0.65</v>
      </c>
      <c r="G688" s="18">
        <f>IF(ISNUMBER(Volcanic!E688),Volcanic!E688,"")</f>
        <v>6.62E-3</v>
      </c>
      <c r="H688" s="18">
        <f t="shared" si="291"/>
        <v>0.28033214899347658</v>
      </c>
      <c r="I688" s="18">
        <f t="shared" si="292"/>
        <v>0.42250000000000004</v>
      </c>
      <c r="J688" s="18">
        <f t="shared" si="293"/>
        <v>4.38244E-5</v>
      </c>
      <c r="K688" s="18">
        <f t="shared" si="294"/>
        <v>0.34415161331852545</v>
      </c>
      <c r="L688" s="18">
        <f t="shared" si="295"/>
        <v>3.5050518156440592E-3</v>
      </c>
      <c r="M688" s="18">
        <f t="shared" si="296"/>
        <v>4.3030000000000004E-3</v>
      </c>
      <c r="N688" s="18">
        <f t="shared" si="298"/>
        <v>3.1856646519922344E-2</v>
      </c>
      <c r="O688" s="18">
        <f t="shared" si="301"/>
        <v>1.6701688947853739E-3</v>
      </c>
      <c r="P688" s="18">
        <f t="shared" si="303"/>
        <v>1.3404819226945142E-4</v>
      </c>
      <c r="Q688" s="18">
        <f t="shared" si="305"/>
        <v>2.6485854628943673E-4</v>
      </c>
      <c r="R688" s="18">
        <f t="shared" si="307"/>
        <v>2.5191308201989175E-3</v>
      </c>
      <c r="S688" s="18">
        <f t="shared" si="309"/>
        <v>1.8950925494970905E-2</v>
      </c>
      <c r="T688" s="18">
        <f t="shared" si="311"/>
        <v>1.3605066992110938E-5</v>
      </c>
      <c r="U688" s="18">
        <f t="shared" si="313"/>
        <v>4.9822910885574711E-3</v>
      </c>
      <c r="V688" s="18">
        <f t="shared" si="314"/>
        <v>7.6934088921135679E-5</v>
      </c>
      <c r="W688" s="18">
        <f t="shared" si="315"/>
        <v>7.2787127532771279E-2</v>
      </c>
      <c r="X688" s="18">
        <f t="shared" si="316"/>
        <v>3.0755260772192136E-2</v>
      </c>
      <c r="Y688" s="18">
        <f t="shared" si="317"/>
        <v>1.3756390715335828E-3</v>
      </c>
      <c r="AA688" s="18">
        <f t="shared" si="299"/>
        <v>-3.9797100895767115E-2</v>
      </c>
      <c r="AB688" s="18">
        <f t="shared" si="300"/>
        <v>1.5838092397078677E-3</v>
      </c>
      <c r="AC688" s="18">
        <f t="shared" si="302"/>
        <v>3.9614005445928642E-2</v>
      </c>
      <c r="AD688" s="18">
        <f t="shared" si="304"/>
        <v>1.228242908446887E-3</v>
      </c>
      <c r="AE688" s="18">
        <f t="shared" si="306"/>
        <v>3.9048767260715212E-4</v>
      </c>
      <c r="AF688" s="18">
        <f t="shared" si="308"/>
        <v>8.0311055073109875E-5</v>
      </c>
      <c r="AG688" s="18">
        <f t="shared" si="310"/>
        <v>3.6198865842367462E-4</v>
      </c>
      <c r="AH688" s="18">
        <f t="shared" si="312"/>
        <v>1.9464979034749797E-2</v>
      </c>
      <c r="AJ688" s="18">
        <f>IF(ISNUMBER(Kernel!M688),Kernel!M688,"")</f>
        <v>-0.15534630106619529</v>
      </c>
      <c r="AK688" s="18">
        <f t="shared" si="297"/>
        <v>2.4132473254948987E-2</v>
      </c>
      <c r="AN688" s="18">
        <f>IF(ISNUMBER(Volcanic!G688),Volcanic!G688,"")</f>
        <v>8.4600000000000005E-3</v>
      </c>
    </row>
    <row r="689" spans="1:40">
      <c r="A689" s="18" t="str">
        <f>IF(Volcanic!A689="","",Volcanic!A689)</f>
        <v>6/2015</v>
      </c>
      <c r="B689" s="18">
        <f>IF(ISNUMBER(Volcanic!L689),Volcanic!L689,"")</f>
        <v>2015.4583333333333</v>
      </c>
      <c r="C689" s="18">
        <f>IF(ISNUMBER(Volcanic!J689),Volcanic!J689,"")</f>
        <v>-0.10455166351215794</v>
      </c>
      <c r="D689" s="18">
        <f t="shared" si="290"/>
        <v>1.0931050343159499E-2</v>
      </c>
      <c r="E689" s="18">
        <f>IF(ISNUMBER(Volcanic!C689),Volcanic!C689,"")</f>
        <v>0.52524561093224054</v>
      </c>
      <c r="F689" s="18">
        <f>IF(ISNUMBER(Volcanic!D689),Volcanic!D689,"")</f>
        <v>0.72</v>
      </c>
      <c r="G689" s="18">
        <f>IF(ISNUMBER(Volcanic!E689),Volcanic!E689,"")</f>
        <v>6.6100000000000004E-3</v>
      </c>
      <c r="H689" s="18">
        <f t="shared" si="291"/>
        <v>0.27588295180358258</v>
      </c>
      <c r="I689" s="18">
        <f t="shared" si="292"/>
        <v>0.51839999999999997</v>
      </c>
      <c r="J689" s="18">
        <f t="shared" si="293"/>
        <v>4.3692100000000008E-5</v>
      </c>
      <c r="K689" s="18">
        <f t="shared" si="294"/>
        <v>0.3781768398712132</v>
      </c>
      <c r="L689" s="18">
        <f t="shared" si="295"/>
        <v>3.4718734882621103E-3</v>
      </c>
      <c r="M689" s="18">
        <f t="shared" si="296"/>
        <v>4.7591999999999999E-3</v>
      </c>
      <c r="N689" s="18">
        <f t="shared" si="298"/>
        <v>1.6780458302969183E-2</v>
      </c>
      <c r="O689" s="18">
        <f t="shared" si="301"/>
        <v>3.1856646519922344E-2</v>
      </c>
      <c r="P689" s="18">
        <f t="shared" si="303"/>
        <v>1.6701688947853739E-3</v>
      </c>
      <c r="Q689" s="18">
        <f t="shared" si="305"/>
        <v>1.3404819226945142E-4</v>
      </c>
      <c r="R689" s="18">
        <f t="shared" si="307"/>
        <v>2.6485854628943673E-4</v>
      </c>
      <c r="S689" s="18">
        <f t="shared" si="309"/>
        <v>2.5191308201989175E-3</v>
      </c>
      <c r="T689" s="18">
        <f t="shared" si="311"/>
        <v>1.8950925494970905E-2</v>
      </c>
      <c r="U689" s="18">
        <f t="shared" si="313"/>
        <v>1.3605066992110938E-5</v>
      </c>
      <c r="V689" s="18">
        <f t="shared" si="314"/>
        <v>4.9822910885574711E-3</v>
      </c>
      <c r="W689" s="18">
        <f t="shared" si="315"/>
        <v>7.6934088921135679E-5</v>
      </c>
      <c r="X689" s="18">
        <f t="shared" si="316"/>
        <v>7.2787127532771279E-2</v>
      </c>
      <c r="Y689" s="18">
        <f t="shared" si="317"/>
        <v>3.0755260772192136E-2</v>
      </c>
      <c r="AA689" s="18">
        <f t="shared" si="299"/>
        <v>-3.9418958917234126E-2</v>
      </c>
      <c r="AB689" s="18">
        <f t="shared" si="300"/>
        <v>1.5538543221185919E-3</v>
      </c>
      <c r="AC689" s="18">
        <f t="shared" si="302"/>
        <v>1.5838092397078677E-3</v>
      </c>
      <c r="AD689" s="18">
        <f t="shared" si="304"/>
        <v>3.9614005445928642E-2</v>
      </c>
      <c r="AE689" s="18">
        <f t="shared" si="306"/>
        <v>1.228242908446887E-3</v>
      </c>
      <c r="AF689" s="18">
        <f t="shared" si="308"/>
        <v>3.9048767260715212E-4</v>
      </c>
      <c r="AG689" s="18">
        <f t="shared" si="310"/>
        <v>8.0311055073109875E-5</v>
      </c>
      <c r="AH689" s="18">
        <f t="shared" si="312"/>
        <v>3.6198865842367462E-4</v>
      </c>
      <c r="AJ689" s="18">
        <f>IF(ISNUMBER(Kernel!M689),Kernel!M689,"")</f>
        <v>-0.13591702606560685</v>
      </c>
      <c r="AK689" s="18">
        <f t="shared" si="297"/>
        <v>1.8473437974518853E-2</v>
      </c>
      <c r="AN689" s="18">
        <f>IF(ISNUMBER(Volcanic!G689),Volcanic!G689,"")</f>
        <v>9.3200000000000002E-3</v>
      </c>
    </row>
    <row r="690" spans="1:40">
      <c r="A690" s="18" t="str">
        <f>IF(Volcanic!A690="","",Volcanic!A690)</f>
        <v>7/2015</v>
      </c>
      <c r="B690" s="18">
        <f>IF(ISNUMBER(Volcanic!L690),Volcanic!L690,"")</f>
        <v>2015.5416666666667</v>
      </c>
      <c r="C690" s="18">
        <f>IF(ISNUMBER(Volcanic!J690),Volcanic!J690,"")</f>
        <v>-0.19279271779572049</v>
      </c>
      <c r="D690" s="18">
        <f t="shared" si="290"/>
        <v>3.716903203506032E-2</v>
      </c>
      <c r="E690" s="18">
        <f>IF(ISNUMBER(Volcanic!C690),Volcanic!C690,"")</f>
        <v>0.51982942289753653</v>
      </c>
      <c r="F690" s="18">
        <f>IF(ISNUMBER(Volcanic!D690),Volcanic!D690,"")</f>
        <v>0.86</v>
      </c>
      <c r="G690" s="18">
        <f>IF(ISNUMBER(Volcanic!E690),Volcanic!E690,"")</f>
        <v>6.6E-3</v>
      </c>
      <c r="H690" s="18">
        <f t="shared" si="291"/>
        <v>0.27022262890998588</v>
      </c>
      <c r="I690" s="18">
        <f t="shared" si="292"/>
        <v>0.73959999999999992</v>
      </c>
      <c r="J690" s="18">
        <f t="shared" si="293"/>
        <v>4.3559999999999996E-5</v>
      </c>
      <c r="K690" s="18">
        <f t="shared" si="294"/>
        <v>0.4470533036918814</v>
      </c>
      <c r="L690" s="18">
        <f t="shared" si="295"/>
        <v>3.430874191123741E-3</v>
      </c>
      <c r="M690" s="18">
        <f t="shared" si="296"/>
        <v>5.6759999999999996E-3</v>
      </c>
      <c r="N690" s="18">
        <f t="shared" si="298"/>
        <v>1.0931050343159499E-2</v>
      </c>
      <c r="O690" s="18">
        <f t="shared" si="301"/>
        <v>1.6780458302969183E-2</v>
      </c>
      <c r="P690" s="18">
        <f t="shared" si="303"/>
        <v>3.1856646519922344E-2</v>
      </c>
      <c r="Q690" s="18">
        <f t="shared" si="305"/>
        <v>1.6701688947853739E-3</v>
      </c>
      <c r="R690" s="18">
        <f t="shared" si="307"/>
        <v>1.3404819226945142E-4</v>
      </c>
      <c r="S690" s="18">
        <f t="shared" si="309"/>
        <v>2.6485854628943673E-4</v>
      </c>
      <c r="T690" s="18">
        <f t="shared" si="311"/>
        <v>2.5191308201989175E-3</v>
      </c>
      <c r="U690" s="18">
        <f t="shared" si="313"/>
        <v>1.8950925494970905E-2</v>
      </c>
      <c r="V690" s="18">
        <f t="shared" si="314"/>
        <v>1.3605066992110938E-5</v>
      </c>
      <c r="W690" s="18">
        <f t="shared" si="315"/>
        <v>4.9822910885574711E-3</v>
      </c>
      <c r="X690" s="18">
        <f t="shared" si="316"/>
        <v>7.6934088921135679E-5</v>
      </c>
      <c r="Y690" s="18">
        <f t="shared" si="317"/>
        <v>7.2787127532771279E-2</v>
      </c>
      <c r="AA690" s="18">
        <f t="shared" si="299"/>
        <v>-0.14022390724022638</v>
      </c>
      <c r="AB690" s="18">
        <f t="shared" si="300"/>
        <v>1.9662744161715612E-2</v>
      </c>
      <c r="AC690" s="18">
        <f t="shared" si="302"/>
        <v>1.5538543221185919E-3</v>
      </c>
      <c r="AD690" s="18">
        <f t="shared" si="304"/>
        <v>1.5838092397078677E-3</v>
      </c>
      <c r="AE690" s="18">
        <f t="shared" si="306"/>
        <v>3.9614005445928642E-2</v>
      </c>
      <c r="AF690" s="18">
        <f t="shared" si="308"/>
        <v>1.228242908446887E-3</v>
      </c>
      <c r="AG690" s="18">
        <f t="shared" si="310"/>
        <v>3.9048767260715212E-4</v>
      </c>
      <c r="AH690" s="18">
        <f t="shared" si="312"/>
        <v>8.0311055073109875E-5</v>
      </c>
      <c r="AJ690" s="18">
        <f>IF(ISNUMBER(Kernel!M690),Kernel!M690,"")</f>
        <v>-0.22668475871523719</v>
      </c>
      <c r="AK690" s="18">
        <f t="shared" si="297"/>
        <v>5.1385979833785303E-2</v>
      </c>
      <c r="AN690" s="18">
        <f>IF(ISNUMBER(Volcanic!G690),Volcanic!G690,"")</f>
        <v>9.6200000000000001E-3</v>
      </c>
    </row>
    <row r="691" spans="1:40">
      <c r="A691" s="18" t="str">
        <f>IF(Volcanic!A691="","",Volcanic!A691)</f>
        <v>8/2015</v>
      </c>
      <c r="B691" s="18">
        <f>IF(ISNUMBER(Volcanic!L691),Volcanic!L691,"")</f>
        <v>2015.625</v>
      </c>
      <c r="C691" s="18">
        <f>IF(ISNUMBER(Volcanic!J691),Volcanic!J691,"")</f>
        <v>-0.11720913658661414</v>
      </c>
      <c r="D691" s="18">
        <f t="shared" si="290"/>
        <v>1.373798169937957E-2</v>
      </c>
      <c r="E691" s="18">
        <f>IF(ISNUMBER(Volcanic!C691),Volcanic!C691,"")</f>
        <v>0.51135959993669367</v>
      </c>
      <c r="F691" s="18">
        <f>IF(ISNUMBER(Volcanic!D691),Volcanic!D691,"")</f>
        <v>1.04</v>
      </c>
      <c r="G691" s="18">
        <f>IF(ISNUMBER(Volcanic!E691),Volcanic!E691,"")</f>
        <v>6.2300000000000003E-3</v>
      </c>
      <c r="H691" s="18">
        <f t="shared" si="291"/>
        <v>0.26148864044741538</v>
      </c>
      <c r="I691" s="18">
        <f t="shared" si="292"/>
        <v>1.0816000000000001</v>
      </c>
      <c r="J691" s="18">
        <f t="shared" si="293"/>
        <v>3.8812900000000002E-5</v>
      </c>
      <c r="K691" s="18">
        <f t="shared" si="294"/>
        <v>0.53181398393416146</v>
      </c>
      <c r="L691" s="18">
        <f t="shared" si="295"/>
        <v>3.1857703076056017E-3</v>
      </c>
      <c r="M691" s="18">
        <f t="shared" si="296"/>
        <v>6.4792000000000009E-3</v>
      </c>
      <c r="N691" s="18">
        <f t="shared" si="298"/>
        <v>3.716903203506032E-2</v>
      </c>
      <c r="O691" s="18">
        <f t="shared" si="301"/>
        <v>1.0931050343159499E-2</v>
      </c>
      <c r="P691" s="18">
        <f t="shared" si="303"/>
        <v>1.6780458302969183E-2</v>
      </c>
      <c r="Q691" s="18">
        <f t="shared" si="305"/>
        <v>3.1856646519922344E-2</v>
      </c>
      <c r="R691" s="18">
        <f t="shared" si="307"/>
        <v>1.6701688947853739E-3</v>
      </c>
      <c r="S691" s="18">
        <f t="shared" si="309"/>
        <v>1.3404819226945142E-4</v>
      </c>
      <c r="T691" s="18">
        <f t="shared" si="311"/>
        <v>2.6485854628943673E-4</v>
      </c>
      <c r="U691" s="18">
        <f t="shared" si="313"/>
        <v>2.5191308201989175E-3</v>
      </c>
      <c r="V691" s="18">
        <f t="shared" si="314"/>
        <v>1.8950925494970905E-2</v>
      </c>
      <c r="W691" s="18">
        <f t="shared" si="315"/>
        <v>1.3605066992110938E-5</v>
      </c>
      <c r="X691" s="18">
        <f t="shared" si="316"/>
        <v>4.9822910885574711E-3</v>
      </c>
      <c r="Y691" s="18">
        <f t="shared" si="317"/>
        <v>7.6934088921135679E-5</v>
      </c>
      <c r="AA691" s="18">
        <f t="shared" si="299"/>
        <v>-2.0272526323081394E-2</v>
      </c>
      <c r="AB691" s="18">
        <f t="shared" si="300"/>
        <v>4.1097532352002804E-4</v>
      </c>
      <c r="AC691" s="18">
        <f t="shared" si="302"/>
        <v>1.9662744161715612E-2</v>
      </c>
      <c r="AD691" s="18">
        <f t="shared" si="304"/>
        <v>1.5538543221185919E-3</v>
      </c>
      <c r="AE691" s="18">
        <f t="shared" si="306"/>
        <v>1.5838092397078677E-3</v>
      </c>
      <c r="AF691" s="18">
        <f t="shared" si="308"/>
        <v>3.9614005445928642E-2</v>
      </c>
      <c r="AG691" s="18">
        <f t="shared" si="310"/>
        <v>1.228242908446887E-3</v>
      </c>
      <c r="AH691" s="18">
        <f t="shared" si="312"/>
        <v>3.9048767260715212E-4</v>
      </c>
      <c r="AJ691" s="18">
        <f>IF(ISNUMBER(Kernel!M691),Kernel!M691,"")</f>
        <v>-0.15311259918147879</v>
      </c>
      <c r="AK691" s="18">
        <f t="shared" si="297"/>
        <v>2.3443468028108181E-2</v>
      </c>
      <c r="AN691" s="18">
        <f>IF(ISNUMBER(Volcanic!G691),Volcanic!G691,"")</f>
        <v>9.3900000000000008E-3</v>
      </c>
    </row>
    <row r="692" spans="1:40">
      <c r="A692" s="18" t="str">
        <f>IF(Volcanic!A692="","",Volcanic!A692)</f>
        <v>9/2015</v>
      </c>
      <c r="B692" s="18">
        <f>IF(ISNUMBER(Volcanic!L692),Volcanic!L692,"")</f>
        <v>2015.7083333333333</v>
      </c>
      <c r="C692" s="18">
        <f>IF(ISNUMBER(Volcanic!J692),Volcanic!J692,"")</f>
        <v>-7.8917706129744358E-2</v>
      </c>
      <c r="D692" s="18">
        <f t="shared" si="290"/>
        <v>6.2280043407806907E-3</v>
      </c>
      <c r="E692" s="18">
        <f>IF(ISNUMBER(Volcanic!C692),Volcanic!C692,"")</f>
        <v>0.50668898086543035</v>
      </c>
      <c r="F692" s="18">
        <f>IF(ISNUMBER(Volcanic!D692),Volcanic!D692,"")</f>
        <v>1.19</v>
      </c>
      <c r="G692" s="18">
        <f>IF(ISNUMBER(Volcanic!E692),Volcanic!E692,"")</f>
        <v>5.9899999999999997E-3</v>
      </c>
      <c r="H692" s="18">
        <f t="shared" si="291"/>
        <v>0.25673372333044842</v>
      </c>
      <c r="I692" s="18">
        <f t="shared" si="292"/>
        <v>1.4160999999999999</v>
      </c>
      <c r="J692" s="18">
        <f t="shared" si="293"/>
        <v>3.5880099999999996E-5</v>
      </c>
      <c r="K692" s="18">
        <f t="shared" si="294"/>
        <v>0.60295988722986205</v>
      </c>
      <c r="L692" s="18">
        <f t="shared" si="295"/>
        <v>3.0350669953839275E-3</v>
      </c>
      <c r="M692" s="18">
        <f t="shared" si="296"/>
        <v>7.1280999999999992E-3</v>
      </c>
      <c r="N692" s="18">
        <f t="shared" si="298"/>
        <v>1.373798169937957E-2</v>
      </c>
      <c r="O692" s="18">
        <f t="shared" si="301"/>
        <v>3.716903203506032E-2</v>
      </c>
      <c r="P692" s="18">
        <f t="shared" si="303"/>
        <v>1.0931050343159499E-2</v>
      </c>
      <c r="Q692" s="18">
        <f t="shared" si="305"/>
        <v>1.6780458302969183E-2</v>
      </c>
      <c r="R692" s="18">
        <f t="shared" si="307"/>
        <v>3.1856646519922344E-2</v>
      </c>
      <c r="S692" s="18">
        <f t="shared" si="309"/>
        <v>1.6701688947853739E-3</v>
      </c>
      <c r="T692" s="18">
        <f t="shared" si="311"/>
        <v>1.3404819226945142E-4</v>
      </c>
      <c r="U692" s="18">
        <f t="shared" si="313"/>
        <v>2.6485854628943673E-4</v>
      </c>
      <c r="V692" s="18">
        <f t="shared" si="314"/>
        <v>2.5191308201989175E-3</v>
      </c>
      <c r="W692" s="18">
        <f t="shared" si="315"/>
        <v>1.8950925494970905E-2</v>
      </c>
      <c r="X692" s="18">
        <f t="shared" si="316"/>
        <v>1.3605066992110938E-5</v>
      </c>
      <c r="Y692" s="18">
        <f t="shared" si="317"/>
        <v>4.9822910885574711E-3</v>
      </c>
      <c r="AA692" s="18">
        <f t="shared" si="299"/>
        <v>-1.9984689766229018E-2</v>
      </c>
      <c r="AB692" s="18">
        <f t="shared" si="300"/>
        <v>3.9938782505241882E-4</v>
      </c>
      <c r="AC692" s="18">
        <f t="shared" si="302"/>
        <v>4.1097532352002804E-4</v>
      </c>
      <c r="AD692" s="18">
        <f t="shared" si="304"/>
        <v>1.9662744161715612E-2</v>
      </c>
      <c r="AE692" s="18">
        <f t="shared" si="306"/>
        <v>1.5538543221185919E-3</v>
      </c>
      <c r="AF692" s="18">
        <f t="shared" si="308"/>
        <v>1.5838092397078677E-3</v>
      </c>
      <c r="AG692" s="18">
        <f t="shared" si="310"/>
        <v>3.9614005445928642E-2</v>
      </c>
      <c r="AH692" s="18">
        <f t="shared" si="312"/>
        <v>1.228242908446887E-3</v>
      </c>
      <c r="AJ692" s="18">
        <f>IF(ISNUMBER(Kernel!M692),Kernel!M692,"")</f>
        <v>-0.1230530621821182</v>
      </c>
      <c r="AK692" s="18">
        <f t="shared" si="297"/>
        <v>1.5142056112396248E-2</v>
      </c>
      <c r="AN692" s="18">
        <f>IF(ISNUMBER(Volcanic!G692),Volcanic!G692,"")</f>
        <v>9.4800000000000006E-3</v>
      </c>
    </row>
    <row r="693" spans="1:40">
      <c r="A693" s="18" t="str">
        <f>IF(Volcanic!A693="","",Volcanic!A693)</f>
        <v>10/2015</v>
      </c>
      <c r="B693" s="18">
        <f>IF(ISNUMBER(Volcanic!L693),Volcanic!L693,"")</f>
        <v>2015.7916666666667</v>
      </c>
      <c r="C693" s="18">
        <f>IF(ISNUMBER(Volcanic!J693),Volcanic!J693,"")</f>
        <v>0.13073404929995802</v>
      </c>
      <c r="D693" s="18">
        <f t="shared" si="290"/>
        <v>1.7091391646363856E-2</v>
      </c>
      <c r="E693" s="18">
        <f>IF(ISNUMBER(Volcanic!C693),Volcanic!C693,"")</f>
        <v>0.50911669345346611</v>
      </c>
      <c r="F693" s="18">
        <f>IF(ISNUMBER(Volcanic!D693),Volcanic!D693,"")</f>
        <v>1.44</v>
      </c>
      <c r="G693" s="18">
        <f>IF(ISNUMBER(Volcanic!E693),Volcanic!E693,"")</f>
        <v>5.7499999999999999E-3</v>
      </c>
      <c r="H693" s="18">
        <f t="shared" si="291"/>
        <v>0.2591998075529906</v>
      </c>
      <c r="I693" s="18">
        <f t="shared" si="292"/>
        <v>2.0735999999999999</v>
      </c>
      <c r="J693" s="18">
        <f t="shared" si="293"/>
        <v>3.3062499999999997E-5</v>
      </c>
      <c r="K693" s="18">
        <f t="shared" si="294"/>
        <v>0.73312803857299114</v>
      </c>
      <c r="L693" s="18">
        <f t="shared" si="295"/>
        <v>2.9274209873574302E-3</v>
      </c>
      <c r="M693" s="18">
        <f t="shared" si="296"/>
        <v>8.2799999999999992E-3</v>
      </c>
      <c r="N693" s="18">
        <f t="shared" si="298"/>
        <v>6.2280043407806907E-3</v>
      </c>
      <c r="O693" s="18">
        <f t="shared" si="301"/>
        <v>1.373798169937957E-2</v>
      </c>
      <c r="P693" s="18">
        <f t="shared" si="303"/>
        <v>3.716903203506032E-2</v>
      </c>
      <c r="Q693" s="18">
        <f t="shared" si="305"/>
        <v>1.0931050343159499E-2</v>
      </c>
      <c r="R693" s="18">
        <f t="shared" si="307"/>
        <v>1.6780458302969183E-2</v>
      </c>
      <c r="S693" s="18">
        <f t="shared" si="309"/>
        <v>3.1856646519922344E-2</v>
      </c>
      <c r="T693" s="18">
        <f t="shared" si="311"/>
        <v>1.6701688947853739E-3</v>
      </c>
      <c r="U693" s="18">
        <f t="shared" si="313"/>
        <v>1.3404819226945142E-4</v>
      </c>
      <c r="V693" s="18">
        <f t="shared" si="314"/>
        <v>2.6485854628943673E-4</v>
      </c>
      <c r="W693" s="18">
        <f t="shared" si="315"/>
        <v>2.5191308201989175E-3</v>
      </c>
      <c r="X693" s="18">
        <f t="shared" si="316"/>
        <v>1.8950925494970905E-2</v>
      </c>
      <c r="Y693" s="18">
        <f t="shared" si="317"/>
        <v>1.3605066992110938E-5</v>
      </c>
      <c r="AA693" s="18">
        <f t="shared" si="299"/>
        <v>0.17041404867678536</v>
      </c>
      <c r="AB693" s="18">
        <f t="shared" si="300"/>
        <v>2.9040947986413771E-2</v>
      </c>
      <c r="AC693" s="18">
        <f t="shared" si="302"/>
        <v>3.9938782505241882E-4</v>
      </c>
      <c r="AD693" s="18">
        <f t="shared" si="304"/>
        <v>4.1097532352002804E-4</v>
      </c>
      <c r="AE693" s="18">
        <f t="shared" si="306"/>
        <v>1.9662744161715612E-2</v>
      </c>
      <c r="AF693" s="18">
        <f t="shared" si="308"/>
        <v>1.5538543221185919E-3</v>
      </c>
      <c r="AG693" s="18">
        <f t="shared" si="310"/>
        <v>1.5838092397078677E-3</v>
      </c>
      <c r="AH693" s="18">
        <f t="shared" si="312"/>
        <v>3.9614005445928642E-2</v>
      </c>
      <c r="AJ693" s="18">
        <f>IF(ISNUMBER(Kernel!M693),Kernel!M693,"")</f>
        <v>8.5733549253078634E-2</v>
      </c>
      <c r="AK693" s="18">
        <f t="shared" si="297"/>
        <v>7.3502414675300602E-3</v>
      </c>
      <c r="AN693" s="18">
        <f>IF(ISNUMBER(Volcanic!G693),Volcanic!G693,"")</f>
        <v>9.6299999999999997E-3</v>
      </c>
    </row>
    <row r="694" spans="1:40">
      <c r="A694" s="18" t="str">
        <f>IF(Volcanic!A694="","",Volcanic!A694)</f>
        <v>11/2015</v>
      </c>
      <c r="B694" s="18">
        <f>IF(ISNUMBER(Volcanic!L694),Volcanic!L694,"")</f>
        <v>2015.875</v>
      </c>
      <c r="C694" s="18">
        <f>IF(ISNUMBER(Volcanic!J694),Volcanic!J694,"")</f>
        <v>6.6440252827250412E-2</v>
      </c>
      <c r="D694" s="18">
        <f t="shared" si="290"/>
        <v>4.4143071957489562E-3</v>
      </c>
      <c r="E694" s="18">
        <f>IF(ISNUMBER(Volcanic!C694),Volcanic!C694,"")</f>
        <v>0.51554666346621814</v>
      </c>
      <c r="F694" s="18">
        <f>IF(ISNUMBER(Volcanic!D694),Volcanic!D694,"")</f>
        <v>1.73</v>
      </c>
      <c r="G694" s="18">
        <f>IF(ISNUMBER(Volcanic!E694),Volcanic!E694,"")</f>
        <v>5.8199999999999997E-3</v>
      </c>
      <c r="H694" s="18">
        <f t="shared" si="291"/>
        <v>0.26578836221114999</v>
      </c>
      <c r="I694" s="18">
        <f t="shared" si="292"/>
        <v>2.9929000000000001</v>
      </c>
      <c r="J694" s="18">
        <f t="shared" si="293"/>
        <v>3.3872399999999998E-5</v>
      </c>
      <c r="K694" s="18">
        <f t="shared" si="294"/>
        <v>0.89189572779655735</v>
      </c>
      <c r="L694" s="18">
        <f t="shared" si="295"/>
        <v>3.0004815813733893E-3</v>
      </c>
      <c r="M694" s="18">
        <f t="shared" si="296"/>
        <v>1.0068599999999999E-2</v>
      </c>
      <c r="N694" s="18">
        <f t="shared" si="298"/>
        <v>1.7091391646363856E-2</v>
      </c>
      <c r="O694" s="18">
        <f t="shared" si="301"/>
        <v>6.2280043407806907E-3</v>
      </c>
      <c r="P694" s="18">
        <f t="shared" si="303"/>
        <v>1.373798169937957E-2</v>
      </c>
      <c r="Q694" s="18">
        <f t="shared" si="305"/>
        <v>3.716903203506032E-2</v>
      </c>
      <c r="R694" s="18">
        <f t="shared" si="307"/>
        <v>1.0931050343159499E-2</v>
      </c>
      <c r="S694" s="18">
        <f t="shared" si="309"/>
        <v>1.6780458302969183E-2</v>
      </c>
      <c r="T694" s="18">
        <f t="shared" si="311"/>
        <v>3.1856646519922344E-2</v>
      </c>
      <c r="U694" s="18">
        <f t="shared" si="313"/>
        <v>1.6701688947853739E-3</v>
      </c>
      <c r="V694" s="18">
        <f t="shared" si="314"/>
        <v>1.3404819226945142E-4</v>
      </c>
      <c r="W694" s="18">
        <f t="shared" si="315"/>
        <v>2.6485854628943673E-4</v>
      </c>
      <c r="X694" s="18">
        <f t="shared" si="316"/>
        <v>2.5191308201989175E-3</v>
      </c>
      <c r="Y694" s="18">
        <f t="shared" si="317"/>
        <v>1.8950925494970905E-2</v>
      </c>
      <c r="AA694" s="18">
        <f t="shared" si="299"/>
        <v>7.0688006266556025E-4</v>
      </c>
      <c r="AB694" s="18">
        <f t="shared" si="300"/>
        <v>4.9967942299406639E-7</v>
      </c>
      <c r="AC694" s="18">
        <f t="shared" si="302"/>
        <v>2.9040947986413771E-2</v>
      </c>
      <c r="AD694" s="18">
        <f t="shared" si="304"/>
        <v>3.9938782505241882E-4</v>
      </c>
      <c r="AE694" s="18">
        <f t="shared" si="306"/>
        <v>4.1097532352002804E-4</v>
      </c>
      <c r="AF694" s="18">
        <f t="shared" si="308"/>
        <v>1.9662744161715612E-2</v>
      </c>
      <c r="AG694" s="18">
        <f t="shared" si="310"/>
        <v>1.5538543221185919E-3</v>
      </c>
      <c r="AH694" s="18">
        <f t="shared" si="312"/>
        <v>1.5838092397078677E-3</v>
      </c>
      <c r="AJ694" s="18">
        <f>IF(ISNUMBER(Kernel!M694),Kernel!M694,"")</f>
        <v>2.3979628712242684E-2</v>
      </c>
      <c r="AK694" s="18">
        <f t="shared" si="297"/>
        <v>5.750225931770137E-4</v>
      </c>
      <c r="AN694" s="18">
        <f>IF(ISNUMBER(Volcanic!G694),Volcanic!G694,"")</f>
        <v>1.0120000000000001E-2</v>
      </c>
    </row>
    <row r="695" spans="1:40">
      <c r="A695" s="18" t="str">
        <f>IF(Volcanic!A695="","",Volcanic!A695)</f>
        <v>12/2015</v>
      </c>
      <c r="B695" s="18">
        <f>IF(ISNUMBER(Volcanic!L695),Volcanic!L695,"")</f>
        <v>2015.9583333333333</v>
      </c>
      <c r="C695" s="18">
        <f>IF(ISNUMBER(Volcanic!J695),Volcanic!J695,"")</f>
        <v>0.13778130877322226</v>
      </c>
      <c r="D695" s="18">
        <f t="shared" si="290"/>
        <v>1.8983689047262012E-2</v>
      </c>
      <c r="E695" s="18">
        <f>IF(ISNUMBER(Volcanic!C695),Volcanic!C695,"")</f>
        <v>0.52198398578437877</v>
      </c>
      <c r="F695" s="18">
        <f>IF(ISNUMBER(Volcanic!D695),Volcanic!D695,"")</f>
        <v>2.02</v>
      </c>
      <c r="G695" s="18">
        <f>IF(ISNUMBER(Volcanic!E695),Volcanic!E695,"")</f>
        <v>8.4600000000000005E-3</v>
      </c>
      <c r="H695" s="18">
        <f t="shared" si="291"/>
        <v>0.27246728141534654</v>
      </c>
      <c r="I695" s="18">
        <f t="shared" si="292"/>
        <v>4.0804</v>
      </c>
      <c r="J695" s="18">
        <f t="shared" si="293"/>
        <v>7.1571600000000011E-5</v>
      </c>
      <c r="K695" s="18">
        <f t="shared" si="294"/>
        <v>1.0544076512844451</v>
      </c>
      <c r="L695" s="18">
        <f t="shared" si="295"/>
        <v>4.415984519735845E-3</v>
      </c>
      <c r="M695" s="18">
        <f t="shared" si="296"/>
        <v>1.7089200000000002E-2</v>
      </c>
      <c r="N695" s="18">
        <f t="shared" si="298"/>
        <v>4.4143071957489562E-3</v>
      </c>
      <c r="O695" s="18">
        <f t="shared" si="301"/>
        <v>1.7091391646363856E-2</v>
      </c>
      <c r="P695" s="18">
        <f t="shared" si="303"/>
        <v>6.2280043407806907E-3</v>
      </c>
      <c r="Q695" s="18">
        <f t="shared" si="305"/>
        <v>1.373798169937957E-2</v>
      </c>
      <c r="R695" s="18">
        <f t="shared" si="307"/>
        <v>3.716903203506032E-2</v>
      </c>
      <c r="S695" s="18">
        <f t="shared" si="309"/>
        <v>1.0931050343159499E-2</v>
      </c>
      <c r="T695" s="18">
        <f t="shared" si="311"/>
        <v>1.6780458302969183E-2</v>
      </c>
      <c r="U695" s="18">
        <f t="shared" si="313"/>
        <v>3.1856646519922344E-2</v>
      </c>
      <c r="V695" s="18">
        <f t="shared" si="314"/>
        <v>1.6701688947853739E-3</v>
      </c>
      <c r="W695" s="18">
        <f t="shared" si="315"/>
        <v>1.3404819226945142E-4</v>
      </c>
      <c r="X695" s="18">
        <f t="shared" si="316"/>
        <v>2.6485854628943673E-4</v>
      </c>
      <c r="Y695" s="18">
        <f t="shared" si="317"/>
        <v>2.5191308201989175E-3</v>
      </c>
      <c r="AA695" s="18">
        <f t="shared" si="299"/>
        <v>0.10437500085992246</v>
      </c>
      <c r="AB695" s="18">
        <f t="shared" si="300"/>
        <v>1.0894140804508816E-2</v>
      </c>
      <c r="AC695" s="18">
        <f t="shared" si="302"/>
        <v>4.9967942299406639E-7</v>
      </c>
      <c r="AD695" s="18">
        <f t="shared" si="304"/>
        <v>2.9040947986413771E-2</v>
      </c>
      <c r="AE695" s="18">
        <f t="shared" si="306"/>
        <v>3.9938782505241882E-4</v>
      </c>
      <c r="AF695" s="18">
        <f t="shared" si="308"/>
        <v>4.1097532352002804E-4</v>
      </c>
      <c r="AG695" s="18">
        <f t="shared" si="310"/>
        <v>1.9662744161715612E-2</v>
      </c>
      <c r="AH695" s="18">
        <f t="shared" si="312"/>
        <v>1.5538543221185919E-3</v>
      </c>
      <c r="AJ695" s="18">
        <f>IF(ISNUMBER(Kernel!M695),Kernel!M695,"")</f>
        <v>9.296499076908149E-2</v>
      </c>
      <c r="AK695" s="18">
        <f t="shared" si="297"/>
        <v>8.6424895086954067E-3</v>
      </c>
      <c r="AN695" s="18">
        <f>IF(ISNUMBER(Volcanic!G695),Volcanic!G695,"")</f>
        <v>1.0109999999999999E-2</v>
      </c>
    </row>
    <row r="696" spans="1:40">
      <c r="A696" s="18" t="str">
        <f>IF(Volcanic!A696="","",Volcanic!A696)</f>
        <v>1/2016</v>
      </c>
      <c r="B696" s="18">
        <f>IF(ISNUMBER(Volcanic!L696),Volcanic!L696,"")</f>
        <v>2016.0416666666667</v>
      </c>
      <c r="C696" s="18">
        <f>IF(ISNUMBER(Volcanic!J696),Volcanic!J696,"")</f>
        <v>0.11899527071885529</v>
      </c>
      <c r="D696" s="18">
        <f t="shared" si="290"/>
        <v>1.4159874453453661E-2</v>
      </c>
      <c r="E696" s="18">
        <f>IF(ISNUMBER(Volcanic!C696),Volcanic!C696,"")</f>
        <v>0.52438611777087951</v>
      </c>
      <c r="F696" s="18">
        <f>IF(ISNUMBER(Volcanic!D696),Volcanic!D696,"")</f>
        <v>2.2799999999999998</v>
      </c>
      <c r="G696" s="18">
        <f>IF(ISNUMBER(Volcanic!E696),Volcanic!E696,"")</f>
        <v>9.3200000000000002E-3</v>
      </c>
      <c r="H696" s="18">
        <f t="shared" si="291"/>
        <v>0.27498080051081469</v>
      </c>
      <c r="I696" s="18">
        <f t="shared" si="292"/>
        <v>5.1983999999999995</v>
      </c>
      <c r="J696" s="18">
        <f t="shared" si="293"/>
        <v>8.6862399999999997E-5</v>
      </c>
      <c r="K696" s="18">
        <f t="shared" si="294"/>
        <v>1.1956003485176052</v>
      </c>
      <c r="L696" s="18">
        <f t="shared" si="295"/>
        <v>4.8872786176245974E-3</v>
      </c>
      <c r="M696" s="18">
        <f t="shared" si="296"/>
        <v>2.1249599999999997E-2</v>
      </c>
      <c r="N696" s="18">
        <f t="shared" si="298"/>
        <v>1.8983689047262012E-2</v>
      </c>
      <c r="O696" s="18">
        <f t="shared" si="301"/>
        <v>4.4143071957489562E-3</v>
      </c>
      <c r="P696" s="18">
        <f t="shared" si="303"/>
        <v>1.7091391646363856E-2</v>
      </c>
      <c r="Q696" s="18">
        <f t="shared" si="305"/>
        <v>6.2280043407806907E-3</v>
      </c>
      <c r="R696" s="18">
        <f t="shared" si="307"/>
        <v>1.373798169937957E-2</v>
      </c>
      <c r="S696" s="18">
        <f t="shared" si="309"/>
        <v>3.716903203506032E-2</v>
      </c>
      <c r="T696" s="18">
        <f t="shared" si="311"/>
        <v>1.0931050343159499E-2</v>
      </c>
      <c r="U696" s="18">
        <f t="shared" si="313"/>
        <v>1.6780458302969183E-2</v>
      </c>
      <c r="V696" s="18">
        <f t="shared" si="314"/>
        <v>3.1856646519922344E-2</v>
      </c>
      <c r="W696" s="18">
        <f t="shared" si="315"/>
        <v>1.6701688947853739E-3</v>
      </c>
      <c r="X696" s="18">
        <f t="shared" si="316"/>
        <v>1.3404819226945142E-4</v>
      </c>
      <c r="Y696" s="18">
        <f t="shared" si="317"/>
        <v>2.6485854628943673E-4</v>
      </c>
      <c r="AA696" s="18">
        <f t="shared" si="299"/>
        <v>4.9718520108901598E-2</v>
      </c>
      <c r="AB696" s="18">
        <f t="shared" si="300"/>
        <v>2.4719312418192527E-3</v>
      </c>
      <c r="AC696" s="18">
        <f t="shared" si="302"/>
        <v>1.0894140804508816E-2</v>
      </c>
      <c r="AD696" s="18">
        <f t="shared" si="304"/>
        <v>4.9967942299406639E-7</v>
      </c>
      <c r="AE696" s="18">
        <f t="shared" si="306"/>
        <v>2.9040947986413771E-2</v>
      </c>
      <c r="AF696" s="18">
        <f t="shared" si="308"/>
        <v>3.9938782505241882E-4</v>
      </c>
      <c r="AG696" s="18">
        <f t="shared" si="310"/>
        <v>4.1097532352002804E-4</v>
      </c>
      <c r="AH696" s="18">
        <f t="shared" si="312"/>
        <v>1.9662744161715612E-2</v>
      </c>
      <c r="AJ696" s="18">
        <f>IF(ISNUMBER(Kernel!M696),Kernel!M696,"")</f>
        <v>7.8301427818752822E-2</v>
      </c>
      <c r="AK696" s="18">
        <f t="shared" si="297"/>
        <v>6.1311135984553587E-3</v>
      </c>
      <c r="AN696" s="18">
        <f>IF(ISNUMBER(Volcanic!G696),Volcanic!G696,"")</f>
        <v>9.4299999999999991E-3</v>
      </c>
    </row>
    <row r="697" spans="1:40">
      <c r="A697" s="18" t="str">
        <f>IF(Volcanic!A697="","",Volcanic!A697)</f>
        <v>2/2016</v>
      </c>
      <c r="B697" s="18">
        <f>IF(ISNUMBER(Volcanic!L697),Volcanic!L697,"")</f>
        <v>2016.125</v>
      </c>
      <c r="C697" s="18">
        <f>IF(ISNUMBER(Volcanic!J697),Volcanic!J697,"")</f>
        <v>0.27905713114329678</v>
      </c>
      <c r="D697" s="18">
        <f t="shared" si="290"/>
        <v>7.7872882441927138E-2</v>
      </c>
      <c r="E697" s="18">
        <f>IF(ISNUMBER(Volcanic!C697),Volcanic!C697,"")</f>
        <v>0.52982094652869527</v>
      </c>
      <c r="F697" s="18">
        <f>IF(ISNUMBER(Volcanic!D697),Volcanic!D697,"")</f>
        <v>2.4500000000000002</v>
      </c>
      <c r="G697" s="18">
        <f>IF(ISNUMBER(Volcanic!E697),Volcanic!E697,"")</f>
        <v>9.6200000000000001E-3</v>
      </c>
      <c r="H697" s="18">
        <f t="shared" si="291"/>
        <v>0.28071023538056256</v>
      </c>
      <c r="I697" s="18">
        <f t="shared" si="292"/>
        <v>6.0025000000000013</v>
      </c>
      <c r="J697" s="18">
        <f t="shared" si="293"/>
        <v>9.2544400000000001E-5</v>
      </c>
      <c r="K697" s="18">
        <f t="shared" si="294"/>
        <v>1.2980613189953034</v>
      </c>
      <c r="L697" s="18">
        <f t="shared" si="295"/>
        <v>5.0968775056060489E-3</v>
      </c>
      <c r="M697" s="18">
        <f t="shared" si="296"/>
        <v>2.3569000000000003E-2</v>
      </c>
      <c r="N697" s="18">
        <f t="shared" si="298"/>
        <v>1.4159874453453661E-2</v>
      </c>
      <c r="O697" s="18">
        <f t="shared" si="301"/>
        <v>1.8983689047262012E-2</v>
      </c>
      <c r="P697" s="18">
        <f t="shared" si="303"/>
        <v>4.4143071957489562E-3</v>
      </c>
      <c r="Q697" s="18">
        <f t="shared" si="305"/>
        <v>1.7091391646363856E-2</v>
      </c>
      <c r="R697" s="18">
        <f t="shared" si="307"/>
        <v>6.2280043407806907E-3</v>
      </c>
      <c r="S697" s="18">
        <f t="shared" si="309"/>
        <v>1.373798169937957E-2</v>
      </c>
      <c r="T697" s="18">
        <f t="shared" si="311"/>
        <v>3.716903203506032E-2</v>
      </c>
      <c r="U697" s="18">
        <f t="shared" si="313"/>
        <v>1.0931050343159499E-2</v>
      </c>
      <c r="V697" s="18">
        <f t="shared" si="314"/>
        <v>1.6780458302969183E-2</v>
      </c>
      <c r="W697" s="18">
        <f t="shared" si="315"/>
        <v>3.1856646519922344E-2</v>
      </c>
      <c r="X697" s="18">
        <f t="shared" si="316"/>
        <v>1.6701688947853739E-3</v>
      </c>
      <c r="Y697" s="18">
        <f t="shared" si="317"/>
        <v>1.3404819226945142E-4</v>
      </c>
      <c r="AA697" s="18">
        <f t="shared" si="299"/>
        <v>0.21922604253807512</v>
      </c>
      <c r="AB697" s="18">
        <f t="shared" si="300"/>
        <v>4.8060057726905921E-2</v>
      </c>
      <c r="AC697" s="18">
        <f t="shared" si="302"/>
        <v>2.4719312418192527E-3</v>
      </c>
      <c r="AD697" s="18">
        <f t="shared" si="304"/>
        <v>1.0894140804508816E-2</v>
      </c>
      <c r="AE697" s="18">
        <f t="shared" si="306"/>
        <v>4.9967942299406639E-7</v>
      </c>
      <c r="AF697" s="18">
        <f t="shared" si="308"/>
        <v>2.9040947986413771E-2</v>
      </c>
      <c r="AG697" s="18">
        <f t="shared" si="310"/>
        <v>3.9938782505241882E-4</v>
      </c>
      <c r="AH697" s="18">
        <f t="shared" si="312"/>
        <v>4.1097532352002804E-4</v>
      </c>
      <c r="AJ697" s="18">
        <f>IF(ISNUMBER(Kernel!M697),Kernel!M697,"")</f>
        <v>0.24431039830888124</v>
      </c>
      <c r="AK697" s="18">
        <f t="shared" si="297"/>
        <v>5.9687570721844198E-2</v>
      </c>
      <c r="AN697" s="18">
        <f>IF(ISNUMBER(Volcanic!G697),Volcanic!G697,"")</f>
        <v>8.5800000000000008E-3</v>
      </c>
    </row>
    <row r="698" spans="1:40">
      <c r="A698" s="18" t="str">
        <f>IF(Volcanic!A698="","",Volcanic!A698)</f>
        <v>3/2016</v>
      </c>
      <c r="B698" s="18">
        <f>IF(ISNUMBER(Volcanic!L698),Volcanic!L698,"")</f>
        <v>2016.2083333333333</v>
      </c>
      <c r="C698" s="18">
        <f>IF(ISNUMBER(Volcanic!J698),Volcanic!J698,"")</f>
        <v>0.23768334821185366</v>
      </c>
      <c r="D698" s="18">
        <f t="shared" si="290"/>
        <v>5.6493374017197277E-2</v>
      </c>
      <c r="E698" s="18">
        <f>IF(ISNUMBER(Volcanic!C698),Volcanic!C698,"")</f>
        <v>0.53270879759518996</v>
      </c>
      <c r="F698" s="18">
        <f>IF(ISNUMBER(Volcanic!D698),Volcanic!D698,"")</f>
        <v>2.59</v>
      </c>
      <c r="G698" s="18">
        <f>IF(ISNUMBER(Volcanic!E698),Volcanic!E698,"")</f>
        <v>9.3900000000000008E-3</v>
      </c>
      <c r="H698" s="18">
        <f t="shared" si="291"/>
        <v>0.28377866303531307</v>
      </c>
      <c r="I698" s="18">
        <f t="shared" si="292"/>
        <v>6.7080999999999991</v>
      </c>
      <c r="J698" s="18">
        <f t="shared" si="293"/>
        <v>8.8172100000000016E-5</v>
      </c>
      <c r="K698" s="18">
        <f t="shared" si="294"/>
        <v>1.3797157857715419</v>
      </c>
      <c r="L698" s="18">
        <f t="shared" si="295"/>
        <v>5.0021356094188344E-3</v>
      </c>
      <c r="M698" s="18">
        <f t="shared" si="296"/>
        <v>2.4320100000000001E-2</v>
      </c>
      <c r="N698" s="18">
        <f t="shared" si="298"/>
        <v>7.7872882441927138E-2</v>
      </c>
      <c r="O698" s="18">
        <f t="shared" si="301"/>
        <v>1.4159874453453661E-2</v>
      </c>
      <c r="P698" s="18">
        <f t="shared" si="303"/>
        <v>1.8983689047262012E-2</v>
      </c>
      <c r="Q698" s="18">
        <f t="shared" si="305"/>
        <v>4.4143071957489562E-3</v>
      </c>
      <c r="R698" s="18">
        <f t="shared" si="307"/>
        <v>1.7091391646363856E-2</v>
      </c>
      <c r="S698" s="18">
        <f t="shared" si="309"/>
        <v>6.2280043407806907E-3</v>
      </c>
      <c r="T698" s="18">
        <f t="shared" si="311"/>
        <v>1.373798169937957E-2</v>
      </c>
      <c r="U698" s="18">
        <f t="shared" si="313"/>
        <v>3.716903203506032E-2</v>
      </c>
      <c r="V698" s="18">
        <f t="shared" si="314"/>
        <v>1.0931050343159499E-2</v>
      </c>
      <c r="W698" s="18">
        <f t="shared" si="315"/>
        <v>1.6780458302969183E-2</v>
      </c>
      <c r="X698" s="18">
        <f t="shared" si="316"/>
        <v>3.1856646519922344E-2</v>
      </c>
      <c r="Y698" s="18">
        <f t="shared" si="317"/>
        <v>1.6701688947853739E-3</v>
      </c>
      <c r="AA698" s="18">
        <f t="shared" si="299"/>
        <v>9.7372797729548238E-2</v>
      </c>
      <c r="AB698" s="18">
        <f t="shared" si="300"/>
        <v>9.4814617376795148E-3</v>
      </c>
      <c r="AC698" s="18">
        <f t="shared" si="302"/>
        <v>4.8060057726905921E-2</v>
      </c>
      <c r="AD698" s="18">
        <f t="shared" si="304"/>
        <v>2.4719312418192527E-3</v>
      </c>
      <c r="AE698" s="18">
        <f t="shared" si="306"/>
        <v>1.0894140804508816E-2</v>
      </c>
      <c r="AF698" s="18">
        <f t="shared" si="308"/>
        <v>4.9967942299406639E-7</v>
      </c>
      <c r="AG698" s="18">
        <f t="shared" si="310"/>
        <v>2.9040947986413771E-2</v>
      </c>
      <c r="AH698" s="18">
        <f t="shared" si="312"/>
        <v>3.9938782505241882E-4</v>
      </c>
      <c r="AJ698" s="18">
        <f>IF(ISNUMBER(Kernel!M698),Kernel!M698,"")</f>
        <v>0.21969768189116556</v>
      </c>
      <c r="AK698" s="18">
        <f t="shared" si="297"/>
        <v>4.8267071428351779E-2</v>
      </c>
      <c r="AN698" s="18">
        <f>IF(ISNUMBER(Volcanic!G698),Volcanic!G698,"")</f>
        <v>7.79E-3</v>
      </c>
    </row>
    <row r="699" spans="1:40">
      <c r="A699" s="18" t="str">
        <f>IF(Volcanic!A699="","",Volcanic!A699)</f>
        <v>4/2016</v>
      </c>
      <c r="B699" s="18">
        <f>IF(ISNUMBER(Volcanic!L699),Volcanic!L699,"")</f>
        <v>2016.2916666666667</v>
      </c>
      <c r="C699" s="18">
        <f>IF(ISNUMBER(Volcanic!J699),Volcanic!J699,"")</f>
        <v>-3.8364159167943335E-2</v>
      </c>
      <c r="D699" s="18">
        <f t="shared" si="290"/>
        <v>1.4718087086632906E-3</v>
      </c>
      <c r="E699" s="18">
        <f>IF(ISNUMBER(Volcanic!C699),Volcanic!C699,"")</f>
        <v>0.54172722433348508</v>
      </c>
      <c r="F699" s="18">
        <f>IF(ISNUMBER(Volcanic!D699),Volcanic!D699,"")</f>
        <v>2.5</v>
      </c>
      <c r="G699" s="18">
        <f>IF(ISNUMBER(Volcanic!E699),Volcanic!E699,"")</f>
        <v>9.4800000000000006E-3</v>
      </c>
      <c r="H699" s="18">
        <f t="shared" si="291"/>
        <v>0.29346838558406207</v>
      </c>
      <c r="I699" s="18">
        <f t="shared" si="292"/>
        <v>6.25</v>
      </c>
      <c r="J699" s="18">
        <f t="shared" si="293"/>
        <v>8.9870400000000006E-5</v>
      </c>
      <c r="K699" s="18">
        <f t="shared" si="294"/>
        <v>1.3543180608337126</v>
      </c>
      <c r="L699" s="18">
        <f t="shared" si="295"/>
        <v>5.1355740866814385E-3</v>
      </c>
      <c r="M699" s="18">
        <f t="shared" si="296"/>
        <v>2.3700000000000002E-2</v>
      </c>
      <c r="N699" s="18">
        <f t="shared" si="298"/>
        <v>5.6493374017197277E-2</v>
      </c>
      <c r="O699" s="18">
        <f t="shared" si="301"/>
        <v>7.7872882441927138E-2</v>
      </c>
      <c r="P699" s="18">
        <f t="shared" si="303"/>
        <v>1.4159874453453661E-2</v>
      </c>
      <c r="Q699" s="18">
        <f t="shared" si="305"/>
        <v>1.8983689047262012E-2</v>
      </c>
      <c r="R699" s="18">
        <f t="shared" si="307"/>
        <v>4.4143071957489562E-3</v>
      </c>
      <c r="S699" s="18">
        <f t="shared" si="309"/>
        <v>1.7091391646363856E-2</v>
      </c>
      <c r="T699" s="18">
        <f t="shared" si="311"/>
        <v>6.2280043407806907E-3</v>
      </c>
      <c r="U699" s="18">
        <f t="shared" si="313"/>
        <v>1.373798169937957E-2</v>
      </c>
      <c r="V699" s="18">
        <f t="shared" si="314"/>
        <v>3.716903203506032E-2</v>
      </c>
      <c r="W699" s="18">
        <f t="shared" si="315"/>
        <v>1.0931050343159499E-2</v>
      </c>
      <c r="X699" s="18">
        <f t="shared" si="316"/>
        <v>1.6780458302969183E-2</v>
      </c>
      <c r="Y699" s="18">
        <f t="shared" si="317"/>
        <v>3.1856646519922344E-2</v>
      </c>
      <c r="AA699" s="18">
        <f t="shared" si="299"/>
        <v>-0.15787187893647203</v>
      </c>
      <c r="AB699" s="18">
        <f t="shared" si="300"/>
        <v>2.4923530158932082E-2</v>
      </c>
      <c r="AC699" s="18">
        <f t="shared" si="302"/>
        <v>9.4814617376795148E-3</v>
      </c>
      <c r="AD699" s="18">
        <f t="shared" si="304"/>
        <v>4.8060057726905921E-2</v>
      </c>
      <c r="AE699" s="18">
        <f t="shared" si="306"/>
        <v>2.4719312418192527E-3</v>
      </c>
      <c r="AF699" s="18">
        <f t="shared" si="308"/>
        <v>1.0894140804508816E-2</v>
      </c>
      <c r="AG699" s="18">
        <f t="shared" si="310"/>
        <v>4.9967942299406639E-7</v>
      </c>
      <c r="AH699" s="18">
        <f t="shared" si="312"/>
        <v>2.9040947986413771E-2</v>
      </c>
      <c r="AJ699" s="18">
        <f>IF(ISNUMBER(Kernel!M699),Kernel!M699,"")</f>
        <v>-4.9609680049449656E-2</v>
      </c>
      <c r="AK699" s="18">
        <f t="shared" si="297"/>
        <v>2.4611203546087632E-3</v>
      </c>
      <c r="AN699" s="18">
        <f>IF(ISNUMBER(Volcanic!G699),Volcanic!G699,"")</f>
        <v>7.1000000000000004E-3</v>
      </c>
    </row>
    <row r="700" spans="1:40">
      <c r="A700" s="18" t="str">
        <f>IF(Volcanic!A700="","",Volcanic!A700)</f>
        <v>5/2016</v>
      </c>
      <c r="B700" s="18">
        <f>IF(ISNUMBER(Volcanic!L700),Volcanic!L700,"")</f>
        <v>2016.375</v>
      </c>
      <c r="C700" s="18">
        <f>IF(ISNUMBER(Volcanic!J700),Volcanic!J700,"")</f>
        <v>-0.1440185933664706</v>
      </c>
      <c r="D700" s="18">
        <f t="shared" si="290"/>
        <v>2.074135523525681E-2</v>
      </c>
      <c r="E700" s="18">
        <f>IF(ISNUMBER(Volcanic!C700),Volcanic!C700,"")</f>
        <v>0.5427886799601942</v>
      </c>
      <c r="F700" s="18">
        <f>IF(ISNUMBER(Volcanic!D700),Volcanic!D700,"")</f>
        <v>2.21</v>
      </c>
      <c r="G700" s="18">
        <f>IF(ISNUMBER(Volcanic!E700),Volcanic!E700,"")</f>
        <v>9.6299999999999997E-3</v>
      </c>
      <c r="H700" s="18">
        <f t="shared" si="291"/>
        <v>0.29461955109293014</v>
      </c>
      <c r="I700" s="18">
        <f t="shared" si="292"/>
        <v>4.8841000000000001</v>
      </c>
      <c r="J700" s="18">
        <f t="shared" si="293"/>
        <v>9.2736899999999996E-5</v>
      </c>
      <c r="K700" s="18">
        <f t="shared" si="294"/>
        <v>1.1995629827120291</v>
      </c>
      <c r="L700" s="18">
        <f t="shared" si="295"/>
        <v>5.2270549880166703E-3</v>
      </c>
      <c r="M700" s="18">
        <f t="shared" si="296"/>
        <v>2.1282300000000001E-2</v>
      </c>
      <c r="N700" s="18">
        <f t="shared" si="298"/>
        <v>1.4718087086632906E-3</v>
      </c>
      <c r="O700" s="18">
        <f t="shared" si="301"/>
        <v>5.6493374017197277E-2</v>
      </c>
      <c r="P700" s="18">
        <f t="shared" si="303"/>
        <v>7.7872882441927138E-2</v>
      </c>
      <c r="Q700" s="18">
        <f t="shared" si="305"/>
        <v>1.4159874453453661E-2</v>
      </c>
      <c r="R700" s="18">
        <f t="shared" si="307"/>
        <v>1.8983689047262012E-2</v>
      </c>
      <c r="S700" s="18">
        <f t="shared" si="309"/>
        <v>4.4143071957489562E-3</v>
      </c>
      <c r="T700" s="18">
        <f t="shared" si="311"/>
        <v>1.7091391646363856E-2</v>
      </c>
      <c r="U700" s="18">
        <f t="shared" si="313"/>
        <v>6.2280043407806907E-3</v>
      </c>
      <c r="V700" s="18">
        <f t="shared" si="314"/>
        <v>1.373798169937957E-2</v>
      </c>
      <c r="W700" s="18">
        <f t="shared" si="315"/>
        <v>3.716903203506032E-2</v>
      </c>
      <c r="X700" s="18">
        <f t="shared" si="316"/>
        <v>1.0931050343159499E-2</v>
      </c>
      <c r="Y700" s="18">
        <f t="shared" si="317"/>
        <v>1.6780458302969183E-2</v>
      </c>
      <c r="AA700" s="18">
        <f t="shared" si="299"/>
        <v>-0.12472900822098017</v>
      </c>
      <c r="AB700" s="18">
        <f t="shared" si="300"/>
        <v>1.5557325491789339E-2</v>
      </c>
      <c r="AC700" s="18">
        <f t="shared" si="302"/>
        <v>2.4923530158932082E-2</v>
      </c>
      <c r="AD700" s="18">
        <f t="shared" si="304"/>
        <v>9.4814617376795148E-3</v>
      </c>
      <c r="AE700" s="18">
        <f t="shared" si="306"/>
        <v>4.8060057726905921E-2</v>
      </c>
      <c r="AF700" s="18">
        <f t="shared" si="308"/>
        <v>2.4719312418192527E-3</v>
      </c>
      <c r="AG700" s="18">
        <f t="shared" si="310"/>
        <v>1.0894140804508816E-2</v>
      </c>
      <c r="AH700" s="18">
        <f t="shared" si="312"/>
        <v>4.9967942299406639E-7</v>
      </c>
      <c r="AJ700" s="18">
        <f>IF(ISNUMBER(Kernel!M700),Kernel!M700,"")</f>
        <v>-0.15810966052154751</v>
      </c>
      <c r="AK700" s="18">
        <f t="shared" si="297"/>
        <v>2.4998664750239E-2</v>
      </c>
      <c r="AN700" s="18">
        <f>IF(ISNUMBER(Volcanic!G700),Volcanic!G700,"")</f>
        <v>6.8199999999999997E-3</v>
      </c>
    </row>
    <row r="701" spans="1:40">
      <c r="A701" s="18" t="str">
        <f>IF(Volcanic!A701="","",Volcanic!A701)</f>
        <v>6/2016</v>
      </c>
      <c r="B701" s="18">
        <f>IF(ISNUMBER(Volcanic!L701),Volcanic!L701,"")</f>
        <v>2016.4583333333333</v>
      </c>
      <c r="C701" s="18">
        <f>IF(ISNUMBER(Volcanic!J701),Volcanic!J701,"")</f>
        <v>-0.23589880975592692</v>
      </c>
      <c r="D701" s="18">
        <f t="shared" si="290"/>
        <v>5.5648248444262999E-2</v>
      </c>
      <c r="E701" s="18">
        <f>IF(ISNUMBER(Volcanic!C701),Volcanic!C701,"")</f>
        <v>0.53956651983320436</v>
      </c>
      <c r="F701" s="18">
        <f>IF(ISNUMBER(Volcanic!D701),Volcanic!D701,"")</f>
        <v>1.69</v>
      </c>
      <c r="G701" s="18">
        <f>IF(ISNUMBER(Volcanic!E701),Volcanic!E701,"")</f>
        <v>1.0120000000000001E-2</v>
      </c>
      <c r="H701" s="18">
        <f t="shared" si="291"/>
        <v>0.29113202932491572</v>
      </c>
      <c r="I701" s="18">
        <f t="shared" si="292"/>
        <v>2.8560999999999996</v>
      </c>
      <c r="J701" s="18">
        <f t="shared" si="293"/>
        <v>1.0241440000000001E-4</v>
      </c>
      <c r="K701" s="18">
        <f t="shared" si="294"/>
        <v>0.91186741851811537</v>
      </c>
      <c r="L701" s="18">
        <f t="shared" si="295"/>
        <v>5.4604131807120286E-3</v>
      </c>
      <c r="M701" s="18">
        <f t="shared" si="296"/>
        <v>1.7102800000000001E-2</v>
      </c>
      <c r="N701" s="18">
        <f t="shared" si="298"/>
        <v>2.074135523525681E-2</v>
      </c>
      <c r="O701" s="18">
        <f t="shared" si="301"/>
        <v>1.4718087086632906E-3</v>
      </c>
      <c r="P701" s="18">
        <f t="shared" si="303"/>
        <v>5.6493374017197277E-2</v>
      </c>
      <c r="Q701" s="18">
        <f t="shared" si="305"/>
        <v>7.7872882441927138E-2</v>
      </c>
      <c r="R701" s="18">
        <f t="shared" si="307"/>
        <v>1.4159874453453661E-2</v>
      </c>
      <c r="S701" s="18">
        <f t="shared" si="309"/>
        <v>1.8983689047262012E-2</v>
      </c>
      <c r="T701" s="18">
        <f t="shared" si="311"/>
        <v>4.4143071957489562E-3</v>
      </c>
      <c r="U701" s="18">
        <f t="shared" si="313"/>
        <v>1.7091391646363856E-2</v>
      </c>
      <c r="V701" s="18">
        <f t="shared" si="314"/>
        <v>6.2280043407806907E-3</v>
      </c>
      <c r="W701" s="18">
        <f t="shared" si="315"/>
        <v>1.373798169937957E-2</v>
      </c>
      <c r="X701" s="18">
        <f t="shared" si="316"/>
        <v>3.716903203506032E-2</v>
      </c>
      <c r="Y701" s="18">
        <f t="shared" si="317"/>
        <v>1.0931050343159499E-2</v>
      </c>
      <c r="AA701" s="18">
        <f t="shared" si="299"/>
        <v>-0.16348593848420062</v>
      </c>
      <c r="AB701" s="18">
        <f t="shared" si="300"/>
        <v>2.6727652082059829E-2</v>
      </c>
      <c r="AC701" s="18">
        <f t="shared" si="302"/>
        <v>1.5557325491789339E-2</v>
      </c>
      <c r="AD701" s="18">
        <f t="shared" si="304"/>
        <v>2.4923530158932082E-2</v>
      </c>
      <c r="AE701" s="18">
        <f t="shared" si="306"/>
        <v>9.4814617376795148E-3</v>
      </c>
      <c r="AF701" s="18">
        <f t="shared" si="308"/>
        <v>4.8060057726905921E-2</v>
      </c>
      <c r="AG701" s="18">
        <f t="shared" si="310"/>
        <v>2.4719312418192527E-3</v>
      </c>
      <c r="AH701" s="18">
        <f t="shared" si="312"/>
        <v>1.0894140804508816E-2</v>
      </c>
      <c r="AJ701" s="18">
        <f>IF(ISNUMBER(Kernel!M701),Kernel!M701,"")</f>
        <v>-0.26855546078052028</v>
      </c>
      <c r="AK701" s="18">
        <f t="shared" si="297"/>
        <v>7.2122035515037569E-2</v>
      </c>
      <c r="AN701" s="18">
        <f>IF(ISNUMBER(Volcanic!G701),Volcanic!G701,"")</f>
        <v>6.2100000000000002E-3</v>
      </c>
    </row>
    <row r="702" spans="1:40">
      <c r="A702" s="18" t="str">
        <f>IF(Volcanic!A702="","",Volcanic!A702)</f>
        <v>7/2016</v>
      </c>
      <c r="B702" s="18">
        <f>IF(ISNUMBER(Volcanic!L702),Volcanic!L702,"")</f>
        <v>2016.5416666666667</v>
      </c>
      <c r="C702" s="18">
        <f>IF(ISNUMBER(Volcanic!J702),Volcanic!J702,"")</f>
        <v>-0.1288274387321855</v>
      </c>
      <c r="D702" s="18">
        <f t="shared" si="290"/>
        <v>1.6596508970295007E-2</v>
      </c>
      <c r="E702" s="18">
        <f>IF(ISNUMBER(Volcanic!C702),Volcanic!C702,"")</f>
        <v>0.53103383496841972</v>
      </c>
      <c r="F702" s="18">
        <f>IF(ISNUMBER(Volcanic!D702),Volcanic!D702,"")</f>
        <v>1.1100000000000001</v>
      </c>
      <c r="G702" s="18">
        <f>IF(ISNUMBER(Volcanic!E702),Volcanic!E702,"")</f>
        <v>1.0109999999999999E-2</v>
      </c>
      <c r="H702" s="18">
        <f t="shared" si="291"/>
        <v>0.28199693388126684</v>
      </c>
      <c r="I702" s="18">
        <f t="shared" si="292"/>
        <v>1.2321000000000002</v>
      </c>
      <c r="J702" s="18">
        <f t="shared" si="293"/>
        <v>1.0221209999999998E-4</v>
      </c>
      <c r="K702" s="18">
        <f t="shared" si="294"/>
        <v>0.58944755681494598</v>
      </c>
      <c r="L702" s="18">
        <f t="shared" si="295"/>
        <v>5.3687520715307233E-3</v>
      </c>
      <c r="M702" s="18">
        <f t="shared" si="296"/>
        <v>1.12221E-2</v>
      </c>
      <c r="N702" s="18">
        <f t="shared" si="298"/>
        <v>5.5648248444262999E-2</v>
      </c>
      <c r="O702" s="18">
        <f t="shared" si="301"/>
        <v>2.074135523525681E-2</v>
      </c>
      <c r="P702" s="18">
        <f t="shared" si="303"/>
        <v>1.4718087086632906E-3</v>
      </c>
      <c r="Q702" s="18">
        <f t="shared" si="305"/>
        <v>5.6493374017197277E-2</v>
      </c>
      <c r="R702" s="18">
        <f t="shared" si="307"/>
        <v>7.7872882441927138E-2</v>
      </c>
      <c r="S702" s="18">
        <f t="shared" si="309"/>
        <v>1.4159874453453661E-2</v>
      </c>
      <c r="T702" s="18">
        <f t="shared" si="311"/>
        <v>1.8983689047262012E-2</v>
      </c>
      <c r="U702" s="18">
        <f t="shared" si="313"/>
        <v>4.4143071957489562E-3</v>
      </c>
      <c r="V702" s="18">
        <f t="shared" si="314"/>
        <v>1.7091391646363856E-2</v>
      </c>
      <c r="W702" s="18">
        <f t="shared" si="315"/>
        <v>6.2280043407806907E-3</v>
      </c>
      <c r="X702" s="18">
        <f t="shared" si="316"/>
        <v>1.373798169937957E-2</v>
      </c>
      <c r="Y702" s="18">
        <f t="shared" si="317"/>
        <v>3.716903203506032E-2</v>
      </c>
      <c r="AA702" s="18">
        <f t="shared" si="299"/>
        <v>-1.0216988895738729E-2</v>
      </c>
      <c r="AB702" s="18">
        <f t="shared" si="300"/>
        <v>1.043868620956485E-4</v>
      </c>
      <c r="AC702" s="18">
        <f t="shared" si="302"/>
        <v>2.6727652082059829E-2</v>
      </c>
      <c r="AD702" s="18">
        <f t="shared" si="304"/>
        <v>1.5557325491789339E-2</v>
      </c>
      <c r="AE702" s="18">
        <f t="shared" si="306"/>
        <v>2.4923530158932082E-2</v>
      </c>
      <c r="AF702" s="18">
        <f t="shared" si="308"/>
        <v>9.4814617376795148E-3</v>
      </c>
      <c r="AG702" s="18">
        <f t="shared" si="310"/>
        <v>4.8060057726905921E-2</v>
      </c>
      <c r="AH702" s="18">
        <f t="shared" si="312"/>
        <v>2.4719312418192527E-3</v>
      </c>
      <c r="AJ702" s="18">
        <f>IF(ISNUMBER(Kernel!M702),Kernel!M702,"")</f>
        <v>-0.18341734011001787</v>
      </c>
      <c r="AK702" s="18">
        <f t="shared" si="297"/>
        <v>3.3641920653033966E-2</v>
      </c>
      <c r="AN702" s="18">
        <f>IF(ISNUMBER(Volcanic!G702),Volcanic!G702,"")</f>
        <v>5.9300000000000004E-3</v>
      </c>
    </row>
    <row r="703" spans="1:40">
      <c r="A703" s="18" t="str">
        <f>IF(Volcanic!A703="","",Volcanic!A703)</f>
        <v>8/2016</v>
      </c>
      <c r="B703" s="18">
        <f>IF(ISNUMBER(Volcanic!L703),Volcanic!L703,"")</f>
        <v>2016.625</v>
      </c>
      <c r="C703" s="18">
        <f>IF(ISNUMBER(Volcanic!J703),Volcanic!J703,"")</f>
        <v>0.11065345688377826</v>
      </c>
      <c r="D703" s="18">
        <f t="shared" si="290"/>
        <v>1.2244187520330173E-2</v>
      </c>
      <c r="E703" s="18">
        <f>IF(ISNUMBER(Volcanic!C703),Volcanic!C703,"")</f>
        <v>0.52338272814934861</v>
      </c>
      <c r="F703" s="18">
        <f>IF(ISNUMBER(Volcanic!D703),Volcanic!D703,"")</f>
        <v>0.56999999999999995</v>
      </c>
      <c r="G703" s="18">
        <f>IF(ISNUMBER(Volcanic!E703),Volcanic!E703,"")</f>
        <v>9.4299999999999991E-3</v>
      </c>
      <c r="H703" s="18">
        <f t="shared" si="291"/>
        <v>0.27392948012505497</v>
      </c>
      <c r="I703" s="18">
        <f t="shared" si="292"/>
        <v>0.32489999999999997</v>
      </c>
      <c r="J703" s="18">
        <f t="shared" si="293"/>
        <v>8.8924899999999986E-5</v>
      </c>
      <c r="K703" s="18">
        <f t="shared" si="294"/>
        <v>0.29832815504512866</v>
      </c>
      <c r="L703" s="18">
        <f t="shared" si="295"/>
        <v>4.9354991264483573E-3</v>
      </c>
      <c r="M703" s="18">
        <f t="shared" si="296"/>
        <v>5.375099999999999E-3</v>
      </c>
      <c r="N703" s="18">
        <f t="shared" si="298"/>
        <v>1.6596508970295007E-2</v>
      </c>
      <c r="O703" s="18">
        <f t="shared" si="301"/>
        <v>5.5648248444262999E-2</v>
      </c>
      <c r="P703" s="18">
        <f t="shared" si="303"/>
        <v>2.074135523525681E-2</v>
      </c>
      <c r="Q703" s="18">
        <f t="shared" si="305"/>
        <v>1.4718087086632906E-3</v>
      </c>
      <c r="R703" s="18">
        <f t="shared" si="307"/>
        <v>5.6493374017197277E-2</v>
      </c>
      <c r="S703" s="18">
        <f t="shared" si="309"/>
        <v>7.7872882441927138E-2</v>
      </c>
      <c r="T703" s="18">
        <f t="shared" si="311"/>
        <v>1.4159874453453661E-2</v>
      </c>
      <c r="U703" s="18">
        <f t="shared" si="313"/>
        <v>1.8983689047262012E-2</v>
      </c>
      <c r="V703" s="18">
        <f t="shared" si="314"/>
        <v>4.4143071957489562E-3</v>
      </c>
      <c r="W703" s="18">
        <f t="shared" si="315"/>
        <v>1.7091391646363856E-2</v>
      </c>
      <c r="X703" s="18">
        <f t="shared" si="316"/>
        <v>6.2280043407806907E-3</v>
      </c>
      <c r="Y703" s="18">
        <f t="shared" si="317"/>
        <v>1.373798169937957E-2</v>
      </c>
      <c r="AA703" s="18">
        <f t="shared" si="299"/>
        <v>0.17542818158506679</v>
      </c>
      <c r="AB703" s="18">
        <f t="shared" si="300"/>
        <v>3.0775046894243166E-2</v>
      </c>
      <c r="AC703" s="18">
        <f t="shared" si="302"/>
        <v>1.043868620956485E-4</v>
      </c>
      <c r="AD703" s="18">
        <f t="shared" si="304"/>
        <v>2.6727652082059829E-2</v>
      </c>
      <c r="AE703" s="18">
        <f t="shared" si="306"/>
        <v>1.5557325491789339E-2</v>
      </c>
      <c r="AF703" s="18">
        <f t="shared" si="308"/>
        <v>2.4923530158932082E-2</v>
      </c>
      <c r="AG703" s="18">
        <f t="shared" si="310"/>
        <v>9.4814617376795148E-3</v>
      </c>
      <c r="AH703" s="18">
        <f t="shared" si="312"/>
        <v>4.8060057726905921E-2</v>
      </c>
      <c r="AJ703" s="18">
        <f>IF(ISNUMBER(Kernel!M703),Kernel!M703,"")</f>
        <v>3.7585503427461919E-2</v>
      </c>
      <c r="AK703" s="18">
        <f t="shared" si="297"/>
        <v>1.4126700678957517E-3</v>
      </c>
      <c r="AN703" s="18">
        <f>IF(ISNUMBER(Volcanic!G703),Volcanic!G703,"")</f>
        <v>5.77E-3</v>
      </c>
    </row>
    <row r="704" spans="1:40">
      <c r="A704" s="18" t="str">
        <f>IF(Volcanic!A704="","",Volcanic!A704)</f>
        <v>9/2016</v>
      </c>
      <c r="B704" s="18">
        <f>IF(ISNUMBER(Volcanic!L704),Volcanic!L704,"")</f>
        <v>2016.7083333333333</v>
      </c>
      <c r="C704" s="18">
        <f>IF(ISNUMBER(Volcanic!J704),Volcanic!J704,"")</f>
        <v>5.5271094601051729E-2</v>
      </c>
      <c r="D704" s="18">
        <f t="shared" si="290"/>
        <v>3.0548938983984094E-3</v>
      </c>
      <c r="E704" s="18">
        <f>IF(ISNUMBER(Volcanic!C704),Volcanic!C704,"")</f>
        <v>0.51900265323929839</v>
      </c>
      <c r="F704" s="18">
        <f>IF(ISNUMBER(Volcanic!D704),Volcanic!D704,"")</f>
        <v>0.09</v>
      </c>
      <c r="G704" s="18">
        <f>IF(ISNUMBER(Volcanic!E704),Volcanic!E704,"")</f>
        <v>8.5800000000000008E-3</v>
      </c>
      <c r="H704" s="18">
        <f t="shared" si="291"/>
        <v>0.26936375406943142</v>
      </c>
      <c r="I704" s="18">
        <f t="shared" si="292"/>
        <v>8.0999999999999996E-3</v>
      </c>
      <c r="J704" s="18">
        <f t="shared" si="293"/>
        <v>7.3616400000000009E-5</v>
      </c>
      <c r="K704" s="18">
        <f t="shared" si="294"/>
        <v>4.6710238791536851E-2</v>
      </c>
      <c r="L704" s="18">
        <f t="shared" si="295"/>
        <v>4.453042764793181E-3</v>
      </c>
      <c r="M704" s="18">
        <f t="shared" si="296"/>
        <v>7.7220000000000001E-4</v>
      </c>
      <c r="N704" s="18">
        <f t="shared" si="298"/>
        <v>1.2244187520330173E-2</v>
      </c>
      <c r="O704" s="18">
        <f t="shared" si="301"/>
        <v>1.6596508970295007E-2</v>
      </c>
      <c r="P704" s="18">
        <f t="shared" si="303"/>
        <v>5.5648248444262999E-2</v>
      </c>
      <c r="Q704" s="18">
        <f t="shared" si="305"/>
        <v>2.074135523525681E-2</v>
      </c>
      <c r="R704" s="18">
        <f t="shared" si="307"/>
        <v>1.4718087086632906E-3</v>
      </c>
      <c r="S704" s="18">
        <f t="shared" si="309"/>
        <v>5.6493374017197277E-2</v>
      </c>
      <c r="T704" s="18">
        <f t="shared" si="311"/>
        <v>7.7872882441927138E-2</v>
      </c>
      <c r="U704" s="18">
        <f t="shared" si="313"/>
        <v>1.4159874453453661E-2</v>
      </c>
      <c r="V704" s="18">
        <f t="shared" si="314"/>
        <v>1.8983689047262012E-2</v>
      </c>
      <c r="W704" s="18">
        <f t="shared" si="315"/>
        <v>4.4143071957489562E-3</v>
      </c>
      <c r="X704" s="18">
        <f t="shared" si="316"/>
        <v>1.7091391646363856E-2</v>
      </c>
      <c r="Y704" s="18">
        <f t="shared" si="317"/>
        <v>6.2280043407806907E-3</v>
      </c>
      <c r="AA704" s="18">
        <f t="shared" si="299"/>
        <v>-3.6571132655024985E-4</v>
      </c>
      <c r="AB704" s="18">
        <f t="shared" si="300"/>
        <v>1.3374477436714348E-7</v>
      </c>
      <c r="AC704" s="18">
        <f t="shared" si="302"/>
        <v>3.0775046894243166E-2</v>
      </c>
      <c r="AD704" s="18">
        <f t="shared" si="304"/>
        <v>1.043868620956485E-4</v>
      </c>
      <c r="AE704" s="18">
        <f t="shared" si="306"/>
        <v>2.6727652082059829E-2</v>
      </c>
      <c r="AF704" s="18">
        <f t="shared" si="308"/>
        <v>1.5557325491789339E-2</v>
      </c>
      <c r="AG704" s="18">
        <f t="shared" si="310"/>
        <v>2.4923530158932082E-2</v>
      </c>
      <c r="AH704" s="18">
        <f t="shared" si="312"/>
        <v>9.4814617376795148E-3</v>
      </c>
      <c r="AJ704" s="18">
        <f>IF(ISNUMBER(Kernel!M704),Kernel!M704,"")</f>
        <v>-3.3229347512679475E-2</v>
      </c>
      <c r="AK704" s="18">
        <f t="shared" si="297"/>
        <v>1.1041895361184177E-3</v>
      </c>
      <c r="AN704" s="18">
        <f>IF(ISNUMBER(Volcanic!G704),Volcanic!G704,"")</f>
        <v>5.7099999999999998E-3</v>
      </c>
    </row>
    <row r="705" spans="1:40">
      <c r="A705" s="18" t="str">
        <f>IF(Volcanic!A705="","",Volcanic!A705)</f>
        <v>10/2016</v>
      </c>
      <c r="B705" s="18">
        <f>IF(ISNUMBER(Volcanic!L705),Volcanic!L705,"")</f>
        <v>2016.7916666666667</v>
      </c>
      <c r="C705" s="18">
        <f>IF(ISNUMBER(Volcanic!J705),Volcanic!J705,"")</f>
        <v>4.4027355920662758E-2</v>
      </c>
      <c r="D705" s="18">
        <f t="shared" si="290"/>
        <v>1.9384080693647182E-3</v>
      </c>
      <c r="E705" s="18">
        <f>IF(ISNUMBER(Volcanic!C705),Volcanic!C705,"")</f>
        <v>0.52101483065422127</v>
      </c>
      <c r="F705" s="18">
        <f>IF(ISNUMBER(Volcanic!D705),Volcanic!D705,"")</f>
        <v>-0.19</v>
      </c>
      <c r="G705" s="18">
        <f>IF(ISNUMBER(Volcanic!E705),Volcanic!E705,"")</f>
        <v>7.79E-3</v>
      </c>
      <c r="H705" s="18">
        <f t="shared" si="291"/>
        <v>0.27145645376164684</v>
      </c>
      <c r="I705" s="18">
        <f t="shared" si="292"/>
        <v>3.61E-2</v>
      </c>
      <c r="J705" s="18">
        <f t="shared" si="293"/>
        <v>6.0684100000000004E-5</v>
      </c>
      <c r="K705" s="18">
        <f t="shared" si="294"/>
        <v>-9.899281782430204E-2</v>
      </c>
      <c r="L705" s="18">
        <f t="shared" si="295"/>
        <v>4.0587055307963835E-3</v>
      </c>
      <c r="M705" s="18">
        <f t="shared" si="296"/>
        <v>-1.4801E-3</v>
      </c>
      <c r="N705" s="18">
        <f t="shared" si="298"/>
        <v>3.0548938983984094E-3</v>
      </c>
      <c r="O705" s="18">
        <f t="shared" si="301"/>
        <v>1.2244187520330173E-2</v>
      </c>
      <c r="P705" s="18">
        <f t="shared" si="303"/>
        <v>1.6596508970295007E-2</v>
      </c>
      <c r="Q705" s="18">
        <f t="shared" si="305"/>
        <v>5.5648248444262999E-2</v>
      </c>
      <c r="R705" s="18">
        <f t="shared" si="307"/>
        <v>2.074135523525681E-2</v>
      </c>
      <c r="S705" s="18">
        <f t="shared" si="309"/>
        <v>1.4718087086632906E-3</v>
      </c>
      <c r="T705" s="18">
        <f t="shared" si="311"/>
        <v>5.6493374017197277E-2</v>
      </c>
      <c r="U705" s="18">
        <f t="shared" si="313"/>
        <v>7.7872882441927138E-2</v>
      </c>
      <c r="V705" s="18">
        <f t="shared" si="314"/>
        <v>1.4159874453453661E-2</v>
      </c>
      <c r="W705" s="18">
        <f t="shared" si="315"/>
        <v>1.8983689047262012E-2</v>
      </c>
      <c r="X705" s="18">
        <f t="shared" si="316"/>
        <v>4.4143071957489562E-3</v>
      </c>
      <c r="Y705" s="18">
        <f t="shared" si="317"/>
        <v>1.7091391646363856E-2</v>
      </c>
      <c r="AA705" s="18">
        <f t="shared" si="299"/>
        <v>1.6236925776625808E-2</v>
      </c>
      <c r="AB705" s="18">
        <f t="shared" si="300"/>
        <v>2.6363775867565561E-4</v>
      </c>
      <c r="AC705" s="18">
        <f t="shared" si="302"/>
        <v>1.3374477436714348E-7</v>
      </c>
      <c r="AD705" s="18">
        <f t="shared" si="304"/>
        <v>3.0775046894243166E-2</v>
      </c>
      <c r="AE705" s="18">
        <f t="shared" si="306"/>
        <v>1.043868620956485E-4</v>
      </c>
      <c r="AF705" s="18">
        <f t="shared" si="308"/>
        <v>2.6727652082059829E-2</v>
      </c>
      <c r="AG705" s="18">
        <f t="shared" si="310"/>
        <v>1.5557325491789339E-2</v>
      </c>
      <c r="AH705" s="18">
        <f t="shared" si="312"/>
        <v>2.4923530158932082E-2</v>
      </c>
      <c r="AJ705" s="18">
        <f>IF(ISNUMBER(Kernel!M705),Kernel!M705,"")</f>
        <v>-4.3581516734458425E-2</v>
      </c>
      <c r="AK705" s="18">
        <f t="shared" si="297"/>
        <v>1.8993486008758798E-3</v>
      </c>
      <c r="AN705" s="18">
        <f>IF(ISNUMBER(Volcanic!G705),Volcanic!G705,"")</f>
        <v>5.8199999999999997E-3</v>
      </c>
    </row>
    <row r="706" spans="1:40">
      <c r="A706" s="18" t="str">
        <f>IF(Volcanic!A706="","",Volcanic!A706)</f>
        <v>11/2016</v>
      </c>
      <c r="B706" s="18">
        <f>IF(ISNUMBER(Volcanic!L706),Volcanic!L706,"")</f>
        <v>2016.875</v>
      </c>
      <c r="C706" s="18">
        <f>IF(ISNUMBER(Volcanic!J706),Volcanic!J706,"")</f>
        <v>7.7572576818131456E-2</v>
      </c>
      <c r="D706" s="18">
        <f t="shared" ref="D706:D769" si="318">IF(ISNUMBER(C706),C706^2,"")</f>
        <v>6.0175046742049054E-3</v>
      </c>
      <c r="E706" s="18">
        <f>IF(ISNUMBER(Volcanic!C706),Volcanic!C706,"")</f>
        <v>0.52792823149882584</v>
      </c>
      <c r="F706" s="18">
        <f>IF(ISNUMBER(Volcanic!D706),Volcanic!D706,"")</f>
        <v>-0.34</v>
      </c>
      <c r="G706" s="18">
        <f>IF(ISNUMBER(Volcanic!E706),Volcanic!E706,"")</f>
        <v>7.1000000000000004E-3</v>
      </c>
      <c r="H706" s="18">
        <f t="shared" ref="H706:H769" si="319">IF(ISNUMBER(E706),E706^2,"")</f>
        <v>0.27870821761347786</v>
      </c>
      <c r="I706" s="18">
        <f t="shared" ref="I706:I769" si="320">IF(ISNUMBER(F706),F706^2,"")</f>
        <v>0.11560000000000002</v>
      </c>
      <c r="J706" s="18">
        <f t="shared" ref="J706:J769" si="321">IF(ISNUMBER(G706),G706^2,"")</f>
        <v>5.0410000000000007E-5</v>
      </c>
      <c r="K706" s="18">
        <f t="shared" ref="K706:K769" si="322">IF(AND(ISNUMBER(E706),ISNUMBER(F706)),E706*F706,"")</f>
        <v>-0.1794955987096008</v>
      </c>
      <c r="L706" s="18">
        <f t="shared" ref="L706:L769" si="323">IF(AND(ISNUMBER(E706),ISNUMBER(G706)),E706*G706,"")</f>
        <v>3.7482904436416638E-3</v>
      </c>
      <c r="M706" s="18">
        <f t="shared" ref="M706:M769" si="324">IF(AND(ISNUMBER(F706),ISNUMBER(G706)),F706*G706,"")</f>
        <v>-2.4140000000000003E-3</v>
      </c>
      <c r="N706" s="18">
        <f t="shared" si="298"/>
        <v>1.9384080693647182E-3</v>
      </c>
      <c r="O706" s="18">
        <f t="shared" si="301"/>
        <v>3.0548938983984094E-3</v>
      </c>
      <c r="P706" s="18">
        <f t="shared" si="303"/>
        <v>1.2244187520330173E-2</v>
      </c>
      <c r="Q706" s="18">
        <f t="shared" si="305"/>
        <v>1.6596508970295007E-2</v>
      </c>
      <c r="R706" s="18">
        <f t="shared" si="307"/>
        <v>5.5648248444262999E-2</v>
      </c>
      <c r="S706" s="18">
        <f t="shared" si="309"/>
        <v>2.074135523525681E-2</v>
      </c>
      <c r="T706" s="18">
        <f t="shared" si="311"/>
        <v>1.4718087086632906E-3</v>
      </c>
      <c r="U706" s="18">
        <f t="shared" si="313"/>
        <v>5.6493374017197277E-2</v>
      </c>
      <c r="V706" s="18">
        <f t="shared" si="314"/>
        <v>7.7872882441927138E-2</v>
      </c>
      <c r="W706" s="18">
        <f t="shared" si="315"/>
        <v>1.4159874453453661E-2</v>
      </c>
      <c r="X706" s="18">
        <f t="shared" si="316"/>
        <v>1.8983689047262012E-2</v>
      </c>
      <c r="Y706" s="18">
        <f t="shared" si="317"/>
        <v>4.4143071957489562E-3</v>
      </c>
      <c r="AA706" s="18">
        <f t="shared" si="299"/>
        <v>5.5435523662745817E-2</v>
      </c>
      <c r="AB706" s="18">
        <f t="shared" si="300"/>
        <v>3.0730972837628512E-3</v>
      </c>
      <c r="AC706" s="18">
        <f t="shared" si="302"/>
        <v>2.6363775867565561E-4</v>
      </c>
      <c r="AD706" s="18">
        <f t="shared" si="304"/>
        <v>1.3374477436714348E-7</v>
      </c>
      <c r="AE706" s="18">
        <f t="shared" si="306"/>
        <v>3.0775046894243166E-2</v>
      </c>
      <c r="AF706" s="18">
        <f t="shared" si="308"/>
        <v>1.043868620956485E-4</v>
      </c>
      <c r="AG706" s="18">
        <f t="shared" si="310"/>
        <v>2.6727652082059829E-2</v>
      </c>
      <c r="AH706" s="18">
        <f t="shared" si="312"/>
        <v>1.5557325491789339E-2</v>
      </c>
      <c r="AJ706" s="18">
        <f>IF(ISNUMBER(Kernel!M706),Kernel!M706,"")</f>
        <v>-1.5258001697348034E-3</v>
      </c>
      <c r="AK706" s="18">
        <f t="shared" ref="AK706:AK769" si="325">IF(ISNUMBER(AJ706),AJ706^2,"")</f>
        <v>2.3280661579627547E-6</v>
      </c>
      <c r="AN706" s="18">
        <f>IF(ISNUMBER(Volcanic!G706),Volcanic!G706,"")</f>
        <v>5.7299999999999999E-3</v>
      </c>
    </row>
    <row r="707" spans="1:40">
      <c r="A707" s="18" t="str">
        <f>IF(Volcanic!A707="","",Volcanic!A707)</f>
        <v>12/2016</v>
      </c>
      <c r="B707" s="18">
        <f>IF(ISNUMBER(Volcanic!L707),Volcanic!L707,"")</f>
        <v>2016.9583333333333</v>
      </c>
      <c r="C707" s="18">
        <f>IF(ISNUMBER(Volcanic!J707),Volcanic!J707,"")</f>
        <v>2.5423530738132527E-2</v>
      </c>
      <c r="D707" s="18">
        <f t="shared" si="318"/>
        <v>6.4635591519276948E-4</v>
      </c>
      <c r="E707" s="18">
        <f>IF(ISNUMBER(Volcanic!C707),Volcanic!C707,"")</f>
        <v>0.53121211494354725</v>
      </c>
      <c r="F707" s="18">
        <f>IF(ISNUMBER(Volcanic!D707),Volcanic!D707,"")</f>
        <v>-0.42</v>
      </c>
      <c r="G707" s="18">
        <f>IF(ISNUMBER(Volcanic!E707),Volcanic!E707,"")</f>
        <v>6.8199999999999997E-3</v>
      </c>
      <c r="H707" s="18">
        <f t="shared" si="319"/>
        <v>0.28218631106279646</v>
      </c>
      <c r="I707" s="18">
        <f t="shared" si="320"/>
        <v>0.17639999999999997</v>
      </c>
      <c r="J707" s="18">
        <f t="shared" si="321"/>
        <v>4.6512399999999999E-5</v>
      </c>
      <c r="K707" s="18">
        <f t="shared" si="322"/>
        <v>-0.22310908827628984</v>
      </c>
      <c r="L707" s="18">
        <f t="shared" si="323"/>
        <v>3.6228666239149919E-3</v>
      </c>
      <c r="M707" s="18">
        <f t="shared" si="324"/>
        <v>-2.8643999999999996E-3</v>
      </c>
      <c r="N707" s="18">
        <f t="shared" ref="N707:N770" si="326">IF(ISNUMBER(D706),D706,"")</f>
        <v>6.0175046742049054E-3</v>
      </c>
      <c r="O707" s="18">
        <f t="shared" si="301"/>
        <v>1.9384080693647182E-3</v>
      </c>
      <c r="P707" s="18">
        <f t="shared" si="303"/>
        <v>3.0548938983984094E-3</v>
      </c>
      <c r="Q707" s="18">
        <f t="shared" si="305"/>
        <v>1.2244187520330173E-2</v>
      </c>
      <c r="R707" s="18">
        <f t="shared" si="307"/>
        <v>1.6596508970295007E-2</v>
      </c>
      <c r="S707" s="18">
        <f t="shared" si="309"/>
        <v>5.5648248444262999E-2</v>
      </c>
      <c r="T707" s="18">
        <f t="shared" si="311"/>
        <v>2.074135523525681E-2</v>
      </c>
      <c r="U707" s="18">
        <f t="shared" si="313"/>
        <v>1.4718087086632906E-3</v>
      </c>
      <c r="V707" s="18">
        <f t="shared" si="314"/>
        <v>5.6493374017197277E-2</v>
      </c>
      <c r="W707" s="18">
        <f t="shared" si="315"/>
        <v>7.7872882441927138E-2</v>
      </c>
      <c r="X707" s="18">
        <f t="shared" si="316"/>
        <v>1.4159874453453661E-2</v>
      </c>
      <c r="Y707" s="18">
        <f t="shared" si="317"/>
        <v>1.8983689047262012E-2</v>
      </c>
      <c r="AA707" s="18">
        <f t="shared" ref="AA707:AA770" si="327">IF(AND(ISNUMBER(C707),ISNUMBER(C706)),C707-$AX$16*C706,"")</f>
        <v>-1.3580134608422799E-2</v>
      </c>
      <c r="AB707" s="18">
        <f t="shared" ref="AB707:AB770" si="328">IF(ISNUMBER(AA707),AA707^2,"")</f>
        <v>1.8442005598288264E-4</v>
      </c>
      <c r="AC707" s="18">
        <f t="shared" si="302"/>
        <v>3.0730972837628512E-3</v>
      </c>
      <c r="AD707" s="18">
        <f t="shared" si="304"/>
        <v>2.6363775867565561E-4</v>
      </c>
      <c r="AE707" s="18">
        <f t="shared" si="306"/>
        <v>1.3374477436714348E-7</v>
      </c>
      <c r="AF707" s="18">
        <f t="shared" si="308"/>
        <v>3.0775046894243166E-2</v>
      </c>
      <c r="AG707" s="18">
        <f t="shared" si="310"/>
        <v>1.043868620956485E-4</v>
      </c>
      <c r="AH707" s="18">
        <f t="shared" si="312"/>
        <v>2.6727652082059829E-2</v>
      </c>
      <c r="AJ707" s="18">
        <f>IF(ISNUMBER(Kernel!M707),Kernel!M707,"")</f>
        <v>-4.5509789389650779E-2</v>
      </c>
      <c r="AK707" s="18">
        <f t="shared" si="325"/>
        <v>2.0711409302903707E-3</v>
      </c>
      <c r="AN707" s="18">
        <f>IF(ISNUMBER(Volcanic!G707),Volcanic!G707,"")</f>
        <v>5.5799999999999999E-3</v>
      </c>
    </row>
    <row r="708" spans="1:40">
      <c r="A708" s="18" t="str">
        <f>IF(Volcanic!A708="","",Volcanic!A708)</f>
        <v>1/2017</v>
      </c>
      <c r="B708" s="18">
        <f>IF(ISNUMBER(Volcanic!L708),Volcanic!L708,"")</f>
        <v>2017.0416666666667</v>
      </c>
      <c r="C708" s="18">
        <f>IF(ISNUMBER(Volcanic!J708),Volcanic!J708,"")</f>
        <v>0.17574250605984554</v>
      </c>
      <c r="D708" s="18">
        <f t="shared" si="318"/>
        <v>3.0885428436194847E-2</v>
      </c>
      <c r="E708" s="18">
        <f>IF(ISNUMBER(Volcanic!C708),Volcanic!C708,"")</f>
        <v>0.5373315704079159</v>
      </c>
      <c r="F708" s="18">
        <f>IF(ISNUMBER(Volcanic!D708),Volcanic!D708,"")</f>
        <v>-0.51</v>
      </c>
      <c r="G708" s="18">
        <f>IF(ISNUMBER(Volcanic!E708),Volcanic!E708,"")</f>
        <v>6.2100000000000002E-3</v>
      </c>
      <c r="H708" s="18">
        <f t="shared" si="319"/>
        <v>0.28872521655703709</v>
      </c>
      <c r="I708" s="18">
        <f t="shared" si="320"/>
        <v>0.2601</v>
      </c>
      <c r="J708" s="18">
        <f t="shared" si="321"/>
        <v>3.8564100000000006E-5</v>
      </c>
      <c r="K708" s="18">
        <f t="shared" si="322"/>
        <v>-0.27403910090803713</v>
      </c>
      <c r="L708" s="18">
        <f t="shared" si="323"/>
        <v>3.3368290522331578E-3</v>
      </c>
      <c r="M708" s="18">
        <f t="shared" si="324"/>
        <v>-3.1671000000000004E-3</v>
      </c>
      <c r="N708" s="18">
        <f t="shared" si="326"/>
        <v>6.4635591519276948E-4</v>
      </c>
      <c r="O708" s="18">
        <f t="shared" ref="O708:O771" si="329">IF(ISNUMBER(D706),D706,"")</f>
        <v>6.0175046742049054E-3</v>
      </c>
      <c r="P708" s="18">
        <f t="shared" si="303"/>
        <v>1.9384080693647182E-3</v>
      </c>
      <c r="Q708" s="18">
        <f t="shared" si="305"/>
        <v>3.0548938983984094E-3</v>
      </c>
      <c r="R708" s="18">
        <f t="shared" si="307"/>
        <v>1.2244187520330173E-2</v>
      </c>
      <c r="S708" s="18">
        <f t="shared" si="309"/>
        <v>1.6596508970295007E-2</v>
      </c>
      <c r="T708" s="18">
        <f t="shared" si="311"/>
        <v>5.5648248444262999E-2</v>
      </c>
      <c r="U708" s="18">
        <f t="shared" si="313"/>
        <v>2.074135523525681E-2</v>
      </c>
      <c r="V708" s="18">
        <f t="shared" si="314"/>
        <v>1.4718087086632906E-3</v>
      </c>
      <c r="W708" s="18">
        <f t="shared" si="315"/>
        <v>5.6493374017197277E-2</v>
      </c>
      <c r="X708" s="18">
        <f t="shared" si="316"/>
        <v>7.7872882441927138E-2</v>
      </c>
      <c r="Y708" s="18">
        <f t="shared" si="317"/>
        <v>1.4159874453453661E-2</v>
      </c>
      <c r="AA708" s="18">
        <f t="shared" si="327"/>
        <v>0.16295949786916997</v>
      </c>
      <c r="AB708" s="18">
        <f t="shared" si="328"/>
        <v>2.6555797945772012E-2</v>
      </c>
      <c r="AC708" s="18">
        <f t="shared" ref="AC708:AC771" si="330">IF(ISNUMBER(AB707),AB707,"")</f>
        <v>1.8442005598288264E-4</v>
      </c>
      <c r="AD708" s="18">
        <f t="shared" si="304"/>
        <v>3.0730972837628512E-3</v>
      </c>
      <c r="AE708" s="18">
        <f t="shared" si="306"/>
        <v>2.6363775867565561E-4</v>
      </c>
      <c r="AF708" s="18">
        <f t="shared" si="308"/>
        <v>1.3374477436714348E-7</v>
      </c>
      <c r="AG708" s="18">
        <f t="shared" si="310"/>
        <v>3.0775046894243166E-2</v>
      </c>
      <c r="AH708" s="18">
        <f t="shared" si="312"/>
        <v>1.043868620956485E-4</v>
      </c>
      <c r="AJ708" s="18">
        <f>IF(ISNUMBER(Kernel!M708),Kernel!M708,"")</f>
        <v>0.10416360324624796</v>
      </c>
      <c r="AK708" s="18">
        <f t="shared" si="325"/>
        <v>1.0850056241241758E-2</v>
      </c>
      <c r="AN708" s="18">
        <f>IF(ISNUMBER(Volcanic!G708),Volcanic!G708,"")</f>
        <v>5.3E-3</v>
      </c>
    </row>
    <row r="709" spans="1:40">
      <c r="A709" s="18" t="str">
        <f>IF(Volcanic!A709="","",Volcanic!A709)</f>
        <v>2/2017</v>
      </c>
      <c r="B709" s="18">
        <f>IF(ISNUMBER(Volcanic!L709),Volcanic!L709,"")</f>
        <v>2017.125</v>
      </c>
      <c r="C709" s="18">
        <f>IF(ISNUMBER(Volcanic!J709),Volcanic!J709,"")</f>
        <v>0.28036663466503475</v>
      </c>
      <c r="D709" s="18">
        <f t="shared" si="318"/>
        <v>7.8605449833397067E-2</v>
      </c>
      <c r="E709" s="18">
        <f>IF(ISNUMBER(Volcanic!C709),Volcanic!C709,"")</f>
        <v>0.53839626385189021</v>
      </c>
      <c r="F709" s="18">
        <f>IF(ISNUMBER(Volcanic!D709),Volcanic!D709,"")</f>
        <v>-0.49</v>
      </c>
      <c r="G709" s="18">
        <f>IF(ISNUMBER(Volcanic!E709),Volcanic!E709,"")</f>
        <v>5.9300000000000004E-3</v>
      </c>
      <c r="H709" s="18">
        <f t="shared" si="319"/>
        <v>0.28987053692967418</v>
      </c>
      <c r="I709" s="18">
        <f t="shared" si="320"/>
        <v>0.24009999999999998</v>
      </c>
      <c r="J709" s="18">
        <f t="shared" si="321"/>
        <v>3.5164900000000006E-5</v>
      </c>
      <c r="K709" s="18">
        <f t="shared" si="322"/>
        <v>-0.26381416928742618</v>
      </c>
      <c r="L709" s="18">
        <f t="shared" si="323"/>
        <v>3.1926898446417093E-3</v>
      </c>
      <c r="M709" s="18">
        <f t="shared" si="324"/>
        <v>-2.9057000000000002E-3</v>
      </c>
      <c r="N709" s="18">
        <f t="shared" si="326"/>
        <v>3.0885428436194847E-2</v>
      </c>
      <c r="O709" s="18">
        <f t="shared" si="329"/>
        <v>6.4635591519276948E-4</v>
      </c>
      <c r="P709" s="18">
        <f t="shared" ref="P709:P772" si="331">IF(ISNUMBER(D706),D706,"")</f>
        <v>6.0175046742049054E-3</v>
      </c>
      <c r="Q709" s="18">
        <f t="shared" si="305"/>
        <v>1.9384080693647182E-3</v>
      </c>
      <c r="R709" s="18">
        <f t="shared" si="307"/>
        <v>3.0548938983984094E-3</v>
      </c>
      <c r="S709" s="18">
        <f t="shared" si="309"/>
        <v>1.2244187520330173E-2</v>
      </c>
      <c r="T709" s="18">
        <f t="shared" si="311"/>
        <v>1.6596508970295007E-2</v>
      </c>
      <c r="U709" s="18">
        <f t="shared" si="313"/>
        <v>5.5648248444262999E-2</v>
      </c>
      <c r="V709" s="18">
        <f t="shared" si="314"/>
        <v>2.074135523525681E-2</v>
      </c>
      <c r="W709" s="18">
        <f t="shared" si="315"/>
        <v>1.4718087086632906E-3</v>
      </c>
      <c r="X709" s="18">
        <f t="shared" si="316"/>
        <v>5.6493374017197277E-2</v>
      </c>
      <c r="Y709" s="18">
        <f t="shared" si="317"/>
        <v>7.7872882441927138E-2</v>
      </c>
      <c r="AA709" s="18">
        <f t="shared" si="327"/>
        <v>0.19200290904594428</v>
      </c>
      <c r="AB709" s="18">
        <f t="shared" si="328"/>
        <v>3.6865117082105152E-2</v>
      </c>
      <c r="AC709" s="18">
        <f t="shared" si="330"/>
        <v>2.6555797945772012E-2</v>
      </c>
      <c r="AD709" s="18">
        <f t="shared" ref="AD709:AD772" si="332">IF(ISNUMBER(AB707),AB707,"")</f>
        <v>1.8442005598288264E-4</v>
      </c>
      <c r="AE709" s="18">
        <f t="shared" si="306"/>
        <v>3.0730972837628512E-3</v>
      </c>
      <c r="AF709" s="18">
        <f t="shared" si="308"/>
        <v>2.6363775867565561E-4</v>
      </c>
      <c r="AG709" s="18">
        <f t="shared" si="310"/>
        <v>1.3374477436714348E-7</v>
      </c>
      <c r="AH709" s="18">
        <f t="shared" si="312"/>
        <v>3.0775046894243166E-2</v>
      </c>
      <c r="AJ709" s="18">
        <f>IF(ISNUMBER(Kernel!M709),Kernel!M709,"")</f>
        <v>0.21300322088293244</v>
      </c>
      <c r="AK709" s="18">
        <f t="shared" si="325"/>
        <v>4.5370372106503305E-2</v>
      </c>
      <c r="AN709" s="18">
        <f>IF(ISNUMBER(Volcanic!G709),Volcanic!G709,"")</f>
        <v>5.1200000000000004E-3</v>
      </c>
    </row>
    <row r="710" spans="1:40">
      <c r="A710" s="18" t="str">
        <f>IF(Volcanic!A710="","",Volcanic!A710)</f>
        <v>3/2017</v>
      </c>
      <c r="B710" s="18">
        <f>IF(ISNUMBER(Volcanic!L710),Volcanic!L710,"")</f>
        <v>2017.2083333333333</v>
      </c>
      <c r="C710" s="18">
        <f>IF(ISNUMBER(Volcanic!J710),Volcanic!J710,"")</f>
        <v>0.2903734926144913</v>
      </c>
      <c r="D710" s="18">
        <f t="shared" si="318"/>
        <v>8.4316765213138037E-2</v>
      </c>
      <c r="E710" s="18">
        <f>IF(ISNUMBER(Volcanic!C710),Volcanic!C710,"")</f>
        <v>0.54151483946067869</v>
      </c>
      <c r="F710" s="18">
        <f>IF(ISNUMBER(Volcanic!D710),Volcanic!D710,"")</f>
        <v>-0.37</v>
      </c>
      <c r="G710" s="18">
        <f>IF(ISNUMBER(Volcanic!E710),Volcanic!E710,"")</f>
        <v>5.77E-3</v>
      </c>
      <c r="H710" s="18">
        <f t="shared" si="319"/>
        <v>0.2932383213561246</v>
      </c>
      <c r="I710" s="18">
        <f t="shared" si="320"/>
        <v>0.13689999999999999</v>
      </c>
      <c r="J710" s="18">
        <f t="shared" si="321"/>
        <v>3.3292900000000001E-5</v>
      </c>
      <c r="K710" s="18">
        <f t="shared" si="322"/>
        <v>-0.20036049060045111</v>
      </c>
      <c r="L710" s="18">
        <f t="shared" si="323"/>
        <v>3.1245406236881162E-3</v>
      </c>
      <c r="M710" s="18">
        <f t="shared" si="324"/>
        <v>-2.1348999999999999E-3</v>
      </c>
      <c r="N710" s="18">
        <f t="shared" si="326"/>
        <v>7.8605449833397067E-2</v>
      </c>
      <c r="O710" s="18">
        <f t="shared" si="329"/>
        <v>3.0885428436194847E-2</v>
      </c>
      <c r="P710" s="18">
        <f t="shared" si="331"/>
        <v>6.4635591519276948E-4</v>
      </c>
      <c r="Q710" s="18">
        <f t="shared" ref="Q710:Q773" si="333">IF(ISNUMBER(D706),D706,"")</f>
        <v>6.0175046742049054E-3</v>
      </c>
      <c r="R710" s="18">
        <f t="shared" si="307"/>
        <v>1.9384080693647182E-3</v>
      </c>
      <c r="S710" s="18">
        <f t="shared" si="309"/>
        <v>3.0548938983984094E-3</v>
      </c>
      <c r="T710" s="18">
        <f t="shared" si="311"/>
        <v>1.2244187520330173E-2</v>
      </c>
      <c r="U710" s="18">
        <f t="shared" si="313"/>
        <v>1.6596508970295007E-2</v>
      </c>
      <c r="V710" s="18">
        <f t="shared" si="314"/>
        <v>5.5648248444262999E-2</v>
      </c>
      <c r="W710" s="18">
        <f t="shared" si="315"/>
        <v>2.074135523525681E-2</v>
      </c>
      <c r="X710" s="18">
        <f t="shared" si="316"/>
        <v>1.4718087086632906E-3</v>
      </c>
      <c r="Y710" s="18">
        <f t="shared" si="317"/>
        <v>5.6493374017197277E-2</v>
      </c>
      <c r="AA710" s="18">
        <f t="shared" si="327"/>
        <v>0.14940452082884631</v>
      </c>
      <c r="AB710" s="18">
        <f t="shared" si="328"/>
        <v>2.2321710844097172E-2</v>
      </c>
      <c r="AC710" s="18">
        <f t="shared" si="330"/>
        <v>3.6865117082105152E-2</v>
      </c>
      <c r="AD710" s="18">
        <f t="shared" si="332"/>
        <v>2.6555797945772012E-2</v>
      </c>
      <c r="AE710" s="18">
        <f t="shared" ref="AE710:AE773" si="334">IF(ISNUMBER(AB707),AB707,"")</f>
        <v>1.8442005598288264E-4</v>
      </c>
      <c r="AF710" s="18">
        <f t="shared" si="308"/>
        <v>3.0730972837628512E-3</v>
      </c>
      <c r="AG710" s="18">
        <f t="shared" si="310"/>
        <v>2.6363775867565561E-4</v>
      </c>
      <c r="AH710" s="18">
        <f t="shared" si="312"/>
        <v>1.3374477436714348E-7</v>
      </c>
      <c r="AJ710" s="18">
        <f>IF(ISNUMBER(Kernel!M710),Kernel!M710,"")</f>
        <v>0.23183721800568957</v>
      </c>
      <c r="AK710" s="18">
        <f t="shared" si="325"/>
        <v>5.3748495652617634E-2</v>
      </c>
      <c r="AN710" s="18">
        <f>IF(ISNUMBER(Volcanic!G710),Volcanic!G710,"")</f>
        <v>4.9800000000000001E-3</v>
      </c>
    </row>
    <row r="711" spans="1:40">
      <c r="A711" s="18" t="str">
        <f>IF(Volcanic!A711="","",Volcanic!A711)</f>
        <v>4/2017</v>
      </c>
      <c r="B711" s="18">
        <f>IF(ISNUMBER(Volcanic!L711),Volcanic!L711,"")</f>
        <v>2017.2916666666667</v>
      </c>
      <c r="C711" s="18">
        <f>IF(ISNUMBER(Volcanic!J711),Volcanic!J711,"")</f>
        <v>2.7143672509705286E-2</v>
      </c>
      <c r="D711" s="18">
        <f t="shared" si="318"/>
        <v>7.3677895731413042E-4</v>
      </c>
      <c r="E711" s="18">
        <f>IF(ISNUMBER(Volcanic!C711),Volcanic!C711,"")</f>
        <v>0.54744982914396567</v>
      </c>
      <c r="F711" s="18">
        <f>IF(ISNUMBER(Volcanic!D711),Volcanic!D711,"")</f>
        <v>-0.08</v>
      </c>
      <c r="G711" s="18">
        <f>IF(ISNUMBER(Volcanic!E711),Volcanic!E711,"")</f>
        <v>5.7099999999999998E-3</v>
      </c>
      <c r="H711" s="18">
        <f t="shared" si="319"/>
        <v>0.2997013154297572</v>
      </c>
      <c r="I711" s="18">
        <f t="shared" si="320"/>
        <v>6.4000000000000003E-3</v>
      </c>
      <c r="J711" s="18">
        <f t="shared" si="321"/>
        <v>3.2604099999999995E-5</v>
      </c>
      <c r="K711" s="18">
        <f t="shared" si="322"/>
        <v>-4.3795986331517253E-2</v>
      </c>
      <c r="L711" s="18">
        <f t="shared" si="323"/>
        <v>3.1259385244120437E-3</v>
      </c>
      <c r="M711" s="18">
        <f t="shared" si="324"/>
        <v>-4.5679999999999999E-4</v>
      </c>
      <c r="N711" s="18">
        <f t="shared" si="326"/>
        <v>8.4316765213138037E-2</v>
      </c>
      <c r="O711" s="18">
        <f t="shared" si="329"/>
        <v>7.8605449833397067E-2</v>
      </c>
      <c r="P711" s="18">
        <f t="shared" si="331"/>
        <v>3.0885428436194847E-2</v>
      </c>
      <c r="Q711" s="18">
        <f t="shared" si="333"/>
        <v>6.4635591519276948E-4</v>
      </c>
      <c r="R711" s="18">
        <f t="shared" ref="R711:R774" si="335">IF(ISNUMBER(D706),D706,"")</f>
        <v>6.0175046742049054E-3</v>
      </c>
      <c r="S711" s="18">
        <f t="shared" si="309"/>
        <v>1.9384080693647182E-3</v>
      </c>
      <c r="T711" s="18">
        <f t="shared" si="311"/>
        <v>3.0548938983984094E-3</v>
      </c>
      <c r="U711" s="18">
        <f t="shared" si="313"/>
        <v>1.2244187520330173E-2</v>
      </c>
      <c r="V711" s="18">
        <f t="shared" si="314"/>
        <v>1.6596508970295007E-2</v>
      </c>
      <c r="W711" s="18">
        <f t="shared" si="315"/>
        <v>5.5648248444262999E-2</v>
      </c>
      <c r="X711" s="18">
        <f t="shared" si="316"/>
        <v>2.074135523525681E-2</v>
      </c>
      <c r="Y711" s="18">
        <f t="shared" si="317"/>
        <v>1.4718087086632906E-3</v>
      </c>
      <c r="AA711" s="18">
        <f t="shared" si="327"/>
        <v>-0.11885676986310592</v>
      </c>
      <c r="AB711" s="18">
        <f t="shared" si="328"/>
        <v>1.4126931742291324E-2</v>
      </c>
      <c r="AC711" s="18">
        <f t="shared" si="330"/>
        <v>2.2321710844097172E-2</v>
      </c>
      <c r="AD711" s="18">
        <f t="shared" si="332"/>
        <v>3.6865117082105152E-2</v>
      </c>
      <c r="AE711" s="18">
        <f t="shared" si="334"/>
        <v>2.6555797945772012E-2</v>
      </c>
      <c r="AF711" s="18">
        <f t="shared" ref="AF711:AF774" si="336">IF(ISNUMBER(AB707),AB707,"")</f>
        <v>1.8442005598288264E-4</v>
      </c>
      <c r="AG711" s="18">
        <f t="shared" si="310"/>
        <v>3.0730972837628512E-3</v>
      </c>
      <c r="AH711" s="18">
        <f t="shared" si="312"/>
        <v>2.6363775867565561E-4</v>
      </c>
      <c r="AJ711" s="18">
        <f>IF(ISNUMBER(Kernel!M711),Kernel!M711,"")</f>
        <v>-7.671958347975294E-3</v>
      </c>
      <c r="AK711" s="18">
        <f t="shared" si="325"/>
        <v>5.8858944893067799E-5</v>
      </c>
      <c r="AN711" s="18">
        <f>IF(ISNUMBER(Volcanic!G711),Volcanic!G711,"")</f>
        <v>4.8700000000000002E-3</v>
      </c>
    </row>
    <row r="712" spans="1:40">
      <c r="A712" s="18" t="str">
        <f>IF(Volcanic!A712="","",Volcanic!A712)</f>
        <v>5/2017</v>
      </c>
      <c r="B712" s="18">
        <f>IF(ISNUMBER(Volcanic!L712),Volcanic!L712,"")</f>
        <v>2017.375</v>
      </c>
      <c r="C712" s="18">
        <f>IF(ISNUMBER(Volcanic!J712),Volcanic!J712,"")</f>
        <v>-2.38985898580798E-2</v>
      </c>
      <c r="D712" s="18">
        <f t="shared" si="318"/>
        <v>5.7114259720471468E-4</v>
      </c>
      <c r="E712" s="18">
        <f>IF(ISNUMBER(Volcanic!C712),Volcanic!C712,"")</f>
        <v>0.54980996610473554</v>
      </c>
      <c r="F712" s="18">
        <f>IF(ISNUMBER(Volcanic!D712),Volcanic!D712,"")</f>
        <v>0.08</v>
      </c>
      <c r="G712" s="18">
        <f>IF(ISNUMBER(Volcanic!E712),Volcanic!E712,"")</f>
        <v>5.8199999999999997E-3</v>
      </c>
      <c r="H712" s="18">
        <f t="shared" si="319"/>
        <v>0.30229099882809046</v>
      </c>
      <c r="I712" s="18">
        <f t="shared" si="320"/>
        <v>6.4000000000000003E-3</v>
      </c>
      <c r="J712" s="18">
        <f t="shared" si="321"/>
        <v>3.3872399999999998E-5</v>
      </c>
      <c r="K712" s="18">
        <f t="shared" si="322"/>
        <v>4.3984797288378841E-2</v>
      </c>
      <c r="L712" s="18">
        <f t="shared" si="323"/>
        <v>3.1998940027295605E-3</v>
      </c>
      <c r="M712" s="18">
        <f t="shared" si="324"/>
        <v>4.6559999999999999E-4</v>
      </c>
      <c r="N712" s="18">
        <f t="shared" si="326"/>
        <v>7.3677895731413042E-4</v>
      </c>
      <c r="O712" s="18">
        <f t="shared" si="329"/>
        <v>8.4316765213138037E-2</v>
      </c>
      <c r="P712" s="18">
        <f t="shared" si="331"/>
        <v>7.8605449833397067E-2</v>
      </c>
      <c r="Q712" s="18">
        <f t="shared" si="333"/>
        <v>3.0885428436194847E-2</v>
      </c>
      <c r="R712" s="18">
        <f t="shared" si="335"/>
        <v>6.4635591519276948E-4</v>
      </c>
      <c r="S712" s="18">
        <f t="shared" ref="S712:S775" si="337">IF(ISNUMBER(D706),D706,"")</f>
        <v>6.0175046742049054E-3</v>
      </c>
      <c r="T712" s="18">
        <f t="shared" si="311"/>
        <v>1.9384080693647182E-3</v>
      </c>
      <c r="U712" s="18">
        <f t="shared" si="313"/>
        <v>3.0548938983984094E-3</v>
      </c>
      <c r="V712" s="18">
        <f t="shared" si="314"/>
        <v>1.2244187520330173E-2</v>
      </c>
      <c r="W712" s="18">
        <f t="shared" si="315"/>
        <v>1.6596508970295007E-2</v>
      </c>
      <c r="X712" s="18">
        <f t="shared" si="316"/>
        <v>5.5648248444262999E-2</v>
      </c>
      <c r="Y712" s="18">
        <f t="shared" si="317"/>
        <v>2.074135523525681E-2</v>
      </c>
      <c r="AA712" s="18">
        <f t="shared" si="327"/>
        <v>-3.7546489183728889E-2</v>
      </c>
      <c r="AB712" s="18">
        <f t="shared" si="328"/>
        <v>1.4097388500238705E-3</v>
      </c>
      <c r="AC712" s="18">
        <f t="shared" si="330"/>
        <v>1.4126931742291324E-2</v>
      </c>
      <c r="AD712" s="18">
        <f t="shared" si="332"/>
        <v>2.2321710844097172E-2</v>
      </c>
      <c r="AE712" s="18">
        <f t="shared" si="334"/>
        <v>3.6865117082105152E-2</v>
      </c>
      <c r="AF712" s="18">
        <f t="shared" si="336"/>
        <v>2.6555797945772012E-2</v>
      </c>
      <c r="AG712" s="18">
        <f t="shared" ref="AG712:AG775" si="338">IF(ISNUMBER(AB707),AB707,"")</f>
        <v>1.8442005598288264E-4</v>
      </c>
      <c r="AH712" s="18">
        <f t="shared" si="312"/>
        <v>3.0730972837628512E-3</v>
      </c>
      <c r="AJ712" s="18">
        <f>IF(ISNUMBER(Kernel!M712),Kernel!M712,"")</f>
        <v>-4.7698517880978453E-2</v>
      </c>
      <c r="AK712" s="18">
        <f t="shared" si="325"/>
        <v>2.2751486080420211E-3</v>
      </c>
      <c r="AN712" s="18">
        <f>IF(ISNUMBER(Volcanic!G712),Volcanic!G712,"")</f>
        <v>4.7499999999999999E-3</v>
      </c>
    </row>
    <row r="713" spans="1:40">
      <c r="A713" s="18" t="str">
        <f>IF(Volcanic!A713="","",Volcanic!A713)</f>
        <v>6/2017</v>
      </c>
      <c r="B713" s="18">
        <f>IF(ISNUMBER(Volcanic!L713),Volcanic!L713,"")</f>
        <v>2017.4583333333333</v>
      </c>
      <c r="C713" s="18">
        <f>IF(ISNUMBER(Volcanic!J713),Volcanic!J713,"")</f>
        <v>-0.23394417936883205</v>
      </c>
      <c r="D713" s="18">
        <f t="shared" si="318"/>
        <v>5.4729879060556264E-2</v>
      </c>
      <c r="E713" s="18">
        <f>IF(ISNUMBER(Volcanic!C713),Volcanic!C713,"")</f>
        <v>0.54695617814141118</v>
      </c>
      <c r="F713" s="18">
        <f>IF(ISNUMBER(Volcanic!D713),Volcanic!D713,"")</f>
        <v>0.27</v>
      </c>
      <c r="G713" s="18">
        <f>IF(ISNUMBER(Volcanic!E713),Volcanic!E713,"")</f>
        <v>5.7299999999999999E-3</v>
      </c>
      <c r="H713" s="18">
        <f t="shared" si="319"/>
        <v>0.29916106080705912</v>
      </c>
      <c r="I713" s="18">
        <f t="shared" si="320"/>
        <v>7.2900000000000006E-2</v>
      </c>
      <c r="J713" s="18">
        <f t="shared" si="321"/>
        <v>3.2832899999999995E-5</v>
      </c>
      <c r="K713" s="18">
        <f t="shared" si="322"/>
        <v>0.14767816809818102</v>
      </c>
      <c r="L713" s="18">
        <f t="shared" si="323"/>
        <v>3.1340589007502859E-3</v>
      </c>
      <c r="M713" s="18">
        <f t="shared" si="324"/>
        <v>1.5471E-3</v>
      </c>
      <c r="N713" s="18">
        <f t="shared" si="326"/>
        <v>5.7114259720471468E-4</v>
      </c>
      <c r="O713" s="18">
        <f t="shared" si="329"/>
        <v>7.3677895731413042E-4</v>
      </c>
      <c r="P713" s="18">
        <f t="shared" si="331"/>
        <v>8.4316765213138037E-2</v>
      </c>
      <c r="Q713" s="18">
        <f t="shared" si="333"/>
        <v>7.8605449833397067E-2</v>
      </c>
      <c r="R713" s="18">
        <f t="shared" si="335"/>
        <v>3.0885428436194847E-2</v>
      </c>
      <c r="S713" s="18">
        <f t="shared" si="337"/>
        <v>6.4635591519276948E-4</v>
      </c>
      <c r="T713" s="18">
        <f t="shared" ref="T713:T776" si="339">IF(ISNUMBER(D706),D706,"")</f>
        <v>6.0175046742049054E-3</v>
      </c>
      <c r="U713" s="18">
        <f t="shared" si="313"/>
        <v>1.9384080693647182E-3</v>
      </c>
      <c r="V713" s="18">
        <f t="shared" si="314"/>
        <v>3.0548938983984094E-3</v>
      </c>
      <c r="W713" s="18">
        <f t="shared" si="315"/>
        <v>1.2244187520330173E-2</v>
      </c>
      <c r="X713" s="18">
        <f t="shared" si="316"/>
        <v>1.6596508970295007E-2</v>
      </c>
      <c r="Y713" s="18">
        <f t="shared" si="317"/>
        <v>5.5648248444262999E-2</v>
      </c>
      <c r="AA713" s="18">
        <f t="shared" si="327"/>
        <v>-0.22192791486772484</v>
      </c>
      <c r="AB713" s="18">
        <f t="shared" si="328"/>
        <v>4.9251999397536127E-2</v>
      </c>
      <c r="AC713" s="18">
        <f t="shared" si="330"/>
        <v>1.4097388500238705E-3</v>
      </c>
      <c r="AD713" s="18">
        <f t="shared" si="332"/>
        <v>1.4126931742291324E-2</v>
      </c>
      <c r="AE713" s="18">
        <f t="shared" si="334"/>
        <v>2.2321710844097172E-2</v>
      </c>
      <c r="AF713" s="18">
        <f t="shared" si="336"/>
        <v>3.6865117082105152E-2</v>
      </c>
      <c r="AG713" s="18">
        <f t="shared" si="338"/>
        <v>2.6555797945772012E-2</v>
      </c>
      <c r="AH713" s="18">
        <f t="shared" ref="AH713:AH776" si="340">IF(ISNUMBER(AB707),AB707,"")</f>
        <v>1.8442005598288264E-4</v>
      </c>
      <c r="AJ713" s="18">
        <f>IF(ISNUMBER(Kernel!M713),Kernel!M713,"")</f>
        <v>-0.24248982198644997</v>
      </c>
      <c r="AK713" s="18">
        <f t="shared" si="325"/>
        <v>5.8801313767020198E-2</v>
      </c>
      <c r="AN713" s="18">
        <f>IF(ISNUMBER(Volcanic!G713),Volcanic!G713,"")</f>
        <v>4.5999999999999999E-3</v>
      </c>
    </row>
    <row r="714" spans="1:40">
      <c r="A714" s="18" t="str">
        <f>IF(Volcanic!A714="","",Volcanic!A714)</f>
        <v>7/2017</v>
      </c>
      <c r="B714" s="18">
        <f>IF(ISNUMBER(Volcanic!L714),Volcanic!L714,"")</f>
        <v>2017.5416666666667</v>
      </c>
      <c r="C714" s="18">
        <f>IF(ISNUMBER(Volcanic!J714),Volcanic!J714,"")</f>
        <v>-0.11204503923955944</v>
      </c>
      <c r="D714" s="18">
        <f t="shared" si="318"/>
        <v>1.2554090818194415E-2</v>
      </c>
      <c r="E714" s="18">
        <f>IF(ISNUMBER(Volcanic!C714),Volcanic!C714,"")</f>
        <v>0.54077124608923599</v>
      </c>
      <c r="F714" s="18">
        <f>IF(ISNUMBER(Volcanic!D714),Volcanic!D714,"")</f>
        <v>0.32</v>
      </c>
      <c r="G714" s="18">
        <f>IF(ISNUMBER(Volcanic!E714),Volcanic!E714,"")</f>
        <v>5.5799999999999999E-3</v>
      </c>
      <c r="H714" s="18">
        <f t="shared" si="319"/>
        <v>0.29243354059690502</v>
      </c>
      <c r="I714" s="18">
        <f t="shared" si="320"/>
        <v>0.1024</v>
      </c>
      <c r="J714" s="18">
        <f t="shared" si="321"/>
        <v>3.1136399999999996E-5</v>
      </c>
      <c r="K714" s="18">
        <f t="shared" si="322"/>
        <v>0.17304679874855552</v>
      </c>
      <c r="L714" s="18">
        <f t="shared" si="323"/>
        <v>3.0175035531779366E-3</v>
      </c>
      <c r="M714" s="18">
        <f t="shared" si="324"/>
        <v>1.7856E-3</v>
      </c>
      <c r="N714" s="18">
        <f t="shared" si="326"/>
        <v>5.4729879060556264E-2</v>
      </c>
      <c r="O714" s="18">
        <f t="shared" si="329"/>
        <v>5.7114259720471468E-4</v>
      </c>
      <c r="P714" s="18">
        <f t="shared" si="331"/>
        <v>7.3677895731413042E-4</v>
      </c>
      <c r="Q714" s="18">
        <f t="shared" si="333"/>
        <v>8.4316765213138037E-2</v>
      </c>
      <c r="R714" s="18">
        <f t="shared" si="335"/>
        <v>7.8605449833397067E-2</v>
      </c>
      <c r="S714" s="18">
        <f t="shared" si="337"/>
        <v>3.0885428436194847E-2</v>
      </c>
      <c r="T714" s="18">
        <f t="shared" si="339"/>
        <v>6.4635591519276948E-4</v>
      </c>
      <c r="U714" s="18">
        <f t="shared" ref="U714:U777" si="341">IF(ISNUMBER(D706),D706,"")</f>
        <v>6.0175046742049054E-3</v>
      </c>
      <c r="V714" s="18">
        <f t="shared" si="314"/>
        <v>1.9384080693647182E-3</v>
      </c>
      <c r="W714" s="18">
        <f t="shared" si="315"/>
        <v>3.0548938983984094E-3</v>
      </c>
      <c r="X714" s="18">
        <f t="shared" si="316"/>
        <v>1.2244187520330173E-2</v>
      </c>
      <c r="Y714" s="18">
        <f t="shared" si="317"/>
        <v>1.6596508970295007E-2</v>
      </c>
      <c r="AA714" s="18">
        <f t="shared" si="327"/>
        <v>5.5826180608962162E-3</v>
      </c>
      <c r="AB714" s="18">
        <f t="shared" si="328"/>
        <v>3.1165624413844629E-5</v>
      </c>
      <c r="AC714" s="18">
        <f t="shared" si="330"/>
        <v>4.9251999397536127E-2</v>
      </c>
      <c r="AD714" s="18">
        <f t="shared" si="332"/>
        <v>1.4097388500238705E-3</v>
      </c>
      <c r="AE714" s="18">
        <f t="shared" si="334"/>
        <v>1.4126931742291324E-2</v>
      </c>
      <c r="AF714" s="18">
        <f t="shared" si="336"/>
        <v>2.2321710844097172E-2</v>
      </c>
      <c r="AG714" s="18">
        <f t="shared" si="338"/>
        <v>3.6865117082105152E-2</v>
      </c>
      <c r="AH714" s="18">
        <f t="shared" si="340"/>
        <v>2.6555797945772012E-2</v>
      </c>
      <c r="AJ714" s="18">
        <f>IF(ISNUMBER(Kernel!M714),Kernel!M714,"")</f>
        <v>-0.11402974016284051</v>
      </c>
      <c r="AK714" s="18">
        <f t="shared" si="325"/>
        <v>1.3002781641604922E-2</v>
      </c>
      <c r="AN714" s="18">
        <f>IF(ISNUMBER(Volcanic!G714),Volcanic!G714,"")</f>
        <v>4.5700000000000003E-3</v>
      </c>
    </row>
    <row r="715" spans="1:40">
      <c r="A715" s="18" t="str">
        <f>IF(Volcanic!A715="","",Volcanic!A715)</f>
        <v>8/2017</v>
      </c>
      <c r="B715" s="18">
        <f>IF(ISNUMBER(Volcanic!L715),Volcanic!L715,"")</f>
        <v>2017.625</v>
      </c>
      <c r="C715" s="18">
        <f>IF(ISNUMBER(Volcanic!J715),Volcanic!J715,"")</f>
        <v>-4.5980145787071103E-2</v>
      </c>
      <c r="D715" s="18">
        <f t="shared" si="318"/>
        <v>2.1141738066003126E-3</v>
      </c>
      <c r="E715" s="18">
        <f>IF(ISNUMBER(Volcanic!C715),Volcanic!C715,"")</f>
        <v>0.53363453792318827</v>
      </c>
      <c r="F715" s="18">
        <f>IF(ISNUMBER(Volcanic!D715),Volcanic!D715,"")</f>
        <v>0.35</v>
      </c>
      <c r="G715" s="18">
        <f>IF(ISNUMBER(Volcanic!E715),Volcanic!E715,"")</f>
        <v>5.3E-3</v>
      </c>
      <c r="H715" s="18">
        <f t="shared" si="319"/>
        <v>0.28476582006449463</v>
      </c>
      <c r="I715" s="18">
        <f t="shared" si="320"/>
        <v>0.12249999999999998</v>
      </c>
      <c r="J715" s="18">
        <f t="shared" si="321"/>
        <v>2.809E-5</v>
      </c>
      <c r="K715" s="18">
        <f t="shared" si="322"/>
        <v>0.18677208827311589</v>
      </c>
      <c r="L715" s="18">
        <f t="shared" si="323"/>
        <v>2.828263050992898E-3</v>
      </c>
      <c r="M715" s="18">
        <f t="shared" si="324"/>
        <v>1.8549999999999999E-3</v>
      </c>
      <c r="N715" s="18">
        <f t="shared" si="326"/>
        <v>1.2554090818194415E-2</v>
      </c>
      <c r="O715" s="18">
        <f t="shared" si="329"/>
        <v>5.4729879060556264E-2</v>
      </c>
      <c r="P715" s="18">
        <f t="shared" si="331"/>
        <v>5.7114259720471468E-4</v>
      </c>
      <c r="Q715" s="18">
        <f t="shared" si="333"/>
        <v>7.3677895731413042E-4</v>
      </c>
      <c r="R715" s="18">
        <f t="shared" si="335"/>
        <v>8.4316765213138037E-2</v>
      </c>
      <c r="S715" s="18">
        <f t="shared" si="337"/>
        <v>7.8605449833397067E-2</v>
      </c>
      <c r="T715" s="18">
        <f t="shared" si="339"/>
        <v>3.0885428436194847E-2</v>
      </c>
      <c r="U715" s="18">
        <f t="shared" si="341"/>
        <v>6.4635591519276948E-4</v>
      </c>
      <c r="V715" s="18">
        <f t="shared" ref="V715:V778" si="342">IF(ISNUMBER(D706),D706,"")</f>
        <v>6.0175046742049054E-3</v>
      </c>
      <c r="W715" s="18">
        <f t="shared" si="315"/>
        <v>1.9384080693647182E-3</v>
      </c>
      <c r="X715" s="18">
        <f t="shared" si="316"/>
        <v>3.0548938983984094E-3</v>
      </c>
      <c r="Y715" s="18">
        <f t="shared" si="317"/>
        <v>1.2244187520330173E-2</v>
      </c>
      <c r="AA715" s="18">
        <f t="shared" si="327"/>
        <v>1.0356350865441455E-2</v>
      </c>
      <c r="AB715" s="18">
        <f t="shared" si="328"/>
        <v>1.0725400324812997E-4</v>
      </c>
      <c r="AC715" s="18">
        <f t="shared" si="330"/>
        <v>3.1165624413844629E-5</v>
      </c>
      <c r="AD715" s="18">
        <f t="shared" si="332"/>
        <v>4.9251999397536127E-2</v>
      </c>
      <c r="AE715" s="18">
        <f t="shared" si="334"/>
        <v>1.4097388500238705E-3</v>
      </c>
      <c r="AF715" s="18">
        <f t="shared" si="336"/>
        <v>1.4126931742291324E-2</v>
      </c>
      <c r="AG715" s="18">
        <f t="shared" si="338"/>
        <v>2.2321710844097172E-2</v>
      </c>
      <c r="AH715" s="18">
        <f t="shared" si="340"/>
        <v>3.6865117082105152E-2</v>
      </c>
      <c r="AJ715" s="18">
        <f>IF(ISNUMBER(Kernel!M715),Kernel!M715,"")</f>
        <v>-3.8719391639340683E-2</v>
      </c>
      <c r="AK715" s="18">
        <f t="shared" si="325"/>
        <v>1.4991912889206452E-3</v>
      </c>
      <c r="AN715" s="18">
        <f>IF(ISNUMBER(Volcanic!G715),Volcanic!G715,"")</f>
        <v>4.6600000000000001E-3</v>
      </c>
    </row>
    <row r="716" spans="1:40">
      <c r="A716" s="18" t="str">
        <f>IF(Volcanic!A716="","",Volcanic!A716)</f>
        <v>9/2017</v>
      </c>
      <c r="B716" s="18">
        <f>IF(ISNUMBER(Volcanic!L716),Volcanic!L716,"")</f>
        <v>2017.7083333333333</v>
      </c>
      <c r="C716" s="18">
        <f>IF(ISNUMBER(Volcanic!J716),Volcanic!J716,"")</f>
        <v>-0.15656658914449373</v>
      </c>
      <c r="D716" s="18">
        <f t="shared" si="318"/>
        <v>2.4513096836340703E-2</v>
      </c>
      <c r="E716" s="18">
        <f>IF(ISNUMBER(Volcanic!C716),Volcanic!C716,"")</f>
        <v>0.52739210629320266</v>
      </c>
      <c r="F716" s="18">
        <f>IF(ISNUMBER(Volcanic!D716),Volcanic!D716,"")</f>
        <v>0.32</v>
      </c>
      <c r="G716" s="18">
        <f>IF(ISNUMBER(Volcanic!E716),Volcanic!E716,"")</f>
        <v>5.1200000000000004E-3</v>
      </c>
      <c r="H716" s="18">
        <f t="shared" si="319"/>
        <v>0.27814243378038078</v>
      </c>
      <c r="I716" s="18">
        <f t="shared" si="320"/>
        <v>0.1024</v>
      </c>
      <c r="J716" s="18">
        <f t="shared" si="321"/>
        <v>2.6214400000000004E-5</v>
      </c>
      <c r="K716" s="18">
        <f t="shared" si="322"/>
        <v>0.16876547401382486</v>
      </c>
      <c r="L716" s="18">
        <f t="shared" si="323"/>
        <v>2.7002475842211977E-3</v>
      </c>
      <c r="M716" s="18">
        <f t="shared" si="324"/>
        <v>1.6384000000000001E-3</v>
      </c>
      <c r="N716" s="18">
        <f t="shared" si="326"/>
        <v>2.1141738066003126E-3</v>
      </c>
      <c r="O716" s="18">
        <f t="shared" si="329"/>
        <v>1.2554090818194415E-2</v>
      </c>
      <c r="P716" s="18">
        <f t="shared" si="331"/>
        <v>5.4729879060556264E-2</v>
      </c>
      <c r="Q716" s="18">
        <f t="shared" si="333"/>
        <v>5.7114259720471468E-4</v>
      </c>
      <c r="R716" s="18">
        <f t="shared" si="335"/>
        <v>7.3677895731413042E-4</v>
      </c>
      <c r="S716" s="18">
        <f t="shared" si="337"/>
        <v>8.4316765213138037E-2</v>
      </c>
      <c r="T716" s="18">
        <f t="shared" si="339"/>
        <v>7.8605449833397067E-2</v>
      </c>
      <c r="U716" s="18">
        <f t="shared" si="341"/>
        <v>3.0885428436194847E-2</v>
      </c>
      <c r="V716" s="18">
        <f t="shared" si="342"/>
        <v>6.4635591519276948E-4</v>
      </c>
      <c r="W716" s="18">
        <f t="shared" ref="W716:W779" si="343">IF(ISNUMBER(D706),D706,"")</f>
        <v>6.0175046742049054E-3</v>
      </c>
      <c r="X716" s="18">
        <f t="shared" si="316"/>
        <v>1.9384080693647182E-3</v>
      </c>
      <c r="Y716" s="18">
        <f t="shared" si="317"/>
        <v>3.0548938983984094E-3</v>
      </c>
      <c r="AA716" s="18">
        <f t="shared" si="327"/>
        <v>-0.13344766887103998</v>
      </c>
      <c r="AB716" s="18">
        <f t="shared" si="328"/>
        <v>1.7808280327114734E-2</v>
      </c>
      <c r="AC716" s="18">
        <f t="shared" si="330"/>
        <v>1.0725400324812997E-4</v>
      </c>
      <c r="AD716" s="18">
        <f t="shared" si="332"/>
        <v>3.1165624413844629E-5</v>
      </c>
      <c r="AE716" s="18">
        <f t="shared" si="334"/>
        <v>4.9251999397536127E-2</v>
      </c>
      <c r="AF716" s="18">
        <f t="shared" si="336"/>
        <v>1.4097388500238705E-3</v>
      </c>
      <c r="AG716" s="18">
        <f t="shared" si="338"/>
        <v>1.4126931742291324E-2</v>
      </c>
      <c r="AH716" s="18">
        <f t="shared" si="340"/>
        <v>2.2321710844097172E-2</v>
      </c>
      <c r="AJ716" s="18">
        <f>IF(ISNUMBER(Kernel!M716),Kernel!M716,"")</f>
        <v>-0.14264887813041516</v>
      </c>
      <c r="AK716" s="18">
        <f t="shared" si="325"/>
        <v>2.0348702431866036E-2</v>
      </c>
      <c r="AN716" s="18">
        <f>IF(ISNUMBER(Volcanic!G716),Volcanic!G716,"")</f>
        <v>7.1000000000000004E-3</v>
      </c>
    </row>
    <row r="717" spans="1:40">
      <c r="A717" s="18" t="str">
        <f>IF(Volcanic!A717="","",Volcanic!A717)</f>
        <v>10/2017</v>
      </c>
      <c r="B717" s="18">
        <f>IF(ISNUMBER(Volcanic!L717),Volcanic!L717,"")</f>
        <v>2017.7916666666667</v>
      </c>
      <c r="C717" s="18">
        <f>IF(ISNUMBER(Volcanic!J717),Volcanic!J717,"")</f>
        <v>-2.6083034657480297E-3</v>
      </c>
      <c r="D717" s="18">
        <f t="shared" si="318"/>
        <v>6.8032469694331836E-6</v>
      </c>
      <c r="E717" s="18">
        <f>IF(ISNUMBER(Volcanic!C717),Volcanic!C717,"")</f>
        <v>0.52828553765041275</v>
      </c>
      <c r="F717" s="18">
        <f>IF(ISNUMBER(Volcanic!D717),Volcanic!D717,"")</f>
        <v>0.14000000000000001</v>
      </c>
      <c r="G717" s="18">
        <f>IF(ISNUMBER(Volcanic!E717),Volcanic!E717,"")</f>
        <v>4.9800000000000001E-3</v>
      </c>
      <c r="H717" s="18">
        <f t="shared" si="319"/>
        <v>0.27908560929058568</v>
      </c>
      <c r="I717" s="18">
        <f t="shared" si="320"/>
        <v>1.9600000000000003E-2</v>
      </c>
      <c r="J717" s="18">
        <f t="shared" si="321"/>
        <v>2.4800400000000001E-5</v>
      </c>
      <c r="K717" s="18">
        <f t="shared" si="322"/>
        <v>7.3959975271057798E-2</v>
      </c>
      <c r="L717" s="18">
        <f t="shared" si="323"/>
        <v>2.6308619774990556E-3</v>
      </c>
      <c r="M717" s="18">
        <f t="shared" si="324"/>
        <v>6.9720000000000003E-4</v>
      </c>
      <c r="N717" s="18">
        <f t="shared" si="326"/>
        <v>2.4513096836340703E-2</v>
      </c>
      <c r="O717" s="18">
        <f t="shared" si="329"/>
        <v>2.1141738066003126E-3</v>
      </c>
      <c r="P717" s="18">
        <f t="shared" si="331"/>
        <v>1.2554090818194415E-2</v>
      </c>
      <c r="Q717" s="18">
        <f t="shared" si="333"/>
        <v>5.4729879060556264E-2</v>
      </c>
      <c r="R717" s="18">
        <f t="shared" si="335"/>
        <v>5.7114259720471468E-4</v>
      </c>
      <c r="S717" s="18">
        <f t="shared" si="337"/>
        <v>7.3677895731413042E-4</v>
      </c>
      <c r="T717" s="18">
        <f t="shared" si="339"/>
        <v>8.4316765213138037E-2</v>
      </c>
      <c r="U717" s="18">
        <f t="shared" si="341"/>
        <v>7.8605449833397067E-2</v>
      </c>
      <c r="V717" s="18">
        <f t="shared" si="342"/>
        <v>3.0885428436194847E-2</v>
      </c>
      <c r="W717" s="18">
        <f t="shared" si="343"/>
        <v>6.4635591519276948E-4</v>
      </c>
      <c r="X717" s="18">
        <f t="shared" ref="X717:X780" si="344">IF(ISNUMBER(D706),D706,"")</f>
        <v>6.0175046742049054E-3</v>
      </c>
      <c r="Y717" s="18">
        <f t="shared" si="317"/>
        <v>1.9384080693647182E-3</v>
      </c>
      <c r="AA717" s="18">
        <f t="shared" si="327"/>
        <v>7.6113728184180482E-2</v>
      </c>
      <c r="AB717" s="18">
        <f t="shared" si="328"/>
        <v>5.7932996180953102E-3</v>
      </c>
      <c r="AC717" s="18">
        <f t="shared" si="330"/>
        <v>1.7808280327114734E-2</v>
      </c>
      <c r="AD717" s="18">
        <f t="shared" si="332"/>
        <v>1.0725400324812997E-4</v>
      </c>
      <c r="AE717" s="18">
        <f t="shared" si="334"/>
        <v>3.1165624413844629E-5</v>
      </c>
      <c r="AF717" s="18">
        <f t="shared" si="336"/>
        <v>4.9251999397536127E-2</v>
      </c>
      <c r="AG717" s="18">
        <f t="shared" si="338"/>
        <v>1.4097388500238705E-3</v>
      </c>
      <c r="AH717" s="18">
        <f t="shared" si="340"/>
        <v>1.4126931742291324E-2</v>
      </c>
      <c r="AJ717" s="18">
        <f>IF(ISNUMBER(Kernel!M717),Kernel!M717,"")</f>
        <v>7.2199463465877356E-3</v>
      </c>
      <c r="AK717" s="18">
        <f t="shared" si="325"/>
        <v>5.2127625247605593E-5</v>
      </c>
      <c r="AN717" s="18">
        <f>IF(ISNUMBER(Volcanic!G717),Volcanic!G717,"")</f>
        <v>6.8500000000000002E-3</v>
      </c>
    </row>
    <row r="718" spans="1:40">
      <c r="A718" s="18" t="str">
        <f>IF(Volcanic!A718="","",Volcanic!A718)</f>
        <v>11/2017</v>
      </c>
      <c r="B718" s="18">
        <f>IF(ISNUMBER(Volcanic!L718),Volcanic!L718,"")</f>
        <v>2017.875</v>
      </c>
      <c r="C718" s="18">
        <f>IF(ISNUMBER(Volcanic!J718),Volcanic!J718,"")</f>
        <v>-7.8553095936867434E-3</v>
      </c>
      <c r="D718" s="18">
        <f t="shared" si="318"/>
        <v>6.1705888812666986E-5</v>
      </c>
      <c r="E718" s="18">
        <f>IF(ISNUMBER(Volcanic!C718),Volcanic!C718,"")</f>
        <v>0.53359894350795678</v>
      </c>
      <c r="F718" s="18">
        <f>IF(ISNUMBER(Volcanic!D718),Volcanic!D718,"")</f>
        <v>-7.0000000000000007E-2</v>
      </c>
      <c r="G718" s="18">
        <f>IF(ISNUMBER(Volcanic!E718),Volcanic!E718,"")</f>
        <v>4.8700000000000002E-3</v>
      </c>
      <c r="H718" s="18">
        <f t="shared" si="319"/>
        <v>0.28472783251280764</v>
      </c>
      <c r="I718" s="18">
        <f t="shared" si="320"/>
        <v>4.9000000000000007E-3</v>
      </c>
      <c r="J718" s="18">
        <f t="shared" si="321"/>
        <v>2.3716900000000003E-5</v>
      </c>
      <c r="K718" s="18">
        <f t="shared" si="322"/>
        <v>-3.7351926045556975E-2</v>
      </c>
      <c r="L718" s="18">
        <f t="shared" si="323"/>
        <v>2.5986268548837494E-3</v>
      </c>
      <c r="M718" s="18">
        <f t="shared" si="324"/>
        <v>-3.4090000000000005E-4</v>
      </c>
      <c r="N718" s="18">
        <f t="shared" si="326"/>
        <v>6.8032469694331836E-6</v>
      </c>
      <c r="O718" s="18">
        <f t="shared" si="329"/>
        <v>2.4513096836340703E-2</v>
      </c>
      <c r="P718" s="18">
        <f t="shared" si="331"/>
        <v>2.1141738066003126E-3</v>
      </c>
      <c r="Q718" s="18">
        <f t="shared" si="333"/>
        <v>1.2554090818194415E-2</v>
      </c>
      <c r="R718" s="18">
        <f t="shared" si="335"/>
        <v>5.4729879060556264E-2</v>
      </c>
      <c r="S718" s="18">
        <f t="shared" si="337"/>
        <v>5.7114259720471468E-4</v>
      </c>
      <c r="T718" s="18">
        <f t="shared" si="339"/>
        <v>7.3677895731413042E-4</v>
      </c>
      <c r="U718" s="18">
        <f t="shared" si="341"/>
        <v>8.4316765213138037E-2</v>
      </c>
      <c r="V718" s="18">
        <f t="shared" si="342"/>
        <v>7.8605449833397067E-2</v>
      </c>
      <c r="W718" s="18">
        <f t="shared" si="343"/>
        <v>3.0885428436194847E-2</v>
      </c>
      <c r="X718" s="18">
        <f t="shared" si="344"/>
        <v>6.4635591519276948E-4</v>
      </c>
      <c r="Y718" s="18">
        <f t="shared" ref="Y718:Y781" si="345">IF(ISNUMBER(D706),D706,"")</f>
        <v>6.0175046742049054E-3</v>
      </c>
      <c r="AA718" s="18">
        <f t="shared" si="327"/>
        <v>-6.5438487698596575E-3</v>
      </c>
      <c r="AB718" s="18">
        <f t="shared" si="328"/>
        <v>4.282195672279375E-5</v>
      </c>
      <c r="AC718" s="18">
        <f t="shared" si="330"/>
        <v>5.7932996180953102E-3</v>
      </c>
      <c r="AD718" s="18">
        <f t="shared" si="332"/>
        <v>1.7808280327114734E-2</v>
      </c>
      <c r="AE718" s="18">
        <f t="shared" si="334"/>
        <v>1.0725400324812997E-4</v>
      </c>
      <c r="AF718" s="18">
        <f t="shared" si="336"/>
        <v>3.1165624413844629E-5</v>
      </c>
      <c r="AG718" s="18">
        <f t="shared" si="338"/>
        <v>4.9251999397536127E-2</v>
      </c>
      <c r="AH718" s="18">
        <f t="shared" si="340"/>
        <v>1.4097388500238705E-3</v>
      </c>
      <c r="AJ718" s="18">
        <f>IF(ISNUMBER(Kernel!M718),Kernel!M718,"")</f>
        <v>-3.1335765744854305E-3</v>
      </c>
      <c r="AK718" s="18">
        <f t="shared" si="325"/>
        <v>9.8193021481638449E-6</v>
      </c>
      <c r="AN718" s="18">
        <f>IF(ISNUMBER(Volcanic!G718),Volcanic!G718,"")</f>
        <v>6.5399999999999998E-3</v>
      </c>
    </row>
    <row r="719" spans="1:40">
      <c r="A719" s="18" t="str">
        <f>IF(Volcanic!A719="","",Volcanic!A719)</f>
        <v>12/2017</v>
      </c>
      <c r="B719" s="18">
        <f>IF(ISNUMBER(Volcanic!L719),Volcanic!L719,"")</f>
        <v>2017.9583333333333</v>
      </c>
      <c r="C719" s="18">
        <f>IF(ISNUMBER(Volcanic!J719),Volcanic!J719,"")</f>
        <v>5.0355048118353452E-2</v>
      </c>
      <c r="D719" s="18">
        <f t="shared" si="318"/>
        <v>2.5356308710016914E-3</v>
      </c>
      <c r="E719" s="18">
        <f>IF(ISNUMBER(Volcanic!C719),Volcanic!C719,"")</f>
        <v>0.53960196732128063</v>
      </c>
      <c r="F719" s="18">
        <f>IF(ISNUMBER(Volcanic!D719),Volcanic!D719,"")</f>
        <v>-0.23</v>
      </c>
      <c r="G719" s="18">
        <f>IF(ISNUMBER(Volcanic!E719),Volcanic!E719,"")</f>
        <v>4.7499999999999999E-3</v>
      </c>
      <c r="H719" s="18">
        <f t="shared" si="319"/>
        <v>0.29117028313699639</v>
      </c>
      <c r="I719" s="18">
        <f t="shared" si="320"/>
        <v>5.2900000000000003E-2</v>
      </c>
      <c r="J719" s="18">
        <f t="shared" si="321"/>
        <v>2.25625E-5</v>
      </c>
      <c r="K719" s="18">
        <f t="shared" si="322"/>
        <v>-0.12410845248389454</v>
      </c>
      <c r="L719" s="18">
        <f t="shared" si="323"/>
        <v>2.5631093447760827E-3</v>
      </c>
      <c r="M719" s="18">
        <f t="shared" si="324"/>
        <v>-1.0924999999999999E-3</v>
      </c>
      <c r="N719" s="18">
        <f t="shared" si="326"/>
        <v>6.1705888812666986E-5</v>
      </c>
      <c r="O719" s="18">
        <f t="shared" si="329"/>
        <v>6.8032469694331836E-6</v>
      </c>
      <c r="P719" s="18">
        <f t="shared" si="331"/>
        <v>2.4513096836340703E-2</v>
      </c>
      <c r="Q719" s="18">
        <f t="shared" si="333"/>
        <v>2.1141738066003126E-3</v>
      </c>
      <c r="R719" s="18">
        <f t="shared" si="335"/>
        <v>1.2554090818194415E-2</v>
      </c>
      <c r="S719" s="18">
        <f t="shared" si="337"/>
        <v>5.4729879060556264E-2</v>
      </c>
      <c r="T719" s="18">
        <f t="shared" si="339"/>
        <v>5.7114259720471468E-4</v>
      </c>
      <c r="U719" s="18">
        <f t="shared" si="341"/>
        <v>7.3677895731413042E-4</v>
      </c>
      <c r="V719" s="18">
        <f t="shared" si="342"/>
        <v>8.4316765213138037E-2</v>
      </c>
      <c r="W719" s="18">
        <f t="shared" si="343"/>
        <v>7.8605449833397067E-2</v>
      </c>
      <c r="X719" s="18">
        <f t="shared" si="344"/>
        <v>3.0885428436194847E-2</v>
      </c>
      <c r="Y719" s="18">
        <f t="shared" si="345"/>
        <v>6.4635591519276948E-4</v>
      </c>
      <c r="AA719" s="18">
        <f t="shared" si="327"/>
        <v>5.4304715373884531E-2</v>
      </c>
      <c r="AB719" s="18">
        <f t="shared" si="328"/>
        <v>2.9490021118386109E-3</v>
      </c>
      <c r="AC719" s="18">
        <f t="shared" si="330"/>
        <v>4.282195672279375E-5</v>
      </c>
      <c r="AD719" s="18">
        <f t="shared" si="332"/>
        <v>5.7932996180953102E-3</v>
      </c>
      <c r="AE719" s="18">
        <f t="shared" si="334"/>
        <v>1.7808280327114734E-2</v>
      </c>
      <c r="AF719" s="18">
        <f t="shared" si="336"/>
        <v>1.0725400324812997E-4</v>
      </c>
      <c r="AG719" s="18">
        <f t="shared" si="338"/>
        <v>3.1165624413844629E-5</v>
      </c>
      <c r="AH719" s="18">
        <f t="shared" si="340"/>
        <v>4.9251999397536127E-2</v>
      </c>
      <c r="AJ719" s="18">
        <f>IF(ISNUMBER(Kernel!M719),Kernel!M719,"")</f>
        <v>5.566622640813923E-2</v>
      </c>
      <c r="AK719" s="18">
        <f t="shared" si="325"/>
        <v>3.0987287625222175E-3</v>
      </c>
      <c r="AN719" s="18">
        <f>IF(ISNUMBER(Volcanic!G719),Volcanic!G719,"")</f>
        <v>6.2100000000000002E-3</v>
      </c>
    </row>
    <row r="720" spans="1:40">
      <c r="A720" s="18" t="str">
        <f>IF(Volcanic!A720="","",Volcanic!A720)</f>
        <v>1/2018</v>
      </c>
      <c r="B720" s="18">
        <f>IF(ISNUMBER(Volcanic!L720),Volcanic!L720,"")</f>
        <v>2018.0416666666667</v>
      </c>
      <c r="C720" s="18">
        <f>IF(ISNUMBER(Volcanic!J720),Volcanic!J720,"")</f>
        <v>-5.159048256938259E-2</v>
      </c>
      <c r="D720" s="18">
        <f t="shared" si="318"/>
        <v>2.661577891741769E-3</v>
      </c>
      <c r="E720" s="18">
        <f>IF(ISNUMBER(Volcanic!C720),Volcanic!C720,"")</f>
        <v>0.54367263013850597</v>
      </c>
      <c r="F720" s="18">
        <f>IF(ISNUMBER(Volcanic!D720),Volcanic!D720,"")</f>
        <v>-0.44</v>
      </c>
      <c r="G720" s="18">
        <f>IF(ISNUMBER(Volcanic!E720),Volcanic!E720,"")</f>
        <v>4.5999999999999999E-3</v>
      </c>
      <c r="H720" s="18">
        <f t="shared" si="319"/>
        <v>0.29557992876172073</v>
      </c>
      <c r="I720" s="18">
        <f t="shared" si="320"/>
        <v>0.19359999999999999</v>
      </c>
      <c r="J720" s="18">
        <f t="shared" si="321"/>
        <v>2.1160000000000001E-5</v>
      </c>
      <c r="K720" s="18">
        <f t="shared" si="322"/>
        <v>-0.23921595726094264</v>
      </c>
      <c r="L720" s="18">
        <f t="shared" si="323"/>
        <v>2.5008940986371276E-3</v>
      </c>
      <c r="M720" s="18">
        <f t="shared" si="324"/>
        <v>-2.0240000000000002E-3</v>
      </c>
      <c r="N720" s="18">
        <f t="shared" si="326"/>
        <v>2.5356308710016914E-3</v>
      </c>
      <c r="O720" s="18">
        <f t="shared" si="329"/>
        <v>6.1705888812666986E-5</v>
      </c>
      <c r="P720" s="18">
        <f t="shared" si="331"/>
        <v>6.8032469694331836E-6</v>
      </c>
      <c r="Q720" s="18">
        <f t="shared" si="333"/>
        <v>2.4513096836340703E-2</v>
      </c>
      <c r="R720" s="18">
        <f t="shared" si="335"/>
        <v>2.1141738066003126E-3</v>
      </c>
      <c r="S720" s="18">
        <f t="shared" si="337"/>
        <v>1.2554090818194415E-2</v>
      </c>
      <c r="T720" s="18">
        <f t="shared" si="339"/>
        <v>5.4729879060556264E-2</v>
      </c>
      <c r="U720" s="18">
        <f t="shared" si="341"/>
        <v>5.7114259720471468E-4</v>
      </c>
      <c r="V720" s="18">
        <f t="shared" si="342"/>
        <v>7.3677895731413042E-4</v>
      </c>
      <c r="W720" s="18">
        <f t="shared" si="343"/>
        <v>8.4316765213138037E-2</v>
      </c>
      <c r="X720" s="18">
        <f t="shared" si="344"/>
        <v>7.8605449833397067E-2</v>
      </c>
      <c r="Y720" s="18">
        <f t="shared" si="345"/>
        <v>3.0885428436194847E-2</v>
      </c>
      <c r="AA720" s="18">
        <f t="shared" si="327"/>
        <v>-7.690911353252064E-2</v>
      </c>
      <c r="AB720" s="18">
        <f t="shared" si="328"/>
        <v>5.9150117443581493E-3</v>
      </c>
      <c r="AC720" s="18">
        <f t="shared" si="330"/>
        <v>2.9490021118386109E-3</v>
      </c>
      <c r="AD720" s="18">
        <f t="shared" si="332"/>
        <v>4.282195672279375E-5</v>
      </c>
      <c r="AE720" s="18">
        <f t="shared" si="334"/>
        <v>5.7932996180953102E-3</v>
      </c>
      <c r="AF720" s="18">
        <f t="shared" si="336"/>
        <v>1.7808280327114734E-2</v>
      </c>
      <c r="AG720" s="18">
        <f t="shared" si="338"/>
        <v>1.0725400324812997E-4</v>
      </c>
      <c r="AH720" s="18">
        <f t="shared" si="340"/>
        <v>3.1165624413844629E-5</v>
      </c>
      <c r="AJ720" s="18">
        <f>IF(ISNUMBER(Kernel!M720),Kernel!M720,"")</f>
        <v>-5.3789653526999714E-2</v>
      </c>
      <c r="AK720" s="18">
        <f t="shared" si="325"/>
        <v>2.8933268265546727E-3</v>
      </c>
      <c r="AN720" s="18">
        <f>IF(ISNUMBER(Volcanic!G720),Volcanic!G720,"")</f>
        <v>5.8700000000000002E-3</v>
      </c>
    </row>
    <row r="721" spans="1:40">
      <c r="A721" s="18" t="str">
        <f>IF(Volcanic!A721="","",Volcanic!A721)</f>
        <v>2/2018</v>
      </c>
      <c r="B721" s="18">
        <f>IF(ISNUMBER(Volcanic!L721),Volcanic!L721,"")</f>
        <v>2018.125</v>
      </c>
      <c r="C721" s="18">
        <f>IF(ISNUMBER(Volcanic!J721),Volcanic!J721,"")</f>
        <v>-9.4467764766287265E-3</v>
      </c>
      <c r="D721" s="18">
        <f t="shared" si="318"/>
        <v>8.9241585799385855E-5</v>
      </c>
      <c r="E721" s="18">
        <f>IF(ISNUMBER(Volcanic!C721),Volcanic!C721,"")</f>
        <v>0.54497988325580371</v>
      </c>
      <c r="F721" s="18">
        <f>IF(ISNUMBER(Volcanic!D721),Volcanic!D721,"")</f>
        <v>-0.61</v>
      </c>
      <c r="G721" s="18">
        <f>IF(ISNUMBER(Volcanic!E721),Volcanic!E721,"")</f>
        <v>4.5700000000000003E-3</v>
      </c>
      <c r="H721" s="18">
        <f t="shared" si="319"/>
        <v>0.29700307315350943</v>
      </c>
      <c r="I721" s="18">
        <f t="shared" si="320"/>
        <v>0.37209999999999999</v>
      </c>
      <c r="J721" s="18">
        <f t="shared" si="321"/>
        <v>2.0884900000000004E-5</v>
      </c>
      <c r="K721" s="18">
        <f t="shared" si="322"/>
        <v>-0.33243772878604028</v>
      </c>
      <c r="L721" s="18">
        <f t="shared" si="323"/>
        <v>2.4905580664790232E-3</v>
      </c>
      <c r="M721" s="18">
        <f t="shared" si="324"/>
        <v>-2.7877000000000002E-3</v>
      </c>
      <c r="N721" s="18">
        <f t="shared" si="326"/>
        <v>2.661577891741769E-3</v>
      </c>
      <c r="O721" s="18">
        <f t="shared" si="329"/>
        <v>2.5356308710016914E-3</v>
      </c>
      <c r="P721" s="18">
        <f t="shared" si="331"/>
        <v>6.1705888812666986E-5</v>
      </c>
      <c r="Q721" s="18">
        <f t="shared" si="333"/>
        <v>6.8032469694331836E-6</v>
      </c>
      <c r="R721" s="18">
        <f t="shared" si="335"/>
        <v>2.4513096836340703E-2</v>
      </c>
      <c r="S721" s="18">
        <f t="shared" si="337"/>
        <v>2.1141738066003126E-3</v>
      </c>
      <c r="T721" s="18">
        <f t="shared" si="339"/>
        <v>1.2554090818194415E-2</v>
      </c>
      <c r="U721" s="18">
        <f t="shared" si="341"/>
        <v>5.4729879060556264E-2</v>
      </c>
      <c r="V721" s="18">
        <f t="shared" si="342"/>
        <v>5.7114259720471468E-4</v>
      </c>
      <c r="W721" s="18">
        <f t="shared" si="343"/>
        <v>7.3677895731413042E-4</v>
      </c>
      <c r="X721" s="18">
        <f t="shared" si="344"/>
        <v>8.4316765213138037E-2</v>
      </c>
      <c r="Y721" s="18">
        <f t="shared" si="345"/>
        <v>7.8605449833397067E-2</v>
      </c>
      <c r="AA721" s="18">
        <f t="shared" si="327"/>
        <v>1.6493033695220143E-2</v>
      </c>
      <c r="AB721" s="18">
        <f t="shared" si="328"/>
        <v>2.7202016047166698E-4</v>
      </c>
      <c r="AC721" s="18">
        <f t="shared" si="330"/>
        <v>5.9150117443581493E-3</v>
      </c>
      <c r="AD721" s="18">
        <f t="shared" si="332"/>
        <v>2.9490021118386109E-3</v>
      </c>
      <c r="AE721" s="18">
        <f t="shared" si="334"/>
        <v>4.282195672279375E-5</v>
      </c>
      <c r="AF721" s="18">
        <f t="shared" si="336"/>
        <v>5.7932996180953102E-3</v>
      </c>
      <c r="AG721" s="18">
        <f t="shared" si="338"/>
        <v>1.7808280327114734E-2</v>
      </c>
      <c r="AH721" s="18">
        <f t="shared" si="340"/>
        <v>1.0725400324812997E-4</v>
      </c>
      <c r="AJ721" s="18">
        <f>IF(ISNUMBER(Kernel!M721),Kernel!M721,"")</f>
        <v>-1.8466413180618702E-2</v>
      </c>
      <c r="AK721" s="18">
        <f t="shared" si="325"/>
        <v>3.410084157573281E-4</v>
      </c>
      <c r="AN721" s="18">
        <f>IF(ISNUMBER(Volcanic!G721),Volcanic!G721,"")</f>
        <v>5.6899999999999997E-3</v>
      </c>
    </row>
    <row r="722" spans="1:40">
      <c r="A722" s="18" t="str">
        <f>IF(Volcanic!A722="","",Volcanic!A722)</f>
        <v>3/2018</v>
      </c>
      <c r="B722" s="18">
        <f>IF(ISNUMBER(Volcanic!L722),Volcanic!L722,"")</f>
        <v>2018.2083333333333</v>
      </c>
      <c r="C722" s="18">
        <f>IF(ISNUMBER(Volcanic!J722),Volcanic!J722,"")</f>
        <v>2.4377795680544101E-2</v>
      </c>
      <c r="D722" s="18">
        <f t="shared" si="318"/>
        <v>5.9427692224235467E-4</v>
      </c>
      <c r="E722" s="18">
        <f>IF(ISNUMBER(Volcanic!C722),Volcanic!C722,"")</f>
        <v>0.54875366569081085</v>
      </c>
      <c r="F722" s="18">
        <f>IF(ISNUMBER(Volcanic!D722),Volcanic!D722,"")</f>
        <v>-0.76</v>
      </c>
      <c r="G722" s="18">
        <f>IF(ISNUMBER(Volcanic!E722),Volcanic!E722,"")</f>
        <v>4.6600000000000001E-3</v>
      </c>
      <c r="H722" s="18">
        <f t="shared" si="319"/>
        <v>0.30113058560910222</v>
      </c>
      <c r="I722" s="18">
        <f t="shared" si="320"/>
        <v>0.5776</v>
      </c>
      <c r="J722" s="18">
        <f t="shared" si="321"/>
        <v>2.1715599999999999E-5</v>
      </c>
      <c r="K722" s="18">
        <f t="shared" si="322"/>
        <v>-0.41705278592501627</v>
      </c>
      <c r="L722" s="18">
        <f t="shared" si="323"/>
        <v>2.5571920821191784E-3</v>
      </c>
      <c r="M722" s="18">
        <f t="shared" si="324"/>
        <v>-3.5416000000000002E-3</v>
      </c>
      <c r="N722" s="18">
        <f t="shared" si="326"/>
        <v>8.9241585799385855E-5</v>
      </c>
      <c r="O722" s="18">
        <f t="shared" si="329"/>
        <v>2.661577891741769E-3</v>
      </c>
      <c r="P722" s="18">
        <f t="shared" si="331"/>
        <v>2.5356308710016914E-3</v>
      </c>
      <c r="Q722" s="18">
        <f t="shared" si="333"/>
        <v>6.1705888812666986E-5</v>
      </c>
      <c r="R722" s="18">
        <f t="shared" si="335"/>
        <v>6.8032469694331836E-6</v>
      </c>
      <c r="S722" s="18">
        <f t="shared" si="337"/>
        <v>2.4513096836340703E-2</v>
      </c>
      <c r="T722" s="18">
        <f t="shared" si="339"/>
        <v>2.1141738066003126E-3</v>
      </c>
      <c r="U722" s="18">
        <f t="shared" si="341"/>
        <v>1.2554090818194415E-2</v>
      </c>
      <c r="V722" s="18">
        <f t="shared" si="342"/>
        <v>5.4729879060556264E-2</v>
      </c>
      <c r="W722" s="18">
        <f t="shared" si="343"/>
        <v>5.7114259720471468E-4</v>
      </c>
      <c r="X722" s="18">
        <f t="shared" si="344"/>
        <v>7.3677895731413042E-4</v>
      </c>
      <c r="Y722" s="18">
        <f t="shared" si="345"/>
        <v>8.4316765213138037E-2</v>
      </c>
      <c r="AA722" s="18">
        <f t="shared" si="327"/>
        <v>2.9127656048880041E-2</v>
      </c>
      <c r="AB722" s="18">
        <f t="shared" si="328"/>
        <v>8.4842034690185805E-4</v>
      </c>
      <c r="AC722" s="18">
        <f t="shared" si="330"/>
        <v>2.7202016047166698E-4</v>
      </c>
      <c r="AD722" s="18">
        <f t="shared" si="332"/>
        <v>5.9150117443581493E-3</v>
      </c>
      <c r="AE722" s="18">
        <f t="shared" si="334"/>
        <v>2.9490021118386109E-3</v>
      </c>
      <c r="AF722" s="18">
        <f t="shared" si="336"/>
        <v>4.282195672279375E-5</v>
      </c>
      <c r="AG722" s="18">
        <f t="shared" si="338"/>
        <v>5.7932996180953102E-3</v>
      </c>
      <c r="AH722" s="18">
        <f t="shared" si="340"/>
        <v>1.7808280327114734E-2</v>
      </c>
      <c r="AJ722" s="18">
        <f>IF(ISNUMBER(Kernel!M722),Kernel!M722,"")</f>
        <v>6.1351602905953539E-3</v>
      </c>
      <c r="AK722" s="18">
        <f t="shared" si="325"/>
        <v>3.7640191791298065E-5</v>
      </c>
      <c r="AN722" s="18">
        <f>IF(ISNUMBER(Volcanic!G722),Volcanic!G722,"")</f>
        <v>5.3800000000000002E-3</v>
      </c>
    </row>
    <row r="723" spans="1:40">
      <c r="A723" s="18" t="str">
        <f>IF(Volcanic!A723="","",Volcanic!A723)</f>
        <v>4/2018</v>
      </c>
      <c r="B723" s="18">
        <f>IF(ISNUMBER(Volcanic!L723),Volcanic!L723,"")</f>
        <v>2018.2916666666667</v>
      </c>
      <c r="C723" s="18">
        <f>IF(ISNUMBER(Volcanic!J723),Volcanic!J723,"")</f>
        <v>1.6853729183090138E-2</v>
      </c>
      <c r="D723" s="18">
        <f t="shared" si="318"/>
        <v>2.8404818737694416E-4</v>
      </c>
      <c r="E723" s="18">
        <f>IF(ISNUMBER(Volcanic!C723),Volcanic!C723,"")</f>
        <v>0.55177966000822387</v>
      </c>
      <c r="F723" s="18">
        <f>IF(ISNUMBER(Volcanic!D723),Volcanic!D723,"")</f>
        <v>-0.71</v>
      </c>
      <c r="G723" s="18">
        <f>IF(ISNUMBER(Volcanic!E723),Volcanic!E723,"")</f>
        <v>7.1000000000000004E-3</v>
      </c>
      <c r="H723" s="18">
        <f t="shared" si="319"/>
        <v>0.3044607931987911</v>
      </c>
      <c r="I723" s="18">
        <f t="shared" si="320"/>
        <v>0.50409999999999999</v>
      </c>
      <c r="J723" s="18">
        <f t="shared" si="321"/>
        <v>5.0410000000000007E-5</v>
      </c>
      <c r="K723" s="18">
        <f t="shared" si="322"/>
        <v>-0.39176355860583895</v>
      </c>
      <c r="L723" s="18">
        <f t="shared" si="323"/>
        <v>3.9176355860583894E-3</v>
      </c>
      <c r="M723" s="18">
        <f t="shared" si="324"/>
        <v>-5.0410000000000003E-3</v>
      </c>
      <c r="N723" s="18">
        <f t="shared" si="326"/>
        <v>5.9427692224235467E-4</v>
      </c>
      <c r="O723" s="18">
        <f t="shared" si="329"/>
        <v>8.9241585799385855E-5</v>
      </c>
      <c r="P723" s="18">
        <f t="shared" si="331"/>
        <v>2.661577891741769E-3</v>
      </c>
      <c r="Q723" s="18">
        <f t="shared" si="333"/>
        <v>2.5356308710016914E-3</v>
      </c>
      <c r="R723" s="18">
        <f t="shared" si="335"/>
        <v>6.1705888812666986E-5</v>
      </c>
      <c r="S723" s="18">
        <f t="shared" si="337"/>
        <v>6.8032469694331836E-6</v>
      </c>
      <c r="T723" s="18">
        <f t="shared" si="339"/>
        <v>2.4513096836340703E-2</v>
      </c>
      <c r="U723" s="18">
        <f t="shared" si="341"/>
        <v>2.1141738066003126E-3</v>
      </c>
      <c r="V723" s="18">
        <f t="shared" si="342"/>
        <v>1.2554090818194415E-2</v>
      </c>
      <c r="W723" s="18">
        <f t="shared" si="343"/>
        <v>5.4729879060556264E-2</v>
      </c>
      <c r="X723" s="18">
        <f t="shared" si="344"/>
        <v>5.7114259720471468E-4</v>
      </c>
      <c r="Y723" s="18">
        <f t="shared" si="345"/>
        <v>7.3677895731413042E-4</v>
      </c>
      <c r="AA723" s="18">
        <f t="shared" si="327"/>
        <v>4.5965189212749998E-3</v>
      </c>
      <c r="AB723" s="18">
        <f t="shared" si="328"/>
        <v>2.1127986193639087E-5</v>
      </c>
      <c r="AC723" s="18">
        <f t="shared" si="330"/>
        <v>8.4842034690185805E-4</v>
      </c>
      <c r="AD723" s="18">
        <f t="shared" si="332"/>
        <v>2.7202016047166698E-4</v>
      </c>
      <c r="AE723" s="18">
        <f t="shared" si="334"/>
        <v>5.9150117443581493E-3</v>
      </c>
      <c r="AF723" s="18">
        <f t="shared" si="336"/>
        <v>2.9490021118386109E-3</v>
      </c>
      <c r="AG723" s="18">
        <f t="shared" si="338"/>
        <v>4.282195672279375E-5</v>
      </c>
      <c r="AH723" s="18">
        <f t="shared" si="340"/>
        <v>5.7932996180953102E-3</v>
      </c>
      <c r="AJ723" s="18">
        <f>IF(ISNUMBER(Kernel!M723),Kernel!M723,"")</f>
        <v>-2.3715878570296223E-3</v>
      </c>
      <c r="AK723" s="18">
        <f t="shared" si="325"/>
        <v>5.6244289636103559E-6</v>
      </c>
      <c r="AN723" s="18">
        <f>IF(ISNUMBER(Volcanic!G723),Volcanic!G723,"")</f>
        <v>5.2100000000000002E-3</v>
      </c>
    </row>
    <row r="724" spans="1:40">
      <c r="A724" s="18" t="str">
        <f>IF(Volcanic!A724="","",Volcanic!A724)</f>
        <v>5/2018</v>
      </c>
      <c r="B724" s="18">
        <f>IF(ISNUMBER(Volcanic!L724),Volcanic!L724,"")</f>
        <v>2018.375</v>
      </c>
      <c r="C724" s="18">
        <f>IF(ISNUMBER(Volcanic!J724),Volcanic!J724,"")</f>
        <v>-6.6887523498253998E-2</v>
      </c>
      <c r="D724" s="18">
        <f t="shared" si="318"/>
        <v>4.4739407997294806E-3</v>
      </c>
      <c r="E724" s="18">
        <f>IF(ISNUMBER(Volcanic!C724),Volcanic!C724,"")</f>
        <v>0.55525523163276624</v>
      </c>
      <c r="F724" s="18">
        <f>IF(ISNUMBER(Volcanic!D724),Volcanic!D724,"")</f>
        <v>-0.67</v>
      </c>
      <c r="G724" s="18">
        <f>IF(ISNUMBER(Volcanic!E724),Volcanic!E724,"")</f>
        <v>6.8500000000000002E-3</v>
      </c>
      <c r="H724" s="18">
        <f t="shared" si="319"/>
        <v>0.30830837225555691</v>
      </c>
      <c r="I724" s="18">
        <f t="shared" si="320"/>
        <v>0.44890000000000008</v>
      </c>
      <c r="J724" s="18">
        <f t="shared" si="321"/>
        <v>4.6922500000000003E-5</v>
      </c>
      <c r="K724" s="18">
        <f t="shared" si="322"/>
        <v>-0.37202100519395342</v>
      </c>
      <c r="L724" s="18">
        <f t="shared" si="323"/>
        <v>3.8034983366844488E-3</v>
      </c>
      <c r="M724" s="18">
        <f t="shared" si="324"/>
        <v>-4.5895000000000007E-3</v>
      </c>
      <c r="N724" s="18">
        <f t="shared" si="326"/>
        <v>2.8404818737694416E-4</v>
      </c>
      <c r="O724" s="18">
        <f t="shared" si="329"/>
        <v>5.9427692224235467E-4</v>
      </c>
      <c r="P724" s="18">
        <f t="shared" si="331"/>
        <v>8.9241585799385855E-5</v>
      </c>
      <c r="Q724" s="18">
        <f t="shared" si="333"/>
        <v>2.661577891741769E-3</v>
      </c>
      <c r="R724" s="18">
        <f t="shared" si="335"/>
        <v>2.5356308710016914E-3</v>
      </c>
      <c r="S724" s="18">
        <f t="shared" si="337"/>
        <v>6.1705888812666986E-5</v>
      </c>
      <c r="T724" s="18">
        <f t="shared" si="339"/>
        <v>6.8032469694331836E-6</v>
      </c>
      <c r="U724" s="18">
        <f t="shared" si="341"/>
        <v>2.4513096836340703E-2</v>
      </c>
      <c r="V724" s="18">
        <f t="shared" si="342"/>
        <v>2.1141738066003126E-3</v>
      </c>
      <c r="W724" s="18">
        <f t="shared" si="343"/>
        <v>1.2554090818194415E-2</v>
      </c>
      <c r="X724" s="18">
        <f t="shared" si="344"/>
        <v>5.4729879060556264E-2</v>
      </c>
      <c r="Y724" s="18">
        <f t="shared" si="345"/>
        <v>5.7114259720471468E-4</v>
      </c>
      <c r="AA724" s="18">
        <f t="shared" si="327"/>
        <v>-7.5361616275136892E-2</v>
      </c>
      <c r="AB724" s="18">
        <f t="shared" si="328"/>
        <v>5.6793732076009778E-3</v>
      </c>
      <c r="AC724" s="18">
        <f t="shared" si="330"/>
        <v>2.1127986193639087E-5</v>
      </c>
      <c r="AD724" s="18">
        <f t="shared" si="332"/>
        <v>8.4842034690185805E-4</v>
      </c>
      <c r="AE724" s="18">
        <f t="shared" si="334"/>
        <v>2.7202016047166698E-4</v>
      </c>
      <c r="AF724" s="18">
        <f t="shared" si="336"/>
        <v>5.9150117443581493E-3</v>
      </c>
      <c r="AG724" s="18">
        <f t="shared" si="338"/>
        <v>2.9490021118386109E-3</v>
      </c>
      <c r="AH724" s="18">
        <f t="shared" si="340"/>
        <v>4.282195672279375E-5</v>
      </c>
      <c r="AJ724" s="18">
        <f>IF(ISNUMBER(Kernel!M724),Kernel!M724,"")</f>
        <v>-8.8093742950687282E-2</v>
      </c>
      <c r="AK724" s="18">
        <f t="shared" si="325"/>
        <v>7.7605075470617655E-3</v>
      </c>
      <c r="AN724" s="18">
        <f>IF(ISNUMBER(Volcanic!G724),Volcanic!G724,"")</f>
        <v>5.3299999999999997E-3</v>
      </c>
    </row>
    <row r="725" spans="1:40">
      <c r="A725" s="18" t="str">
        <f>IF(Volcanic!A725="","",Volcanic!A725)</f>
        <v>6/2018</v>
      </c>
      <c r="B725" s="18">
        <f>IF(ISNUMBER(Volcanic!L725),Volcanic!L725,"")</f>
        <v>2018.4583333333333</v>
      </c>
      <c r="C725" s="18">
        <f>IF(ISNUMBER(Volcanic!J725),Volcanic!J725,"")</f>
        <v>-0.11439906351874385</v>
      </c>
      <c r="D725" s="18">
        <f t="shared" si="318"/>
        <v>1.3087145733965589E-2</v>
      </c>
      <c r="E725" s="18">
        <f>IF(ISNUMBER(Volcanic!C725),Volcanic!C725,"")</f>
        <v>0.55367646424055572</v>
      </c>
      <c r="F725" s="18">
        <f>IF(ISNUMBER(Volcanic!D725),Volcanic!D725,"")</f>
        <v>-0.55000000000000004</v>
      </c>
      <c r="G725" s="18">
        <f>IF(ISNUMBER(Volcanic!E725),Volcanic!E725,"")</f>
        <v>6.5399999999999998E-3</v>
      </c>
      <c r="H725" s="18">
        <f t="shared" si="319"/>
        <v>0.30655762705392336</v>
      </c>
      <c r="I725" s="18">
        <f t="shared" si="320"/>
        <v>0.30250000000000005</v>
      </c>
      <c r="J725" s="18">
        <f t="shared" si="321"/>
        <v>4.2771599999999996E-5</v>
      </c>
      <c r="K725" s="18">
        <f t="shared" si="322"/>
        <v>-0.3045220553323057</v>
      </c>
      <c r="L725" s="18">
        <f t="shared" si="323"/>
        <v>3.6210440761332342E-3</v>
      </c>
      <c r="M725" s="18">
        <f t="shared" si="324"/>
        <v>-3.5970000000000004E-3</v>
      </c>
      <c r="N725" s="18">
        <f t="shared" si="326"/>
        <v>4.4739407997294806E-3</v>
      </c>
      <c r="O725" s="18">
        <f t="shared" si="329"/>
        <v>2.8404818737694416E-4</v>
      </c>
      <c r="P725" s="18">
        <f t="shared" si="331"/>
        <v>5.9427692224235467E-4</v>
      </c>
      <c r="Q725" s="18">
        <f t="shared" si="333"/>
        <v>8.9241585799385855E-5</v>
      </c>
      <c r="R725" s="18">
        <f t="shared" si="335"/>
        <v>2.661577891741769E-3</v>
      </c>
      <c r="S725" s="18">
        <f t="shared" si="337"/>
        <v>2.5356308710016914E-3</v>
      </c>
      <c r="T725" s="18">
        <f t="shared" si="339"/>
        <v>6.1705888812666986E-5</v>
      </c>
      <c r="U725" s="18">
        <f t="shared" si="341"/>
        <v>6.8032469694331836E-6</v>
      </c>
      <c r="V725" s="18">
        <f t="shared" si="342"/>
        <v>2.4513096836340703E-2</v>
      </c>
      <c r="W725" s="18">
        <f t="shared" si="343"/>
        <v>2.1141738066003126E-3</v>
      </c>
      <c r="X725" s="18">
        <f t="shared" si="344"/>
        <v>1.2554090818194415E-2</v>
      </c>
      <c r="Y725" s="18">
        <f t="shared" si="345"/>
        <v>5.4729879060556264E-2</v>
      </c>
      <c r="AA725" s="18">
        <f t="shared" si="327"/>
        <v>-8.076786691040877E-2</v>
      </c>
      <c r="AB725" s="18">
        <f t="shared" si="328"/>
        <v>6.5234483252575035E-3</v>
      </c>
      <c r="AC725" s="18">
        <f t="shared" si="330"/>
        <v>5.6793732076009778E-3</v>
      </c>
      <c r="AD725" s="18">
        <f t="shared" si="332"/>
        <v>2.1127986193639087E-5</v>
      </c>
      <c r="AE725" s="18">
        <f t="shared" si="334"/>
        <v>8.4842034690185805E-4</v>
      </c>
      <c r="AF725" s="18">
        <f t="shared" si="336"/>
        <v>2.7202016047166698E-4</v>
      </c>
      <c r="AG725" s="18">
        <f t="shared" si="338"/>
        <v>5.9150117443581493E-3</v>
      </c>
      <c r="AH725" s="18">
        <f t="shared" si="340"/>
        <v>2.9490021118386109E-3</v>
      </c>
      <c r="AJ725" s="18">
        <f>IF(ISNUMBER(Kernel!M725),Kernel!M725,"")</f>
        <v>-0.13357666173328853</v>
      </c>
      <c r="AK725" s="18">
        <f t="shared" si="325"/>
        <v>1.7842724559809387E-2</v>
      </c>
      <c r="AN725" s="18">
        <f>IF(ISNUMBER(Volcanic!G725),Volcanic!G725,"")</f>
        <v>5.13E-3</v>
      </c>
    </row>
    <row r="726" spans="1:40">
      <c r="A726" s="18" t="str">
        <f>IF(Volcanic!A726="","",Volcanic!A726)</f>
        <v>7/2018</v>
      </c>
      <c r="B726" s="18">
        <f>IF(ISNUMBER(Volcanic!L726),Volcanic!L726,"")</f>
        <v>2018.5416666666667</v>
      </c>
      <c r="C726" s="18">
        <f>IF(ISNUMBER(Volcanic!J726),Volcanic!J726,"")</f>
        <v>-4.3623342181878355E-2</v>
      </c>
      <c r="D726" s="18">
        <f t="shared" si="318"/>
        <v>1.9029959831172473E-3</v>
      </c>
      <c r="E726" s="18">
        <f>IF(ISNUMBER(Volcanic!C726),Volcanic!C726,"")</f>
        <v>0.54632123569403679</v>
      </c>
      <c r="F726" s="18">
        <f>IF(ISNUMBER(Volcanic!D726),Volcanic!D726,"")</f>
        <v>-0.35</v>
      </c>
      <c r="G726" s="18">
        <f>IF(ISNUMBER(Volcanic!E726),Volcanic!E726,"")</f>
        <v>6.2100000000000002E-3</v>
      </c>
      <c r="H726" s="18">
        <f t="shared" si="319"/>
        <v>0.29846689257025932</v>
      </c>
      <c r="I726" s="18">
        <f t="shared" si="320"/>
        <v>0.12249999999999998</v>
      </c>
      <c r="J726" s="18">
        <f t="shared" si="321"/>
        <v>3.8564100000000006E-5</v>
      </c>
      <c r="K726" s="18">
        <f t="shared" si="322"/>
        <v>-0.19121243249291286</v>
      </c>
      <c r="L726" s="18">
        <f t="shared" si="323"/>
        <v>3.3926548736599687E-3</v>
      </c>
      <c r="M726" s="18">
        <f t="shared" si="324"/>
        <v>-2.1735000000000001E-3</v>
      </c>
      <c r="N726" s="18">
        <f t="shared" si="326"/>
        <v>1.3087145733965589E-2</v>
      </c>
      <c r="O726" s="18">
        <f t="shared" si="329"/>
        <v>4.4739407997294806E-3</v>
      </c>
      <c r="P726" s="18">
        <f t="shared" si="331"/>
        <v>2.8404818737694416E-4</v>
      </c>
      <c r="Q726" s="18">
        <f t="shared" si="333"/>
        <v>5.9427692224235467E-4</v>
      </c>
      <c r="R726" s="18">
        <f t="shared" si="335"/>
        <v>8.9241585799385855E-5</v>
      </c>
      <c r="S726" s="18">
        <f t="shared" si="337"/>
        <v>2.661577891741769E-3</v>
      </c>
      <c r="T726" s="18">
        <f t="shared" si="339"/>
        <v>2.5356308710016914E-3</v>
      </c>
      <c r="U726" s="18">
        <f t="shared" si="341"/>
        <v>6.1705888812666986E-5</v>
      </c>
      <c r="V726" s="18">
        <f t="shared" si="342"/>
        <v>6.8032469694331836E-6</v>
      </c>
      <c r="W726" s="18">
        <f t="shared" si="343"/>
        <v>2.4513096836340703E-2</v>
      </c>
      <c r="X726" s="18">
        <f t="shared" si="344"/>
        <v>2.1141738066003126E-3</v>
      </c>
      <c r="Y726" s="18">
        <f t="shared" si="345"/>
        <v>1.2554090818194415E-2</v>
      </c>
      <c r="AA726" s="18">
        <f t="shared" si="327"/>
        <v>1.3896763150003412E-2</v>
      </c>
      <c r="AB726" s="18">
        <f t="shared" si="328"/>
        <v>1.9312002604729276E-4</v>
      </c>
      <c r="AC726" s="18">
        <f t="shared" si="330"/>
        <v>6.5234483252575035E-3</v>
      </c>
      <c r="AD726" s="18">
        <f t="shared" si="332"/>
        <v>5.6793732076009778E-3</v>
      </c>
      <c r="AE726" s="18">
        <f t="shared" si="334"/>
        <v>2.1127986193639087E-5</v>
      </c>
      <c r="AF726" s="18">
        <f t="shared" si="336"/>
        <v>8.4842034690185805E-4</v>
      </c>
      <c r="AG726" s="18">
        <f t="shared" si="338"/>
        <v>2.7202016047166698E-4</v>
      </c>
      <c r="AH726" s="18">
        <f t="shared" si="340"/>
        <v>5.9150117443581493E-3</v>
      </c>
      <c r="AJ726" s="18">
        <f>IF(ISNUMBER(Kernel!M726),Kernel!M726,"")</f>
        <v>-5.3500739195145308E-2</v>
      </c>
      <c r="AK726" s="18">
        <f t="shared" si="325"/>
        <v>2.8623290944269574E-3</v>
      </c>
      <c r="AN726" s="18">
        <f>IF(ISNUMBER(Volcanic!G726),Volcanic!G726,"")</f>
        <v>5.0299999999999997E-3</v>
      </c>
    </row>
    <row r="727" spans="1:40">
      <c r="A727" s="18" t="str">
        <f>IF(Volcanic!A727="","",Volcanic!A727)</f>
        <v>8/2018</v>
      </c>
      <c r="B727" s="18">
        <f>IF(ISNUMBER(Volcanic!L727),Volcanic!L727,"")</f>
        <v>2018.625</v>
      </c>
      <c r="C727" s="18">
        <f>IF(ISNUMBER(Volcanic!J727),Volcanic!J727,"")</f>
        <v>-0.11357432321354255</v>
      </c>
      <c r="D727" s="18">
        <f t="shared" si="318"/>
        <v>1.289912689341423E-2</v>
      </c>
      <c r="E727" s="18">
        <f>IF(ISNUMBER(Volcanic!C727),Volcanic!C727,"")</f>
        <v>0.54016900871244178</v>
      </c>
      <c r="F727" s="18">
        <f>IF(ISNUMBER(Volcanic!D727),Volcanic!D727,"")</f>
        <v>-7.0000000000000007E-2</v>
      </c>
      <c r="G727" s="18">
        <f>IF(ISNUMBER(Volcanic!E727),Volcanic!E727,"")</f>
        <v>5.8700000000000002E-3</v>
      </c>
      <c r="H727" s="18">
        <f t="shared" si="319"/>
        <v>0.29178255797338198</v>
      </c>
      <c r="I727" s="18">
        <f t="shared" si="320"/>
        <v>4.9000000000000007E-3</v>
      </c>
      <c r="J727" s="18">
        <f t="shared" si="321"/>
        <v>3.4456900000000005E-5</v>
      </c>
      <c r="K727" s="18">
        <f t="shared" si="322"/>
        <v>-3.7811830609870929E-2</v>
      </c>
      <c r="L727" s="18">
        <f t="shared" si="323"/>
        <v>3.1707920811420332E-3</v>
      </c>
      <c r="M727" s="18">
        <f t="shared" si="324"/>
        <v>-4.1090000000000007E-4</v>
      </c>
      <c r="N727" s="18">
        <f t="shared" si="326"/>
        <v>1.9029959831172473E-3</v>
      </c>
      <c r="O727" s="18">
        <f t="shared" si="329"/>
        <v>1.3087145733965589E-2</v>
      </c>
      <c r="P727" s="18">
        <f t="shared" si="331"/>
        <v>4.4739407997294806E-3</v>
      </c>
      <c r="Q727" s="18">
        <f t="shared" si="333"/>
        <v>2.8404818737694416E-4</v>
      </c>
      <c r="R727" s="18">
        <f t="shared" si="335"/>
        <v>5.9427692224235467E-4</v>
      </c>
      <c r="S727" s="18">
        <f t="shared" si="337"/>
        <v>8.9241585799385855E-5</v>
      </c>
      <c r="T727" s="18">
        <f t="shared" si="339"/>
        <v>2.661577891741769E-3</v>
      </c>
      <c r="U727" s="18">
        <f t="shared" si="341"/>
        <v>2.5356308710016914E-3</v>
      </c>
      <c r="V727" s="18">
        <f t="shared" si="342"/>
        <v>6.1705888812666986E-5</v>
      </c>
      <c r="W727" s="18">
        <f t="shared" si="343"/>
        <v>6.8032469694331836E-6</v>
      </c>
      <c r="X727" s="18">
        <f t="shared" si="344"/>
        <v>2.4513096836340703E-2</v>
      </c>
      <c r="Y727" s="18">
        <f t="shared" si="345"/>
        <v>2.1141738066003126E-3</v>
      </c>
      <c r="AA727" s="18">
        <f t="shared" si="327"/>
        <v>-9.1640409070799261E-2</v>
      </c>
      <c r="AB727" s="18">
        <f t="shared" si="328"/>
        <v>8.397964574663427E-3</v>
      </c>
      <c r="AC727" s="18">
        <f t="shared" si="330"/>
        <v>1.9312002604729276E-4</v>
      </c>
      <c r="AD727" s="18">
        <f t="shared" si="332"/>
        <v>6.5234483252575035E-3</v>
      </c>
      <c r="AE727" s="18">
        <f t="shared" si="334"/>
        <v>5.6793732076009778E-3</v>
      </c>
      <c r="AF727" s="18">
        <f t="shared" si="336"/>
        <v>2.1127986193639087E-5</v>
      </c>
      <c r="AG727" s="18">
        <f t="shared" si="338"/>
        <v>8.4842034690185805E-4</v>
      </c>
      <c r="AH727" s="18">
        <f t="shared" si="340"/>
        <v>2.7202016047166698E-4</v>
      </c>
      <c r="AJ727" s="18">
        <f>IF(ISNUMBER(Kernel!M727),Kernel!M727,"")</f>
        <v>-0.10699574135630285</v>
      </c>
      <c r="AK727" s="18">
        <f t="shared" si="325"/>
        <v>1.1448088668384857E-2</v>
      </c>
      <c r="AN727" s="18">
        <f>IF(ISNUMBER(Volcanic!G727),Volcanic!G727,"")</f>
        <v>6.3499999999999997E-3</v>
      </c>
    </row>
    <row r="728" spans="1:40">
      <c r="A728" s="18" t="str">
        <f>IF(Volcanic!A728="","",Volcanic!A728)</f>
        <v>9/2018</v>
      </c>
      <c r="B728" s="18">
        <f>IF(ISNUMBER(Volcanic!L728),Volcanic!L728,"")</f>
        <v>2018.7083333333333</v>
      </c>
      <c r="C728" s="18">
        <f>IF(ISNUMBER(Volcanic!J728),Volcanic!J728,"")</f>
        <v>-9.8491401984674987E-2</v>
      </c>
      <c r="D728" s="18">
        <f t="shared" si="318"/>
        <v>9.7005562649068403E-3</v>
      </c>
      <c r="E728" s="18">
        <f>IF(ISNUMBER(Volcanic!C728),Volcanic!C728,"")</f>
        <v>0.53502203557263439</v>
      </c>
      <c r="F728" s="18">
        <f>IF(ISNUMBER(Volcanic!D728),Volcanic!D728,"")</f>
        <v>0.13</v>
      </c>
      <c r="G728" s="18">
        <f>IF(ISNUMBER(Volcanic!E728),Volcanic!E728,"")</f>
        <v>5.6899999999999997E-3</v>
      </c>
      <c r="H728" s="18">
        <f t="shared" si="319"/>
        <v>0.28624857854828528</v>
      </c>
      <c r="I728" s="18">
        <f t="shared" si="320"/>
        <v>1.6900000000000002E-2</v>
      </c>
      <c r="J728" s="18">
        <f t="shared" si="321"/>
        <v>3.2376099999999997E-5</v>
      </c>
      <c r="K728" s="18">
        <f t="shared" si="322"/>
        <v>6.9552864624442476E-2</v>
      </c>
      <c r="L728" s="18">
        <f t="shared" si="323"/>
        <v>3.0442753824082894E-3</v>
      </c>
      <c r="M728" s="18">
        <f t="shared" si="324"/>
        <v>7.3970000000000004E-4</v>
      </c>
      <c r="N728" s="18">
        <f t="shared" si="326"/>
        <v>1.289912689341423E-2</v>
      </c>
      <c r="O728" s="18">
        <f t="shared" si="329"/>
        <v>1.9029959831172473E-3</v>
      </c>
      <c r="P728" s="18">
        <f t="shared" si="331"/>
        <v>1.3087145733965589E-2</v>
      </c>
      <c r="Q728" s="18">
        <f t="shared" si="333"/>
        <v>4.4739407997294806E-3</v>
      </c>
      <c r="R728" s="18">
        <f t="shared" si="335"/>
        <v>2.8404818737694416E-4</v>
      </c>
      <c r="S728" s="18">
        <f t="shared" si="337"/>
        <v>5.9427692224235467E-4</v>
      </c>
      <c r="T728" s="18">
        <f t="shared" si="339"/>
        <v>8.9241585799385855E-5</v>
      </c>
      <c r="U728" s="18">
        <f t="shared" si="341"/>
        <v>2.661577891741769E-3</v>
      </c>
      <c r="V728" s="18">
        <f t="shared" si="342"/>
        <v>2.5356308710016914E-3</v>
      </c>
      <c r="W728" s="18">
        <f t="shared" si="343"/>
        <v>6.1705888812666986E-5</v>
      </c>
      <c r="X728" s="18">
        <f t="shared" si="344"/>
        <v>6.8032469694331836E-6</v>
      </c>
      <c r="Y728" s="18">
        <f t="shared" si="345"/>
        <v>2.4513096836340703E-2</v>
      </c>
      <c r="AA728" s="18">
        <f t="shared" si="327"/>
        <v>-4.1385977925239605E-2</v>
      </c>
      <c r="AB728" s="18">
        <f t="shared" si="328"/>
        <v>1.7127991688284199E-3</v>
      </c>
      <c r="AC728" s="18">
        <f t="shared" si="330"/>
        <v>8.397964574663427E-3</v>
      </c>
      <c r="AD728" s="18">
        <f t="shared" si="332"/>
        <v>1.9312002604729276E-4</v>
      </c>
      <c r="AE728" s="18">
        <f t="shared" si="334"/>
        <v>6.5234483252575035E-3</v>
      </c>
      <c r="AF728" s="18">
        <f t="shared" si="336"/>
        <v>5.6793732076009778E-3</v>
      </c>
      <c r="AG728" s="18">
        <f t="shared" si="338"/>
        <v>2.1127986193639087E-5</v>
      </c>
      <c r="AH728" s="18">
        <f t="shared" si="340"/>
        <v>8.4842034690185805E-4</v>
      </c>
      <c r="AJ728" s="18">
        <f>IF(ISNUMBER(Kernel!M728),Kernel!M728,"")</f>
        <v>-8.596076875531633E-2</v>
      </c>
      <c r="AK728" s="18">
        <f t="shared" si="325"/>
        <v>7.3892537650049684E-3</v>
      </c>
      <c r="AN728" s="18">
        <f>IF(ISNUMBER(Volcanic!G728),Volcanic!G728,"")</f>
        <v>8.0000000000000002E-3</v>
      </c>
    </row>
    <row r="729" spans="1:40">
      <c r="A729" s="18" t="str">
        <f>IF(Volcanic!A729="","",Volcanic!A729)</f>
        <v>10/2018</v>
      </c>
      <c r="B729" s="18">
        <f>IF(ISNUMBER(Volcanic!L729),Volcanic!L729,"")</f>
        <v>2018.7916666666667</v>
      </c>
      <c r="C729" s="18">
        <f>IF(ISNUMBER(Volcanic!J729),Volcanic!J729,"")</f>
        <v>0.109678232137013</v>
      </c>
      <c r="D729" s="18">
        <f t="shared" si="318"/>
        <v>1.2029314604700511E-2</v>
      </c>
      <c r="E729" s="18">
        <f>IF(ISNUMBER(Volcanic!C729),Volcanic!C729,"")</f>
        <v>0.53672789516201203</v>
      </c>
      <c r="F729" s="18">
        <f>IF(ISNUMBER(Volcanic!D729),Volcanic!D729,"")</f>
        <v>0.2</v>
      </c>
      <c r="G729" s="18">
        <f>IF(ISNUMBER(Volcanic!E729),Volcanic!E729,"")</f>
        <v>5.3800000000000002E-3</v>
      </c>
      <c r="H729" s="18">
        <f t="shared" si="319"/>
        <v>0.28807683344504376</v>
      </c>
      <c r="I729" s="18">
        <f t="shared" si="320"/>
        <v>4.0000000000000008E-2</v>
      </c>
      <c r="J729" s="18">
        <f t="shared" si="321"/>
        <v>2.8944400000000004E-5</v>
      </c>
      <c r="K729" s="18">
        <f t="shared" si="322"/>
        <v>0.10734557903240241</v>
      </c>
      <c r="L729" s="18">
        <f t="shared" si="323"/>
        <v>2.8875960759716249E-3</v>
      </c>
      <c r="M729" s="18">
        <f t="shared" si="324"/>
        <v>1.0760000000000001E-3</v>
      </c>
      <c r="N729" s="18">
        <f t="shared" si="326"/>
        <v>9.7005562649068403E-3</v>
      </c>
      <c r="O729" s="18">
        <f t="shared" si="329"/>
        <v>1.289912689341423E-2</v>
      </c>
      <c r="P729" s="18">
        <f t="shared" si="331"/>
        <v>1.9029959831172473E-3</v>
      </c>
      <c r="Q729" s="18">
        <f t="shared" si="333"/>
        <v>1.3087145733965589E-2</v>
      </c>
      <c r="R729" s="18">
        <f t="shared" si="335"/>
        <v>4.4739407997294806E-3</v>
      </c>
      <c r="S729" s="18">
        <f t="shared" si="337"/>
        <v>2.8404818737694416E-4</v>
      </c>
      <c r="T729" s="18">
        <f t="shared" si="339"/>
        <v>5.9427692224235467E-4</v>
      </c>
      <c r="U729" s="18">
        <f t="shared" si="341"/>
        <v>8.9241585799385855E-5</v>
      </c>
      <c r="V729" s="18">
        <f t="shared" si="342"/>
        <v>2.661577891741769E-3</v>
      </c>
      <c r="W729" s="18">
        <f t="shared" si="343"/>
        <v>2.5356308710016914E-3</v>
      </c>
      <c r="X729" s="18">
        <f t="shared" si="344"/>
        <v>6.1705888812666986E-5</v>
      </c>
      <c r="Y729" s="18">
        <f t="shared" si="345"/>
        <v>6.8032469694331836E-6</v>
      </c>
      <c r="AA729" s="18">
        <f t="shared" si="327"/>
        <v>0.15919992962464136</v>
      </c>
      <c r="AB729" s="18">
        <f t="shared" si="328"/>
        <v>2.5344617592490761E-2</v>
      </c>
      <c r="AC729" s="18">
        <f t="shared" si="330"/>
        <v>1.7127991688284199E-3</v>
      </c>
      <c r="AD729" s="18">
        <f t="shared" si="332"/>
        <v>8.397964574663427E-3</v>
      </c>
      <c r="AE729" s="18">
        <f t="shared" si="334"/>
        <v>1.9312002604729276E-4</v>
      </c>
      <c r="AF729" s="18">
        <f t="shared" si="336"/>
        <v>6.5234483252575035E-3</v>
      </c>
      <c r="AG729" s="18">
        <f t="shared" si="338"/>
        <v>5.6793732076009778E-3</v>
      </c>
      <c r="AH729" s="18">
        <f t="shared" si="340"/>
        <v>2.1127986193639087E-5</v>
      </c>
      <c r="AJ729" s="18">
        <f>IF(ISNUMBER(Kernel!M729),Kernel!M729,"")</f>
        <v>0.11220334308632407</v>
      </c>
      <c r="AK729" s="18">
        <f t="shared" si="325"/>
        <v>1.2589590199747348E-2</v>
      </c>
      <c r="AN729" s="18">
        <f>IF(ISNUMBER(Volcanic!G729),Volcanic!G729,"")</f>
        <v>8.5100000000000002E-3</v>
      </c>
    </row>
    <row r="730" spans="1:40">
      <c r="A730" s="18" t="str">
        <f>IF(Volcanic!A730="","",Volcanic!A730)</f>
        <v>11/2018</v>
      </c>
      <c r="B730" s="18">
        <f>IF(ISNUMBER(Volcanic!L730),Volcanic!L730,"")</f>
        <v>2018.875</v>
      </c>
      <c r="C730" s="18">
        <f>IF(ISNUMBER(Volcanic!J730),Volcanic!J730,"")</f>
        <v>-0.10949497752922166</v>
      </c>
      <c r="D730" s="18">
        <f t="shared" si="318"/>
        <v>1.1989150104124756E-2</v>
      </c>
      <c r="E730" s="18">
        <f>IF(ISNUMBER(Volcanic!C730),Volcanic!C730,"")</f>
        <v>0.54388469761513192</v>
      </c>
      <c r="F730" s="18">
        <f>IF(ISNUMBER(Volcanic!D730),Volcanic!D730,"")</f>
        <v>0.3</v>
      </c>
      <c r="G730" s="18">
        <f>IF(ISNUMBER(Volcanic!E730),Volcanic!E730,"")</f>
        <v>5.2100000000000002E-3</v>
      </c>
      <c r="H730" s="18">
        <f t="shared" si="319"/>
        <v>0.29581056429990349</v>
      </c>
      <c r="I730" s="18">
        <f t="shared" si="320"/>
        <v>0.09</v>
      </c>
      <c r="J730" s="18">
        <f t="shared" si="321"/>
        <v>2.7144100000000003E-5</v>
      </c>
      <c r="K730" s="18">
        <f t="shared" si="322"/>
        <v>0.16316540928453957</v>
      </c>
      <c r="L730" s="18">
        <f t="shared" si="323"/>
        <v>2.8336392745748375E-3</v>
      </c>
      <c r="M730" s="18">
        <f t="shared" si="324"/>
        <v>1.5629999999999999E-3</v>
      </c>
      <c r="N730" s="18">
        <f t="shared" si="326"/>
        <v>1.2029314604700511E-2</v>
      </c>
      <c r="O730" s="18">
        <f t="shared" si="329"/>
        <v>9.7005562649068403E-3</v>
      </c>
      <c r="P730" s="18">
        <f t="shared" si="331"/>
        <v>1.289912689341423E-2</v>
      </c>
      <c r="Q730" s="18">
        <f t="shared" si="333"/>
        <v>1.9029959831172473E-3</v>
      </c>
      <c r="R730" s="18">
        <f t="shared" si="335"/>
        <v>1.3087145733965589E-2</v>
      </c>
      <c r="S730" s="18">
        <f t="shared" si="337"/>
        <v>4.4739407997294806E-3</v>
      </c>
      <c r="T730" s="18">
        <f t="shared" si="339"/>
        <v>2.8404818737694416E-4</v>
      </c>
      <c r="U730" s="18">
        <f t="shared" si="341"/>
        <v>5.9427692224235467E-4</v>
      </c>
      <c r="V730" s="18">
        <f t="shared" si="342"/>
        <v>8.9241585799385855E-5</v>
      </c>
      <c r="W730" s="18">
        <f t="shared" si="343"/>
        <v>2.661577891741769E-3</v>
      </c>
      <c r="X730" s="18">
        <f t="shared" si="344"/>
        <v>2.5356308710016914E-3</v>
      </c>
      <c r="Y730" s="18">
        <f t="shared" si="345"/>
        <v>6.1705888812666986E-5</v>
      </c>
      <c r="AA730" s="18">
        <f t="shared" si="327"/>
        <v>-0.16464143827015168</v>
      </c>
      <c r="AB730" s="18">
        <f t="shared" si="328"/>
        <v>2.7106803195664168E-2</v>
      </c>
      <c r="AC730" s="18">
        <f t="shared" si="330"/>
        <v>2.5344617592490761E-2</v>
      </c>
      <c r="AD730" s="18">
        <f t="shared" si="332"/>
        <v>1.7127991688284199E-3</v>
      </c>
      <c r="AE730" s="18">
        <f t="shared" si="334"/>
        <v>8.397964574663427E-3</v>
      </c>
      <c r="AF730" s="18">
        <f t="shared" si="336"/>
        <v>1.9312002604729276E-4</v>
      </c>
      <c r="AG730" s="18">
        <f t="shared" si="338"/>
        <v>6.5234483252575035E-3</v>
      </c>
      <c r="AH730" s="18">
        <f t="shared" si="340"/>
        <v>5.6793732076009778E-3</v>
      </c>
      <c r="AJ730" s="18">
        <f>IF(ISNUMBER(Kernel!M730),Kernel!M730,"")</f>
        <v>-0.11641759084170022</v>
      </c>
      <c r="AK730" s="18">
        <f t="shared" si="325"/>
        <v>1.3553055457385525E-2</v>
      </c>
      <c r="AN730" s="18">
        <f>IF(ISNUMBER(Volcanic!G730),Volcanic!G730,"")</f>
        <v>8.6099999999999996E-3</v>
      </c>
    </row>
    <row r="731" spans="1:40">
      <c r="A731" s="18" t="str">
        <f>IF(Volcanic!A731="","",Volcanic!A731)</f>
        <v>12/2018</v>
      </c>
      <c r="B731" s="18">
        <f>IF(ISNUMBER(Volcanic!L731),Volcanic!L731,"")</f>
        <v>2018.9583333333333</v>
      </c>
      <c r="C731" s="18">
        <f>IF(ISNUMBER(Volcanic!J731),Volcanic!J731,"")</f>
        <v>-3.9850214950323815E-2</v>
      </c>
      <c r="D731" s="18">
        <f t="shared" si="318"/>
        <v>1.5880396315870117E-3</v>
      </c>
      <c r="E731" s="18">
        <f>IF(ISNUMBER(Volcanic!C731),Volcanic!C731,"")</f>
        <v>0.54762609214567415</v>
      </c>
      <c r="F731" s="18">
        <f>IF(ISNUMBER(Volcanic!D731),Volcanic!D731,"")</f>
        <v>0.52</v>
      </c>
      <c r="G731" s="18">
        <f>IF(ISNUMBER(Volcanic!E731),Volcanic!E731,"")</f>
        <v>5.3299999999999997E-3</v>
      </c>
      <c r="H731" s="18">
        <f t="shared" si="319"/>
        <v>0.29989433679874239</v>
      </c>
      <c r="I731" s="18">
        <f t="shared" si="320"/>
        <v>0.27040000000000003</v>
      </c>
      <c r="J731" s="18">
        <f t="shared" si="321"/>
        <v>2.8408899999999995E-5</v>
      </c>
      <c r="K731" s="18">
        <f t="shared" si="322"/>
        <v>0.28476556791575058</v>
      </c>
      <c r="L731" s="18">
        <f t="shared" si="323"/>
        <v>2.9188470711364431E-3</v>
      </c>
      <c r="M731" s="18">
        <f t="shared" si="324"/>
        <v>2.7715999999999999E-3</v>
      </c>
      <c r="N731" s="18">
        <f t="shared" si="326"/>
        <v>1.1989150104124756E-2</v>
      </c>
      <c r="O731" s="18">
        <f t="shared" si="329"/>
        <v>1.2029314604700511E-2</v>
      </c>
      <c r="P731" s="18">
        <f t="shared" si="331"/>
        <v>9.7005562649068403E-3</v>
      </c>
      <c r="Q731" s="18">
        <f t="shared" si="333"/>
        <v>1.289912689341423E-2</v>
      </c>
      <c r="R731" s="18">
        <f t="shared" si="335"/>
        <v>1.9029959831172473E-3</v>
      </c>
      <c r="S731" s="18">
        <f t="shared" si="337"/>
        <v>1.3087145733965589E-2</v>
      </c>
      <c r="T731" s="18">
        <f t="shared" si="339"/>
        <v>4.4739407997294806E-3</v>
      </c>
      <c r="U731" s="18">
        <f t="shared" si="341"/>
        <v>2.8404818737694416E-4</v>
      </c>
      <c r="V731" s="18">
        <f t="shared" si="342"/>
        <v>5.9427692224235467E-4</v>
      </c>
      <c r="W731" s="18">
        <f t="shared" si="343"/>
        <v>8.9241585799385855E-5</v>
      </c>
      <c r="X731" s="18">
        <f t="shared" si="344"/>
        <v>2.661577891741769E-3</v>
      </c>
      <c r="Y731" s="18">
        <f t="shared" si="345"/>
        <v>2.5356308710016914E-3</v>
      </c>
      <c r="AA731" s="18">
        <f t="shared" si="327"/>
        <v>1.5204104963413304E-2</v>
      </c>
      <c r="AB731" s="18">
        <f t="shared" si="328"/>
        <v>2.3116480773848906E-4</v>
      </c>
      <c r="AC731" s="18">
        <f t="shared" si="330"/>
        <v>2.7106803195664168E-2</v>
      </c>
      <c r="AD731" s="18">
        <f t="shared" si="332"/>
        <v>2.5344617592490761E-2</v>
      </c>
      <c r="AE731" s="18">
        <f t="shared" si="334"/>
        <v>1.7127991688284199E-3</v>
      </c>
      <c r="AF731" s="18">
        <f t="shared" si="336"/>
        <v>8.397964574663427E-3</v>
      </c>
      <c r="AG731" s="18">
        <f t="shared" si="338"/>
        <v>1.9312002604729276E-4</v>
      </c>
      <c r="AH731" s="18">
        <f t="shared" si="340"/>
        <v>6.5234483252575035E-3</v>
      </c>
      <c r="AJ731" s="18">
        <f>IF(ISNUMBER(Kernel!M731),Kernel!M731,"")</f>
        <v>-4.3089031725990212E-2</v>
      </c>
      <c r="AK731" s="18">
        <f t="shared" si="325"/>
        <v>1.856664655083391E-3</v>
      </c>
      <c r="AN731" s="18">
        <f>IF(ISNUMBER(Volcanic!G731),Volcanic!G731,"")</f>
        <v>8.3300000000000006E-3</v>
      </c>
    </row>
    <row r="732" spans="1:40">
      <c r="A732" s="18" t="str">
        <f>IF(Volcanic!A732="","",Volcanic!A732)</f>
        <v>1/2019</v>
      </c>
      <c r="B732" s="18">
        <f>IF(ISNUMBER(Volcanic!L732),Volcanic!L732,"")</f>
        <v>2019.0416666666667</v>
      </c>
      <c r="C732" s="18">
        <f>IF(ISNUMBER(Volcanic!J732),Volcanic!J732,"")</f>
        <v>-8.5013675351315765E-2</v>
      </c>
      <c r="D732" s="18">
        <f t="shared" si="318"/>
        <v>7.2273249967389139E-3</v>
      </c>
      <c r="E732" s="18">
        <f>IF(ISNUMBER(Volcanic!C732),Volcanic!C732,"")</f>
        <v>0.55381686910097527</v>
      </c>
      <c r="F732" s="18">
        <f>IF(ISNUMBER(Volcanic!D732),Volcanic!D732,"")</f>
        <v>0.82</v>
      </c>
      <c r="G732" s="18">
        <f>IF(ISNUMBER(Volcanic!E732),Volcanic!E732,"")</f>
        <v>5.13E-3</v>
      </c>
      <c r="H732" s="18">
        <f t="shared" si="319"/>
        <v>0.30671312450080679</v>
      </c>
      <c r="I732" s="18">
        <f t="shared" si="320"/>
        <v>0.67239999999999989</v>
      </c>
      <c r="J732" s="18">
        <f t="shared" si="321"/>
        <v>2.6316899999999999E-5</v>
      </c>
      <c r="K732" s="18">
        <f t="shared" si="322"/>
        <v>0.45412983266279972</v>
      </c>
      <c r="L732" s="18">
        <f t="shared" si="323"/>
        <v>2.8410805384880031E-3</v>
      </c>
      <c r="M732" s="18">
        <f t="shared" si="324"/>
        <v>4.2065999999999996E-3</v>
      </c>
      <c r="N732" s="18">
        <f t="shared" si="326"/>
        <v>1.5880396315870117E-3</v>
      </c>
      <c r="O732" s="18">
        <f t="shared" si="329"/>
        <v>1.1989150104124756E-2</v>
      </c>
      <c r="P732" s="18">
        <f t="shared" si="331"/>
        <v>1.2029314604700511E-2</v>
      </c>
      <c r="Q732" s="18">
        <f t="shared" si="333"/>
        <v>9.7005562649068403E-3</v>
      </c>
      <c r="R732" s="18">
        <f t="shared" si="335"/>
        <v>1.289912689341423E-2</v>
      </c>
      <c r="S732" s="18">
        <f t="shared" si="337"/>
        <v>1.9029959831172473E-3</v>
      </c>
      <c r="T732" s="18">
        <f t="shared" si="339"/>
        <v>1.3087145733965589E-2</v>
      </c>
      <c r="U732" s="18">
        <f t="shared" si="341"/>
        <v>4.4739407997294806E-3</v>
      </c>
      <c r="V732" s="18">
        <f t="shared" si="342"/>
        <v>2.8404818737694416E-4</v>
      </c>
      <c r="W732" s="18">
        <f t="shared" si="343"/>
        <v>5.9427692224235467E-4</v>
      </c>
      <c r="X732" s="18">
        <f t="shared" si="344"/>
        <v>8.9241585799385855E-5</v>
      </c>
      <c r="Y732" s="18">
        <f t="shared" si="345"/>
        <v>2.661577891741769E-3</v>
      </c>
      <c r="AA732" s="18">
        <f t="shared" si="327"/>
        <v>-6.4976898030449065E-2</v>
      </c>
      <c r="AB732" s="18">
        <f t="shared" si="328"/>
        <v>4.2219972776593754E-3</v>
      </c>
      <c r="AC732" s="18">
        <f t="shared" si="330"/>
        <v>2.3116480773848906E-4</v>
      </c>
      <c r="AD732" s="18">
        <f t="shared" si="332"/>
        <v>2.7106803195664168E-2</v>
      </c>
      <c r="AE732" s="18">
        <f t="shared" si="334"/>
        <v>2.5344617592490761E-2</v>
      </c>
      <c r="AF732" s="18">
        <f t="shared" si="336"/>
        <v>1.7127991688284199E-3</v>
      </c>
      <c r="AG732" s="18">
        <f t="shared" si="338"/>
        <v>8.397964574663427E-3</v>
      </c>
      <c r="AH732" s="18">
        <f t="shared" si="340"/>
        <v>1.9312002604729276E-4</v>
      </c>
      <c r="AJ732" s="18">
        <f>IF(ISNUMBER(Kernel!M732),Kernel!M732,"")</f>
        <v>-7.2623306164725676E-2</v>
      </c>
      <c r="AK732" s="18">
        <f t="shared" si="325"/>
        <v>5.2741445982954823E-3</v>
      </c>
      <c r="AN732" s="18">
        <f>IF(ISNUMBER(Volcanic!G732),Volcanic!G732,"")</f>
        <v>7.8899999999999994E-3</v>
      </c>
    </row>
    <row r="733" spans="1:40">
      <c r="A733" s="18" t="str">
        <f>IF(Volcanic!A733="","",Volcanic!A733)</f>
        <v>2/2019</v>
      </c>
      <c r="B733" s="18">
        <f>IF(ISNUMBER(Volcanic!L733),Volcanic!L733,"")</f>
        <v>2019.125</v>
      </c>
      <c r="C733" s="18">
        <f>IF(ISNUMBER(Volcanic!J733),Volcanic!J733,"")</f>
        <v>-8.4541568429206571E-2</v>
      </c>
      <c r="D733" s="18">
        <f t="shared" si="318"/>
        <v>7.1472767924702172E-3</v>
      </c>
      <c r="E733" s="18">
        <f>IF(ISNUMBER(Volcanic!C733),Volcanic!C733,"")</f>
        <v>0.55707743595872172</v>
      </c>
      <c r="F733" s="18">
        <f>IF(ISNUMBER(Volcanic!D733),Volcanic!D733,"")</f>
        <v>1.04</v>
      </c>
      <c r="G733" s="18">
        <f>IF(ISNUMBER(Volcanic!E733),Volcanic!E733,"")</f>
        <v>5.0299999999999997E-3</v>
      </c>
      <c r="H733" s="18">
        <f t="shared" si="319"/>
        <v>0.31033526965434372</v>
      </c>
      <c r="I733" s="18">
        <f t="shared" si="320"/>
        <v>1.0816000000000001</v>
      </c>
      <c r="J733" s="18">
        <f t="shared" si="321"/>
        <v>2.5300899999999997E-5</v>
      </c>
      <c r="K733" s="18">
        <f t="shared" si="322"/>
        <v>0.57936053339707061</v>
      </c>
      <c r="L733" s="18">
        <f t="shared" si="323"/>
        <v>2.8020995028723702E-3</v>
      </c>
      <c r="M733" s="18">
        <f t="shared" si="324"/>
        <v>5.2312000000000001E-3</v>
      </c>
      <c r="N733" s="18">
        <f t="shared" si="326"/>
        <v>7.2273249967389139E-3</v>
      </c>
      <c r="O733" s="18">
        <f t="shared" si="329"/>
        <v>1.5880396315870117E-3</v>
      </c>
      <c r="P733" s="18">
        <f t="shared" si="331"/>
        <v>1.1989150104124756E-2</v>
      </c>
      <c r="Q733" s="18">
        <f t="shared" si="333"/>
        <v>1.2029314604700511E-2</v>
      </c>
      <c r="R733" s="18">
        <f t="shared" si="335"/>
        <v>9.7005562649068403E-3</v>
      </c>
      <c r="S733" s="18">
        <f t="shared" si="337"/>
        <v>1.289912689341423E-2</v>
      </c>
      <c r="T733" s="18">
        <f t="shared" si="339"/>
        <v>1.9029959831172473E-3</v>
      </c>
      <c r="U733" s="18">
        <f t="shared" si="341"/>
        <v>1.3087145733965589E-2</v>
      </c>
      <c r="V733" s="18">
        <f t="shared" si="342"/>
        <v>4.4739407997294806E-3</v>
      </c>
      <c r="W733" s="18">
        <f t="shared" si="343"/>
        <v>2.8404818737694416E-4</v>
      </c>
      <c r="X733" s="18">
        <f t="shared" si="344"/>
        <v>5.9427692224235467E-4</v>
      </c>
      <c r="Y733" s="18">
        <f t="shared" si="345"/>
        <v>8.9241585799385855E-5</v>
      </c>
      <c r="AA733" s="18">
        <f t="shared" si="327"/>
        <v>-4.1796502075959051E-2</v>
      </c>
      <c r="AB733" s="18">
        <f t="shared" si="328"/>
        <v>1.7469475857856492E-3</v>
      </c>
      <c r="AC733" s="18">
        <f t="shared" si="330"/>
        <v>4.2219972776593754E-3</v>
      </c>
      <c r="AD733" s="18">
        <f t="shared" si="332"/>
        <v>2.3116480773848906E-4</v>
      </c>
      <c r="AE733" s="18">
        <f t="shared" si="334"/>
        <v>2.7106803195664168E-2</v>
      </c>
      <c r="AF733" s="18">
        <f t="shared" si="336"/>
        <v>2.5344617592490761E-2</v>
      </c>
      <c r="AG733" s="18">
        <f t="shared" si="338"/>
        <v>1.7127991688284199E-3</v>
      </c>
      <c r="AH733" s="18">
        <f t="shared" si="340"/>
        <v>8.397964574663427E-3</v>
      </c>
      <c r="AJ733" s="18">
        <f>IF(ISNUMBER(Kernel!M733),Kernel!M733,"")</f>
        <v>-6.1303342548393314E-2</v>
      </c>
      <c r="AK733" s="18">
        <f t="shared" si="325"/>
        <v>3.7580998076056499E-3</v>
      </c>
      <c r="AN733" s="18">
        <f>IF(ISNUMBER(Volcanic!G733),Volcanic!G733,"")</f>
        <v>7.3600000000000002E-3</v>
      </c>
    </row>
    <row r="734" spans="1:40">
      <c r="A734" s="18" t="str">
        <f>IF(Volcanic!A734="","",Volcanic!A734)</f>
        <v>3/2019</v>
      </c>
      <c r="B734" s="18">
        <f>IF(ISNUMBER(Volcanic!L734),Volcanic!L734,"")</f>
        <v>2019.2083333333333</v>
      </c>
      <c r="C734" s="18">
        <f>IF(ISNUMBER(Volcanic!J734),Volcanic!J734,"")</f>
        <v>0.1253341730851758</v>
      </c>
      <c r="D734" s="18">
        <f t="shared" si="318"/>
        <v>1.5708654942944808E-2</v>
      </c>
      <c r="E734" s="18">
        <f>IF(ISNUMBER(Volcanic!C734),Volcanic!C734,"")</f>
        <v>0.55784767624929055</v>
      </c>
      <c r="F734" s="18">
        <f>IF(ISNUMBER(Volcanic!D734),Volcanic!D734,"")</f>
        <v>1.05</v>
      </c>
      <c r="G734" s="18">
        <f>IF(ISNUMBER(Volcanic!E734),Volcanic!E734,"")</f>
        <v>6.3499999999999997E-3</v>
      </c>
      <c r="H734" s="18">
        <f t="shared" si="319"/>
        <v>0.31119402989673328</v>
      </c>
      <c r="I734" s="18">
        <f t="shared" si="320"/>
        <v>1.1025</v>
      </c>
      <c r="J734" s="18">
        <f t="shared" si="321"/>
        <v>4.0322499999999999E-5</v>
      </c>
      <c r="K734" s="18">
        <f t="shared" si="322"/>
        <v>0.58574006006175505</v>
      </c>
      <c r="L734" s="18">
        <f t="shared" si="323"/>
        <v>3.5423327441829948E-3</v>
      </c>
      <c r="M734" s="18">
        <f t="shared" si="324"/>
        <v>6.6674999999999998E-3</v>
      </c>
      <c r="N734" s="18">
        <f t="shared" si="326"/>
        <v>7.1472767924702172E-3</v>
      </c>
      <c r="O734" s="18">
        <f t="shared" si="329"/>
        <v>7.2273249967389139E-3</v>
      </c>
      <c r="P734" s="18">
        <f t="shared" si="331"/>
        <v>1.5880396315870117E-3</v>
      </c>
      <c r="Q734" s="18">
        <f t="shared" si="333"/>
        <v>1.1989150104124756E-2</v>
      </c>
      <c r="R734" s="18">
        <f t="shared" si="335"/>
        <v>1.2029314604700511E-2</v>
      </c>
      <c r="S734" s="18">
        <f t="shared" si="337"/>
        <v>9.7005562649068403E-3</v>
      </c>
      <c r="T734" s="18">
        <f t="shared" si="339"/>
        <v>1.289912689341423E-2</v>
      </c>
      <c r="U734" s="18">
        <f t="shared" si="341"/>
        <v>1.9029959831172473E-3</v>
      </c>
      <c r="V734" s="18">
        <f t="shared" si="342"/>
        <v>1.3087145733965589E-2</v>
      </c>
      <c r="W734" s="18">
        <f t="shared" si="343"/>
        <v>4.4739407997294806E-3</v>
      </c>
      <c r="X734" s="18">
        <f t="shared" si="344"/>
        <v>2.8404818737694416E-4</v>
      </c>
      <c r="Y734" s="18">
        <f t="shared" si="345"/>
        <v>5.9427692224235467E-4</v>
      </c>
      <c r="AA734" s="18">
        <f t="shared" si="327"/>
        <v>0.1678418630207118</v>
      </c>
      <c r="AB734" s="18">
        <f t="shared" si="328"/>
        <v>2.8170890982263382E-2</v>
      </c>
      <c r="AC734" s="18">
        <f t="shared" si="330"/>
        <v>1.7469475857856492E-3</v>
      </c>
      <c r="AD734" s="18">
        <f t="shared" si="332"/>
        <v>4.2219972776593754E-3</v>
      </c>
      <c r="AE734" s="18">
        <f t="shared" si="334"/>
        <v>2.3116480773848906E-4</v>
      </c>
      <c r="AF734" s="18">
        <f t="shared" si="336"/>
        <v>2.7106803195664168E-2</v>
      </c>
      <c r="AG734" s="18">
        <f t="shared" si="338"/>
        <v>2.5344617592490761E-2</v>
      </c>
      <c r="AH734" s="18">
        <f t="shared" si="340"/>
        <v>1.7127991688284199E-3</v>
      </c>
      <c r="AJ734" s="18">
        <f>IF(ISNUMBER(Kernel!M734),Kernel!M734,"")</f>
        <v>0.13969542246749644</v>
      </c>
      <c r="AK734" s="18">
        <f t="shared" si="325"/>
        <v>1.951481105837231E-2</v>
      </c>
      <c r="AN734" s="18">
        <f>IF(ISNUMBER(Volcanic!G734),Volcanic!G734,"")</f>
        <v>6.9899999999999997E-3</v>
      </c>
    </row>
    <row r="735" spans="1:40">
      <c r="A735" s="18" t="str">
        <f>IF(Volcanic!A735="","",Volcanic!A735)</f>
        <v>4/2019</v>
      </c>
      <c r="B735" s="18">
        <f>IF(ISNUMBER(Volcanic!L735),Volcanic!L735,"")</f>
        <v>2019.2916666666667</v>
      </c>
      <c r="C735" s="18">
        <f>IF(ISNUMBER(Volcanic!J735),Volcanic!J735,"")</f>
        <v>-3.8429305158015792E-2</v>
      </c>
      <c r="D735" s="18">
        <f t="shared" si="318"/>
        <v>1.4768114949278992E-3</v>
      </c>
      <c r="E735" s="18">
        <f>IF(ISNUMBER(Volcanic!C735),Volcanic!C735,"")</f>
        <v>0.56260005485176923</v>
      </c>
      <c r="F735" s="18">
        <f>IF(ISNUMBER(Volcanic!D735),Volcanic!D735,"")</f>
        <v>0.99</v>
      </c>
      <c r="G735" s="18">
        <f>IF(ISNUMBER(Volcanic!E735),Volcanic!E735,"")</f>
        <v>8.0000000000000002E-3</v>
      </c>
      <c r="H735" s="18">
        <f t="shared" si="319"/>
        <v>0.31651882171921375</v>
      </c>
      <c r="I735" s="18">
        <f t="shared" si="320"/>
        <v>0.98009999999999997</v>
      </c>
      <c r="J735" s="18">
        <f t="shared" si="321"/>
        <v>6.3999999999999997E-5</v>
      </c>
      <c r="K735" s="18">
        <f t="shared" si="322"/>
        <v>0.55697405430325153</v>
      </c>
      <c r="L735" s="18">
        <f t="shared" si="323"/>
        <v>4.5008004388141535E-3</v>
      </c>
      <c r="M735" s="18">
        <f t="shared" si="324"/>
        <v>7.92E-3</v>
      </c>
      <c r="N735" s="18">
        <f t="shared" si="326"/>
        <v>1.5708654942944808E-2</v>
      </c>
      <c r="O735" s="18">
        <f t="shared" si="329"/>
        <v>7.1472767924702172E-3</v>
      </c>
      <c r="P735" s="18">
        <f t="shared" si="331"/>
        <v>7.2273249967389139E-3</v>
      </c>
      <c r="Q735" s="18">
        <f t="shared" si="333"/>
        <v>1.5880396315870117E-3</v>
      </c>
      <c r="R735" s="18">
        <f t="shared" si="335"/>
        <v>1.1989150104124756E-2</v>
      </c>
      <c r="S735" s="18">
        <f t="shared" si="337"/>
        <v>1.2029314604700511E-2</v>
      </c>
      <c r="T735" s="18">
        <f t="shared" si="339"/>
        <v>9.7005562649068403E-3</v>
      </c>
      <c r="U735" s="18">
        <f t="shared" si="341"/>
        <v>1.289912689341423E-2</v>
      </c>
      <c r="V735" s="18">
        <f t="shared" si="342"/>
        <v>1.9029959831172473E-3</v>
      </c>
      <c r="W735" s="18">
        <f t="shared" si="343"/>
        <v>1.3087145733965589E-2</v>
      </c>
      <c r="X735" s="18">
        <f t="shared" si="344"/>
        <v>4.4739407997294806E-3</v>
      </c>
      <c r="Y735" s="18">
        <f t="shared" si="345"/>
        <v>2.8404818737694416E-4</v>
      </c>
      <c r="AA735" s="18">
        <f t="shared" si="327"/>
        <v>-0.10144760806888191</v>
      </c>
      <c r="AB735" s="18">
        <f t="shared" si="328"/>
        <v>1.0291617182897474E-2</v>
      </c>
      <c r="AC735" s="18">
        <f t="shared" si="330"/>
        <v>2.8170890982263382E-2</v>
      </c>
      <c r="AD735" s="18">
        <f t="shared" si="332"/>
        <v>1.7469475857856492E-3</v>
      </c>
      <c r="AE735" s="18">
        <f t="shared" si="334"/>
        <v>4.2219972776593754E-3</v>
      </c>
      <c r="AF735" s="18">
        <f t="shared" si="336"/>
        <v>2.3116480773848906E-4</v>
      </c>
      <c r="AG735" s="18">
        <f t="shared" si="338"/>
        <v>2.7106803195664168E-2</v>
      </c>
      <c r="AH735" s="18">
        <f t="shared" si="340"/>
        <v>2.5344617592490761E-2</v>
      </c>
      <c r="AJ735" s="18">
        <f>IF(ISNUMBER(Kernel!M735),Kernel!M735,"")</f>
        <v>-3.802895822590191E-2</v>
      </c>
      <c r="AK735" s="18">
        <f t="shared" si="325"/>
        <v>1.4462016637473926E-3</v>
      </c>
      <c r="AN735" s="18">
        <f>IF(ISNUMBER(Volcanic!G735),Volcanic!G735,"")</f>
        <v>6.6E-3</v>
      </c>
    </row>
    <row r="736" spans="1:40">
      <c r="A736" s="18" t="str">
        <f>IF(Volcanic!A736="","",Volcanic!A736)</f>
        <v>5/2019</v>
      </c>
      <c r="B736" s="18">
        <f>IF(ISNUMBER(Volcanic!L736),Volcanic!L736,"")</f>
        <v>2019.375</v>
      </c>
      <c r="C736" s="18">
        <f>IF(ISNUMBER(Volcanic!J736),Volcanic!J736,"")</f>
        <v>-0.19520720621560406</v>
      </c>
      <c r="D736" s="18">
        <f t="shared" si="318"/>
        <v>3.810585335850137E-2</v>
      </c>
      <c r="E736" s="18">
        <f>IF(ISNUMBER(Volcanic!C736),Volcanic!C736,"")</f>
        <v>0.5671977348752254</v>
      </c>
      <c r="F736" s="18">
        <f>IF(ISNUMBER(Volcanic!D736),Volcanic!D736,"")</f>
        <v>0.94</v>
      </c>
      <c r="G736" s="18">
        <f>IF(ISNUMBER(Volcanic!E736),Volcanic!E736,"")</f>
        <v>8.5100000000000002E-3</v>
      </c>
      <c r="H736" s="18">
        <f t="shared" si="319"/>
        <v>0.32171327044758646</v>
      </c>
      <c r="I736" s="18">
        <f t="shared" si="320"/>
        <v>0.88359999999999994</v>
      </c>
      <c r="J736" s="18">
        <f t="shared" si="321"/>
        <v>7.2420100000000008E-5</v>
      </c>
      <c r="K736" s="18">
        <f t="shared" si="322"/>
        <v>0.53316587078271183</v>
      </c>
      <c r="L736" s="18">
        <f t="shared" si="323"/>
        <v>4.8268527237881687E-3</v>
      </c>
      <c r="M736" s="18">
        <f t="shared" si="324"/>
        <v>7.9994000000000003E-3</v>
      </c>
      <c r="N736" s="18">
        <f t="shared" si="326"/>
        <v>1.4768114949278992E-3</v>
      </c>
      <c r="O736" s="18">
        <f t="shared" si="329"/>
        <v>1.5708654942944808E-2</v>
      </c>
      <c r="P736" s="18">
        <f t="shared" si="331"/>
        <v>7.1472767924702172E-3</v>
      </c>
      <c r="Q736" s="18">
        <f t="shared" si="333"/>
        <v>7.2273249967389139E-3</v>
      </c>
      <c r="R736" s="18">
        <f t="shared" si="335"/>
        <v>1.5880396315870117E-3</v>
      </c>
      <c r="S736" s="18">
        <f t="shared" si="337"/>
        <v>1.1989150104124756E-2</v>
      </c>
      <c r="T736" s="18">
        <f t="shared" si="339"/>
        <v>1.2029314604700511E-2</v>
      </c>
      <c r="U736" s="18">
        <f t="shared" si="341"/>
        <v>9.7005562649068403E-3</v>
      </c>
      <c r="V736" s="18">
        <f t="shared" si="342"/>
        <v>1.289912689341423E-2</v>
      </c>
      <c r="W736" s="18">
        <f t="shared" si="343"/>
        <v>1.9029959831172473E-3</v>
      </c>
      <c r="X736" s="18">
        <f t="shared" si="344"/>
        <v>1.3087145733965589E-2</v>
      </c>
      <c r="Y736" s="18">
        <f t="shared" si="345"/>
        <v>4.4739407997294806E-3</v>
      </c>
      <c r="AA736" s="18">
        <f t="shared" si="327"/>
        <v>-0.17588486552041191</v>
      </c>
      <c r="AB736" s="18">
        <f t="shared" si="328"/>
        <v>3.0935485919133383E-2</v>
      </c>
      <c r="AC736" s="18">
        <f t="shared" si="330"/>
        <v>1.0291617182897474E-2</v>
      </c>
      <c r="AD736" s="18">
        <f t="shared" si="332"/>
        <v>2.8170890982263382E-2</v>
      </c>
      <c r="AE736" s="18">
        <f t="shared" si="334"/>
        <v>1.7469475857856492E-3</v>
      </c>
      <c r="AF736" s="18">
        <f t="shared" si="336"/>
        <v>4.2219972776593754E-3</v>
      </c>
      <c r="AG736" s="18">
        <f t="shared" si="338"/>
        <v>2.3116480773848906E-4</v>
      </c>
      <c r="AH736" s="18">
        <f t="shared" si="340"/>
        <v>2.7106803195664168E-2</v>
      </c>
      <c r="AJ736" s="18">
        <f>IF(ISNUMBER(Kernel!M736),Kernel!M736,"")</f>
        <v>-0.20227683878294678</v>
      </c>
      <c r="AK736" s="18">
        <f t="shared" si="325"/>
        <v>4.0915919508022244E-2</v>
      </c>
      <c r="AN736" s="18">
        <f>IF(ISNUMBER(Volcanic!G736),Volcanic!G736,"")</f>
        <v>6.3400000000000001E-3</v>
      </c>
    </row>
    <row r="737" spans="1:40">
      <c r="A737" s="18" t="str">
        <f>IF(Volcanic!A737="","",Volcanic!A737)</f>
        <v>6/2019</v>
      </c>
      <c r="B737" s="18">
        <f>IF(ISNUMBER(Volcanic!L737),Volcanic!L737,"")</f>
        <v>2019.4583333333333</v>
      </c>
      <c r="C737" s="18">
        <f>IF(ISNUMBER(Volcanic!J737),Volcanic!J737,"")</f>
        <v>-0.14175157762134072</v>
      </c>
      <c r="D737" s="18">
        <f t="shared" si="318"/>
        <v>2.0093509758138981E-2</v>
      </c>
      <c r="E737" s="18">
        <f>IF(ISNUMBER(Volcanic!C737),Volcanic!C737,"")</f>
        <v>0.56472656147689648</v>
      </c>
      <c r="F737" s="18">
        <f>IF(ISNUMBER(Volcanic!D737),Volcanic!D737,"")</f>
        <v>0.87</v>
      </c>
      <c r="G737" s="18">
        <f>IF(ISNUMBER(Volcanic!E737),Volcanic!E737,"")</f>
        <v>8.6099999999999996E-3</v>
      </c>
      <c r="H737" s="18">
        <f t="shared" si="319"/>
        <v>0.31891608923751896</v>
      </c>
      <c r="I737" s="18">
        <f t="shared" si="320"/>
        <v>0.75690000000000002</v>
      </c>
      <c r="J737" s="18">
        <f t="shared" si="321"/>
        <v>7.4132099999999995E-5</v>
      </c>
      <c r="K737" s="18">
        <f t="shared" si="322"/>
        <v>0.49131210848489992</v>
      </c>
      <c r="L737" s="18">
        <f t="shared" si="323"/>
        <v>4.8622956943160786E-3</v>
      </c>
      <c r="M737" s="18">
        <f t="shared" si="324"/>
        <v>7.4906999999999994E-3</v>
      </c>
      <c r="N737" s="18">
        <f t="shared" si="326"/>
        <v>3.810585335850137E-2</v>
      </c>
      <c r="O737" s="18">
        <f t="shared" si="329"/>
        <v>1.4768114949278992E-3</v>
      </c>
      <c r="P737" s="18">
        <f t="shared" si="331"/>
        <v>1.5708654942944808E-2</v>
      </c>
      <c r="Q737" s="18">
        <f t="shared" si="333"/>
        <v>7.1472767924702172E-3</v>
      </c>
      <c r="R737" s="18">
        <f t="shared" si="335"/>
        <v>7.2273249967389139E-3</v>
      </c>
      <c r="S737" s="18">
        <f t="shared" si="337"/>
        <v>1.5880396315870117E-3</v>
      </c>
      <c r="T737" s="18">
        <f t="shared" si="339"/>
        <v>1.1989150104124756E-2</v>
      </c>
      <c r="U737" s="18">
        <f t="shared" si="341"/>
        <v>1.2029314604700511E-2</v>
      </c>
      <c r="V737" s="18">
        <f t="shared" si="342"/>
        <v>9.7005562649068403E-3</v>
      </c>
      <c r="W737" s="18">
        <f t="shared" si="343"/>
        <v>1.289912689341423E-2</v>
      </c>
      <c r="X737" s="18">
        <f t="shared" si="344"/>
        <v>1.9029959831172473E-3</v>
      </c>
      <c r="Y737" s="18">
        <f t="shared" si="345"/>
        <v>1.3087145733965589E-2</v>
      </c>
      <c r="AA737" s="18">
        <f t="shared" si="327"/>
        <v>-4.3600957173086874E-2</v>
      </c>
      <c r="AB737" s="18">
        <f t="shared" si="328"/>
        <v>1.9010434664093556E-3</v>
      </c>
      <c r="AC737" s="18">
        <f t="shared" si="330"/>
        <v>3.0935485919133383E-2</v>
      </c>
      <c r="AD737" s="18">
        <f t="shared" si="332"/>
        <v>1.0291617182897474E-2</v>
      </c>
      <c r="AE737" s="18">
        <f t="shared" si="334"/>
        <v>2.8170890982263382E-2</v>
      </c>
      <c r="AF737" s="18">
        <f t="shared" si="336"/>
        <v>1.7469475857856492E-3</v>
      </c>
      <c r="AG737" s="18">
        <f t="shared" si="338"/>
        <v>4.2219972776593754E-3</v>
      </c>
      <c r="AH737" s="18">
        <f t="shared" si="340"/>
        <v>2.3116480773848906E-4</v>
      </c>
      <c r="AJ737" s="18">
        <f>IF(ISNUMBER(Kernel!M737),Kernel!M737,"")</f>
        <v>-0.15455471718491087</v>
      </c>
      <c r="AK737" s="18">
        <f t="shared" si="325"/>
        <v>2.3887160604107786E-2</v>
      </c>
      <c r="AN737" s="18">
        <f>IF(ISNUMBER(Volcanic!G737),Volcanic!G737,"")</f>
        <v>6.28E-3</v>
      </c>
    </row>
    <row r="738" spans="1:40">
      <c r="A738" s="18" t="str">
        <f>IF(Volcanic!A738="","",Volcanic!A738)</f>
        <v>7/2019</v>
      </c>
      <c r="B738" s="18">
        <f>IF(ISNUMBER(Volcanic!L738),Volcanic!L738,"")</f>
        <v>2019.5416666666667</v>
      </c>
      <c r="C738" s="18">
        <f>IF(ISNUMBER(Volcanic!J738),Volcanic!J738,"")</f>
        <v>-7.6865502577087685E-2</v>
      </c>
      <c r="D738" s="18">
        <f t="shared" si="318"/>
        <v>5.9083054864282735E-3</v>
      </c>
      <c r="E738" s="18">
        <f>IF(ISNUMBER(Volcanic!C738),Volcanic!C738,"")</f>
        <v>0.55707743595872172</v>
      </c>
      <c r="F738" s="18">
        <f>IF(ISNUMBER(Volcanic!D738),Volcanic!D738,"")</f>
        <v>0.82</v>
      </c>
      <c r="G738" s="18">
        <f>IF(ISNUMBER(Volcanic!E738),Volcanic!E738,"")</f>
        <v>8.3300000000000006E-3</v>
      </c>
      <c r="H738" s="18">
        <f t="shared" si="319"/>
        <v>0.31033526965434372</v>
      </c>
      <c r="I738" s="18">
        <f t="shared" si="320"/>
        <v>0.67239999999999989</v>
      </c>
      <c r="J738" s="18">
        <f t="shared" si="321"/>
        <v>6.9388900000000016E-5</v>
      </c>
      <c r="K738" s="18">
        <f t="shared" si="322"/>
        <v>0.45680349748615179</v>
      </c>
      <c r="L738" s="18">
        <f t="shared" si="323"/>
        <v>4.640455041536152E-3</v>
      </c>
      <c r="M738" s="18">
        <f t="shared" si="324"/>
        <v>6.8306E-3</v>
      </c>
      <c r="N738" s="18">
        <f t="shared" si="326"/>
        <v>2.0093509758138981E-2</v>
      </c>
      <c r="O738" s="18">
        <f t="shared" si="329"/>
        <v>3.810585335850137E-2</v>
      </c>
      <c r="P738" s="18">
        <f t="shared" si="331"/>
        <v>1.4768114949278992E-3</v>
      </c>
      <c r="Q738" s="18">
        <f t="shared" si="333"/>
        <v>1.5708654942944808E-2</v>
      </c>
      <c r="R738" s="18">
        <f t="shared" si="335"/>
        <v>7.1472767924702172E-3</v>
      </c>
      <c r="S738" s="18">
        <f t="shared" si="337"/>
        <v>7.2273249967389139E-3</v>
      </c>
      <c r="T738" s="18">
        <f t="shared" si="339"/>
        <v>1.5880396315870117E-3</v>
      </c>
      <c r="U738" s="18">
        <f t="shared" si="341"/>
        <v>1.1989150104124756E-2</v>
      </c>
      <c r="V738" s="18">
        <f t="shared" si="342"/>
        <v>1.2029314604700511E-2</v>
      </c>
      <c r="W738" s="18">
        <f t="shared" si="343"/>
        <v>9.7005562649068403E-3</v>
      </c>
      <c r="X738" s="18">
        <f t="shared" si="344"/>
        <v>1.289912689341423E-2</v>
      </c>
      <c r="Y738" s="18">
        <f t="shared" si="345"/>
        <v>1.9029959831172473E-3</v>
      </c>
      <c r="AA738" s="18">
        <f t="shared" si="327"/>
        <v>-5.5924918989539302E-3</v>
      </c>
      <c r="AB738" s="18">
        <f t="shared" si="328"/>
        <v>3.1275965639865339E-5</v>
      </c>
      <c r="AC738" s="18">
        <f t="shared" si="330"/>
        <v>1.9010434664093556E-3</v>
      </c>
      <c r="AD738" s="18">
        <f t="shared" si="332"/>
        <v>3.0935485919133383E-2</v>
      </c>
      <c r="AE738" s="18">
        <f t="shared" si="334"/>
        <v>1.0291617182897474E-2</v>
      </c>
      <c r="AF738" s="18">
        <f t="shared" si="336"/>
        <v>2.8170890982263382E-2</v>
      </c>
      <c r="AG738" s="18">
        <f t="shared" si="338"/>
        <v>1.7469475857856492E-3</v>
      </c>
      <c r="AH738" s="18">
        <f t="shared" si="340"/>
        <v>4.2219972776593754E-3</v>
      </c>
      <c r="AJ738" s="18">
        <f>IF(ISNUMBER(Kernel!M738),Kernel!M738,"")</f>
        <v>-8.7369121192960808E-2</v>
      </c>
      <c r="AK738" s="18">
        <f t="shared" si="325"/>
        <v>7.6333633380302737E-3</v>
      </c>
      <c r="AN738" s="18">
        <f>IF(ISNUMBER(Volcanic!G738),Volcanic!G738,"")</f>
        <v>1.026E-2</v>
      </c>
    </row>
    <row r="739" spans="1:40">
      <c r="A739" s="18" t="str">
        <f>IF(Volcanic!A739="","",Volcanic!A739)</f>
        <v>8/2019</v>
      </c>
      <c r="B739" s="18">
        <f>IF(ISNUMBER(Volcanic!L739),Volcanic!L739,"")</f>
        <v>2019.625</v>
      </c>
      <c r="C739" s="18">
        <f>IF(ISNUMBER(Volcanic!J739),Volcanic!J739,"")</f>
        <v>-4.0491734383389599E-2</v>
      </c>
      <c r="D739" s="18">
        <f t="shared" si="318"/>
        <v>1.6395805533749755E-3</v>
      </c>
      <c r="E739" s="18">
        <f>IF(ISNUMBER(Volcanic!C739),Volcanic!C739,"")</f>
        <v>0.55079514920632977</v>
      </c>
      <c r="F739" s="18">
        <f>IF(ISNUMBER(Volcanic!D739),Volcanic!D739,"")</f>
        <v>0.71</v>
      </c>
      <c r="G739" s="18">
        <f>IF(ISNUMBER(Volcanic!E739),Volcanic!E739,"")</f>
        <v>7.8899999999999994E-3</v>
      </c>
      <c r="H739" s="18">
        <f t="shared" si="319"/>
        <v>0.30337529638922306</v>
      </c>
      <c r="I739" s="18">
        <f t="shared" si="320"/>
        <v>0.50409999999999999</v>
      </c>
      <c r="J739" s="18">
        <f t="shared" si="321"/>
        <v>6.2252099999999993E-5</v>
      </c>
      <c r="K739" s="18">
        <f t="shared" si="322"/>
        <v>0.39106455593649414</v>
      </c>
      <c r="L739" s="18">
        <f t="shared" si="323"/>
        <v>4.3457737272379416E-3</v>
      </c>
      <c r="M739" s="18">
        <f t="shared" si="324"/>
        <v>5.6018999999999991E-3</v>
      </c>
      <c r="N739" s="18">
        <f t="shared" si="326"/>
        <v>5.9083054864282735E-3</v>
      </c>
      <c r="O739" s="18">
        <f t="shared" si="329"/>
        <v>2.0093509758138981E-2</v>
      </c>
      <c r="P739" s="18">
        <f t="shared" si="331"/>
        <v>3.810585335850137E-2</v>
      </c>
      <c r="Q739" s="18">
        <f t="shared" si="333"/>
        <v>1.4768114949278992E-3</v>
      </c>
      <c r="R739" s="18">
        <f t="shared" si="335"/>
        <v>1.5708654942944808E-2</v>
      </c>
      <c r="S739" s="18">
        <f t="shared" si="337"/>
        <v>7.1472767924702172E-3</v>
      </c>
      <c r="T739" s="18">
        <f t="shared" si="339"/>
        <v>7.2273249967389139E-3</v>
      </c>
      <c r="U739" s="18">
        <f t="shared" si="341"/>
        <v>1.5880396315870117E-3</v>
      </c>
      <c r="V739" s="18">
        <f t="shared" si="342"/>
        <v>1.1989150104124756E-2</v>
      </c>
      <c r="W739" s="18">
        <f t="shared" si="343"/>
        <v>1.2029314604700511E-2</v>
      </c>
      <c r="X739" s="18">
        <f t="shared" si="344"/>
        <v>9.7005562649068403E-3</v>
      </c>
      <c r="Y739" s="18">
        <f t="shared" si="345"/>
        <v>1.289912689341423E-2</v>
      </c>
      <c r="AA739" s="18">
        <f t="shared" si="327"/>
        <v>-1.8435875487112022E-3</v>
      </c>
      <c r="AB739" s="18">
        <f t="shared" si="328"/>
        <v>3.3988150497629791E-6</v>
      </c>
      <c r="AC739" s="18">
        <f t="shared" si="330"/>
        <v>3.1275965639865339E-5</v>
      </c>
      <c r="AD739" s="18">
        <f t="shared" si="332"/>
        <v>1.9010434664093556E-3</v>
      </c>
      <c r="AE739" s="18">
        <f t="shared" si="334"/>
        <v>3.0935485919133383E-2</v>
      </c>
      <c r="AF739" s="18">
        <f t="shared" si="336"/>
        <v>1.0291617182897474E-2</v>
      </c>
      <c r="AG739" s="18">
        <f t="shared" si="338"/>
        <v>2.8170890982263382E-2</v>
      </c>
      <c r="AH739" s="18">
        <f t="shared" si="340"/>
        <v>1.7469475857856492E-3</v>
      </c>
      <c r="AJ739" s="18">
        <f>IF(ISNUMBER(Kernel!M739),Kernel!M739,"")</f>
        <v>-4.8540928695839147E-2</v>
      </c>
      <c r="AK739" s="18">
        <f t="shared" si="325"/>
        <v>2.3562217586545406E-3</v>
      </c>
      <c r="AN739" s="18">
        <f>IF(ISNUMBER(Volcanic!G739),Volcanic!G739,"")</f>
        <v>1.898E-2</v>
      </c>
    </row>
    <row r="740" spans="1:40">
      <c r="A740" s="18" t="str">
        <f>IF(Volcanic!A740="","",Volcanic!A740)</f>
        <v>9/2019</v>
      </c>
      <c r="B740" s="18">
        <f>IF(ISNUMBER(Volcanic!L740),Volcanic!L740,"")</f>
        <v>2019.7083333333333</v>
      </c>
      <c r="C740" s="18">
        <f>IF(ISNUMBER(Volcanic!J740),Volcanic!J740,"")</f>
        <v>-3.6972801338976957E-2</v>
      </c>
      <c r="D740" s="18">
        <f t="shared" si="318"/>
        <v>1.3669880388514563E-3</v>
      </c>
      <c r="E740" s="18">
        <f>IF(ISNUMBER(Volcanic!C740),Volcanic!C740,"")</f>
        <v>0.54582719830025894</v>
      </c>
      <c r="F740" s="18">
        <f>IF(ISNUMBER(Volcanic!D740),Volcanic!D740,"")</f>
        <v>0.59</v>
      </c>
      <c r="G740" s="18">
        <f>IF(ISNUMBER(Volcanic!E740),Volcanic!E740,"")</f>
        <v>7.3600000000000002E-3</v>
      </c>
      <c r="H740" s="18">
        <f t="shared" si="319"/>
        <v>0.29792733040431019</v>
      </c>
      <c r="I740" s="18">
        <f t="shared" si="320"/>
        <v>0.34809999999999997</v>
      </c>
      <c r="J740" s="18">
        <f t="shared" si="321"/>
        <v>5.4169600000000004E-5</v>
      </c>
      <c r="K740" s="18">
        <f t="shared" si="322"/>
        <v>0.32203804699715277</v>
      </c>
      <c r="L740" s="18">
        <f t="shared" si="323"/>
        <v>4.0172881794899055E-3</v>
      </c>
      <c r="M740" s="18">
        <f t="shared" si="324"/>
        <v>4.3423999999999997E-3</v>
      </c>
      <c r="N740" s="18">
        <f t="shared" si="326"/>
        <v>1.6395805533749755E-3</v>
      </c>
      <c r="O740" s="18">
        <f t="shared" si="329"/>
        <v>5.9083054864282735E-3</v>
      </c>
      <c r="P740" s="18">
        <f t="shared" si="331"/>
        <v>2.0093509758138981E-2</v>
      </c>
      <c r="Q740" s="18">
        <f t="shared" si="333"/>
        <v>3.810585335850137E-2</v>
      </c>
      <c r="R740" s="18">
        <f t="shared" si="335"/>
        <v>1.4768114949278992E-3</v>
      </c>
      <c r="S740" s="18">
        <f t="shared" si="337"/>
        <v>1.5708654942944808E-2</v>
      </c>
      <c r="T740" s="18">
        <f t="shared" si="339"/>
        <v>7.1472767924702172E-3</v>
      </c>
      <c r="U740" s="18">
        <f t="shared" si="341"/>
        <v>7.2273249967389139E-3</v>
      </c>
      <c r="V740" s="18">
        <f t="shared" si="342"/>
        <v>1.5880396315870117E-3</v>
      </c>
      <c r="W740" s="18">
        <f t="shared" si="343"/>
        <v>1.1989150104124756E-2</v>
      </c>
      <c r="X740" s="18">
        <f t="shared" si="344"/>
        <v>1.2029314604700511E-2</v>
      </c>
      <c r="Y740" s="18">
        <f t="shared" si="345"/>
        <v>9.7005562649068403E-3</v>
      </c>
      <c r="AA740" s="18">
        <f t="shared" si="327"/>
        <v>-1.6613466610493486E-2</v>
      </c>
      <c r="AB740" s="18">
        <f t="shared" si="328"/>
        <v>2.760072728179819E-4</v>
      </c>
      <c r="AC740" s="18">
        <f t="shared" si="330"/>
        <v>3.3988150497629791E-6</v>
      </c>
      <c r="AD740" s="18">
        <f t="shared" si="332"/>
        <v>3.1275965639865339E-5</v>
      </c>
      <c r="AE740" s="18">
        <f t="shared" si="334"/>
        <v>1.9010434664093556E-3</v>
      </c>
      <c r="AF740" s="18">
        <f t="shared" si="336"/>
        <v>3.0935485919133383E-2</v>
      </c>
      <c r="AG740" s="18">
        <f t="shared" si="338"/>
        <v>1.0291617182897474E-2</v>
      </c>
      <c r="AH740" s="18">
        <f t="shared" si="340"/>
        <v>2.8170890982263382E-2</v>
      </c>
      <c r="AJ740" s="18">
        <f>IF(ISNUMBER(Kernel!M740),Kernel!M740,"")</f>
        <v>-4.7072873293069972E-2</v>
      </c>
      <c r="AK740" s="18">
        <f t="shared" si="325"/>
        <v>2.2158554000654201E-3</v>
      </c>
      <c r="AN740" s="18">
        <f>IF(ISNUMBER(Volcanic!G740),Volcanic!G740,"")</f>
        <v>1.9550000000000001E-2</v>
      </c>
    </row>
    <row r="741" spans="1:40">
      <c r="A741" s="18" t="str">
        <f>IF(Volcanic!A741="","",Volcanic!A741)</f>
        <v>10/2019</v>
      </c>
      <c r="B741" s="18">
        <f>IF(ISNUMBER(Volcanic!L741),Volcanic!L741,"")</f>
        <v>2019.7916666666667</v>
      </c>
      <c r="C741" s="18">
        <f>IF(ISNUMBER(Volcanic!J741),Volcanic!J741,"")</f>
        <v>5.1892552177172147E-2</v>
      </c>
      <c r="D741" s="18">
        <f t="shared" si="318"/>
        <v>2.6928369714605336E-3</v>
      </c>
      <c r="E741" s="18">
        <f>IF(ISNUMBER(Volcanic!C741),Volcanic!C741,"")</f>
        <v>0.54575660771720447</v>
      </c>
      <c r="F741" s="18">
        <f>IF(ISNUMBER(Volcanic!D741),Volcanic!D741,"")</f>
        <v>0.38</v>
      </c>
      <c r="G741" s="18">
        <f>IF(ISNUMBER(Volcanic!E741),Volcanic!E741,"")</f>
        <v>6.9899999999999997E-3</v>
      </c>
      <c r="H741" s="18">
        <f t="shared" si="319"/>
        <v>0.29785027486699062</v>
      </c>
      <c r="I741" s="18">
        <f t="shared" si="320"/>
        <v>0.1444</v>
      </c>
      <c r="J741" s="18">
        <f t="shared" si="321"/>
        <v>4.8860099999999997E-5</v>
      </c>
      <c r="K741" s="18">
        <f t="shared" si="322"/>
        <v>0.20738751093253771</v>
      </c>
      <c r="L741" s="18">
        <f t="shared" si="323"/>
        <v>3.8148386879432589E-3</v>
      </c>
      <c r="M741" s="18">
        <f t="shared" si="324"/>
        <v>2.6562000000000001E-3</v>
      </c>
      <c r="N741" s="18">
        <f t="shared" si="326"/>
        <v>1.3669880388514563E-3</v>
      </c>
      <c r="O741" s="18">
        <f t="shared" si="329"/>
        <v>1.6395805533749755E-3</v>
      </c>
      <c r="P741" s="18">
        <f t="shared" si="331"/>
        <v>5.9083054864282735E-3</v>
      </c>
      <c r="Q741" s="18">
        <f t="shared" si="333"/>
        <v>2.0093509758138981E-2</v>
      </c>
      <c r="R741" s="18">
        <f t="shared" si="335"/>
        <v>3.810585335850137E-2</v>
      </c>
      <c r="S741" s="18">
        <f t="shared" si="337"/>
        <v>1.4768114949278992E-3</v>
      </c>
      <c r="T741" s="18">
        <f t="shared" si="339"/>
        <v>1.5708654942944808E-2</v>
      </c>
      <c r="U741" s="18">
        <f t="shared" si="341"/>
        <v>7.1472767924702172E-3</v>
      </c>
      <c r="V741" s="18">
        <f t="shared" si="342"/>
        <v>7.2273249967389139E-3</v>
      </c>
      <c r="W741" s="18">
        <f t="shared" si="343"/>
        <v>1.5880396315870117E-3</v>
      </c>
      <c r="X741" s="18">
        <f t="shared" si="344"/>
        <v>1.1989150104124756E-2</v>
      </c>
      <c r="Y741" s="18">
        <f t="shared" si="345"/>
        <v>1.2029314604700511E-2</v>
      </c>
      <c r="AA741" s="18">
        <f t="shared" si="327"/>
        <v>7.0482559490337299E-2</v>
      </c>
      <c r="AB741" s="18">
        <f t="shared" si="328"/>
        <v>4.9677911923089362E-3</v>
      </c>
      <c r="AC741" s="18">
        <f t="shared" si="330"/>
        <v>2.760072728179819E-4</v>
      </c>
      <c r="AD741" s="18">
        <f t="shared" si="332"/>
        <v>3.3988150497629791E-6</v>
      </c>
      <c r="AE741" s="18">
        <f t="shared" si="334"/>
        <v>3.1275965639865339E-5</v>
      </c>
      <c r="AF741" s="18">
        <f t="shared" si="336"/>
        <v>1.9010434664093556E-3</v>
      </c>
      <c r="AG741" s="18">
        <f t="shared" si="338"/>
        <v>3.0935485919133383E-2</v>
      </c>
      <c r="AH741" s="18">
        <f t="shared" si="340"/>
        <v>1.0291617182897474E-2</v>
      </c>
      <c r="AJ741" s="18">
        <f>IF(ISNUMBER(Kernel!M741),Kernel!M741,"")</f>
        <v>2.5855923178673801E-2</v>
      </c>
      <c r="AK741" s="18">
        <f t="shared" si="325"/>
        <v>6.6852876342148114E-4</v>
      </c>
      <c r="AN741" s="18">
        <f>IF(ISNUMBER(Volcanic!G741),Volcanic!G741,"")</f>
        <v>1.9689999999999999E-2</v>
      </c>
    </row>
    <row r="742" spans="1:40">
      <c r="A742" s="18" t="str">
        <f>IF(Volcanic!A742="","",Volcanic!A742)</f>
        <v>11/2019</v>
      </c>
      <c r="B742" s="18">
        <f>IF(ISNUMBER(Volcanic!L742),Volcanic!L742,"")</f>
        <v>2019.875</v>
      </c>
      <c r="C742" s="18">
        <f>IF(ISNUMBER(Volcanic!J742),Volcanic!J742,"")</f>
        <v>4.1118360414323485E-2</v>
      </c>
      <c r="D742" s="18">
        <f t="shared" si="318"/>
        <v>1.6907195631622046E-3</v>
      </c>
      <c r="E742" s="18">
        <f>IF(ISNUMBER(Volcanic!C742),Volcanic!C742,"")</f>
        <v>0.55184995650684376</v>
      </c>
      <c r="F742" s="18">
        <f>IF(ISNUMBER(Volcanic!D742),Volcanic!D742,"")</f>
        <v>0.2</v>
      </c>
      <c r="G742" s="18">
        <f>IF(ISNUMBER(Volcanic!E742),Volcanic!E742,"")</f>
        <v>6.6E-3</v>
      </c>
      <c r="H742" s="18">
        <f t="shared" si="319"/>
        <v>0.30453837449660537</v>
      </c>
      <c r="I742" s="18">
        <f t="shared" si="320"/>
        <v>4.0000000000000008E-2</v>
      </c>
      <c r="J742" s="18">
        <f t="shared" si="321"/>
        <v>4.3559999999999996E-5</v>
      </c>
      <c r="K742" s="18">
        <f t="shared" si="322"/>
        <v>0.11036999130136876</v>
      </c>
      <c r="L742" s="18">
        <f t="shared" si="323"/>
        <v>3.642209712945169E-3</v>
      </c>
      <c r="M742" s="18">
        <f t="shared" si="324"/>
        <v>1.32E-3</v>
      </c>
      <c r="N742" s="18">
        <f t="shared" si="326"/>
        <v>2.6928369714605336E-3</v>
      </c>
      <c r="O742" s="18">
        <f t="shared" si="329"/>
        <v>1.3669880388514563E-3</v>
      </c>
      <c r="P742" s="18">
        <f t="shared" si="331"/>
        <v>1.6395805533749755E-3</v>
      </c>
      <c r="Q742" s="18">
        <f t="shared" si="333"/>
        <v>5.9083054864282735E-3</v>
      </c>
      <c r="R742" s="18">
        <f t="shared" si="335"/>
        <v>2.0093509758138981E-2</v>
      </c>
      <c r="S742" s="18">
        <f t="shared" si="337"/>
        <v>3.810585335850137E-2</v>
      </c>
      <c r="T742" s="18">
        <f t="shared" si="339"/>
        <v>1.4768114949278992E-3</v>
      </c>
      <c r="U742" s="18">
        <f t="shared" si="341"/>
        <v>1.5708654942944808E-2</v>
      </c>
      <c r="V742" s="18">
        <f t="shared" si="342"/>
        <v>7.1472767924702172E-3</v>
      </c>
      <c r="W742" s="18">
        <f t="shared" si="343"/>
        <v>7.2273249967389139E-3</v>
      </c>
      <c r="X742" s="18">
        <f t="shared" si="344"/>
        <v>1.5880396315870117E-3</v>
      </c>
      <c r="Y742" s="18">
        <f t="shared" si="345"/>
        <v>1.1989150104124756E-2</v>
      </c>
      <c r="AA742" s="18">
        <f t="shared" si="327"/>
        <v>1.502666896719854E-2</v>
      </c>
      <c r="AB742" s="18">
        <f t="shared" si="328"/>
        <v>2.2580078024976764E-4</v>
      </c>
      <c r="AC742" s="18">
        <f t="shared" si="330"/>
        <v>4.9677911923089362E-3</v>
      </c>
      <c r="AD742" s="18">
        <f t="shared" si="332"/>
        <v>2.760072728179819E-4</v>
      </c>
      <c r="AE742" s="18">
        <f t="shared" si="334"/>
        <v>3.3988150497629791E-6</v>
      </c>
      <c r="AF742" s="18">
        <f t="shared" si="336"/>
        <v>3.1275965639865339E-5</v>
      </c>
      <c r="AG742" s="18">
        <f t="shared" si="338"/>
        <v>1.9010434664093556E-3</v>
      </c>
      <c r="AH742" s="18">
        <f t="shared" si="340"/>
        <v>3.0935485919133383E-2</v>
      </c>
      <c r="AJ742" s="18">
        <f>IF(ISNUMBER(Kernel!M742),Kernel!M742,"")</f>
        <v>-3.1740241735411789E-3</v>
      </c>
      <c r="AK742" s="18">
        <f t="shared" si="325"/>
        <v>1.0074429454223763E-5</v>
      </c>
      <c r="AN742" s="18">
        <f>IF(ISNUMBER(Volcanic!G742),Volcanic!G742,"")</f>
        <v>1.771E-2</v>
      </c>
    </row>
    <row r="743" spans="1:40">
      <c r="A743" s="18" t="str">
        <f>IF(Volcanic!A743="","",Volcanic!A743)</f>
        <v>12/2019</v>
      </c>
      <c r="B743" s="18">
        <f>IF(ISNUMBER(Volcanic!L743),Volcanic!L743,"")</f>
        <v>2019.9583333333333</v>
      </c>
      <c r="C743" s="18">
        <f>IF(ISNUMBER(Volcanic!J743),Volcanic!J743,"")</f>
        <v>0.14598574034290179</v>
      </c>
      <c r="D743" s="18">
        <f t="shared" si="318"/>
        <v>2.1311836383465146E-2</v>
      </c>
      <c r="E743" s="18">
        <f>IF(ISNUMBER(Volcanic!C743),Volcanic!C743,"")</f>
        <v>0.55711245580363478</v>
      </c>
      <c r="F743" s="18">
        <f>IF(ISNUMBER(Volcanic!D743),Volcanic!D743,"")</f>
        <v>0.31</v>
      </c>
      <c r="G743" s="18">
        <f>IF(ISNUMBER(Volcanic!E743),Volcanic!E743,"")</f>
        <v>6.3400000000000001E-3</v>
      </c>
      <c r="H743" s="18">
        <f t="shared" si="319"/>
        <v>0.3103742884115569</v>
      </c>
      <c r="I743" s="18">
        <f t="shared" si="320"/>
        <v>9.6100000000000005E-2</v>
      </c>
      <c r="J743" s="18">
        <f t="shared" si="321"/>
        <v>4.0195600000000005E-5</v>
      </c>
      <c r="K743" s="18">
        <f t="shared" si="322"/>
        <v>0.17270486129912677</v>
      </c>
      <c r="L743" s="18">
        <f t="shared" si="323"/>
        <v>3.5320929697950447E-3</v>
      </c>
      <c r="M743" s="18">
        <f t="shared" si="324"/>
        <v>1.9654E-3</v>
      </c>
      <c r="N743" s="18">
        <f t="shared" si="326"/>
        <v>1.6907195631622046E-3</v>
      </c>
      <c r="O743" s="18">
        <f t="shared" si="329"/>
        <v>2.6928369714605336E-3</v>
      </c>
      <c r="P743" s="18">
        <f t="shared" si="331"/>
        <v>1.3669880388514563E-3</v>
      </c>
      <c r="Q743" s="18">
        <f t="shared" si="333"/>
        <v>1.6395805533749755E-3</v>
      </c>
      <c r="R743" s="18">
        <f t="shared" si="335"/>
        <v>5.9083054864282735E-3</v>
      </c>
      <c r="S743" s="18">
        <f t="shared" si="337"/>
        <v>2.0093509758138981E-2</v>
      </c>
      <c r="T743" s="18">
        <f t="shared" si="339"/>
        <v>3.810585335850137E-2</v>
      </c>
      <c r="U743" s="18">
        <f t="shared" si="341"/>
        <v>1.4768114949278992E-3</v>
      </c>
      <c r="V743" s="18">
        <f t="shared" si="342"/>
        <v>1.5708654942944808E-2</v>
      </c>
      <c r="W743" s="18">
        <f t="shared" si="343"/>
        <v>7.1472767924702172E-3</v>
      </c>
      <c r="X743" s="18">
        <f t="shared" si="344"/>
        <v>7.2273249967389139E-3</v>
      </c>
      <c r="Y743" s="18">
        <f t="shared" si="345"/>
        <v>1.5880396315870117E-3</v>
      </c>
      <c r="AA743" s="18">
        <f t="shared" si="327"/>
        <v>0.12531133664274696</v>
      </c>
      <c r="AB743" s="18">
        <f t="shared" si="328"/>
        <v>1.5702931091191856E-2</v>
      </c>
      <c r="AC743" s="18">
        <f t="shared" si="330"/>
        <v>2.2580078024976764E-4</v>
      </c>
      <c r="AD743" s="18">
        <f t="shared" si="332"/>
        <v>4.9677911923089362E-3</v>
      </c>
      <c r="AE743" s="18">
        <f t="shared" si="334"/>
        <v>2.760072728179819E-4</v>
      </c>
      <c r="AF743" s="18">
        <f t="shared" si="336"/>
        <v>3.3988150497629791E-6</v>
      </c>
      <c r="AG743" s="18">
        <f t="shared" si="338"/>
        <v>3.1275965639865339E-5</v>
      </c>
      <c r="AH743" s="18">
        <f t="shared" si="340"/>
        <v>1.9010434664093556E-3</v>
      </c>
      <c r="AJ743" s="18">
        <f>IF(ISNUMBER(Kernel!M743),Kernel!M743,"")</f>
        <v>0.10919311487116357</v>
      </c>
      <c r="AK743" s="18">
        <f t="shared" si="325"/>
        <v>1.1923136335267122E-2</v>
      </c>
      <c r="AN743" s="18">
        <f>IF(ISNUMBER(Volcanic!G743),Volcanic!G743,"")</f>
        <v>1.494E-2</v>
      </c>
    </row>
    <row r="744" spans="1:40">
      <c r="A744" s="18" t="str">
        <f>IF(Volcanic!A744="","",Volcanic!A744)</f>
        <v>1/2020</v>
      </c>
      <c r="B744" s="18">
        <f>IF(ISNUMBER(Volcanic!L744),Volcanic!L744,"")</f>
        <v>2020.0416666666667</v>
      </c>
      <c r="C744" s="18">
        <f>IF(ISNUMBER(Volcanic!J744),Volcanic!J744,"")</f>
        <v>0.17185197390056683</v>
      </c>
      <c r="D744" s="18">
        <f t="shared" si="318"/>
        <v>2.9533100933521104E-2</v>
      </c>
      <c r="E744" s="18">
        <f>IF(ISNUMBER(Volcanic!C744),Volcanic!C744,"")</f>
        <v>0.56277447665277325</v>
      </c>
      <c r="F744" s="18">
        <f>IF(ISNUMBER(Volcanic!D744),Volcanic!D744,"")</f>
        <v>0.51</v>
      </c>
      <c r="G744" s="18">
        <f>IF(ISNUMBER(Volcanic!E744),Volcanic!E744,"")</f>
        <v>6.28E-3</v>
      </c>
      <c r="H744" s="18">
        <f t="shared" si="319"/>
        <v>0.31671511157180282</v>
      </c>
      <c r="I744" s="18">
        <f t="shared" si="320"/>
        <v>0.2601</v>
      </c>
      <c r="J744" s="18">
        <f t="shared" si="321"/>
        <v>3.9438399999999998E-5</v>
      </c>
      <c r="K744" s="18">
        <f t="shared" si="322"/>
        <v>0.28701498309291434</v>
      </c>
      <c r="L744" s="18">
        <f t="shared" si="323"/>
        <v>3.5342237133794158E-3</v>
      </c>
      <c r="M744" s="18">
        <f t="shared" si="324"/>
        <v>3.2028E-3</v>
      </c>
      <c r="N744" s="18">
        <f t="shared" si="326"/>
        <v>2.1311836383465146E-2</v>
      </c>
      <c r="O744" s="18">
        <f t="shared" si="329"/>
        <v>1.6907195631622046E-3</v>
      </c>
      <c r="P744" s="18">
        <f t="shared" si="331"/>
        <v>2.6928369714605336E-3</v>
      </c>
      <c r="Q744" s="18">
        <f t="shared" si="333"/>
        <v>1.3669880388514563E-3</v>
      </c>
      <c r="R744" s="18">
        <f t="shared" si="335"/>
        <v>1.6395805533749755E-3</v>
      </c>
      <c r="S744" s="18">
        <f t="shared" si="337"/>
        <v>5.9083054864282735E-3</v>
      </c>
      <c r="T744" s="18">
        <f t="shared" si="339"/>
        <v>2.0093509758138981E-2</v>
      </c>
      <c r="U744" s="18">
        <f t="shared" si="341"/>
        <v>3.810585335850137E-2</v>
      </c>
      <c r="V744" s="18">
        <f t="shared" si="342"/>
        <v>1.4768114949278992E-3</v>
      </c>
      <c r="W744" s="18">
        <f t="shared" si="343"/>
        <v>1.5708654942944808E-2</v>
      </c>
      <c r="X744" s="18">
        <f t="shared" si="344"/>
        <v>7.1472767924702172E-3</v>
      </c>
      <c r="Y744" s="18">
        <f t="shared" si="345"/>
        <v>7.2273249967389139E-3</v>
      </c>
      <c r="AA744" s="18">
        <f t="shared" si="327"/>
        <v>9.8450016723700462E-2</v>
      </c>
      <c r="AB744" s="18">
        <f t="shared" si="328"/>
        <v>9.6924057928969003E-3</v>
      </c>
      <c r="AC744" s="18">
        <f t="shared" si="330"/>
        <v>1.5702931091191856E-2</v>
      </c>
      <c r="AD744" s="18">
        <f t="shared" si="332"/>
        <v>2.2580078024976764E-4</v>
      </c>
      <c r="AE744" s="18">
        <f t="shared" si="334"/>
        <v>4.9677911923089362E-3</v>
      </c>
      <c r="AF744" s="18">
        <f t="shared" si="336"/>
        <v>2.760072728179819E-4</v>
      </c>
      <c r="AG744" s="18">
        <f t="shared" si="338"/>
        <v>3.3988150497629791E-6</v>
      </c>
      <c r="AH744" s="18">
        <f t="shared" si="340"/>
        <v>3.1275965639865339E-5</v>
      </c>
      <c r="AJ744" s="18">
        <f>IF(ISNUMBER(Kernel!M744),Kernel!M744,"")</f>
        <v>0.15280943999296448</v>
      </c>
      <c r="AK744" s="18">
        <f t="shared" si="325"/>
        <v>2.3350724950963412E-2</v>
      </c>
      <c r="AN744" s="18">
        <f>IF(ISNUMBER(Volcanic!G744),Volcanic!G744,"")</f>
        <v>1.8069999999999999E-2</v>
      </c>
    </row>
    <row r="745" spans="1:40">
      <c r="A745" s="18" t="str">
        <f>IF(Volcanic!A745="","",Volcanic!A745)</f>
        <v>2/2020</v>
      </c>
      <c r="B745" s="18">
        <f>IF(ISNUMBER(Volcanic!L745),Volcanic!L745,"")</f>
        <v>2020.125</v>
      </c>
      <c r="C745" s="18">
        <f>IF(ISNUMBER(Volcanic!J745),Volcanic!J745,"")</f>
        <v>0.21418341542829022</v>
      </c>
      <c r="D745" s="18">
        <f t="shared" si="318"/>
        <v>4.5874535444527548E-2</v>
      </c>
      <c r="E745" s="18">
        <f>IF(ISNUMBER(Volcanic!C745),Volcanic!C745,"")</f>
        <v>0.5653186364111572</v>
      </c>
      <c r="F745" s="18">
        <f>IF(ISNUMBER(Volcanic!D745),Volcanic!D745,"")</f>
        <v>0.72</v>
      </c>
      <c r="G745" s="18">
        <f>IF(ISNUMBER(Volcanic!E745),Volcanic!E745,"")</f>
        <v>1.026E-2</v>
      </c>
      <c r="H745" s="18">
        <f t="shared" si="319"/>
        <v>0.31958516067377013</v>
      </c>
      <c r="I745" s="18">
        <f t="shared" si="320"/>
        <v>0.51839999999999997</v>
      </c>
      <c r="J745" s="18">
        <f t="shared" si="321"/>
        <v>1.0526759999999999E-4</v>
      </c>
      <c r="K745" s="18">
        <f t="shared" si="322"/>
        <v>0.40702941821603317</v>
      </c>
      <c r="L745" s="18">
        <f t="shared" si="323"/>
        <v>5.8001692095784726E-3</v>
      </c>
      <c r="M745" s="18">
        <f t="shared" si="324"/>
        <v>7.3872E-3</v>
      </c>
      <c r="N745" s="18">
        <f t="shared" si="326"/>
        <v>2.9533100933521104E-2</v>
      </c>
      <c r="O745" s="18">
        <f t="shared" si="329"/>
        <v>2.1311836383465146E-2</v>
      </c>
      <c r="P745" s="18">
        <f t="shared" si="331"/>
        <v>1.6907195631622046E-3</v>
      </c>
      <c r="Q745" s="18">
        <f t="shared" si="333"/>
        <v>2.6928369714605336E-3</v>
      </c>
      <c r="R745" s="18">
        <f t="shared" si="335"/>
        <v>1.3669880388514563E-3</v>
      </c>
      <c r="S745" s="18">
        <f t="shared" si="337"/>
        <v>1.6395805533749755E-3</v>
      </c>
      <c r="T745" s="18">
        <f t="shared" si="339"/>
        <v>5.9083054864282735E-3</v>
      </c>
      <c r="U745" s="18">
        <f t="shared" si="341"/>
        <v>2.0093509758138981E-2</v>
      </c>
      <c r="V745" s="18">
        <f t="shared" si="342"/>
        <v>3.810585335850137E-2</v>
      </c>
      <c r="W745" s="18">
        <f t="shared" si="343"/>
        <v>1.4768114949278992E-3</v>
      </c>
      <c r="X745" s="18">
        <f t="shared" si="344"/>
        <v>1.5708654942944808E-2</v>
      </c>
      <c r="Y745" s="18">
        <f t="shared" si="345"/>
        <v>7.1472767924702172E-3</v>
      </c>
      <c r="AA745" s="18">
        <f t="shared" si="327"/>
        <v>0.12777585809166231</v>
      </c>
      <c r="AB745" s="18">
        <f t="shared" si="328"/>
        <v>1.6326669911060625E-2</v>
      </c>
      <c r="AC745" s="18">
        <f t="shared" si="330"/>
        <v>9.6924057928969003E-3</v>
      </c>
      <c r="AD745" s="18">
        <f t="shared" si="332"/>
        <v>1.5702931091191856E-2</v>
      </c>
      <c r="AE745" s="18">
        <f t="shared" si="334"/>
        <v>2.2580078024976764E-4</v>
      </c>
      <c r="AF745" s="18">
        <f t="shared" si="336"/>
        <v>4.9677911923089362E-3</v>
      </c>
      <c r="AG745" s="18">
        <f t="shared" si="338"/>
        <v>2.760072728179819E-4</v>
      </c>
      <c r="AH745" s="18">
        <f t="shared" si="340"/>
        <v>3.3988150497629791E-6</v>
      </c>
      <c r="AJ745" s="18">
        <f>IF(ISNUMBER(Kernel!M745),Kernel!M745,"")</f>
        <v>0.20833484317356032</v>
      </c>
      <c r="AK745" s="18">
        <f t="shared" si="325"/>
        <v>4.3403406880151978E-2</v>
      </c>
      <c r="AN745" s="18">
        <f>IF(ISNUMBER(Volcanic!G745),Volcanic!G745,"")</f>
        <v>2.5749999999999999E-2</v>
      </c>
    </row>
    <row r="746" spans="1:40">
      <c r="A746" s="18" t="str">
        <f>IF(Volcanic!A746="","",Volcanic!A746)</f>
        <v>3/2020</v>
      </c>
      <c r="B746" s="18">
        <f>IF(ISNUMBER(Volcanic!L746),Volcanic!L746,"")</f>
        <v>2020.2083333333333</v>
      </c>
      <c r="C746" s="18">
        <f>IF(ISNUMBER(Volcanic!J746),Volcanic!J746,"")</f>
        <v>0.16678962405461495</v>
      </c>
      <c r="D746" s="18">
        <f t="shared" si="318"/>
        <v>2.7818778692279788E-2</v>
      </c>
      <c r="E746" s="18">
        <f>IF(ISNUMBER(Volcanic!C746),Volcanic!C746,"")</f>
        <v>0.56671079616493381</v>
      </c>
      <c r="F746" s="18">
        <f>IF(ISNUMBER(Volcanic!D746),Volcanic!D746,"")</f>
        <v>0.75</v>
      </c>
      <c r="G746" s="18">
        <f>IF(ISNUMBER(Volcanic!E746),Volcanic!E746,"")</f>
        <v>1.898E-2</v>
      </c>
      <c r="H746" s="18">
        <f t="shared" si="319"/>
        <v>0.32116112648989315</v>
      </c>
      <c r="I746" s="18">
        <f t="shared" si="320"/>
        <v>0.5625</v>
      </c>
      <c r="J746" s="18">
        <f t="shared" si="321"/>
        <v>3.6024040000000003E-4</v>
      </c>
      <c r="K746" s="18">
        <f t="shared" si="322"/>
        <v>0.42503309712370035</v>
      </c>
      <c r="L746" s="18">
        <f t="shared" si="323"/>
        <v>1.0756170911210445E-2</v>
      </c>
      <c r="M746" s="18">
        <f t="shared" si="324"/>
        <v>1.4235000000000001E-2</v>
      </c>
      <c r="N746" s="18">
        <f t="shared" si="326"/>
        <v>4.5874535444527548E-2</v>
      </c>
      <c r="O746" s="18">
        <f t="shared" si="329"/>
        <v>2.9533100933521104E-2</v>
      </c>
      <c r="P746" s="18">
        <f t="shared" si="331"/>
        <v>2.1311836383465146E-2</v>
      </c>
      <c r="Q746" s="18">
        <f t="shared" si="333"/>
        <v>1.6907195631622046E-3</v>
      </c>
      <c r="R746" s="18">
        <f t="shared" si="335"/>
        <v>2.6928369714605336E-3</v>
      </c>
      <c r="S746" s="18">
        <f t="shared" si="337"/>
        <v>1.3669880388514563E-3</v>
      </c>
      <c r="T746" s="18">
        <f t="shared" si="339"/>
        <v>1.6395805533749755E-3</v>
      </c>
      <c r="U746" s="18">
        <f t="shared" si="341"/>
        <v>5.9083054864282735E-3</v>
      </c>
      <c r="V746" s="18">
        <f t="shared" si="342"/>
        <v>2.0093509758138981E-2</v>
      </c>
      <c r="W746" s="18">
        <f t="shared" si="343"/>
        <v>3.810585335850137E-2</v>
      </c>
      <c r="X746" s="18">
        <f t="shared" si="344"/>
        <v>1.4768114949278992E-3</v>
      </c>
      <c r="Y746" s="18">
        <f t="shared" si="345"/>
        <v>1.5708654942944808E-2</v>
      </c>
      <c r="AA746" s="18">
        <f t="shared" si="327"/>
        <v>5.9097723117341253E-2</v>
      </c>
      <c r="AB746" s="18">
        <f t="shared" si="328"/>
        <v>3.4925408776539306E-3</v>
      </c>
      <c r="AC746" s="18">
        <f t="shared" si="330"/>
        <v>1.6326669911060625E-2</v>
      </c>
      <c r="AD746" s="18">
        <f t="shared" si="332"/>
        <v>9.6924057928969003E-3</v>
      </c>
      <c r="AE746" s="18">
        <f t="shared" si="334"/>
        <v>1.5702931091191856E-2</v>
      </c>
      <c r="AF746" s="18">
        <f t="shared" si="336"/>
        <v>2.2580078024976764E-4</v>
      </c>
      <c r="AG746" s="18">
        <f t="shared" si="338"/>
        <v>4.9677911923089362E-3</v>
      </c>
      <c r="AH746" s="18">
        <f t="shared" si="340"/>
        <v>2.760072728179819E-4</v>
      </c>
      <c r="AJ746" s="18">
        <f>IF(ISNUMBER(Kernel!M746),Kernel!M746,"")</f>
        <v>0.14683446277151768</v>
      </c>
      <c r="AK746" s="18">
        <f t="shared" si="325"/>
        <v>2.1560359457400213E-2</v>
      </c>
      <c r="AN746" s="18">
        <f>IF(ISNUMBER(Volcanic!G746),Volcanic!G746,"")</f>
        <v>1.8339999999999999E-2</v>
      </c>
    </row>
    <row r="747" spans="1:40">
      <c r="A747" s="18" t="str">
        <f>IF(Volcanic!A747="","",Volcanic!A747)</f>
        <v>4/2020</v>
      </c>
      <c r="B747" s="18">
        <f>IF(ISNUMBER(Volcanic!L747),Volcanic!L747,"")</f>
        <v>2020.2916666666667</v>
      </c>
      <c r="C747" s="18">
        <f>IF(ISNUMBER(Volcanic!J747),Volcanic!J747,"")</f>
        <v>9.5659074280644241E-2</v>
      </c>
      <c r="D747" s="18">
        <f t="shared" si="318"/>
        <v>9.1506584922298132E-3</v>
      </c>
      <c r="E747" s="18">
        <f>IF(ISNUMBER(Volcanic!C747),Volcanic!C747,"")</f>
        <v>0.57261253351296471</v>
      </c>
      <c r="F747" s="18">
        <f>IF(ISNUMBER(Volcanic!D747),Volcanic!D747,"")</f>
        <v>0.71</v>
      </c>
      <c r="G747" s="18">
        <f>IF(ISNUMBER(Volcanic!E747),Volcanic!E747,"")</f>
        <v>1.9550000000000001E-2</v>
      </c>
      <c r="H747" s="18">
        <f t="shared" si="319"/>
        <v>0.32788511353613614</v>
      </c>
      <c r="I747" s="18">
        <f t="shared" si="320"/>
        <v>0.50409999999999999</v>
      </c>
      <c r="J747" s="18">
        <f t="shared" si="321"/>
        <v>3.8220250000000006E-4</v>
      </c>
      <c r="K747" s="18">
        <f t="shared" si="322"/>
        <v>0.40655489879420492</v>
      </c>
      <c r="L747" s="18">
        <f t="shared" si="323"/>
        <v>1.119457503017846E-2</v>
      </c>
      <c r="M747" s="18">
        <f t="shared" si="324"/>
        <v>1.38805E-2</v>
      </c>
      <c r="N747" s="18">
        <f t="shared" si="326"/>
        <v>2.7818778692279788E-2</v>
      </c>
      <c r="O747" s="18">
        <f t="shared" si="329"/>
        <v>4.5874535444527548E-2</v>
      </c>
      <c r="P747" s="18">
        <f t="shared" si="331"/>
        <v>2.9533100933521104E-2</v>
      </c>
      <c r="Q747" s="18">
        <f t="shared" si="333"/>
        <v>2.1311836383465146E-2</v>
      </c>
      <c r="R747" s="18">
        <f t="shared" si="335"/>
        <v>1.6907195631622046E-3</v>
      </c>
      <c r="S747" s="18">
        <f t="shared" si="337"/>
        <v>2.6928369714605336E-3</v>
      </c>
      <c r="T747" s="18">
        <f t="shared" si="339"/>
        <v>1.3669880388514563E-3</v>
      </c>
      <c r="U747" s="18">
        <f t="shared" si="341"/>
        <v>1.6395805533749755E-3</v>
      </c>
      <c r="V747" s="18">
        <f t="shared" si="342"/>
        <v>5.9083054864282735E-3</v>
      </c>
      <c r="W747" s="18">
        <f t="shared" si="343"/>
        <v>2.0093509758138981E-2</v>
      </c>
      <c r="X747" s="18">
        <f t="shared" si="344"/>
        <v>3.810585335850137E-2</v>
      </c>
      <c r="Y747" s="18">
        <f t="shared" si="345"/>
        <v>1.4768114949278992E-3</v>
      </c>
      <c r="AA747" s="18">
        <f t="shared" si="327"/>
        <v>1.1796877783602874E-2</v>
      </c>
      <c r="AB747" s="18">
        <f t="shared" si="328"/>
        <v>1.3916632544126305E-4</v>
      </c>
      <c r="AC747" s="18">
        <f t="shared" si="330"/>
        <v>3.4925408776539306E-3</v>
      </c>
      <c r="AD747" s="18">
        <f t="shared" si="332"/>
        <v>1.6326669911060625E-2</v>
      </c>
      <c r="AE747" s="18">
        <f t="shared" si="334"/>
        <v>9.6924057928969003E-3</v>
      </c>
      <c r="AF747" s="18">
        <f t="shared" si="336"/>
        <v>1.5702931091191856E-2</v>
      </c>
      <c r="AG747" s="18">
        <f t="shared" si="338"/>
        <v>2.2580078024976764E-4</v>
      </c>
      <c r="AH747" s="18">
        <f t="shared" si="340"/>
        <v>4.9677911923089362E-3</v>
      </c>
      <c r="AJ747" s="18">
        <f>IF(ISNUMBER(Kernel!M747),Kernel!M747,"")</f>
        <v>7.7278736724622821E-2</v>
      </c>
      <c r="AK747" s="18">
        <f t="shared" si="325"/>
        <v>5.9720031497535681E-3</v>
      </c>
      <c r="AN747" s="18">
        <f>IF(ISNUMBER(Volcanic!G747),Volcanic!G747,"")</f>
        <v>1.528E-2</v>
      </c>
    </row>
    <row r="748" spans="1:40">
      <c r="A748" s="18" t="str">
        <f>IF(Volcanic!A748="","",Volcanic!A748)</f>
        <v>5/2020</v>
      </c>
      <c r="B748" s="18">
        <f>IF(ISNUMBER(Volcanic!L748),Volcanic!L748,"")</f>
        <v>2020.375</v>
      </c>
      <c r="C748" s="18">
        <f>IF(ISNUMBER(Volcanic!J748),Volcanic!J748,"")</f>
        <v>-3.7511074195134331E-2</v>
      </c>
      <c r="D748" s="18">
        <f t="shared" si="318"/>
        <v>1.4070806872728727E-3</v>
      </c>
      <c r="E748" s="18">
        <f>IF(ISNUMBER(Volcanic!C748),Volcanic!C748,"")</f>
        <v>0.57558894751138634</v>
      </c>
      <c r="F748" s="18">
        <f>IF(ISNUMBER(Volcanic!D748),Volcanic!D748,"")</f>
        <v>0.66</v>
      </c>
      <c r="G748" s="18">
        <f>IF(ISNUMBER(Volcanic!E748),Volcanic!E748,"")</f>
        <v>1.9689999999999999E-2</v>
      </c>
      <c r="H748" s="18">
        <f t="shared" si="319"/>
        <v>0.33130263649726543</v>
      </c>
      <c r="I748" s="18">
        <f t="shared" si="320"/>
        <v>0.43560000000000004</v>
      </c>
      <c r="J748" s="18">
        <f t="shared" si="321"/>
        <v>3.8769609999999996E-4</v>
      </c>
      <c r="K748" s="18">
        <f t="shared" si="322"/>
        <v>0.37988870535751501</v>
      </c>
      <c r="L748" s="18">
        <f t="shared" si="323"/>
        <v>1.1333346376499196E-2</v>
      </c>
      <c r="M748" s="18">
        <f t="shared" si="324"/>
        <v>1.2995400000000001E-2</v>
      </c>
      <c r="N748" s="18">
        <f t="shared" si="326"/>
        <v>9.1506584922298132E-3</v>
      </c>
      <c r="O748" s="18">
        <f t="shared" si="329"/>
        <v>2.7818778692279788E-2</v>
      </c>
      <c r="P748" s="18">
        <f t="shared" si="331"/>
        <v>4.5874535444527548E-2</v>
      </c>
      <c r="Q748" s="18">
        <f t="shared" si="333"/>
        <v>2.9533100933521104E-2</v>
      </c>
      <c r="R748" s="18">
        <f t="shared" si="335"/>
        <v>2.1311836383465146E-2</v>
      </c>
      <c r="S748" s="18">
        <f t="shared" si="337"/>
        <v>1.6907195631622046E-3</v>
      </c>
      <c r="T748" s="18">
        <f t="shared" si="339"/>
        <v>2.6928369714605336E-3</v>
      </c>
      <c r="U748" s="18">
        <f t="shared" si="341"/>
        <v>1.3669880388514563E-3</v>
      </c>
      <c r="V748" s="18">
        <f t="shared" si="342"/>
        <v>1.6395805533749755E-3</v>
      </c>
      <c r="W748" s="18">
        <f t="shared" si="343"/>
        <v>5.9083054864282735E-3</v>
      </c>
      <c r="X748" s="18">
        <f t="shared" si="344"/>
        <v>2.0093509758138981E-2</v>
      </c>
      <c r="Y748" s="18">
        <f t="shared" si="345"/>
        <v>3.810585335850137E-2</v>
      </c>
      <c r="AA748" s="18">
        <f t="shared" si="327"/>
        <v>-8.5608670970228784E-2</v>
      </c>
      <c r="AB748" s="18">
        <f t="shared" si="328"/>
        <v>7.3288445452888923E-3</v>
      </c>
      <c r="AC748" s="18">
        <f t="shared" si="330"/>
        <v>1.3916632544126305E-4</v>
      </c>
      <c r="AD748" s="18">
        <f t="shared" si="332"/>
        <v>3.4925408776539306E-3</v>
      </c>
      <c r="AE748" s="18">
        <f t="shared" si="334"/>
        <v>1.6326669911060625E-2</v>
      </c>
      <c r="AF748" s="18">
        <f t="shared" si="336"/>
        <v>9.6924057928969003E-3</v>
      </c>
      <c r="AG748" s="18">
        <f t="shared" si="338"/>
        <v>1.5702931091191856E-2</v>
      </c>
      <c r="AH748" s="18">
        <f t="shared" si="340"/>
        <v>2.2580078024976764E-4</v>
      </c>
      <c r="AJ748" s="18">
        <f>IF(ISNUMBER(Kernel!M748),Kernel!M748,"")</f>
        <v>-4.9537820123661591E-2</v>
      </c>
      <c r="AK748" s="18">
        <f t="shared" si="325"/>
        <v>2.4539956226042512E-3</v>
      </c>
      <c r="AN748" s="18">
        <f>IF(ISNUMBER(Volcanic!G748),Volcanic!G748,"")</f>
        <v>1.337E-2</v>
      </c>
    </row>
    <row r="749" spans="1:40">
      <c r="A749" s="18" t="str">
        <f>IF(Volcanic!A749="","",Volcanic!A749)</f>
        <v>6/2020</v>
      </c>
      <c r="B749" s="18">
        <f>IF(ISNUMBER(Volcanic!L749),Volcanic!L749,"")</f>
        <v>2020.4583333333333</v>
      </c>
      <c r="C749" s="18">
        <f>IF(ISNUMBER(Volcanic!J749),Volcanic!J749,"")</f>
        <v>-0.10690985635328087</v>
      </c>
      <c r="D749" s="18">
        <f t="shared" si="318"/>
        <v>1.1429717385479151E-2</v>
      </c>
      <c r="E749" s="18">
        <f>IF(ISNUMBER(Volcanic!C749),Volcanic!C749,"")</f>
        <v>0.57316675010211449</v>
      </c>
      <c r="F749" s="18">
        <f>IF(ISNUMBER(Volcanic!D749),Volcanic!D749,"")</f>
        <v>0.56999999999999995</v>
      </c>
      <c r="G749" s="18">
        <f>IF(ISNUMBER(Volcanic!E749),Volcanic!E749,"")</f>
        <v>1.771E-2</v>
      </c>
      <c r="H749" s="18">
        <f t="shared" si="319"/>
        <v>0.32852012342261977</v>
      </c>
      <c r="I749" s="18">
        <f t="shared" si="320"/>
        <v>0.32489999999999997</v>
      </c>
      <c r="J749" s="18">
        <f t="shared" si="321"/>
        <v>3.136441E-4</v>
      </c>
      <c r="K749" s="18">
        <f t="shared" si="322"/>
        <v>0.32670504755820523</v>
      </c>
      <c r="L749" s="18">
        <f t="shared" si="323"/>
        <v>1.0150783144308447E-2</v>
      </c>
      <c r="M749" s="18">
        <f t="shared" si="324"/>
        <v>1.00947E-2</v>
      </c>
      <c r="N749" s="18">
        <f t="shared" si="326"/>
        <v>1.4070806872728727E-3</v>
      </c>
      <c r="O749" s="18">
        <f t="shared" si="329"/>
        <v>9.1506584922298132E-3</v>
      </c>
      <c r="P749" s="18">
        <f t="shared" si="331"/>
        <v>2.7818778692279788E-2</v>
      </c>
      <c r="Q749" s="18">
        <f t="shared" si="333"/>
        <v>4.5874535444527548E-2</v>
      </c>
      <c r="R749" s="18">
        <f t="shared" si="335"/>
        <v>2.9533100933521104E-2</v>
      </c>
      <c r="S749" s="18">
        <f t="shared" si="337"/>
        <v>2.1311836383465146E-2</v>
      </c>
      <c r="T749" s="18">
        <f t="shared" si="339"/>
        <v>1.6907195631622046E-3</v>
      </c>
      <c r="U749" s="18">
        <f t="shared" si="341"/>
        <v>2.6928369714605336E-3</v>
      </c>
      <c r="V749" s="18">
        <f t="shared" si="342"/>
        <v>1.3669880388514563E-3</v>
      </c>
      <c r="W749" s="18">
        <f t="shared" si="343"/>
        <v>1.6395805533749755E-3</v>
      </c>
      <c r="X749" s="18">
        <f t="shared" si="344"/>
        <v>5.9083054864282735E-3</v>
      </c>
      <c r="Y749" s="18">
        <f t="shared" si="345"/>
        <v>2.0093509758138981E-2</v>
      </c>
      <c r="AA749" s="18">
        <f t="shared" si="327"/>
        <v>-8.8049204242587359E-2</v>
      </c>
      <c r="AB749" s="18">
        <f t="shared" si="328"/>
        <v>7.7526623677528642E-3</v>
      </c>
      <c r="AC749" s="18">
        <f t="shared" si="330"/>
        <v>7.3288445452888923E-3</v>
      </c>
      <c r="AD749" s="18">
        <f t="shared" si="332"/>
        <v>1.3916632544126305E-4</v>
      </c>
      <c r="AE749" s="18">
        <f t="shared" si="334"/>
        <v>3.4925408776539306E-3</v>
      </c>
      <c r="AF749" s="18">
        <f t="shared" si="336"/>
        <v>1.6326669911060625E-2</v>
      </c>
      <c r="AG749" s="18">
        <f t="shared" si="338"/>
        <v>9.6924057928969003E-3</v>
      </c>
      <c r="AH749" s="18">
        <f t="shared" si="340"/>
        <v>1.5702931091191856E-2</v>
      </c>
      <c r="AJ749" s="18">
        <f>IF(ISNUMBER(Kernel!M749),Kernel!M749,"")</f>
        <v>-0.10919141340929084</v>
      </c>
      <c r="AK749" s="18">
        <f t="shared" si="325"/>
        <v>1.1922764762318658E-2</v>
      </c>
      <c r="AN749" s="18">
        <f>IF(ISNUMBER(Volcanic!G749),Volcanic!G749,"")</f>
        <v>1.159E-2</v>
      </c>
    </row>
    <row r="750" spans="1:40">
      <c r="A750" s="18" t="str">
        <f>IF(Volcanic!A750="","",Volcanic!A750)</f>
        <v>7/2020</v>
      </c>
      <c r="B750" s="18">
        <f>IF(ISNUMBER(Volcanic!L750),Volcanic!L750,"")</f>
        <v>2020.5416666666667</v>
      </c>
      <c r="C750" s="18">
        <f>IF(ISNUMBER(Volcanic!J750),Volcanic!J750,"")</f>
        <v>-9.1797354861045899E-2</v>
      </c>
      <c r="D750" s="18">
        <f t="shared" si="318"/>
        <v>8.4267543594847873E-3</v>
      </c>
      <c r="E750" s="18">
        <f>IF(ISNUMBER(Volcanic!C750),Volcanic!C750,"")</f>
        <v>0.56622369304750153</v>
      </c>
      <c r="F750" s="18">
        <f>IF(ISNUMBER(Volcanic!D750),Volcanic!D750,"")</f>
        <v>0.33</v>
      </c>
      <c r="G750" s="18">
        <f>IF(ISNUMBER(Volcanic!E750),Volcanic!E750,"")</f>
        <v>1.494E-2</v>
      </c>
      <c r="H750" s="18">
        <f t="shared" si="319"/>
        <v>0.32060927056835126</v>
      </c>
      <c r="I750" s="18">
        <f t="shared" si="320"/>
        <v>0.10890000000000001</v>
      </c>
      <c r="J750" s="18">
        <f t="shared" si="321"/>
        <v>2.2320360000000001E-4</v>
      </c>
      <c r="K750" s="18">
        <f t="shared" si="322"/>
        <v>0.18685381870567552</v>
      </c>
      <c r="L750" s="18">
        <f t="shared" si="323"/>
        <v>8.459381974129673E-3</v>
      </c>
      <c r="M750" s="18">
        <f t="shared" si="324"/>
        <v>4.9302E-3</v>
      </c>
      <c r="N750" s="18">
        <f t="shared" si="326"/>
        <v>1.1429717385479151E-2</v>
      </c>
      <c r="O750" s="18">
        <f t="shared" si="329"/>
        <v>1.4070806872728727E-3</v>
      </c>
      <c r="P750" s="18">
        <f t="shared" si="331"/>
        <v>9.1506584922298132E-3</v>
      </c>
      <c r="Q750" s="18">
        <f t="shared" si="333"/>
        <v>2.7818778692279788E-2</v>
      </c>
      <c r="R750" s="18">
        <f t="shared" si="335"/>
        <v>4.5874535444527548E-2</v>
      </c>
      <c r="S750" s="18">
        <f t="shared" si="337"/>
        <v>2.9533100933521104E-2</v>
      </c>
      <c r="T750" s="18">
        <f t="shared" si="339"/>
        <v>2.1311836383465146E-2</v>
      </c>
      <c r="U750" s="18">
        <f t="shared" si="341"/>
        <v>1.6907195631622046E-3</v>
      </c>
      <c r="V750" s="18">
        <f t="shared" si="342"/>
        <v>2.6928369714605336E-3</v>
      </c>
      <c r="W750" s="18">
        <f t="shared" si="343"/>
        <v>1.3669880388514563E-3</v>
      </c>
      <c r="X750" s="18">
        <f t="shared" si="344"/>
        <v>1.6395805533749755E-3</v>
      </c>
      <c r="Y750" s="18">
        <f t="shared" si="345"/>
        <v>5.9083054864282735E-3</v>
      </c>
      <c r="AA750" s="18">
        <f t="shared" si="327"/>
        <v>-3.8042839663904461E-2</v>
      </c>
      <c r="AB750" s="18">
        <f t="shared" si="328"/>
        <v>1.4472576496935424E-3</v>
      </c>
      <c r="AC750" s="18">
        <f t="shared" si="330"/>
        <v>7.7526623677528642E-3</v>
      </c>
      <c r="AD750" s="18">
        <f t="shared" si="332"/>
        <v>7.3288445452888923E-3</v>
      </c>
      <c r="AE750" s="18">
        <f t="shared" si="334"/>
        <v>1.3916632544126305E-4</v>
      </c>
      <c r="AF750" s="18">
        <f t="shared" si="336"/>
        <v>3.4925408776539306E-3</v>
      </c>
      <c r="AG750" s="18">
        <f t="shared" si="338"/>
        <v>1.6326669911060625E-2</v>
      </c>
      <c r="AH750" s="18">
        <f t="shared" si="340"/>
        <v>9.6924057928969003E-3</v>
      </c>
      <c r="AJ750" s="18">
        <f>IF(ISNUMBER(Kernel!M750),Kernel!M750,"")</f>
        <v>-9.6651329639434236E-2</v>
      </c>
      <c r="AK750" s="18">
        <f t="shared" si="325"/>
        <v>9.3414795210705788E-3</v>
      </c>
      <c r="AN750" s="18">
        <f>IF(ISNUMBER(Volcanic!G750),Volcanic!G750,"")</f>
        <v>1.061E-2</v>
      </c>
    </row>
    <row r="751" spans="1:40">
      <c r="A751" s="18" t="str">
        <f>IF(Volcanic!A751="","",Volcanic!A751)</f>
        <v>8/2020</v>
      </c>
      <c r="B751" s="18">
        <f>IF(ISNUMBER(Volcanic!L751),Volcanic!L751,"")</f>
        <v>2020.625</v>
      </c>
      <c r="C751" s="18">
        <f>IF(ISNUMBER(Volcanic!J751),Volcanic!J751,"")</f>
        <v>-7.0592433756382134E-2</v>
      </c>
      <c r="D751" s="18">
        <f t="shared" si="318"/>
        <v>4.9832917036491996E-3</v>
      </c>
      <c r="E751" s="18">
        <f>IF(ISNUMBER(Volcanic!C751),Volcanic!C751,"")</f>
        <v>0.55984138796829153</v>
      </c>
      <c r="F751" s="18">
        <f>IF(ISNUMBER(Volcanic!D751),Volcanic!D751,"")</f>
        <v>0.04</v>
      </c>
      <c r="G751" s="18">
        <f>IF(ISNUMBER(Volcanic!E751),Volcanic!E751,"")</f>
        <v>1.8069999999999999E-2</v>
      </c>
      <c r="H751" s="18">
        <f t="shared" si="319"/>
        <v>0.31342237968226311</v>
      </c>
      <c r="I751" s="18">
        <f t="shared" si="320"/>
        <v>1.6000000000000001E-3</v>
      </c>
      <c r="J751" s="18">
        <f t="shared" si="321"/>
        <v>3.2652489999999995E-4</v>
      </c>
      <c r="K751" s="18">
        <f t="shared" si="322"/>
        <v>2.239365551873166E-2</v>
      </c>
      <c r="L751" s="18">
        <f t="shared" si="323"/>
        <v>1.0116333880587027E-2</v>
      </c>
      <c r="M751" s="18">
        <f t="shared" si="324"/>
        <v>7.228E-4</v>
      </c>
      <c r="N751" s="18">
        <f t="shared" si="326"/>
        <v>8.4267543594847873E-3</v>
      </c>
      <c r="O751" s="18">
        <f t="shared" si="329"/>
        <v>1.1429717385479151E-2</v>
      </c>
      <c r="P751" s="18">
        <f t="shared" si="331"/>
        <v>1.4070806872728727E-3</v>
      </c>
      <c r="Q751" s="18">
        <f t="shared" si="333"/>
        <v>9.1506584922298132E-3</v>
      </c>
      <c r="R751" s="18">
        <f t="shared" si="335"/>
        <v>2.7818778692279788E-2</v>
      </c>
      <c r="S751" s="18">
        <f t="shared" si="337"/>
        <v>4.5874535444527548E-2</v>
      </c>
      <c r="T751" s="18">
        <f t="shared" si="339"/>
        <v>2.9533100933521104E-2</v>
      </c>
      <c r="U751" s="18">
        <f t="shared" si="341"/>
        <v>2.1311836383465146E-2</v>
      </c>
      <c r="V751" s="18">
        <f t="shared" si="342"/>
        <v>1.6907195631622046E-3</v>
      </c>
      <c r="W751" s="18">
        <f t="shared" si="343"/>
        <v>2.6928369714605336E-3</v>
      </c>
      <c r="X751" s="18">
        <f t="shared" si="344"/>
        <v>1.3669880388514563E-3</v>
      </c>
      <c r="Y751" s="18">
        <f t="shared" si="345"/>
        <v>1.6395805533749755E-3</v>
      </c>
      <c r="AA751" s="18">
        <f t="shared" si="327"/>
        <v>-2.4436518153713331E-2</v>
      </c>
      <c r="AB751" s="18">
        <f t="shared" si="328"/>
        <v>5.9714341947676123E-4</v>
      </c>
      <c r="AC751" s="18">
        <f t="shared" si="330"/>
        <v>1.4472576496935424E-3</v>
      </c>
      <c r="AD751" s="18">
        <f t="shared" si="332"/>
        <v>7.7526623677528642E-3</v>
      </c>
      <c r="AE751" s="18">
        <f t="shared" si="334"/>
        <v>7.3288445452888923E-3</v>
      </c>
      <c r="AF751" s="18">
        <f t="shared" si="336"/>
        <v>1.3916632544126305E-4</v>
      </c>
      <c r="AG751" s="18">
        <f t="shared" si="338"/>
        <v>3.4925408776539306E-3</v>
      </c>
      <c r="AH751" s="18">
        <f t="shared" si="340"/>
        <v>1.6326669911060625E-2</v>
      </c>
      <c r="AJ751" s="18">
        <f>IF(ISNUMBER(Kernel!M751),Kernel!M751,"")</f>
        <v>-9.4902097903684646E-2</v>
      </c>
      <c r="AK751" s="18">
        <f t="shared" si="325"/>
        <v>9.006408186520546E-3</v>
      </c>
      <c r="AN751" s="18">
        <f>IF(ISNUMBER(Volcanic!G751),Volcanic!G751,"")</f>
        <v>1.0070000000000001E-2</v>
      </c>
    </row>
    <row r="752" spans="1:40">
      <c r="A752" s="18" t="str">
        <f>IF(Volcanic!A752="","",Volcanic!A752)</f>
        <v>9/2020</v>
      </c>
      <c r="B752" s="18">
        <f>IF(ISNUMBER(Volcanic!L752),Volcanic!L752,"")</f>
        <v>2020.7083333333333</v>
      </c>
      <c r="C752" s="18">
        <f>IF(ISNUMBER(Volcanic!J752),Volcanic!J752,"")</f>
        <v>7.865580282539808E-2</v>
      </c>
      <c r="D752" s="18">
        <f t="shared" si="318"/>
        <v>6.1867353181079008E-3</v>
      </c>
      <c r="E752" s="18">
        <f>IF(ISNUMBER(Volcanic!C752),Volcanic!C752,"")</f>
        <v>0.5554656034766593</v>
      </c>
      <c r="F752" s="18">
        <f>IF(ISNUMBER(Volcanic!D752),Volcanic!D752,"")</f>
        <v>-0.18</v>
      </c>
      <c r="G752" s="18">
        <f>IF(ISNUMBER(Volcanic!E752),Volcanic!E752,"")</f>
        <v>2.5749999999999999E-2</v>
      </c>
      <c r="H752" s="18">
        <f t="shared" si="319"/>
        <v>0.3085420366456893</v>
      </c>
      <c r="I752" s="18">
        <f t="shared" si="320"/>
        <v>3.2399999999999998E-2</v>
      </c>
      <c r="J752" s="18">
        <f t="shared" si="321"/>
        <v>6.6306249999999991E-4</v>
      </c>
      <c r="K752" s="18">
        <f t="shared" si="322"/>
        <v>-9.998380862579867E-2</v>
      </c>
      <c r="L752" s="18">
        <f t="shared" si="323"/>
        <v>1.4303239289523977E-2</v>
      </c>
      <c r="M752" s="18">
        <f t="shared" si="324"/>
        <v>-4.6349999999999994E-3</v>
      </c>
      <c r="N752" s="18">
        <f t="shared" si="326"/>
        <v>4.9832917036491996E-3</v>
      </c>
      <c r="O752" s="18">
        <f t="shared" si="329"/>
        <v>8.4267543594847873E-3</v>
      </c>
      <c r="P752" s="18">
        <f t="shared" si="331"/>
        <v>1.1429717385479151E-2</v>
      </c>
      <c r="Q752" s="18">
        <f t="shared" si="333"/>
        <v>1.4070806872728727E-3</v>
      </c>
      <c r="R752" s="18">
        <f t="shared" si="335"/>
        <v>9.1506584922298132E-3</v>
      </c>
      <c r="S752" s="18">
        <f t="shared" si="337"/>
        <v>2.7818778692279788E-2</v>
      </c>
      <c r="T752" s="18">
        <f t="shared" si="339"/>
        <v>4.5874535444527548E-2</v>
      </c>
      <c r="U752" s="18">
        <f t="shared" si="341"/>
        <v>2.9533100933521104E-2</v>
      </c>
      <c r="V752" s="18">
        <f t="shared" si="342"/>
        <v>2.1311836383465146E-2</v>
      </c>
      <c r="W752" s="18">
        <f t="shared" si="343"/>
        <v>1.6907195631622046E-3</v>
      </c>
      <c r="X752" s="18">
        <f t="shared" si="344"/>
        <v>2.6928369714605336E-3</v>
      </c>
      <c r="Y752" s="18">
        <f t="shared" si="345"/>
        <v>1.3669880388514563E-3</v>
      </c>
      <c r="AA752" s="18">
        <f t="shared" si="327"/>
        <v>0.11414983660860026</v>
      </c>
      <c r="AB752" s="18">
        <f t="shared" si="328"/>
        <v>1.3030185197770135E-2</v>
      </c>
      <c r="AC752" s="18">
        <f t="shared" si="330"/>
        <v>5.9714341947676123E-4</v>
      </c>
      <c r="AD752" s="18">
        <f t="shared" si="332"/>
        <v>1.4472576496935424E-3</v>
      </c>
      <c r="AE752" s="18">
        <f t="shared" si="334"/>
        <v>7.7526623677528642E-3</v>
      </c>
      <c r="AF752" s="18">
        <f t="shared" si="336"/>
        <v>7.3288445452888923E-3</v>
      </c>
      <c r="AG752" s="18">
        <f t="shared" si="338"/>
        <v>1.3916632544126305E-4</v>
      </c>
      <c r="AH752" s="18">
        <f t="shared" si="340"/>
        <v>3.4925408776539306E-3</v>
      </c>
      <c r="AJ752" s="18">
        <f>IF(ISNUMBER(Kernel!M752),Kernel!M752,"")</f>
        <v>3.6553857178604376E-2</v>
      </c>
      <c r="AK752" s="18">
        <f t="shared" si="325"/>
        <v>1.3361844746338067E-3</v>
      </c>
      <c r="AN752" s="18">
        <f>IF(ISNUMBER(Volcanic!G752),Volcanic!G752,"")</f>
        <v>1.0240000000000001E-2</v>
      </c>
    </row>
    <row r="753" spans="1:40">
      <c r="A753" s="18" t="str">
        <f>IF(Volcanic!A753="","",Volcanic!A753)</f>
        <v>10/2020</v>
      </c>
      <c r="B753" s="18">
        <f>IF(ISNUMBER(Volcanic!L753),Volcanic!L753,"")</f>
        <v>2020.7916666666667</v>
      </c>
      <c r="C753" s="18">
        <f>IF(ISNUMBER(Volcanic!J753),Volcanic!J753,"")</f>
        <v>-1.734573252323568E-2</v>
      </c>
      <c r="D753" s="18">
        <f t="shared" si="318"/>
        <v>3.0087443676763602E-4</v>
      </c>
      <c r="E753" s="18">
        <f>IF(ISNUMBER(Volcanic!C753),Volcanic!C753,"")</f>
        <v>0.55543054363289546</v>
      </c>
      <c r="F753" s="18">
        <f>IF(ISNUMBER(Volcanic!D753),Volcanic!D753,"")</f>
        <v>-0.28999999999999998</v>
      </c>
      <c r="G753" s="18">
        <f>IF(ISNUMBER(Volcanic!E753),Volcanic!E753,"")</f>
        <v>1.8339999999999999E-2</v>
      </c>
      <c r="H753" s="18">
        <f t="shared" si="319"/>
        <v>0.30850308880033378</v>
      </c>
      <c r="I753" s="18">
        <f t="shared" si="320"/>
        <v>8.4099999999999994E-2</v>
      </c>
      <c r="J753" s="18">
        <f t="shared" si="321"/>
        <v>3.3635559999999998E-4</v>
      </c>
      <c r="K753" s="18">
        <f t="shared" si="322"/>
        <v>-0.16107485765353968</v>
      </c>
      <c r="L753" s="18">
        <f t="shared" si="323"/>
        <v>1.0186596170227302E-2</v>
      </c>
      <c r="M753" s="18">
        <f t="shared" si="324"/>
        <v>-5.3185999999999988E-3</v>
      </c>
      <c r="N753" s="18">
        <f t="shared" si="326"/>
        <v>6.1867353181079008E-3</v>
      </c>
      <c r="O753" s="18">
        <f t="shared" si="329"/>
        <v>4.9832917036491996E-3</v>
      </c>
      <c r="P753" s="18">
        <f t="shared" si="331"/>
        <v>8.4267543594847873E-3</v>
      </c>
      <c r="Q753" s="18">
        <f t="shared" si="333"/>
        <v>1.1429717385479151E-2</v>
      </c>
      <c r="R753" s="18">
        <f t="shared" si="335"/>
        <v>1.4070806872728727E-3</v>
      </c>
      <c r="S753" s="18">
        <f t="shared" si="337"/>
        <v>9.1506584922298132E-3</v>
      </c>
      <c r="T753" s="18">
        <f t="shared" si="339"/>
        <v>2.7818778692279788E-2</v>
      </c>
      <c r="U753" s="18">
        <f t="shared" si="341"/>
        <v>4.5874535444527548E-2</v>
      </c>
      <c r="V753" s="18">
        <f t="shared" si="342"/>
        <v>2.9533100933521104E-2</v>
      </c>
      <c r="W753" s="18">
        <f t="shared" si="343"/>
        <v>2.1311836383465146E-2</v>
      </c>
      <c r="X753" s="18">
        <f t="shared" si="344"/>
        <v>1.6907195631622046E-3</v>
      </c>
      <c r="Y753" s="18">
        <f t="shared" si="345"/>
        <v>2.6928369714605336E-3</v>
      </c>
      <c r="AA753" s="18">
        <f t="shared" si="327"/>
        <v>-5.689404633210994E-2</v>
      </c>
      <c r="AB753" s="18">
        <f t="shared" si="328"/>
        <v>3.2369325080402727E-3</v>
      </c>
      <c r="AC753" s="18">
        <f t="shared" si="330"/>
        <v>1.3030185197770135E-2</v>
      </c>
      <c r="AD753" s="18">
        <f t="shared" si="332"/>
        <v>5.9714341947676123E-4</v>
      </c>
      <c r="AE753" s="18">
        <f t="shared" si="334"/>
        <v>1.4472576496935424E-3</v>
      </c>
      <c r="AF753" s="18">
        <f t="shared" si="336"/>
        <v>7.7526623677528642E-3</v>
      </c>
      <c r="AG753" s="18">
        <f t="shared" si="338"/>
        <v>7.3288445452888923E-3</v>
      </c>
      <c r="AH753" s="18">
        <f t="shared" si="340"/>
        <v>1.3916632544126305E-4</v>
      </c>
      <c r="AJ753" s="18">
        <f>IF(ISNUMBER(Kernel!M753),Kernel!M753,"")</f>
        <v>-3.1810391358450318E-2</v>
      </c>
      <c r="AK753" s="18">
        <f t="shared" si="325"/>
        <v>1.0119009983777707E-3</v>
      </c>
      <c r="AN753" s="18">
        <f>IF(ISNUMBER(Volcanic!G753),Volcanic!G753,"")</f>
        <v>1.022E-2</v>
      </c>
    </row>
    <row r="754" spans="1:40">
      <c r="A754" s="18" t="str">
        <f>IF(Volcanic!A754="","",Volcanic!A754)</f>
        <v>11/2020</v>
      </c>
      <c r="B754" s="18">
        <f>IF(ISNUMBER(Volcanic!L754),Volcanic!L754,"")</f>
        <v>2020.875</v>
      </c>
      <c r="C754" s="18">
        <f>IF(ISNUMBER(Volcanic!J754),Volcanic!J754,"")</f>
        <v>0.19354702151997838</v>
      </c>
      <c r="D754" s="18">
        <f t="shared" si="318"/>
        <v>3.7460449539254974E-2</v>
      </c>
      <c r="E754" s="18">
        <f>IF(ISNUMBER(Volcanic!C754),Volcanic!C754,"")</f>
        <v>0.56106423302379171</v>
      </c>
      <c r="F754" s="18">
        <f>IF(ISNUMBER(Volcanic!D754),Volcanic!D754,"")</f>
        <v>-0.43</v>
      </c>
      <c r="G754" s="18">
        <f>IF(ISNUMBER(Volcanic!E754),Volcanic!E754,"")</f>
        <v>1.528E-2</v>
      </c>
      <c r="H754" s="18">
        <f t="shared" si="319"/>
        <v>0.31479307357857567</v>
      </c>
      <c r="I754" s="18">
        <f t="shared" si="320"/>
        <v>0.18489999999999998</v>
      </c>
      <c r="J754" s="18">
        <f t="shared" si="321"/>
        <v>2.3347840000000002E-4</v>
      </c>
      <c r="K754" s="18">
        <f t="shared" si="322"/>
        <v>-0.24125762020023042</v>
      </c>
      <c r="L754" s="18">
        <f t="shared" si="323"/>
        <v>8.5730614806035377E-3</v>
      </c>
      <c r="M754" s="18">
        <f t="shared" si="324"/>
        <v>-6.5703999999999997E-3</v>
      </c>
      <c r="N754" s="18">
        <f t="shared" si="326"/>
        <v>3.0087443676763602E-4</v>
      </c>
      <c r="O754" s="18">
        <f t="shared" si="329"/>
        <v>6.1867353181079008E-3</v>
      </c>
      <c r="P754" s="18">
        <f t="shared" si="331"/>
        <v>4.9832917036491996E-3</v>
      </c>
      <c r="Q754" s="18">
        <f t="shared" si="333"/>
        <v>8.4267543594847873E-3</v>
      </c>
      <c r="R754" s="18">
        <f t="shared" si="335"/>
        <v>1.1429717385479151E-2</v>
      </c>
      <c r="S754" s="18">
        <f t="shared" si="337"/>
        <v>1.4070806872728727E-3</v>
      </c>
      <c r="T754" s="18">
        <f t="shared" si="339"/>
        <v>9.1506584922298132E-3</v>
      </c>
      <c r="U754" s="18">
        <f t="shared" si="341"/>
        <v>2.7818778692279788E-2</v>
      </c>
      <c r="V754" s="18">
        <f t="shared" si="342"/>
        <v>4.5874535444527548E-2</v>
      </c>
      <c r="W754" s="18">
        <f t="shared" si="343"/>
        <v>2.9533100933521104E-2</v>
      </c>
      <c r="X754" s="18">
        <f t="shared" si="344"/>
        <v>2.1311836383465146E-2</v>
      </c>
      <c r="Y754" s="18">
        <f t="shared" si="345"/>
        <v>1.6907195631622046E-3</v>
      </c>
      <c r="AA754" s="18">
        <f t="shared" si="327"/>
        <v>0.20226849467811914</v>
      </c>
      <c r="AB754" s="18">
        <f t="shared" si="328"/>
        <v>4.0912543939352307E-2</v>
      </c>
      <c r="AC754" s="18">
        <f t="shared" si="330"/>
        <v>3.2369325080402727E-3</v>
      </c>
      <c r="AD754" s="18">
        <f t="shared" si="332"/>
        <v>1.3030185197770135E-2</v>
      </c>
      <c r="AE754" s="18">
        <f t="shared" si="334"/>
        <v>5.9714341947676123E-4</v>
      </c>
      <c r="AF754" s="18">
        <f t="shared" si="336"/>
        <v>1.4472576496935424E-3</v>
      </c>
      <c r="AG754" s="18">
        <f t="shared" si="338"/>
        <v>7.7526623677528642E-3</v>
      </c>
      <c r="AH754" s="18">
        <f t="shared" si="340"/>
        <v>7.3288445452888923E-3</v>
      </c>
      <c r="AJ754" s="18">
        <f>IF(ISNUMBER(Kernel!M754),Kernel!M754,"")</f>
        <v>0.19355567432237508</v>
      </c>
      <c r="AK754" s="18">
        <f t="shared" si="325"/>
        <v>3.7463799062389329E-2</v>
      </c>
      <c r="AN754" s="18">
        <f>IF(ISNUMBER(Volcanic!G754),Volcanic!G754,"")</f>
        <v>1.0319999999999999E-2</v>
      </c>
    </row>
    <row r="755" spans="1:40">
      <c r="A755" s="18" t="str">
        <f>IF(Volcanic!A755="","",Volcanic!A755)</f>
        <v>12/2020</v>
      </c>
      <c r="B755" s="18">
        <f>IF(ISNUMBER(Volcanic!L755),Volcanic!L755,"")</f>
        <v>2020.9583333333333</v>
      </c>
      <c r="C755" s="18">
        <f>IF(ISNUMBER(Volcanic!J755),Volcanic!J755,"")</f>
        <v>-7.9854082891228639E-2</v>
      </c>
      <c r="D755" s="18">
        <f t="shared" si="318"/>
        <v>6.3766745543992146E-3</v>
      </c>
      <c r="E755" s="18">
        <f>IF(ISNUMBER(Volcanic!C755),Volcanic!C755,"")</f>
        <v>0.56500521524359781</v>
      </c>
      <c r="F755" s="18">
        <f>IF(ISNUMBER(Volcanic!D755),Volcanic!D755,"")</f>
        <v>-0.77</v>
      </c>
      <c r="G755" s="18">
        <f>IF(ISNUMBER(Volcanic!E755),Volcanic!E755,"")</f>
        <v>1.337E-2</v>
      </c>
      <c r="H755" s="18">
        <f t="shared" si="319"/>
        <v>0.31923089325246429</v>
      </c>
      <c r="I755" s="18">
        <f t="shared" si="320"/>
        <v>0.59289999999999998</v>
      </c>
      <c r="J755" s="18">
        <f t="shared" si="321"/>
        <v>1.787569E-4</v>
      </c>
      <c r="K755" s="18">
        <f t="shared" si="322"/>
        <v>-0.43505401573757035</v>
      </c>
      <c r="L755" s="18">
        <f t="shared" si="323"/>
        <v>7.5541197278069031E-3</v>
      </c>
      <c r="M755" s="18">
        <f t="shared" si="324"/>
        <v>-1.0294900000000001E-2</v>
      </c>
      <c r="N755" s="18">
        <f t="shared" si="326"/>
        <v>3.7460449539254974E-2</v>
      </c>
      <c r="O755" s="18">
        <f t="shared" si="329"/>
        <v>3.0087443676763602E-4</v>
      </c>
      <c r="P755" s="18">
        <f t="shared" si="331"/>
        <v>6.1867353181079008E-3</v>
      </c>
      <c r="Q755" s="18">
        <f t="shared" si="333"/>
        <v>4.9832917036491996E-3</v>
      </c>
      <c r="R755" s="18">
        <f t="shared" si="335"/>
        <v>8.4267543594847873E-3</v>
      </c>
      <c r="S755" s="18">
        <f t="shared" si="337"/>
        <v>1.1429717385479151E-2</v>
      </c>
      <c r="T755" s="18">
        <f t="shared" si="339"/>
        <v>1.4070806872728727E-3</v>
      </c>
      <c r="U755" s="18">
        <f t="shared" si="341"/>
        <v>9.1506584922298132E-3</v>
      </c>
      <c r="V755" s="18">
        <f t="shared" si="342"/>
        <v>2.7818778692279788E-2</v>
      </c>
      <c r="W755" s="18">
        <f t="shared" si="343"/>
        <v>4.5874535444527548E-2</v>
      </c>
      <c r="X755" s="18">
        <f t="shared" si="344"/>
        <v>2.9533100933521104E-2</v>
      </c>
      <c r="Y755" s="18">
        <f t="shared" si="345"/>
        <v>2.1311836383465146E-2</v>
      </c>
      <c r="AA755" s="18">
        <f t="shared" si="327"/>
        <v>-0.17716995875656794</v>
      </c>
      <c r="AB755" s="18">
        <f t="shared" si="328"/>
        <v>3.138919428580398E-2</v>
      </c>
      <c r="AC755" s="18">
        <f t="shared" si="330"/>
        <v>4.0912543939352307E-2</v>
      </c>
      <c r="AD755" s="18">
        <f t="shared" si="332"/>
        <v>3.2369325080402727E-3</v>
      </c>
      <c r="AE755" s="18">
        <f t="shared" si="334"/>
        <v>1.3030185197770135E-2</v>
      </c>
      <c r="AF755" s="18">
        <f t="shared" si="336"/>
        <v>5.9714341947676123E-4</v>
      </c>
      <c r="AG755" s="18">
        <f t="shared" si="338"/>
        <v>1.4472576496935424E-3</v>
      </c>
      <c r="AH755" s="18">
        <f t="shared" si="340"/>
        <v>7.7526623677528642E-3</v>
      </c>
      <c r="AJ755" s="18">
        <f>IF(ISNUMBER(Kernel!M755),Kernel!M755,"")</f>
        <v>-9.0953064469517897E-2</v>
      </c>
      <c r="AK755" s="18">
        <f t="shared" si="325"/>
        <v>8.2724599363962793E-3</v>
      </c>
      <c r="AN755" s="18">
        <f>IF(ISNUMBER(Volcanic!G755),Volcanic!G755,"")</f>
        <v>9.7000000000000003E-3</v>
      </c>
    </row>
    <row r="756" spans="1:40">
      <c r="A756" s="18" t="str">
        <f>IF(Volcanic!A756="","",Volcanic!A756)</f>
        <v>1/2021</v>
      </c>
      <c r="B756" s="18">
        <f>IF(ISNUMBER(Volcanic!L756),Volcanic!L756,"")</f>
        <v>2021.0416666666667</v>
      </c>
      <c r="C756" s="18">
        <f>IF(ISNUMBER(Volcanic!J756),Volcanic!J756,"")</f>
        <v>-5.4378651742701178E-2</v>
      </c>
      <c r="D756" s="18">
        <f t="shared" si="318"/>
        <v>2.9570377653539777E-3</v>
      </c>
      <c r="E756" s="18">
        <f>IF(ISNUMBER(Volcanic!C756),Volcanic!C756,"")</f>
        <v>0.56938692750523079</v>
      </c>
      <c r="F756" s="18">
        <f>IF(ISNUMBER(Volcanic!D756),Volcanic!D756,"")</f>
        <v>-1</v>
      </c>
      <c r="G756" s="18">
        <f>IF(ISNUMBER(Volcanic!E756),Volcanic!E756,"")</f>
        <v>1.159E-2</v>
      </c>
      <c r="H756" s="18">
        <f t="shared" si="319"/>
        <v>0.32420147321384696</v>
      </c>
      <c r="I756" s="18">
        <f t="shared" si="320"/>
        <v>1</v>
      </c>
      <c r="J756" s="18">
        <f t="shared" si="321"/>
        <v>1.343281E-4</v>
      </c>
      <c r="K756" s="18">
        <f t="shared" si="322"/>
        <v>-0.56938692750523079</v>
      </c>
      <c r="L756" s="18">
        <f t="shared" si="323"/>
        <v>6.5991944897856245E-3</v>
      </c>
      <c r="M756" s="18">
        <f t="shared" si="324"/>
        <v>-1.159E-2</v>
      </c>
      <c r="N756" s="18">
        <f t="shared" si="326"/>
        <v>6.3766745543992146E-3</v>
      </c>
      <c r="O756" s="18">
        <f t="shared" si="329"/>
        <v>3.7460449539254974E-2</v>
      </c>
      <c r="P756" s="18">
        <f t="shared" si="331"/>
        <v>3.0087443676763602E-4</v>
      </c>
      <c r="Q756" s="18">
        <f t="shared" si="333"/>
        <v>6.1867353181079008E-3</v>
      </c>
      <c r="R756" s="18">
        <f t="shared" si="335"/>
        <v>4.9832917036491996E-3</v>
      </c>
      <c r="S756" s="18">
        <f t="shared" si="337"/>
        <v>8.4267543594847873E-3</v>
      </c>
      <c r="T756" s="18">
        <f t="shared" si="339"/>
        <v>1.1429717385479151E-2</v>
      </c>
      <c r="U756" s="18">
        <f t="shared" si="341"/>
        <v>1.4070806872728727E-3</v>
      </c>
      <c r="V756" s="18">
        <f t="shared" si="342"/>
        <v>9.1506584922298132E-3</v>
      </c>
      <c r="W756" s="18">
        <f t="shared" si="343"/>
        <v>2.7818778692279788E-2</v>
      </c>
      <c r="X756" s="18">
        <f t="shared" si="344"/>
        <v>4.5874535444527548E-2</v>
      </c>
      <c r="Y756" s="18">
        <f t="shared" si="345"/>
        <v>2.9533100933521104E-2</v>
      </c>
      <c r="AA756" s="18">
        <f t="shared" si="327"/>
        <v>-1.4227840033200531E-2</v>
      </c>
      <c r="AB756" s="18">
        <f t="shared" si="328"/>
        <v>2.0243143201034369E-4</v>
      </c>
      <c r="AC756" s="18">
        <f t="shared" si="330"/>
        <v>3.138919428580398E-2</v>
      </c>
      <c r="AD756" s="18">
        <f t="shared" si="332"/>
        <v>4.0912543939352307E-2</v>
      </c>
      <c r="AE756" s="18">
        <f t="shared" si="334"/>
        <v>3.2369325080402727E-3</v>
      </c>
      <c r="AF756" s="18">
        <f t="shared" si="336"/>
        <v>1.3030185197770135E-2</v>
      </c>
      <c r="AG756" s="18">
        <f t="shared" si="338"/>
        <v>5.9714341947676123E-4</v>
      </c>
      <c r="AH756" s="18">
        <f t="shared" si="340"/>
        <v>1.4472576496935424E-3</v>
      </c>
      <c r="AJ756" s="18">
        <f>IF(ISNUMBER(Kernel!M756),Kernel!M756,"")</f>
        <v>-7.0892034330515719E-2</v>
      </c>
      <c r="AK756" s="18">
        <f t="shared" si="325"/>
        <v>5.0256805315190192E-3</v>
      </c>
      <c r="AN756" s="18">
        <f>IF(ISNUMBER(Volcanic!G756),Volcanic!G756,"")</f>
        <v>8.9800000000000001E-3</v>
      </c>
    </row>
    <row r="757" spans="1:40">
      <c r="A757" s="18" t="str">
        <f>IF(Volcanic!A757="","",Volcanic!A757)</f>
        <v>2/2021</v>
      </c>
      <c r="B757" s="18">
        <f>IF(ISNUMBER(Volcanic!L757),Volcanic!L757,"")</f>
        <v>2021.125</v>
      </c>
      <c r="C757" s="18">
        <f>IF(ISNUMBER(Volcanic!J757),Volcanic!J757,"")</f>
        <v>-0.23795889162348627</v>
      </c>
      <c r="D757" s="18">
        <f t="shared" si="318"/>
        <v>5.6624434102678083E-2</v>
      </c>
      <c r="E757" s="18">
        <f>IF(ISNUMBER(Volcanic!C757),Volcanic!C757,"")</f>
        <v>0.57365151503101131</v>
      </c>
      <c r="F757" s="18">
        <f>IF(ISNUMBER(Volcanic!D757),Volcanic!D757,"")</f>
        <v>-1.1100000000000001</v>
      </c>
      <c r="G757" s="18">
        <f>IF(ISNUMBER(Volcanic!E757),Volcanic!E757,"")</f>
        <v>1.061E-2</v>
      </c>
      <c r="H757" s="18">
        <f t="shared" si="319"/>
        <v>0.32907606069737461</v>
      </c>
      <c r="I757" s="18">
        <f t="shared" si="320"/>
        <v>1.2321000000000002</v>
      </c>
      <c r="J757" s="18">
        <f t="shared" si="321"/>
        <v>1.1257209999999999E-4</v>
      </c>
      <c r="K757" s="18">
        <f t="shared" si="322"/>
        <v>-0.63675318168442263</v>
      </c>
      <c r="L757" s="18">
        <f t="shared" si="323"/>
        <v>6.0864425744790295E-3</v>
      </c>
      <c r="M757" s="18">
        <f t="shared" si="324"/>
        <v>-1.17771E-2</v>
      </c>
      <c r="N757" s="18">
        <f t="shared" si="326"/>
        <v>2.9570377653539777E-3</v>
      </c>
      <c r="O757" s="18">
        <f t="shared" si="329"/>
        <v>6.3766745543992146E-3</v>
      </c>
      <c r="P757" s="18">
        <f t="shared" si="331"/>
        <v>3.7460449539254974E-2</v>
      </c>
      <c r="Q757" s="18">
        <f t="shared" si="333"/>
        <v>3.0087443676763602E-4</v>
      </c>
      <c r="R757" s="18">
        <f t="shared" si="335"/>
        <v>6.1867353181079008E-3</v>
      </c>
      <c r="S757" s="18">
        <f t="shared" si="337"/>
        <v>4.9832917036491996E-3</v>
      </c>
      <c r="T757" s="18">
        <f t="shared" si="339"/>
        <v>8.4267543594847873E-3</v>
      </c>
      <c r="U757" s="18">
        <f t="shared" si="341"/>
        <v>1.1429717385479151E-2</v>
      </c>
      <c r="V757" s="18">
        <f t="shared" si="342"/>
        <v>1.4070806872728727E-3</v>
      </c>
      <c r="W757" s="18">
        <f t="shared" si="343"/>
        <v>9.1506584922298132E-3</v>
      </c>
      <c r="X757" s="18">
        <f t="shared" si="344"/>
        <v>2.7818778692279788E-2</v>
      </c>
      <c r="Y757" s="18">
        <f t="shared" si="345"/>
        <v>4.5874535444527548E-2</v>
      </c>
      <c r="AA757" s="18">
        <f t="shared" si="327"/>
        <v>-0.21061718374723781</v>
      </c>
      <c r="AB757" s="18">
        <f t="shared" si="328"/>
        <v>4.4359598089617737E-2</v>
      </c>
      <c r="AC757" s="18">
        <f t="shared" si="330"/>
        <v>2.0243143201034369E-4</v>
      </c>
      <c r="AD757" s="18">
        <f t="shared" si="332"/>
        <v>3.138919428580398E-2</v>
      </c>
      <c r="AE757" s="18">
        <f t="shared" si="334"/>
        <v>4.0912543939352307E-2</v>
      </c>
      <c r="AF757" s="18">
        <f t="shared" si="336"/>
        <v>3.2369325080402727E-3</v>
      </c>
      <c r="AG757" s="18">
        <f t="shared" si="338"/>
        <v>1.3030185197770135E-2</v>
      </c>
      <c r="AH757" s="18">
        <f t="shared" si="340"/>
        <v>5.9714341947676123E-4</v>
      </c>
      <c r="AJ757" s="18">
        <f>IF(ISNUMBER(Kernel!M757),Kernel!M757,"")</f>
        <v>-0.25558571665957253</v>
      </c>
      <c r="AK757" s="18">
        <f t="shared" si="325"/>
        <v>6.5324058560387283E-2</v>
      </c>
      <c r="AN757" s="18">
        <f>IF(ISNUMBER(Volcanic!G757),Volcanic!G757,"")</f>
        <v>8.4200000000000004E-3</v>
      </c>
    </row>
    <row r="758" spans="1:40">
      <c r="A758" s="18" t="str">
        <f>IF(Volcanic!A758="","",Volcanic!A758)</f>
        <v>3/2021</v>
      </c>
      <c r="B758" s="18">
        <f>IF(ISNUMBER(Volcanic!L758),Volcanic!L758,"")</f>
        <v>2021.2083333333333</v>
      </c>
      <c r="C758" s="18">
        <f>IF(ISNUMBER(Volcanic!J758),Volcanic!J758,"")</f>
        <v>-2.1816219752521793E-3</v>
      </c>
      <c r="D758" s="18">
        <f t="shared" si="318"/>
        <v>4.7594744429032202E-6</v>
      </c>
      <c r="E758" s="18">
        <f>IF(ISNUMBER(Volcanic!C758),Volcanic!C758,"")</f>
        <v>0.57672943161896173</v>
      </c>
      <c r="F758" s="18">
        <f>IF(ISNUMBER(Volcanic!D758),Volcanic!D758,"")</f>
        <v>-1.06</v>
      </c>
      <c r="G758" s="18">
        <f>IF(ISNUMBER(Volcanic!E758),Volcanic!E758,"")</f>
        <v>1.0070000000000001E-2</v>
      </c>
      <c r="H758" s="18">
        <f t="shared" si="319"/>
        <v>0.33261683729553065</v>
      </c>
      <c r="I758" s="18">
        <f t="shared" si="320"/>
        <v>1.1236000000000002</v>
      </c>
      <c r="J758" s="18">
        <f t="shared" si="321"/>
        <v>1.0140490000000002E-4</v>
      </c>
      <c r="K758" s="18">
        <f t="shared" si="322"/>
        <v>-0.61133319751609949</v>
      </c>
      <c r="L758" s="18">
        <f t="shared" si="323"/>
        <v>5.8076653764029453E-3</v>
      </c>
      <c r="M758" s="18">
        <f t="shared" si="324"/>
        <v>-1.0674200000000002E-2</v>
      </c>
      <c r="N758" s="18">
        <f t="shared" si="326"/>
        <v>5.6624434102678083E-2</v>
      </c>
      <c r="O758" s="18">
        <f t="shared" si="329"/>
        <v>2.9570377653539777E-3</v>
      </c>
      <c r="P758" s="18">
        <f t="shared" si="331"/>
        <v>6.3766745543992146E-3</v>
      </c>
      <c r="Q758" s="18">
        <f t="shared" si="333"/>
        <v>3.7460449539254974E-2</v>
      </c>
      <c r="R758" s="18">
        <f t="shared" si="335"/>
        <v>3.0087443676763602E-4</v>
      </c>
      <c r="S758" s="18">
        <f t="shared" si="337"/>
        <v>6.1867353181079008E-3</v>
      </c>
      <c r="T758" s="18">
        <f t="shared" si="339"/>
        <v>4.9832917036491996E-3</v>
      </c>
      <c r="U758" s="18">
        <f t="shared" si="341"/>
        <v>8.4267543594847873E-3</v>
      </c>
      <c r="V758" s="18">
        <f t="shared" si="342"/>
        <v>1.1429717385479151E-2</v>
      </c>
      <c r="W758" s="18">
        <f t="shared" si="343"/>
        <v>1.4070806872728727E-3</v>
      </c>
      <c r="X758" s="18">
        <f t="shared" si="344"/>
        <v>9.1506584922298132E-3</v>
      </c>
      <c r="Y758" s="18">
        <f t="shared" si="345"/>
        <v>2.7818778692279788E-2</v>
      </c>
      <c r="AA758" s="18">
        <f t="shared" si="327"/>
        <v>0.11746464163771993</v>
      </c>
      <c r="AB758" s="18">
        <f t="shared" si="328"/>
        <v>1.3797942035077965E-2</v>
      </c>
      <c r="AC758" s="18">
        <f t="shared" si="330"/>
        <v>4.4359598089617737E-2</v>
      </c>
      <c r="AD758" s="18">
        <f t="shared" si="332"/>
        <v>2.0243143201034369E-4</v>
      </c>
      <c r="AE758" s="18">
        <f t="shared" si="334"/>
        <v>3.138919428580398E-2</v>
      </c>
      <c r="AF758" s="18">
        <f t="shared" si="336"/>
        <v>4.0912543939352307E-2</v>
      </c>
      <c r="AG758" s="18">
        <f t="shared" si="338"/>
        <v>3.2369325080402727E-3</v>
      </c>
      <c r="AH758" s="18">
        <f t="shared" si="340"/>
        <v>1.3030185197770135E-2</v>
      </c>
      <c r="AJ758" s="18">
        <f>IF(ISNUMBER(Kernel!M758),Kernel!M758,"")</f>
        <v>-1.067921700162755E-2</v>
      </c>
      <c r="AK758" s="18">
        <f t="shared" si="325"/>
        <v>1.1404567576785092E-4</v>
      </c>
      <c r="AN758" s="18">
        <f>IF(ISNUMBER(Volcanic!G758),Volcanic!G758,"")</f>
        <v>8.0099999999999998E-3</v>
      </c>
    </row>
    <row r="759" spans="1:40">
      <c r="A759" s="18" t="str">
        <f>IF(Volcanic!A759="","",Volcanic!A759)</f>
        <v>4/2021</v>
      </c>
      <c r="B759" s="18">
        <f>IF(ISNUMBER(Volcanic!L759),Volcanic!L759,"")</f>
        <v>2021.2916666666667</v>
      </c>
      <c r="C759" s="18">
        <f>IF(ISNUMBER(Volcanic!J759),Volcanic!J759,"")</f>
        <v>-0.15147236153990917</v>
      </c>
      <c r="D759" s="18">
        <f t="shared" si="318"/>
        <v>2.2943876310476955E-2</v>
      </c>
      <c r="E759" s="18">
        <f>IF(ISNUMBER(Volcanic!C759),Volcanic!C759,"")</f>
        <v>0.58155784820606116</v>
      </c>
      <c r="F759" s="18">
        <f>IF(ISNUMBER(Volcanic!D759),Volcanic!D759,"")</f>
        <v>-0.99</v>
      </c>
      <c r="G759" s="18">
        <f>IF(ISNUMBER(Volcanic!E759),Volcanic!E759,"")</f>
        <v>1.0240000000000001E-2</v>
      </c>
      <c r="H759" s="18">
        <f t="shared" si="319"/>
        <v>0.33820953081006405</v>
      </c>
      <c r="I759" s="18">
        <f t="shared" si="320"/>
        <v>0.98009999999999997</v>
      </c>
      <c r="J759" s="18">
        <f t="shared" si="321"/>
        <v>1.0485760000000002E-4</v>
      </c>
      <c r="K759" s="18">
        <f t="shared" si="322"/>
        <v>-0.57574226972400055</v>
      </c>
      <c r="L759" s="18">
        <f t="shared" si="323"/>
        <v>5.955152365630067E-3</v>
      </c>
      <c r="M759" s="18">
        <f t="shared" si="324"/>
        <v>-1.01376E-2</v>
      </c>
      <c r="N759" s="18">
        <f t="shared" si="326"/>
        <v>4.7594744429032202E-6</v>
      </c>
      <c r="O759" s="18">
        <f t="shared" si="329"/>
        <v>5.6624434102678083E-2</v>
      </c>
      <c r="P759" s="18">
        <f t="shared" si="331"/>
        <v>2.9570377653539777E-3</v>
      </c>
      <c r="Q759" s="18">
        <f t="shared" si="333"/>
        <v>6.3766745543992146E-3</v>
      </c>
      <c r="R759" s="18">
        <f t="shared" si="335"/>
        <v>3.7460449539254974E-2</v>
      </c>
      <c r="S759" s="18">
        <f t="shared" si="337"/>
        <v>3.0087443676763602E-4</v>
      </c>
      <c r="T759" s="18">
        <f t="shared" si="339"/>
        <v>6.1867353181079008E-3</v>
      </c>
      <c r="U759" s="18">
        <f t="shared" si="341"/>
        <v>4.9832917036491996E-3</v>
      </c>
      <c r="V759" s="18">
        <f t="shared" si="342"/>
        <v>8.4267543594847873E-3</v>
      </c>
      <c r="W759" s="18">
        <f t="shared" si="343"/>
        <v>1.1429717385479151E-2</v>
      </c>
      <c r="X759" s="18">
        <f t="shared" si="344"/>
        <v>1.4070806872728727E-3</v>
      </c>
      <c r="Y759" s="18">
        <f t="shared" si="345"/>
        <v>9.1506584922298132E-3</v>
      </c>
      <c r="AA759" s="18">
        <f t="shared" si="327"/>
        <v>-0.15037543712504897</v>
      </c>
      <c r="AB759" s="18">
        <f t="shared" si="328"/>
        <v>2.2612772090549557E-2</v>
      </c>
      <c r="AC759" s="18">
        <f t="shared" si="330"/>
        <v>1.3797942035077965E-2</v>
      </c>
      <c r="AD759" s="18">
        <f t="shared" si="332"/>
        <v>4.4359598089617737E-2</v>
      </c>
      <c r="AE759" s="18">
        <f t="shared" si="334"/>
        <v>2.0243143201034369E-4</v>
      </c>
      <c r="AF759" s="18">
        <f t="shared" si="336"/>
        <v>3.138919428580398E-2</v>
      </c>
      <c r="AG759" s="18">
        <f t="shared" si="338"/>
        <v>4.0912543939352307E-2</v>
      </c>
      <c r="AH759" s="18">
        <f t="shared" si="340"/>
        <v>3.2369325080402727E-3</v>
      </c>
      <c r="AJ759" s="18">
        <f>IF(ISNUMBER(Kernel!M759),Kernel!M759,"")</f>
        <v>-0.15480401689486267</v>
      </c>
      <c r="AK759" s="18">
        <f t="shared" si="325"/>
        <v>2.3964283646784927E-2</v>
      </c>
      <c r="AN759" s="18">
        <f>IF(ISNUMBER(Volcanic!G759),Volcanic!G759,"")</f>
        <v>8.6199999999999992E-3</v>
      </c>
    </row>
    <row r="760" spans="1:40">
      <c r="A760" s="18" t="str">
        <f>IF(Volcanic!A760="","",Volcanic!A760)</f>
        <v>5/2021</v>
      </c>
      <c r="B760" s="18">
        <f>IF(ISNUMBER(Volcanic!L760),Volcanic!L760,"")</f>
        <v>2021.375</v>
      </c>
      <c r="C760" s="18">
        <f>IF(ISNUMBER(Volcanic!J760),Volcanic!J760,"")</f>
        <v>-0.13525886394759168</v>
      </c>
      <c r="D760" s="18">
        <f t="shared" si="318"/>
        <v>1.8294960276393116E-2</v>
      </c>
      <c r="E760" s="18">
        <f>IF(ISNUMBER(Volcanic!C760),Volcanic!C760,"")</f>
        <v>0.58183327024071485</v>
      </c>
      <c r="F760" s="18">
        <f>IF(ISNUMBER(Volcanic!D760),Volcanic!D760,"")</f>
        <v>-0.85</v>
      </c>
      <c r="G760" s="18">
        <f>IF(ISNUMBER(Volcanic!E760),Volcanic!E760,"")</f>
        <v>1.022E-2</v>
      </c>
      <c r="H760" s="18">
        <f t="shared" si="319"/>
        <v>0.33852995435900474</v>
      </c>
      <c r="I760" s="18">
        <f t="shared" si="320"/>
        <v>0.72249999999999992</v>
      </c>
      <c r="J760" s="18">
        <f t="shared" si="321"/>
        <v>1.044484E-4</v>
      </c>
      <c r="K760" s="18">
        <f t="shared" si="322"/>
        <v>-0.49455827970460758</v>
      </c>
      <c r="L760" s="18">
        <f t="shared" si="323"/>
        <v>5.9463360218601057E-3</v>
      </c>
      <c r="M760" s="18">
        <f t="shared" si="324"/>
        <v>-8.6870000000000003E-3</v>
      </c>
      <c r="N760" s="18">
        <f t="shared" si="326"/>
        <v>2.2943876310476955E-2</v>
      </c>
      <c r="O760" s="18">
        <f t="shared" si="329"/>
        <v>4.7594744429032202E-6</v>
      </c>
      <c r="P760" s="18">
        <f t="shared" si="331"/>
        <v>5.6624434102678083E-2</v>
      </c>
      <c r="Q760" s="18">
        <f t="shared" si="333"/>
        <v>2.9570377653539777E-3</v>
      </c>
      <c r="R760" s="18">
        <f t="shared" si="335"/>
        <v>6.3766745543992146E-3</v>
      </c>
      <c r="S760" s="18">
        <f t="shared" si="337"/>
        <v>3.7460449539254974E-2</v>
      </c>
      <c r="T760" s="18">
        <f t="shared" si="339"/>
        <v>3.0087443676763602E-4</v>
      </c>
      <c r="U760" s="18">
        <f t="shared" si="341"/>
        <v>6.1867353181079008E-3</v>
      </c>
      <c r="V760" s="18">
        <f t="shared" si="342"/>
        <v>4.9832917036491996E-3</v>
      </c>
      <c r="W760" s="18">
        <f t="shared" si="343"/>
        <v>8.4267543594847873E-3</v>
      </c>
      <c r="X760" s="18">
        <f t="shared" si="344"/>
        <v>1.1429717385479151E-2</v>
      </c>
      <c r="Y760" s="18">
        <f t="shared" si="345"/>
        <v>1.4070806872728727E-3</v>
      </c>
      <c r="AA760" s="18">
        <f t="shared" si="327"/>
        <v>-5.9098221345679922E-2</v>
      </c>
      <c r="AB760" s="18">
        <f t="shared" si="328"/>
        <v>3.4925997662229777E-3</v>
      </c>
      <c r="AC760" s="18">
        <f t="shared" si="330"/>
        <v>2.2612772090549557E-2</v>
      </c>
      <c r="AD760" s="18">
        <f t="shared" si="332"/>
        <v>1.3797942035077965E-2</v>
      </c>
      <c r="AE760" s="18">
        <f t="shared" si="334"/>
        <v>4.4359598089617737E-2</v>
      </c>
      <c r="AF760" s="18">
        <f t="shared" si="336"/>
        <v>2.0243143201034369E-4</v>
      </c>
      <c r="AG760" s="18">
        <f t="shared" si="338"/>
        <v>3.138919428580398E-2</v>
      </c>
      <c r="AH760" s="18">
        <f t="shared" si="340"/>
        <v>4.0912543939352307E-2</v>
      </c>
      <c r="AJ760" s="18">
        <f>IF(ISNUMBER(Kernel!M760),Kernel!M760,"")</f>
        <v>-0.12953249146162171</v>
      </c>
      <c r="AK760" s="18">
        <f t="shared" si="325"/>
        <v>1.6778666344255101E-2</v>
      </c>
      <c r="AN760" s="18">
        <f>IF(ISNUMBER(Volcanic!G760),Volcanic!G760,"")</f>
        <v>1.023E-2</v>
      </c>
    </row>
    <row r="761" spans="1:40">
      <c r="A761" s="18" t="str">
        <f>IF(Volcanic!A761="","",Volcanic!A761)</f>
        <v>6/2021</v>
      </c>
      <c r="B761" s="18">
        <f>IF(ISNUMBER(Volcanic!L761),Volcanic!L761,"")</f>
        <v>2021.4583333333333</v>
      </c>
      <c r="C761" s="18">
        <f>IF(ISNUMBER(Volcanic!J761),Volcanic!J761,"")</f>
        <v>-8.3743750626658731E-2</v>
      </c>
      <c r="D761" s="18">
        <f t="shared" si="318"/>
        <v>7.0130157690200048E-3</v>
      </c>
      <c r="E761" s="18">
        <f>IF(ISNUMBER(Volcanic!C761),Volcanic!C761,"")</f>
        <v>0.5812823735810958</v>
      </c>
      <c r="F761" s="18">
        <f>IF(ISNUMBER(Volcanic!D761),Volcanic!D761,"")</f>
        <v>-0.74</v>
      </c>
      <c r="G761" s="18">
        <f>IF(ISNUMBER(Volcanic!E761),Volcanic!E761,"")</f>
        <v>1.0319999999999999E-2</v>
      </c>
      <c r="H761" s="18">
        <f t="shared" si="319"/>
        <v>0.33788919783607263</v>
      </c>
      <c r="I761" s="18">
        <f t="shared" si="320"/>
        <v>0.54759999999999998</v>
      </c>
      <c r="J761" s="18">
        <f t="shared" si="321"/>
        <v>1.0650239999999999E-4</v>
      </c>
      <c r="K761" s="18">
        <f t="shared" si="322"/>
        <v>-0.43014895645001089</v>
      </c>
      <c r="L761" s="18">
        <f t="shared" si="323"/>
        <v>5.9988340953569079E-3</v>
      </c>
      <c r="M761" s="18">
        <f t="shared" si="324"/>
        <v>-7.6367999999999991E-3</v>
      </c>
      <c r="N761" s="18">
        <f t="shared" si="326"/>
        <v>1.8294960276393116E-2</v>
      </c>
      <c r="O761" s="18">
        <f t="shared" si="329"/>
        <v>2.2943876310476955E-2</v>
      </c>
      <c r="P761" s="18">
        <f t="shared" si="331"/>
        <v>4.7594744429032202E-6</v>
      </c>
      <c r="Q761" s="18">
        <f t="shared" si="333"/>
        <v>5.6624434102678083E-2</v>
      </c>
      <c r="R761" s="18">
        <f t="shared" si="335"/>
        <v>2.9570377653539777E-3</v>
      </c>
      <c r="S761" s="18">
        <f t="shared" si="337"/>
        <v>6.3766745543992146E-3</v>
      </c>
      <c r="T761" s="18">
        <f t="shared" si="339"/>
        <v>3.7460449539254974E-2</v>
      </c>
      <c r="U761" s="18">
        <f t="shared" si="341"/>
        <v>3.0087443676763602E-4</v>
      </c>
      <c r="V761" s="18">
        <f t="shared" si="342"/>
        <v>6.1867353181079008E-3</v>
      </c>
      <c r="W761" s="18">
        <f t="shared" si="343"/>
        <v>4.9832917036491996E-3</v>
      </c>
      <c r="X761" s="18">
        <f t="shared" si="344"/>
        <v>8.4267543594847873E-3</v>
      </c>
      <c r="Y761" s="18">
        <f t="shared" si="345"/>
        <v>1.1429717385479151E-2</v>
      </c>
      <c r="AA761" s="18">
        <f t="shared" si="327"/>
        <v>-1.5735290924002179E-2</v>
      </c>
      <c r="AB761" s="18">
        <f t="shared" si="328"/>
        <v>2.4759938046298537E-4</v>
      </c>
      <c r="AC761" s="18">
        <f t="shared" si="330"/>
        <v>3.4925997662229777E-3</v>
      </c>
      <c r="AD761" s="18">
        <f t="shared" si="332"/>
        <v>2.2612772090549557E-2</v>
      </c>
      <c r="AE761" s="18">
        <f t="shared" si="334"/>
        <v>1.3797942035077965E-2</v>
      </c>
      <c r="AF761" s="18">
        <f t="shared" si="336"/>
        <v>4.4359598089617737E-2</v>
      </c>
      <c r="AG761" s="18">
        <f t="shared" si="338"/>
        <v>2.0243143201034369E-4</v>
      </c>
      <c r="AH761" s="18">
        <f t="shared" si="340"/>
        <v>3.138919428580398E-2</v>
      </c>
      <c r="AJ761" s="18">
        <f>IF(ISNUMBER(Kernel!M761),Kernel!M761,"")</f>
        <v>-7.3313543115934854E-2</v>
      </c>
      <c r="AK761" s="18">
        <f t="shared" si="325"/>
        <v>5.3748756042120392E-3</v>
      </c>
      <c r="AN761" s="18">
        <f>IF(ISNUMBER(Volcanic!G761),Volcanic!G761,"")</f>
        <v>1.047E-2</v>
      </c>
    </row>
    <row r="762" spans="1:40">
      <c r="A762" s="18" t="str">
        <f>IF(Volcanic!A762="","",Volcanic!A762)</f>
        <v>7/2021</v>
      </c>
      <c r="B762" s="18">
        <f>IF(ISNUMBER(Volcanic!L762),Volcanic!L762,"")</f>
        <v>2021.5416666666667</v>
      </c>
      <c r="C762" s="18">
        <f>IF(ISNUMBER(Volcanic!J762),Volcanic!J762,"")</f>
        <v>-1.2697738722795671E-2</v>
      </c>
      <c r="D762" s="18">
        <f t="shared" si="318"/>
        <v>1.6123256867238463E-4</v>
      </c>
      <c r="E762" s="18">
        <f>IF(ISNUMBER(Volcanic!C762),Volcanic!C762,"")</f>
        <v>0.57427454497606012</v>
      </c>
      <c r="F762" s="18">
        <f>IF(ISNUMBER(Volcanic!D762),Volcanic!D762,"")</f>
        <v>-0.56000000000000005</v>
      </c>
      <c r="G762" s="18">
        <f>IF(ISNUMBER(Volcanic!E762),Volcanic!E762,"")</f>
        <v>9.7000000000000003E-3</v>
      </c>
      <c r="H762" s="18">
        <f t="shared" si="319"/>
        <v>0.32979125300746087</v>
      </c>
      <c r="I762" s="18">
        <f t="shared" si="320"/>
        <v>0.31360000000000005</v>
      </c>
      <c r="J762" s="18">
        <f t="shared" si="321"/>
        <v>9.4090000000000002E-5</v>
      </c>
      <c r="K762" s="18">
        <f t="shared" si="322"/>
        <v>-0.32159374518659367</v>
      </c>
      <c r="L762" s="18">
        <f t="shared" si="323"/>
        <v>5.5704630862677832E-3</v>
      </c>
      <c r="M762" s="18">
        <f t="shared" si="324"/>
        <v>-5.4320000000000011E-3</v>
      </c>
      <c r="N762" s="18">
        <f t="shared" si="326"/>
        <v>7.0130157690200048E-3</v>
      </c>
      <c r="O762" s="18">
        <f t="shared" si="329"/>
        <v>1.8294960276393116E-2</v>
      </c>
      <c r="P762" s="18">
        <f t="shared" si="331"/>
        <v>2.2943876310476955E-2</v>
      </c>
      <c r="Q762" s="18">
        <f t="shared" si="333"/>
        <v>4.7594744429032202E-6</v>
      </c>
      <c r="R762" s="18">
        <f t="shared" si="335"/>
        <v>5.6624434102678083E-2</v>
      </c>
      <c r="S762" s="18">
        <f t="shared" si="337"/>
        <v>2.9570377653539777E-3</v>
      </c>
      <c r="T762" s="18">
        <f t="shared" si="339"/>
        <v>6.3766745543992146E-3</v>
      </c>
      <c r="U762" s="18">
        <f t="shared" si="341"/>
        <v>3.7460449539254974E-2</v>
      </c>
      <c r="V762" s="18">
        <f t="shared" si="342"/>
        <v>3.0087443676763602E-4</v>
      </c>
      <c r="W762" s="18">
        <f t="shared" si="343"/>
        <v>6.1867353181079008E-3</v>
      </c>
      <c r="X762" s="18">
        <f t="shared" si="344"/>
        <v>4.9832917036491996E-3</v>
      </c>
      <c r="Y762" s="18">
        <f t="shared" si="345"/>
        <v>8.4267543594847873E-3</v>
      </c>
      <c r="AA762" s="18">
        <f t="shared" si="327"/>
        <v>2.9408806634920577E-2</v>
      </c>
      <c r="AB762" s="18">
        <f t="shared" si="328"/>
        <v>8.6487790769014853E-4</v>
      </c>
      <c r="AC762" s="18">
        <f t="shared" si="330"/>
        <v>2.4759938046298537E-4</v>
      </c>
      <c r="AD762" s="18">
        <f t="shared" si="332"/>
        <v>3.4925997662229777E-3</v>
      </c>
      <c r="AE762" s="18">
        <f t="shared" si="334"/>
        <v>2.2612772090549557E-2</v>
      </c>
      <c r="AF762" s="18">
        <f t="shared" si="336"/>
        <v>1.3797942035077965E-2</v>
      </c>
      <c r="AG762" s="18">
        <f t="shared" si="338"/>
        <v>4.4359598089617737E-2</v>
      </c>
      <c r="AH762" s="18">
        <f t="shared" si="340"/>
        <v>2.0243143201034369E-4</v>
      </c>
      <c r="AJ762" s="18">
        <f>IF(ISNUMBER(Kernel!M762),Kernel!M762,"")</f>
        <v>1.2136857985081795E-2</v>
      </c>
      <c r="AK762" s="18">
        <f t="shared" si="325"/>
        <v>1.4730332175004373E-4</v>
      </c>
      <c r="AN762" s="18">
        <f>IF(ISNUMBER(Volcanic!G762),Volcanic!G762,"")</f>
        <v>1.085E-2</v>
      </c>
    </row>
    <row r="763" spans="1:40">
      <c r="A763" s="18" t="str">
        <f>IF(Volcanic!A763="","",Volcanic!A763)</f>
        <v>8/2021</v>
      </c>
      <c r="B763" s="18">
        <f>IF(ISNUMBER(Volcanic!L763),Volcanic!L763,"")</f>
        <v>2021.625</v>
      </c>
      <c r="C763" s="18">
        <f>IF(ISNUMBER(Volcanic!J763),Volcanic!J763,"")</f>
        <v>-0.1156522147257989</v>
      </c>
      <c r="D763" s="18">
        <f t="shared" si="318"/>
        <v>1.3375434770982296E-2</v>
      </c>
      <c r="E763" s="18">
        <f>IF(ISNUMBER(Volcanic!C763),Volcanic!C763,"")</f>
        <v>0.56566680231310262</v>
      </c>
      <c r="F763" s="18">
        <f>IF(ISNUMBER(Volcanic!D763),Volcanic!D763,"")</f>
        <v>-0.4</v>
      </c>
      <c r="G763" s="18">
        <f>IF(ISNUMBER(Volcanic!E763),Volcanic!E763,"")</f>
        <v>8.9800000000000001E-3</v>
      </c>
      <c r="H763" s="18">
        <f t="shared" si="319"/>
        <v>0.31997893123913074</v>
      </c>
      <c r="I763" s="18">
        <f t="shared" si="320"/>
        <v>0.16000000000000003</v>
      </c>
      <c r="J763" s="18">
        <f t="shared" si="321"/>
        <v>8.0640400000000001E-5</v>
      </c>
      <c r="K763" s="18">
        <f t="shared" si="322"/>
        <v>-0.22626672092524105</v>
      </c>
      <c r="L763" s="18">
        <f t="shared" si="323"/>
        <v>5.0796878847716616E-3</v>
      </c>
      <c r="M763" s="18">
        <f t="shared" si="324"/>
        <v>-3.5920000000000001E-3</v>
      </c>
      <c r="N763" s="18">
        <f t="shared" si="326"/>
        <v>1.6123256867238463E-4</v>
      </c>
      <c r="O763" s="18">
        <f t="shared" si="329"/>
        <v>7.0130157690200048E-3</v>
      </c>
      <c r="P763" s="18">
        <f t="shared" si="331"/>
        <v>1.8294960276393116E-2</v>
      </c>
      <c r="Q763" s="18">
        <f t="shared" si="333"/>
        <v>2.2943876310476955E-2</v>
      </c>
      <c r="R763" s="18">
        <f t="shared" si="335"/>
        <v>4.7594744429032202E-6</v>
      </c>
      <c r="S763" s="18">
        <f t="shared" si="337"/>
        <v>5.6624434102678083E-2</v>
      </c>
      <c r="T763" s="18">
        <f t="shared" si="339"/>
        <v>2.9570377653539777E-3</v>
      </c>
      <c r="U763" s="18">
        <f t="shared" si="341"/>
        <v>6.3766745543992146E-3</v>
      </c>
      <c r="V763" s="18">
        <f t="shared" si="342"/>
        <v>3.7460449539254974E-2</v>
      </c>
      <c r="W763" s="18">
        <f t="shared" si="343"/>
        <v>3.0087443676763602E-4</v>
      </c>
      <c r="X763" s="18">
        <f t="shared" si="344"/>
        <v>6.1867353181079008E-3</v>
      </c>
      <c r="Y763" s="18">
        <f t="shared" si="345"/>
        <v>4.9832917036491996E-3</v>
      </c>
      <c r="AA763" s="18">
        <f t="shared" si="327"/>
        <v>-0.10926776325961839</v>
      </c>
      <c r="AB763" s="18">
        <f t="shared" si="328"/>
        <v>1.193944408776001E-2</v>
      </c>
      <c r="AC763" s="18">
        <f t="shared" si="330"/>
        <v>8.6487790769014853E-4</v>
      </c>
      <c r="AD763" s="18">
        <f t="shared" si="332"/>
        <v>2.4759938046298537E-4</v>
      </c>
      <c r="AE763" s="18">
        <f t="shared" si="334"/>
        <v>3.4925997662229777E-3</v>
      </c>
      <c r="AF763" s="18">
        <f t="shared" si="336"/>
        <v>2.2612772090549557E-2</v>
      </c>
      <c r="AG763" s="18">
        <f t="shared" si="338"/>
        <v>1.3797942035077965E-2</v>
      </c>
      <c r="AH763" s="18">
        <f t="shared" si="340"/>
        <v>4.4359598089617737E-2</v>
      </c>
      <c r="AJ763" s="18">
        <f>IF(ISNUMBER(Kernel!M763),Kernel!M763,"")</f>
        <v>-7.537724560754544E-2</v>
      </c>
      <c r="AK763" s="18">
        <f t="shared" si="325"/>
        <v>5.6817291553802286E-3</v>
      </c>
      <c r="AN763" s="18">
        <f>IF(ISNUMBER(Volcanic!G763),Volcanic!G763,"")</f>
        <v>1.0070000000000001E-2</v>
      </c>
    </row>
    <row r="764" spans="1:40">
      <c r="A764" s="18" t="str">
        <f>IF(Volcanic!A764="","",Volcanic!A764)</f>
        <v>9/2021</v>
      </c>
      <c r="B764" s="18">
        <f>IF(ISNUMBER(Volcanic!L764),Volcanic!L764,"")</f>
        <v>2021.7083333333333</v>
      </c>
      <c r="C764" s="18">
        <f>IF(ISNUMBER(Volcanic!J764),Volcanic!J764,"")</f>
        <v>-4.2065274052214274E-3</v>
      </c>
      <c r="D764" s="18">
        <f t="shared" si="318"/>
        <v>1.7694872810878914E-5</v>
      </c>
      <c r="E764" s="18">
        <f>IF(ISNUMBER(Volcanic!C764),Volcanic!C764,"")</f>
        <v>0.56162290287573691</v>
      </c>
      <c r="F764" s="18">
        <f>IF(ISNUMBER(Volcanic!D764),Volcanic!D764,"")</f>
        <v>-0.31</v>
      </c>
      <c r="G764" s="18">
        <f>IF(ISNUMBER(Volcanic!E764),Volcanic!E764,"")</f>
        <v>8.4200000000000004E-3</v>
      </c>
      <c r="H764" s="18">
        <f t="shared" si="319"/>
        <v>0.31542028503456943</v>
      </c>
      <c r="I764" s="18">
        <f t="shared" si="320"/>
        <v>9.6100000000000005E-2</v>
      </c>
      <c r="J764" s="18">
        <f t="shared" si="321"/>
        <v>7.0896400000000008E-5</v>
      </c>
      <c r="K764" s="18">
        <f t="shared" si="322"/>
        <v>-0.17410309989147843</v>
      </c>
      <c r="L764" s="18">
        <f t="shared" si="323"/>
        <v>4.7288648422137052E-3</v>
      </c>
      <c r="M764" s="18">
        <f t="shared" si="324"/>
        <v>-2.6102E-3</v>
      </c>
      <c r="N764" s="18">
        <f t="shared" si="326"/>
        <v>1.3375434770982296E-2</v>
      </c>
      <c r="O764" s="18">
        <f t="shared" si="329"/>
        <v>1.6123256867238463E-4</v>
      </c>
      <c r="P764" s="18">
        <f t="shared" si="331"/>
        <v>7.0130157690200048E-3</v>
      </c>
      <c r="Q764" s="18">
        <f t="shared" si="333"/>
        <v>1.8294960276393116E-2</v>
      </c>
      <c r="R764" s="18">
        <f t="shared" si="335"/>
        <v>2.2943876310476955E-2</v>
      </c>
      <c r="S764" s="18">
        <f t="shared" si="337"/>
        <v>4.7594744429032202E-6</v>
      </c>
      <c r="T764" s="18">
        <f t="shared" si="339"/>
        <v>5.6624434102678083E-2</v>
      </c>
      <c r="U764" s="18">
        <f t="shared" si="341"/>
        <v>2.9570377653539777E-3</v>
      </c>
      <c r="V764" s="18">
        <f t="shared" si="342"/>
        <v>6.3766745543992146E-3</v>
      </c>
      <c r="W764" s="18">
        <f t="shared" si="343"/>
        <v>3.7460449539254974E-2</v>
      </c>
      <c r="X764" s="18">
        <f t="shared" si="344"/>
        <v>3.0087443676763602E-4</v>
      </c>
      <c r="Y764" s="18">
        <f t="shared" si="345"/>
        <v>6.1867353181079008E-3</v>
      </c>
      <c r="AA764" s="18">
        <f t="shared" si="327"/>
        <v>5.3943665159977339E-2</v>
      </c>
      <c r="AB764" s="18">
        <f t="shared" si="328"/>
        <v>2.9099190108917532E-3</v>
      </c>
      <c r="AC764" s="18">
        <f t="shared" si="330"/>
        <v>1.193944408776001E-2</v>
      </c>
      <c r="AD764" s="18">
        <f t="shared" si="332"/>
        <v>8.6487790769014853E-4</v>
      </c>
      <c r="AE764" s="18">
        <f t="shared" si="334"/>
        <v>2.4759938046298537E-4</v>
      </c>
      <c r="AF764" s="18">
        <f t="shared" si="336"/>
        <v>3.4925997662229777E-3</v>
      </c>
      <c r="AG764" s="18">
        <f t="shared" si="338"/>
        <v>2.2612772090549557E-2</v>
      </c>
      <c r="AH764" s="18">
        <f t="shared" si="340"/>
        <v>1.3797942035077965E-2</v>
      </c>
      <c r="AJ764" s="18">
        <f>IF(ISNUMBER(Kernel!M764),Kernel!M764,"")</f>
        <v>4.8745775047427276E-2</v>
      </c>
      <c r="AK764" s="18">
        <f t="shared" si="325"/>
        <v>2.3761505849743837E-3</v>
      </c>
      <c r="AN764" s="18">
        <f>IF(ISNUMBER(Volcanic!G764),Volcanic!G764,"")</f>
        <v>9.9699999999999997E-3</v>
      </c>
    </row>
    <row r="765" spans="1:40">
      <c r="A765" s="18" t="str">
        <f>IF(Volcanic!A765="","",Volcanic!A765)</f>
        <v>10/2021</v>
      </c>
      <c r="B765" s="18">
        <f>IF(ISNUMBER(Volcanic!L765),Volcanic!L765,"")</f>
        <v>2021.7916666666667</v>
      </c>
      <c r="C765" s="18">
        <f>IF(ISNUMBER(Volcanic!J765),Volcanic!J765,"")</f>
        <v>5.251409999880019E-2</v>
      </c>
      <c r="D765" s="18">
        <f t="shared" si="318"/>
        <v>2.757730698683986E-3</v>
      </c>
      <c r="E765" s="18">
        <f>IF(ISNUMBER(Volcanic!C765),Volcanic!C765,"")</f>
        <v>0.56385542139796185</v>
      </c>
      <c r="F765" s="18">
        <f>IF(ISNUMBER(Volcanic!D765),Volcanic!D765,"")</f>
        <v>-0.35</v>
      </c>
      <c r="G765" s="18">
        <f>IF(ISNUMBER(Volcanic!E765),Volcanic!E765,"")</f>
        <v>8.0099999999999998E-3</v>
      </c>
      <c r="H765" s="18">
        <f t="shared" si="319"/>
        <v>0.31793293623987312</v>
      </c>
      <c r="I765" s="18">
        <f t="shared" si="320"/>
        <v>0.12249999999999998</v>
      </c>
      <c r="J765" s="18">
        <f t="shared" si="321"/>
        <v>6.4160100000000003E-5</v>
      </c>
      <c r="K765" s="18">
        <f t="shared" si="322"/>
        <v>-0.19734939748928665</v>
      </c>
      <c r="L765" s="18">
        <f t="shared" si="323"/>
        <v>4.5164819253976744E-3</v>
      </c>
      <c r="M765" s="18">
        <f t="shared" si="324"/>
        <v>-2.8034999999999996E-3</v>
      </c>
      <c r="N765" s="18">
        <f t="shared" si="326"/>
        <v>1.7694872810878914E-5</v>
      </c>
      <c r="O765" s="18">
        <f t="shared" si="329"/>
        <v>1.3375434770982296E-2</v>
      </c>
      <c r="P765" s="18">
        <f t="shared" si="331"/>
        <v>1.6123256867238463E-4</v>
      </c>
      <c r="Q765" s="18">
        <f t="shared" si="333"/>
        <v>7.0130157690200048E-3</v>
      </c>
      <c r="R765" s="18">
        <f t="shared" si="335"/>
        <v>1.8294960276393116E-2</v>
      </c>
      <c r="S765" s="18">
        <f t="shared" si="337"/>
        <v>2.2943876310476955E-2</v>
      </c>
      <c r="T765" s="18">
        <f t="shared" si="339"/>
        <v>4.7594744429032202E-6</v>
      </c>
      <c r="U765" s="18">
        <f t="shared" si="341"/>
        <v>5.6624434102678083E-2</v>
      </c>
      <c r="V765" s="18">
        <f t="shared" si="342"/>
        <v>2.9570377653539777E-3</v>
      </c>
      <c r="W765" s="18">
        <f t="shared" si="343"/>
        <v>6.3766745543992146E-3</v>
      </c>
      <c r="X765" s="18">
        <f t="shared" si="344"/>
        <v>3.7460449539254974E-2</v>
      </c>
      <c r="Y765" s="18">
        <f t="shared" si="345"/>
        <v>3.0087443676763602E-4</v>
      </c>
      <c r="AA765" s="18">
        <f t="shared" si="327"/>
        <v>5.4629151398588441E-2</v>
      </c>
      <c r="AB765" s="18">
        <f t="shared" si="328"/>
        <v>2.9843441825298973E-3</v>
      </c>
      <c r="AC765" s="18">
        <f t="shared" si="330"/>
        <v>2.9099190108917532E-3</v>
      </c>
      <c r="AD765" s="18">
        <f t="shared" si="332"/>
        <v>1.193944408776001E-2</v>
      </c>
      <c r="AE765" s="18">
        <f t="shared" si="334"/>
        <v>8.6487790769014853E-4</v>
      </c>
      <c r="AF765" s="18">
        <f t="shared" si="336"/>
        <v>2.4759938046298537E-4</v>
      </c>
      <c r="AG765" s="18">
        <f t="shared" si="338"/>
        <v>3.4925997662229777E-3</v>
      </c>
      <c r="AH765" s="18">
        <f t="shared" si="340"/>
        <v>2.2612772090549557E-2</v>
      </c>
      <c r="AJ765" s="18">
        <f>IF(ISNUMBER(Kernel!M765),Kernel!M765,"")</f>
        <v>0.10819089177962871</v>
      </c>
      <c r="AK765" s="18">
        <f t="shared" si="325"/>
        <v>1.1705269064071331E-2</v>
      </c>
      <c r="AN765" s="18">
        <f>IF(ISNUMBER(Volcanic!G765),Volcanic!G765,"")</f>
        <v>9.9100000000000004E-3</v>
      </c>
    </row>
    <row r="766" spans="1:40">
      <c r="A766" s="18" t="str">
        <f>IF(Volcanic!A766="","",Volcanic!A766)</f>
        <v>11/2021</v>
      </c>
      <c r="B766" s="18">
        <f>IF(ISNUMBER(Volcanic!L766),Volcanic!L766,"")</f>
        <v>2021.875</v>
      </c>
      <c r="C766" s="18">
        <f>IF(ISNUMBER(Volcanic!J766),Volcanic!J766,"")</f>
        <v>3.9046699925799899E-3</v>
      </c>
      <c r="D766" s="18">
        <f t="shared" si="318"/>
        <v>1.5246447750954619E-5</v>
      </c>
      <c r="E766" s="18">
        <f>IF(ISNUMBER(Volcanic!C766),Volcanic!C766,"")</f>
        <v>0.56758021431180217</v>
      </c>
      <c r="F766" s="18">
        <f>IF(ISNUMBER(Volcanic!D766),Volcanic!D766,"")</f>
        <v>-0.46</v>
      </c>
      <c r="G766" s="18">
        <f>IF(ISNUMBER(Volcanic!E766),Volcanic!E766,"")</f>
        <v>8.6199999999999992E-3</v>
      </c>
      <c r="H766" s="18">
        <f t="shared" si="319"/>
        <v>0.3221472996782313</v>
      </c>
      <c r="I766" s="18">
        <f t="shared" si="320"/>
        <v>0.21160000000000001</v>
      </c>
      <c r="J766" s="18">
        <f t="shared" si="321"/>
        <v>7.4304399999999986E-5</v>
      </c>
      <c r="K766" s="18">
        <f t="shared" si="322"/>
        <v>-0.26108689858342898</v>
      </c>
      <c r="L766" s="18">
        <f t="shared" si="323"/>
        <v>4.8925414473677343E-3</v>
      </c>
      <c r="M766" s="18">
        <f t="shared" si="324"/>
        <v>-3.9651999999999995E-3</v>
      </c>
      <c r="N766" s="18">
        <f t="shared" si="326"/>
        <v>2.757730698683986E-3</v>
      </c>
      <c r="O766" s="18">
        <f t="shared" si="329"/>
        <v>1.7694872810878914E-5</v>
      </c>
      <c r="P766" s="18">
        <f t="shared" si="331"/>
        <v>1.3375434770982296E-2</v>
      </c>
      <c r="Q766" s="18">
        <f t="shared" si="333"/>
        <v>1.6123256867238463E-4</v>
      </c>
      <c r="R766" s="18">
        <f t="shared" si="335"/>
        <v>7.0130157690200048E-3</v>
      </c>
      <c r="S766" s="18">
        <f t="shared" si="337"/>
        <v>1.8294960276393116E-2</v>
      </c>
      <c r="T766" s="18">
        <f t="shared" si="339"/>
        <v>2.2943876310476955E-2</v>
      </c>
      <c r="U766" s="18">
        <f t="shared" si="341"/>
        <v>4.7594744429032202E-6</v>
      </c>
      <c r="V766" s="18">
        <f t="shared" si="342"/>
        <v>5.6624434102678083E-2</v>
      </c>
      <c r="W766" s="18">
        <f t="shared" si="343"/>
        <v>2.9570377653539777E-3</v>
      </c>
      <c r="X766" s="18">
        <f t="shared" si="344"/>
        <v>6.3766745543992146E-3</v>
      </c>
      <c r="Y766" s="18">
        <f t="shared" si="345"/>
        <v>3.7460449539254974E-2</v>
      </c>
      <c r="AA766" s="18">
        <f t="shared" si="327"/>
        <v>-2.2499537091204769E-2</v>
      </c>
      <c r="AB766" s="18">
        <f t="shared" si="328"/>
        <v>5.0622916931849918E-4</v>
      </c>
      <c r="AC766" s="18">
        <f t="shared" si="330"/>
        <v>2.9843441825298973E-3</v>
      </c>
      <c r="AD766" s="18">
        <f t="shared" si="332"/>
        <v>2.9099190108917532E-3</v>
      </c>
      <c r="AE766" s="18">
        <f t="shared" si="334"/>
        <v>1.193944408776001E-2</v>
      </c>
      <c r="AF766" s="18">
        <f t="shared" si="336"/>
        <v>8.6487790769014853E-4</v>
      </c>
      <c r="AG766" s="18">
        <f t="shared" si="338"/>
        <v>2.4759938046298537E-4</v>
      </c>
      <c r="AH766" s="18">
        <f t="shared" si="340"/>
        <v>3.4925997662229777E-3</v>
      </c>
      <c r="AJ766" s="18">
        <f>IF(ISNUMBER(Kernel!M766),Kernel!M766,"")</f>
        <v>5.5746173325373904E-2</v>
      </c>
      <c r="AK766" s="18">
        <f t="shared" si="325"/>
        <v>3.1076358404226291E-3</v>
      </c>
      <c r="AN766" s="18">
        <f>IF(ISNUMBER(Volcanic!G766),Volcanic!G766,"")</f>
        <v>9.7999999999999997E-3</v>
      </c>
    </row>
    <row r="767" spans="1:40">
      <c r="A767" s="18" t="str">
        <f>IF(Volcanic!A767="","",Volcanic!A767)</f>
        <v>12/2021</v>
      </c>
      <c r="B767" s="18">
        <f>IF(ISNUMBER(Volcanic!L767),Volcanic!L767,"")</f>
        <v>2021.9583333333333</v>
      </c>
      <c r="C767" s="18">
        <f>IF(ISNUMBER(Volcanic!J767),Volcanic!J767,"")</f>
        <v>-4.19365336396893E-2</v>
      </c>
      <c r="D767" s="18">
        <f t="shared" si="318"/>
        <v>1.7586728537127923E-3</v>
      </c>
      <c r="E767" s="18">
        <f>IF(ISNUMBER(Volcanic!C767),Volcanic!C767,"")</f>
        <v>0.5734784033974879</v>
      </c>
      <c r="F767" s="18">
        <f>IF(ISNUMBER(Volcanic!D767),Volcanic!D767,"")</f>
        <v>-0.64</v>
      </c>
      <c r="G767" s="18">
        <f>IF(ISNUMBER(Volcanic!E767),Volcanic!E767,"")</f>
        <v>1.023E-2</v>
      </c>
      <c r="H767" s="18">
        <f t="shared" si="319"/>
        <v>0.32887747916333188</v>
      </c>
      <c r="I767" s="18">
        <f t="shared" si="320"/>
        <v>0.40960000000000002</v>
      </c>
      <c r="J767" s="18">
        <f t="shared" si="321"/>
        <v>1.046529E-4</v>
      </c>
      <c r="K767" s="18">
        <f t="shared" si="322"/>
        <v>-0.36702617817439226</v>
      </c>
      <c r="L767" s="18">
        <f t="shared" si="323"/>
        <v>5.8666840667563006E-3</v>
      </c>
      <c r="M767" s="18">
        <f t="shared" si="324"/>
        <v>-6.5471999999999995E-3</v>
      </c>
      <c r="N767" s="18">
        <f t="shared" si="326"/>
        <v>1.5246447750954619E-5</v>
      </c>
      <c r="O767" s="18">
        <f t="shared" si="329"/>
        <v>2.757730698683986E-3</v>
      </c>
      <c r="P767" s="18">
        <f t="shared" si="331"/>
        <v>1.7694872810878914E-5</v>
      </c>
      <c r="Q767" s="18">
        <f t="shared" si="333"/>
        <v>1.3375434770982296E-2</v>
      </c>
      <c r="R767" s="18">
        <f t="shared" si="335"/>
        <v>1.6123256867238463E-4</v>
      </c>
      <c r="S767" s="18">
        <f t="shared" si="337"/>
        <v>7.0130157690200048E-3</v>
      </c>
      <c r="T767" s="18">
        <f t="shared" si="339"/>
        <v>1.8294960276393116E-2</v>
      </c>
      <c r="U767" s="18">
        <f t="shared" si="341"/>
        <v>2.2943876310476955E-2</v>
      </c>
      <c r="V767" s="18">
        <f t="shared" si="342"/>
        <v>4.7594744429032202E-6</v>
      </c>
      <c r="W767" s="18">
        <f t="shared" si="343"/>
        <v>5.6624434102678083E-2</v>
      </c>
      <c r="X767" s="18">
        <f t="shared" si="344"/>
        <v>2.9570377653539777E-3</v>
      </c>
      <c r="Y767" s="18">
        <f t="shared" si="345"/>
        <v>6.3766745543992146E-3</v>
      </c>
      <c r="AA767" s="18">
        <f t="shared" si="327"/>
        <v>-4.3899810456397154E-2</v>
      </c>
      <c r="AB767" s="18">
        <f t="shared" si="328"/>
        <v>1.927193358107597E-3</v>
      </c>
      <c r="AC767" s="18">
        <f t="shared" si="330"/>
        <v>5.0622916931849918E-4</v>
      </c>
      <c r="AD767" s="18">
        <f t="shared" si="332"/>
        <v>2.9843441825298973E-3</v>
      </c>
      <c r="AE767" s="18">
        <f t="shared" si="334"/>
        <v>2.9099190108917532E-3</v>
      </c>
      <c r="AF767" s="18">
        <f t="shared" si="336"/>
        <v>1.193944408776001E-2</v>
      </c>
      <c r="AG767" s="18">
        <f t="shared" si="338"/>
        <v>8.6487790769014853E-4</v>
      </c>
      <c r="AH767" s="18">
        <f t="shared" si="340"/>
        <v>2.4759938046298537E-4</v>
      </c>
      <c r="AJ767" s="18">
        <f>IF(ISNUMBER(Kernel!M767),Kernel!M767,"")</f>
        <v>-5.5864373187515248E-3</v>
      </c>
      <c r="AK767" s="18">
        <f t="shared" si="325"/>
        <v>3.1208281916339723E-5</v>
      </c>
      <c r="AN767" s="18">
        <f>IF(ISNUMBER(Volcanic!G767),Volcanic!G767,"")</f>
        <v>9.4699999999999993E-3</v>
      </c>
    </row>
    <row r="768" spans="1:40">
      <c r="A768" s="18" t="str">
        <f>IF(Volcanic!A768="","",Volcanic!A768)</f>
        <v>1/2022</v>
      </c>
      <c r="B768" s="18">
        <f>IF(ISNUMBER(Volcanic!L768),Volcanic!L768,"")</f>
        <v>2022.0416666666667</v>
      </c>
      <c r="C768" s="18">
        <f>IF(ISNUMBER(Volcanic!J768),Volcanic!J768,"")</f>
        <v>-1.3108580049906893E-2</v>
      </c>
      <c r="D768" s="18">
        <f t="shared" si="318"/>
        <v>1.7183487092481699E-4</v>
      </c>
      <c r="E768" s="18">
        <f>IF(ISNUMBER(Volcanic!C768),Volcanic!C768,"")</f>
        <v>0.57852473043934227</v>
      </c>
      <c r="F768" s="18">
        <f>IF(ISNUMBER(Volcanic!D768),Volcanic!D768,"")</f>
        <v>-0.77</v>
      </c>
      <c r="G768" s="18">
        <f>IF(ISNUMBER(Volcanic!E768),Volcanic!E768,"")</f>
        <v>1.047E-2</v>
      </c>
      <c r="H768" s="18">
        <f t="shared" si="319"/>
        <v>0.33469086372991363</v>
      </c>
      <c r="I768" s="18">
        <f t="shared" si="320"/>
        <v>0.59289999999999998</v>
      </c>
      <c r="J768" s="18">
        <f t="shared" si="321"/>
        <v>1.0962090000000001E-4</v>
      </c>
      <c r="K768" s="18">
        <f t="shared" si="322"/>
        <v>-0.44546404243829357</v>
      </c>
      <c r="L768" s="18">
        <f t="shared" si="323"/>
        <v>6.0571539276999134E-3</v>
      </c>
      <c r="M768" s="18">
        <f t="shared" si="324"/>
        <v>-8.0619000000000003E-3</v>
      </c>
      <c r="N768" s="18">
        <f t="shared" si="326"/>
        <v>1.7586728537127923E-3</v>
      </c>
      <c r="O768" s="18">
        <f t="shared" si="329"/>
        <v>1.5246447750954619E-5</v>
      </c>
      <c r="P768" s="18">
        <f t="shared" si="331"/>
        <v>2.757730698683986E-3</v>
      </c>
      <c r="Q768" s="18">
        <f t="shared" si="333"/>
        <v>1.7694872810878914E-5</v>
      </c>
      <c r="R768" s="18">
        <f t="shared" si="335"/>
        <v>1.3375434770982296E-2</v>
      </c>
      <c r="S768" s="18">
        <f t="shared" si="337"/>
        <v>1.6123256867238463E-4</v>
      </c>
      <c r="T768" s="18">
        <f t="shared" si="339"/>
        <v>7.0130157690200048E-3</v>
      </c>
      <c r="U768" s="18">
        <f t="shared" si="341"/>
        <v>1.8294960276393116E-2</v>
      </c>
      <c r="V768" s="18">
        <f t="shared" si="342"/>
        <v>2.2943876310476955E-2</v>
      </c>
      <c r="W768" s="18">
        <f t="shared" si="343"/>
        <v>4.7594744429032202E-6</v>
      </c>
      <c r="X768" s="18">
        <f t="shared" si="344"/>
        <v>5.6624434102678083E-2</v>
      </c>
      <c r="Y768" s="18">
        <f t="shared" si="345"/>
        <v>2.9570377653539777E-3</v>
      </c>
      <c r="AA768" s="18">
        <f t="shared" si="327"/>
        <v>7.9772029802461716E-3</v>
      </c>
      <c r="AB768" s="18">
        <f t="shared" si="328"/>
        <v>6.3635767388048407E-5</v>
      </c>
      <c r="AC768" s="18">
        <f t="shared" si="330"/>
        <v>1.927193358107597E-3</v>
      </c>
      <c r="AD768" s="18">
        <f t="shared" si="332"/>
        <v>5.0622916931849918E-4</v>
      </c>
      <c r="AE768" s="18">
        <f t="shared" si="334"/>
        <v>2.9843441825298973E-3</v>
      </c>
      <c r="AF768" s="18">
        <f t="shared" si="336"/>
        <v>2.9099190108917532E-3</v>
      </c>
      <c r="AG768" s="18">
        <f t="shared" si="338"/>
        <v>1.193944408776001E-2</v>
      </c>
      <c r="AH768" s="18">
        <f t="shared" si="340"/>
        <v>8.6487790769014853E-4</v>
      </c>
      <c r="AJ768" s="18">
        <f>IF(ISNUMBER(Kernel!M768),Kernel!M768,"")</f>
        <v>1.4674930597912472E-2</v>
      </c>
      <c r="AK768" s="18">
        <f t="shared" si="325"/>
        <v>2.1535358805354772E-4</v>
      </c>
      <c r="AN768" s="18">
        <f>IF(ISNUMBER(Volcanic!G768),Volcanic!G768,"")</f>
        <v>1.5140000000000001E-2</v>
      </c>
    </row>
    <row r="769" spans="1:40">
      <c r="A769" s="18" t="str">
        <f>IF(Volcanic!A769="","",Volcanic!A769)</f>
        <v>2/2022</v>
      </c>
      <c r="B769" s="18">
        <f>IF(ISNUMBER(Volcanic!L769),Volcanic!L769,"")</f>
        <v>2022.125</v>
      </c>
      <c r="C769" s="18">
        <f>IF(ISNUMBER(Volcanic!J769),Volcanic!J769,"")</f>
        <v>-2.9713041903426829E-2</v>
      </c>
      <c r="D769" s="18">
        <f t="shared" si="318"/>
        <v>8.8286485915479865E-4</v>
      </c>
      <c r="E769" s="18">
        <f>IF(ISNUMBER(Volcanic!C769),Volcanic!C769,"")</f>
        <v>0.58234954487825097</v>
      </c>
      <c r="F769" s="18">
        <f>IF(ISNUMBER(Volcanic!D769),Volcanic!D769,"")</f>
        <v>-0.91</v>
      </c>
      <c r="G769" s="18">
        <f>IF(ISNUMBER(Volcanic!E769),Volcanic!E769,"")</f>
        <v>1.085E-2</v>
      </c>
      <c r="H769" s="18">
        <f t="shared" si="319"/>
        <v>0.33913099241990602</v>
      </c>
      <c r="I769" s="18">
        <f t="shared" si="320"/>
        <v>0.82810000000000006</v>
      </c>
      <c r="J769" s="18">
        <f t="shared" si="321"/>
        <v>1.177225E-4</v>
      </c>
      <c r="K769" s="18">
        <f t="shared" si="322"/>
        <v>-0.52993808583920843</v>
      </c>
      <c r="L769" s="18">
        <f t="shared" si="323"/>
        <v>6.3184925619290235E-3</v>
      </c>
      <c r="M769" s="18">
        <f t="shared" si="324"/>
        <v>-9.8735000000000003E-3</v>
      </c>
      <c r="N769" s="18">
        <f t="shared" si="326"/>
        <v>1.7183487092481699E-4</v>
      </c>
      <c r="O769" s="18">
        <f t="shared" si="329"/>
        <v>1.7586728537127923E-3</v>
      </c>
      <c r="P769" s="18">
        <f t="shared" si="331"/>
        <v>1.5246447750954619E-5</v>
      </c>
      <c r="Q769" s="18">
        <f t="shared" si="333"/>
        <v>2.757730698683986E-3</v>
      </c>
      <c r="R769" s="18">
        <f t="shared" si="335"/>
        <v>1.7694872810878914E-5</v>
      </c>
      <c r="S769" s="18">
        <f t="shared" si="337"/>
        <v>1.3375434770982296E-2</v>
      </c>
      <c r="T769" s="18">
        <f t="shared" si="339"/>
        <v>1.6123256867238463E-4</v>
      </c>
      <c r="U769" s="18">
        <f t="shared" si="341"/>
        <v>7.0130157690200048E-3</v>
      </c>
      <c r="V769" s="18">
        <f t="shared" si="342"/>
        <v>1.8294960276393116E-2</v>
      </c>
      <c r="W769" s="18">
        <f t="shared" si="343"/>
        <v>2.2943876310476955E-2</v>
      </c>
      <c r="X769" s="18">
        <f t="shared" si="344"/>
        <v>4.7594744429032202E-6</v>
      </c>
      <c r="Y769" s="18">
        <f t="shared" si="345"/>
        <v>5.6624434102678083E-2</v>
      </c>
      <c r="AA769" s="18">
        <f t="shared" si="327"/>
        <v>-2.3122018497902998E-2</v>
      </c>
      <c r="AB769" s="18">
        <f t="shared" si="328"/>
        <v>5.3462773941736835E-4</v>
      </c>
      <c r="AC769" s="18">
        <f t="shared" si="330"/>
        <v>6.3635767388048407E-5</v>
      </c>
      <c r="AD769" s="18">
        <f t="shared" si="332"/>
        <v>1.927193358107597E-3</v>
      </c>
      <c r="AE769" s="18">
        <f t="shared" si="334"/>
        <v>5.0622916931849918E-4</v>
      </c>
      <c r="AF769" s="18">
        <f t="shared" si="336"/>
        <v>2.9843441825298973E-3</v>
      </c>
      <c r="AG769" s="18">
        <f t="shared" si="338"/>
        <v>2.9099190108917532E-3</v>
      </c>
      <c r="AH769" s="18">
        <f t="shared" si="340"/>
        <v>1.193944408776001E-2</v>
      </c>
      <c r="AJ769" s="18">
        <f>IF(ISNUMBER(Kernel!M769),Kernel!M769,"")</f>
        <v>-1.2316454494520679E-2</v>
      </c>
      <c r="AK769" s="18">
        <f t="shared" si="325"/>
        <v>1.5169505131559864E-4</v>
      </c>
      <c r="AN769" s="18">
        <f>IF(ISNUMBER(Volcanic!G769),Volcanic!G769,"")</f>
        <v>2.1350000000000001E-2</v>
      </c>
    </row>
    <row r="770" spans="1:40">
      <c r="A770" s="18" t="str">
        <f>IF(Volcanic!A770="","",Volcanic!A770)</f>
        <v>3/2022</v>
      </c>
      <c r="B770" s="18">
        <f>IF(ISNUMBER(Volcanic!L770),Volcanic!L770,"")</f>
        <v>2022.2083333333333</v>
      </c>
      <c r="C770" s="18">
        <f>IF(ISNUMBER(Volcanic!J770),Volcanic!J770,"")</f>
        <v>0.1256547795337698</v>
      </c>
      <c r="D770" s="18">
        <f t="shared" ref="D770:D823" si="346">IF(ISNUMBER(C770),C770^2,"")</f>
        <v>1.5789123619680295E-2</v>
      </c>
      <c r="E770" s="18">
        <f>IF(ISNUMBER(Volcanic!C770),Volcanic!C770,"")</f>
        <v>0.5806968152950519</v>
      </c>
      <c r="F770" s="18">
        <f>IF(ISNUMBER(Volcanic!D770),Volcanic!D770,"")</f>
        <v>-0.83</v>
      </c>
      <c r="G770" s="18">
        <f>IF(ISNUMBER(Volcanic!E770),Volcanic!E770,"")</f>
        <v>1.0070000000000001E-2</v>
      </c>
      <c r="H770" s="18">
        <f t="shared" ref="H770:H823" si="347">IF(ISNUMBER(E770),E770^2,"")</f>
        <v>0.33720879129381565</v>
      </c>
      <c r="I770" s="18">
        <f t="shared" ref="I770:I823" si="348">IF(ISNUMBER(F770),F770^2,"")</f>
        <v>0.68889999999999996</v>
      </c>
      <c r="J770" s="18">
        <f t="shared" ref="J770:J823" si="349">IF(ISNUMBER(G770),G770^2,"")</f>
        <v>1.0140490000000002E-4</v>
      </c>
      <c r="K770" s="18">
        <f t="shared" ref="K770:K823" si="350">IF(AND(ISNUMBER(E770),ISNUMBER(F770)),E770*F770,"")</f>
        <v>-0.48197835669489308</v>
      </c>
      <c r="L770" s="18">
        <f t="shared" ref="L770:L823" si="351">IF(AND(ISNUMBER(E770),ISNUMBER(G770)),E770*G770,"")</f>
        <v>5.8476169300211728E-3</v>
      </c>
      <c r="M770" s="18">
        <f t="shared" ref="M770:M823" si="352">IF(AND(ISNUMBER(F770),ISNUMBER(G770)),F770*G770,"")</f>
        <v>-8.3581000000000003E-3</v>
      </c>
      <c r="N770" s="18">
        <f t="shared" si="326"/>
        <v>8.8286485915479865E-4</v>
      </c>
      <c r="O770" s="18">
        <f t="shared" si="329"/>
        <v>1.7183487092481699E-4</v>
      </c>
      <c r="P770" s="18">
        <f t="shared" si="331"/>
        <v>1.7586728537127923E-3</v>
      </c>
      <c r="Q770" s="18">
        <f t="shared" si="333"/>
        <v>1.5246447750954619E-5</v>
      </c>
      <c r="R770" s="18">
        <f t="shared" si="335"/>
        <v>2.757730698683986E-3</v>
      </c>
      <c r="S770" s="18">
        <f t="shared" si="337"/>
        <v>1.7694872810878914E-5</v>
      </c>
      <c r="T770" s="18">
        <f t="shared" si="339"/>
        <v>1.3375434770982296E-2</v>
      </c>
      <c r="U770" s="18">
        <f t="shared" si="341"/>
        <v>1.6123256867238463E-4</v>
      </c>
      <c r="V770" s="18">
        <f t="shared" si="342"/>
        <v>7.0130157690200048E-3</v>
      </c>
      <c r="W770" s="18">
        <f t="shared" si="343"/>
        <v>1.8294960276393116E-2</v>
      </c>
      <c r="X770" s="18">
        <f t="shared" si="344"/>
        <v>2.2943876310476955E-2</v>
      </c>
      <c r="Y770" s="18">
        <f t="shared" si="345"/>
        <v>4.7594744429032202E-6</v>
      </c>
      <c r="AA770" s="18">
        <f t="shared" si="327"/>
        <v>0.1405945635446389</v>
      </c>
      <c r="AB770" s="18">
        <f t="shared" si="328"/>
        <v>1.9766831298307506E-2</v>
      </c>
      <c r="AC770" s="18">
        <f t="shared" si="330"/>
        <v>5.3462773941736835E-4</v>
      </c>
      <c r="AD770" s="18">
        <f t="shared" si="332"/>
        <v>6.3635767388048407E-5</v>
      </c>
      <c r="AE770" s="18">
        <f t="shared" si="334"/>
        <v>1.927193358107597E-3</v>
      </c>
      <c r="AF770" s="18">
        <f t="shared" si="336"/>
        <v>5.0622916931849918E-4</v>
      </c>
      <c r="AG770" s="18">
        <f t="shared" si="338"/>
        <v>2.9843441825298973E-3</v>
      </c>
      <c r="AH770" s="18">
        <f t="shared" si="340"/>
        <v>2.9099190108917532E-3</v>
      </c>
      <c r="AJ770" s="18">
        <f>IF(ISNUMBER(Kernel!M770),Kernel!M770,"")</f>
        <v>0.1577456184069892</v>
      </c>
      <c r="AK770" s="18">
        <f t="shared" ref="AK770:AK823" si="353">IF(ISNUMBER(AJ770),AJ770^2,"")</f>
        <v>2.4883680126603448E-2</v>
      </c>
      <c r="AN770" s="18">
        <f>IF(ISNUMBER(Volcanic!G770),Volcanic!G770,"")</f>
        <v>2.3550000000000001E-2</v>
      </c>
    </row>
    <row r="771" spans="1:40">
      <c r="A771" s="18" t="str">
        <f>IF(Volcanic!A771="","",Volcanic!A771)</f>
        <v>4/2022</v>
      </c>
      <c r="B771" s="18">
        <f>IF(ISNUMBER(Volcanic!L771),Volcanic!L771,"")</f>
        <v>2022.2916666666667</v>
      </c>
      <c r="C771" s="18">
        <f>IF(ISNUMBER(Volcanic!J771),Volcanic!J771,"")</f>
        <v>-0.11447489348008633</v>
      </c>
      <c r="D771" s="18">
        <f t="shared" si="346"/>
        <v>1.310450123727711E-2</v>
      </c>
      <c r="E771" s="18">
        <f>IF(ISNUMBER(Volcanic!C771),Volcanic!C771,"")</f>
        <v>0.5856150008995481</v>
      </c>
      <c r="F771" s="18">
        <f>IF(ISNUMBER(Volcanic!D771),Volcanic!D771,"")</f>
        <v>-0.76</v>
      </c>
      <c r="G771" s="18">
        <f>IF(ISNUMBER(Volcanic!E771),Volcanic!E771,"")</f>
        <v>9.9699999999999997E-3</v>
      </c>
      <c r="H771" s="18">
        <f t="shared" si="347"/>
        <v>0.34294492927857773</v>
      </c>
      <c r="I771" s="18">
        <f t="shared" si="348"/>
        <v>0.5776</v>
      </c>
      <c r="J771" s="18">
        <f t="shared" si="349"/>
        <v>9.9400899999999999E-5</v>
      </c>
      <c r="K771" s="18">
        <f t="shared" si="350"/>
        <v>-0.44506740068365658</v>
      </c>
      <c r="L771" s="18">
        <f t="shared" si="351"/>
        <v>5.8385815589684946E-3</v>
      </c>
      <c r="M771" s="18">
        <f t="shared" si="352"/>
        <v>-7.5772000000000001E-3</v>
      </c>
      <c r="N771" s="18">
        <f t="shared" ref="N771:N823" si="354">IF(ISNUMBER(D770),D770,"")</f>
        <v>1.5789123619680295E-2</v>
      </c>
      <c r="O771" s="18">
        <f t="shared" si="329"/>
        <v>8.8286485915479865E-4</v>
      </c>
      <c r="P771" s="18">
        <f t="shared" si="331"/>
        <v>1.7183487092481699E-4</v>
      </c>
      <c r="Q771" s="18">
        <f t="shared" si="333"/>
        <v>1.7586728537127923E-3</v>
      </c>
      <c r="R771" s="18">
        <f t="shared" si="335"/>
        <v>1.5246447750954619E-5</v>
      </c>
      <c r="S771" s="18">
        <f t="shared" si="337"/>
        <v>2.757730698683986E-3</v>
      </c>
      <c r="T771" s="18">
        <f t="shared" si="339"/>
        <v>1.7694872810878914E-5</v>
      </c>
      <c r="U771" s="18">
        <f t="shared" si="341"/>
        <v>1.3375434770982296E-2</v>
      </c>
      <c r="V771" s="18">
        <f t="shared" si="342"/>
        <v>1.6123256867238463E-4</v>
      </c>
      <c r="W771" s="18">
        <f t="shared" si="343"/>
        <v>7.0130157690200048E-3</v>
      </c>
      <c r="X771" s="18">
        <f t="shared" si="344"/>
        <v>1.8294960276393116E-2</v>
      </c>
      <c r="Y771" s="18">
        <f t="shared" si="345"/>
        <v>2.2943876310476955E-2</v>
      </c>
      <c r="AA771" s="18">
        <f t="shared" ref="AA771:AA823" si="355">IF(AND(ISNUMBER(C771),ISNUMBER(C770)),C771-$AX$16*C770,"")</f>
        <v>-0.1776543980312979</v>
      </c>
      <c r="AB771" s="18">
        <f t="shared" ref="AB771:AB823" si="356">IF(ISNUMBER(AA771),AA771^2,"")</f>
        <v>3.1561085139862825E-2</v>
      </c>
      <c r="AC771" s="18">
        <f t="shared" si="330"/>
        <v>1.9766831298307506E-2</v>
      </c>
      <c r="AD771" s="18">
        <f t="shared" si="332"/>
        <v>5.3462773941736835E-4</v>
      </c>
      <c r="AE771" s="18">
        <f t="shared" si="334"/>
        <v>6.3635767388048407E-5</v>
      </c>
      <c r="AF771" s="18">
        <f t="shared" si="336"/>
        <v>1.927193358107597E-3</v>
      </c>
      <c r="AG771" s="18">
        <f t="shared" si="338"/>
        <v>5.0622916931849918E-4</v>
      </c>
      <c r="AH771" s="18">
        <f t="shared" si="340"/>
        <v>2.9843441825298973E-3</v>
      </c>
      <c r="AJ771" s="18">
        <f>IF(ISNUMBER(Kernel!M771),Kernel!M771,"")</f>
        <v>-6.7627308331239644E-2</v>
      </c>
      <c r="AK771" s="18">
        <f t="shared" si="353"/>
        <v>4.5734528321285548E-3</v>
      </c>
      <c r="AN771" s="18">
        <f>IF(ISNUMBER(Volcanic!G771),Volcanic!G771,"")</f>
        <v>2.726E-2</v>
      </c>
    </row>
    <row r="772" spans="1:40">
      <c r="A772" s="18" t="str">
        <f>IF(Volcanic!A772="","",Volcanic!A772)</f>
        <v>5/2022</v>
      </c>
      <c r="B772" s="18">
        <f>IF(ISNUMBER(Volcanic!L772),Volcanic!L772,"")</f>
        <v>2022.375</v>
      </c>
      <c r="C772" s="18">
        <f>IF(ISNUMBER(Volcanic!J772),Volcanic!J772,"")</f>
        <v>-0.11932800750658512</v>
      </c>
      <c r="D772" s="18">
        <f t="shared" si="346"/>
        <v>1.4239173375491635E-2</v>
      </c>
      <c r="E772" s="18">
        <f>IF(ISNUMBER(Volcanic!C772),Volcanic!C772,"")</f>
        <v>0.58829059758610203</v>
      </c>
      <c r="F772" s="18">
        <f>IF(ISNUMBER(Volcanic!D772),Volcanic!D772,"")</f>
        <v>-0.68</v>
      </c>
      <c r="G772" s="18">
        <f>IF(ISNUMBER(Volcanic!E772),Volcanic!E772,"")</f>
        <v>9.9100000000000004E-3</v>
      </c>
      <c r="H772" s="18">
        <f t="shared" si="347"/>
        <v>0.34608582720821301</v>
      </c>
      <c r="I772" s="18">
        <f t="shared" si="348"/>
        <v>0.46240000000000009</v>
      </c>
      <c r="J772" s="18">
        <f t="shared" si="349"/>
        <v>9.8208100000000013E-5</v>
      </c>
      <c r="K772" s="18">
        <f t="shared" si="350"/>
        <v>-0.4000376063585494</v>
      </c>
      <c r="L772" s="18">
        <f t="shared" si="351"/>
        <v>5.8299598220782709E-3</v>
      </c>
      <c r="M772" s="18">
        <f t="shared" si="352"/>
        <v>-6.7388000000000005E-3</v>
      </c>
      <c r="N772" s="18">
        <f t="shared" si="354"/>
        <v>1.310450123727711E-2</v>
      </c>
      <c r="O772" s="18">
        <f t="shared" ref="O772:O823" si="357">IF(ISNUMBER(D770),D770,"")</f>
        <v>1.5789123619680295E-2</v>
      </c>
      <c r="P772" s="18">
        <f t="shared" si="331"/>
        <v>8.8286485915479865E-4</v>
      </c>
      <c r="Q772" s="18">
        <f t="shared" si="333"/>
        <v>1.7183487092481699E-4</v>
      </c>
      <c r="R772" s="18">
        <f t="shared" si="335"/>
        <v>1.7586728537127923E-3</v>
      </c>
      <c r="S772" s="18">
        <f t="shared" si="337"/>
        <v>1.5246447750954619E-5</v>
      </c>
      <c r="T772" s="18">
        <f t="shared" si="339"/>
        <v>2.757730698683986E-3</v>
      </c>
      <c r="U772" s="18">
        <f t="shared" si="341"/>
        <v>1.7694872810878914E-5</v>
      </c>
      <c r="V772" s="18">
        <f t="shared" si="342"/>
        <v>1.3375434770982296E-2</v>
      </c>
      <c r="W772" s="18">
        <f t="shared" si="343"/>
        <v>1.6123256867238463E-4</v>
      </c>
      <c r="X772" s="18">
        <f t="shared" si="344"/>
        <v>7.0130157690200048E-3</v>
      </c>
      <c r="Y772" s="18">
        <f t="shared" si="345"/>
        <v>1.8294960276393116E-2</v>
      </c>
      <c r="AA772" s="18">
        <f t="shared" si="355"/>
        <v>-6.1769774700320516E-2</v>
      </c>
      <c r="AB772" s="18">
        <f t="shared" si="356"/>
        <v>3.8155050665283565E-3</v>
      </c>
      <c r="AC772" s="18">
        <f t="shared" ref="AC772:AC823" si="358">IF(ISNUMBER(AB771),AB771,"")</f>
        <v>3.1561085139862825E-2</v>
      </c>
      <c r="AD772" s="18">
        <f t="shared" si="332"/>
        <v>1.9766831298307506E-2</v>
      </c>
      <c r="AE772" s="18">
        <f t="shared" si="334"/>
        <v>5.3462773941736835E-4</v>
      </c>
      <c r="AF772" s="18">
        <f t="shared" si="336"/>
        <v>6.3635767388048407E-5</v>
      </c>
      <c r="AG772" s="18">
        <f t="shared" si="338"/>
        <v>1.927193358107597E-3</v>
      </c>
      <c r="AH772" s="18">
        <f t="shared" si="340"/>
        <v>5.0622916931849918E-4</v>
      </c>
      <c r="AJ772" s="18">
        <f>IF(ISNUMBER(Kernel!M772),Kernel!M772,"")</f>
        <v>-5.7960596522626862E-2</v>
      </c>
      <c r="AK772" s="18">
        <f t="shared" si="353"/>
        <v>3.3594307492587449E-3</v>
      </c>
      <c r="AN772" s="18">
        <f>IF(ISNUMBER(Volcanic!G772),Volcanic!G772,"")</f>
        <v>2.929E-2</v>
      </c>
    </row>
    <row r="773" spans="1:40">
      <c r="A773" s="18" t="str">
        <f>IF(Volcanic!A773="","",Volcanic!A773)</f>
        <v>6/2022</v>
      </c>
      <c r="B773" s="18">
        <f>IF(ISNUMBER(Volcanic!L773),Volcanic!L773,"")</f>
        <v>2022.4583333333333</v>
      </c>
      <c r="C773" s="18">
        <f>IF(ISNUMBER(Volcanic!J773),Volcanic!J773,"")</f>
        <v>-2.093807221123356E-2</v>
      </c>
      <c r="D773" s="18">
        <f t="shared" si="346"/>
        <v>4.3840286792283105E-4</v>
      </c>
      <c r="E773" s="18">
        <f>IF(ISNUMBER(Volcanic!C773),Volcanic!C773,"")</f>
        <v>0.58818778172396691</v>
      </c>
      <c r="F773" s="18">
        <f>IF(ISNUMBER(Volcanic!D773),Volcanic!D773,"")</f>
        <v>-0.77</v>
      </c>
      <c r="G773" s="18">
        <f>IF(ISNUMBER(Volcanic!E773),Volcanic!E773,"")</f>
        <v>9.7999999999999997E-3</v>
      </c>
      <c r="H773" s="18">
        <f t="shared" si="347"/>
        <v>0.34596486656936093</v>
      </c>
      <c r="I773" s="18">
        <f t="shared" si="348"/>
        <v>0.59289999999999998</v>
      </c>
      <c r="J773" s="18">
        <f t="shared" si="349"/>
        <v>9.6039999999999995E-5</v>
      </c>
      <c r="K773" s="18">
        <f t="shared" si="350"/>
        <v>-0.45290459192745453</v>
      </c>
      <c r="L773" s="18">
        <f t="shared" si="351"/>
        <v>5.7642402608948755E-3</v>
      </c>
      <c r="M773" s="18">
        <f t="shared" si="352"/>
        <v>-7.5459999999999998E-3</v>
      </c>
      <c r="N773" s="18">
        <f t="shared" si="354"/>
        <v>1.4239173375491635E-2</v>
      </c>
      <c r="O773" s="18">
        <f t="shared" si="357"/>
        <v>1.310450123727711E-2</v>
      </c>
      <c r="P773" s="18">
        <f t="shared" ref="P773:P823" si="359">IF(ISNUMBER(D770),D770,"")</f>
        <v>1.5789123619680295E-2</v>
      </c>
      <c r="Q773" s="18">
        <f t="shared" si="333"/>
        <v>8.8286485915479865E-4</v>
      </c>
      <c r="R773" s="18">
        <f t="shared" si="335"/>
        <v>1.7183487092481699E-4</v>
      </c>
      <c r="S773" s="18">
        <f t="shared" si="337"/>
        <v>1.7586728537127923E-3</v>
      </c>
      <c r="T773" s="18">
        <f t="shared" si="339"/>
        <v>1.5246447750954619E-5</v>
      </c>
      <c r="U773" s="18">
        <f t="shared" si="341"/>
        <v>2.757730698683986E-3</v>
      </c>
      <c r="V773" s="18">
        <f t="shared" si="342"/>
        <v>1.7694872810878914E-5</v>
      </c>
      <c r="W773" s="18">
        <f t="shared" si="343"/>
        <v>1.3375434770982296E-2</v>
      </c>
      <c r="X773" s="18">
        <f t="shared" si="344"/>
        <v>1.6123256867238463E-4</v>
      </c>
      <c r="Y773" s="18">
        <f t="shared" si="345"/>
        <v>7.0130157690200048E-3</v>
      </c>
      <c r="AA773" s="18">
        <f t="shared" si="355"/>
        <v>3.9060317196016728E-2</v>
      </c>
      <c r="AB773" s="18">
        <f t="shared" si="356"/>
        <v>1.52570837945344E-3</v>
      </c>
      <c r="AC773" s="18">
        <f t="shared" si="358"/>
        <v>3.8155050665283565E-3</v>
      </c>
      <c r="AD773" s="18">
        <f t="shared" ref="AD773:AD823" si="360">IF(ISNUMBER(AB771),AB771,"")</f>
        <v>3.1561085139862825E-2</v>
      </c>
      <c r="AE773" s="18">
        <f t="shared" si="334"/>
        <v>1.9766831298307506E-2</v>
      </c>
      <c r="AF773" s="18">
        <f t="shared" si="336"/>
        <v>5.3462773941736835E-4</v>
      </c>
      <c r="AG773" s="18">
        <f t="shared" si="338"/>
        <v>6.3635767388048407E-5</v>
      </c>
      <c r="AH773" s="18">
        <f t="shared" si="340"/>
        <v>1.927193358107597E-3</v>
      </c>
      <c r="AJ773" s="18">
        <f>IF(ISNUMBER(Kernel!M773),Kernel!M773,"")</f>
        <v>3.6163749513979271E-2</v>
      </c>
      <c r="AK773" s="18">
        <f t="shared" si="353"/>
        <v>1.307816778909836E-3</v>
      </c>
      <c r="AN773" s="18">
        <f>IF(ISNUMBER(Volcanic!G773),Volcanic!G773,"")</f>
        <v>2.878E-2</v>
      </c>
    </row>
    <row r="774" spans="1:40">
      <c r="A774" s="18" t="str">
        <f>IF(Volcanic!A774="","",Volcanic!A774)</f>
        <v>7/2022</v>
      </c>
      <c r="B774" s="18">
        <f>IF(ISNUMBER(Volcanic!L774),Volcanic!L774,"")</f>
        <v>2022.5416666666667</v>
      </c>
      <c r="C774" s="18">
        <f>IF(ISNUMBER(Volcanic!J774),Volcanic!J774,"")</f>
        <v>1.6272831938167531E-2</v>
      </c>
      <c r="D774" s="18">
        <f t="shared" si="346"/>
        <v>2.6480505928784526E-4</v>
      </c>
      <c r="E774" s="18">
        <f>IF(ISNUMBER(Volcanic!C774),Volcanic!C774,"")</f>
        <v>0.58100684634573119</v>
      </c>
      <c r="F774" s="18">
        <f>IF(ISNUMBER(Volcanic!D774),Volcanic!D774,"")</f>
        <v>-0.86</v>
      </c>
      <c r="G774" s="18">
        <f>IF(ISNUMBER(Volcanic!E774),Volcanic!E774,"")</f>
        <v>9.4699999999999993E-3</v>
      </c>
      <c r="H774" s="18">
        <f t="shared" si="347"/>
        <v>0.33756895550061211</v>
      </c>
      <c r="I774" s="18">
        <f t="shared" si="348"/>
        <v>0.73959999999999992</v>
      </c>
      <c r="J774" s="18">
        <f t="shared" si="349"/>
        <v>8.968089999999999E-5</v>
      </c>
      <c r="K774" s="18">
        <f t="shared" si="350"/>
        <v>-0.49966588785732879</v>
      </c>
      <c r="L774" s="18">
        <f t="shared" si="351"/>
        <v>5.5021348348940737E-3</v>
      </c>
      <c r="M774" s="18">
        <f t="shared" si="352"/>
        <v>-8.144199999999999E-3</v>
      </c>
      <c r="N774" s="18">
        <f t="shared" si="354"/>
        <v>4.3840286792283105E-4</v>
      </c>
      <c r="O774" s="18">
        <f t="shared" si="357"/>
        <v>1.4239173375491635E-2</v>
      </c>
      <c r="P774" s="18">
        <f t="shared" si="359"/>
        <v>1.310450123727711E-2</v>
      </c>
      <c r="Q774" s="18">
        <f t="shared" ref="Q774:Q823" si="361">IF(ISNUMBER(D770),D770,"")</f>
        <v>1.5789123619680295E-2</v>
      </c>
      <c r="R774" s="18">
        <f t="shared" si="335"/>
        <v>8.8286485915479865E-4</v>
      </c>
      <c r="S774" s="18">
        <f t="shared" si="337"/>
        <v>1.7183487092481699E-4</v>
      </c>
      <c r="T774" s="18">
        <f t="shared" si="339"/>
        <v>1.7586728537127923E-3</v>
      </c>
      <c r="U774" s="18">
        <f t="shared" si="341"/>
        <v>1.5246447750954619E-5</v>
      </c>
      <c r="V774" s="18">
        <f t="shared" si="342"/>
        <v>2.757730698683986E-3</v>
      </c>
      <c r="W774" s="18">
        <f t="shared" si="343"/>
        <v>1.7694872810878914E-5</v>
      </c>
      <c r="X774" s="18">
        <f t="shared" si="344"/>
        <v>1.3375434770982296E-2</v>
      </c>
      <c r="Y774" s="18">
        <f t="shared" si="345"/>
        <v>1.6123256867238463E-4</v>
      </c>
      <c r="AA774" s="18">
        <f t="shared" si="355"/>
        <v>2.6800541536414122E-2</v>
      </c>
      <c r="AB774" s="18">
        <f t="shared" si="356"/>
        <v>7.1826902664505867E-4</v>
      </c>
      <c r="AC774" s="18">
        <f t="shared" si="358"/>
        <v>1.52570837945344E-3</v>
      </c>
      <c r="AD774" s="18">
        <f t="shared" si="360"/>
        <v>3.8155050665283565E-3</v>
      </c>
      <c r="AE774" s="18">
        <f t="shared" ref="AE774:AE823" si="362">IF(ISNUMBER(AB771),AB771,"")</f>
        <v>3.1561085139862825E-2</v>
      </c>
      <c r="AF774" s="18">
        <f t="shared" si="336"/>
        <v>1.9766831298307506E-2</v>
      </c>
      <c r="AG774" s="18">
        <f t="shared" si="338"/>
        <v>5.3462773941736835E-4</v>
      </c>
      <c r="AH774" s="18">
        <f t="shared" si="340"/>
        <v>6.3635767388048407E-5</v>
      </c>
      <c r="AJ774" s="18">
        <f>IF(ISNUMBER(Kernel!M774),Kernel!M774,"")</f>
        <v>6.8310092517980814E-2</v>
      </c>
      <c r="AK774" s="18">
        <f t="shared" si="353"/>
        <v>4.6662687398150984E-3</v>
      </c>
      <c r="AN774" s="18">
        <f>IF(ISNUMBER(Volcanic!G774),Volcanic!G774,"")</f>
        <v>2.8219999999999999E-2</v>
      </c>
    </row>
    <row r="775" spans="1:40">
      <c r="A775" s="18" t="str">
        <f>IF(Volcanic!A775="","",Volcanic!A775)</f>
        <v>8/2022</v>
      </c>
      <c r="B775" s="18">
        <f>IF(ISNUMBER(Volcanic!L775),Volcanic!L775,"")</f>
        <v>2022.625</v>
      </c>
      <c r="C775" s="18">
        <f>IF(ISNUMBER(Volcanic!J775),Volcanic!J775,"")</f>
        <v>4.1967954014812792E-2</v>
      </c>
      <c r="D775" s="18">
        <f t="shared" si="346"/>
        <v>1.7613091641894411E-3</v>
      </c>
      <c r="E775" s="18">
        <f>IF(ISNUMBER(Volcanic!C775),Volcanic!C775,"")</f>
        <v>0.57513941823551418</v>
      </c>
      <c r="F775" s="18">
        <f>IF(ISNUMBER(Volcanic!D775),Volcanic!D775,"")</f>
        <v>-0.83</v>
      </c>
      <c r="G775" s="18">
        <f>IF(ISNUMBER(Volcanic!E775),Volcanic!E775,"")</f>
        <v>1.5140000000000001E-2</v>
      </c>
      <c r="H775" s="18">
        <f t="shared" si="347"/>
        <v>0.33078535040828572</v>
      </c>
      <c r="I775" s="18">
        <f t="shared" si="348"/>
        <v>0.68889999999999996</v>
      </c>
      <c r="J775" s="18">
        <f t="shared" si="349"/>
        <v>2.2921960000000003E-4</v>
      </c>
      <c r="K775" s="18">
        <f t="shared" si="350"/>
        <v>-0.47736571713547676</v>
      </c>
      <c r="L775" s="18">
        <f t="shared" si="351"/>
        <v>8.7076107920856845E-3</v>
      </c>
      <c r="M775" s="18">
        <f t="shared" si="352"/>
        <v>-1.25662E-2</v>
      </c>
      <c r="N775" s="18">
        <f t="shared" si="354"/>
        <v>2.6480505928784526E-4</v>
      </c>
      <c r="O775" s="18">
        <f t="shared" si="357"/>
        <v>4.3840286792283105E-4</v>
      </c>
      <c r="P775" s="18">
        <f t="shared" si="359"/>
        <v>1.4239173375491635E-2</v>
      </c>
      <c r="Q775" s="18">
        <f t="shared" si="361"/>
        <v>1.310450123727711E-2</v>
      </c>
      <c r="R775" s="18">
        <f t="shared" ref="R775:R823" si="363">IF(ISNUMBER(D770),D770,"")</f>
        <v>1.5789123619680295E-2</v>
      </c>
      <c r="S775" s="18">
        <f t="shared" si="337"/>
        <v>8.8286485915479865E-4</v>
      </c>
      <c r="T775" s="18">
        <f t="shared" si="339"/>
        <v>1.7183487092481699E-4</v>
      </c>
      <c r="U775" s="18">
        <f t="shared" si="341"/>
        <v>1.7586728537127923E-3</v>
      </c>
      <c r="V775" s="18">
        <f t="shared" si="342"/>
        <v>1.5246447750954619E-5</v>
      </c>
      <c r="W775" s="18">
        <f t="shared" si="343"/>
        <v>2.757730698683986E-3</v>
      </c>
      <c r="X775" s="18">
        <f t="shared" si="344"/>
        <v>1.7694872810878914E-5</v>
      </c>
      <c r="Y775" s="18">
        <f t="shared" si="345"/>
        <v>1.3375434770982296E-2</v>
      </c>
      <c r="AA775" s="18">
        <f t="shared" si="355"/>
        <v>3.3785937673585981E-2</v>
      </c>
      <c r="AB775" s="18">
        <f t="shared" si="356"/>
        <v>1.1414895844834366E-3</v>
      </c>
      <c r="AC775" s="18">
        <f t="shared" si="358"/>
        <v>7.1826902664505867E-4</v>
      </c>
      <c r="AD775" s="18">
        <f t="shared" si="360"/>
        <v>1.52570837945344E-3</v>
      </c>
      <c r="AE775" s="18">
        <f t="shared" si="362"/>
        <v>3.8155050665283565E-3</v>
      </c>
      <c r="AF775" s="18">
        <f t="shared" ref="AF775:AF823" si="364">IF(ISNUMBER(AB771),AB771,"")</f>
        <v>3.1561085139862825E-2</v>
      </c>
      <c r="AG775" s="18">
        <f t="shared" si="338"/>
        <v>1.9766831298307506E-2</v>
      </c>
      <c r="AH775" s="18">
        <f t="shared" si="340"/>
        <v>5.3462773941736835E-4</v>
      </c>
      <c r="AJ775" s="18">
        <f>IF(ISNUMBER(Kernel!M775),Kernel!M775,"")</f>
        <v>8.7824955125427873E-2</v>
      </c>
      <c r="AK775" s="18">
        <f t="shared" si="353"/>
        <v>7.7132227427834195E-3</v>
      </c>
      <c r="AN775" s="18">
        <f>IF(ISNUMBER(Volcanic!G775),Volcanic!G775,"")</f>
        <v>2.588E-2</v>
      </c>
    </row>
    <row r="776" spans="1:40">
      <c r="A776" s="18" t="str">
        <f>IF(Volcanic!A776="","",Volcanic!A776)</f>
        <v>9/2022</v>
      </c>
      <c r="B776" s="18">
        <f>IF(ISNUMBER(Volcanic!L776),Volcanic!L776,"")</f>
        <v>2022.7083333333333</v>
      </c>
      <c r="C776" s="18">
        <f>IF(ISNUMBER(Volcanic!J776),Volcanic!J776,"")</f>
        <v>-1.9334141121172266E-3</v>
      </c>
      <c r="D776" s="18">
        <f t="shared" si="346"/>
        <v>3.7380901289340436E-6</v>
      </c>
      <c r="E776" s="18">
        <f>IF(ISNUMBER(Volcanic!C776),Volcanic!C776,"")</f>
        <v>0.57084454590484046</v>
      </c>
      <c r="F776" s="18">
        <f>IF(ISNUMBER(Volcanic!D776),Volcanic!D776,"")</f>
        <v>-0.73</v>
      </c>
      <c r="G776" s="18">
        <f>IF(ISNUMBER(Volcanic!E776),Volcanic!E776,"")</f>
        <v>2.1350000000000001E-2</v>
      </c>
      <c r="H776" s="18">
        <f t="shared" si="347"/>
        <v>0.3258634955893035</v>
      </c>
      <c r="I776" s="18">
        <f t="shared" si="348"/>
        <v>0.53289999999999993</v>
      </c>
      <c r="J776" s="18">
        <f t="shared" si="349"/>
        <v>4.5582250000000005E-4</v>
      </c>
      <c r="K776" s="18">
        <f t="shared" si="350"/>
        <v>-0.41671651851053354</v>
      </c>
      <c r="L776" s="18">
        <f t="shared" si="351"/>
        <v>1.2187531055068344E-2</v>
      </c>
      <c r="M776" s="18">
        <f t="shared" si="352"/>
        <v>-1.55855E-2</v>
      </c>
      <c r="N776" s="18">
        <f t="shared" si="354"/>
        <v>1.7613091641894411E-3</v>
      </c>
      <c r="O776" s="18">
        <f t="shared" si="357"/>
        <v>2.6480505928784526E-4</v>
      </c>
      <c r="P776" s="18">
        <f t="shared" si="359"/>
        <v>4.3840286792283105E-4</v>
      </c>
      <c r="Q776" s="18">
        <f t="shared" si="361"/>
        <v>1.4239173375491635E-2</v>
      </c>
      <c r="R776" s="18">
        <f t="shared" si="363"/>
        <v>1.310450123727711E-2</v>
      </c>
      <c r="S776" s="18">
        <f t="shared" ref="S776:S823" si="365">IF(ISNUMBER(D770),D770,"")</f>
        <v>1.5789123619680295E-2</v>
      </c>
      <c r="T776" s="18">
        <f t="shared" si="339"/>
        <v>8.8286485915479865E-4</v>
      </c>
      <c r="U776" s="18">
        <f t="shared" si="341"/>
        <v>1.7183487092481699E-4</v>
      </c>
      <c r="V776" s="18">
        <f t="shared" si="342"/>
        <v>1.7586728537127923E-3</v>
      </c>
      <c r="W776" s="18">
        <f t="shared" si="343"/>
        <v>1.5246447750954619E-5</v>
      </c>
      <c r="X776" s="18">
        <f t="shared" si="344"/>
        <v>2.757730698683986E-3</v>
      </c>
      <c r="Y776" s="18">
        <f t="shared" si="345"/>
        <v>1.7694872810878914E-5</v>
      </c>
      <c r="AA776" s="18">
        <f t="shared" si="355"/>
        <v>-2.3034995377247749E-2</v>
      </c>
      <c r="AB776" s="18">
        <f t="shared" si="356"/>
        <v>5.3061101202982522E-4</v>
      </c>
      <c r="AC776" s="18">
        <f t="shared" si="358"/>
        <v>1.1414895844834366E-3</v>
      </c>
      <c r="AD776" s="18">
        <f t="shared" si="360"/>
        <v>7.1826902664505867E-4</v>
      </c>
      <c r="AE776" s="18">
        <f t="shared" si="362"/>
        <v>1.52570837945344E-3</v>
      </c>
      <c r="AF776" s="18">
        <f t="shared" si="364"/>
        <v>3.8155050665283565E-3</v>
      </c>
      <c r="AG776" s="18">
        <f t="shared" ref="AG776:AG823" si="366">IF(ISNUMBER(AB771),AB771,"")</f>
        <v>3.1561085139862825E-2</v>
      </c>
      <c r="AH776" s="18">
        <f t="shared" si="340"/>
        <v>1.9766831298307506E-2</v>
      </c>
      <c r="AJ776" s="18">
        <f>IF(ISNUMBER(Kernel!M776),Kernel!M776,"")</f>
        <v>4.4226075291871947E-2</v>
      </c>
      <c r="AK776" s="18">
        <f t="shared" si="353"/>
        <v>1.9559457357223261E-3</v>
      </c>
      <c r="AN776" s="18">
        <f>IF(ISNUMBER(Volcanic!G776),Volcanic!G776,"")</f>
        <v>2.4309999999999998E-2</v>
      </c>
    </row>
    <row r="777" spans="1:40">
      <c r="A777" s="18" t="str">
        <f>IF(Volcanic!A777="","",Volcanic!A777)</f>
        <v>10/2022</v>
      </c>
      <c r="B777" s="18">
        <f>IF(ISNUMBER(Volcanic!L777),Volcanic!L777,"")</f>
        <v>2022.7916666666667</v>
      </c>
      <c r="C777" s="18">
        <f>IF(ISNUMBER(Volcanic!J777),Volcanic!J777,"")</f>
        <v>9.1732176169047386E-2</v>
      </c>
      <c r="D777" s="18">
        <f t="shared" si="346"/>
        <v>8.4147921447091448E-3</v>
      </c>
      <c r="E777" s="18">
        <f>IF(ISNUMBER(Volcanic!C777),Volcanic!C777,"")</f>
        <v>0.57025473490173317</v>
      </c>
      <c r="F777" s="18">
        <f>IF(ISNUMBER(Volcanic!D777),Volcanic!D777,"")</f>
        <v>-0.7</v>
      </c>
      <c r="G777" s="18">
        <f>IF(ISNUMBER(Volcanic!E777),Volcanic!E777,"")</f>
        <v>2.3550000000000001E-2</v>
      </c>
      <c r="H777" s="18">
        <f t="shared" si="347"/>
        <v>0.32519046267784596</v>
      </c>
      <c r="I777" s="18">
        <f t="shared" si="348"/>
        <v>0.48999999999999994</v>
      </c>
      <c r="J777" s="18">
        <f t="shared" si="349"/>
        <v>5.5460250000000002E-4</v>
      </c>
      <c r="K777" s="18">
        <f t="shared" si="350"/>
        <v>-0.39917831443121321</v>
      </c>
      <c r="L777" s="18">
        <f t="shared" si="351"/>
        <v>1.3429499006935817E-2</v>
      </c>
      <c r="M777" s="18">
        <f t="shared" si="352"/>
        <v>-1.6485E-2</v>
      </c>
      <c r="N777" s="18">
        <f t="shared" si="354"/>
        <v>3.7380901289340436E-6</v>
      </c>
      <c r="O777" s="18">
        <f t="shared" si="357"/>
        <v>1.7613091641894411E-3</v>
      </c>
      <c r="P777" s="18">
        <f t="shared" si="359"/>
        <v>2.6480505928784526E-4</v>
      </c>
      <c r="Q777" s="18">
        <f t="shared" si="361"/>
        <v>4.3840286792283105E-4</v>
      </c>
      <c r="R777" s="18">
        <f t="shared" si="363"/>
        <v>1.4239173375491635E-2</v>
      </c>
      <c r="S777" s="18">
        <f t="shared" si="365"/>
        <v>1.310450123727711E-2</v>
      </c>
      <c r="T777" s="18">
        <f t="shared" ref="T777:T823" si="367">IF(ISNUMBER(D770),D770,"")</f>
        <v>1.5789123619680295E-2</v>
      </c>
      <c r="U777" s="18">
        <f t="shared" si="341"/>
        <v>8.8286485915479865E-4</v>
      </c>
      <c r="V777" s="18">
        <f t="shared" si="342"/>
        <v>1.7183487092481699E-4</v>
      </c>
      <c r="W777" s="18">
        <f t="shared" si="343"/>
        <v>1.7586728537127923E-3</v>
      </c>
      <c r="X777" s="18">
        <f t="shared" si="344"/>
        <v>1.5246447750954619E-5</v>
      </c>
      <c r="Y777" s="18">
        <f t="shared" si="345"/>
        <v>2.757730698683986E-3</v>
      </c>
      <c r="AA777" s="18">
        <f t="shared" si="355"/>
        <v>9.2704301114466259E-2</v>
      </c>
      <c r="AB777" s="18">
        <f t="shared" si="356"/>
        <v>8.5940874451216308E-3</v>
      </c>
      <c r="AC777" s="18">
        <f t="shared" si="358"/>
        <v>5.3061101202982522E-4</v>
      </c>
      <c r="AD777" s="18">
        <f t="shared" si="360"/>
        <v>1.1414895844834366E-3</v>
      </c>
      <c r="AE777" s="18">
        <f t="shared" si="362"/>
        <v>7.1826902664505867E-4</v>
      </c>
      <c r="AF777" s="18">
        <f t="shared" si="364"/>
        <v>1.52570837945344E-3</v>
      </c>
      <c r="AG777" s="18">
        <f t="shared" si="366"/>
        <v>3.8155050665283565E-3</v>
      </c>
      <c r="AH777" s="18">
        <f t="shared" ref="AH777:AH823" si="368">IF(ISNUMBER(AB771),AB771,"")</f>
        <v>3.1561085139862825E-2</v>
      </c>
      <c r="AJ777" s="18">
        <f>IF(ISNUMBER(Kernel!M777),Kernel!M777,"")</f>
        <v>0.14006438963933987</v>
      </c>
      <c r="AK777" s="18">
        <f t="shared" si="353"/>
        <v>1.9618033245040817E-2</v>
      </c>
      <c r="AN777" s="18">
        <f>IF(ISNUMBER(Volcanic!G777),Volcanic!G777,"")</f>
        <v>2.2939999999999999E-2</v>
      </c>
    </row>
    <row r="778" spans="1:40">
      <c r="A778" s="18" t="str">
        <f>IF(Volcanic!A778="","",Volcanic!A778)</f>
        <v>11/2022</v>
      </c>
      <c r="B778" s="18">
        <f>IF(ISNUMBER(Volcanic!L778),Volcanic!L778,"")</f>
        <v>2022.875</v>
      </c>
      <c r="C778" s="18">
        <f>IF(ISNUMBER(Volcanic!J778),Volcanic!J778,"")</f>
        <v>-0.1490208289392575</v>
      </c>
      <c r="D778" s="18">
        <f t="shared" si="346"/>
        <v>2.2207207457743447E-2</v>
      </c>
      <c r="E778" s="18">
        <f>IF(ISNUMBER(Volcanic!C778),Volcanic!C778,"")</f>
        <v>0.57624569998219233</v>
      </c>
      <c r="F778" s="18">
        <f>IF(ISNUMBER(Volcanic!D778),Volcanic!D778,"")</f>
        <v>-0.78</v>
      </c>
      <c r="G778" s="18">
        <f>IF(ISNUMBER(Volcanic!E778),Volcanic!E778,"")</f>
        <v>2.726E-2</v>
      </c>
      <c r="H778" s="18">
        <f t="shared" si="347"/>
        <v>0.33205910674796679</v>
      </c>
      <c r="I778" s="18">
        <f t="shared" si="348"/>
        <v>0.60840000000000005</v>
      </c>
      <c r="J778" s="18">
        <f t="shared" si="349"/>
        <v>7.431076E-4</v>
      </c>
      <c r="K778" s="18">
        <f t="shared" si="350"/>
        <v>-0.44947164598611006</v>
      </c>
      <c r="L778" s="18">
        <f t="shared" si="351"/>
        <v>1.5708457781514563E-2</v>
      </c>
      <c r="M778" s="18">
        <f t="shared" si="352"/>
        <v>-2.1262800000000002E-2</v>
      </c>
      <c r="N778" s="18">
        <f t="shared" si="354"/>
        <v>8.4147921447091448E-3</v>
      </c>
      <c r="O778" s="18">
        <f t="shared" si="357"/>
        <v>3.7380901289340436E-6</v>
      </c>
      <c r="P778" s="18">
        <f t="shared" si="359"/>
        <v>1.7613091641894411E-3</v>
      </c>
      <c r="Q778" s="18">
        <f t="shared" si="361"/>
        <v>2.6480505928784526E-4</v>
      </c>
      <c r="R778" s="18">
        <f t="shared" si="363"/>
        <v>4.3840286792283105E-4</v>
      </c>
      <c r="S778" s="18">
        <f t="shared" si="365"/>
        <v>1.4239173375491635E-2</v>
      </c>
      <c r="T778" s="18">
        <f t="shared" si="367"/>
        <v>1.310450123727711E-2</v>
      </c>
      <c r="U778" s="18">
        <f t="shared" ref="U778:U823" si="369">IF(ISNUMBER(D770),D770,"")</f>
        <v>1.5789123619680295E-2</v>
      </c>
      <c r="V778" s="18">
        <f t="shared" si="342"/>
        <v>8.8286485915479865E-4</v>
      </c>
      <c r="W778" s="18">
        <f t="shared" si="343"/>
        <v>1.7183487092481699E-4</v>
      </c>
      <c r="X778" s="18">
        <f t="shared" si="344"/>
        <v>1.7586728537127923E-3</v>
      </c>
      <c r="Y778" s="18">
        <f t="shared" si="345"/>
        <v>1.5246447750954619E-5</v>
      </c>
      <c r="AA778" s="18">
        <f t="shared" si="355"/>
        <v>-0.19514397254962293</v>
      </c>
      <c r="AB778" s="18">
        <f t="shared" si="356"/>
        <v>3.8081170022447985E-2</v>
      </c>
      <c r="AC778" s="18">
        <f t="shared" si="358"/>
        <v>8.5940874451216308E-3</v>
      </c>
      <c r="AD778" s="18">
        <f t="shared" si="360"/>
        <v>5.3061101202982522E-4</v>
      </c>
      <c r="AE778" s="18">
        <f t="shared" si="362"/>
        <v>1.1414895844834366E-3</v>
      </c>
      <c r="AF778" s="18">
        <f t="shared" si="364"/>
        <v>7.1826902664505867E-4</v>
      </c>
      <c r="AG778" s="18">
        <f t="shared" si="366"/>
        <v>1.52570837945344E-3</v>
      </c>
      <c r="AH778" s="18">
        <f t="shared" si="368"/>
        <v>3.8155050665283565E-3</v>
      </c>
      <c r="AJ778" s="18">
        <f>IF(ISNUMBER(Kernel!M778),Kernel!M778,"")</f>
        <v>-0.1142998953815122</v>
      </c>
      <c r="AK778" s="18">
        <f t="shared" si="353"/>
        <v>1.3064466084224633E-2</v>
      </c>
      <c r="AN778" s="18">
        <f>IF(ISNUMBER(Volcanic!G778),Volcanic!G778,"")</f>
        <v>2.172E-2</v>
      </c>
    </row>
    <row r="779" spans="1:40">
      <c r="A779" s="18" t="str">
        <f>IF(Volcanic!A779="","",Volcanic!A779)</f>
        <v>12/2022</v>
      </c>
      <c r="B779" s="18">
        <f>IF(ISNUMBER(Volcanic!L779),Volcanic!L779,"")</f>
        <v>2022.9583333333333</v>
      </c>
      <c r="C779" s="18">
        <f>IF(ISNUMBER(Volcanic!J779),Volcanic!J779,"")</f>
        <v>-8.0503232306344374E-2</v>
      </c>
      <c r="D779" s="18">
        <f t="shared" si="346"/>
        <v>6.4807704117692483E-3</v>
      </c>
      <c r="E779" s="18">
        <f>IF(ISNUMBER(Volcanic!C779),Volcanic!C779,"")</f>
        <v>0.5814889844809461</v>
      </c>
      <c r="F779" s="18">
        <f>IF(ISNUMBER(Volcanic!D779),Volcanic!D779,"")</f>
        <v>-0.87</v>
      </c>
      <c r="G779" s="18">
        <f>IF(ISNUMBER(Volcanic!E779),Volcanic!E779,"")</f>
        <v>2.929E-2</v>
      </c>
      <c r="H779" s="18">
        <f t="shared" si="347"/>
        <v>0.338129439072682</v>
      </c>
      <c r="I779" s="18">
        <f t="shared" si="348"/>
        <v>0.75690000000000002</v>
      </c>
      <c r="J779" s="18">
        <f t="shared" si="349"/>
        <v>8.5790409999999997E-4</v>
      </c>
      <c r="K779" s="18">
        <f t="shared" si="350"/>
        <v>-0.50589541649842307</v>
      </c>
      <c r="L779" s="18">
        <f t="shared" si="351"/>
        <v>1.7031812355446912E-2</v>
      </c>
      <c r="M779" s="18">
        <f t="shared" si="352"/>
        <v>-2.5482299999999999E-2</v>
      </c>
      <c r="N779" s="18">
        <f t="shared" si="354"/>
        <v>2.2207207457743447E-2</v>
      </c>
      <c r="O779" s="18">
        <f t="shared" si="357"/>
        <v>8.4147921447091448E-3</v>
      </c>
      <c r="P779" s="18">
        <f t="shared" si="359"/>
        <v>3.7380901289340436E-6</v>
      </c>
      <c r="Q779" s="18">
        <f t="shared" si="361"/>
        <v>1.7613091641894411E-3</v>
      </c>
      <c r="R779" s="18">
        <f t="shared" si="363"/>
        <v>2.6480505928784526E-4</v>
      </c>
      <c r="S779" s="18">
        <f t="shared" si="365"/>
        <v>4.3840286792283105E-4</v>
      </c>
      <c r="T779" s="18">
        <f t="shared" si="367"/>
        <v>1.4239173375491635E-2</v>
      </c>
      <c r="U779" s="18">
        <f t="shared" si="369"/>
        <v>1.310450123727711E-2</v>
      </c>
      <c r="V779" s="18">
        <f t="shared" ref="V779:V823" si="370">IF(ISNUMBER(D770),D770,"")</f>
        <v>1.5789123619680295E-2</v>
      </c>
      <c r="W779" s="18">
        <f t="shared" si="343"/>
        <v>8.8286485915479865E-4</v>
      </c>
      <c r="X779" s="18">
        <f t="shared" si="344"/>
        <v>1.7183487092481699E-4</v>
      </c>
      <c r="Y779" s="18">
        <f t="shared" si="345"/>
        <v>1.7586728537127923E-3</v>
      </c>
      <c r="AA779" s="18">
        <f t="shared" si="355"/>
        <v>-5.5752257862037025E-3</v>
      </c>
      <c r="AB779" s="18">
        <f t="shared" si="356"/>
        <v>3.1083142567150692E-5</v>
      </c>
      <c r="AC779" s="18">
        <f t="shared" si="358"/>
        <v>3.8081170022447985E-2</v>
      </c>
      <c r="AD779" s="18">
        <f t="shared" si="360"/>
        <v>8.5940874451216308E-3</v>
      </c>
      <c r="AE779" s="18">
        <f t="shared" si="362"/>
        <v>5.3061101202982522E-4</v>
      </c>
      <c r="AF779" s="18">
        <f t="shared" si="364"/>
        <v>1.1414895844834366E-3</v>
      </c>
      <c r="AG779" s="18">
        <f t="shared" si="366"/>
        <v>7.1826902664505867E-4</v>
      </c>
      <c r="AH779" s="18">
        <f t="shared" si="368"/>
        <v>1.52570837945344E-3</v>
      </c>
      <c r="AJ779" s="18">
        <f>IF(ISNUMBER(Kernel!M779),Kernel!M779,"")</f>
        <v>-5.9808314020975084E-2</v>
      </c>
      <c r="AK779" s="18">
        <f t="shared" si="353"/>
        <v>3.5770344260315648E-3</v>
      </c>
      <c r="AN779" s="18">
        <f>IF(ISNUMBER(Volcanic!G779),Volcanic!G779,"")</f>
        <v>2.0449999999999999E-2</v>
      </c>
    </row>
    <row r="780" spans="1:40">
      <c r="A780" s="18" t="str">
        <f>IF(Volcanic!A780="","",Volcanic!A780)</f>
        <v>1/2023</v>
      </c>
      <c r="B780" s="18">
        <f>IF(ISNUMBER(Volcanic!L780),Volcanic!L780,"")</f>
        <v>2023.0416666666667</v>
      </c>
      <c r="C780" s="18">
        <f>IF(ISNUMBER(Volcanic!J780),Volcanic!J780,"")</f>
        <v>-4.3685400578931111E-3</v>
      </c>
      <c r="D780" s="18">
        <f t="shared" si="346"/>
        <v>1.9084142237416746E-5</v>
      </c>
      <c r="E780" s="18">
        <f>IF(ISNUMBER(Volcanic!C780),Volcanic!C780,"")</f>
        <v>0.58317520020842994</v>
      </c>
      <c r="F780" s="18">
        <f>IF(ISNUMBER(Volcanic!D780),Volcanic!D780,"")</f>
        <v>-0.89</v>
      </c>
      <c r="G780" s="18">
        <f>IF(ISNUMBER(Volcanic!E780),Volcanic!E780,"")</f>
        <v>2.878E-2</v>
      </c>
      <c r="H780" s="18">
        <f t="shared" si="347"/>
        <v>0.34009331413814237</v>
      </c>
      <c r="I780" s="18">
        <f t="shared" si="348"/>
        <v>0.79210000000000003</v>
      </c>
      <c r="J780" s="18">
        <f t="shared" si="349"/>
        <v>8.2828839999999997E-4</v>
      </c>
      <c r="K780" s="18">
        <f t="shared" si="350"/>
        <v>-0.51902592818550264</v>
      </c>
      <c r="L780" s="18">
        <f t="shared" si="351"/>
        <v>1.6783782261998614E-2</v>
      </c>
      <c r="M780" s="18">
        <f t="shared" si="352"/>
        <v>-2.56142E-2</v>
      </c>
      <c r="N780" s="18">
        <f t="shared" si="354"/>
        <v>6.4807704117692483E-3</v>
      </c>
      <c r="O780" s="18">
        <f t="shared" si="357"/>
        <v>2.2207207457743447E-2</v>
      </c>
      <c r="P780" s="18">
        <f t="shared" si="359"/>
        <v>8.4147921447091448E-3</v>
      </c>
      <c r="Q780" s="18">
        <f t="shared" si="361"/>
        <v>3.7380901289340436E-6</v>
      </c>
      <c r="R780" s="18">
        <f t="shared" si="363"/>
        <v>1.7613091641894411E-3</v>
      </c>
      <c r="S780" s="18">
        <f t="shared" si="365"/>
        <v>2.6480505928784526E-4</v>
      </c>
      <c r="T780" s="18">
        <f t="shared" si="367"/>
        <v>4.3840286792283105E-4</v>
      </c>
      <c r="U780" s="18">
        <f t="shared" si="369"/>
        <v>1.4239173375491635E-2</v>
      </c>
      <c r="V780" s="18">
        <f t="shared" si="370"/>
        <v>1.310450123727711E-2</v>
      </c>
      <c r="W780" s="18">
        <f t="shared" ref="W780:W823" si="371">IF(ISNUMBER(D770),D770,"")</f>
        <v>1.5789123619680295E-2</v>
      </c>
      <c r="X780" s="18">
        <f t="shared" si="344"/>
        <v>8.8286485915479865E-4</v>
      </c>
      <c r="Y780" s="18">
        <f t="shared" si="345"/>
        <v>1.7183487092481699E-4</v>
      </c>
      <c r="AA780" s="18">
        <f t="shared" si="355"/>
        <v>3.6108665431286234E-2</v>
      </c>
      <c r="AB780" s="18">
        <f t="shared" si="356"/>
        <v>1.3038357192285655E-3</v>
      </c>
      <c r="AC780" s="18">
        <f t="shared" si="358"/>
        <v>3.1083142567150692E-5</v>
      </c>
      <c r="AD780" s="18">
        <f t="shared" si="360"/>
        <v>3.8081170022447985E-2</v>
      </c>
      <c r="AE780" s="18">
        <f t="shared" si="362"/>
        <v>8.5940874451216308E-3</v>
      </c>
      <c r="AF780" s="18">
        <f t="shared" si="364"/>
        <v>5.3061101202982522E-4</v>
      </c>
      <c r="AG780" s="18">
        <f t="shared" si="366"/>
        <v>1.1414895844834366E-3</v>
      </c>
      <c r="AH780" s="18">
        <f t="shared" si="368"/>
        <v>7.1826902664505867E-4</v>
      </c>
      <c r="AJ780" s="18">
        <f>IF(ISNUMBER(Kernel!M780),Kernel!M780,"")</f>
        <v>1.1047939953424679E-2</v>
      </c>
      <c r="AK780" s="18">
        <f t="shared" si="353"/>
        <v>1.220569772144773E-4</v>
      </c>
      <c r="AN780" s="18">
        <f>IF(ISNUMBER(Volcanic!G780),Volcanic!G780,"")</f>
        <v>1.9570000000000001E-2</v>
      </c>
    </row>
    <row r="781" spans="1:40">
      <c r="A781" s="18" t="str">
        <f>IF(Volcanic!A781="","",Volcanic!A781)</f>
        <v>2/2023</v>
      </c>
      <c r="B781" s="18">
        <f>IF(ISNUMBER(Volcanic!L781),Volcanic!L781,"")</f>
        <v>2023.125</v>
      </c>
      <c r="C781" s="18">
        <f>IF(ISNUMBER(Volcanic!J781),Volcanic!J781,"")</f>
        <v>7.0125663747799716E-2</v>
      </c>
      <c r="D781" s="18">
        <f t="shared" si="346"/>
        <v>4.9176087160694715E-3</v>
      </c>
      <c r="E781" s="18">
        <f>IF(ISNUMBER(Volcanic!C781),Volcanic!C781,"")</f>
        <v>0.58602695427511742</v>
      </c>
      <c r="F781" s="18">
        <f>IF(ISNUMBER(Volcanic!D781),Volcanic!D781,"")</f>
        <v>-0.82</v>
      </c>
      <c r="G781" s="18">
        <f>IF(ISNUMBER(Volcanic!E781),Volcanic!E781,"")</f>
        <v>2.8219999999999999E-2</v>
      </c>
      <c r="H781" s="18">
        <f t="shared" si="347"/>
        <v>0.34342759113697058</v>
      </c>
      <c r="I781" s="18">
        <f t="shared" si="348"/>
        <v>0.67239999999999989</v>
      </c>
      <c r="J781" s="18">
        <f t="shared" si="349"/>
        <v>7.9636839999999991E-4</v>
      </c>
      <c r="K781" s="18">
        <f t="shared" si="350"/>
        <v>-0.48054210250559626</v>
      </c>
      <c r="L781" s="18">
        <f t="shared" si="351"/>
        <v>1.6537680649643813E-2</v>
      </c>
      <c r="M781" s="18">
        <f t="shared" si="352"/>
        <v>-2.3140399999999998E-2</v>
      </c>
      <c r="N781" s="18">
        <f t="shared" si="354"/>
        <v>1.9084142237416746E-5</v>
      </c>
      <c r="O781" s="18">
        <f t="shared" si="357"/>
        <v>6.4807704117692483E-3</v>
      </c>
      <c r="P781" s="18">
        <f t="shared" si="359"/>
        <v>2.2207207457743447E-2</v>
      </c>
      <c r="Q781" s="18">
        <f t="shared" si="361"/>
        <v>8.4147921447091448E-3</v>
      </c>
      <c r="R781" s="18">
        <f t="shared" si="363"/>
        <v>3.7380901289340436E-6</v>
      </c>
      <c r="S781" s="18">
        <f t="shared" si="365"/>
        <v>1.7613091641894411E-3</v>
      </c>
      <c r="T781" s="18">
        <f t="shared" si="367"/>
        <v>2.6480505928784526E-4</v>
      </c>
      <c r="U781" s="18">
        <f t="shared" si="369"/>
        <v>4.3840286792283105E-4</v>
      </c>
      <c r="V781" s="18">
        <f t="shared" si="370"/>
        <v>1.4239173375491635E-2</v>
      </c>
      <c r="W781" s="18">
        <f t="shared" si="371"/>
        <v>1.310450123727711E-2</v>
      </c>
      <c r="X781" s="18">
        <f t="shared" ref="X781:X823" si="372">IF(ISNUMBER(D770),D770,"")</f>
        <v>1.5789123619680295E-2</v>
      </c>
      <c r="Y781" s="18">
        <f t="shared" si="345"/>
        <v>8.8286485915479865E-4</v>
      </c>
      <c r="AA781" s="18">
        <f t="shared" si="355"/>
        <v>7.2322175472175732E-2</v>
      </c>
      <c r="AB781" s="18">
        <f t="shared" si="356"/>
        <v>5.230497065028177E-3</v>
      </c>
      <c r="AC781" s="18">
        <f t="shared" si="358"/>
        <v>1.3038357192285655E-3</v>
      </c>
      <c r="AD781" s="18">
        <f t="shared" si="360"/>
        <v>3.1083142567150692E-5</v>
      </c>
      <c r="AE781" s="18">
        <f t="shared" si="362"/>
        <v>3.8081170022447985E-2</v>
      </c>
      <c r="AF781" s="18">
        <f t="shared" si="364"/>
        <v>8.5940874451216308E-3</v>
      </c>
      <c r="AG781" s="18">
        <f t="shared" si="366"/>
        <v>5.3061101202982522E-4</v>
      </c>
      <c r="AH781" s="18">
        <f t="shared" si="368"/>
        <v>1.1414895844834366E-3</v>
      </c>
      <c r="AJ781" s="18">
        <f>IF(ISNUMBER(Kernel!M781),Kernel!M781,"")</f>
        <v>8.4588703526873865E-2</v>
      </c>
      <c r="AK781" s="18">
        <f t="shared" si="353"/>
        <v>7.1552487643573633E-3</v>
      </c>
      <c r="AN781" s="18">
        <f>IF(ISNUMBER(Volcanic!G781),Volcanic!G781,"")</f>
        <v>1.916E-2</v>
      </c>
    </row>
    <row r="782" spans="1:40">
      <c r="A782" s="18" t="str">
        <f>IF(Volcanic!A782="","",Volcanic!A782)</f>
        <v>3/2023</v>
      </c>
      <c r="B782" s="18">
        <f>IF(ISNUMBER(Volcanic!L782),Volcanic!L782,"")</f>
        <v>2023.2083333333333</v>
      </c>
      <c r="C782" s="18">
        <f>IF(ISNUMBER(Volcanic!J782),Volcanic!J782,"")</f>
        <v>0.30748058093646158</v>
      </c>
      <c r="D782" s="18">
        <f t="shared" si="346"/>
        <v>9.4544307653023893E-2</v>
      </c>
      <c r="E782" s="18">
        <f>IF(ISNUMBER(Volcanic!C782),Volcanic!C782,"")</f>
        <v>0.58835913742367907</v>
      </c>
      <c r="F782" s="18">
        <f>IF(ISNUMBER(Volcanic!D782),Volcanic!D782,"")</f>
        <v>-0.7</v>
      </c>
      <c r="G782" s="18">
        <f>IF(ISNUMBER(Volcanic!E782),Volcanic!E782,"")</f>
        <v>2.588E-2</v>
      </c>
      <c r="H782" s="18">
        <f t="shared" si="347"/>
        <v>0.34616647458993566</v>
      </c>
      <c r="I782" s="18">
        <f t="shared" si="348"/>
        <v>0.48999999999999994</v>
      </c>
      <c r="J782" s="18">
        <f t="shared" si="349"/>
        <v>6.6977439999999996E-4</v>
      </c>
      <c r="K782" s="18">
        <f t="shared" si="350"/>
        <v>-0.41185139619657535</v>
      </c>
      <c r="L782" s="18">
        <f t="shared" si="351"/>
        <v>1.5226734476524815E-2</v>
      </c>
      <c r="M782" s="18">
        <f t="shared" si="352"/>
        <v>-1.8116E-2</v>
      </c>
      <c r="N782" s="18">
        <f t="shared" si="354"/>
        <v>4.9176087160694715E-3</v>
      </c>
      <c r="O782" s="18">
        <f t="shared" si="357"/>
        <v>1.9084142237416746E-5</v>
      </c>
      <c r="P782" s="18">
        <f t="shared" si="359"/>
        <v>6.4807704117692483E-3</v>
      </c>
      <c r="Q782" s="18">
        <f t="shared" si="361"/>
        <v>2.2207207457743447E-2</v>
      </c>
      <c r="R782" s="18">
        <f t="shared" si="363"/>
        <v>8.4147921447091448E-3</v>
      </c>
      <c r="S782" s="18">
        <f t="shared" si="365"/>
        <v>3.7380901289340436E-6</v>
      </c>
      <c r="T782" s="18">
        <f t="shared" si="367"/>
        <v>1.7613091641894411E-3</v>
      </c>
      <c r="U782" s="18">
        <f t="shared" si="369"/>
        <v>2.6480505928784526E-4</v>
      </c>
      <c r="V782" s="18">
        <f t="shared" si="370"/>
        <v>4.3840286792283105E-4</v>
      </c>
      <c r="W782" s="18">
        <f t="shared" si="371"/>
        <v>1.4239173375491635E-2</v>
      </c>
      <c r="X782" s="18">
        <f t="shared" si="372"/>
        <v>1.310450123727711E-2</v>
      </c>
      <c r="Y782" s="18">
        <f t="shared" ref="Y782:Y823" si="373">IF(ISNUMBER(D770),D770,"")</f>
        <v>1.5789123619680295E-2</v>
      </c>
      <c r="AA782" s="18">
        <f t="shared" si="355"/>
        <v>0.2722212401588977</v>
      </c>
      <c r="AB782" s="18">
        <f t="shared" si="356"/>
        <v>7.4104403593648255E-2</v>
      </c>
      <c r="AC782" s="18">
        <f t="shared" si="358"/>
        <v>5.230497065028177E-3</v>
      </c>
      <c r="AD782" s="18">
        <f t="shared" si="360"/>
        <v>1.3038357192285655E-3</v>
      </c>
      <c r="AE782" s="18">
        <f t="shared" si="362"/>
        <v>3.1083142567150692E-5</v>
      </c>
      <c r="AF782" s="18">
        <f t="shared" si="364"/>
        <v>3.8081170022447985E-2</v>
      </c>
      <c r="AG782" s="18">
        <f t="shared" si="366"/>
        <v>8.5940874451216308E-3</v>
      </c>
      <c r="AH782" s="18">
        <f t="shared" si="368"/>
        <v>5.3061101202982522E-4</v>
      </c>
      <c r="AJ782" s="18">
        <f>IF(ISNUMBER(Kernel!M782),Kernel!M782,"")</f>
        <v>0.32604713200597679</v>
      </c>
      <c r="AK782" s="18">
        <f t="shared" si="353"/>
        <v>0.10630673228932286</v>
      </c>
      <c r="AN782" s="18">
        <f>IF(ISNUMBER(Volcanic!G782),Volcanic!G782,"")</f>
        <v>1.8919999999999999E-2</v>
      </c>
    </row>
    <row r="783" spans="1:40">
      <c r="A783" s="18" t="str">
        <f>IF(Volcanic!A783="","",Volcanic!A783)</f>
        <v>4/2023</v>
      </c>
      <c r="B783" s="18">
        <f>IF(ISNUMBER(Volcanic!L783),Volcanic!L783,"")</f>
        <v>2023.2916666666667</v>
      </c>
      <c r="C783" s="18">
        <f>IF(ISNUMBER(Volcanic!J783),Volcanic!J783,"")</f>
        <v>2.8110291851961788E-2</v>
      </c>
      <c r="D783" s="18">
        <f t="shared" si="346"/>
        <v>7.9018850800246935E-4</v>
      </c>
      <c r="E783" s="18">
        <f>IF(ISNUMBER(Volcanic!C783),Volcanic!C783,"")</f>
        <v>0.59642406189270203</v>
      </c>
      <c r="F783" s="18">
        <f>IF(ISNUMBER(Volcanic!D783),Volcanic!D783,"")</f>
        <v>-0.55000000000000004</v>
      </c>
      <c r="G783" s="18">
        <f>IF(ISNUMBER(Volcanic!E783),Volcanic!E783,"")</f>
        <v>2.4309999999999998E-2</v>
      </c>
      <c r="H783" s="18">
        <f t="shared" si="347"/>
        <v>0.35572166160458968</v>
      </c>
      <c r="I783" s="18">
        <f t="shared" si="348"/>
        <v>0.30250000000000005</v>
      </c>
      <c r="J783" s="18">
        <f t="shared" si="349"/>
        <v>5.9097609999999993E-4</v>
      </c>
      <c r="K783" s="18">
        <f t="shared" si="350"/>
        <v>-0.32803323404098617</v>
      </c>
      <c r="L783" s="18">
        <f t="shared" si="351"/>
        <v>1.4499068944611586E-2</v>
      </c>
      <c r="M783" s="18">
        <f t="shared" si="352"/>
        <v>-1.33705E-2</v>
      </c>
      <c r="N783" s="18">
        <f t="shared" si="354"/>
        <v>9.4544307653023893E-2</v>
      </c>
      <c r="O783" s="18">
        <f t="shared" si="357"/>
        <v>4.9176087160694715E-3</v>
      </c>
      <c r="P783" s="18">
        <f t="shared" si="359"/>
        <v>1.9084142237416746E-5</v>
      </c>
      <c r="Q783" s="18">
        <f t="shared" si="361"/>
        <v>6.4807704117692483E-3</v>
      </c>
      <c r="R783" s="18">
        <f t="shared" si="363"/>
        <v>2.2207207457743447E-2</v>
      </c>
      <c r="S783" s="18">
        <f t="shared" si="365"/>
        <v>8.4147921447091448E-3</v>
      </c>
      <c r="T783" s="18">
        <f t="shared" si="367"/>
        <v>3.7380901289340436E-6</v>
      </c>
      <c r="U783" s="18">
        <f t="shared" si="369"/>
        <v>1.7613091641894411E-3</v>
      </c>
      <c r="V783" s="18">
        <f t="shared" si="370"/>
        <v>2.6480505928784526E-4</v>
      </c>
      <c r="W783" s="18">
        <f t="shared" si="371"/>
        <v>4.3840286792283105E-4</v>
      </c>
      <c r="X783" s="18">
        <f t="shared" si="372"/>
        <v>1.4239173375491635E-2</v>
      </c>
      <c r="Y783" s="18">
        <f t="shared" si="373"/>
        <v>1.310450123727711E-2</v>
      </c>
      <c r="AA783" s="18">
        <f t="shared" si="355"/>
        <v>-0.12649163284015452</v>
      </c>
      <c r="AB783" s="18">
        <f t="shared" si="356"/>
        <v>1.6000133178568458E-2</v>
      </c>
      <c r="AC783" s="18">
        <f t="shared" si="358"/>
        <v>7.4104403593648255E-2</v>
      </c>
      <c r="AD783" s="18">
        <f t="shared" si="360"/>
        <v>5.230497065028177E-3</v>
      </c>
      <c r="AE783" s="18">
        <f t="shared" si="362"/>
        <v>1.3038357192285655E-3</v>
      </c>
      <c r="AF783" s="18">
        <f t="shared" si="364"/>
        <v>3.1083142567150692E-5</v>
      </c>
      <c r="AG783" s="18">
        <f t="shared" si="366"/>
        <v>3.8081170022447985E-2</v>
      </c>
      <c r="AH783" s="18">
        <f t="shared" si="368"/>
        <v>8.5940874451216308E-3</v>
      </c>
      <c r="AJ783" s="18">
        <f>IF(ISNUMBER(Kernel!M783),Kernel!M783,"")</f>
        <v>4.7296936933295619E-2</v>
      </c>
      <c r="AK783" s="18">
        <f t="shared" si="353"/>
        <v>2.2370002432721432E-3</v>
      </c>
      <c r="AN783" s="18">
        <f>IF(ISNUMBER(Volcanic!G783),Volcanic!G783,"")</f>
        <v>1.8620000000000001E-2</v>
      </c>
    </row>
    <row r="784" spans="1:40">
      <c r="A784" s="18" t="str">
        <f>IF(Volcanic!A784="","",Volcanic!A784)</f>
        <v>5/2023</v>
      </c>
      <c r="B784" s="18">
        <f>IF(ISNUMBER(Volcanic!L784),Volcanic!L784,"")</f>
        <v>2023.375</v>
      </c>
      <c r="C784" s="18">
        <f>IF(ISNUMBER(Volcanic!J784),Volcanic!J784,"")</f>
        <v>-5.1355912390291247E-2</v>
      </c>
      <c r="D784" s="18">
        <f t="shared" si="346"/>
        <v>2.63742973743927E-3</v>
      </c>
      <c r="E784" s="18">
        <f>IF(ISNUMBER(Volcanic!C784),Volcanic!C784,"")</f>
        <v>0.59863743761823274</v>
      </c>
      <c r="F784" s="18">
        <f>IF(ISNUMBER(Volcanic!D784),Volcanic!D784,"")</f>
        <v>-0.33</v>
      </c>
      <c r="G784" s="18">
        <f>IF(ISNUMBER(Volcanic!E784),Volcanic!E784,"")</f>
        <v>2.2939999999999999E-2</v>
      </c>
      <c r="H784" s="18">
        <f t="shared" si="347"/>
        <v>0.35836678171812347</v>
      </c>
      <c r="I784" s="18">
        <f t="shared" si="348"/>
        <v>0.10890000000000001</v>
      </c>
      <c r="J784" s="18">
        <f t="shared" si="349"/>
        <v>5.262435999999999E-4</v>
      </c>
      <c r="K784" s="18">
        <f t="shared" si="350"/>
        <v>-0.1975503544140168</v>
      </c>
      <c r="L784" s="18">
        <f t="shared" si="351"/>
        <v>1.3732742818962258E-2</v>
      </c>
      <c r="M784" s="18">
        <f t="shared" si="352"/>
        <v>-7.5702E-3</v>
      </c>
      <c r="N784" s="18">
        <f t="shared" si="354"/>
        <v>7.9018850800246935E-4</v>
      </c>
      <c r="O784" s="18">
        <f t="shared" si="357"/>
        <v>9.4544307653023893E-2</v>
      </c>
      <c r="P784" s="18">
        <f t="shared" si="359"/>
        <v>4.9176087160694715E-3</v>
      </c>
      <c r="Q784" s="18">
        <f t="shared" si="361"/>
        <v>1.9084142237416746E-5</v>
      </c>
      <c r="R784" s="18">
        <f t="shared" si="363"/>
        <v>6.4807704117692483E-3</v>
      </c>
      <c r="S784" s="18">
        <f t="shared" si="365"/>
        <v>2.2207207457743447E-2</v>
      </c>
      <c r="T784" s="18">
        <f t="shared" si="367"/>
        <v>8.4147921447091448E-3</v>
      </c>
      <c r="U784" s="18">
        <f t="shared" si="369"/>
        <v>3.7380901289340436E-6</v>
      </c>
      <c r="V784" s="18">
        <f t="shared" si="370"/>
        <v>1.7613091641894411E-3</v>
      </c>
      <c r="W784" s="18">
        <f t="shared" si="371"/>
        <v>2.6480505928784526E-4</v>
      </c>
      <c r="X784" s="18">
        <f t="shared" si="372"/>
        <v>4.3840286792283105E-4</v>
      </c>
      <c r="Y784" s="18">
        <f t="shared" si="373"/>
        <v>1.4239173375491635E-2</v>
      </c>
      <c r="AA784" s="18">
        <f t="shared" si="355"/>
        <v>-6.5489830085953646E-2</v>
      </c>
      <c r="AB784" s="18">
        <f t="shared" si="356"/>
        <v>4.2889178446870796E-3</v>
      </c>
      <c r="AC784" s="18">
        <f t="shared" si="358"/>
        <v>1.6000133178568458E-2</v>
      </c>
      <c r="AD784" s="18">
        <f t="shared" si="360"/>
        <v>7.4104403593648255E-2</v>
      </c>
      <c r="AE784" s="18">
        <f t="shared" si="362"/>
        <v>5.230497065028177E-3</v>
      </c>
      <c r="AF784" s="18">
        <f t="shared" si="364"/>
        <v>1.3038357192285655E-3</v>
      </c>
      <c r="AG784" s="18">
        <f t="shared" si="366"/>
        <v>3.1083142567150692E-5</v>
      </c>
      <c r="AH784" s="18">
        <f t="shared" si="368"/>
        <v>3.8081170022447985E-2</v>
      </c>
      <c r="AJ784" s="18">
        <f>IF(ISNUMBER(Kernel!M784),Kernel!M784,"")</f>
        <v>-2.9164478004899519E-2</v>
      </c>
      <c r="AK784" s="18">
        <f t="shared" si="353"/>
        <v>8.5056677729826783E-4</v>
      </c>
      <c r="AN784" s="18">
        <f>IF(ISNUMBER(Volcanic!G784),Volcanic!G784,"")</f>
        <v>1.7600000000000001E-2</v>
      </c>
    </row>
    <row r="785" spans="1:40">
      <c r="A785" s="18" t="str">
        <f>IF(Volcanic!A785="","",Volcanic!A785)</f>
        <v>6/2023</v>
      </c>
      <c r="B785" s="18">
        <f>IF(ISNUMBER(Volcanic!L785),Volcanic!L785,"")</f>
        <v>2023.4583333333333</v>
      </c>
      <c r="C785" s="18">
        <f>IF(ISNUMBER(Volcanic!J785),Volcanic!J785,"")</f>
        <v>7.8515569071649027E-2</v>
      </c>
      <c r="D785" s="18">
        <f t="shared" si="346"/>
        <v>6.164694586644889E-3</v>
      </c>
      <c r="E785" s="18">
        <f>IF(ISNUMBER(Volcanic!C785),Volcanic!C785,"")</f>
        <v>0.59754820008752652</v>
      </c>
      <c r="F785" s="18">
        <f>IF(ISNUMBER(Volcanic!D785),Volcanic!D785,"")</f>
        <v>-0.11</v>
      </c>
      <c r="G785" s="18">
        <f>IF(ISNUMBER(Volcanic!E785),Volcanic!E785,"")</f>
        <v>2.172E-2</v>
      </c>
      <c r="H785" s="18">
        <f t="shared" si="347"/>
        <v>0.35706385142784264</v>
      </c>
      <c r="I785" s="18">
        <f t="shared" si="348"/>
        <v>1.21E-2</v>
      </c>
      <c r="J785" s="18">
        <f t="shared" si="349"/>
        <v>4.7175839999999999E-4</v>
      </c>
      <c r="K785" s="18">
        <f t="shared" si="350"/>
        <v>-6.5730302009627914E-2</v>
      </c>
      <c r="L785" s="18">
        <f t="shared" si="351"/>
        <v>1.2978746905901076E-2</v>
      </c>
      <c r="M785" s="18">
        <f t="shared" si="352"/>
        <v>-2.3892000000000002E-3</v>
      </c>
      <c r="N785" s="18">
        <f t="shared" si="354"/>
        <v>2.63742973743927E-3</v>
      </c>
      <c r="O785" s="18">
        <f t="shared" si="357"/>
        <v>7.9018850800246935E-4</v>
      </c>
      <c r="P785" s="18">
        <f t="shared" si="359"/>
        <v>9.4544307653023893E-2</v>
      </c>
      <c r="Q785" s="18">
        <f t="shared" si="361"/>
        <v>4.9176087160694715E-3</v>
      </c>
      <c r="R785" s="18">
        <f t="shared" si="363"/>
        <v>1.9084142237416746E-5</v>
      </c>
      <c r="S785" s="18">
        <f t="shared" si="365"/>
        <v>6.4807704117692483E-3</v>
      </c>
      <c r="T785" s="18">
        <f t="shared" si="367"/>
        <v>2.2207207457743447E-2</v>
      </c>
      <c r="U785" s="18">
        <f t="shared" si="369"/>
        <v>8.4147921447091448E-3</v>
      </c>
      <c r="V785" s="18">
        <f t="shared" si="370"/>
        <v>3.7380901289340436E-6</v>
      </c>
      <c r="W785" s="18">
        <f t="shared" si="371"/>
        <v>1.7613091641894411E-3</v>
      </c>
      <c r="X785" s="18">
        <f t="shared" si="372"/>
        <v>2.6480505928784526E-4</v>
      </c>
      <c r="Y785" s="18">
        <f t="shared" si="373"/>
        <v>4.3840286792283105E-4</v>
      </c>
      <c r="AA785" s="18">
        <f t="shared" si="355"/>
        <v>0.10433743683213505</v>
      </c>
      <c r="AB785" s="18">
        <f t="shared" si="356"/>
        <v>1.088630072469977E-2</v>
      </c>
      <c r="AC785" s="18">
        <f t="shared" si="358"/>
        <v>4.2889178446870796E-3</v>
      </c>
      <c r="AD785" s="18">
        <f t="shared" si="360"/>
        <v>1.6000133178568458E-2</v>
      </c>
      <c r="AE785" s="18">
        <f t="shared" si="362"/>
        <v>7.4104403593648255E-2</v>
      </c>
      <c r="AF785" s="18">
        <f t="shared" si="364"/>
        <v>5.230497065028177E-3</v>
      </c>
      <c r="AG785" s="18">
        <f t="shared" si="366"/>
        <v>1.3038357192285655E-3</v>
      </c>
      <c r="AH785" s="18">
        <f t="shared" si="368"/>
        <v>3.1083142567150692E-5</v>
      </c>
      <c r="AJ785" s="18">
        <f>IF(ISNUMBER(Kernel!M785),Kernel!M785,"")</f>
        <v>0.10019554331301839</v>
      </c>
      <c r="AK785" s="18">
        <f t="shared" si="353"/>
        <v>1.0039146899790944E-2</v>
      </c>
      <c r="AN785" s="18">
        <f>IF(ISNUMBER(Volcanic!G785),Volcanic!G785,"")</f>
        <v>1.6219999999999998E-2</v>
      </c>
    </row>
    <row r="786" spans="1:40">
      <c r="A786" s="18" t="str">
        <f>IF(Volcanic!A786="","",Volcanic!A786)</f>
        <v>7/2023</v>
      </c>
      <c r="B786" s="18">
        <f>IF(ISNUMBER(Volcanic!L786),Volcanic!L786,"")</f>
        <v>2023.5416666666667</v>
      </c>
      <c r="C786" s="18">
        <f>IF(ISNUMBER(Volcanic!J786),Volcanic!J786,"")</f>
        <v>0.16510174545566803</v>
      </c>
      <c r="D786" s="18">
        <f t="shared" si="346"/>
        <v>2.7258586352508198E-2</v>
      </c>
      <c r="E786" s="18">
        <f>IF(ISNUMBER(Volcanic!C786),Volcanic!C786,"")</f>
        <v>0.59123487420164555</v>
      </c>
      <c r="F786" s="18">
        <f>IF(ISNUMBER(Volcanic!D786),Volcanic!D786,"")</f>
        <v>0.19</v>
      </c>
      <c r="G786" s="18">
        <f>IF(ISNUMBER(Volcanic!E786),Volcanic!E786,"")</f>
        <v>2.0449999999999999E-2</v>
      </c>
      <c r="H786" s="18">
        <f t="shared" si="347"/>
        <v>0.34955867647223565</v>
      </c>
      <c r="I786" s="18">
        <f t="shared" si="348"/>
        <v>3.61E-2</v>
      </c>
      <c r="J786" s="18">
        <f t="shared" si="349"/>
        <v>4.1820249999999996E-4</v>
      </c>
      <c r="K786" s="18">
        <f t="shared" si="350"/>
        <v>0.11233462609831266</v>
      </c>
      <c r="L786" s="18">
        <f t="shared" si="351"/>
        <v>1.2090753177423651E-2</v>
      </c>
      <c r="M786" s="18">
        <f t="shared" si="352"/>
        <v>3.8855000000000001E-3</v>
      </c>
      <c r="N786" s="18">
        <f t="shared" si="354"/>
        <v>6.164694586644889E-3</v>
      </c>
      <c r="O786" s="18">
        <f t="shared" si="357"/>
        <v>2.63742973743927E-3</v>
      </c>
      <c r="P786" s="18">
        <f t="shared" si="359"/>
        <v>7.9018850800246935E-4</v>
      </c>
      <c r="Q786" s="18">
        <f t="shared" si="361"/>
        <v>9.4544307653023893E-2</v>
      </c>
      <c r="R786" s="18">
        <f t="shared" si="363"/>
        <v>4.9176087160694715E-3</v>
      </c>
      <c r="S786" s="18">
        <f t="shared" si="365"/>
        <v>1.9084142237416746E-5</v>
      </c>
      <c r="T786" s="18">
        <f t="shared" si="367"/>
        <v>6.4807704117692483E-3</v>
      </c>
      <c r="U786" s="18">
        <f t="shared" si="369"/>
        <v>2.2207207457743447E-2</v>
      </c>
      <c r="V786" s="18">
        <f t="shared" si="370"/>
        <v>8.4147921447091448E-3</v>
      </c>
      <c r="W786" s="18">
        <f t="shared" si="371"/>
        <v>3.7380901289340436E-6</v>
      </c>
      <c r="X786" s="18">
        <f t="shared" si="372"/>
        <v>1.7613091641894411E-3</v>
      </c>
      <c r="Y786" s="18">
        <f t="shared" si="373"/>
        <v>2.6480505928784526E-4</v>
      </c>
      <c r="AA786" s="18">
        <f t="shared" si="355"/>
        <v>0.12562394149222977</v>
      </c>
      <c r="AB786" s="18">
        <f t="shared" si="356"/>
        <v>1.578137467604317E-2</v>
      </c>
      <c r="AC786" s="18">
        <f t="shared" si="358"/>
        <v>1.088630072469977E-2</v>
      </c>
      <c r="AD786" s="18">
        <f t="shared" si="360"/>
        <v>4.2889178446870796E-3</v>
      </c>
      <c r="AE786" s="18">
        <f t="shared" si="362"/>
        <v>1.6000133178568458E-2</v>
      </c>
      <c r="AF786" s="18">
        <f t="shared" si="364"/>
        <v>7.4104403593648255E-2</v>
      </c>
      <c r="AG786" s="18">
        <f t="shared" si="366"/>
        <v>5.230497065028177E-3</v>
      </c>
      <c r="AH786" s="18">
        <f t="shared" si="368"/>
        <v>1.3038357192285655E-3</v>
      </c>
      <c r="AJ786" s="18">
        <f>IF(ISNUMBER(Kernel!M786),Kernel!M786,"")</f>
        <v>0.19101429513720936</v>
      </c>
      <c r="AK786" s="18">
        <f t="shared" si="353"/>
        <v>3.6486460946764922E-2</v>
      </c>
      <c r="AN786" s="18">
        <f>IF(ISNUMBER(Volcanic!G786),Volcanic!G786,"")</f>
        <v>1.4800000000000001E-2</v>
      </c>
    </row>
    <row r="787" spans="1:40">
      <c r="A787" s="18" t="str">
        <f>IF(Volcanic!A787="","",Volcanic!A787)</f>
        <v>8/2023</v>
      </c>
      <c r="B787" s="18">
        <f>IF(ISNUMBER(Volcanic!L787),Volcanic!L787,"")</f>
        <v>2023.625</v>
      </c>
      <c r="C787" s="18">
        <f>IF(ISNUMBER(Volcanic!J787),Volcanic!J787,"")</f>
        <v>0.15821733392272153</v>
      </c>
      <c r="D787" s="18">
        <f t="shared" si="346"/>
        <v>2.5032724753613969E-2</v>
      </c>
      <c r="E787" s="18">
        <f>IF(ISNUMBER(Volcanic!C787),Volcanic!C787,"")</f>
        <v>0.58386288554529309</v>
      </c>
      <c r="F787" s="18">
        <f>IF(ISNUMBER(Volcanic!D787),Volcanic!D787,"")</f>
        <v>0.46</v>
      </c>
      <c r="G787" s="18">
        <f>IF(ISNUMBER(Volcanic!E787),Volcanic!E787,"")</f>
        <v>1.9570000000000001E-2</v>
      </c>
      <c r="H787" s="18">
        <f t="shared" si="347"/>
        <v>0.34089586911727604</v>
      </c>
      <c r="I787" s="18">
        <f t="shared" si="348"/>
        <v>0.21160000000000001</v>
      </c>
      <c r="J787" s="18">
        <f t="shared" si="349"/>
        <v>3.8298490000000004E-4</v>
      </c>
      <c r="K787" s="18">
        <f t="shared" si="350"/>
        <v>0.26857692735083483</v>
      </c>
      <c r="L787" s="18">
        <f t="shared" si="351"/>
        <v>1.1426196670121387E-2</v>
      </c>
      <c r="M787" s="18">
        <f t="shared" si="352"/>
        <v>9.0022000000000001E-3</v>
      </c>
      <c r="N787" s="18">
        <f t="shared" si="354"/>
        <v>2.7258586352508198E-2</v>
      </c>
      <c r="O787" s="18">
        <f t="shared" si="357"/>
        <v>6.164694586644889E-3</v>
      </c>
      <c r="P787" s="18">
        <f t="shared" si="359"/>
        <v>2.63742973743927E-3</v>
      </c>
      <c r="Q787" s="18">
        <f t="shared" si="361"/>
        <v>7.9018850800246935E-4</v>
      </c>
      <c r="R787" s="18">
        <f t="shared" si="363"/>
        <v>9.4544307653023893E-2</v>
      </c>
      <c r="S787" s="18">
        <f t="shared" si="365"/>
        <v>4.9176087160694715E-3</v>
      </c>
      <c r="T787" s="18">
        <f t="shared" si="367"/>
        <v>1.9084142237416746E-5</v>
      </c>
      <c r="U787" s="18">
        <f t="shared" si="369"/>
        <v>6.4807704117692483E-3</v>
      </c>
      <c r="V787" s="18">
        <f t="shared" si="370"/>
        <v>2.2207207457743447E-2</v>
      </c>
      <c r="W787" s="18">
        <f t="shared" si="371"/>
        <v>8.4147921447091448E-3</v>
      </c>
      <c r="X787" s="18">
        <f t="shared" si="372"/>
        <v>3.7380901289340436E-6</v>
      </c>
      <c r="Y787" s="18">
        <f t="shared" si="373"/>
        <v>1.7613091641894411E-3</v>
      </c>
      <c r="AA787" s="18">
        <f t="shared" si="355"/>
        <v>7.5203806565204617E-2</v>
      </c>
      <c r="AB787" s="18">
        <f t="shared" si="356"/>
        <v>5.6556125218967133E-3</v>
      </c>
      <c r="AC787" s="18">
        <f t="shared" si="358"/>
        <v>1.578137467604317E-2</v>
      </c>
      <c r="AD787" s="18">
        <f t="shared" si="360"/>
        <v>1.088630072469977E-2</v>
      </c>
      <c r="AE787" s="18">
        <f t="shared" si="362"/>
        <v>4.2889178446870796E-3</v>
      </c>
      <c r="AF787" s="18">
        <f t="shared" si="364"/>
        <v>1.6000133178568458E-2</v>
      </c>
      <c r="AG787" s="18">
        <f t="shared" si="366"/>
        <v>7.4104403593648255E-2</v>
      </c>
      <c r="AH787" s="18">
        <f t="shared" si="368"/>
        <v>5.230497065028177E-3</v>
      </c>
      <c r="AJ787" s="18">
        <f>IF(ISNUMBER(Kernel!M787),Kernel!M787,"")</f>
        <v>0.18290631987492056</v>
      </c>
      <c r="AK787" s="18">
        <f t="shared" si="353"/>
        <v>3.3454721850186761E-2</v>
      </c>
      <c r="AN787" s="18">
        <f>IF(ISNUMBER(Volcanic!G787),Volcanic!G787,"")</f>
        <v>1.3599999999999999E-2</v>
      </c>
    </row>
    <row r="788" spans="1:40">
      <c r="A788" s="18" t="str">
        <f>IF(Volcanic!A788="","",Volcanic!A788)</f>
        <v>9/2023</v>
      </c>
      <c r="B788" s="18">
        <f>IF(ISNUMBER(Volcanic!L788),Volcanic!L788,"")</f>
        <v>2023.7083333333333</v>
      </c>
      <c r="C788" s="18">
        <f>IF(ISNUMBER(Volcanic!J788),Volcanic!J788,"")</f>
        <v>0.43333958452891563</v>
      </c>
      <c r="D788" s="18">
        <f t="shared" si="346"/>
        <v>0.18778319551969322</v>
      </c>
      <c r="E788" s="18">
        <f>IF(ISNUMBER(Volcanic!C788),Volcanic!C788,"")</f>
        <v>0.57980079560537734</v>
      </c>
      <c r="F788" s="18">
        <f>IF(ISNUMBER(Volcanic!D788),Volcanic!D788,"")</f>
        <v>0.73</v>
      </c>
      <c r="G788" s="18">
        <f>IF(ISNUMBER(Volcanic!E788),Volcanic!E788,"")</f>
        <v>1.916E-2</v>
      </c>
      <c r="H788" s="18">
        <f t="shared" si="347"/>
        <v>0.33616896258462853</v>
      </c>
      <c r="I788" s="18">
        <f t="shared" si="348"/>
        <v>0.53289999999999993</v>
      </c>
      <c r="J788" s="18">
        <f t="shared" si="349"/>
        <v>3.6710559999999999E-4</v>
      </c>
      <c r="K788" s="18">
        <f t="shared" si="350"/>
        <v>0.42325458079192546</v>
      </c>
      <c r="L788" s="18">
        <f t="shared" si="351"/>
        <v>1.1108983243799029E-2</v>
      </c>
      <c r="M788" s="18">
        <f t="shared" si="352"/>
        <v>1.3986799999999999E-2</v>
      </c>
      <c r="N788" s="18">
        <f t="shared" si="354"/>
        <v>2.5032724753613969E-2</v>
      </c>
      <c r="O788" s="18">
        <f t="shared" si="357"/>
        <v>2.7258586352508198E-2</v>
      </c>
      <c r="P788" s="18">
        <f t="shared" si="359"/>
        <v>6.164694586644889E-3</v>
      </c>
      <c r="Q788" s="18">
        <f t="shared" si="361"/>
        <v>2.63742973743927E-3</v>
      </c>
      <c r="R788" s="18">
        <f t="shared" si="363"/>
        <v>7.9018850800246935E-4</v>
      </c>
      <c r="S788" s="18">
        <f t="shared" si="365"/>
        <v>9.4544307653023893E-2</v>
      </c>
      <c r="T788" s="18">
        <f t="shared" si="367"/>
        <v>4.9176087160694715E-3</v>
      </c>
      <c r="U788" s="18">
        <f t="shared" si="369"/>
        <v>1.9084142237416746E-5</v>
      </c>
      <c r="V788" s="18">
        <f t="shared" si="370"/>
        <v>6.4807704117692483E-3</v>
      </c>
      <c r="W788" s="18">
        <f t="shared" si="371"/>
        <v>2.2207207457743447E-2</v>
      </c>
      <c r="X788" s="18">
        <f t="shared" si="372"/>
        <v>8.4147921447091448E-3</v>
      </c>
      <c r="Y788" s="18">
        <f t="shared" si="373"/>
        <v>3.7380901289340436E-6</v>
      </c>
      <c r="AA788" s="18">
        <f t="shared" si="355"/>
        <v>0.35378755470768075</v>
      </c>
      <c r="AB788" s="18">
        <f t="shared" si="356"/>
        <v>0.12516563386604021</v>
      </c>
      <c r="AC788" s="18">
        <f t="shared" si="358"/>
        <v>5.6556125218967133E-3</v>
      </c>
      <c r="AD788" s="18">
        <f t="shared" si="360"/>
        <v>1.578137467604317E-2</v>
      </c>
      <c r="AE788" s="18">
        <f t="shared" si="362"/>
        <v>1.088630072469977E-2</v>
      </c>
      <c r="AF788" s="18">
        <f t="shared" si="364"/>
        <v>4.2889178446870796E-3</v>
      </c>
      <c r="AG788" s="18">
        <f t="shared" si="366"/>
        <v>1.6000133178568458E-2</v>
      </c>
      <c r="AH788" s="18">
        <f t="shared" si="368"/>
        <v>7.4104403593648255E-2</v>
      </c>
      <c r="AJ788" s="18">
        <f>IF(ISNUMBER(Kernel!M788),Kernel!M788,"")</f>
        <v>0.45461638562196649</v>
      </c>
      <c r="AK788" s="18">
        <f t="shared" si="353"/>
        <v>0.20667605807598055</v>
      </c>
      <c r="AN788" s="18">
        <f>IF(ISNUMBER(Volcanic!G788),Volcanic!G788,"")</f>
        <v>1.3509999999999999E-2</v>
      </c>
    </row>
    <row r="789" spans="1:40">
      <c r="A789" s="18" t="str">
        <f>IF(Volcanic!A789="","",Volcanic!A789)</f>
        <v>10/2023</v>
      </c>
      <c r="B789" s="18">
        <f>IF(ISNUMBER(Volcanic!L789),Volcanic!L789,"")</f>
        <v>2023.7916666666667</v>
      </c>
      <c r="C789" s="18">
        <f>IF(ISNUMBER(Volcanic!J789),Volcanic!J789,"")</f>
        <v>0.27474927383451764</v>
      </c>
      <c r="D789" s="18">
        <f t="shared" si="346"/>
        <v>7.5487163472594765E-2</v>
      </c>
      <c r="E789" s="18">
        <f>IF(ISNUMBER(Volcanic!C789),Volcanic!C789,"")</f>
        <v>0.58090351006474894</v>
      </c>
      <c r="F789" s="18">
        <f>IF(ISNUMBER(Volcanic!D789),Volcanic!D789,"")</f>
        <v>1</v>
      </c>
      <c r="G789" s="18">
        <f>IF(ISNUMBER(Volcanic!E789),Volcanic!E789,"")</f>
        <v>1.8919999999999999E-2</v>
      </c>
      <c r="H789" s="18">
        <f t="shared" si="347"/>
        <v>0.3374488880055459</v>
      </c>
      <c r="I789" s="18">
        <f t="shared" si="348"/>
        <v>1</v>
      </c>
      <c r="J789" s="18">
        <f t="shared" si="349"/>
        <v>3.5796639999999995E-4</v>
      </c>
      <c r="K789" s="18">
        <f t="shared" si="350"/>
        <v>0.58090351006474894</v>
      </c>
      <c r="L789" s="18">
        <f t="shared" si="351"/>
        <v>1.099069441042505E-2</v>
      </c>
      <c r="M789" s="18">
        <f t="shared" si="352"/>
        <v>1.8919999999999999E-2</v>
      </c>
      <c r="N789" s="18">
        <f t="shared" si="354"/>
        <v>0.18778319551969322</v>
      </c>
      <c r="O789" s="18">
        <f t="shared" si="357"/>
        <v>2.5032724753613969E-2</v>
      </c>
      <c r="P789" s="18">
        <f t="shared" si="359"/>
        <v>2.7258586352508198E-2</v>
      </c>
      <c r="Q789" s="18">
        <f t="shared" si="361"/>
        <v>6.164694586644889E-3</v>
      </c>
      <c r="R789" s="18">
        <f t="shared" si="363"/>
        <v>2.63742973743927E-3</v>
      </c>
      <c r="S789" s="18">
        <f t="shared" si="365"/>
        <v>7.9018850800246935E-4</v>
      </c>
      <c r="T789" s="18">
        <f t="shared" si="367"/>
        <v>9.4544307653023893E-2</v>
      </c>
      <c r="U789" s="18">
        <f t="shared" si="369"/>
        <v>4.9176087160694715E-3</v>
      </c>
      <c r="V789" s="18">
        <f t="shared" si="370"/>
        <v>1.9084142237416746E-5</v>
      </c>
      <c r="W789" s="18">
        <f t="shared" si="371"/>
        <v>6.4807704117692483E-3</v>
      </c>
      <c r="X789" s="18">
        <f t="shared" si="372"/>
        <v>2.2207207457743447E-2</v>
      </c>
      <c r="Y789" s="18">
        <f t="shared" si="373"/>
        <v>8.4147921447091448E-3</v>
      </c>
      <c r="AA789" s="18">
        <f t="shared" si="355"/>
        <v>5.686516027712718E-2</v>
      </c>
      <c r="AB789" s="18">
        <f t="shared" si="356"/>
        <v>3.233646453343363E-3</v>
      </c>
      <c r="AC789" s="18">
        <f t="shared" si="358"/>
        <v>0.12516563386604021</v>
      </c>
      <c r="AD789" s="18">
        <f t="shared" si="360"/>
        <v>5.6556125218967133E-3</v>
      </c>
      <c r="AE789" s="18">
        <f t="shared" si="362"/>
        <v>1.578137467604317E-2</v>
      </c>
      <c r="AF789" s="18">
        <f t="shared" si="364"/>
        <v>1.088630072469977E-2</v>
      </c>
      <c r="AG789" s="18">
        <f t="shared" si="366"/>
        <v>4.2889178446870796E-3</v>
      </c>
      <c r="AH789" s="18">
        <f t="shared" si="368"/>
        <v>1.6000133178568458E-2</v>
      </c>
      <c r="AJ789" s="18">
        <f>IF(ISNUMBER(Kernel!M789),Kernel!M789,"")</f>
        <v>0.2916350079695933</v>
      </c>
      <c r="AK789" s="18">
        <f t="shared" si="353"/>
        <v>8.5050977873424749E-2</v>
      </c>
      <c r="AN789" s="18">
        <f>IF(ISNUMBER(Volcanic!G789),Volcanic!G789,"")</f>
        <v>1.3769999999999999E-2</v>
      </c>
    </row>
    <row r="790" spans="1:40">
      <c r="A790" s="18" t="str">
        <f>IF(Volcanic!A790="","",Volcanic!A790)</f>
        <v>11/2023</v>
      </c>
      <c r="B790" s="18">
        <f>IF(ISNUMBER(Volcanic!L790),Volcanic!L790,"")</f>
        <v>2023.875</v>
      </c>
      <c r="C790" s="18">
        <f>IF(ISNUMBER(Volcanic!J790),Volcanic!J790,"")</f>
        <v>0.28551258558123038</v>
      </c>
      <c r="D790" s="18">
        <f t="shared" si="346"/>
        <v>8.1517436525279402E-2</v>
      </c>
      <c r="E790" s="18">
        <f>IF(ISNUMBER(Volcanic!C790),Volcanic!C790,"")</f>
        <v>0.58654173063114645</v>
      </c>
      <c r="F790" s="18">
        <f>IF(ISNUMBER(Volcanic!D790),Volcanic!D790,"")</f>
        <v>1.25</v>
      </c>
      <c r="G790" s="18">
        <f>IF(ISNUMBER(Volcanic!E790),Volcanic!E790,"")</f>
        <v>1.8620000000000001E-2</v>
      </c>
      <c r="H790" s="18">
        <f t="shared" si="347"/>
        <v>0.34403120177178037</v>
      </c>
      <c r="I790" s="18">
        <f t="shared" si="348"/>
        <v>1.5625</v>
      </c>
      <c r="J790" s="18">
        <f t="shared" si="349"/>
        <v>3.4670440000000006E-4</v>
      </c>
      <c r="K790" s="18">
        <f t="shared" si="350"/>
        <v>0.73317716328893301</v>
      </c>
      <c r="L790" s="18">
        <f t="shared" si="351"/>
        <v>1.0921407024351947E-2</v>
      </c>
      <c r="M790" s="18">
        <f t="shared" si="352"/>
        <v>2.3275000000000001E-2</v>
      </c>
      <c r="N790" s="18">
        <f t="shared" si="354"/>
        <v>7.5487163472594765E-2</v>
      </c>
      <c r="O790" s="18">
        <f t="shared" si="357"/>
        <v>0.18778319551969322</v>
      </c>
      <c r="P790" s="18">
        <f t="shared" si="359"/>
        <v>2.5032724753613969E-2</v>
      </c>
      <c r="Q790" s="18">
        <f t="shared" si="361"/>
        <v>2.7258586352508198E-2</v>
      </c>
      <c r="R790" s="18">
        <f t="shared" si="363"/>
        <v>6.164694586644889E-3</v>
      </c>
      <c r="S790" s="18">
        <f t="shared" si="365"/>
        <v>2.63742973743927E-3</v>
      </c>
      <c r="T790" s="18">
        <f t="shared" si="367"/>
        <v>7.9018850800246935E-4</v>
      </c>
      <c r="U790" s="18">
        <f t="shared" si="369"/>
        <v>9.4544307653023893E-2</v>
      </c>
      <c r="V790" s="18">
        <f t="shared" si="370"/>
        <v>4.9176087160694715E-3</v>
      </c>
      <c r="W790" s="18">
        <f t="shared" si="371"/>
        <v>1.9084142237416746E-5</v>
      </c>
      <c r="X790" s="18">
        <f t="shared" si="372"/>
        <v>6.4807704117692483E-3</v>
      </c>
      <c r="Y790" s="18">
        <f t="shared" si="373"/>
        <v>2.2207207457743447E-2</v>
      </c>
      <c r="AA790" s="18">
        <f t="shared" si="355"/>
        <v>0.14736803540114854</v>
      </c>
      <c r="AB790" s="18">
        <f t="shared" si="356"/>
        <v>2.1717337857994169E-2</v>
      </c>
      <c r="AC790" s="18">
        <f t="shared" si="358"/>
        <v>3.233646453343363E-3</v>
      </c>
      <c r="AD790" s="18">
        <f t="shared" si="360"/>
        <v>0.12516563386604021</v>
      </c>
      <c r="AE790" s="18">
        <f t="shared" si="362"/>
        <v>5.6556125218967133E-3</v>
      </c>
      <c r="AF790" s="18">
        <f t="shared" si="364"/>
        <v>1.578137467604317E-2</v>
      </c>
      <c r="AG790" s="18">
        <f t="shared" si="366"/>
        <v>1.088630072469977E-2</v>
      </c>
      <c r="AH790" s="18">
        <f t="shared" si="368"/>
        <v>4.2889178446870796E-3</v>
      </c>
      <c r="AJ790" s="18">
        <f>IF(ISNUMBER(Kernel!M790),Kernel!M790,"")</f>
        <v>0.29722240632137353</v>
      </c>
      <c r="AK790" s="18">
        <f t="shared" si="353"/>
        <v>8.8341158819467663E-2</v>
      </c>
      <c r="AN790" s="18">
        <f>IF(ISNUMBER(Volcanic!G790),Volcanic!G790,"")</f>
        <v>1.2930000000000001E-2</v>
      </c>
    </row>
    <row r="791" spans="1:40">
      <c r="A791" s="18" t="str">
        <f>IF(Volcanic!A791="","",Volcanic!A791)</f>
        <v>12/2023</v>
      </c>
      <c r="B791" s="18">
        <f>IF(ISNUMBER(Volcanic!L791),Volcanic!L791,"")</f>
        <v>2023.9583333333333</v>
      </c>
      <c r="C791" s="18">
        <f>IF(ISNUMBER(Volcanic!J791),Volcanic!J791,"")</f>
        <v>0.20698944015062626</v>
      </c>
      <c r="D791" s="18">
        <f t="shared" si="346"/>
        <v>4.2844628333869691E-2</v>
      </c>
      <c r="E791" s="18">
        <f>IF(ISNUMBER(Volcanic!C791),Volcanic!C791,"")</f>
        <v>0.59133747314496576</v>
      </c>
      <c r="F791" s="18">
        <f>IF(ISNUMBER(Volcanic!D791),Volcanic!D791,"")</f>
        <v>1.5</v>
      </c>
      <c r="G791" s="18">
        <f>IF(ISNUMBER(Volcanic!E791),Volcanic!E791,"")</f>
        <v>1.7600000000000001E-2</v>
      </c>
      <c r="H791" s="18">
        <f t="shared" si="347"/>
        <v>0.34968000714547309</v>
      </c>
      <c r="I791" s="18">
        <f t="shared" si="348"/>
        <v>2.25</v>
      </c>
      <c r="J791" s="18">
        <f t="shared" si="349"/>
        <v>3.0976000000000002E-4</v>
      </c>
      <c r="K791" s="18">
        <f t="shared" si="350"/>
        <v>0.8870062097174487</v>
      </c>
      <c r="L791" s="18">
        <f t="shared" si="351"/>
        <v>1.0407539527351397E-2</v>
      </c>
      <c r="M791" s="18">
        <f t="shared" si="352"/>
        <v>2.64E-2</v>
      </c>
      <c r="N791" s="18">
        <f t="shared" si="354"/>
        <v>8.1517436525279402E-2</v>
      </c>
      <c r="O791" s="18">
        <f t="shared" si="357"/>
        <v>7.5487163472594765E-2</v>
      </c>
      <c r="P791" s="18">
        <f t="shared" si="359"/>
        <v>0.18778319551969322</v>
      </c>
      <c r="Q791" s="18">
        <f t="shared" si="361"/>
        <v>2.5032724753613969E-2</v>
      </c>
      <c r="R791" s="18">
        <f t="shared" si="363"/>
        <v>2.7258586352508198E-2</v>
      </c>
      <c r="S791" s="18">
        <f t="shared" si="365"/>
        <v>6.164694586644889E-3</v>
      </c>
      <c r="T791" s="18">
        <f t="shared" si="367"/>
        <v>2.63742973743927E-3</v>
      </c>
      <c r="U791" s="18">
        <f t="shared" si="369"/>
        <v>7.9018850800246935E-4</v>
      </c>
      <c r="V791" s="18">
        <f t="shared" si="370"/>
        <v>9.4544307653023893E-2</v>
      </c>
      <c r="W791" s="18">
        <f t="shared" si="371"/>
        <v>4.9176087160694715E-3</v>
      </c>
      <c r="X791" s="18">
        <f t="shared" si="372"/>
        <v>1.9084142237416746E-5</v>
      </c>
      <c r="Y791" s="18">
        <f t="shared" si="373"/>
        <v>6.4807704117692483E-3</v>
      </c>
      <c r="AA791" s="18">
        <f t="shared" si="355"/>
        <v>6.3433072720053024E-2</v>
      </c>
      <c r="AB791" s="18">
        <f t="shared" si="356"/>
        <v>4.0237547147075354E-3</v>
      </c>
      <c r="AC791" s="18">
        <f t="shared" si="358"/>
        <v>2.1717337857994169E-2</v>
      </c>
      <c r="AD791" s="18">
        <f t="shared" si="360"/>
        <v>3.233646453343363E-3</v>
      </c>
      <c r="AE791" s="18">
        <f t="shared" si="362"/>
        <v>0.12516563386604021</v>
      </c>
      <c r="AF791" s="18">
        <f t="shared" si="364"/>
        <v>5.6556125218967133E-3</v>
      </c>
      <c r="AG791" s="18">
        <f t="shared" si="366"/>
        <v>1.578137467604317E-2</v>
      </c>
      <c r="AH791" s="18">
        <f t="shared" si="368"/>
        <v>1.088630072469977E-2</v>
      </c>
      <c r="AJ791" s="18">
        <f>IF(ISNUMBER(Kernel!M791),Kernel!M791,"")</f>
        <v>0.21737011667342387</v>
      </c>
      <c r="AK791" s="18">
        <f t="shared" si="353"/>
        <v>4.7249767622617907E-2</v>
      </c>
      <c r="AN791" s="18">
        <f>IF(ISNUMBER(Volcanic!G791),Volcanic!G791,"")</f>
        <v>1.235E-2</v>
      </c>
    </row>
    <row r="792" spans="1:40">
      <c r="A792" s="18" t="str">
        <f>IF(Volcanic!A792="","",Volcanic!A792)</f>
        <v>1/2024</v>
      </c>
      <c r="B792" s="18">
        <f>IF(ISNUMBER(Volcanic!L792),Volcanic!L792,"")</f>
        <v>2024.0416666666667</v>
      </c>
      <c r="C792" s="18">
        <f>IF(ISNUMBER(Volcanic!J792),Volcanic!J792,"")</f>
        <v>6.2924177420136784E-2</v>
      </c>
      <c r="D792" s="18">
        <f t="shared" si="346"/>
        <v>3.9594521040008518E-3</v>
      </c>
      <c r="E792" s="18">
        <f>IF(ISNUMBER(Volcanic!C792),Volcanic!C792,"")</f>
        <v>0.5945485495503543</v>
      </c>
      <c r="F792" s="18">
        <f>IF(ISNUMBER(Volcanic!D792),Volcanic!D792,"")</f>
        <v>1.74</v>
      </c>
      <c r="G792" s="18">
        <f>IF(ISNUMBER(Volcanic!E792),Volcanic!E792,"")</f>
        <v>1.6219999999999998E-2</v>
      </c>
      <c r="H792" s="18">
        <f t="shared" si="347"/>
        <v>0.35348797777243013</v>
      </c>
      <c r="I792" s="18">
        <f t="shared" si="348"/>
        <v>3.0276000000000001</v>
      </c>
      <c r="J792" s="18">
        <f t="shared" si="349"/>
        <v>2.6308839999999995E-4</v>
      </c>
      <c r="K792" s="18">
        <f t="shared" si="350"/>
        <v>1.0345144762176164</v>
      </c>
      <c r="L792" s="18">
        <f t="shared" si="351"/>
        <v>9.6435774737067461E-3</v>
      </c>
      <c r="M792" s="18">
        <f t="shared" si="352"/>
        <v>2.8222799999999996E-2</v>
      </c>
      <c r="N792" s="18">
        <f t="shared" si="354"/>
        <v>4.2844628333869691E-2</v>
      </c>
      <c r="O792" s="18">
        <f t="shared" si="357"/>
        <v>8.1517436525279402E-2</v>
      </c>
      <c r="P792" s="18">
        <f t="shared" si="359"/>
        <v>7.5487163472594765E-2</v>
      </c>
      <c r="Q792" s="18">
        <f t="shared" si="361"/>
        <v>0.18778319551969322</v>
      </c>
      <c r="R792" s="18">
        <f t="shared" si="363"/>
        <v>2.5032724753613969E-2</v>
      </c>
      <c r="S792" s="18">
        <f t="shared" si="365"/>
        <v>2.7258586352508198E-2</v>
      </c>
      <c r="T792" s="18">
        <f t="shared" si="367"/>
        <v>6.164694586644889E-3</v>
      </c>
      <c r="U792" s="18">
        <f t="shared" si="369"/>
        <v>2.63742973743927E-3</v>
      </c>
      <c r="V792" s="18">
        <f t="shared" si="370"/>
        <v>7.9018850800246935E-4</v>
      </c>
      <c r="W792" s="18">
        <f t="shared" si="371"/>
        <v>9.4544307653023893E-2</v>
      </c>
      <c r="X792" s="18">
        <f t="shared" si="372"/>
        <v>4.9176087160694715E-3</v>
      </c>
      <c r="Y792" s="18">
        <f t="shared" si="373"/>
        <v>1.9084142237416746E-5</v>
      </c>
      <c r="AA792" s="18">
        <f t="shared" si="355"/>
        <v>-4.1150576636748454E-2</v>
      </c>
      <c r="AB792" s="18">
        <f t="shared" si="356"/>
        <v>1.6933699575369077E-3</v>
      </c>
      <c r="AC792" s="18">
        <f t="shared" si="358"/>
        <v>4.0237547147075354E-3</v>
      </c>
      <c r="AD792" s="18">
        <f t="shared" si="360"/>
        <v>2.1717337857994169E-2</v>
      </c>
      <c r="AE792" s="18">
        <f t="shared" si="362"/>
        <v>3.233646453343363E-3</v>
      </c>
      <c r="AF792" s="18">
        <f t="shared" si="364"/>
        <v>0.12516563386604021</v>
      </c>
      <c r="AG792" s="18">
        <f t="shared" si="366"/>
        <v>5.6556125218967133E-3</v>
      </c>
      <c r="AH792" s="18">
        <f t="shared" si="368"/>
        <v>1.578137467604317E-2</v>
      </c>
      <c r="AJ792" s="18">
        <f>IF(ISNUMBER(Kernel!M792),Kernel!M792,"")</f>
        <v>7.892437425023191E-2</v>
      </c>
      <c r="AK792" s="18">
        <f t="shared" si="353"/>
        <v>6.2290568507906699E-3</v>
      </c>
      <c r="AN792" s="18">
        <f>IF(ISNUMBER(Volcanic!G792),Volcanic!G792,"")</f>
        <v>1.175E-2</v>
      </c>
    </row>
    <row r="793" spans="1:40">
      <c r="A793" s="18" t="str">
        <f>IF(Volcanic!A793="","",Volcanic!A793)</f>
        <v>2/2024</v>
      </c>
      <c r="B793" s="18">
        <f>IF(ISNUMBER(Volcanic!L793),Volcanic!L793,"")</f>
        <v>2024.125</v>
      </c>
      <c r="C793" s="18">
        <f>IF(ISNUMBER(Volcanic!J793),Volcanic!J793,"")</f>
        <v>0.21869948264089278</v>
      </c>
      <c r="D793" s="18">
        <f t="shared" si="346"/>
        <v>4.7829463707394167E-2</v>
      </c>
      <c r="E793" s="18">
        <f>IF(ISNUMBER(Volcanic!C793),Volcanic!C793,"")</f>
        <v>0.60050764534578571</v>
      </c>
      <c r="F793" s="18">
        <f>IF(ISNUMBER(Volcanic!D793),Volcanic!D793,"")</f>
        <v>1.9</v>
      </c>
      <c r="G793" s="18">
        <f>IF(ISNUMBER(Volcanic!E793),Volcanic!E793,"")</f>
        <v>1.4800000000000001E-2</v>
      </c>
      <c r="H793" s="18">
        <f t="shared" si="347"/>
        <v>0.36060943211873997</v>
      </c>
      <c r="I793" s="18">
        <f t="shared" si="348"/>
        <v>3.61</v>
      </c>
      <c r="J793" s="18">
        <f t="shared" si="349"/>
        <v>2.1904000000000002E-4</v>
      </c>
      <c r="K793" s="18">
        <f t="shared" si="350"/>
        <v>1.1409645261569927</v>
      </c>
      <c r="L793" s="18">
        <f t="shared" si="351"/>
        <v>8.8875131511176285E-3</v>
      </c>
      <c r="M793" s="18">
        <f t="shared" si="352"/>
        <v>2.8119999999999999E-2</v>
      </c>
      <c r="N793" s="18">
        <f t="shared" si="354"/>
        <v>3.9594521040008518E-3</v>
      </c>
      <c r="O793" s="18">
        <f t="shared" si="357"/>
        <v>4.2844628333869691E-2</v>
      </c>
      <c r="P793" s="18">
        <f t="shared" si="359"/>
        <v>8.1517436525279402E-2</v>
      </c>
      <c r="Q793" s="18">
        <f t="shared" si="361"/>
        <v>7.5487163472594765E-2</v>
      </c>
      <c r="R793" s="18">
        <f t="shared" si="363"/>
        <v>0.18778319551969322</v>
      </c>
      <c r="S793" s="18">
        <f t="shared" si="365"/>
        <v>2.5032724753613969E-2</v>
      </c>
      <c r="T793" s="18">
        <f t="shared" si="367"/>
        <v>2.7258586352508198E-2</v>
      </c>
      <c r="U793" s="18">
        <f t="shared" si="369"/>
        <v>6.164694586644889E-3</v>
      </c>
      <c r="V793" s="18">
        <f t="shared" si="370"/>
        <v>2.63742973743927E-3</v>
      </c>
      <c r="W793" s="18">
        <f t="shared" si="371"/>
        <v>7.9018850800246935E-4</v>
      </c>
      <c r="X793" s="18">
        <f t="shared" si="372"/>
        <v>9.4544307653023893E-2</v>
      </c>
      <c r="Y793" s="18">
        <f t="shared" si="373"/>
        <v>4.9176087160694715E-3</v>
      </c>
      <c r="AA793" s="18">
        <f t="shared" si="355"/>
        <v>0.18706106531647773</v>
      </c>
      <c r="AB793" s="18">
        <f t="shared" si="356"/>
        <v>3.499184215733555E-2</v>
      </c>
      <c r="AC793" s="18">
        <f t="shared" si="358"/>
        <v>1.6933699575369077E-3</v>
      </c>
      <c r="AD793" s="18">
        <f t="shared" si="360"/>
        <v>4.0237547147075354E-3</v>
      </c>
      <c r="AE793" s="18">
        <f t="shared" si="362"/>
        <v>2.1717337857994169E-2</v>
      </c>
      <c r="AF793" s="18">
        <f t="shared" si="364"/>
        <v>3.233646453343363E-3</v>
      </c>
      <c r="AG793" s="18">
        <f t="shared" si="366"/>
        <v>0.12516563386604021</v>
      </c>
      <c r="AH793" s="18">
        <f t="shared" si="368"/>
        <v>5.6556125218967133E-3</v>
      </c>
      <c r="AJ793" s="18">
        <f>IF(ISNUMBER(Kernel!M793),Kernel!M793,"")</f>
        <v>0.24240175828646904</v>
      </c>
      <c r="AK793" s="18">
        <f t="shared" si="353"/>
        <v>5.875861242037176E-2</v>
      </c>
      <c r="AN793" s="18">
        <f>IF(ISNUMBER(Volcanic!G793),Volcanic!G793,"")</f>
        <v>1.065E-2</v>
      </c>
    </row>
    <row r="794" spans="1:40">
      <c r="A794" s="18" t="str">
        <f>IF(Volcanic!A794="","",Volcanic!A794)</f>
        <v>3/2024</v>
      </c>
      <c r="B794" s="18">
        <f>IF(ISNUMBER(Volcanic!L794),Volcanic!L794,"")</f>
        <v>2024.2083333333333</v>
      </c>
      <c r="C794" s="18">
        <f>IF(ISNUMBER(Volcanic!J794),Volcanic!J794,"")</f>
        <v>0.16002235473820403</v>
      </c>
      <c r="D794" s="18">
        <f t="shared" si="346"/>
        <v>2.5607154015959609E-2</v>
      </c>
      <c r="E794" s="18">
        <f>IF(ISNUMBER(Volcanic!C794),Volcanic!C794,"")</f>
        <v>0.6033253768403416</v>
      </c>
      <c r="F794" s="18">
        <f>IF(ISNUMBER(Volcanic!D794),Volcanic!D794,"")</f>
        <v>1.99</v>
      </c>
      <c r="G794" s="18">
        <f>IF(ISNUMBER(Volcanic!E794),Volcanic!E794,"")</f>
        <v>1.3599999999999999E-2</v>
      </c>
      <c r="H794" s="18">
        <f t="shared" si="347"/>
        <v>0.3640015103395402</v>
      </c>
      <c r="I794" s="18">
        <f t="shared" si="348"/>
        <v>3.9601000000000002</v>
      </c>
      <c r="J794" s="18">
        <f t="shared" si="349"/>
        <v>1.8495999999999999E-4</v>
      </c>
      <c r="K794" s="18">
        <f t="shared" si="350"/>
        <v>1.2006174999122798</v>
      </c>
      <c r="L794" s="18">
        <f t="shared" si="351"/>
        <v>8.2052251250286454E-3</v>
      </c>
      <c r="M794" s="18">
        <f t="shared" si="352"/>
        <v>2.7063999999999998E-2</v>
      </c>
      <c r="N794" s="18">
        <f t="shared" si="354"/>
        <v>4.7829463707394167E-2</v>
      </c>
      <c r="O794" s="18">
        <f t="shared" si="357"/>
        <v>3.9594521040008518E-3</v>
      </c>
      <c r="P794" s="18">
        <f t="shared" si="359"/>
        <v>4.2844628333869691E-2</v>
      </c>
      <c r="Q794" s="18">
        <f t="shared" si="361"/>
        <v>8.1517436525279402E-2</v>
      </c>
      <c r="R794" s="18">
        <f t="shared" si="363"/>
        <v>7.5487163472594765E-2</v>
      </c>
      <c r="S794" s="18">
        <f t="shared" si="365"/>
        <v>0.18778319551969322</v>
      </c>
      <c r="T794" s="18">
        <f t="shared" si="367"/>
        <v>2.5032724753613969E-2</v>
      </c>
      <c r="U794" s="18">
        <f t="shared" si="369"/>
        <v>2.7258586352508198E-2</v>
      </c>
      <c r="V794" s="18">
        <f t="shared" si="370"/>
        <v>6.164694586644889E-3</v>
      </c>
      <c r="W794" s="18">
        <f t="shared" si="371"/>
        <v>2.63742973743927E-3</v>
      </c>
      <c r="X794" s="18">
        <f t="shared" si="372"/>
        <v>7.9018850800246935E-4</v>
      </c>
      <c r="Y794" s="18">
        <f t="shared" si="373"/>
        <v>9.4544307653023893E-2</v>
      </c>
      <c r="AA794" s="18">
        <f t="shared" si="355"/>
        <v>5.0059765092781996E-2</v>
      </c>
      <c r="AB794" s="18">
        <f t="shared" si="356"/>
        <v>2.5059800811445148E-3</v>
      </c>
      <c r="AC794" s="18">
        <f t="shared" si="358"/>
        <v>3.499184215733555E-2</v>
      </c>
      <c r="AD794" s="18">
        <f t="shared" si="360"/>
        <v>1.6933699575369077E-3</v>
      </c>
      <c r="AE794" s="18">
        <f t="shared" si="362"/>
        <v>4.0237547147075354E-3</v>
      </c>
      <c r="AF794" s="18">
        <f t="shared" si="364"/>
        <v>2.1717337857994169E-2</v>
      </c>
      <c r="AG794" s="18">
        <f t="shared" si="366"/>
        <v>3.233646453343363E-3</v>
      </c>
      <c r="AH794" s="18">
        <f t="shared" si="368"/>
        <v>0.12516563386604021</v>
      </c>
      <c r="AJ794" s="18">
        <f>IF(ISNUMBER(Kernel!M794),Kernel!M794,"")</f>
        <v>0.19325576597725136</v>
      </c>
      <c r="AK794" s="18">
        <f t="shared" si="353"/>
        <v>3.7347791083454145E-2</v>
      </c>
      <c r="AN794" s="18">
        <f>IF(ISNUMBER(Volcanic!G794),Volcanic!G794,"")</f>
        <v>9.9600000000000001E-3</v>
      </c>
    </row>
    <row r="795" spans="1:40">
      <c r="A795" s="18" t="str">
        <f>IF(Volcanic!A795="","",Volcanic!A795)</f>
        <v>4/2024</v>
      </c>
      <c r="B795" s="18">
        <f>IF(ISNUMBER(Volcanic!L795),Volcanic!L795,"")</f>
        <v>2024.2916666666667</v>
      </c>
      <c r="C795" s="18">
        <f>IF(ISNUMBER(Volcanic!J795),Volcanic!J795,"")</f>
        <v>8.33047250661616E-2</v>
      </c>
      <c r="D795" s="18">
        <f t="shared" si="346"/>
        <v>6.9396772183487731E-3</v>
      </c>
      <c r="E795" s="18">
        <f>IF(ISNUMBER(Volcanic!C795),Volcanic!C795,"")</f>
        <v>0.60715274035522215</v>
      </c>
      <c r="F795" s="18">
        <f>IF(ISNUMBER(Volcanic!D795),Volcanic!D795,"")</f>
        <v>1.84</v>
      </c>
      <c r="G795" s="18">
        <f>IF(ISNUMBER(Volcanic!E795),Volcanic!E795,"")</f>
        <v>1.3509999999999999E-2</v>
      </c>
      <c r="H795" s="18">
        <f t="shared" si="347"/>
        <v>0.36863445012085583</v>
      </c>
      <c r="I795" s="18">
        <f t="shared" si="348"/>
        <v>3.3856000000000002</v>
      </c>
      <c r="J795" s="18">
        <f t="shared" si="349"/>
        <v>1.8252009999999999E-4</v>
      </c>
      <c r="K795" s="18">
        <f t="shared" si="350"/>
        <v>1.1171610422536089</v>
      </c>
      <c r="L795" s="18">
        <f t="shared" si="351"/>
        <v>8.2026335221990505E-3</v>
      </c>
      <c r="M795" s="18">
        <f t="shared" si="352"/>
        <v>2.4858399999999999E-2</v>
      </c>
      <c r="N795" s="18">
        <f t="shared" si="354"/>
        <v>2.5607154015959609E-2</v>
      </c>
      <c r="O795" s="18">
        <f t="shared" si="357"/>
        <v>4.7829463707394167E-2</v>
      </c>
      <c r="P795" s="18">
        <f t="shared" si="359"/>
        <v>3.9594521040008518E-3</v>
      </c>
      <c r="Q795" s="18">
        <f t="shared" si="361"/>
        <v>4.2844628333869691E-2</v>
      </c>
      <c r="R795" s="18">
        <f t="shared" si="363"/>
        <v>8.1517436525279402E-2</v>
      </c>
      <c r="S795" s="18">
        <f t="shared" si="365"/>
        <v>7.5487163472594765E-2</v>
      </c>
      <c r="T795" s="18">
        <f t="shared" si="367"/>
        <v>0.18778319551969322</v>
      </c>
      <c r="U795" s="18">
        <f t="shared" si="369"/>
        <v>2.5032724753613969E-2</v>
      </c>
      <c r="V795" s="18">
        <f t="shared" si="370"/>
        <v>2.7258586352508198E-2</v>
      </c>
      <c r="W795" s="18">
        <f t="shared" si="371"/>
        <v>6.164694586644889E-3</v>
      </c>
      <c r="X795" s="18">
        <f t="shared" si="372"/>
        <v>2.63742973743927E-3</v>
      </c>
      <c r="Y795" s="18">
        <f t="shared" si="373"/>
        <v>7.9018850800246935E-4</v>
      </c>
      <c r="AA795" s="18">
        <f t="shared" si="355"/>
        <v>2.8451267365902921E-3</v>
      </c>
      <c r="AB795" s="18">
        <f t="shared" si="356"/>
        <v>8.0947461472609264E-6</v>
      </c>
      <c r="AC795" s="18">
        <f t="shared" si="358"/>
        <v>2.5059800811445148E-3</v>
      </c>
      <c r="AD795" s="18">
        <f t="shared" si="360"/>
        <v>3.499184215733555E-2</v>
      </c>
      <c r="AE795" s="18">
        <f t="shared" si="362"/>
        <v>1.6933699575369077E-3</v>
      </c>
      <c r="AF795" s="18">
        <f t="shared" si="364"/>
        <v>4.0237547147075354E-3</v>
      </c>
      <c r="AG795" s="18">
        <f t="shared" si="366"/>
        <v>2.1717337857994169E-2</v>
      </c>
      <c r="AH795" s="18">
        <f t="shared" si="368"/>
        <v>3.233646453343363E-3</v>
      </c>
      <c r="AJ795" s="18">
        <f>IF(ISNUMBER(Kernel!M795),Kernel!M795,"")</f>
        <v>0.1103040920005316</v>
      </c>
      <c r="AK795" s="18">
        <f t="shared" si="353"/>
        <v>1.2166992712061737E-2</v>
      </c>
      <c r="AN795" s="18">
        <f>IF(ISNUMBER(Volcanic!G795),Volcanic!G795,"")</f>
        <v>9.6799999999999994E-3</v>
      </c>
    </row>
    <row r="796" spans="1:40">
      <c r="A796" s="18" t="str">
        <f>IF(Volcanic!A796="","",Volcanic!A796)</f>
        <v>5/2024</v>
      </c>
      <c r="B796" s="18">
        <f>IF(ISNUMBER(Volcanic!L796),Volcanic!L796,"")</f>
        <v>2024.375</v>
      </c>
      <c r="C796" s="18">
        <f>IF(ISNUMBER(Volcanic!J796),Volcanic!J796,"")</f>
        <v>-5.0953098818966813E-2</v>
      </c>
      <c r="D796" s="18">
        <f t="shared" si="346"/>
        <v>2.5962182792553974E-3</v>
      </c>
      <c r="E796" s="18">
        <f>IF(ISNUMBER(Volcanic!C796),Volcanic!C796,"")</f>
        <v>0.60847133541530962</v>
      </c>
      <c r="F796" s="18">
        <f>IF(ISNUMBER(Volcanic!D796),Volcanic!D796,"")</f>
        <v>1.53</v>
      </c>
      <c r="G796" s="18">
        <f>IF(ISNUMBER(Volcanic!E796),Volcanic!E796,"")</f>
        <v>1.3769999999999999E-2</v>
      </c>
      <c r="H796" s="18">
        <f t="shared" si="347"/>
        <v>0.37023736602209023</v>
      </c>
      <c r="I796" s="18">
        <f t="shared" si="348"/>
        <v>2.3409</v>
      </c>
      <c r="J796" s="18">
        <f t="shared" si="349"/>
        <v>1.8961289999999998E-4</v>
      </c>
      <c r="K796" s="18">
        <f t="shared" si="350"/>
        <v>0.93096114318542378</v>
      </c>
      <c r="L796" s="18">
        <f t="shared" si="351"/>
        <v>8.3786502886688125E-3</v>
      </c>
      <c r="M796" s="18">
        <f t="shared" si="352"/>
        <v>2.1068099999999999E-2</v>
      </c>
      <c r="N796" s="18">
        <f t="shared" si="354"/>
        <v>6.9396772183487731E-3</v>
      </c>
      <c r="O796" s="18">
        <f t="shared" si="357"/>
        <v>2.5607154015959609E-2</v>
      </c>
      <c r="P796" s="18">
        <f t="shared" si="359"/>
        <v>4.7829463707394167E-2</v>
      </c>
      <c r="Q796" s="18">
        <f t="shared" si="361"/>
        <v>3.9594521040008518E-3</v>
      </c>
      <c r="R796" s="18">
        <f t="shared" si="363"/>
        <v>4.2844628333869691E-2</v>
      </c>
      <c r="S796" s="18">
        <f t="shared" si="365"/>
        <v>8.1517436525279402E-2</v>
      </c>
      <c r="T796" s="18">
        <f t="shared" si="367"/>
        <v>7.5487163472594765E-2</v>
      </c>
      <c r="U796" s="18">
        <f t="shared" si="369"/>
        <v>0.18778319551969322</v>
      </c>
      <c r="V796" s="18">
        <f t="shared" si="370"/>
        <v>2.5032724753613969E-2</v>
      </c>
      <c r="W796" s="18">
        <f t="shared" si="371"/>
        <v>2.7258586352508198E-2</v>
      </c>
      <c r="X796" s="18">
        <f t="shared" si="372"/>
        <v>6.164694586644889E-3</v>
      </c>
      <c r="Y796" s="18">
        <f t="shared" si="373"/>
        <v>2.63742973743927E-3</v>
      </c>
      <c r="AA796" s="18">
        <f t="shared" si="355"/>
        <v>-9.2838901141675201E-2</v>
      </c>
      <c r="AB796" s="18">
        <f t="shared" si="356"/>
        <v>8.6190615651937415E-3</v>
      </c>
      <c r="AC796" s="18">
        <f t="shared" si="358"/>
        <v>8.0947461472609264E-6</v>
      </c>
      <c r="AD796" s="18">
        <f t="shared" si="360"/>
        <v>2.5059800811445148E-3</v>
      </c>
      <c r="AE796" s="18">
        <f t="shared" si="362"/>
        <v>3.499184215733555E-2</v>
      </c>
      <c r="AF796" s="18">
        <f t="shared" si="364"/>
        <v>1.6933699575369077E-3</v>
      </c>
      <c r="AG796" s="18">
        <f t="shared" si="366"/>
        <v>4.0237547147075354E-3</v>
      </c>
      <c r="AH796" s="18">
        <f t="shared" si="368"/>
        <v>2.1717337857994169E-2</v>
      </c>
      <c r="AJ796" s="18">
        <f>IF(ISNUMBER(Kernel!M796),Kernel!M796,"")</f>
        <v>-3.8240459531241999E-2</v>
      </c>
      <c r="AK796" s="18">
        <f t="shared" si="353"/>
        <v>1.4623327451605572E-3</v>
      </c>
      <c r="AN796" s="18">
        <f>IF(ISNUMBER(Volcanic!G796),Volcanic!G796,"")</f>
        <v>1.523E-2</v>
      </c>
    </row>
    <row r="797" spans="1:40">
      <c r="A797" s="18" t="str">
        <f>IF(Volcanic!A797="","",Volcanic!A797)</f>
        <v>6/2024</v>
      </c>
      <c r="B797" s="18">
        <f>IF(ISNUMBER(Volcanic!L797),Volcanic!L797,"")</f>
        <v>2024.4583333333333</v>
      </c>
      <c r="C797" s="18">
        <f>IF(ISNUMBER(Volcanic!J797),Volcanic!J797,"")</f>
        <v>4.9584689318250996E-2</v>
      </c>
      <c r="D797" s="18">
        <f t="shared" si="346"/>
        <v>2.4586414147874745E-3</v>
      </c>
      <c r="E797" s="18">
        <f>IF(ISNUMBER(Volcanic!C797),Volcanic!C797,"")</f>
        <v>0.60850512970305437</v>
      </c>
      <c r="F797" s="18">
        <f>IF(ISNUMBER(Volcanic!D797),Volcanic!D797,"")</f>
        <v>1.18</v>
      </c>
      <c r="G797" s="18">
        <f>IF(ISNUMBER(Volcanic!E797),Volcanic!E797,"")</f>
        <v>1.2930000000000001E-2</v>
      </c>
      <c r="H797" s="18">
        <f t="shared" si="347"/>
        <v>0.37027849287493103</v>
      </c>
      <c r="I797" s="18">
        <f t="shared" si="348"/>
        <v>1.3923999999999999</v>
      </c>
      <c r="J797" s="18">
        <f t="shared" si="349"/>
        <v>1.6718490000000003E-4</v>
      </c>
      <c r="K797" s="18">
        <f t="shared" si="350"/>
        <v>0.71803605304960416</v>
      </c>
      <c r="L797" s="18">
        <f t="shared" si="351"/>
        <v>7.8679713270604929E-3</v>
      </c>
      <c r="M797" s="18">
        <f t="shared" si="352"/>
        <v>1.5257399999999999E-2</v>
      </c>
      <c r="N797" s="18">
        <f t="shared" si="354"/>
        <v>2.5962182792553974E-3</v>
      </c>
      <c r="O797" s="18">
        <f t="shared" si="357"/>
        <v>6.9396772183487731E-3</v>
      </c>
      <c r="P797" s="18">
        <f t="shared" si="359"/>
        <v>2.5607154015959609E-2</v>
      </c>
      <c r="Q797" s="18">
        <f t="shared" si="361"/>
        <v>4.7829463707394167E-2</v>
      </c>
      <c r="R797" s="18">
        <f t="shared" si="363"/>
        <v>3.9594521040008518E-3</v>
      </c>
      <c r="S797" s="18">
        <f t="shared" si="365"/>
        <v>4.2844628333869691E-2</v>
      </c>
      <c r="T797" s="18">
        <f t="shared" si="367"/>
        <v>8.1517436525279402E-2</v>
      </c>
      <c r="U797" s="18">
        <f t="shared" si="369"/>
        <v>7.5487163472594765E-2</v>
      </c>
      <c r="V797" s="18">
        <f t="shared" si="370"/>
        <v>0.18778319551969322</v>
      </c>
      <c r="W797" s="18">
        <f t="shared" si="371"/>
        <v>2.5032724753613969E-2</v>
      </c>
      <c r="X797" s="18">
        <f t="shared" si="372"/>
        <v>2.7258586352508198E-2</v>
      </c>
      <c r="Y797" s="18">
        <f t="shared" si="373"/>
        <v>6.164694586644889E-3</v>
      </c>
      <c r="AA797" s="18">
        <f t="shared" si="355"/>
        <v>7.5204021512981306E-2</v>
      </c>
      <c r="AB797" s="18">
        <f t="shared" si="356"/>
        <v>5.6556448517249549E-3</v>
      </c>
      <c r="AC797" s="18">
        <f t="shared" si="358"/>
        <v>8.6190615651937415E-3</v>
      </c>
      <c r="AD797" s="18">
        <f t="shared" si="360"/>
        <v>8.0947461472609264E-6</v>
      </c>
      <c r="AE797" s="18">
        <f t="shared" si="362"/>
        <v>2.5059800811445148E-3</v>
      </c>
      <c r="AF797" s="18">
        <f t="shared" si="364"/>
        <v>3.499184215733555E-2</v>
      </c>
      <c r="AG797" s="18">
        <f t="shared" si="366"/>
        <v>1.6933699575369077E-3</v>
      </c>
      <c r="AH797" s="18">
        <f t="shared" si="368"/>
        <v>4.0237547147075354E-3</v>
      </c>
      <c r="AJ797" s="18">
        <f>IF(ISNUMBER(Kernel!M797),Kernel!M797,"")</f>
        <v>5.0704373599629093E-2</v>
      </c>
      <c r="AK797" s="18">
        <f t="shared" si="353"/>
        <v>2.5709335021307637E-3</v>
      </c>
      <c r="AN797" s="18">
        <f>IF(ISNUMBER(Volcanic!G797),Volcanic!G797,"")</f>
        <v>1.8540000000000001E-2</v>
      </c>
    </row>
    <row r="798" spans="1:40">
      <c r="A798" s="18" t="str">
        <f>IF(Volcanic!A798="","",Volcanic!A798)</f>
        <v>7/2024</v>
      </c>
      <c r="B798" s="18">
        <f>IF(ISNUMBER(Volcanic!L798),Volcanic!L798,"")</f>
        <v>2024.5416666666667</v>
      </c>
      <c r="C798" s="18">
        <f>IF(ISNUMBER(Volcanic!J798),Volcanic!J798,"")</f>
        <v>6.8909616051711309E-2</v>
      </c>
      <c r="D798" s="18">
        <f t="shared" si="346"/>
        <v>4.7485351843942689E-3</v>
      </c>
      <c r="E798" s="18">
        <f>IF(ISNUMBER(Volcanic!C798),Volcanic!C798,"")</f>
        <v>0.60390182416318638</v>
      </c>
      <c r="F798" s="18">
        <f>IF(ISNUMBER(Volcanic!D798),Volcanic!D798,"")</f>
        <v>0.77</v>
      </c>
      <c r="G798" s="18">
        <f>IF(ISNUMBER(Volcanic!E798),Volcanic!E798,"")</f>
        <v>1.235E-2</v>
      </c>
      <c r="H798" s="18">
        <f t="shared" si="347"/>
        <v>0.36469741322762411</v>
      </c>
      <c r="I798" s="18">
        <f t="shared" si="348"/>
        <v>0.59289999999999998</v>
      </c>
      <c r="J798" s="18">
        <f t="shared" si="349"/>
        <v>1.525225E-4</v>
      </c>
      <c r="K798" s="18">
        <f t="shared" si="350"/>
        <v>0.46500440460565351</v>
      </c>
      <c r="L798" s="18">
        <f t="shared" si="351"/>
        <v>7.4581875284153521E-3</v>
      </c>
      <c r="M798" s="18">
        <f t="shared" si="352"/>
        <v>9.5095000000000006E-3</v>
      </c>
      <c r="N798" s="18">
        <f t="shared" si="354"/>
        <v>2.4586414147874745E-3</v>
      </c>
      <c r="O798" s="18">
        <f t="shared" si="357"/>
        <v>2.5962182792553974E-3</v>
      </c>
      <c r="P798" s="18">
        <f t="shared" si="359"/>
        <v>6.9396772183487731E-3</v>
      </c>
      <c r="Q798" s="18">
        <f t="shared" si="361"/>
        <v>2.5607154015959609E-2</v>
      </c>
      <c r="R798" s="18">
        <f t="shared" si="363"/>
        <v>4.7829463707394167E-2</v>
      </c>
      <c r="S798" s="18">
        <f t="shared" si="365"/>
        <v>3.9594521040008518E-3</v>
      </c>
      <c r="T798" s="18">
        <f t="shared" si="367"/>
        <v>4.2844628333869691E-2</v>
      </c>
      <c r="U798" s="18">
        <f t="shared" si="369"/>
        <v>8.1517436525279402E-2</v>
      </c>
      <c r="V798" s="18">
        <f t="shared" si="370"/>
        <v>7.5487163472594765E-2</v>
      </c>
      <c r="W798" s="18">
        <f t="shared" si="371"/>
        <v>0.18778319551969322</v>
      </c>
      <c r="X798" s="18">
        <f t="shared" si="372"/>
        <v>2.5032724753613969E-2</v>
      </c>
      <c r="Y798" s="18">
        <f t="shared" si="373"/>
        <v>2.7258586352508198E-2</v>
      </c>
      <c r="AA798" s="18">
        <f t="shared" si="355"/>
        <v>4.3978323218469527E-2</v>
      </c>
      <c r="AB798" s="18">
        <f t="shared" si="356"/>
        <v>1.934092913108176E-3</v>
      </c>
      <c r="AC798" s="18">
        <f t="shared" si="358"/>
        <v>5.6556448517249549E-3</v>
      </c>
      <c r="AD798" s="18">
        <f t="shared" si="360"/>
        <v>8.6190615651937415E-3</v>
      </c>
      <c r="AE798" s="18">
        <f t="shared" si="362"/>
        <v>8.0947461472609264E-6</v>
      </c>
      <c r="AF798" s="18">
        <f t="shared" si="364"/>
        <v>2.5059800811445148E-3</v>
      </c>
      <c r="AG798" s="18">
        <f t="shared" si="366"/>
        <v>3.499184215733555E-2</v>
      </c>
      <c r="AH798" s="18">
        <f t="shared" si="368"/>
        <v>1.6933699575369077E-3</v>
      </c>
      <c r="AJ798" s="18">
        <f>IF(ISNUMBER(Kernel!M798),Kernel!M798,"")</f>
        <v>5.1485704295145762E-2</v>
      </c>
      <c r="AK798" s="18">
        <f t="shared" si="353"/>
        <v>2.6507777467671906E-3</v>
      </c>
      <c r="AN798" s="18">
        <f>IF(ISNUMBER(Volcanic!G798),Volcanic!G798,"")</f>
        <v>1.687E-2</v>
      </c>
    </row>
    <row r="799" spans="1:40">
      <c r="A799" s="18" t="str">
        <f>IF(Volcanic!A799="","",Volcanic!A799)</f>
        <v>8/2024</v>
      </c>
      <c r="B799" s="18">
        <f>IF(ISNUMBER(Volcanic!L799),Volcanic!L799,"")</f>
        <v>2024.625</v>
      </c>
      <c r="C799" s="18">
        <f>IF(ISNUMBER(Volcanic!J799),Volcanic!J799,"")</f>
        <v>0.22288221044374845</v>
      </c>
      <c r="D799" s="18">
        <f t="shared" si="346"/>
        <v>4.9676479732291369E-2</v>
      </c>
      <c r="E799" s="18">
        <f>IF(ISNUMBER(Volcanic!C799),Volcanic!C799,"")</f>
        <v>0.5951967295060876</v>
      </c>
      <c r="F799" s="18">
        <f>IF(ISNUMBER(Volcanic!D799),Volcanic!D799,"")</f>
        <v>0.43</v>
      </c>
      <c r="G799" s="18">
        <f>IF(ISNUMBER(Volcanic!E799),Volcanic!E799,"")</f>
        <v>1.175E-2</v>
      </c>
      <c r="H799" s="18">
        <f t="shared" si="347"/>
        <v>0.3542591468147428</v>
      </c>
      <c r="I799" s="18">
        <f t="shared" si="348"/>
        <v>0.18489999999999998</v>
      </c>
      <c r="J799" s="18">
        <f t="shared" si="349"/>
        <v>1.380625E-4</v>
      </c>
      <c r="K799" s="18">
        <f t="shared" si="350"/>
        <v>0.25593459368761767</v>
      </c>
      <c r="L799" s="18">
        <f t="shared" si="351"/>
        <v>6.9935615716965292E-3</v>
      </c>
      <c r="M799" s="18">
        <f t="shared" si="352"/>
        <v>5.0524999999999997E-3</v>
      </c>
      <c r="N799" s="18">
        <f t="shared" si="354"/>
        <v>4.7485351843942689E-3</v>
      </c>
      <c r="O799" s="18">
        <f t="shared" si="357"/>
        <v>2.4586414147874745E-3</v>
      </c>
      <c r="P799" s="18">
        <f t="shared" si="359"/>
        <v>2.5962182792553974E-3</v>
      </c>
      <c r="Q799" s="18">
        <f t="shared" si="361"/>
        <v>6.9396772183487731E-3</v>
      </c>
      <c r="R799" s="18">
        <f t="shared" si="363"/>
        <v>2.5607154015959609E-2</v>
      </c>
      <c r="S799" s="18">
        <f t="shared" si="365"/>
        <v>4.7829463707394167E-2</v>
      </c>
      <c r="T799" s="18">
        <f t="shared" si="367"/>
        <v>3.9594521040008518E-3</v>
      </c>
      <c r="U799" s="18">
        <f t="shared" si="369"/>
        <v>4.2844628333869691E-2</v>
      </c>
      <c r="V799" s="18">
        <f t="shared" si="370"/>
        <v>8.1517436525279402E-2</v>
      </c>
      <c r="W799" s="18">
        <f t="shared" si="371"/>
        <v>7.5487163472594765E-2</v>
      </c>
      <c r="X799" s="18">
        <f t="shared" si="372"/>
        <v>0.18778319551969322</v>
      </c>
      <c r="Y799" s="18">
        <f t="shared" si="373"/>
        <v>2.5032724753613969E-2</v>
      </c>
      <c r="AA799" s="18">
        <f t="shared" si="355"/>
        <v>0.18823430117109491</v>
      </c>
      <c r="AB799" s="18">
        <f t="shared" si="356"/>
        <v>3.5432152137370464E-2</v>
      </c>
      <c r="AC799" s="18">
        <f t="shared" si="358"/>
        <v>1.934092913108176E-3</v>
      </c>
      <c r="AD799" s="18">
        <f t="shared" si="360"/>
        <v>5.6556448517249549E-3</v>
      </c>
      <c r="AE799" s="18">
        <f t="shared" si="362"/>
        <v>8.6190615651937415E-3</v>
      </c>
      <c r="AF799" s="18">
        <f t="shared" si="364"/>
        <v>8.0947461472609264E-6</v>
      </c>
      <c r="AG799" s="18">
        <f t="shared" si="366"/>
        <v>2.5059800811445148E-3</v>
      </c>
      <c r="AH799" s="18">
        <f t="shared" si="368"/>
        <v>3.499184215733555E-2</v>
      </c>
      <c r="AJ799" s="18">
        <f>IF(ISNUMBER(Kernel!M799),Kernel!M799,"")</f>
        <v>0.19267934054746028</v>
      </c>
      <c r="AK799" s="18">
        <f t="shared" si="353"/>
        <v>3.7125328273804173E-2</v>
      </c>
      <c r="AN799" s="18">
        <f>IF(ISNUMBER(Volcanic!G799),Volcanic!G799,"")</f>
        <v>1.6629999999999999E-2</v>
      </c>
    </row>
    <row r="800" spans="1:40">
      <c r="A800" s="18" t="str">
        <f>IF(Volcanic!A800="","",Volcanic!A800)</f>
        <v>9/2024</v>
      </c>
      <c r="B800" s="18">
        <f>IF(ISNUMBER(Volcanic!L800),Volcanic!L800,"")</f>
        <v>2024.7083333333333</v>
      </c>
      <c r="C800" s="18">
        <f>IF(ISNUMBER(Volcanic!J800),Volcanic!J800,"")</f>
        <v>0.16260107924528011</v>
      </c>
      <c r="D800" s="18">
        <f t="shared" si="346"/>
        <v>2.6439110971729862E-2</v>
      </c>
      <c r="E800" s="18">
        <f>IF(ISNUMBER(Volcanic!C800),Volcanic!C800,"")</f>
        <v>0.59191872937568002</v>
      </c>
      <c r="F800" s="18">
        <f>IF(ISNUMBER(Volcanic!D800),Volcanic!D800,"")</f>
        <v>0.18</v>
      </c>
      <c r="G800" s="18">
        <f>IF(ISNUMBER(Volcanic!E800),Volcanic!E800,"")</f>
        <v>1.065E-2</v>
      </c>
      <c r="H800" s="18">
        <f t="shared" si="347"/>
        <v>0.35036778218571951</v>
      </c>
      <c r="I800" s="18">
        <f t="shared" si="348"/>
        <v>3.2399999999999998E-2</v>
      </c>
      <c r="J800" s="18">
        <f t="shared" si="349"/>
        <v>1.1342249999999999E-4</v>
      </c>
      <c r="K800" s="18">
        <f t="shared" si="350"/>
        <v>0.1065453712876224</v>
      </c>
      <c r="L800" s="18">
        <f t="shared" si="351"/>
        <v>6.3039344678509921E-3</v>
      </c>
      <c r="M800" s="18">
        <f t="shared" si="352"/>
        <v>1.9169999999999999E-3</v>
      </c>
      <c r="N800" s="18">
        <f t="shared" si="354"/>
        <v>4.9676479732291369E-2</v>
      </c>
      <c r="O800" s="18">
        <f t="shared" si="357"/>
        <v>4.7485351843942689E-3</v>
      </c>
      <c r="P800" s="18">
        <f t="shared" si="359"/>
        <v>2.4586414147874745E-3</v>
      </c>
      <c r="Q800" s="18">
        <f t="shared" si="361"/>
        <v>2.5962182792553974E-3</v>
      </c>
      <c r="R800" s="18">
        <f t="shared" si="363"/>
        <v>6.9396772183487731E-3</v>
      </c>
      <c r="S800" s="18">
        <f t="shared" si="365"/>
        <v>2.5607154015959609E-2</v>
      </c>
      <c r="T800" s="18">
        <f t="shared" si="367"/>
        <v>4.7829463707394167E-2</v>
      </c>
      <c r="U800" s="18">
        <f t="shared" si="369"/>
        <v>3.9594521040008518E-3</v>
      </c>
      <c r="V800" s="18">
        <f t="shared" si="370"/>
        <v>4.2844628333869691E-2</v>
      </c>
      <c r="W800" s="18">
        <f t="shared" si="371"/>
        <v>8.1517436525279402E-2</v>
      </c>
      <c r="X800" s="18">
        <f t="shared" si="372"/>
        <v>7.5487163472594765E-2</v>
      </c>
      <c r="Y800" s="18">
        <f t="shared" si="373"/>
        <v>0.18778319551969322</v>
      </c>
      <c r="AA800" s="18">
        <f t="shared" si="355"/>
        <v>5.0535404693438118E-2</v>
      </c>
      <c r="AB800" s="18">
        <f t="shared" si="356"/>
        <v>2.5538271275295675E-3</v>
      </c>
      <c r="AC800" s="18">
        <f t="shared" si="358"/>
        <v>3.5432152137370464E-2</v>
      </c>
      <c r="AD800" s="18">
        <f t="shared" si="360"/>
        <v>1.934092913108176E-3</v>
      </c>
      <c r="AE800" s="18">
        <f t="shared" si="362"/>
        <v>5.6556448517249549E-3</v>
      </c>
      <c r="AF800" s="18">
        <f t="shared" si="364"/>
        <v>8.6190615651937415E-3</v>
      </c>
      <c r="AG800" s="18">
        <f t="shared" si="366"/>
        <v>8.0947461472609264E-6</v>
      </c>
      <c r="AH800" s="18">
        <f t="shared" si="368"/>
        <v>2.5059800811445148E-3</v>
      </c>
      <c r="AJ800" s="18">
        <f>IF(ISNUMBER(Kernel!M800),Kernel!M800,"")</f>
        <v>0.12797496164823663</v>
      </c>
      <c r="AK800" s="18">
        <f t="shared" si="353"/>
        <v>1.6377590808867637E-2</v>
      </c>
      <c r="AN800" s="18">
        <f>IF(ISNUMBER(Volcanic!G800),Volcanic!G800,"")</f>
        <v>1.5630000000000002E-2</v>
      </c>
    </row>
    <row r="801" spans="1:40">
      <c r="A801" s="18" t="str">
        <f>IF(Volcanic!A801="","",Volcanic!A801)</f>
        <v>10/2024</v>
      </c>
      <c r="B801" s="18">
        <f>IF(ISNUMBER(Volcanic!L801),Volcanic!L801,"")</f>
        <v>2024.7916666666667</v>
      </c>
      <c r="C801" s="18">
        <f>IF(ISNUMBER(Volcanic!J801),Volcanic!J801,"")</f>
        <v>0.30895632641356863</v>
      </c>
      <c r="D801" s="18">
        <f t="shared" si="346"/>
        <v>9.5454011630967561E-2</v>
      </c>
      <c r="E801" s="18">
        <f>IF(ISNUMBER(Volcanic!C801),Volcanic!C801,"")</f>
        <v>0.59311469648461523</v>
      </c>
      <c r="F801" s="18">
        <f>IF(ISNUMBER(Volcanic!D801),Volcanic!D801,"")</f>
        <v>0.06</v>
      </c>
      <c r="G801" s="18">
        <f>IF(ISNUMBER(Volcanic!E801),Volcanic!E801,"")</f>
        <v>9.9600000000000001E-3</v>
      </c>
      <c r="H801" s="18">
        <f t="shared" si="347"/>
        <v>0.35178504318603726</v>
      </c>
      <c r="I801" s="18">
        <f t="shared" si="348"/>
        <v>3.5999999999999999E-3</v>
      </c>
      <c r="J801" s="18">
        <f t="shared" si="349"/>
        <v>9.9201600000000002E-5</v>
      </c>
      <c r="K801" s="18">
        <f t="shared" si="350"/>
        <v>3.5586881789076916E-2</v>
      </c>
      <c r="L801" s="18">
        <f t="shared" si="351"/>
        <v>5.907422376986768E-3</v>
      </c>
      <c r="M801" s="18">
        <f t="shared" si="352"/>
        <v>5.976E-4</v>
      </c>
      <c r="N801" s="18">
        <f t="shared" si="354"/>
        <v>2.6439110971729862E-2</v>
      </c>
      <c r="O801" s="18">
        <f t="shared" si="357"/>
        <v>4.9676479732291369E-2</v>
      </c>
      <c r="P801" s="18">
        <f t="shared" si="359"/>
        <v>4.7485351843942689E-3</v>
      </c>
      <c r="Q801" s="18">
        <f t="shared" si="361"/>
        <v>2.4586414147874745E-3</v>
      </c>
      <c r="R801" s="18">
        <f t="shared" si="363"/>
        <v>2.5962182792553974E-3</v>
      </c>
      <c r="S801" s="18">
        <f t="shared" si="365"/>
        <v>6.9396772183487731E-3</v>
      </c>
      <c r="T801" s="18">
        <f t="shared" si="367"/>
        <v>2.5607154015959609E-2</v>
      </c>
      <c r="U801" s="18">
        <f t="shared" si="369"/>
        <v>4.7829463707394167E-2</v>
      </c>
      <c r="V801" s="18">
        <f t="shared" si="370"/>
        <v>3.9594521040008518E-3</v>
      </c>
      <c r="W801" s="18">
        <f t="shared" si="371"/>
        <v>4.2844628333869691E-2</v>
      </c>
      <c r="X801" s="18">
        <f t="shared" si="372"/>
        <v>8.1517436525279402E-2</v>
      </c>
      <c r="Y801" s="18">
        <f t="shared" si="373"/>
        <v>7.5487163472594765E-2</v>
      </c>
      <c r="AA801" s="18">
        <f t="shared" si="355"/>
        <v>0.22720013962683205</v>
      </c>
      <c r="AB801" s="18">
        <f t="shared" si="356"/>
        <v>5.1619903446451981E-2</v>
      </c>
      <c r="AC801" s="18">
        <f t="shared" si="358"/>
        <v>2.5538271275295675E-3</v>
      </c>
      <c r="AD801" s="18">
        <f t="shared" si="360"/>
        <v>3.5432152137370464E-2</v>
      </c>
      <c r="AE801" s="18">
        <f t="shared" si="362"/>
        <v>1.934092913108176E-3</v>
      </c>
      <c r="AF801" s="18">
        <f t="shared" si="364"/>
        <v>5.6556448517249549E-3</v>
      </c>
      <c r="AG801" s="18">
        <f t="shared" si="366"/>
        <v>8.6190615651937415E-3</v>
      </c>
      <c r="AH801" s="18">
        <f t="shared" si="368"/>
        <v>8.0947461472609264E-6</v>
      </c>
      <c r="AJ801" s="18">
        <f>IF(ISNUMBER(Kernel!M801),Kernel!M801,"")</f>
        <v>0.28021086770069092</v>
      </c>
      <c r="AK801" s="18">
        <f t="shared" si="353"/>
        <v>7.8518130377574116E-2</v>
      </c>
      <c r="AN801" s="18">
        <f>IF(ISNUMBER(Volcanic!G801),Volcanic!G801,"")</f>
        <v>1.5779999999999999E-2</v>
      </c>
    </row>
    <row r="802" spans="1:40">
      <c r="A802" s="18" t="str">
        <f>IF(Volcanic!A802="","",Volcanic!A802)</f>
        <v>11/2024</v>
      </c>
      <c r="B802" s="18">
        <f>IF(ISNUMBER(Volcanic!L802),Volcanic!L802,"")</f>
        <v>2024.875</v>
      </c>
      <c r="C802" s="18">
        <f>IF(ISNUMBER(Volcanic!J802),Volcanic!J802,"")</f>
        <v>0.25394915232883841</v>
      </c>
      <c r="D802" s="18">
        <f t="shared" si="346"/>
        <v>6.449017196853557E-2</v>
      </c>
      <c r="E802" s="18">
        <f>IF(ISNUMBER(Volcanic!C802),Volcanic!C802,"")</f>
        <v>0.59812695991960418</v>
      </c>
      <c r="F802" s="18">
        <f>IF(ISNUMBER(Volcanic!D802),Volcanic!D802,"")</f>
        <v>-0.04</v>
      </c>
      <c r="G802" s="18">
        <f>IF(ISNUMBER(Volcanic!E802),Volcanic!E802,"")</f>
        <v>9.6799999999999994E-3</v>
      </c>
      <c r="H802" s="18">
        <f t="shared" si="347"/>
        <v>0.35775586018266781</v>
      </c>
      <c r="I802" s="18">
        <f t="shared" si="348"/>
        <v>1.6000000000000001E-3</v>
      </c>
      <c r="J802" s="18">
        <f t="shared" si="349"/>
        <v>9.3702399999999992E-5</v>
      </c>
      <c r="K802" s="18">
        <f t="shared" si="350"/>
        <v>-2.3925078396784167E-2</v>
      </c>
      <c r="L802" s="18">
        <f t="shared" si="351"/>
        <v>5.7898689720217679E-3</v>
      </c>
      <c r="M802" s="18">
        <f t="shared" si="352"/>
        <v>-3.8719999999999998E-4</v>
      </c>
      <c r="N802" s="18">
        <f t="shared" si="354"/>
        <v>9.5454011630967561E-2</v>
      </c>
      <c r="O802" s="18">
        <f t="shared" si="357"/>
        <v>2.6439110971729862E-2</v>
      </c>
      <c r="P802" s="18">
        <f t="shared" si="359"/>
        <v>4.9676479732291369E-2</v>
      </c>
      <c r="Q802" s="18">
        <f t="shared" si="361"/>
        <v>4.7485351843942689E-3</v>
      </c>
      <c r="R802" s="18">
        <f t="shared" si="363"/>
        <v>2.4586414147874745E-3</v>
      </c>
      <c r="S802" s="18">
        <f t="shared" si="365"/>
        <v>2.5962182792553974E-3</v>
      </c>
      <c r="T802" s="18">
        <f t="shared" si="367"/>
        <v>6.9396772183487731E-3</v>
      </c>
      <c r="U802" s="18">
        <f t="shared" si="369"/>
        <v>2.5607154015959609E-2</v>
      </c>
      <c r="V802" s="18">
        <f t="shared" si="370"/>
        <v>4.7829463707394167E-2</v>
      </c>
      <c r="W802" s="18">
        <f t="shared" si="371"/>
        <v>3.9594521040008518E-3</v>
      </c>
      <c r="X802" s="18">
        <f t="shared" si="372"/>
        <v>4.2844628333869691E-2</v>
      </c>
      <c r="Y802" s="18">
        <f t="shared" si="373"/>
        <v>8.1517436525279402E-2</v>
      </c>
      <c r="AA802" s="18">
        <f t="shared" si="355"/>
        <v>9.8605219505927072E-2</v>
      </c>
      <c r="AB802" s="18">
        <f t="shared" si="356"/>
        <v>9.722989313812061E-3</v>
      </c>
      <c r="AC802" s="18">
        <f t="shared" si="358"/>
        <v>5.1619903446451981E-2</v>
      </c>
      <c r="AD802" s="18">
        <f t="shared" si="360"/>
        <v>2.5538271275295675E-3</v>
      </c>
      <c r="AE802" s="18">
        <f t="shared" si="362"/>
        <v>3.5432152137370464E-2</v>
      </c>
      <c r="AF802" s="18">
        <f t="shared" si="364"/>
        <v>1.934092913108176E-3</v>
      </c>
      <c r="AG802" s="18">
        <f t="shared" si="366"/>
        <v>5.6556448517249549E-3</v>
      </c>
      <c r="AH802" s="18">
        <f t="shared" si="368"/>
        <v>8.6190615651937415E-3</v>
      </c>
      <c r="AJ802" s="18">
        <f>IF(ISNUMBER(Kernel!M802),Kernel!M802,"")</f>
        <v>0.23200097304073708</v>
      </c>
      <c r="AK802" s="18">
        <f t="shared" si="353"/>
        <v>5.3824451491848814E-2</v>
      </c>
      <c r="AN802" s="18">
        <f>IF(ISNUMBER(Volcanic!G802),Volcanic!G802,"")</f>
        <v>1.6060000000000001E-2</v>
      </c>
    </row>
    <row r="803" spans="1:40">
      <c r="A803" s="18" t="str">
        <f>IF(Volcanic!A803="","",Volcanic!A803)</f>
        <v>12/2024</v>
      </c>
      <c r="B803" s="18">
        <f>IF(ISNUMBER(Volcanic!L803),Volcanic!L803,"")</f>
        <v>2024.9583333333333</v>
      </c>
      <c r="C803" s="18">
        <f>IF(ISNUMBER(Volcanic!J803),Volcanic!J803,"")</f>
        <v>0.22922141236995586</v>
      </c>
      <c r="D803" s="18">
        <f t="shared" si="346"/>
        <v>5.2542455888877349E-2</v>
      </c>
      <c r="E803" s="18">
        <f>IF(ISNUMBER(Volcanic!C803),Volcanic!C803,"")</f>
        <v>0.60339320612834335</v>
      </c>
      <c r="F803" s="18">
        <f>IF(ISNUMBER(Volcanic!D803),Volcanic!D803,"")</f>
        <v>-0.12</v>
      </c>
      <c r="G803" s="18">
        <f>IF(ISNUMBER(Volcanic!E803),Volcanic!E803,"")</f>
        <v>1.523E-2</v>
      </c>
      <c r="H803" s="18">
        <f t="shared" si="347"/>
        <v>0.36408336120184143</v>
      </c>
      <c r="I803" s="18">
        <f t="shared" si="348"/>
        <v>1.44E-2</v>
      </c>
      <c r="J803" s="18">
        <f t="shared" si="349"/>
        <v>2.3195290000000001E-4</v>
      </c>
      <c r="K803" s="18">
        <f t="shared" si="350"/>
        <v>-7.2407184735401198E-2</v>
      </c>
      <c r="L803" s="18">
        <f t="shared" si="351"/>
        <v>9.1896785293346696E-3</v>
      </c>
      <c r="M803" s="18">
        <f t="shared" si="352"/>
        <v>-1.8276E-3</v>
      </c>
      <c r="N803" s="18">
        <f t="shared" si="354"/>
        <v>6.449017196853557E-2</v>
      </c>
      <c r="O803" s="18">
        <f t="shared" si="357"/>
        <v>9.5454011630967561E-2</v>
      </c>
      <c r="P803" s="18">
        <f t="shared" si="359"/>
        <v>2.6439110971729862E-2</v>
      </c>
      <c r="Q803" s="18">
        <f t="shared" si="361"/>
        <v>4.9676479732291369E-2</v>
      </c>
      <c r="R803" s="18">
        <f t="shared" si="363"/>
        <v>4.7485351843942689E-3</v>
      </c>
      <c r="S803" s="18">
        <f t="shared" si="365"/>
        <v>2.4586414147874745E-3</v>
      </c>
      <c r="T803" s="18">
        <f t="shared" si="367"/>
        <v>2.5962182792553974E-3</v>
      </c>
      <c r="U803" s="18">
        <f t="shared" si="369"/>
        <v>6.9396772183487731E-3</v>
      </c>
      <c r="V803" s="18">
        <f t="shared" si="370"/>
        <v>2.5607154015959609E-2</v>
      </c>
      <c r="W803" s="18">
        <f t="shared" si="371"/>
        <v>4.7829463707394167E-2</v>
      </c>
      <c r="X803" s="18">
        <f t="shared" si="372"/>
        <v>3.9594521040008518E-3</v>
      </c>
      <c r="Y803" s="18">
        <f t="shared" si="373"/>
        <v>4.2844628333869691E-2</v>
      </c>
      <c r="AA803" s="18">
        <f t="shared" si="355"/>
        <v>0.10153520986442974</v>
      </c>
      <c r="AB803" s="18">
        <f t="shared" si="356"/>
        <v>1.0309398842213789E-2</v>
      </c>
      <c r="AC803" s="18">
        <f t="shared" si="358"/>
        <v>9.722989313812061E-3</v>
      </c>
      <c r="AD803" s="18">
        <f t="shared" si="360"/>
        <v>5.1619903446451981E-2</v>
      </c>
      <c r="AE803" s="18">
        <f t="shared" si="362"/>
        <v>2.5538271275295675E-3</v>
      </c>
      <c r="AF803" s="18">
        <f t="shared" si="364"/>
        <v>3.5432152137370464E-2</v>
      </c>
      <c r="AG803" s="18">
        <f t="shared" si="366"/>
        <v>1.934092913108176E-3</v>
      </c>
      <c r="AH803" s="18">
        <f t="shared" si="368"/>
        <v>5.6556448517249549E-3</v>
      </c>
      <c r="AJ803" s="18">
        <f>IF(ISNUMBER(Kernel!M803),Kernel!M803,"")</f>
        <v>0.2037798492171754</v>
      </c>
      <c r="AK803" s="18">
        <f t="shared" si="353"/>
        <v>4.1526226946974741E-2</v>
      </c>
      <c r="AN803" s="18">
        <f>IF(ISNUMBER(Volcanic!G803),Volcanic!G803,"")</f>
        <v>1.601E-2</v>
      </c>
    </row>
    <row r="804" spans="1:40">
      <c r="A804" s="18" t="str">
        <f>IF(Volcanic!A804="","",Volcanic!A804)</f>
        <v>1/2025</v>
      </c>
      <c r="B804" s="18">
        <f>IF(ISNUMBER(Volcanic!L804),Volcanic!L804,"")</f>
        <v>2025.0416666666667</v>
      </c>
      <c r="C804" s="18">
        <f>IF(ISNUMBER(Volcanic!J804),Volcanic!J804,"")</f>
        <v>0.34145499552198344</v>
      </c>
      <c r="D804" s="18">
        <f t="shared" si="346"/>
        <v>0.11659151396691773</v>
      </c>
      <c r="E804" s="18">
        <f>IF(ISNUMBER(Volcanic!C804),Volcanic!C804,"")</f>
        <v>0.60762622084548734</v>
      </c>
      <c r="F804" s="18">
        <f>IF(ISNUMBER(Volcanic!D804),Volcanic!D804,"")</f>
        <v>-0.19</v>
      </c>
      <c r="G804" s="18">
        <f>IF(ISNUMBER(Volcanic!E804),Volcanic!E804,"")</f>
        <v>1.8540000000000001E-2</v>
      </c>
      <c r="H804" s="18">
        <f t="shared" si="347"/>
        <v>0.36920962425896897</v>
      </c>
      <c r="I804" s="18">
        <f t="shared" si="348"/>
        <v>3.61E-2</v>
      </c>
      <c r="J804" s="18">
        <f t="shared" si="349"/>
        <v>3.4373160000000005E-4</v>
      </c>
      <c r="K804" s="18">
        <f t="shared" si="350"/>
        <v>-0.1154489819606426</v>
      </c>
      <c r="L804" s="18">
        <f t="shared" si="351"/>
        <v>1.1265390134475336E-2</v>
      </c>
      <c r="M804" s="18">
        <f t="shared" si="352"/>
        <v>-3.5226000000000003E-3</v>
      </c>
      <c r="N804" s="18">
        <f t="shared" si="354"/>
        <v>5.2542455888877349E-2</v>
      </c>
      <c r="O804" s="18">
        <f t="shared" si="357"/>
        <v>6.449017196853557E-2</v>
      </c>
      <c r="P804" s="18">
        <f t="shared" si="359"/>
        <v>9.5454011630967561E-2</v>
      </c>
      <c r="Q804" s="18">
        <f t="shared" si="361"/>
        <v>2.6439110971729862E-2</v>
      </c>
      <c r="R804" s="18">
        <f t="shared" si="363"/>
        <v>4.9676479732291369E-2</v>
      </c>
      <c r="S804" s="18">
        <f t="shared" si="365"/>
        <v>4.7485351843942689E-3</v>
      </c>
      <c r="T804" s="18">
        <f t="shared" si="367"/>
        <v>2.4586414147874745E-3</v>
      </c>
      <c r="U804" s="18">
        <f t="shared" si="369"/>
        <v>2.5962182792553974E-3</v>
      </c>
      <c r="V804" s="18">
        <f t="shared" si="370"/>
        <v>6.9396772183487731E-3</v>
      </c>
      <c r="W804" s="18">
        <f t="shared" si="371"/>
        <v>2.5607154015959609E-2</v>
      </c>
      <c r="X804" s="18">
        <f t="shared" si="372"/>
        <v>4.7829463707394167E-2</v>
      </c>
      <c r="Y804" s="18">
        <f t="shared" si="373"/>
        <v>3.9594521040008518E-3</v>
      </c>
      <c r="AA804" s="18">
        <f t="shared" si="355"/>
        <v>0.226201956045115</v>
      </c>
      <c r="AB804" s="18">
        <f t="shared" si="356"/>
        <v>5.116732491863614E-2</v>
      </c>
      <c r="AC804" s="18">
        <f t="shared" si="358"/>
        <v>1.0309398842213789E-2</v>
      </c>
      <c r="AD804" s="18">
        <f t="shared" si="360"/>
        <v>9.722989313812061E-3</v>
      </c>
      <c r="AE804" s="18">
        <f t="shared" si="362"/>
        <v>5.1619903446451981E-2</v>
      </c>
      <c r="AF804" s="18">
        <f t="shared" si="364"/>
        <v>2.5538271275295675E-3</v>
      </c>
      <c r="AG804" s="18">
        <f t="shared" si="366"/>
        <v>3.5432152137370464E-2</v>
      </c>
      <c r="AH804" s="18">
        <f t="shared" si="368"/>
        <v>1.934092913108176E-3</v>
      </c>
      <c r="AJ804" s="18">
        <f>IF(ISNUMBER(Kernel!M804),Kernel!M804,"")</f>
        <v>0.31636599501847473</v>
      </c>
      <c r="AK804" s="18">
        <f t="shared" si="353"/>
        <v>0.10008744280402958</v>
      </c>
      <c r="AN804" s="18">
        <f>IF(ISNUMBER(Volcanic!G804),Volcanic!G804,"")</f>
        <v>1.532E-2</v>
      </c>
    </row>
    <row r="805" spans="1:40">
      <c r="A805" s="18" t="str">
        <f>IF(Volcanic!A805="","",Volcanic!A805)</f>
        <v>2/2025</v>
      </c>
      <c r="B805" s="18">
        <f>IF(ISNUMBER(Volcanic!L805),Volcanic!L805,"")</f>
        <v>2025.125</v>
      </c>
      <c r="C805" s="18">
        <f>IF(ISNUMBER(Volcanic!J805),Volcanic!J805,"")</f>
        <v>0.22300403367593469</v>
      </c>
      <c r="D805" s="18">
        <f t="shared" si="346"/>
        <v>4.9730799035737412E-2</v>
      </c>
      <c r="E805" s="18">
        <f>IF(ISNUMBER(Volcanic!C805),Volcanic!C805,"")</f>
        <v>0.60911329155599458</v>
      </c>
      <c r="F805" s="18">
        <f>IF(ISNUMBER(Volcanic!D805),Volcanic!D805,"")</f>
        <v>-0.28999999999999998</v>
      </c>
      <c r="G805" s="18">
        <f>IF(ISNUMBER(Volcanic!E805),Volcanic!E805,"")</f>
        <v>1.687E-2</v>
      </c>
      <c r="H805" s="18">
        <f t="shared" si="347"/>
        <v>0.37101900195017806</v>
      </c>
      <c r="I805" s="18">
        <f t="shared" si="348"/>
        <v>8.4099999999999994E-2</v>
      </c>
      <c r="J805" s="18">
        <f t="shared" si="349"/>
        <v>2.8459690000000001E-4</v>
      </c>
      <c r="K805" s="18">
        <f t="shared" si="350"/>
        <v>-0.1766428545512384</v>
      </c>
      <c r="L805" s="18">
        <f t="shared" si="351"/>
        <v>1.0275741228549629E-2</v>
      </c>
      <c r="M805" s="18">
        <f t="shared" si="352"/>
        <v>-4.8922999999999996E-3</v>
      </c>
      <c r="N805" s="18">
        <f t="shared" si="354"/>
        <v>0.11659151396691773</v>
      </c>
      <c r="O805" s="18">
        <f t="shared" si="357"/>
        <v>5.2542455888877349E-2</v>
      </c>
      <c r="P805" s="18">
        <f t="shared" si="359"/>
        <v>6.449017196853557E-2</v>
      </c>
      <c r="Q805" s="18">
        <f t="shared" si="361"/>
        <v>9.5454011630967561E-2</v>
      </c>
      <c r="R805" s="18">
        <f t="shared" si="363"/>
        <v>2.6439110971729862E-2</v>
      </c>
      <c r="S805" s="18">
        <f t="shared" si="365"/>
        <v>4.9676479732291369E-2</v>
      </c>
      <c r="T805" s="18">
        <f t="shared" si="367"/>
        <v>4.7485351843942689E-3</v>
      </c>
      <c r="U805" s="18">
        <f t="shared" si="369"/>
        <v>2.4586414147874745E-3</v>
      </c>
      <c r="V805" s="18">
        <f t="shared" si="370"/>
        <v>2.5962182792553974E-3</v>
      </c>
      <c r="W805" s="18">
        <f t="shared" si="371"/>
        <v>6.9396772183487731E-3</v>
      </c>
      <c r="X805" s="18">
        <f t="shared" si="372"/>
        <v>2.5607154015959609E-2</v>
      </c>
      <c r="Y805" s="18">
        <f t="shared" si="373"/>
        <v>4.7829463707394167E-2</v>
      </c>
      <c r="AA805" s="18">
        <f t="shared" si="355"/>
        <v>5.1319697245123974E-2</v>
      </c>
      <c r="AB805" s="18">
        <f t="shared" si="356"/>
        <v>2.6337113253311851E-3</v>
      </c>
      <c r="AC805" s="18">
        <f t="shared" si="358"/>
        <v>5.116732491863614E-2</v>
      </c>
      <c r="AD805" s="18">
        <f t="shared" si="360"/>
        <v>1.0309398842213789E-2</v>
      </c>
      <c r="AE805" s="18">
        <f t="shared" si="362"/>
        <v>9.722989313812061E-3</v>
      </c>
      <c r="AF805" s="18">
        <f t="shared" si="364"/>
        <v>5.1619903446451981E-2</v>
      </c>
      <c r="AG805" s="18">
        <f t="shared" si="366"/>
        <v>2.5538271275295675E-3</v>
      </c>
      <c r="AH805" s="18">
        <f t="shared" si="368"/>
        <v>3.5432152137370464E-2</v>
      </c>
      <c r="AJ805" s="18">
        <f>IF(ISNUMBER(Kernel!M805),Kernel!M805,"")</f>
        <v>0.19887528273447863</v>
      </c>
      <c r="AK805" s="18">
        <f t="shared" si="353"/>
        <v>3.9551378082718816E-2</v>
      </c>
      <c r="AN805" s="18">
        <f>IF(ISNUMBER(Volcanic!G805),Volcanic!G805,"")</f>
        <v>1.4789999999999999E-2</v>
      </c>
    </row>
    <row r="806" spans="1:40">
      <c r="A806" s="18" t="str">
        <f>IF(Volcanic!A806="","",Volcanic!A806)</f>
        <v>3/2025</v>
      </c>
      <c r="B806" s="18">
        <f>IF(ISNUMBER(Volcanic!L806),Volcanic!L806,"")</f>
        <v>2025.2083333333333</v>
      </c>
      <c r="C806" s="18">
        <f>IF(ISNUMBER(Volcanic!J806),Volcanic!J806,"")</f>
        <v>0.33571341249678222</v>
      </c>
      <c r="D806" s="18">
        <f t="shared" si="346"/>
        <v>0.11270349533023465</v>
      </c>
      <c r="E806" s="18">
        <f>IF(ISNUMBER(Volcanic!C806),Volcanic!C806,"")</f>
        <v>0.61268949829656494</v>
      </c>
      <c r="F806" s="18">
        <f>IF(ISNUMBER(Volcanic!D806),Volcanic!D806,"")</f>
        <v>-0.43</v>
      </c>
      <c r="G806" s="18">
        <f>IF(ISNUMBER(Volcanic!E806),Volcanic!E806,"")</f>
        <v>1.6629999999999999E-2</v>
      </c>
      <c r="H806" s="18">
        <f t="shared" si="347"/>
        <v>0.37538842132289646</v>
      </c>
      <c r="I806" s="18">
        <f t="shared" si="348"/>
        <v>0.18489999999999998</v>
      </c>
      <c r="J806" s="18">
        <f t="shared" si="349"/>
        <v>2.7655689999999994E-4</v>
      </c>
      <c r="K806" s="18">
        <f t="shared" si="350"/>
        <v>-0.26345648426752294</v>
      </c>
      <c r="L806" s="18">
        <f t="shared" si="351"/>
        <v>1.0189026356671875E-2</v>
      </c>
      <c r="M806" s="18">
        <f t="shared" si="352"/>
        <v>-7.1508999999999991E-3</v>
      </c>
      <c r="N806" s="18">
        <f t="shared" si="354"/>
        <v>4.9730799035737412E-2</v>
      </c>
      <c r="O806" s="18">
        <f t="shared" si="357"/>
        <v>0.11659151396691773</v>
      </c>
      <c r="P806" s="18">
        <f t="shared" si="359"/>
        <v>5.2542455888877349E-2</v>
      </c>
      <c r="Q806" s="18">
        <f t="shared" si="361"/>
        <v>6.449017196853557E-2</v>
      </c>
      <c r="R806" s="18">
        <f t="shared" si="363"/>
        <v>9.5454011630967561E-2</v>
      </c>
      <c r="S806" s="18">
        <f t="shared" si="365"/>
        <v>2.6439110971729862E-2</v>
      </c>
      <c r="T806" s="18">
        <f t="shared" si="367"/>
        <v>4.9676479732291369E-2</v>
      </c>
      <c r="U806" s="18">
        <f t="shared" si="369"/>
        <v>4.7485351843942689E-3</v>
      </c>
      <c r="V806" s="18">
        <f t="shared" si="370"/>
        <v>2.4586414147874745E-3</v>
      </c>
      <c r="W806" s="18">
        <f t="shared" si="371"/>
        <v>2.5962182792553974E-3</v>
      </c>
      <c r="X806" s="18">
        <f t="shared" si="372"/>
        <v>6.9396772183487731E-3</v>
      </c>
      <c r="Y806" s="18">
        <f t="shared" si="373"/>
        <v>2.5607154015959609E-2</v>
      </c>
      <c r="AA806" s="18">
        <f t="shared" si="355"/>
        <v>0.22358648495097602</v>
      </c>
      <c r="AB806" s="18">
        <f t="shared" si="356"/>
        <v>4.9990916252733025E-2</v>
      </c>
      <c r="AC806" s="18">
        <f t="shared" si="358"/>
        <v>2.6337113253311851E-3</v>
      </c>
      <c r="AD806" s="18">
        <f t="shared" si="360"/>
        <v>5.116732491863614E-2</v>
      </c>
      <c r="AE806" s="18">
        <f t="shared" si="362"/>
        <v>1.0309398842213789E-2</v>
      </c>
      <c r="AF806" s="18">
        <f t="shared" si="364"/>
        <v>9.722989313812061E-3</v>
      </c>
      <c r="AG806" s="18">
        <f t="shared" si="366"/>
        <v>5.1619903446451981E-2</v>
      </c>
      <c r="AH806" s="18">
        <f t="shared" si="368"/>
        <v>2.5538271275295675E-3</v>
      </c>
      <c r="AJ806" s="18">
        <f>IF(ISNUMBER(Kernel!M806),Kernel!M806,"")</f>
        <v>0.3015299878651152</v>
      </c>
      <c r="AK806" s="18">
        <f t="shared" si="353"/>
        <v>9.0920333581936519E-2</v>
      </c>
      <c r="AN806" s="18">
        <f>IF(ISNUMBER(Volcanic!G806),Volcanic!G806,"")</f>
        <v>1.422E-2</v>
      </c>
    </row>
    <row r="807" spans="1:40">
      <c r="A807" s="18" t="str">
        <f>IF(Volcanic!A807="","",Volcanic!A807)</f>
        <v>4/2025</v>
      </c>
      <c r="B807" s="18">
        <f>IF(ISNUMBER(Volcanic!L807),Volcanic!L807,"")</f>
        <v>2025.2916666666667</v>
      </c>
      <c r="C807" s="18">
        <f>IF(ISNUMBER(Volcanic!J807),Volcanic!J807,"")</f>
        <v>0.20262707742909458</v>
      </c>
      <c r="D807" s="18">
        <f t="shared" si="346"/>
        <v>4.1057732507456292E-2</v>
      </c>
      <c r="E807" s="18">
        <f>IF(ISNUMBER(Volcanic!C807),Volcanic!C807,"")</f>
        <v>0.61770148904698363</v>
      </c>
      <c r="F807" s="18">
        <f>IF(ISNUMBER(Volcanic!D807),Volcanic!D807,"")</f>
        <v>-0.46</v>
      </c>
      <c r="G807" s="18">
        <f>IF(ISNUMBER(Volcanic!E807),Volcanic!E807,"")</f>
        <v>1.5630000000000002E-2</v>
      </c>
      <c r="H807" s="18">
        <f t="shared" si="347"/>
        <v>0.38155512957086085</v>
      </c>
      <c r="I807" s="18">
        <f t="shared" si="348"/>
        <v>0.21160000000000001</v>
      </c>
      <c r="J807" s="18">
        <f t="shared" si="349"/>
        <v>2.4429690000000006E-4</v>
      </c>
      <c r="K807" s="18">
        <f t="shared" si="350"/>
        <v>-0.28414268496161249</v>
      </c>
      <c r="L807" s="18">
        <f t="shared" si="351"/>
        <v>9.6546742738043544E-3</v>
      </c>
      <c r="M807" s="18">
        <f t="shared" si="352"/>
        <v>-7.1898000000000014E-3</v>
      </c>
      <c r="N807" s="18">
        <f t="shared" si="354"/>
        <v>0.11270349533023465</v>
      </c>
      <c r="O807" s="18">
        <f t="shared" si="357"/>
        <v>4.9730799035737412E-2</v>
      </c>
      <c r="P807" s="18">
        <f t="shared" si="359"/>
        <v>0.11659151396691773</v>
      </c>
      <c r="Q807" s="18">
        <f t="shared" si="361"/>
        <v>5.2542455888877349E-2</v>
      </c>
      <c r="R807" s="18">
        <f t="shared" si="363"/>
        <v>6.449017196853557E-2</v>
      </c>
      <c r="S807" s="18">
        <f t="shared" si="365"/>
        <v>9.5454011630967561E-2</v>
      </c>
      <c r="T807" s="18">
        <f t="shared" si="367"/>
        <v>2.6439110971729862E-2</v>
      </c>
      <c r="U807" s="18">
        <f t="shared" si="369"/>
        <v>4.9676479732291369E-2</v>
      </c>
      <c r="V807" s="18">
        <f t="shared" si="370"/>
        <v>4.7485351843942689E-3</v>
      </c>
      <c r="W807" s="18">
        <f t="shared" si="371"/>
        <v>2.4586414147874745E-3</v>
      </c>
      <c r="X807" s="18">
        <f t="shared" si="372"/>
        <v>2.5962182792553974E-3</v>
      </c>
      <c r="Y807" s="18">
        <f t="shared" si="373"/>
        <v>6.9396772183487731E-3</v>
      </c>
      <c r="AA807" s="18">
        <f t="shared" si="355"/>
        <v>3.3829621801527571E-2</v>
      </c>
      <c r="AB807" s="18">
        <f t="shared" si="356"/>
        <v>1.1444433112343896E-3</v>
      </c>
      <c r="AC807" s="18">
        <f t="shared" si="358"/>
        <v>4.9990916252733025E-2</v>
      </c>
      <c r="AD807" s="18">
        <f t="shared" si="360"/>
        <v>2.6337113253311851E-3</v>
      </c>
      <c r="AE807" s="18">
        <f t="shared" si="362"/>
        <v>5.116732491863614E-2</v>
      </c>
      <c r="AF807" s="18">
        <f t="shared" si="364"/>
        <v>1.0309398842213789E-2</v>
      </c>
      <c r="AG807" s="18">
        <f t="shared" si="366"/>
        <v>9.722989313812061E-3</v>
      </c>
      <c r="AH807" s="18">
        <f t="shared" si="368"/>
        <v>5.1619903446451981E-2</v>
      </c>
      <c r="AJ807" s="18">
        <f>IF(ISNUMBER(Kernel!M807),Kernel!M807,"")</f>
        <v>0.16770465562328019</v>
      </c>
      <c r="AK807" s="18">
        <f t="shared" si="353"/>
        <v>2.8124851517723003E-2</v>
      </c>
      <c r="AN807" s="18">
        <f>IF(ISNUMBER(Volcanic!G807),Volcanic!G807,"")</f>
        <v>1.404E-2</v>
      </c>
    </row>
    <row r="808" spans="1:40">
      <c r="A808" s="18" t="str">
        <f>IF(Volcanic!A808="","",Volcanic!A808)</f>
        <v>5/2025</v>
      </c>
      <c r="B808" s="18">
        <f>IF(ISNUMBER(Volcanic!L808),Volcanic!L808,"")</f>
        <v>2025.375</v>
      </c>
      <c r="C808" s="18">
        <f>IF(ISNUMBER(Volcanic!J808),Volcanic!J808,"")</f>
        <v>2.7265165803165292E-3</v>
      </c>
      <c r="D808" s="18">
        <f t="shared" si="346"/>
        <v>7.4338926627409403E-6</v>
      </c>
      <c r="E808" s="18">
        <f>IF(ISNUMBER(Volcanic!C808),Volcanic!C808,"")</f>
        <v>0.62061992214258854</v>
      </c>
      <c r="F808" s="18">
        <f>IF(ISNUMBER(Volcanic!D808),Volcanic!D808,"")</f>
        <v>-0.22</v>
      </c>
      <c r="G808" s="18">
        <f>IF(ISNUMBER(Volcanic!E808),Volcanic!E808,"")</f>
        <v>1.5779999999999999E-2</v>
      </c>
      <c r="H808" s="18">
        <f t="shared" si="347"/>
        <v>0.38516908776027264</v>
      </c>
      <c r="I808" s="18">
        <f t="shared" si="348"/>
        <v>4.8399999999999999E-2</v>
      </c>
      <c r="J808" s="18">
        <f t="shared" si="349"/>
        <v>2.4900839999999997E-4</v>
      </c>
      <c r="K808" s="18">
        <f t="shared" si="350"/>
        <v>-0.13653638287136949</v>
      </c>
      <c r="L808" s="18">
        <f t="shared" si="351"/>
        <v>9.7933823714100466E-3</v>
      </c>
      <c r="M808" s="18">
        <f t="shared" si="352"/>
        <v>-3.4715999999999996E-3</v>
      </c>
      <c r="N808" s="18">
        <f t="shared" si="354"/>
        <v>4.1057732507456292E-2</v>
      </c>
      <c r="O808" s="18">
        <f t="shared" si="357"/>
        <v>0.11270349533023465</v>
      </c>
      <c r="P808" s="18">
        <f t="shared" si="359"/>
        <v>4.9730799035737412E-2</v>
      </c>
      <c r="Q808" s="18">
        <f t="shared" si="361"/>
        <v>0.11659151396691773</v>
      </c>
      <c r="R808" s="18">
        <f t="shared" si="363"/>
        <v>5.2542455888877349E-2</v>
      </c>
      <c r="S808" s="18">
        <f t="shared" si="365"/>
        <v>6.449017196853557E-2</v>
      </c>
      <c r="T808" s="18">
        <f t="shared" si="367"/>
        <v>9.5454011630967561E-2</v>
      </c>
      <c r="U808" s="18">
        <f t="shared" si="369"/>
        <v>2.6439110971729862E-2</v>
      </c>
      <c r="V808" s="18">
        <f t="shared" si="370"/>
        <v>4.9676479732291369E-2</v>
      </c>
      <c r="W808" s="18">
        <f t="shared" si="371"/>
        <v>4.7485351843942689E-3</v>
      </c>
      <c r="X808" s="18">
        <f t="shared" si="372"/>
        <v>2.4586414147874745E-3</v>
      </c>
      <c r="Y808" s="18">
        <f t="shared" si="373"/>
        <v>2.5962182792553974E-3</v>
      </c>
      <c r="AA808" s="18">
        <f t="shared" si="355"/>
        <v>-9.9154831730749265E-2</v>
      </c>
      <c r="AB808" s="18">
        <f t="shared" si="356"/>
        <v>9.8316806555532009E-3</v>
      </c>
      <c r="AC808" s="18">
        <f t="shared" si="358"/>
        <v>1.1444433112343896E-3</v>
      </c>
      <c r="AD808" s="18">
        <f t="shared" si="360"/>
        <v>4.9990916252733025E-2</v>
      </c>
      <c r="AE808" s="18">
        <f t="shared" si="362"/>
        <v>2.6337113253311851E-3</v>
      </c>
      <c r="AF808" s="18">
        <f t="shared" si="364"/>
        <v>5.116732491863614E-2</v>
      </c>
      <c r="AG808" s="18">
        <f t="shared" si="366"/>
        <v>1.0309398842213789E-2</v>
      </c>
      <c r="AH808" s="18">
        <f t="shared" si="368"/>
        <v>9.722989313812061E-3</v>
      </c>
      <c r="AJ808" s="18">
        <f>IF(ISNUMBER(Kernel!M808),Kernel!M808,"")</f>
        <v>-9.3505633918005149E-3</v>
      </c>
      <c r="AK808" s="18">
        <f t="shared" si="353"/>
        <v>8.7433035744079952E-5</v>
      </c>
      <c r="AN808" s="18">
        <f>IF(ISNUMBER(Volcanic!G808),Volcanic!G808,"")</f>
        <v>1.328E-2</v>
      </c>
    </row>
    <row r="809" spans="1:40">
      <c r="A809" s="18" t="str">
        <f>IF(Volcanic!A809="","",Volcanic!A809)</f>
        <v>6/2025</v>
      </c>
      <c r="B809" s="18">
        <f>IF(ISNUMBER(Volcanic!L809),Volcanic!L809,"")</f>
        <v>2025.4583333333333</v>
      </c>
      <c r="C809" s="18">
        <f>IF(ISNUMBER(Volcanic!J809),Volcanic!J809,"")</f>
        <v>-1.1414113407901771E-2</v>
      </c>
      <c r="D809" s="18">
        <f t="shared" si="346"/>
        <v>1.3028198488844299E-4</v>
      </c>
      <c r="E809" s="18">
        <f>IF(ISNUMBER(Volcanic!C809),Volcanic!C809,"")</f>
        <v>0.61760074804903375</v>
      </c>
      <c r="F809" s="18">
        <f>IF(ISNUMBER(Volcanic!D809),Volcanic!D809,"")</f>
        <v>-0.08</v>
      </c>
      <c r="G809" s="18">
        <f>IF(ISNUMBER(Volcanic!E809),Volcanic!E809,"")</f>
        <v>1.6060000000000001E-2</v>
      </c>
      <c r="H809" s="18">
        <f t="shared" si="347"/>
        <v>0.38143068399072605</v>
      </c>
      <c r="I809" s="18">
        <f t="shared" si="348"/>
        <v>6.4000000000000003E-3</v>
      </c>
      <c r="J809" s="18">
        <f t="shared" si="349"/>
        <v>2.5792360000000006E-4</v>
      </c>
      <c r="K809" s="18">
        <f t="shared" si="350"/>
        <v>-4.94080598439227E-2</v>
      </c>
      <c r="L809" s="18">
        <f t="shared" si="351"/>
        <v>9.9186680136674824E-3</v>
      </c>
      <c r="M809" s="18">
        <f t="shared" si="352"/>
        <v>-1.2848000000000002E-3</v>
      </c>
      <c r="N809" s="18">
        <f t="shared" si="354"/>
        <v>7.4338926627409403E-6</v>
      </c>
      <c r="O809" s="18">
        <f t="shared" si="357"/>
        <v>4.1057732507456292E-2</v>
      </c>
      <c r="P809" s="18">
        <f t="shared" si="359"/>
        <v>0.11270349533023465</v>
      </c>
      <c r="Q809" s="18">
        <f t="shared" si="361"/>
        <v>4.9730799035737412E-2</v>
      </c>
      <c r="R809" s="18">
        <f t="shared" si="363"/>
        <v>0.11659151396691773</v>
      </c>
      <c r="S809" s="18">
        <f t="shared" si="365"/>
        <v>5.2542455888877349E-2</v>
      </c>
      <c r="T809" s="18">
        <f t="shared" si="367"/>
        <v>6.449017196853557E-2</v>
      </c>
      <c r="U809" s="18">
        <f t="shared" si="369"/>
        <v>9.5454011630967561E-2</v>
      </c>
      <c r="V809" s="18">
        <f t="shared" si="370"/>
        <v>2.6439110971729862E-2</v>
      </c>
      <c r="W809" s="18">
        <f t="shared" si="371"/>
        <v>4.9676479732291369E-2</v>
      </c>
      <c r="X809" s="18">
        <f t="shared" si="372"/>
        <v>4.7485351843942689E-3</v>
      </c>
      <c r="Y809" s="18">
        <f t="shared" si="373"/>
        <v>2.4586414147874745E-3</v>
      </c>
      <c r="AA809" s="18">
        <f t="shared" si="355"/>
        <v>-1.2785012050470055E-2</v>
      </c>
      <c r="AB809" s="18">
        <f t="shared" si="356"/>
        <v>1.6345653313066454E-4</v>
      </c>
      <c r="AC809" s="18">
        <f t="shared" si="358"/>
        <v>9.8316806555532009E-3</v>
      </c>
      <c r="AD809" s="18">
        <f t="shared" si="360"/>
        <v>1.1444433112343896E-3</v>
      </c>
      <c r="AE809" s="18">
        <f t="shared" si="362"/>
        <v>4.9990916252733025E-2</v>
      </c>
      <c r="AF809" s="18">
        <f t="shared" si="364"/>
        <v>2.6337113253311851E-3</v>
      </c>
      <c r="AG809" s="18">
        <f t="shared" si="366"/>
        <v>5.116732491863614E-2</v>
      </c>
      <c r="AH809" s="18">
        <f t="shared" si="368"/>
        <v>1.0309398842213789E-2</v>
      </c>
      <c r="AJ809" s="18">
        <f>IF(ISNUMBER(Kernel!M809),Kernel!M809,"")</f>
        <v>-1.0595639863904438E-2</v>
      </c>
      <c r="AK809" s="18">
        <f t="shared" si="353"/>
        <v>1.1226758412556086E-4</v>
      </c>
      <c r="AN809" s="18">
        <f>IF(ISNUMBER(Volcanic!G809),Volcanic!G809,"")</f>
        <v>1.4590000000000001E-2</v>
      </c>
    </row>
    <row r="810" spans="1:40">
      <c r="A810" s="18" t="str">
        <f>IF(Volcanic!A810="","",Volcanic!A810)</f>
        <v>7/2025</v>
      </c>
      <c r="B810" s="18">
        <f>IF(ISNUMBER(Volcanic!L810),Volcanic!L810,"")</f>
        <v>2025.5416666666667</v>
      </c>
      <c r="C810" s="18">
        <f>IF(ISNUMBER(Volcanic!J810),Volcanic!J810,"")</f>
        <v>-5.4834426076867837E-2</v>
      </c>
      <c r="D810" s="18">
        <f t="shared" si="346"/>
        <v>3.0068142831794833E-3</v>
      </c>
      <c r="E810" s="18">
        <f>IF(ISNUMBER(Volcanic!C810),Volcanic!C810,"")</f>
        <v>0.61174570112861226</v>
      </c>
      <c r="F810" s="18">
        <f>IF(ISNUMBER(Volcanic!D810),Volcanic!D810,"")</f>
        <v>0.02</v>
      </c>
      <c r="G810" s="18">
        <f>IF(ISNUMBER(Volcanic!E810),Volcanic!E810,"")</f>
        <v>1.601E-2</v>
      </c>
      <c r="H810" s="18">
        <f t="shared" si="347"/>
        <v>0.37423280284933741</v>
      </c>
      <c r="I810" s="18">
        <f t="shared" si="348"/>
        <v>4.0000000000000002E-4</v>
      </c>
      <c r="J810" s="18">
        <f t="shared" si="349"/>
        <v>2.5632010000000002E-4</v>
      </c>
      <c r="K810" s="18">
        <f t="shared" si="350"/>
        <v>1.2234914022572246E-2</v>
      </c>
      <c r="L810" s="18">
        <f t="shared" si="351"/>
        <v>9.7940486750690819E-3</v>
      </c>
      <c r="M810" s="18">
        <f t="shared" si="352"/>
        <v>3.2020000000000003E-4</v>
      </c>
      <c r="N810" s="18">
        <f t="shared" si="354"/>
        <v>1.3028198488844299E-4</v>
      </c>
      <c r="O810" s="18">
        <f t="shared" si="357"/>
        <v>7.4338926627409403E-6</v>
      </c>
      <c r="P810" s="18">
        <f t="shared" si="359"/>
        <v>4.1057732507456292E-2</v>
      </c>
      <c r="Q810" s="18">
        <f t="shared" si="361"/>
        <v>0.11270349533023465</v>
      </c>
      <c r="R810" s="18">
        <f t="shared" si="363"/>
        <v>4.9730799035737412E-2</v>
      </c>
      <c r="S810" s="18">
        <f t="shared" si="365"/>
        <v>0.11659151396691773</v>
      </c>
      <c r="T810" s="18">
        <f t="shared" si="367"/>
        <v>5.2542455888877349E-2</v>
      </c>
      <c r="U810" s="18">
        <f t="shared" si="369"/>
        <v>6.449017196853557E-2</v>
      </c>
      <c r="V810" s="18">
        <f t="shared" si="370"/>
        <v>9.5454011630967561E-2</v>
      </c>
      <c r="W810" s="18">
        <f t="shared" si="371"/>
        <v>2.6439110971729862E-2</v>
      </c>
      <c r="X810" s="18">
        <f t="shared" si="372"/>
        <v>4.9676479732291369E-2</v>
      </c>
      <c r="Y810" s="18">
        <f t="shared" si="373"/>
        <v>4.7485351843942689E-3</v>
      </c>
      <c r="AA810" s="18">
        <f t="shared" si="355"/>
        <v>-4.9095384293671926E-2</v>
      </c>
      <c r="AB810" s="18">
        <f t="shared" si="356"/>
        <v>2.4103567589433281E-3</v>
      </c>
      <c r="AC810" s="18">
        <f t="shared" si="358"/>
        <v>1.6345653313066454E-4</v>
      </c>
      <c r="AD810" s="18">
        <f t="shared" si="360"/>
        <v>9.8316806555532009E-3</v>
      </c>
      <c r="AE810" s="18">
        <f t="shared" si="362"/>
        <v>1.1444433112343896E-3</v>
      </c>
      <c r="AF810" s="18">
        <f t="shared" si="364"/>
        <v>4.9990916252733025E-2</v>
      </c>
      <c r="AG810" s="18">
        <f t="shared" si="366"/>
        <v>2.6337113253311851E-3</v>
      </c>
      <c r="AH810" s="18">
        <f t="shared" si="368"/>
        <v>5.116732491863614E-2</v>
      </c>
      <c r="AJ810" s="18">
        <f>IF(ISNUMBER(Kernel!M810),Kernel!M810,"")</f>
        <v>-4.2518597558395044E-2</v>
      </c>
      <c r="AK810" s="18">
        <f t="shared" si="353"/>
        <v>1.8078311383327569E-3</v>
      </c>
      <c r="AN810" s="18">
        <f>IF(ISNUMBER(Volcanic!G810),Volcanic!G810,"")</f>
        <v>1.387E-2</v>
      </c>
    </row>
    <row r="811" spans="1:40">
      <c r="A811" s="18" t="str">
        <f>IF(Volcanic!A811="","",Volcanic!A811)</f>
        <v>8/2025</v>
      </c>
      <c r="B811" s="18">
        <f>IF(ISNUMBER(Volcanic!L811),Volcanic!L811,"")</f>
        <v>2025.625</v>
      </c>
      <c r="C811" s="18">
        <f>IF(ISNUMBER(Volcanic!J811),Volcanic!J811,"")</f>
        <v>0.13125593237273891</v>
      </c>
      <c r="D811" s="18">
        <f t="shared" si="346"/>
        <v>1.722811978303701E-2</v>
      </c>
      <c r="E811" s="18">
        <f>IF(ISNUMBER(Volcanic!C811),Volcanic!C811,"")</f>
        <v>0.60366449139444733</v>
      </c>
      <c r="F811" s="18">
        <f>IF(ISNUMBER(Volcanic!D811),Volcanic!D811,"")</f>
        <v>-0.04</v>
      </c>
      <c r="G811" s="18">
        <f>IF(ISNUMBER(Volcanic!E811),Volcanic!E811,"")</f>
        <v>1.532E-2</v>
      </c>
      <c r="H811" s="18">
        <f t="shared" si="347"/>
        <v>0.36441081817051679</v>
      </c>
      <c r="I811" s="18">
        <f t="shared" si="348"/>
        <v>1.6000000000000001E-3</v>
      </c>
      <c r="J811" s="18">
        <f t="shared" si="349"/>
        <v>2.3470240000000002E-4</v>
      </c>
      <c r="K811" s="18">
        <f t="shared" si="350"/>
        <v>-2.4146579655777895E-2</v>
      </c>
      <c r="L811" s="18">
        <f t="shared" si="351"/>
        <v>9.2481400081629341E-3</v>
      </c>
      <c r="M811" s="18">
        <f t="shared" si="352"/>
        <v>-6.1280000000000004E-4</v>
      </c>
      <c r="N811" s="18">
        <f t="shared" si="354"/>
        <v>3.0068142831794833E-3</v>
      </c>
      <c r="O811" s="18">
        <f t="shared" si="357"/>
        <v>1.3028198488844299E-4</v>
      </c>
      <c r="P811" s="18">
        <f t="shared" si="359"/>
        <v>7.4338926627409403E-6</v>
      </c>
      <c r="Q811" s="18">
        <f t="shared" si="361"/>
        <v>4.1057732507456292E-2</v>
      </c>
      <c r="R811" s="18">
        <f t="shared" si="363"/>
        <v>0.11270349533023465</v>
      </c>
      <c r="S811" s="18">
        <f t="shared" si="365"/>
        <v>4.9730799035737412E-2</v>
      </c>
      <c r="T811" s="18">
        <f t="shared" si="367"/>
        <v>0.11659151396691773</v>
      </c>
      <c r="U811" s="18">
        <f t="shared" si="369"/>
        <v>5.2542455888877349E-2</v>
      </c>
      <c r="V811" s="18">
        <f t="shared" si="370"/>
        <v>6.449017196853557E-2</v>
      </c>
      <c r="W811" s="18">
        <f t="shared" si="371"/>
        <v>9.5454011630967561E-2</v>
      </c>
      <c r="X811" s="18">
        <f t="shared" si="372"/>
        <v>2.6439110971729862E-2</v>
      </c>
      <c r="Y811" s="18">
        <f t="shared" si="373"/>
        <v>4.9676479732291369E-2</v>
      </c>
      <c r="AA811" s="18">
        <f t="shared" si="355"/>
        <v>0.15882680460490486</v>
      </c>
      <c r="AB811" s="18">
        <f t="shared" si="356"/>
        <v>2.5225953861004628E-2</v>
      </c>
      <c r="AC811" s="18">
        <f t="shared" si="358"/>
        <v>2.4103567589433281E-3</v>
      </c>
      <c r="AD811" s="18">
        <f t="shared" si="360"/>
        <v>1.6345653313066454E-4</v>
      </c>
      <c r="AE811" s="18">
        <f t="shared" si="362"/>
        <v>9.8316806555532009E-3</v>
      </c>
      <c r="AF811" s="18">
        <f t="shared" si="364"/>
        <v>1.1444433112343896E-3</v>
      </c>
      <c r="AG811" s="18">
        <f t="shared" si="366"/>
        <v>4.9990916252733025E-2</v>
      </c>
      <c r="AH811" s="18">
        <f t="shared" si="368"/>
        <v>2.6337113253311851E-3</v>
      </c>
      <c r="AJ811" s="18">
        <f>IF(ISNUMBER(Kernel!M811),Kernel!M811,"")</f>
        <v>0.14419922050755574</v>
      </c>
      <c r="AK811" s="18">
        <f t="shared" si="353"/>
        <v>2.0793415194986682E-2</v>
      </c>
      <c r="AN811" s="18">
        <f>IF(ISNUMBER(Volcanic!G811),Volcanic!G811,"")</f>
        <v>1.291E-2</v>
      </c>
    </row>
    <row r="812" spans="1:40">
      <c r="A812" s="18" t="str">
        <f>IF(Volcanic!A812="","",Volcanic!A812)</f>
        <v>9/2025</v>
      </c>
      <c r="B812" s="18">
        <f>IF(ISNUMBER(Volcanic!L812),Volcanic!L812,"")</f>
        <v>2025.7083333333333</v>
      </c>
      <c r="C812" s="18">
        <f>IF(ISNUMBER(Volcanic!J812),Volcanic!J812,"")</f>
        <v>0.20851255123889856</v>
      </c>
      <c r="D812" s="18">
        <f t="shared" si="346"/>
        <v>4.3477484024154293E-2</v>
      </c>
      <c r="E812" s="18">
        <f>IF(ISNUMBER(Volcanic!C812),Volcanic!C812,"")</f>
        <v>0.59989584420727626</v>
      </c>
      <c r="F812" s="18">
        <f>IF(ISNUMBER(Volcanic!D812),Volcanic!D812,"")</f>
        <v>-0.02</v>
      </c>
      <c r="G812" s="18">
        <f>IF(ISNUMBER(Volcanic!E812),Volcanic!E812,"")</f>
        <v>1.4789999999999999E-2</v>
      </c>
      <c r="H812" s="18">
        <f t="shared" si="347"/>
        <v>0.3598750238971607</v>
      </c>
      <c r="I812" s="18">
        <f t="shared" si="348"/>
        <v>4.0000000000000002E-4</v>
      </c>
      <c r="J812" s="18">
        <f t="shared" si="349"/>
        <v>2.1874409999999997E-4</v>
      </c>
      <c r="K812" s="18">
        <f t="shared" si="350"/>
        <v>-1.1997916884145525E-2</v>
      </c>
      <c r="L812" s="18">
        <f t="shared" si="351"/>
        <v>8.8724595358256157E-3</v>
      </c>
      <c r="M812" s="18">
        <f t="shared" si="352"/>
        <v>-2.9579999999999998E-4</v>
      </c>
      <c r="N812" s="18">
        <f t="shared" si="354"/>
        <v>1.722811978303701E-2</v>
      </c>
      <c r="O812" s="18">
        <f t="shared" si="357"/>
        <v>3.0068142831794833E-3</v>
      </c>
      <c r="P812" s="18">
        <f t="shared" si="359"/>
        <v>1.3028198488844299E-4</v>
      </c>
      <c r="Q812" s="18">
        <f t="shared" si="361"/>
        <v>7.4338926627409403E-6</v>
      </c>
      <c r="R812" s="18">
        <f t="shared" si="363"/>
        <v>4.1057732507456292E-2</v>
      </c>
      <c r="S812" s="18">
        <f t="shared" si="365"/>
        <v>0.11270349533023465</v>
      </c>
      <c r="T812" s="18">
        <f t="shared" si="367"/>
        <v>4.9730799035737412E-2</v>
      </c>
      <c r="U812" s="18">
        <f t="shared" si="369"/>
        <v>0.11659151396691773</v>
      </c>
      <c r="V812" s="18">
        <f t="shared" si="370"/>
        <v>5.2542455888877349E-2</v>
      </c>
      <c r="W812" s="18">
        <f t="shared" si="371"/>
        <v>6.449017196853557E-2</v>
      </c>
      <c r="X812" s="18">
        <f t="shared" si="372"/>
        <v>9.5454011630967561E-2</v>
      </c>
      <c r="Y812" s="18">
        <f t="shared" si="373"/>
        <v>2.6439110971729862E-2</v>
      </c>
      <c r="AA812" s="18">
        <f t="shared" si="355"/>
        <v>0.14251677449657169</v>
      </c>
      <c r="AB812" s="18">
        <f t="shared" si="356"/>
        <v>2.0311031012906666E-2</v>
      </c>
      <c r="AC812" s="18">
        <f t="shared" si="358"/>
        <v>2.5225953861004628E-2</v>
      </c>
      <c r="AD812" s="18">
        <f t="shared" si="360"/>
        <v>2.4103567589433281E-3</v>
      </c>
      <c r="AE812" s="18">
        <f t="shared" si="362"/>
        <v>1.6345653313066454E-4</v>
      </c>
      <c r="AF812" s="18">
        <f t="shared" si="364"/>
        <v>9.8316806555532009E-3</v>
      </c>
      <c r="AG812" s="18">
        <f t="shared" si="366"/>
        <v>1.1444433112343896E-3</v>
      </c>
      <c r="AH812" s="18">
        <f t="shared" si="368"/>
        <v>4.9990916252733025E-2</v>
      </c>
      <c r="AJ812" s="18">
        <f>IF(ISNUMBER(Kernel!M812),Kernel!M812,"")</f>
        <v>0.23190865738586197</v>
      </c>
      <c r="AK812" s="18">
        <f t="shared" si="353"/>
        <v>5.3781625370513113E-2</v>
      </c>
      <c r="AN812" s="18">
        <f>IF(ISNUMBER(Volcanic!G812),Volcanic!G812,"")</f>
        <v>1.2019999999999999E-2</v>
      </c>
    </row>
    <row r="813" spans="1:40">
      <c r="A813" s="18" t="str">
        <f>IF(Volcanic!A813="","",Volcanic!A813)</f>
        <v>10/2025</v>
      </c>
      <c r="B813" s="18">
        <f>IF(ISNUMBER(Volcanic!L813),Volcanic!L813,"")</f>
        <v>2025.7916666666667</v>
      </c>
      <c r="C813" s="18">
        <f>IF(ISNUMBER(Volcanic!J813),Volcanic!J813,"")</f>
        <v>0.15097653055146343</v>
      </c>
      <c r="D813" s="18">
        <f t="shared" si="346"/>
        <v>2.279391277735697E-2</v>
      </c>
      <c r="E813" s="18">
        <f>IF(ISNUMBER(Volcanic!C813),Volcanic!C813,"")</f>
        <v>0.60159465162047843</v>
      </c>
      <c r="F813" s="18">
        <f>IF(ISNUMBER(Volcanic!D813),Volcanic!D813,"")</f>
        <v>-0.11</v>
      </c>
      <c r="G813" s="18">
        <f>IF(ISNUMBER(Volcanic!E813),Volcanic!E813,"")</f>
        <v>1.422E-2</v>
      </c>
      <c r="H813" s="18">
        <f t="shared" si="347"/>
        <v>0.36191612485836483</v>
      </c>
      <c r="I813" s="18">
        <f t="shared" si="348"/>
        <v>1.21E-2</v>
      </c>
      <c r="J813" s="18">
        <f t="shared" si="349"/>
        <v>2.022084E-4</v>
      </c>
      <c r="K813" s="18">
        <f t="shared" si="350"/>
        <v>-6.6175411678252624E-2</v>
      </c>
      <c r="L813" s="18">
        <f t="shared" si="351"/>
        <v>8.5546759460432033E-3</v>
      </c>
      <c r="M813" s="18">
        <f t="shared" si="352"/>
        <v>-1.5642E-3</v>
      </c>
      <c r="N813" s="18">
        <f t="shared" si="354"/>
        <v>4.3477484024154293E-2</v>
      </c>
      <c r="O813" s="18">
        <f t="shared" si="357"/>
        <v>1.722811978303701E-2</v>
      </c>
      <c r="P813" s="18">
        <f t="shared" si="359"/>
        <v>3.0068142831794833E-3</v>
      </c>
      <c r="Q813" s="18">
        <f t="shared" si="361"/>
        <v>1.3028198488844299E-4</v>
      </c>
      <c r="R813" s="18">
        <f t="shared" si="363"/>
        <v>7.4338926627409403E-6</v>
      </c>
      <c r="S813" s="18">
        <f t="shared" si="365"/>
        <v>4.1057732507456292E-2</v>
      </c>
      <c r="T813" s="18">
        <f t="shared" si="367"/>
        <v>0.11270349533023465</v>
      </c>
      <c r="U813" s="18">
        <f t="shared" si="369"/>
        <v>4.9730799035737412E-2</v>
      </c>
      <c r="V813" s="18">
        <f t="shared" si="370"/>
        <v>0.11659151396691773</v>
      </c>
      <c r="W813" s="18">
        <f t="shared" si="371"/>
        <v>5.2542455888877349E-2</v>
      </c>
      <c r="X813" s="18">
        <f t="shared" si="372"/>
        <v>6.449017196853557E-2</v>
      </c>
      <c r="Y813" s="18">
        <f t="shared" si="373"/>
        <v>9.5454011630967561E-2</v>
      </c>
      <c r="AA813" s="18">
        <f t="shared" si="355"/>
        <v>4.6135952828414817E-2</v>
      </c>
      <c r="AB813" s="18">
        <f t="shared" si="356"/>
        <v>2.1285261433857173E-3</v>
      </c>
      <c r="AC813" s="18">
        <f t="shared" si="358"/>
        <v>2.0311031012906666E-2</v>
      </c>
      <c r="AD813" s="18">
        <f t="shared" si="360"/>
        <v>2.5225953861004628E-2</v>
      </c>
      <c r="AE813" s="18">
        <f t="shared" si="362"/>
        <v>2.4103567589433281E-3</v>
      </c>
      <c r="AF813" s="18">
        <f t="shared" si="364"/>
        <v>1.6345653313066454E-4</v>
      </c>
      <c r="AG813" s="18">
        <f t="shared" si="366"/>
        <v>9.8316806555532009E-3</v>
      </c>
      <c r="AH813" s="18">
        <f t="shared" si="368"/>
        <v>1.1444433112343896E-3</v>
      </c>
      <c r="AJ813" s="18">
        <f>IF(ISNUMBER(Kernel!M813),Kernel!M813,"")</f>
        <v>0.17655324687800888</v>
      </c>
      <c r="AK813" s="18">
        <f t="shared" si="353"/>
        <v>3.1171048983167155E-2</v>
      </c>
      <c r="AN813" s="18">
        <f>IF(ISNUMBER(Volcanic!G813),Volcanic!G813,"")</f>
        <v>1.1639999999999999E-2</v>
      </c>
    </row>
    <row r="814" spans="1:40">
      <c r="A814" s="18" t="str">
        <f>IF(Volcanic!A814="","",Volcanic!A814)</f>
        <v>11/2025</v>
      </c>
      <c r="B814" s="18">
        <f>IF(ISNUMBER(Volcanic!L814),Volcanic!L814,"")</f>
        <v>2025.875</v>
      </c>
      <c r="C814" s="18">
        <f>IF(ISNUMBER(Volcanic!J814),Volcanic!J814,"")</f>
        <v>0.16980175534595077</v>
      </c>
      <c r="D814" s="18">
        <f t="shared" si="346"/>
        <v>2.883263611856612E-2</v>
      </c>
      <c r="E814" s="18">
        <f>IF(ISNUMBER(Volcanic!C814),Volcanic!C814,"")</f>
        <v>0.60698360251420269</v>
      </c>
      <c r="F814" s="18">
        <f>IF(ISNUMBER(Volcanic!D814),Volcanic!D814,"")</f>
        <v>-0.26</v>
      </c>
      <c r="G814" s="18">
        <f>IF(ISNUMBER(Volcanic!E814),Volcanic!E814,"")</f>
        <v>1.404E-2</v>
      </c>
      <c r="H814" s="18">
        <f t="shared" si="347"/>
        <v>0.36842909372111959</v>
      </c>
      <c r="I814" s="18">
        <f t="shared" si="348"/>
        <v>6.7600000000000007E-2</v>
      </c>
      <c r="J814" s="18">
        <f t="shared" si="349"/>
        <v>1.9712160000000001E-4</v>
      </c>
      <c r="K814" s="18">
        <f t="shared" si="350"/>
        <v>-0.1578157366536927</v>
      </c>
      <c r="L814" s="18">
        <f t="shared" si="351"/>
        <v>8.5220497792994065E-3</v>
      </c>
      <c r="M814" s="18">
        <f t="shared" si="352"/>
        <v>-3.6504000000000003E-3</v>
      </c>
      <c r="N814" s="18">
        <f t="shared" si="354"/>
        <v>2.279391277735697E-2</v>
      </c>
      <c r="O814" s="18">
        <f t="shared" si="357"/>
        <v>4.3477484024154293E-2</v>
      </c>
      <c r="P814" s="18">
        <f t="shared" si="359"/>
        <v>1.722811978303701E-2</v>
      </c>
      <c r="Q814" s="18">
        <f t="shared" si="361"/>
        <v>3.0068142831794833E-3</v>
      </c>
      <c r="R814" s="18">
        <f t="shared" si="363"/>
        <v>1.3028198488844299E-4</v>
      </c>
      <c r="S814" s="18">
        <f t="shared" si="365"/>
        <v>7.4338926627409403E-6</v>
      </c>
      <c r="T814" s="18">
        <f t="shared" si="367"/>
        <v>4.1057732507456292E-2</v>
      </c>
      <c r="U814" s="18">
        <f t="shared" si="369"/>
        <v>0.11270349533023465</v>
      </c>
      <c r="V814" s="18">
        <f t="shared" si="370"/>
        <v>4.9730799035737412E-2</v>
      </c>
      <c r="W814" s="18">
        <f t="shared" si="371"/>
        <v>0.11659151396691773</v>
      </c>
      <c r="X814" s="18">
        <f t="shared" si="372"/>
        <v>5.2542455888877349E-2</v>
      </c>
      <c r="Y814" s="18">
        <f t="shared" si="373"/>
        <v>6.449017196853557E-2</v>
      </c>
      <c r="AA814" s="18">
        <f t="shared" si="355"/>
        <v>9.3890417675434157E-2</v>
      </c>
      <c r="AB814" s="18">
        <f t="shared" si="356"/>
        <v>8.8154105312674789E-3</v>
      </c>
      <c r="AC814" s="18">
        <f t="shared" si="358"/>
        <v>2.1285261433857173E-3</v>
      </c>
      <c r="AD814" s="18">
        <f t="shared" si="360"/>
        <v>2.0311031012906666E-2</v>
      </c>
      <c r="AE814" s="18">
        <f t="shared" si="362"/>
        <v>2.5225953861004628E-2</v>
      </c>
      <c r="AF814" s="18">
        <f t="shared" si="364"/>
        <v>2.4103567589433281E-3</v>
      </c>
      <c r="AG814" s="18">
        <f t="shared" si="366"/>
        <v>1.6345653313066454E-4</v>
      </c>
      <c r="AH814" s="18">
        <f t="shared" si="368"/>
        <v>9.8316806555532009E-3</v>
      </c>
      <c r="AJ814" s="18">
        <f>IF(ISNUMBER(Kernel!M814),Kernel!M814,"")</f>
        <v>0.19059499388991896</v>
      </c>
      <c r="AK814" s="18">
        <f t="shared" si="353"/>
        <v>3.6326451695898244E-2</v>
      </c>
      <c r="AN814" s="18">
        <f>IF(ISNUMBER(Volcanic!G814),Volcanic!G814,"")</f>
        <v>1.159E-2</v>
      </c>
    </row>
    <row r="815" spans="1:40">
      <c r="A815" s="18" t="str">
        <f>IF(Volcanic!A815="","",Volcanic!A815)</f>
        <v>12/2025</v>
      </c>
      <c r="B815" s="18">
        <f>IF(ISNUMBER(Volcanic!L815),Volcanic!L815,"")</f>
        <v>2025.9583333333333</v>
      </c>
      <c r="C815" s="18">
        <f>IF(ISNUMBER(Volcanic!J815),Volcanic!J815,"")</f>
        <v>2.4412536360444381E-2</v>
      </c>
      <c r="D815" s="18">
        <f t="shared" si="346"/>
        <v>5.9597193155001903E-4</v>
      </c>
      <c r="E815" s="18">
        <f>IF(ISNUMBER(Volcanic!C815),Volcanic!C815,"")</f>
        <v>0.61046384518116448</v>
      </c>
      <c r="F815" s="18">
        <f>IF(ISNUMBER(Volcanic!D815),Volcanic!D815,"")</f>
        <v>-0.43</v>
      </c>
      <c r="G815" s="18">
        <f>IF(ISNUMBER(Volcanic!E815),Volcanic!E815,"")</f>
        <v>1.328E-2</v>
      </c>
      <c r="H815" s="18">
        <f t="shared" si="347"/>
        <v>0.37266610627337277</v>
      </c>
      <c r="I815" s="18">
        <f t="shared" si="348"/>
        <v>0.18489999999999998</v>
      </c>
      <c r="J815" s="18">
        <f t="shared" si="349"/>
        <v>1.763584E-4</v>
      </c>
      <c r="K815" s="18">
        <f t="shared" si="350"/>
        <v>-0.26249945342790071</v>
      </c>
      <c r="L815" s="18">
        <f t="shared" si="351"/>
        <v>8.1069598640058638E-3</v>
      </c>
      <c r="M815" s="18">
        <f t="shared" si="352"/>
        <v>-5.7104E-3</v>
      </c>
      <c r="N815" s="18">
        <f t="shared" si="354"/>
        <v>2.883263611856612E-2</v>
      </c>
      <c r="O815" s="18">
        <f t="shared" si="357"/>
        <v>2.279391277735697E-2</v>
      </c>
      <c r="P815" s="18">
        <f t="shared" si="359"/>
        <v>4.3477484024154293E-2</v>
      </c>
      <c r="Q815" s="18">
        <f t="shared" si="361"/>
        <v>1.722811978303701E-2</v>
      </c>
      <c r="R815" s="18">
        <f t="shared" si="363"/>
        <v>3.0068142831794833E-3</v>
      </c>
      <c r="S815" s="18">
        <f t="shared" si="365"/>
        <v>1.3028198488844299E-4</v>
      </c>
      <c r="T815" s="18">
        <f t="shared" si="367"/>
        <v>7.4338926627409403E-6</v>
      </c>
      <c r="U815" s="18">
        <f t="shared" si="369"/>
        <v>4.1057732507456292E-2</v>
      </c>
      <c r="V815" s="18">
        <f t="shared" si="370"/>
        <v>0.11270349533023465</v>
      </c>
      <c r="W815" s="18">
        <f t="shared" si="371"/>
        <v>4.9730799035737412E-2</v>
      </c>
      <c r="X815" s="18">
        <f t="shared" si="372"/>
        <v>0.11659151396691773</v>
      </c>
      <c r="Y815" s="18">
        <f t="shared" si="373"/>
        <v>5.2542455888877349E-2</v>
      </c>
      <c r="AA815" s="18">
        <f t="shared" si="355"/>
        <v>-6.0964166495494798E-2</v>
      </c>
      <c r="AB815" s="18">
        <f t="shared" si="356"/>
        <v>3.7166295964904104E-3</v>
      </c>
      <c r="AC815" s="18">
        <f t="shared" si="358"/>
        <v>8.8154105312674789E-3</v>
      </c>
      <c r="AD815" s="18">
        <f t="shared" si="360"/>
        <v>2.1285261433857173E-3</v>
      </c>
      <c r="AE815" s="18">
        <f t="shared" si="362"/>
        <v>2.0311031012906666E-2</v>
      </c>
      <c r="AF815" s="18">
        <f t="shared" si="364"/>
        <v>2.5225953861004628E-2</v>
      </c>
      <c r="AG815" s="18">
        <f t="shared" si="366"/>
        <v>2.4103567589433281E-3</v>
      </c>
      <c r="AH815" s="18">
        <f t="shared" si="368"/>
        <v>1.6345653313066454E-4</v>
      </c>
      <c r="AJ815" s="18">
        <f>IF(ISNUMBER(Kernel!M815),Kernel!M815,"")</f>
        <v>3.8049397925892903E-2</v>
      </c>
      <c r="AK815" s="18">
        <f t="shared" si="353"/>
        <v>1.447756682522943E-3</v>
      </c>
      <c r="AN815" s="18">
        <f>IF(ISNUMBER(Volcanic!G815),Volcanic!G815,"")</f>
        <v>1.102E-2</v>
      </c>
    </row>
    <row r="816" spans="1:40">
      <c r="A816" s="18" t="str">
        <f>IF(Volcanic!A816="","",Volcanic!A816)</f>
        <v>1/2026</v>
      </c>
      <c r="B816" s="18">
        <f>IF(ISNUMBER(Volcanic!L816),Volcanic!L816,"")</f>
        <v>2026.0416666666667</v>
      </c>
      <c r="C816" s="18">
        <f>IF(ISNUMBER(Volcanic!J816),Volcanic!J816,"")</f>
        <v>5.9898905689153237E-2</v>
      </c>
      <c r="D816" s="18">
        <f t="shared" si="346"/>
        <v>3.5878789027580741E-3</v>
      </c>
      <c r="E816" s="18">
        <f>IF(ISNUMBER(Volcanic!C816),Volcanic!C816,"")</f>
        <v>0.61427234255403185</v>
      </c>
      <c r="F816" s="18">
        <f>IF(ISNUMBER(Volcanic!D816),Volcanic!D816,"")</f>
        <v>-0.56999999999999995</v>
      </c>
      <c r="G816" s="18">
        <f>IF(ISNUMBER(Volcanic!E816),Volcanic!E816,"")</f>
        <v>1.4590000000000001E-2</v>
      </c>
      <c r="H816" s="18">
        <f t="shared" si="347"/>
        <v>0.37733051082681784</v>
      </c>
      <c r="I816" s="18">
        <f t="shared" si="348"/>
        <v>0.32489999999999997</v>
      </c>
      <c r="J816" s="18">
        <f t="shared" si="349"/>
        <v>2.1286810000000002E-4</v>
      </c>
      <c r="K816" s="18">
        <f t="shared" si="350"/>
        <v>-0.35013523525579815</v>
      </c>
      <c r="L816" s="18">
        <f t="shared" si="351"/>
        <v>8.9622334778633253E-3</v>
      </c>
      <c r="M816" s="18">
        <f t="shared" si="352"/>
        <v>-8.3163000000000004E-3</v>
      </c>
      <c r="N816" s="18">
        <f t="shared" si="354"/>
        <v>5.9597193155001903E-4</v>
      </c>
      <c r="O816" s="18">
        <f t="shared" si="357"/>
        <v>2.883263611856612E-2</v>
      </c>
      <c r="P816" s="18">
        <f t="shared" si="359"/>
        <v>2.279391277735697E-2</v>
      </c>
      <c r="Q816" s="18">
        <f t="shared" si="361"/>
        <v>4.3477484024154293E-2</v>
      </c>
      <c r="R816" s="18">
        <f t="shared" si="363"/>
        <v>1.722811978303701E-2</v>
      </c>
      <c r="S816" s="18">
        <f t="shared" si="365"/>
        <v>3.0068142831794833E-3</v>
      </c>
      <c r="T816" s="18">
        <f t="shared" si="367"/>
        <v>1.3028198488844299E-4</v>
      </c>
      <c r="U816" s="18">
        <f t="shared" si="369"/>
        <v>7.4338926627409403E-6</v>
      </c>
      <c r="V816" s="18">
        <f t="shared" si="370"/>
        <v>4.1057732507456292E-2</v>
      </c>
      <c r="W816" s="18">
        <f t="shared" si="371"/>
        <v>0.11270349533023465</v>
      </c>
      <c r="X816" s="18">
        <f t="shared" si="372"/>
        <v>4.9730799035737412E-2</v>
      </c>
      <c r="Y816" s="18">
        <f t="shared" si="373"/>
        <v>0.11659151396691773</v>
      </c>
      <c r="AA816" s="18">
        <f t="shared" si="355"/>
        <v>4.7624227735683103E-2</v>
      </c>
      <c r="AB816" s="18">
        <f t="shared" si="356"/>
        <v>2.2680670674202078E-3</v>
      </c>
      <c r="AC816" s="18">
        <f t="shared" si="358"/>
        <v>3.7166295964904104E-3</v>
      </c>
      <c r="AD816" s="18">
        <f t="shared" si="360"/>
        <v>8.8154105312674789E-3</v>
      </c>
      <c r="AE816" s="18">
        <f t="shared" si="362"/>
        <v>2.1285261433857173E-3</v>
      </c>
      <c r="AF816" s="18">
        <f t="shared" si="364"/>
        <v>2.0311031012906666E-2</v>
      </c>
      <c r="AG816" s="18">
        <f t="shared" si="366"/>
        <v>2.5225953861004628E-2</v>
      </c>
      <c r="AH816" s="18">
        <f t="shared" si="368"/>
        <v>2.4103567589433281E-3</v>
      </c>
      <c r="AJ816" s="18" t="str">
        <f>IF(ISNUMBER(Kernel!M816),Kernel!M816,"")</f>
        <v/>
      </c>
      <c r="AK816" s="18" t="str">
        <f t="shared" si="353"/>
        <v/>
      </c>
      <c r="AN816" s="18" t="str">
        <f>IF(ISNUMBER(Volcanic!G816),Volcanic!G816,"")</f>
        <v/>
      </c>
    </row>
    <row r="817" spans="1:40">
      <c r="A817" s="18" t="str">
        <f>IF(Volcanic!A817="","",Volcanic!A817)</f>
        <v>2/2026</v>
      </c>
      <c r="B817" s="18">
        <f>IF(ISNUMBER(Volcanic!L817),Volcanic!L817,"")</f>
        <v>2026.125</v>
      </c>
      <c r="C817" s="18">
        <f>IF(ISNUMBER(Volcanic!J817),Volcanic!J817,"")</f>
        <v>0.21533056201594758</v>
      </c>
      <c r="D817" s="18">
        <f t="shared" si="346"/>
        <v>4.6367250938103843E-2</v>
      </c>
      <c r="E817" s="18">
        <f>IF(ISNUMBER(Volcanic!C817),Volcanic!C817,"")</f>
        <v>0.61672736460373478</v>
      </c>
      <c r="F817" s="18">
        <f>IF(ISNUMBER(Volcanic!D817),Volcanic!D817,"")</f>
        <v>-0.61</v>
      </c>
      <c r="G817" s="18">
        <f>IF(ISNUMBER(Volcanic!E817),Volcanic!E817,"")</f>
        <v>1.387E-2</v>
      </c>
      <c r="H817" s="18">
        <f t="shared" si="347"/>
        <v>0.38035264225106802</v>
      </c>
      <c r="I817" s="18">
        <f t="shared" si="348"/>
        <v>0.37209999999999999</v>
      </c>
      <c r="J817" s="18">
        <f t="shared" si="349"/>
        <v>1.923769E-4</v>
      </c>
      <c r="K817" s="18">
        <f t="shared" si="350"/>
        <v>-0.37620369240827822</v>
      </c>
      <c r="L817" s="18">
        <f t="shared" si="351"/>
        <v>8.5540085470538017E-3</v>
      </c>
      <c r="M817" s="18">
        <f t="shared" si="352"/>
        <v>-8.4606999999999998E-3</v>
      </c>
      <c r="N817" s="18">
        <f t="shared" si="354"/>
        <v>3.5878789027580741E-3</v>
      </c>
      <c r="O817" s="18">
        <f t="shared" si="357"/>
        <v>5.9597193155001903E-4</v>
      </c>
      <c r="P817" s="18">
        <f t="shared" si="359"/>
        <v>2.883263611856612E-2</v>
      </c>
      <c r="Q817" s="18">
        <f t="shared" si="361"/>
        <v>2.279391277735697E-2</v>
      </c>
      <c r="R817" s="18">
        <f t="shared" si="363"/>
        <v>4.3477484024154293E-2</v>
      </c>
      <c r="S817" s="18">
        <f t="shared" si="365"/>
        <v>1.722811978303701E-2</v>
      </c>
      <c r="T817" s="18">
        <f t="shared" si="367"/>
        <v>3.0068142831794833E-3</v>
      </c>
      <c r="U817" s="18">
        <f t="shared" si="369"/>
        <v>1.3028198488844299E-4</v>
      </c>
      <c r="V817" s="18">
        <f t="shared" si="370"/>
        <v>7.4338926627409403E-6</v>
      </c>
      <c r="W817" s="18">
        <f t="shared" si="371"/>
        <v>4.1057732507456292E-2</v>
      </c>
      <c r="X817" s="18">
        <f t="shared" si="372"/>
        <v>0.11270349533023465</v>
      </c>
      <c r="Y817" s="18">
        <f t="shared" si="373"/>
        <v>4.9730799035737412E-2</v>
      </c>
      <c r="AA817" s="18">
        <f t="shared" si="355"/>
        <v>0.185213258092913</v>
      </c>
      <c r="AB817" s="18">
        <f t="shared" si="356"/>
        <v>3.4303950973392006E-2</v>
      </c>
      <c r="AC817" s="18">
        <f t="shared" si="358"/>
        <v>2.2680670674202078E-3</v>
      </c>
      <c r="AD817" s="18">
        <f t="shared" si="360"/>
        <v>3.7166295964904104E-3</v>
      </c>
      <c r="AE817" s="18">
        <f t="shared" si="362"/>
        <v>8.8154105312674789E-3</v>
      </c>
      <c r="AF817" s="18">
        <f t="shared" si="364"/>
        <v>2.1285261433857173E-3</v>
      </c>
      <c r="AG817" s="18">
        <f t="shared" si="366"/>
        <v>2.0311031012906666E-2</v>
      </c>
      <c r="AH817" s="18">
        <f t="shared" si="368"/>
        <v>2.5225953861004628E-2</v>
      </c>
      <c r="AJ817" s="18" t="str">
        <f>IF(ISNUMBER(Kernel!M817),Kernel!M817,"")</f>
        <v/>
      </c>
      <c r="AK817" s="18" t="str">
        <f t="shared" si="353"/>
        <v/>
      </c>
      <c r="AN817" s="18" t="str">
        <f>IF(ISNUMBER(Volcanic!G817),Volcanic!G817,"")</f>
        <v/>
      </c>
    </row>
    <row r="818" spans="1:40">
      <c r="A818" s="18" t="str">
        <f>IF(Volcanic!A818="","",Volcanic!A818)</f>
        <v>3/2026</v>
      </c>
      <c r="B818" s="18">
        <f>IF(ISNUMBER(Volcanic!L818),Volcanic!L818,"")</f>
        <v>2026.2083333333333</v>
      </c>
      <c r="C818" s="18">
        <f>IF(ISNUMBER(Volcanic!J818),Volcanic!J818,"")</f>
        <v>0.2749653733099342</v>
      </c>
      <c r="D818" s="18">
        <f t="shared" si="346"/>
        <v>7.5605956519471482E-2</v>
      </c>
      <c r="E818" s="18">
        <f>IF(ISNUMBER(Volcanic!C818),Volcanic!C818,"")</f>
        <v>0.61941301059793685</v>
      </c>
      <c r="F818" s="18">
        <f>IF(ISNUMBER(Volcanic!D818),Volcanic!D818,"")</f>
        <v>-0.6</v>
      </c>
      <c r="G818" s="18">
        <f>IF(ISNUMBER(Volcanic!E818),Volcanic!E818,"")</f>
        <v>1.291E-2</v>
      </c>
      <c r="H818" s="18">
        <f t="shared" si="347"/>
        <v>0.38367247769799984</v>
      </c>
      <c r="I818" s="18">
        <f t="shared" si="348"/>
        <v>0.36</v>
      </c>
      <c r="J818" s="18">
        <f t="shared" si="349"/>
        <v>1.6666809999999998E-4</v>
      </c>
      <c r="K818" s="18">
        <f t="shared" si="350"/>
        <v>-0.3716478063587621</v>
      </c>
      <c r="L818" s="18">
        <f t="shared" si="351"/>
        <v>7.9966219668193648E-3</v>
      </c>
      <c r="M818" s="18">
        <f t="shared" si="352"/>
        <v>-7.7459999999999994E-3</v>
      </c>
      <c r="N818" s="18">
        <f t="shared" si="354"/>
        <v>4.6367250938103843E-2</v>
      </c>
      <c r="O818" s="18">
        <f t="shared" si="357"/>
        <v>3.5878789027580741E-3</v>
      </c>
      <c r="P818" s="18">
        <f t="shared" si="359"/>
        <v>5.9597193155001903E-4</v>
      </c>
      <c r="Q818" s="18">
        <f t="shared" si="361"/>
        <v>2.883263611856612E-2</v>
      </c>
      <c r="R818" s="18">
        <f t="shared" si="363"/>
        <v>2.279391277735697E-2</v>
      </c>
      <c r="S818" s="18">
        <f t="shared" si="365"/>
        <v>4.3477484024154293E-2</v>
      </c>
      <c r="T818" s="18">
        <f t="shared" si="367"/>
        <v>1.722811978303701E-2</v>
      </c>
      <c r="U818" s="18">
        <f t="shared" si="369"/>
        <v>3.0068142831794833E-3</v>
      </c>
      <c r="V818" s="18">
        <f t="shared" si="370"/>
        <v>1.3028198488844299E-4</v>
      </c>
      <c r="W818" s="18">
        <f t="shared" si="371"/>
        <v>7.4338926627409403E-6</v>
      </c>
      <c r="X818" s="18">
        <f t="shared" si="372"/>
        <v>4.1057732507456292E-2</v>
      </c>
      <c r="Y818" s="18">
        <f t="shared" si="373"/>
        <v>0.11270349533023465</v>
      </c>
      <c r="AA818" s="18">
        <f t="shared" si="355"/>
        <v>0.16669668449937211</v>
      </c>
      <c r="AB818" s="18">
        <f t="shared" si="356"/>
        <v>2.7787784623083206E-2</v>
      </c>
      <c r="AC818" s="18">
        <f t="shared" si="358"/>
        <v>3.4303950973392006E-2</v>
      </c>
      <c r="AD818" s="18">
        <f t="shared" si="360"/>
        <v>2.2680670674202078E-3</v>
      </c>
      <c r="AE818" s="18">
        <f t="shared" si="362"/>
        <v>3.7166295964904104E-3</v>
      </c>
      <c r="AF818" s="18">
        <f t="shared" si="364"/>
        <v>8.8154105312674789E-3</v>
      </c>
      <c r="AG818" s="18">
        <f t="shared" si="366"/>
        <v>2.1285261433857173E-3</v>
      </c>
      <c r="AH818" s="18">
        <f t="shared" si="368"/>
        <v>2.0311031012906666E-2</v>
      </c>
      <c r="AJ818" s="18" t="str">
        <f>IF(ISNUMBER(Kernel!M818),Kernel!M818,"")</f>
        <v/>
      </c>
      <c r="AK818" s="18" t="str">
        <f t="shared" si="353"/>
        <v/>
      </c>
      <c r="AN818" s="18" t="str">
        <f>IF(ISNUMBER(Volcanic!G818),Volcanic!G818,"")</f>
        <v/>
      </c>
    </row>
    <row r="819" spans="1:40">
      <c r="A819" s="18" t="str">
        <f>IF(Volcanic!A819="","",Volcanic!A819)</f>
        <v>4/2026</v>
      </c>
      <c r="B819" s="18">
        <f>IF(ISNUMBER(Volcanic!L819),Volcanic!L819,"")</f>
        <v>2026.2916666666667</v>
      </c>
      <c r="C819" s="18">
        <f>IF(ISNUMBER(Volcanic!J819),Volcanic!J819,"")</f>
        <v>9.4656915922711526E-2</v>
      </c>
      <c r="D819" s="18">
        <f t="shared" si="346"/>
        <v>8.9599317319992797E-3</v>
      </c>
      <c r="E819" s="18">
        <f>IF(ISNUMBER(Volcanic!C819),Volcanic!C819,"")</f>
        <v>0.6226626646700556</v>
      </c>
      <c r="F819" s="18">
        <f>IF(ISNUMBER(Volcanic!D819),Volcanic!D819,"")</f>
        <v>-0.39</v>
      </c>
      <c r="G819" s="18">
        <f>IF(ISNUMBER(Volcanic!E819),Volcanic!E819,"")</f>
        <v>1.2019999999999999E-2</v>
      </c>
      <c r="H819" s="18">
        <f t="shared" si="347"/>
        <v>0.38770879397401409</v>
      </c>
      <c r="I819" s="18">
        <f t="shared" si="348"/>
        <v>0.15210000000000001</v>
      </c>
      <c r="J819" s="18">
        <f t="shared" si="349"/>
        <v>1.444804E-4</v>
      </c>
      <c r="K819" s="18">
        <f t="shared" si="350"/>
        <v>-0.2428384392213217</v>
      </c>
      <c r="L819" s="18">
        <f t="shared" si="351"/>
        <v>7.4844052293340678E-3</v>
      </c>
      <c r="M819" s="18">
        <f t="shared" si="352"/>
        <v>-4.6877999999999998E-3</v>
      </c>
      <c r="N819" s="18">
        <f t="shared" si="354"/>
        <v>7.5605956519471482E-2</v>
      </c>
      <c r="O819" s="18">
        <f t="shared" si="357"/>
        <v>4.6367250938103843E-2</v>
      </c>
      <c r="P819" s="18">
        <f t="shared" si="359"/>
        <v>3.5878789027580741E-3</v>
      </c>
      <c r="Q819" s="18">
        <f t="shared" si="361"/>
        <v>5.9597193155001903E-4</v>
      </c>
      <c r="R819" s="18">
        <f t="shared" si="363"/>
        <v>2.883263611856612E-2</v>
      </c>
      <c r="S819" s="18">
        <f t="shared" si="365"/>
        <v>2.279391277735697E-2</v>
      </c>
      <c r="T819" s="18">
        <f t="shared" si="367"/>
        <v>4.3477484024154293E-2</v>
      </c>
      <c r="U819" s="18">
        <f t="shared" si="369"/>
        <v>1.722811978303701E-2</v>
      </c>
      <c r="V819" s="18">
        <f t="shared" si="370"/>
        <v>3.0068142831794833E-3</v>
      </c>
      <c r="W819" s="18">
        <f t="shared" si="371"/>
        <v>1.3028198488844299E-4</v>
      </c>
      <c r="X819" s="18">
        <f t="shared" si="372"/>
        <v>7.4338926627409403E-6</v>
      </c>
      <c r="Y819" s="18">
        <f t="shared" si="373"/>
        <v>4.1057732507456292E-2</v>
      </c>
      <c r="AA819" s="18">
        <f t="shared" si="355"/>
        <v>-4.3596289557560675E-2</v>
      </c>
      <c r="AB819" s="18">
        <f t="shared" si="356"/>
        <v>1.9006364631866739E-3</v>
      </c>
      <c r="AC819" s="18">
        <f t="shared" si="358"/>
        <v>2.7787784623083206E-2</v>
      </c>
      <c r="AD819" s="18">
        <f t="shared" si="360"/>
        <v>3.4303950973392006E-2</v>
      </c>
      <c r="AE819" s="18">
        <f t="shared" si="362"/>
        <v>2.2680670674202078E-3</v>
      </c>
      <c r="AF819" s="18">
        <f t="shared" si="364"/>
        <v>3.7166295964904104E-3</v>
      </c>
      <c r="AG819" s="18">
        <f t="shared" si="366"/>
        <v>8.8154105312674789E-3</v>
      </c>
      <c r="AH819" s="18">
        <f t="shared" si="368"/>
        <v>2.1285261433857173E-3</v>
      </c>
      <c r="AJ819" s="18" t="str">
        <f>IF(ISNUMBER(Kernel!M819),Kernel!M819,"")</f>
        <v/>
      </c>
      <c r="AK819" s="18" t="str">
        <f t="shared" si="353"/>
        <v/>
      </c>
      <c r="AN819" s="18" t="str">
        <f>IF(ISNUMBER(Volcanic!G819),Volcanic!G819,"")</f>
        <v/>
      </c>
    </row>
    <row r="820" spans="1:40">
      <c r="A820" s="18" t="str">
        <f>IF(Volcanic!A820="","",Volcanic!A820)</f>
        <v>5/2026</v>
      </c>
      <c r="B820" s="18">
        <f>IF(ISNUMBER(Volcanic!L820),Volcanic!L820,"")</f>
        <v>2026.375</v>
      </c>
      <c r="C820" s="18">
        <f>IF(ISNUMBER(Volcanic!J820),Volcanic!J820,"")</f>
        <v>2.5998432006619776E-2</v>
      </c>
      <c r="D820" s="18">
        <f t="shared" si="346"/>
        <v>6.7591846680283159E-4</v>
      </c>
      <c r="E820" s="18">
        <f>IF(ISNUMBER(Volcanic!C820),Volcanic!C820,"")</f>
        <v>0.62673949306079169</v>
      </c>
      <c r="F820" s="18">
        <f>IF(ISNUMBER(Volcanic!D820),Volcanic!D820,"")</f>
        <v>-0.21</v>
      </c>
      <c r="G820" s="18">
        <f>IF(ISNUMBER(Volcanic!E820),Volcanic!E820,"")</f>
        <v>1.1639999999999999E-2</v>
      </c>
      <c r="H820" s="18">
        <f t="shared" si="347"/>
        <v>0.39280239216209817</v>
      </c>
      <c r="I820" s="18">
        <f t="shared" si="348"/>
        <v>4.4099999999999993E-2</v>
      </c>
      <c r="J820" s="18">
        <f t="shared" si="349"/>
        <v>1.3548959999999999E-4</v>
      </c>
      <c r="K820" s="18">
        <f t="shared" si="350"/>
        <v>-0.13161529354276624</v>
      </c>
      <c r="L820" s="18">
        <f t="shared" si="351"/>
        <v>7.2952476992276145E-3</v>
      </c>
      <c r="M820" s="18">
        <f t="shared" si="352"/>
        <v>-2.4443999999999998E-3</v>
      </c>
      <c r="N820" s="18">
        <f t="shared" si="354"/>
        <v>8.9599317319992797E-3</v>
      </c>
      <c r="O820" s="18">
        <f t="shared" si="357"/>
        <v>7.5605956519471482E-2</v>
      </c>
      <c r="P820" s="18">
        <f t="shared" si="359"/>
        <v>4.6367250938103843E-2</v>
      </c>
      <c r="Q820" s="18">
        <f t="shared" si="361"/>
        <v>3.5878789027580741E-3</v>
      </c>
      <c r="R820" s="18">
        <f t="shared" si="363"/>
        <v>5.9597193155001903E-4</v>
      </c>
      <c r="S820" s="18">
        <f t="shared" si="365"/>
        <v>2.883263611856612E-2</v>
      </c>
      <c r="T820" s="18">
        <f t="shared" si="367"/>
        <v>2.279391277735697E-2</v>
      </c>
      <c r="U820" s="18">
        <f t="shared" si="369"/>
        <v>4.3477484024154293E-2</v>
      </c>
      <c r="V820" s="18">
        <f t="shared" si="370"/>
        <v>1.722811978303701E-2</v>
      </c>
      <c r="W820" s="18">
        <f t="shared" si="371"/>
        <v>3.0068142831794833E-3</v>
      </c>
      <c r="X820" s="18">
        <f t="shared" si="372"/>
        <v>1.3028198488844299E-4</v>
      </c>
      <c r="Y820" s="18">
        <f t="shared" si="373"/>
        <v>7.4338926627409403E-6</v>
      </c>
      <c r="AA820" s="18">
        <f t="shared" si="355"/>
        <v>-2.1595277301790373E-2</v>
      </c>
      <c r="AB820" s="18">
        <f t="shared" si="356"/>
        <v>4.6635600174122253E-4</v>
      </c>
      <c r="AC820" s="18">
        <f t="shared" si="358"/>
        <v>1.9006364631866739E-3</v>
      </c>
      <c r="AD820" s="18">
        <f t="shared" si="360"/>
        <v>2.7787784623083206E-2</v>
      </c>
      <c r="AE820" s="18">
        <f t="shared" si="362"/>
        <v>3.4303950973392006E-2</v>
      </c>
      <c r="AF820" s="18">
        <f t="shared" si="364"/>
        <v>2.2680670674202078E-3</v>
      </c>
      <c r="AG820" s="18">
        <f t="shared" si="366"/>
        <v>3.7166295964904104E-3</v>
      </c>
      <c r="AH820" s="18">
        <f t="shared" si="368"/>
        <v>8.8154105312674789E-3</v>
      </c>
      <c r="AJ820" s="18" t="str">
        <f>IF(ISNUMBER(Kernel!M820),Kernel!M820,"")</f>
        <v/>
      </c>
      <c r="AK820" s="18" t="str">
        <f t="shared" si="353"/>
        <v/>
      </c>
      <c r="AN820" s="18" t="str">
        <f>IF(ISNUMBER(Volcanic!G820),Volcanic!G820,"")</f>
        <v/>
      </c>
    </row>
    <row r="821" spans="1:40">
      <c r="A821" s="18" t="str">
        <f>IF(Volcanic!A821="","",Volcanic!A821)</f>
        <v>6/2026</v>
      </c>
      <c r="B821" s="18">
        <f>IF(ISNUMBER(Volcanic!L821),Volcanic!L821,"")</f>
        <v>2026.4583333333333</v>
      </c>
      <c r="C821" s="18">
        <f>IF(ISNUMBER(Volcanic!J821),Volcanic!J821,"")</f>
        <v>5.4484895127102417E-2</v>
      </c>
      <c r="D821" s="18">
        <f t="shared" si="346"/>
        <v>2.9686037970113486E-3</v>
      </c>
      <c r="E821" s="18">
        <f>IF(ISNUMBER(Volcanic!C821),Volcanic!C821,"")</f>
        <v>0.6236996723378585</v>
      </c>
      <c r="F821" s="18">
        <f>IF(ISNUMBER(Volcanic!D821),Volcanic!D821,"")</f>
        <v>0.11</v>
      </c>
      <c r="G821" s="18">
        <f>IF(ISNUMBER(Volcanic!E821),Volcanic!E821,"")</f>
        <v>1.159E-2</v>
      </c>
      <c r="H821" s="18">
        <f t="shared" si="347"/>
        <v>0.38900128127435207</v>
      </c>
      <c r="I821" s="18">
        <f t="shared" si="348"/>
        <v>1.21E-2</v>
      </c>
      <c r="J821" s="18">
        <f t="shared" si="349"/>
        <v>1.343281E-4</v>
      </c>
      <c r="K821" s="18">
        <f t="shared" si="350"/>
        <v>6.8606963957164438E-2</v>
      </c>
      <c r="L821" s="18">
        <f t="shared" si="351"/>
        <v>7.2286792023957798E-3</v>
      </c>
      <c r="M821" s="18">
        <f t="shared" si="352"/>
        <v>1.2749E-3</v>
      </c>
      <c r="N821" s="18">
        <f t="shared" si="354"/>
        <v>6.7591846680283159E-4</v>
      </c>
      <c r="O821" s="18">
        <f t="shared" si="357"/>
        <v>8.9599317319992797E-3</v>
      </c>
      <c r="P821" s="18">
        <f t="shared" si="359"/>
        <v>7.5605956519471482E-2</v>
      </c>
      <c r="Q821" s="18">
        <f t="shared" si="361"/>
        <v>4.6367250938103843E-2</v>
      </c>
      <c r="R821" s="18">
        <f t="shared" si="363"/>
        <v>3.5878789027580741E-3</v>
      </c>
      <c r="S821" s="18">
        <f t="shared" si="365"/>
        <v>5.9597193155001903E-4</v>
      </c>
      <c r="T821" s="18">
        <f t="shared" si="367"/>
        <v>2.883263611856612E-2</v>
      </c>
      <c r="U821" s="18">
        <f t="shared" si="369"/>
        <v>2.279391277735697E-2</v>
      </c>
      <c r="V821" s="18">
        <f t="shared" si="370"/>
        <v>4.3477484024154293E-2</v>
      </c>
      <c r="W821" s="18">
        <f t="shared" si="371"/>
        <v>1.722811978303701E-2</v>
      </c>
      <c r="X821" s="18">
        <f t="shared" si="372"/>
        <v>3.0068142831794833E-3</v>
      </c>
      <c r="Y821" s="18">
        <f t="shared" si="373"/>
        <v>1.3028198488844299E-4</v>
      </c>
      <c r="AA821" s="18">
        <f t="shared" si="355"/>
        <v>4.1412825291150354E-2</v>
      </c>
      <c r="AB821" s="18">
        <f t="shared" si="356"/>
        <v>1.7150220985953425E-3</v>
      </c>
      <c r="AC821" s="18">
        <f t="shared" si="358"/>
        <v>4.6635600174122253E-4</v>
      </c>
      <c r="AD821" s="18">
        <f t="shared" si="360"/>
        <v>1.9006364631866739E-3</v>
      </c>
      <c r="AE821" s="18">
        <f t="shared" si="362"/>
        <v>2.7787784623083206E-2</v>
      </c>
      <c r="AF821" s="18">
        <f t="shared" si="364"/>
        <v>3.4303950973392006E-2</v>
      </c>
      <c r="AG821" s="18">
        <f t="shared" si="366"/>
        <v>2.2680670674202078E-3</v>
      </c>
      <c r="AH821" s="18">
        <f t="shared" si="368"/>
        <v>3.7166295964904104E-3</v>
      </c>
      <c r="AJ821" s="18" t="str">
        <f>IF(ISNUMBER(Kernel!M821),Kernel!M821,"")</f>
        <v/>
      </c>
      <c r="AK821" s="18" t="str">
        <f t="shared" si="353"/>
        <v/>
      </c>
      <c r="AN821" s="18" t="str">
        <f>IF(ISNUMBER(Volcanic!G821),Volcanic!G821,"")</f>
        <v/>
      </c>
    </row>
    <row r="822" spans="1:40">
      <c r="A822" s="18" t="str">
        <f>IF(Volcanic!A822="","",Volcanic!A822)</f>
        <v>7/2026</v>
      </c>
      <c r="B822" s="18">
        <f>IF(ISNUMBER(Volcanic!L822),Volcanic!L822,"")</f>
        <v>2026.5416666666667</v>
      </c>
      <c r="C822" s="18">
        <f>IF(ISNUMBER(Volcanic!J822),Volcanic!J822,"")</f>
        <v>0.11178563186566248</v>
      </c>
      <c r="D822" s="18">
        <f t="shared" si="346"/>
        <v>1.2496027491605416E-2</v>
      </c>
      <c r="E822" s="18">
        <f>IF(ISNUMBER(Volcanic!C822),Volcanic!C822,"")</f>
        <v>0.61598793464393697</v>
      </c>
      <c r="F822" s="18">
        <f>IF(ISNUMBER(Volcanic!D822),Volcanic!D822,"")</f>
        <v>0.46</v>
      </c>
      <c r="G822" s="18">
        <f>IF(ISNUMBER(Volcanic!E822),Volcanic!E822,"")</f>
        <v>1.102E-2</v>
      </c>
      <c r="H822" s="18">
        <f t="shared" si="347"/>
        <v>0.37944113562690318</v>
      </c>
      <c r="I822" s="18">
        <f t="shared" si="348"/>
        <v>0.21160000000000001</v>
      </c>
      <c r="J822" s="18">
        <f t="shared" si="349"/>
        <v>1.214404E-4</v>
      </c>
      <c r="K822" s="18">
        <f t="shared" si="350"/>
        <v>0.28335444993621101</v>
      </c>
      <c r="L822" s="18">
        <f t="shared" si="351"/>
        <v>6.788187039776186E-3</v>
      </c>
      <c r="M822" s="18">
        <f t="shared" si="352"/>
        <v>5.0692000000000003E-3</v>
      </c>
      <c r="N822" s="18">
        <f t="shared" si="354"/>
        <v>2.9686037970113486E-3</v>
      </c>
      <c r="O822" s="18">
        <f t="shared" si="357"/>
        <v>6.7591846680283159E-4</v>
      </c>
      <c r="P822" s="18">
        <f t="shared" si="359"/>
        <v>8.9599317319992797E-3</v>
      </c>
      <c r="Q822" s="18">
        <f t="shared" si="361"/>
        <v>7.5605956519471482E-2</v>
      </c>
      <c r="R822" s="18">
        <f t="shared" si="363"/>
        <v>4.6367250938103843E-2</v>
      </c>
      <c r="S822" s="18">
        <f t="shared" si="365"/>
        <v>3.5878789027580741E-3</v>
      </c>
      <c r="T822" s="18">
        <f t="shared" si="367"/>
        <v>5.9597193155001903E-4</v>
      </c>
      <c r="U822" s="18">
        <f t="shared" si="369"/>
        <v>2.883263611856612E-2</v>
      </c>
      <c r="V822" s="18">
        <f t="shared" si="370"/>
        <v>2.279391277735697E-2</v>
      </c>
      <c r="W822" s="18">
        <f t="shared" si="371"/>
        <v>4.3477484024154293E-2</v>
      </c>
      <c r="X822" s="18">
        <f t="shared" si="372"/>
        <v>1.722811978303701E-2</v>
      </c>
      <c r="Y822" s="18">
        <f t="shared" si="373"/>
        <v>3.0068142831794833E-3</v>
      </c>
      <c r="AA822" s="18">
        <f t="shared" si="355"/>
        <v>8.4390504577806918E-2</v>
      </c>
      <c r="AB822" s="18">
        <f t="shared" si="356"/>
        <v>7.1217572628968504E-3</v>
      </c>
      <c r="AC822" s="18">
        <f t="shared" si="358"/>
        <v>1.7150220985953425E-3</v>
      </c>
      <c r="AD822" s="18">
        <f t="shared" si="360"/>
        <v>4.6635600174122253E-4</v>
      </c>
      <c r="AE822" s="18">
        <f t="shared" si="362"/>
        <v>1.9006364631866739E-3</v>
      </c>
      <c r="AF822" s="18">
        <f t="shared" si="364"/>
        <v>2.7787784623083206E-2</v>
      </c>
      <c r="AG822" s="18">
        <f t="shared" si="366"/>
        <v>3.4303950973392006E-2</v>
      </c>
      <c r="AH822" s="18">
        <f t="shared" si="368"/>
        <v>2.2680670674202078E-3</v>
      </c>
      <c r="AJ822" s="18" t="str">
        <f>IF(ISNUMBER(Kernel!M822),Kernel!M822,"")</f>
        <v/>
      </c>
      <c r="AK822" s="18" t="str">
        <f t="shared" si="353"/>
        <v/>
      </c>
      <c r="AN822" s="18" t="str">
        <f>IF(ISNUMBER(Volcanic!G822),Volcanic!G822,"")</f>
        <v/>
      </c>
    </row>
    <row r="823" spans="1:40">
      <c r="A823" s="18" t="str">
        <f>IF(Volcanic!A823="","",Volcanic!A823)</f>
        <v>8/2026</v>
      </c>
      <c r="B823" s="18">
        <f>IF(ISNUMBER(Volcanic!L823),Volcanic!L823,"")</f>
        <v>2026.625</v>
      </c>
      <c r="C823" s="18" t="str">
        <f>IF(ISNUMBER(Volcanic!J823),Volcanic!J823,"")</f>
        <v/>
      </c>
      <c r="D823" s="18" t="str">
        <f t="shared" si="346"/>
        <v/>
      </c>
      <c r="E823" s="18">
        <f>IF(ISNUMBER(Volcanic!C823),Volcanic!C823,"")</f>
        <v>0.61066631922353776</v>
      </c>
      <c r="F823" s="18">
        <f>IF(ISNUMBER(Volcanic!D823),Volcanic!D823,"")</f>
        <v>0.95</v>
      </c>
      <c r="G823" s="18" t="str">
        <f>IF(ISNUMBER(Volcanic!E823),Volcanic!E823,"")</f>
        <v/>
      </c>
      <c r="H823" s="18">
        <f t="shared" si="347"/>
        <v>0.37291335343402371</v>
      </c>
      <c r="I823" s="18">
        <f t="shared" si="348"/>
        <v>0.90249999999999997</v>
      </c>
      <c r="J823" s="18" t="str">
        <f t="shared" si="349"/>
        <v/>
      </c>
      <c r="K823" s="18">
        <f t="shared" si="350"/>
        <v>0.58013300326236084</v>
      </c>
      <c r="L823" s="18" t="str">
        <f t="shared" si="351"/>
        <v/>
      </c>
      <c r="M823" s="18" t="str">
        <f t="shared" si="352"/>
        <v/>
      </c>
      <c r="N823" s="18">
        <f t="shared" si="354"/>
        <v>1.2496027491605416E-2</v>
      </c>
      <c r="O823" s="18">
        <f t="shared" si="357"/>
        <v>2.9686037970113486E-3</v>
      </c>
      <c r="P823" s="18">
        <f t="shared" si="359"/>
        <v>6.7591846680283159E-4</v>
      </c>
      <c r="Q823" s="18">
        <f t="shared" si="361"/>
        <v>8.9599317319992797E-3</v>
      </c>
      <c r="R823" s="18">
        <f t="shared" si="363"/>
        <v>7.5605956519471482E-2</v>
      </c>
      <c r="S823" s="18">
        <f t="shared" si="365"/>
        <v>4.6367250938103843E-2</v>
      </c>
      <c r="T823" s="18">
        <f t="shared" si="367"/>
        <v>3.5878789027580741E-3</v>
      </c>
      <c r="U823" s="18">
        <f t="shared" si="369"/>
        <v>5.9597193155001903E-4</v>
      </c>
      <c r="V823" s="18">
        <f t="shared" si="370"/>
        <v>2.883263611856612E-2</v>
      </c>
      <c r="W823" s="18">
        <f t="shared" si="371"/>
        <v>2.279391277735697E-2</v>
      </c>
      <c r="X823" s="18">
        <f t="shared" si="372"/>
        <v>4.3477484024154293E-2</v>
      </c>
      <c r="Y823" s="18">
        <f t="shared" si="373"/>
        <v>1.722811978303701E-2</v>
      </c>
      <c r="AA823" s="18" t="str">
        <f t="shared" si="355"/>
        <v/>
      </c>
      <c r="AB823" s="18" t="str">
        <f t="shared" si="356"/>
        <v/>
      </c>
      <c r="AC823" s="18">
        <f t="shared" si="358"/>
        <v>7.1217572628968504E-3</v>
      </c>
      <c r="AD823" s="18">
        <f t="shared" si="360"/>
        <v>1.7150220985953425E-3</v>
      </c>
      <c r="AE823" s="18">
        <f t="shared" si="362"/>
        <v>4.6635600174122253E-4</v>
      </c>
      <c r="AF823" s="18">
        <f t="shared" si="364"/>
        <v>1.9006364631866739E-3</v>
      </c>
      <c r="AG823" s="18">
        <f t="shared" si="366"/>
        <v>2.7787784623083206E-2</v>
      </c>
      <c r="AH823" s="18">
        <f t="shared" si="368"/>
        <v>3.4303950973392006E-2</v>
      </c>
      <c r="AJ823" s="18" t="str">
        <f>IF(ISNUMBER(Kernel!M823),Kernel!M823,"")</f>
        <v/>
      </c>
      <c r="AK823" s="18" t="str">
        <f t="shared" si="353"/>
        <v/>
      </c>
      <c r="AN823" s="18" t="str">
        <f>IF(ISNUMBER(Volcanic!G823),Volcanic!G823,"")</f>
        <v/>
      </c>
    </row>
  </sheetData>
  <mergeCells count="15">
    <mergeCell ref="AW3:BB3"/>
    <mergeCell ref="AW7:BB7"/>
    <mergeCell ref="AW15:BB15"/>
    <mergeCell ref="AW21:BB21"/>
    <mergeCell ref="AW34:BB34"/>
    <mergeCell ref="AW54:BB54"/>
    <mergeCell ref="AW55:BB55"/>
    <mergeCell ref="AW56:BB56"/>
    <mergeCell ref="AW57:BB57"/>
    <mergeCell ref="AW58:BB58"/>
    <mergeCell ref="AW59:BB59"/>
    <mergeCell ref="AW60:BB60"/>
    <mergeCell ref="AW63:BB63"/>
    <mergeCell ref="AW64:BB64"/>
    <mergeCell ref="AW65:BB65"/>
  </mergeCells>
  <pageMargins left="0.75" right="0.75" top="1" bottom="1" header="0.511811023622047" footer="0.51181102362204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823"/>
  <sheetViews>
    <sheetView workbookViewId="0">
      <pane xSplit="1" ySplit="1" topLeftCell="B2" activePane="bottomRight" state="frozen"/>
      <selection pane="topRight"/>
      <selection pane="bottomLeft"/>
      <selection pane="bottomRight" activeCell="B2" sqref="B2"/>
    </sheetView>
  </sheetViews>
  <sheetFormatPr defaultRowHeight="15"/>
  <cols>
    <col min="1" max="2" width="12" customWidth="1"/>
    <col min="3" max="26" width="11" customWidth="1"/>
    <col min="27" max="27" width="58" customWidth="1"/>
    <col min="28" max="35" width="16" customWidth="1"/>
  </cols>
  <sheetData>
    <row r="1" spans="1:39" ht="81">
      <c r="A1" s="2" t="s">
        <v>63</v>
      </c>
      <c r="B1" s="2" t="s">
        <v>1961</v>
      </c>
      <c r="C1" s="2" t="s">
        <v>2750</v>
      </c>
      <c r="D1" s="2" t="s">
        <v>2751</v>
      </c>
      <c r="E1" s="2" t="s">
        <v>2752</v>
      </c>
      <c r="F1" s="2" t="s">
        <v>2753</v>
      </c>
      <c r="G1" s="2" t="s">
        <v>2754</v>
      </c>
      <c r="H1" s="2" t="s">
        <v>2755</v>
      </c>
      <c r="I1" s="2" t="s">
        <v>2753</v>
      </c>
      <c r="J1" s="2" t="s">
        <v>2754</v>
      </c>
      <c r="K1" s="2" t="s">
        <v>2756</v>
      </c>
      <c r="L1" s="2" t="s">
        <v>2753</v>
      </c>
      <c r="M1" s="2" t="s">
        <v>2754</v>
      </c>
      <c r="N1" s="2" t="s">
        <v>2757</v>
      </c>
      <c r="O1" s="2" t="s">
        <v>49</v>
      </c>
      <c r="P1" s="2" t="s">
        <v>2758</v>
      </c>
      <c r="Q1" s="2" t="s">
        <v>2759</v>
      </c>
      <c r="R1" s="2" t="s">
        <v>2760</v>
      </c>
      <c r="S1" s="2" t="s">
        <v>2759</v>
      </c>
      <c r="T1" s="2" t="s">
        <v>2761</v>
      </c>
      <c r="U1" s="2" t="s">
        <v>2759</v>
      </c>
      <c r="V1" s="2" t="s">
        <v>2762</v>
      </c>
      <c r="W1" s="2" t="s">
        <v>2763</v>
      </c>
      <c r="X1" s="2" t="s">
        <v>2764</v>
      </c>
      <c r="Y1" s="2" t="s">
        <v>2765</v>
      </c>
      <c r="Z1" s="2" t="s">
        <v>2766</v>
      </c>
      <c r="AK1" s="2" t="s">
        <v>2767</v>
      </c>
      <c r="AL1" s="2" t="s">
        <v>2768</v>
      </c>
      <c r="AM1" s="2" t="s">
        <v>2769</v>
      </c>
    </row>
    <row r="2" spans="1:39" ht="21">
      <c r="A2" s="18" t="str">
        <f>IF(Volcanic!A2="","",Volcanic!A2)</f>
        <v>3/1958</v>
      </c>
      <c r="B2" s="18">
        <f>IF(ISNUMBER(Volcanic!L2),Volcanic!L2,"")</f>
        <v>1958.2083333333333</v>
      </c>
      <c r="C2" s="21">
        <v>1.4</v>
      </c>
      <c r="E2" s="18">
        <f>IF(ISNUMBER(Volcanic!B2),Volcanic!B2,"")</f>
        <v>8.0000000000000071E-2</v>
      </c>
      <c r="F2" s="18">
        <f>IF(ISNUMBER(Volcanic!C2),Volcanic!C2,"")</f>
        <v>0.17317313104772078</v>
      </c>
      <c r="G2" s="18">
        <f>IF(ISNUMBER(Volcanic!E2),Volcanic!E2,"")</f>
        <v>1.0059999999999999E-2</v>
      </c>
      <c r="H2" s="18">
        <f>IF(ISNUMBER(Volcanic!D2),Volcanic!D2,"")</f>
        <v>0</v>
      </c>
      <c r="I2" s="18">
        <f t="shared" ref="I2:I65" si="0">F2</f>
        <v>0.17317313104772078</v>
      </c>
      <c r="J2" s="18">
        <f t="shared" ref="J2:J65" si="1">G2</f>
        <v>1.0059999999999999E-2</v>
      </c>
      <c r="K2" s="18" t="str">
        <f t="shared" ref="K2:K65" si="2">IF(ISNUMBER(D2),D2,"")</f>
        <v/>
      </c>
      <c r="L2" s="18">
        <f t="shared" ref="L2:L65" si="3">F2</f>
        <v>0.17317313104772078</v>
      </c>
      <c r="M2" s="18">
        <f t="shared" ref="M2:M65" si="4">G2</f>
        <v>1.0059999999999999E-2</v>
      </c>
      <c r="N2" s="18" t="str">
        <f t="shared" ref="N2:N65" si="5">IF(ISNUMBER(D2),D2-($AB$8*B2+$AB$9),"")</f>
        <v/>
      </c>
      <c r="O2" s="18">
        <f>Forcing!A2</f>
        <v>1959</v>
      </c>
      <c r="P2" s="18">
        <f>Forcing!B2</f>
        <v>3.0833333333332824E-2</v>
      </c>
      <c r="Q2" s="18">
        <f>Forcing!AN2</f>
        <v>0.30580000000000013</v>
      </c>
      <c r="R2" s="18">
        <f>Forcing!AO2</f>
        <v>0.26083333333333336</v>
      </c>
      <c r="S2" s="18">
        <f t="shared" ref="S2:S33" si="6">Q2</f>
        <v>0.30580000000000013</v>
      </c>
      <c r="T2" s="18">
        <f t="shared" ref="T2:T33" si="7">AVERAGEIFS($D$9:$D$822,$B$9:$B$822,"&gt;="&amp;O2,$B$9:$B$822,"&lt;"&amp;(O2+1))</f>
        <v>0.27500000000000008</v>
      </c>
      <c r="U2" s="18">
        <f t="shared" ref="U2:U33" si="8">Q2</f>
        <v>0.30580000000000013</v>
      </c>
      <c r="V2" s="18">
        <f t="shared" ref="V2:V33" si="9">T2-($AB$28*O2+$AB$29)</f>
        <v>2.9119110330605436E-4</v>
      </c>
      <c r="W2" s="18">
        <f>Forcing!K2+Forcing!J2</f>
        <v>1.2180000000000002</v>
      </c>
      <c r="X2" s="18">
        <f>Forcing!I2*$AB$30</f>
        <v>-1.523374</v>
      </c>
      <c r="Y2" s="18">
        <f t="shared" ref="Y2:Y33" si="10">R2</f>
        <v>0.26083333333333336</v>
      </c>
      <c r="Z2" s="18">
        <f>Forcing!B2-($AB$43+$AB$39*Forcing!AQ2+$AB$40*Forcing!AR2+$AB$44*Forcing!AS2)</f>
        <v>4.5961463439949814E-2</v>
      </c>
      <c r="AA2" s="3" t="s">
        <v>2770</v>
      </c>
    </row>
    <row r="3" spans="1:39" ht="78" customHeight="1">
      <c r="A3" s="18" t="str">
        <f>IF(Volcanic!A3="","",Volcanic!A3)</f>
        <v>4/1958</v>
      </c>
      <c r="B3" s="18">
        <f>IF(ISNUMBER(Volcanic!L3),Volcanic!L3,"")</f>
        <v>1958.2916666666667</v>
      </c>
      <c r="C3" s="21">
        <v>1.07</v>
      </c>
      <c r="E3" s="18">
        <f>IF(ISNUMBER(Volcanic!B3),Volcanic!B3,"")</f>
        <v>1.0000000000001563E-2</v>
      </c>
      <c r="F3" s="18">
        <f>IF(ISNUMBER(Volcanic!C3),Volcanic!C3,"")</f>
        <v>0.1811025507537978</v>
      </c>
      <c r="G3" s="18">
        <f>IF(ISNUMBER(Volcanic!E3),Volcanic!E3,"")</f>
        <v>9.5200000000000007E-3</v>
      </c>
      <c r="H3" s="18">
        <f>IF(ISNUMBER(Volcanic!D3),Volcanic!D3,"")</f>
        <v>0</v>
      </c>
      <c r="I3" s="18">
        <f t="shared" si="0"/>
        <v>0.1811025507537978</v>
      </c>
      <c r="J3" s="18">
        <f t="shared" si="1"/>
        <v>9.5200000000000007E-3</v>
      </c>
      <c r="K3" s="18" t="str">
        <f t="shared" si="2"/>
        <v/>
      </c>
      <c r="L3" s="18">
        <f t="shared" si="3"/>
        <v>0.1811025507537978</v>
      </c>
      <c r="M3" s="18">
        <f t="shared" si="4"/>
        <v>9.5200000000000007E-3</v>
      </c>
      <c r="N3" s="18" t="str">
        <f t="shared" si="5"/>
        <v/>
      </c>
      <c r="O3" s="18">
        <f>Forcing!A3</f>
        <v>1960</v>
      </c>
      <c r="P3" s="18">
        <f>Forcing!B3</f>
        <v>-2.4999999999999616E-2</v>
      </c>
      <c r="Q3" s="18">
        <f>Forcing!AN3</f>
        <v>0.29660000000000009</v>
      </c>
      <c r="R3" s="18">
        <f>Forcing!AO3</f>
        <v>9.583333333333334E-2</v>
      </c>
      <c r="S3" s="18">
        <f t="shared" si="6"/>
        <v>0.29660000000000009</v>
      </c>
      <c r="T3" s="18">
        <f t="shared" si="7"/>
        <v>2.5833333333333337E-2</v>
      </c>
      <c r="U3" s="18">
        <f t="shared" si="8"/>
        <v>0.29660000000000009</v>
      </c>
      <c r="V3" s="18">
        <f t="shared" si="9"/>
        <v>-0.24094859924974046</v>
      </c>
      <c r="W3" s="18">
        <f>Forcing!K3+Forcing!J3</f>
        <v>1.2452000000000001</v>
      </c>
      <c r="X3" s="18">
        <f>Forcing!I3*$AB$30</f>
        <v>-1.5841619999999998</v>
      </c>
      <c r="Y3" s="18">
        <f t="shared" si="10"/>
        <v>9.583333333333334E-2</v>
      </c>
      <c r="Z3" s="18">
        <f>Forcing!B3-($AB$43+$AB$39*Forcing!AQ3+$AB$40*Forcing!AR3+$AB$44*Forcing!AS3)</f>
        <v>1.0781122013166975E-2</v>
      </c>
      <c r="AA3" s="54" t="s">
        <v>2771</v>
      </c>
      <c r="AB3" s="53"/>
      <c r="AC3" s="53"/>
      <c r="AD3" s="53"/>
      <c r="AE3" s="53"/>
      <c r="AF3" s="53"/>
      <c r="AG3" s="53"/>
      <c r="AH3" s="53"/>
      <c r="AI3" s="53"/>
    </row>
    <row r="4" spans="1:39">
      <c r="A4" s="18" t="str">
        <f>IF(Volcanic!A4="","",Volcanic!A4)</f>
        <v>5/1958</v>
      </c>
      <c r="B4" s="18">
        <f>IF(ISNUMBER(Volcanic!L4),Volcanic!L4,"")</f>
        <v>1958.375</v>
      </c>
      <c r="C4" s="21">
        <v>0.83</v>
      </c>
      <c r="E4" s="18">
        <f>IF(ISNUMBER(Volcanic!B4),Volcanic!B4,"")</f>
        <v>5.9999999999998721E-2</v>
      </c>
      <c r="F4" s="18">
        <f>IF(ISNUMBER(Volcanic!C4),Volcanic!C4,"")</f>
        <v>0.18137520321288492</v>
      </c>
      <c r="G4" s="18">
        <f>IF(ISNUMBER(Volcanic!E4),Volcanic!E4,"")</f>
        <v>9.0299999999999998E-3</v>
      </c>
      <c r="H4" s="18">
        <f>IF(ISNUMBER(Volcanic!D4),Volcanic!D4,"")</f>
        <v>0</v>
      </c>
      <c r="I4" s="18">
        <f t="shared" si="0"/>
        <v>0.18137520321288492</v>
      </c>
      <c r="J4" s="18">
        <f t="shared" si="1"/>
        <v>9.0299999999999998E-3</v>
      </c>
      <c r="K4" s="18" t="str">
        <f t="shared" si="2"/>
        <v/>
      </c>
      <c r="L4" s="18">
        <f t="shared" si="3"/>
        <v>0.18137520321288492</v>
      </c>
      <c r="M4" s="18">
        <f t="shared" si="4"/>
        <v>9.0299999999999998E-3</v>
      </c>
      <c r="N4" s="18" t="str">
        <f t="shared" si="5"/>
        <v/>
      </c>
      <c r="O4" s="18">
        <f>Forcing!A4</f>
        <v>1961</v>
      </c>
      <c r="P4" s="18">
        <f>Forcing!B4</f>
        <v>5.6666666666666345E-2</v>
      </c>
      <c r="Q4" s="18">
        <f>Forcing!AN4</f>
        <v>0.28620000000000001</v>
      </c>
      <c r="R4" s="18">
        <f>Forcing!AO4</f>
        <v>2.4999999999999931E-3</v>
      </c>
      <c r="S4" s="18">
        <f t="shared" si="6"/>
        <v>0.28620000000000001</v>
      </c>
      <c r="T4" s="18">
        <f t="shared" si="7"/>
        <v>6.083333333333333E-2</v>
      </c>
      <c r="U4" s="18">
        <f t="shared" si="8"/>
        <v>0.28620000000000001</v>
      </c>
      <c r="V4" s="18">
        <f t="shared" si="9"/>
        <v>-0.19802172293612205</v>
      </c>
      <c r="W4" s="18">
        <f>Forcing!K4+Forcing!J4</f>
        <v>1.2707999999999999</v>
      </c>
      <c r="X4" s="18">
        <f>Forcing!I4*$AB$30</f>
        <v>-1.644282</v>
      </c>
      <c r="Y4" s="18">
        <f t="shared" si="10"/>
        <v>2.4999999999999931E-3</v>
      </c>
      <c r="Z4" s="18">
        <f>Forcing!B4-($AB$43+$AB$39*Forcing!AQ4+$AB$40*Forcing!AR4+$AB$44*Forcing!AS4)</f>
        <v>0.10633214591443133</v>
      </c>
    </row>
    <row r="5" spans="1:39" ht="15.75">
      <c r="A5" s="18" t="str">
        <f>IF(Volcanic!A5="","",Volcanic!A5)</f>
        <v>6/1958</v>
      </c>
      <c r="B5" s="18">
        <f>IF(ISNUMBER(Volcanic!L5),Volcanic!L5,"")</f>
        <v>1958.4583333333333</v>
      </c>
      <c r="C5" s="21">
        <v>0.68</v>
      </c>
      <c r="D5" s="18">
        <f t="shared" ref="D5:D68" si="11">IF(C2="","",C2)</f>
        <v>1.4</v>
      </c>
      <c r="E5" s="18">
        <f>IF(ISNUMBER(Volcanic!B5),Volcanic!B5,"")</f>
        <v>-9.0000000000001634E-2</v>
      </c>
      <c r="F5" s="18">
        <f>IF(ISNUMBER(Volcanic!C5),Volcanic!C5,"")</f>
        <v>0.1802842840714132</v>
      </c>
      <c r="G5" s="18">
        <f>IF(ISNUMBER(Volcanic!E5),Volcanic!E5,"")</f>
        <v>8.43E-3</v>
      </c>
      <c r="H5" s="18" t="str">
        <f>IF(ISNUMBER(Volcanic!D5),Volcanic!D5,"")</f>
        <v/>
      </c>
      <c r="I5" s="18">
        <f t="shared" si="0"/>
        <v>0.1802842840714132</v>
      </c>
      <c r="J5" s="18">
        <f t="shared" si="1"/>
        <v>8.43E-3</v>
      </c>
      <c r="K5" s="18">
        <f t="shared" si="2"/>
        <v>1.4</v>
      </c>
      <c r="L5" s="18">
        <f t="shared" si="3"/>
        <v>0.1802842840714132</v>
      </c>
      <c r="M5" s="18">
        <f t="shared" si="4"/>
        <v>8.43E-3</v>
      </c>
      <c r="N5" s="18">
        <f t="shared" si="5"/>
        <v>1.1086020359641338</v>
      </c>
      <c r="O5" s="18">
        <f>Forcing!A5</f>
        <v>1962</v>
      </c>
      <c r="P5" s="18">
        <f>Forcing!B5</f>
        <v>3.0833333333334007E-2</v>
      </c>
      <c r="Q5" s="18">
        <f>Forcing!AN5</f>
        <v>0.30610000000000004</v>
      </c>
      <c r="R5" s="18">
        <f>Forcing!AO5</f>
        <v>-0.13666666666666666</v>
      </c>
      <c r="S5" s="18">
        <f t="shared" si="6"/>
        <v>0.30610000000000004</v>
      </c>
      <c r="T5" s="18">
        <f t="shared" si="7"/>
        <v>-0.18583333333333332</v>
      </c>
      <c r="U5" s="18">
        <f t="shared" si="8"/>
        <v>0.30610000000000004</v>
      </c>
      <c r="V5" s="18">
        <f t="shared" si="9"/>
        <v>-0.43676151328917023</v>
      </c>
      <c r="W5" s="18">
        <f>Forcing!K5+Forcing!J5</f>
        <v>1.2977000000000001</v>
      </c>
      <c r="X5" s="18">
        <f>Forcing!I5*$AB$30</f>
        <v>-1.655972</v>
      </c>
      <c r="Y5" s="18">
        <f t="shared" si="10"/>
        <v>-0.13666666666666666</v>
      </c>
      <c r="Z5" s="18">
        <f>Forcing!B5-($AB$43+$AB$39*Forcing!AQ5+$AB$40*Forcing!AR5+$AB$44*Forcing!AS5)</f>
        <v>8.6493833402733963E-2</v>
      </c>
      <c r="AA5" s="4" t="s">
        <v>2772</v>
      </c>
    </row>
    <row r="6" spans="1:39" ht="18" customHeight="1">
      <c r="A6" s="18" t="str">
        <f>IF(Volcanic!A6="","",Volcanic!A6)</f>
        <v>7/1958</v>
      </c>
      <c r="B6" s="18">
        <f>IF(ISNUMBER(Volcanic!L6),Volcanic!L6,"")</f>
        <v>1958.5416666666667</v>
      </c>
      <c r="C6" s="21">
        <v>0.49</v>
      </c>
      <c r="D6" s="18">
        <f t="shared" si="11"/>
        <v>1.07</v>
      </c>
      <c r="E6" s="18">
        <f>IF(ISNUMBER(Volcanic!B6),Volcanic!B6,"")</f>
        <v>5.0000000000004263E-2</v>
      </c>
      <c r="F6" s="18">
        <f>IF(ISNUMBER(Volcanic!C6),Volcanic!C6,"")</f>
        <v>0.17390409533246803</v>
      </c>
      <c r="G6" s="18">
        <f>IF(ISNUMBER(Volcanic!E6),Volcanic!E6,"")</f>
        <v>7.8499999999999993E-3</v>
      </c>
      <c r="H6" s="18" t="str">
        <f>IF(ISNUMBER(Volcanic!D6),Volcanic!D6,"")</f>
        <v/>
      </c>
      <c r="I6" s="18">
        <f t="shared" si="0"/>
        <v>0.17390409533246803</v>
      </c>
      <c r="J6" s="18">
        <f t="shared" si="1"/>
        <v>7.8499999999999993E-3</v>
      </c>
      <c r="K6" s="18">
        <f t="shared" si="2"/>
        <v>1.07</v>
      </c>
      <c r="L6" s="18">
        <f t="shared" si="3"/>
        <v>0.17390409533246803</v>
      </c>
      <c r="M6" s="18">
        <f t="shared" si="4"/>
        <v>7.8499999999999993E-3</v>
      </c>
      <c r="N6" s="18">
        <f t="shared" si="5"/>
        <v>0.77929205545473557</v>
      </c>
      <c r="O6" s="18">
        <f>Forcing!A6</f>
        <v>1963</v>
      </c>
      <c r="P6" s="18">
        <f>Forcing!B6</f>
        <v>5.4166666666666995E-2</v>
      </c>
      <c r="Q6" s="18">
        <f>Forcing!AN6</f>
        <v>0.2793000000000001</v>
      </c>
      <c r="R6" s="18">
        <f>Forcing!AO6</f>
        <v>0.19416666666666668</v>
      </c>
      <c r="S6" s="18">
        <f t="shared" si="6"/>
        <v>0.2793000000000001</v>
      </c>
      <c r="T6" s="18">
        <f t="shared" si="7"/>
        <v>0.16416666666666663</v>
      </c>
      <c r="U6" s="18">
        <f t="shared" si="8"/>
        <v>0.2793000000000001</v>
      </c>
      <c r="V6" s="18">
        <f t="shared" si="9"/>
        <v>-7.8834636975550099E-2</v>
      </c>
      <c r="W6" s="18">
        <f>Forcing!K6+Forcing!J6</f>
        <v>1.3398000000000001</v>
      </c>
      <c r="X6" s="18">
        <f>Forcing!I6*$AB$30</f>
        <v>-1.7710349999999999</v>
      </c>
      <c r="Y6" s="18">
        <f t="shared" si="10"/>
        <v>0.19416666666666668</v>
      </c>
      <c r="Z6" s="18">
        <f>Forcing!B6-($AB$43+$AB$39*Forcing!AQ6+$AB$40*Forcing!AR6+$AB$44*Forcing!AS6)</f>
        <v>8.7629791650811223E-2</v>
      </c>
      <c r="AA6" s="61" t="s">
        <v>2773</v>
      </c>
      <c r="AB6" s="53"/>
      <c r="AC6" s="53"/>
      <c r="AD6" s="53"/>
      <c r="AE6" s="53"/>
      <c r="AF6" s="53"/>
      <c r="AG6" s="53"/>
      <c r="AH6" s="53"/>
      <c r="AI6" s="53"/>
    </row>
    <row r="7" spans="1:39">
      <c r="A7" s="18" t="str">
        <f>IF(Volcanic!A7="","",Volcanic!A7)</f>
        <v>8/1958</v>
      </c>
      <c r="B7" s="18">
        <f>IF(ISNUMBER(Volcanic!L7),Volcanic!L7,"")</f>
        <v>1958.625</v>
      </c>
      <c r="C7" s="21">
        <v>0.26</v>
      </c>
      <c r="D7" s="18">
        <f t="shared" si="11"/>
        <v>0.83</v>
      </c>
      <c r="E7" s="18">
        <f>IF(ISNUMBER(Volcanic!B7),Volcanic!B7,"")</f>
        <v>-5.0000000000000711E-2</v>
      </c>
      <c r="F7" s="18">
        <f>IF(ISNUMBER(Volcanic!C7),Volcanic!C7,"")</f>
        <v>0.16960436691695893</v>
      </c>
      <c r="G7" s="18">
        <f>IF(ISNUMBER(Volcanic!E7),Volcanic!E7,"")</f>
        <v>7.3299999999999997E-3</v>
      </c>
      <c r="H7" s="18" t="str">
        <f>IF(ISNUMBER(Volcanic!D7),Volcanic!D7,"")</f>
        <v/>
      </c>
      <c r="I7" s="18">
        <f t="shared" si="0"/>
        <v>0.16960436691695893</v>
      </c>
      <c r="J7" s="18">
        <f t="shared" si="1"/>
        <v>7.3299999999999997E-3</v>
      </c>
      <c r="K7" s="18">
        <f t="shared" si="2"/>
        <v>0.83</v>
      </c>
      <c r="L7" s="18">
        <f t="shared" si="3"/>
        <v>0.16960436691695893</v>
      </c>
      <c r="M7" s="18">
        <f t="shared" si="4"/>
        <v>7.3299999999999997E-3</v>
      </c>
      <c r="N7" s="18">
        <f t="shared" si="5"/>
        <v>0.53998207494533357</v>
      </c>
      <c r="O7" s="18">
        <f>Forcing!A7</f>
        <v>1964</v>
      </c>
      <c r="P7" s="18">
        <f>Forcing!B7</f>
        <v>-0.1991666666666673</v>
      </c>
      <c r="Q7" s="18">
        <f>Forcing!AN7</f>
        <v>0.3095</v>
      </c>
      <c r="R7" s="18">
        <f>Forcing!AO7</f>
        <v>0.10666666666666667</v>
      </c>
      <c r="S7" s="18">
        <f t="shared" si="6"/>
        <v>0.3095</v>
      </c>
      <c r="T7" s="18">
        <f t="shared" si="7"/>
        <v>0.1633333333333333</v>
      </c>
      <c r="U7" s="18">
        <f t="shared" si="8"/>
        <v>0.3095</v>
      </c>
      <c r="V7" s="18">
        <f t="shared" si="9"/>
        <v>-7.1741093995264987E-2</v>
      </c>
      <c r="W7" s="18">
        <f>Forcing!K7+Forcing!J7</f>
        <v>1.3639999999999999</v>
      </c>
      <c r="X7" s="18">
        <f>Forcing!I7*$AB$30</f>
        <v>-1.761015</v>
      </c>
      <c r="Y7" s="18">
        <f t="shared" si="10"/>
        <v>0.10666666666666667</v>
      </c>
      <c r="Z7" s="18">
        <f>Forcing!B7-($AB$43+$AB$39*Forcing!AQ7+$AB$40*Forcing!AR7+$AB$44*Forcing!AS7)</f>
        <v>-0.16921582840759192</v>
      </c>
      <c r="AA7" s="18" t="s">
        <v>2774</v>
      </c>
      <c r="AB7" s="25">
        <f>SLOPE($D$9:$D$822,$B$9:$B$822)*10</f>
        <v>-8.2802338871883763E-2</v>
      </c>
    </row>
    <row r="8" spans="1:39">
      <c r="A8" s="18" t="str">
        <f>IF(Volcanic!A8="","",Volcanic!A8)</f>
        <v>9/1958</v>
      </c>
      <c r="B8" s="18">
        <f>IF(ISNUMBER(Volcanic!L8),Volcanic!L8,"")</f>
        <v>1958.7083333333333</v>
      </c>
      <c r="C8" s="21">
        <v>0.18</v>
      </c>
      <c r="D8" s="18">
        <f t="shared" si="11"/>
        <v>0.68</v>
      </c>
      <c r="E8" s="18">
        <f>IF(ISNUMBER(Volcanic!B8),Volcanic!B8,"")</f>
        <v>-2.9999999999999361E-2</v>
      </c>
      <c r="F8" s="18">
        <f>IF(ISNUMBER(Volcanic!C8),Volcanic!C8,"")</f>
        <v>0.1617034477834195</v>
      </c>
      <c r="G8" s="18">
        <f>IF(ISNUMBER(Volcanic!E8),Volcanic!E8,"")</f>
        <v>6.8100000000000001E-3</v>
      </c>
      <c r="H8" s="18" t="str">
        <f>IF(ISNUMBER(Volcanic!D8),Volcanic!D8,"")</f>
        <v/>
      </c>
      <c r="I8" s="18">
        <f t="shared" si="0"/>
        <v>0.1617034477834195</v>
      </c>
      <c r="J8" s="18">
        <f t="shared" si="1"/>
        <v>6.8100000000000001E-3</v>
      </c>
      <c r="K8" s="18">
        <f t="shared" si="2"/>
        <v>0.68</v>
      </c>
      <c r="L8" s="18">
        <f t="shared" si="3"/>
        <v>0.1617034477834195</v>
      </c>
      <c r="M8" s="18">
        <f t="shared" si="4"/>
        <v>6.8100000000000001E-3</v>
      </c>
      <c r="N8" s="18">
        <f t="shared" si="5"/>
        <v>0.39067209443593176</v>
      </c>
      <c r="O8" s="18">
        <f>Forcing!A8</f>
        <v>1965</v>
      </c>
      <c r="P8" s="18">
        <f>Forcing!B8</f>
        <v>-0.10666666666666676</v>
      </c>
      <c r="Q8" s="18">
        <f>Forcing!AN8</f>
        <v>0.31409999999999993</v>
      </c>
      <c r="R8" s="18">
        <f>Forcing!AO8</f>
        <v>0.18333333333333335</v>
      </c>
      <c r="S8" s="18">
        <f t="shared" si="6"/>
        <v>0.31409999999999993</v>
      </c>
      <c r="T8" s="18">
        <f t="shared" si="7"/>
        <v>0.41749999999999998</v>
      </c>
      <c r="U8" s="18">
        <f t="shared" si="8"/>
        <v>0.31409999999999993</v>
      </c>
      <c r="V8" s="18">
        <f t="shared" si="9"/>
        <v>0.19035244898502013</v>
      </c>
      <c r="W8" s="18">
        <f>Forcing!K8+Forcing!J8</f>
        <v>1.3933</v>
      </c>
      <c r="X8" s="18">
        <f>Forcing!I8*$AB$30</f>
        <v>-1.8022639999999999</v>
      </c>
      <c r="Y8" s="18">
        <f t="shared" si="10"/>
        <v>0.18333333333333335</v>
      </c>
      <c r="Z8" s="18">
        <f>Forcing!B8-($AB$43+$AB$39*Forcing!AQ8+$AB$40*Forcing!AR8+$AB$44*Forcing!AS8)</f>
        <v>-8.6233429376733423E-2</v>
      </c>
      <c r="AA8" s="18" t="s">
        <v>2775</v>
      </c>
      <c r="AB8" s="25">
        <f>SLOPE($D$9:$D$822,$B$9:$B$822)</f>
        <v>-8.2802338871883763E-3</v>
      </c>
    </row>
    <row r="9" spans="1:39">
      <c r="A9" s="18" t="str">
        <f>IF(Volcanic!A9="","",Volcanic!A9)</f>
        <v>10/1958</v>
      </c>
      <c r="B9" s="18">
        <f>IF(ISNUMBER(Volcanic!L9),Volcanic!L9,"")</f>
        <v>1958.7916666666667</v>
      </c>
      <c r="C9" s="21">
        <v>0.25</v>
      </c>
      <c r="D9" s="18">
        <f t="shared" si="11"/>
        <v>0.49</v>
      </c>
      <c r="E9" s="18">
        <f>IF(ISNUMBER(Volcanic!B9),Volcanic!B9,"")</f>
        <v>3.9999999999999147E-2</v>
      </c>
      <c r="F9" s="18">
        <f>IF(ISNUMBER(Volcanic!C9),Volcanic!C9,"")</f>
        <v>0.1580599853917147</v>
      </c>
      <c r="G9" s="18">
        <f>IF(ISNUMBER(Volcanic!E9),Volcanic!E9,"")</f>
        <v>6.4000000000000003E-3</v>
      </c>
      <c r="H9" s="18">
        <f>IF(ISNUMBER(Volcanic!D9),Volcanic!D9,"")</f>
        <v>0.43</v>
      </c>
      <c r="I9" s="18">
        <f t="shared" si="0"/>
        <v>0.1580599853917147</v>
      </c>
      <c r="J9" s="18">
        <f t="shared" si="1"/>
        <v>6.4000000000000003E-3</v>
      </c>
      <c r="K9" s="18">
        <f t="shared" si="2"/>
        <v>0.49</v>
      </c>
      <c r="L9" s="18">
        <f t="shared" si="3"/>
        <v>0.1580599853917147</v>
      </c>
      <c r="M9" s="18">
        <f t="shared" si="4"/>
        <v>6.4000000000000003E-3</v>
      </c>
      <c r="N9" s="18">
        <f t="shared" si="5"/>
        <v>0.20136211392653336</v>
      </c>
      <c r="O9" s="18">
        <f>Forcing!A9</f>
        <v>1966</v>
      </c>
      <c r="P9" s="18">
        <f>Forcing!B9</f>
        <v>-5.7499999999999364E-2</v>
      </c>
      <c r="Q9" s="18">
        <f>Forcing!AN9</f>
        <v>0.33479999999999982</v>
      </c>
      <c r="R9" s="18">
        <f>Forcing!AO9</f>
        <v>0.76750000000000007</v>
      </c>
      <c r="S9" s="18">
        <f t="shared" si="6"/>
        <v>0.33479999999999982</v>
      </c>
      <c r="T9" s="18">
        <f t="shared" si="7"/>
        <v>1.0333333333333334</v>
      </c>
      <c r="U9" s="18">
        <f t="shared" si="8"/>
        <v>0.33479999999999982</v>
      </c>
      <c r="V9" s="18">
        <f t="shared" si="9"/>
        <v>0.8141126586319738</v>
      </c>
      <c r="W9" s="18">
        <f>Forcing!K9+Forcing!J9</f>
        <v>1.4289999999999998</v>
      </c>
      <c r="X9" s="18">
        <f>Forcing!I9*$AB$30</f>
        <v>-1.8273140000000001</v>
      </c>
      <c r="Y9" s="18">
        <f t="shared" si="10"/>
        <v>0.76750000000000007</v>
      </c>
      <c r="Z9" s="18">
        <f>Forcing!B9-($AB$43+$AB$39*Forcing!AQ9+$AB$40*Forcing!AR9+$AB$44*Forcing!AS9)</f>
        <v>-0.1046032008845722</v>
      </c>
      <c r="AA9" s="18" t="s">
        <v>2776</v>
      </c>
      <c r="AB9" s="25">
        <f>INTERCEPT($D$9:$D$822,$B$9:$B$822)</f>
        <v>16.507891022349</v>
      </c>
      <c r="AK9" s="18">
        <f>IF(AND(ISNUMBER(C9),ISNUMBER(ENSO!F9)),C9-ENSO!F9,"")</f>
        <v>-4.9999999999999989E-2</v>
      </c>
      <c r="AL9" s="18">
        <f t="shared" ref="AL9:AL72" si="12">B9</f>
        <v>1958.7916666666667</v>
      </c>
      <c r="AM9" s="18">
        <f t="shared" ref="AM9:AM72" si="13">E9</f>
        <v>3.9999999999999147E-2</v>
      </c>
    </row>
    <row r="10" spans="1:39">
      <c r="A10" s="18" t="str">
        <f>IF(Volcanic!A10="","",Volcanic!A10)</f>
        <v>11/1958</v>
      </c>
      <c r="B10" s="18">
        <f>IF(ISNUMBER(Volcanic!L10),Volcanic!L10,"")</f>
        <v>1958.875</v>
      </c>
      <c r="C10" s="21">
        <v>0.39</v>
      </c>
      <c r="D10" s="18">
        <f t="shared" si="11"/>
        <v>0.26</v>
      </c>
      <c r="E10" s="18">
        <f>IF(ISNUMBER(Volcanic!B10),Volcanic!B10,"")</f>
        <v>2.0000000000003126E-2</v>
      </c>
      <c r="F10" s="18">
        <f>IF(ISNUMBER(Volcanic!C10),Volcanic!C10,"")</f>
        <v>0.16225608099765507</v>
      </c>
      <c r="G10" s="18">
        <f>IF(ISNUMBER(Volcanic!E10),Volcanic!E10,"")</f>
        <v>6.11E-3</v>
      </c>
      <c r="H10" s="18">
        <f>IF(ISNUMBER(Volcanic!D10),Volcanic!D10,"")</f>
        <v>0.32</v>
      </c>
      <c r="I10" s="18">
        <f t="shared" si="0"/>
        <v>0.16225608099765507</v>
      </c>
      <c r="J10" s="18">
        <f t="shared" si="1"/>
        <v>6.11E-3</v>
      </c>
      <c r="K10" s="18">
        <f t="shared" si="2"/>
        <v>0.26</v>
      </c>
      <c r="L10" s="18">
        <f t="shared" si="3"/>
        <v>0.16225608099765507</v>
      </c>
      <c r="M10" s="18">
        <f t="shared" si="4"/>
        <v>6.11E-3</v>
      </c>
      <c r="N10" s="18">
        <f t="shared" si="5"/>
        <v>-2.7947866582868519E-2</v>
      </c>
      <c r="O10" s="18">
        <f>Forcing!A10</f>
        <v>1967</v>
      </c>
      <c r="P10" s="18">
        <f>Forcing!B10</f>
        <v>-2.4166666666666597E-2</v>
      </c>
      <c r="Q10" s="18">
        <f>Forcing!AN10</f>
        <v>0.34409999999999991</v>
      </c>
      <c r="R10" s="18">
        <f>Forcing!AO10</f>
        <v>-0.27416666666666661</v>
      </c>
      <c r="S10" s="18">
        <f t="shared" si="6"/>
        <v>0.34409999999999991</v>
      </c>
      <c r="T10" s="18">
        <f t="shared" si="7"/>
        <v>-9.5833333333333326E-2</v>
      </c>
      <c r="U10" s="18">
        <f t="shared" si="8"/>
        <v>0.34409999999999991</v>
      </c>
      <c r="V10" s="18">
        <f t="shared" si="9"/>
        <v>-0.30712713172107453</v>
      </c>
      <c r="W10" s="18">
        <f>Forcing!K10+Forcing!J10</f>
        <v>1.4645999999999999</v>
      </c>
      <c r="X10" s="18">
        <f>Forcing!I10*$AB$30</f>
        <v>-1.871235</v>
      </c>
      <c r="Y10" s="18">
        <f t="shared" si="10"/>
        <v>-0.27416666666666661</v>
      </c>
      <c r="Z10" s="18">
        <f>Forcing!B10-($AB$43+$AB$39*Forcing!AQ10+$AB$40*Forcing!AR10+$AB$44*Forcing!AS10)</f>
        <v>3.0543050428471833E-2</v>
      </c>
      <c r="AA10" s="18" t="s">
        <v>2777</v>
      </c>
      <c r="AB10" s="25">
        <f>SLOPE($H$9:$H$822,$B$9:$B$822)*10</f>
        <v>-4.8222237215513703E-3</v>
      </c>
      <c r="AK10" s="18">
        <f>IF(AND(ISNUMBER(C10),ISNUMBER(ENSO!F10)),C10-ENSO!F10,"")</f>
        <v>3.0000000000000027E-2</v>
      </c>
      <c r="AL10" s="18">
        <f t="shared" si="12"/>
        <v>1958.875</v>
      </c>
      <c r="AM10" s="18">
        <f t="shared" si="13"/>
        <v>2.0000000000003126E-2</v>
      </c>
    </row>
    <row r="11" spans="1:39">
      <c r="A11" s="18" t="str">
        <f>IF(Volcanic!A11="","",Volcanic!A11)</f>
        <v>12/1958</v>
      </c>
      <c r="B11" s="18">
        <f>IF(ISNUMBER(Volcanic!L11),Volcanic!L11,"")</f>
        <v>1958.9583333333333</v>
      </c>
      <c r="C11" s="21">
        <v>0.68</v>
      </c>
      <c r="D11" s="18">
        <f t="shared" si="11"/>
        <v>0.18</v>
      </c>
      <c r="E11" s="18">
        <f>IF(ISNUMBER(Volcanic!B11),Volcanic!B11,"")</f>
        <v>1.0000000000001563E-2</v>
      </c>
      <c r="F11" s="18">
        <f>IF(ISNUMBER(Volcanic!C11),Volcanic!C11,"")</f>
        <v>0.16841281440122227</v>
      </c>
      <c r="G11" s="18">
        <f>IF(ISNUMBER(Volcanic!E11),Volcanic!E11,"")</f>
        <v>5.8700000000000002E-3</v>
      </c>
      <c r="H11" s="18">
        <f>IF(ISNUMBER(Volcanic!D11),Volcanic!D11,"")</f>
        <v>0.28000000000000003</v>
      </c>
      <c r="I11" s="18">
        <f t="shared" si="0"/>
        <v>0.16841281440122227</v>
      </c>
      <c r="J11" s="18">
        <f t="shared" si="1"/>
        <v>5.8700000000000002E-3</v>
      </c>
      <c r="K11" s="18">
        <f t="shared" si="2"/>
        <v>0.18</v>
      </c>
      <c r="L11" s="18">
        <f t="shared" si="3"/>
        <v>0.16841281440122227</v>
      </c>
      <c r="M11" s="18">
        <f t="shared" si="4"/>
        <v>5.8700000000000002E-3</v>
      </c>
      <c r="N11" s="18">
        <f t="shared" si="5"/>
        <v>-0.10725784709227043</v>
      </c>
      <c r="O11" s="18">
        <f>Forcing!A11</f>
        <v>1968</v>
      </c>
      <c r="P11" s="18">
        <f>Forcing!B11</f>
        <v>-8.2500000000000018E-2</v>
      </c>
      <c r="Q11" s="18">
        <f>Forcing!AN11</f>
        <v>0.36069999999999991</v>
      </c>
      <c r="R11" s="18">
        <f>Forcing!AO11</f>
        <v>-0.20083333333333334</v>
      </c>
      <c r="S11" s="18">
        <f t="shared" si="6"/>
        <v>0.36069999999999991</v>
      </c>
      <c r="T11" s="18">
        <f t="shared" si="7"/>
        <v>0.10000000000000002</v>
      </c>
      <c r="U11" s="18">
        <f t="shared" si="8"/>
        <v>0.36069999999999991</v>
      </c>
      <c r="V11" s="18">
        <f t="shared" si="9"/>
        <v>-0.10336692207412275</v>
      </c>
      <c r="W11" s="18">
        <f>Forcing!K11+Forcing!J11</f>
        <v>1.5013000000000001</v>
      </c>
      <c r="X11" s="18">
        <f>Forcing!I11*$AB$30</f>
        <v>-1.9048020000000001</v>
      </c>
      <c r="Y11" s="18">
        <f t="shared" si="10"/>
        <v>-0.20083333333333334</v>
      </c>
      <c r="Z11" s="18">
        <f>Forcing!B11-($AB$43+$AB$39*Forcing!AQ11+$AB$40*Forcing!AR11+$AB$44*Forcing!AS11)</f>
        <v>-4.189788191727406E-2</v>
      </c>
      <c r="AA11" s="18" t="s">
        <v>2778</v>
      </c>
      <c r="AB11" s="25">
        <f>CORREL($C$9:$C$820,ENSO!$F$9:$F$820)</f>
        <v>0.95269967474571304</v>
      </c>
      <c r="AK11" s="18">
        <f>IF(AND(ISNUMBER(C11),ISNUMBER(ENSO!F11)),C11-ENSO!F11,"")</f>
        <v>0.12</v>
      </c>
      <c r="AL11" s="18">
        <f t="shared" si="12"/>
        <v>1958.9583333333333</v>
      </c>
      <c r="AM11" s="18">
        <f t="shared" si="13"/>
        <v>1.0000000000001563E-2</v>
      </c>
    </row>
    <row r="12" spans="1:39">
      <c r="A12" s="18" t="str">
        <f>IF(Volcanic!A12="","",Volcanic!A12)</f>
        <v>1/1959</v>
      </c>
      <c r="B12" s="18">
        <f>IF(ISNUMBER(Volcanic!L12),Volcanic!L12,"")</f>
        <v>1959.0416666666667</v>
      </c>
      <c r="C12" s="21">
        <v>0.77</v>
      </c>
      <c r="D12" s="18">
        <f t="shared" si="11"/>
        <v>0.25</v>
      </c>
      <c r="E12" s="18">
        <f>IF(ISNUMBER(Volcanic!B12),Volcanic!B12,"")</f>
        <v>8.0000000000000071E-2</v>
      </c>
      <c r="F12" s="18">
        <f>IF(ISNUMBER(Volcanic!C12),Volcanic!C12,"")</f>
        <v>0.17257894974287927</v>
      </c>
      <c r="G12" s="18">
        <f>IF(ISNUMBER(Volcanic!E12),Volcanic!E12,"")</f>
        <v>5.7000000000000002E-3</v>
      </c>
      <c r="H12" s="18">
        <f>IF(ISNUMBER(Volcanic!D12),Volcanic!D12,"")</f>
        <v>0.3</v>
      </c>
      <c r="I12" s="18">
        <f t="shared" si="0"/>
        <v>0.17257894974287927</v>
      </c>
      <c r="J12" s="18">
        <f t="shared" si="1"/>
        <v>5.7000000000000002E-3</v>
      </c>
      <c r="K12" s="18">
        <f t="shared" si="2"/>
        <v>0.25</v>
      </c>
      <c r="L12" s="18">
        <f t="shared" si="3"/>
        <v>0.17257894974287927</v>
      </c>
      <c r="M12" s="18">
        <f t="shared" si="4"/>
        <v>5.7000000000000002E-3</v>
      </c>
      <c r="N12" s="18">
        <f t="shared" si="5"/>
        <v>-3.656782760167232E-2</v>
      </c>
      <c r="O12" s="18">
        <f>Forcing!A12</f>
        <v>1969</v>
      </c>
      <c r="P12" s="18">
        <f>Forcing!B12</f>
        <v>5.2500000000000213E-2</v>
      </c>
      <c r="Q12" s="18">
        <f>Forcing!AN12</f>
        <v>0.37939999999999996</v>
      </c>
      <c r="R12" s="18">
        <f>Forcing!AO12</f>
        <v>0.66666666666666663</v>
      </c>
      <c r="S12" s="18">
        <f t="shared" si="6"/>
        <v>0.37939999999999996</v>
      </c>
      <c r="T12" s="18">
        <f t="shared" si="7"/>
        <v>0.67499999999999993</v>
      </c>
      <c r="U12" s="18">
        <f t="shared" si="8"/>
        <v>0.37939999999999996</v>
      </c>
      <c r="V12" s="18">
        <f t="shared" si="9"/>
        <v>0.47955995423949738</v>
      </c>
      <c r="W12" s="18">
        <f>Forcing!K12+Forcing!J12</f>
        <v>1.5385</v>
      </c>
      <c r="X12" s="18">
        <f>Forcing!I12*$AB$30</f>
        <v>-1.935697</v>
      </c>
      <c r="Y12" s="18">
        <f t="shared" si="10"/>
        <v>0.66666666666666663</v>
      </c>
      <c r="Z12" s="18">
        <f>Forcing!B12-($AB$43+$AB$39*Forcing!AQ12+$AB$40*Forcing!AR12+$AB$44*Forcing!AS12)</f>
        <v>-2.2896808659820383E-3</v>
      </c>
      <c r="AA12" s="18" t="s">
        <v>2779</v>
      </c>
      <c r="AB12" s="25">
        <f>SQRT(DEVSQ($C$9:$C$820)/(COUNT($C$9:$C$820)-1))</f>
        <v>0.8570945796807713</v>
      </c>
      <c r="AC12" s="25">
        <f>SQRT(DEVSQ(ENSO!$F$9:$F$820)/(COUNT(ENSO!$F$9:$F$820)-1))</f>
        <v>0.78845968085952123</v>
      </c>
      <c r="AK12" s="18">
        <f>IF(AND(ISNUMBER(C12),ISNUMBER(ENSO!F12)),C12-ENSO!F12,"")</f>
        <v>0.17000000000000004</v>
      </c>
      <c r="AL12" s="18">
        <f t="shared" si="12"/>
        <v>1959.0416666666667</v>
      </c>
      <c r="AM12" s="18">
        <f t="shared" si="13"/>
        <v>8.0000000000000071E-2</v>
      </c>
    </row>
    <row r="13" spans="1:39">
      <c r="A13" s="18" t="str">
        <f>IF(Volcanic!A13="","",Volcanic!A13)</f>
        <v>2/1959</v>
      </c>
      <c r="B13" s="18">
        <f>IF(ISNUMBER(Volcanic!L13),Volcanic!L13,"")</f>
        <v>1959.125</v>
      </c>
      <c r="C13" s="21">
        <v>0.84</v>
      </c>
      <c r="D13" s="18">
        <f t="shared" si="11"/>
        <v>0.39</v>
      </c>
      <c r="E13" s="18">
        <f>IF(ISNUMBER(Volcanic!B13),Volcanic!B13,"")</f>
        <v>7.0000000000000284E-2</v>
      </c>
      <c r="F13" s="18">
        <f>IF(ISNUMBER(Volcanic!C13),Volcanic!C13,"")</f>
        <v>0.17673308898155007</v>
      </c>
      <c r="G13" s="18">
        <f>IF(ISNUMBER(Volcanic!E13),Volcanic!E13,"")</f>
        <v>5.5599999999999998E-3</v>
      </c>
      <c r="H13" s="18">
        <f>IF(ISNUMBER(Volcanic!D13),Volcanic!D13,"")</f>
        <v>0.36</v>
      </c>
      <c r="I13" s="18">
        <f t="shared" si="0"/>
        <v>0.17673308898155007</v>
      </c>
      <c r="J13" s="18">
        <f t="shared" si="1"/>
        <v>5.5599999999999998E-3</v>
      </c>
      <c r="K13" s="18">
        <f t="shared" si="2"/>
        <v>0.39</v>
      </c>
      <c r="L13" s="18">
        <f t="shared" si="3"/>
        <v>0.17673308898155007</v>
      </c>
      <c r="M13" s="18">
        <f t="shared" si="4"/>
        <v>5.5599999999999998E-3</v>
      </c>
      <c r="N13" s="18">
        <f t="shared" si="5"/>
        <v>0.10412219188892935</v>
      </c>
      <c r="O13" s="18">
        <f>Forcing!A13</f>
        <v>1970</v>
      </c>
      <c r="P13" s="18">
        <f>Forcing!B13</f>
        <v>2.7500000000000746E-2</v>
      </c>
      <c r="Q13" s="18">
        <f>Forcing!AN13</f>
        <v>0.37419999999999981</v>
      </c>
      <c r="R13" s="18">
        <f>Forcing!AO13</f>
        <v>0.10999999999999999</v>
      </c>
      <c r="S13" s="18">
        <f t="shared" si="6"/>
        <v>0.37419999999999981</v>
      </c>
      <c r="T13" s="18">
        <f t="shared" si="7"/>
        <v>8.5833333333333275E-2</v>
      </c>
      <c r="U13" s="18">
        <f t="shared" si="8"/>
        <v>0.37419999999999981</v>
      </c>
      <c r="V13" s="18">
        <f t="shared" si="9"/>
        <v>-0.10167983611355084</v>
      </c>
      <c r="W13" s="18">
        <f>Forcing!K13+Forcing!J13</f>
        <v>1.5999999999999999</v>
      </c>
      <c r="X13" s="18">
        <f>Forcing!I13*$AB$30</f>
        <v>-2.0470859999999997</v>
      </c>
      <c r="Y13" s="18">
        <f t="shared" si="10"/>
        <v>0.10999999999999999</v>
      </c>
      <c r="Z13" s="18">
        <f>Forcing!B13-($AB$43+$AB$39*Forcing!AQ13+$AB$40*Forcing!AR13+$AB$44*Forcing!AS13)</f>
        <v>3.1543141560208307E-2</v>
      </c>
      <c r="AA13" s="18" t="s">
        <v>2780</v>
      </c>
      <c r="AB13" s="20">
        <f>MAX($C$780:$C$791)</f>
        <v>1.49</v>
      </c>
      <c r="AC13" s="20">
        <f>MAX(ENSO!$F$780:$F$791)</f>
        <v>1.99</v>
      </c>
      <c r="AK13" s="18">
        <f>IF(AND(ISNUMBER(C13),ISNUMBER(ENSO!F13)),C13-ENSO!F13,"")</f>
        <v>0.19999999999999996</v>
      </c>
      <c r="AL13" s="18">
        <f t="shared" si="12"/>
        <v>1959.125</v>
      </c>
      <c r="AM13" s="18">
        <f t="shared" si="13"/>
        <v>7.0000000000000284E-2</v>
      </c>
    </row>
    <row r="14" spans="1:39">
      <c r="A14" s="18" t="str">
        <f>IF(Volcanic!A14="","",Volcanic!A14)</f>
        <v>3/1959</v>
      </c>
      <c r="B14" s="18">
        <f>IF(ISNUMBER(Volcanic!L14),Volcanic!L14,"")</f>
        <v>1959.2083333333333</v>
      </c>
      <c r="C14" s="21">
        <v>0.66</v>
      </c>
      <c r="D14" s="18">
        <f t="shared" si="11"/>
        <v>0.68</v>
      </c>
      <c r="E14" s="18">
        <f>IF(ISNUMBER(Volcanic!B14),Volcanic!B14,"")</f>
        <v>0.17999999999999972</v>
      </c>
      <c r="F14" s="18">
        <f>IF(ISNUMBER(Volcanic!C14),Volcanic!C14,"")</f>
        <v>0.17746225223598333</v>
      </c>
      <c r="G14" s="18">
        <f>IF(ISNUMBER(Volcanic!E14),Volcanic!E14,"")</f>
        <v>5.47E-3</v>
      </c>
      <c r="H14" s="18">
        <f>IF(ISNUMBER(Volcanic!D14),Volcanic!D14,"")</f>
        <v>0.56000000000000005</v>
      </c>
      <c r="I14" s="18">
        <f t="shared" si="0"/>
        <v>0.17746225223598333</v>
      </c>
      <c r="J14" s="18">
        <f t="shared" si="1"/>
        <v>5.47E-3</v>
      </c>
      <c r="K14" s="18">
        <f t="shared" si="2"/>
        <v>0.68</v>
      </c>
      <c r="L14" s="18">
        <f t="shared" si="3"/>
        <v>0.17746225223598333</v>
      </c>
      <c r="M14" s="18">
        <f t="shared" si="4"/>
        <v>5.47E-3</v>
      </c>
      <c r="N14" s="18">
        <f t="shared" si="5"/>
        <v>0.39481221137952749</v>
      </c>
      <c r="O14" s="18">
        <f>Forcing!A14</f>
        <v>1971</v>
      </c>
      <c r="P14" s="18">
        <f>Forcing!B14</f>
        <v>-7.9166666666666455E-2</v>
      </c>
      <c r="Q14" s="18">
        <f>Forcing!AN14</f>
        <v>0.40539999999999998</v>
      </c>
      <c r="R14" s="18">
        <f>Forcing!AO14</f>
        <v>-0.87583333333333335</v>
      </c>
      <c r="S14" s="18">
        <f t="shared" si="6"/>
        <v>0.40539999999999998</v>
      </c>
      <c r="T14" s="18">
        <f t="shared" si="7"/>
        <v>-0.66333333333333344</v>
      </c>
      <c r="U14" s="18">
        <f t="shared" si="8"/>
        <v>0.40539999999999998</v>
      </c>
      <c r="V14" s="18">
        <f t="shared" si="9"/>
        <v>-0.84291962646659913</v>
      </c>
      <c r="W14" s="18">
        <f>Forcing!K14+Forcing!J14</f>
        <v>1.6411</v>
      </c>
      <c r="X14" s="18">
        <f>Forcing!I14*$AB$30</f>
        <v>-2.0636190000000001</v>
      </c>
      <c r="Y14" s="18">
        <f t="shared" si="10"/>
        <v>-0.87583333333333335</v>
      </c>
      <c r="Z14" s="18">
        <f>Forcing!B14-($AB$43+$AB$39*Forcing!AQ14+$AB$40*Forcing!AR14+$AB$44*Forcing!AS14)</f>
        <v>1.2002207276226223E-2</v>
      </c>
      <c r="AA14" s="18" t="s">
        <v>2781</v>
      </c>
      <c r="AB14" s="25">
        <f>CORREL($AK$9:$AK$820,$AM$9:$AM$820)</f>
        <v>-0.68826282796376526</v>
      </c>
      <c r="AC14" s="25">
        <f>SLOPE($AK$9:$AK$820,$AM$9:$AM$820)</f>
        <v>-0.46723926674251864</v>
      </c>
      <c r="AD14" s="25">
        <f>INDEX(LINEST($AK$9:$AK$820,$AL$9:$AL$820,TRUE(),TRUE()),3,1)</f>
        <v>0.34852449234918992</v>
      </c>
      <c r="AE14" s="25">
        <f>INDEX(LINEST($AK$9:$AK$820,$AL$9:$AM$820,TRUE(),TRUE()),3,1)</f>
        <v>0.4821141870502087</v>
      </c>
      <c r="AF14" s="25">
        <f>INDEX(LINEST($AK$9:$AK$820,$AL$9:$AM$820),1,1)</f>
        <v>-0.6059257747119734</v>
      </c>
      <c r="AK14" s="18">
        <f>IF(AND(ISNUMBER(C14),ISNUMBER(ENSO!F14)),C14-ENSO!F14,"")</f>
        <v>0.18000000000000005</v>
      </c>
      <c r="AL14" s="18">
        <f t="shared" si="12"/>
        <v>1959.2083333333333</v>
      </c>
      <c r="AM14" s="18">
        <f t="shared" si="13"/>
        <v>0.17999999999999972</v>
      </c>
    </row>
    <row r="15" spans="1:39" ht="18" customHeight="1">
      <c r="A15" s="18" t="str">
        <f>IF(Volcanic!A15="","",Volcanic!A15)</f>
        <v>4/1959</v>
      </c>
      <c r="B15" s="18">
        <f>IF(ISNUMBER(Volcanic!L15),Volcanic!L15,"")</f>
        <v>1959.2916666666667</v>
      </c>
      <c r="C15" s="21">
        <v>0.44</v>
      </c>
      <c r="D15" s="18">
        <f t="shared" si="11"/>
        <v>0.77</v>
      </c>
      <c r="E15" s="18">
        <f>IF(ISNUMBER(Volcanic!B15),Volcanic!B15,"")</f>
        <v>0.16000000000000014</v>
      </c>
      <c r="F15" s="18">
        <f>IF(ISNUMBER(Volcanic!C15),Volcanic!C15,"")</f>
        <v>0.18232908124013067</v>
      </c>
      <c r="G15" s="18">
        <f>IF(ISNUMBER(Volcanic!E15),Volcanic!E15,"")</f>
        <v>5.3600000000000002E-3</v>
      </c>
      <c r="H15" s="18">
        <f>IF(ISNUMBER(Volcanic!D15),Volcanic!D15,"")</f>
        <v>0.6</v>
      </c>
      <c r="I15" s="18">
        <f t="shared" si="0"/>
        <v>0.18232908124013067</v>
      </c>
      <c r="J15" s="18">
        <f t="shared" si="1"/>
        <v>5.3600000000000002E-3</v>
      </c>
      <c r="K15" s="18">
        <f t="shared" si="2"/>
        <v>0.77</v>
      </c>
      <c r="L15" s="18">
        <f t="shared" si="3"/>
        <v>0.18232908124013067</v>
      </c>
      <c r="M15" s="18">
        <f t="shared" si="4"/>
        <v>5.3600000000000002E-3</v>
      </c>
      <c r="N15" s="18">
        <f t="shared" si="5"/>
        <v>0.48550223087012556</v>
      </c>
      <c r="O15" s="18">
        <f>Forcing!A15</f>
        <v>1972</v>
      </c>
      <c r="P15" s="18">
        <f>Forcing!B15</f>
        <v>9.1666666666673589E-3</v>
      </c>
      <c r="Q15" s="18">
        <f>Forcing!AN15</f>
        <v>0.41099999999999998</v>
      </c>
      <c r="R15" s="18">
        <f>Forcing!AO15</f>
        <v>0.16333333333333336</v>
      </c>
      <c r="S15" s="18">
        <f t="shared" si="6"/>
        <v>0.41099999999999998</v>
      </c>
      <c r="T15" s="18">
        <f t="shared" si="7"/>
        <v>0.49500000000000005</v>
      </c>
      <c r="U15" s="18">
        <f t="shared" si="8"/>
        <v>0.41099999999999998</v>
      </c>
      <c r="V15" s="18">
        <f t="shared" si="9"/>
        <v>0.32334058318035458</v>
      </c>
      <c r="W15" s="18">
        <f>Forcing!K15+Forcing!J15</f>
        <v>1.7156</v>
      </c>
      <c r="X15" s="18">
        <f>Forcing!I15*$AB$30</f>
        <v>-2.1786819999999998</v>
      </c>
      <c r="Y15" s="18">
        <f t="shared" si="10"/>
        <v>0.16333333333333336</v>
      </c>
      <c r="Z15" s="18">
        <f>Forcing!B15-($AB$43+$AB$39*Forcing!AQ15+$AB$40*Forcing!AR15+$AB$44*Forcing!AS15)</f>
        <v>-6.8292998337359159E-3</v>
      </c>
      <c r="AA15" s="61" t="s">
        <v>2782</v>
      </c>
      <c r="AB15" s="53"/>
      <c r="AC15" s="53"/>
      <c r="AD15" s="53"/>
      <c r="AE15" s="53"/>
      <c r="AF15" s="53"/>
      <c r="AG15" s="53"/>
      <c r="AH15" s="53"/>
      <c r="AI15" s="53"/>
      <c r="AK15" s="18">
        <f>IF(AND(ISNUMBER(C15),ISNUMBER(ENSO!F15)),C15-ENSO!F15,"")</f>
        <v>4.9999999999999989E-2</v>
      </c>
      <c r="AL15" s="18">
        <f t="shared" si="12"/>
        <v>1959.2916666666667</v>
      </c>
      <c r="AM15" s="18">
        <f t="shared" si="13"/>
        <v>0.16000000000000014</v>
      </c>
    </row>
    <row r="16" spans="1:39" ht="30" customHeight="1">
      <c r="A16" s="18" t="str">
        <f>IF(Volcanic!A16="","",Volcanic!A16)</f>
        <v>5/1959</v>
      </c>
      <c r="B16" s="18">
        <f>IF(ISNUMBER(Volcanic!L16),Volcanic!L16,"")</f>
        <v>1959.375</v>
      </c>
      <c r="C16" s="21">
        <v>0.25</v>
      </c>
      <c r="D16" s="18">
        <f t="shared" si="11"/>
        <v>0.84</v>
      </c>
      <c r="E16" s="18">
        <f>IF(ISNUMBER(Volcanic!B16),Volcanic!B16,"")</f>
        <v>3.9999999999999147E-2</v>
      </c>
      <c r="F16" s="18">
        <f>IF(ISNUMBER(Volcanic!C16),Volcanic!C16,"")</f>
        <v>0.18491500408245293</v>
      </c>
      <c r="G16" s="18">
        <f>IF(ISNUMBER(Volcanic!E16),Volcanic!E16,"")</f>
        <v>5.2900000000000004E-3</v>
      </c>
      <c r="H16" s="18">
        <f>IF(ISNUMBER(Volcanic!D16),Volcanic!D16,"")</f>
        <v>0.64</v>
      </c>
      <c r="I16" s="18">
        <f t="shared" si="0"/>
        <v>0.18491500408245293</v>
      </c>
      <c r="J16" s="18">
        <f t="shared" si="1"/>
        <v>5.2900000000000004E-3</v>
      </c>
      <c r="K16" s="18">
        <f t="shared" si="2"/>
        <v>0.84</v>
      </c>
      <c r="L16" s="18">
        <f t="shared" si="3"/>
        <v>0.18491500408245293</v>
      </c>
      <c r="M16" s="18">
        <f t="shared" si="4"/>
        <v>5.2900000000000004E-3</v>
      </c>
      <c r="N16" s="18">
        <f t="shared" si="5"/>
        <v>0.55619225036072362</v>
      </c>
      <c r="O16" s="18">
        <f>Forcing!A16</f>
        <v>1973</v>
      </c>
      <c r="P16" s="18">
        <f>Forcing!B16</f>
        <v>0.16083333333333302</v>
      </c>
      <c r="Q16" s="18">
        <f>Forcing!AN16</f>
        <v>0.46879999999999999</v>
      </c>
      <c r="R16" s="18">
        <f>Forcing!AO16</f>
        <v>0.32000000000000012</v>
      </c>
      <c r="S16" s="18">
        <f t="shared" si="6"/>
        <v>0.46879999999999999</v>
      </c>
      <c r="T16" s="18">
        <f t="shared" si="7"/>
        <v>0.34749999999999992</v>
      </c>
      <c r="U16" s="18">
        <f t="shared" si="8"/>
        <v>0.46879999999999999</v>
      </c>
      <c r="V16" s="18">
        <f t="shared" si="9"/>
        <v>0.18376745949397288</v>
      </c>
      <c r="W16" s="18">
        <f>Forcing!K16+Forcing!J16</f>
        <v>1.7770999999999999</v>
      </c>
      <c r="X16" s="18">
        <f>Forcing!I16*$AB$30</f>
        <v>-2.1848609999999997</v>
      </c>
      <c r="Y16" s="18">
        <f t="shared" si="10"/>
        <v>0.32000000000000012</v>
      </c>
      <c r="Z16" s="18">
        <f>Forcing!B16-($AB$43+$AB$39*Forcing!AQ16+$AB$40*Forcing!AR16+$AB$44*Forcing!AS16)</f>
        <v>0.10537042879423256</v>
      </c>
      <c r="AA16" s="2" t="s">
        <v>2783</v>
      </c>
      <c r="AB16" s="2" t="s">
        <v>2784</v>
      </c>
      <c r="AC16" s="2" t="s">
        <v>2785</v>
      </c>
      <c r="AD16" s="2" t="s">
        <v>2786</v>
      </c>
      <c r="AE16" s="2" t="s">
        <v>2787</v>
      </c>
      <c r="AF16" s="2" t="s">
        <v>2788</v>
      </c>
      <c r="AG16" s="2" t="s">
        <v>2789</v>
      </c>
      <c r="AH16" s="2" t="s">
        <v>2790</v>
      </c>
      <c r="AI16" s="2" t="s">
        <v>2791</v>
      </c>
      <c r="AK16" s="18">
        <f>IF(AND(ISNUMBER(C16),ISNUMBER(ENSO!F16)),C16-ENSO!F16,"")</f>
        <v>1.0000000000000009E-2</v>
      </c>
      <c r="AL16" s="18">
        <f t="shared" si="12"/>
        <v>1959.375</v>
      </c>
      <c r="AM16" s="18">
        <f t="shared" si="13"/>
        <v>3.9999999999999147E-2</v>
      </c>
    </row>
    <row r="17" spans="1:39">
      <c r="A17" s="18" t="str">
        <f>IF(Volcanic!A17="","",Volcanic!A17)</f>
        <v>6/1959</v>
      </c>
      <c r="B17" s="18">
        <f>IF(ISNUMBER(Volcanic!L17),Volcanic!L17,"")</f>
        <v>1959.4583333333333</v>
      </c>
      <c r="C17" s="21">
        <v>-0.06</v>
      </c>
      <c r="D17" s="18">
        <f t="shared" si="11"/>
        <v>0.66</v>
      </c>
      <c r="E17" s="18">
        <f>IF(ISNUMBER(Volcanic!B17),Volcanic!B17,"")</f>
        <v>2.9999999999997584E-2</v>
      </c>
      <c r="F17" s="18">
        <f>IF(ISNUMBER(Volcanic!C17),Volcanic!C17,"")</f>
        <v>0.1842802944193824</v>
      </c>
      <c r="G17" s="18">
        <f>IF(ISNUMBER(Volcanic!E17),Volcanic!E17,"")</f>
        <v>5.0800000000000003E-3</v>
      </c>
      <c r="H17" s="18">
        <f>IF(ISNUMBER(Volcanic!D17),Volcanic!D17,"")</f>
        <v>0.48</v>
      </c>
      <c r="I17" s="18">
        <f t="shared" si="0"/>
        <v>0.1842802944193824</v>
      </c>
      <c r="J17" s="18">
        <f t="shared" si="1"/>
        <v>5.0800000000000003E-3</v>
      </c>
      <c r="K17" s="18">
        <f t="shared" si="2"/>
        <v>0.66</v>
      </c>
      <c r="L17" s="18">
        <f t="shared" si="3"/>
        <v>0.1842802944193824</v>
      </c>
      <c r="M17" s="18">
        <f t="shared" si="4"/>
        <v>5.0800000000000003E-3</v>
      </c>
      <c r="N17" s="18">
        <f t="shared" si="5"/>
        <v>0.37688226985132178</v>
      </c>
      <c r="O17" s="18">
        <f>Forcing!A17</f>
        <v>1974</v>
      </c>
      <c r="P17" s="18">
        <f>Forcing!B17</f>
        <v>-7.1666666666667364E-2</v>
      </c>
      <c r="Q17" s="18">
        <f>Forcing!AN17</f>
        <v>0.51219999999999999</v>
      </c>
      <c r="R17" s="18">
        <f>Forcing!AO17</f>
        <v>-1.156666666666667</v>
      </c>
      <c r="S17" s="18">
        <f t="shared" si="6"/>
        <v>0.51219999999999999</v>
      </c>
      <c r="T17" s="18">
        <f t="shared" si="7"/>
        <v>-1.0283333333333331</v>
      </c>
      <c r="U17" s="18">
        <f t="shared" si="8"/>
        <v>0.51219999999999999</v>
      </c>
      <c r="V17" s="18">
        <f t="shared" si="9"/>
        <v>-1.1841389975257399</v>
      </c>
      <c r="W17" s="18">
        <f>Forcing!K17+Forcing!J17</f>
        <v>1.8126</v>
      </c>
      <c r="X17" s="18">
        <f>Forcing!I17*$AB$30</f>
        <v>-2.1716679999999999</v>
      </c>
      <c r="Y17" s="18">
        <f t="shared" si="10"/>
        <v>-1.156666666666667</v>
      </c>
      <c r="Z17" s="18">
        <f>Forcing!B17-($AB$43+$AB$39*Forcing!AQ17+$AB$40*Forcing!AR17+$AB$44*Forcing!AS17)</f>
        <v>4.6218565949746881E-3</v>
      </c>
      <c r="AA17" s="18" t="s">
        <v>2792</v>
      </c>
      <c r="AB17" s="25">
        <f>INDEX(LINEST($E$9:$E$822,$F$9:$H$822),1,3)</f>
        <v>2.7274258799243318</v>
      </c>
      <c r="AC17" s="25">
        <f>INDEX(LINEST($E$9:$E$822,$F$9:$H$822),1,1)</f>
        <v>9.2795015553117519E-2</v>
      </c>
      <c r="AD17" s="25">
        <f>INDEX(LINEST($E$9:$E$822,$F$9:$H$822),1,2)</f>
        <v>-2.2003522516467848</v>
      </c>
      <c r="AE17" s="25">
        <f>INDEX(LINEST($E$9:$E$822,$F$9:$H$822),1,4)</f>
        <v>-0.56028489187596064</v>
      </c>
      <c r="AF17" s="25">
        <f>INDEX(LINEST($E$9:$E$822,$F$9:$H$822,TRUE(),TRUE()),3,1)</f>
        <v>0.90076358738862705</v>
      </c>
      <c r="AG17" s="25">
        <f>INDEX(LINEST($E$9:$E$822,$F$9:$H$822,TRUE(),TRUE()),3,2)</f>
        <v>0.12231075101819948</v>
      </c>
      <c r="AH17" s="25">
        <f>AVERAGEIFS($E$9:$E$822,$B$9:$B$822,"&gt;=2023")-(AE17+AB17*AVERAGEIFS($F$9:$F$822,$B$9:$B$822,"&gt;=2023")+AD17*AVERAGEIFS($G$9:$G$822,$B$9:$B$822,"&gt;=2023")+AC17*AVERAGEIFS($H$9:$H$822,$B$9:$B$822,"&gt;=2023"))</f>
        <v>0.14613668050877093</v>
      </c>
      <c r="AI17" s="6" t="s">
        <v>2793</v>
      </c>
      <c r="AK17" s="18">
        <f>IF(AND(ISNUMBER(C17),ISNUMBER(ENSO!F17)),C17-ENSO!F17,"")</f>
        <v>-0.08</v>
      </c>
      <c r="AL17" s="18">
        <f t="shared" si="12"/>
        <v>1959.4583333333333</v>
      </c>
      <c r="AM17" s="18">
        <f t="shared" si="13"/>
        <v>2.9999999999997584E-2</v>
      </c>
    </row>
    <row r="18" spans="1:39">
      <c r="A18" s="18" t="str">
        <f>IF(Volcanic!A18="","",Volcanic!A18)</f>
        <v>7/1959</v>
      </c>
      <c r="B18" s="18">
        <f>IF(ISNUMBER(Volcanic!L18),Volcanic!L18,"")</f>
        <v>1959.5416666666667</v>
      </c>
      <c r="C18" s="21">
        <v>-0.23</v>
      </c>
      <c r="D18" s="18">
        <f t="shared" si="11"/>
        <v>0.44</v>
      </c>
      <c r="E18" s="18">
        <f>IF(ISNUMBER(Volcanic!B18),Volcanic!B18,"")</f>
        <v>2.9999999999997584E-2</v>
      </c>
      <c r="F18" s="18">
        <f>IF(ISNUMBER(Volcanic!C18),Volcanic!C18,"")</f>
        <v>0.17696099208944205</v>
      </c>
      <c r="G18" s="18">
        <f>IF(ISNUMBER(Volcanic!E18),Volcanic!E18,"")</f>
        <v>4.8500000000000001E-3</v>
      </c>
      <c r="H18" s="18">
        <f>IF(ISNUMBER(Volcanic!D18),Volcanic!D18,"")</f>
        <v>0.39</v>
      </c>
      <c r="I18" s="18">
        <f t="shared" si="0"/>
        <v>0.17696099208944205</v>
      </c>
      <c r="J18" s="18">
        <f t="shared" si="1"/>
        <v>4.8500000000000001E-3</v>
      </c>
      <c r="K18" s="18">
        <f t="shared" si="2"/>
        <v>0.44</v>
      </c>
      <c r="L18" s="18">
        <f t="shared" si="3"/>
        <v>0.17696099208944205</v>
      </c>
      <c r="M18" s="18">
        <f t="shared" si="4"/>
        <v>4.8500000000000001E-3</v>
      </c>
      <c r="N18" s="18">
        <f t="shared" si="5"/>
        <v>0.15757228934192341</v>
      </c>
      <c r="O18" s="18">
        <f>Forcing!A18</f>
        <v>1975</v>
      </c>
      <c r="P18" s="18">
        <f>Forcing!B18</f>
        <v>-1.3333333333332309E-2</v>
      </c>
      <c r="Q18" s="18">
        <f>Forcing!AN18</f>
        <v>0.55320000000000025</v>
      </c>
      <c r="R18" s="18">
        <f>Forcing!AO18</f>
        <v>-0.82249999999999979</v>
      </c>
      <c r="S18" s="18">
        <f t="shared" si="6"/>
        <v>0.55320000000000025</v>
      </c>
      <c r="T18" s="18">
        <f t="shared" si="7"/>
        <v>-0.52916666666666667</v>
      </c>
      <c r="U18" s="18">
        <f t="shared" si="8"/>
        <v>0.55320000000000025</v>
      </c>
      <c r="V18" s="18">
        <f t="shared" si="9"/>
        <v>-0.67704545454545506</v>
      </c>
      <c r="W18" s="18">
        <f>Forcing!K18+Forcing!J18</f>
        <v>1.8343000000000003</v>
      </c>
      <c r="X18" s="18">
        <f>Forcing!I18*$AB$30</f>
        <v>-2.1394369999999996</v>
      </c>
      <c r="Y18" s="18">
        <f t="shared" si="10"/>
        <v>-0.82249999999999979</v>
      </c>
      <c r="Z18" s="18">
        <f>Forcing!B18-($AB$43+$AB$39*Forcing!AQ18+$AB$40*Forcing!AR18+$AB$44*Forcing!AS18)</f>
        <v>1.2263287909791143E-2</v>
      </c>
      <c r="AA18" s="18" t="s">
        <v>2794</v>
      </c>
      <c r="AB18" s="25">
        <f>INDEX(LINEST($E$9:$E$822,$I$9:$K$822),1,3)</f>
        <v>2.8202550803224669</v>
      </c>
      <c r="AC18" s="25">
        <f>INDEX(LINEST($E$9:$E$822,$I$9:$K$822),1,1)</f>
        <v>7.5740999028171413E-2</v>
      </c>
      <c r="AD18" s="25">
        <f>INDEX(LINEST($E$9:$E$822,$I$9:$K$822),1,2)</f>
        <v>-2.2715557544549521</v>
      </c>
      <c r="AE18" s="25">
        <f>INDEX(LINEST($E$9:$E$822,$I$9:$K$822),1,4)</f>
        <v>-0.59175211500456992</v>
      </c>
      <c r="AF18" s="25">
        <f>INDEX(LINEST($E$9:$E$822,$I$9:$K$822,TRUE(),TRUE()),3,1)</f>
        <v>0.89199089789207031</v>
      </c>
      <c r="AG18" s="25">
        <f>INDEX(LINEST($E$9:$E$822,$I$9:$K$822,TRUE(),TRUE()),3,2)</f>
        <v>0.12760252921682863</v>
      </c>
      <c r="AH18" s="25">
        <f>AVERAGEIFS($E$9:$E$822,$B$9:$B$822,"&gt;=2023")-(AE18+AB18*AVERAGEIFS($I$9:$I$822,$B$9:$B$822,"&gt;=2023")+AD18*AVERAGEIFS($J$9:$J$822,$B$9:$B$822,"&gt;=2023")+AC18*AVERAGEIFS($K$9:$K$822,$B$9:$B$822,"&gt;=2023"))</f>
        <v>0.16248970763057913</v>
      </c>
      <c r="AI18" s="6" t="s">
        <v>2795</v>
      </c>
      <c r="AK18" s="18">
        <f>IF(AND(ISNUMBER(C18),ISNUMBER(ENSO!F18)),C18-ENSO!F18,"")</f>
        <v>-4.0000000000000008E-2</v>
      </c>
      <c r="AL18" s="18">
        <f t="shared" si="12"/>
        <v>1959.5416666666667</v>
      </c>
      <c r="AM18" s="18">
        <f t="shared" si="13"/>
        <v>2.9999999999997584E-2</v>
      </c>
    </row>
    <row r="19" spans="1:39">
      <c r="A19" s="18" t="str">
        <f>IF(Volcanic!A19="","",Volcanic!A19)</f>
        <v>8/1959</v>
      </c>
      <c r="B19" s="18">
        <f>IF(ISNUMBER(Volcanic!L19),Volcanic!L19,"")</f>
        <v>1959.625</v>
      </c>
      <c r="C19" s="21">
        <v>-0.4</v>
      </c>
      <c r="D19" s="18">
        <f t="shared" si="11"/>
        <v>0.25</v>
      </c>
      <c r="E19" s="18">
        <f>IF(ISNUMBER(Volcanic!B19),Volcanic!B19,"")</f>
        <v>-9.9999999999980105E-3</v>
      </c>
      <c r="F19" s="18">
        <f>IF(ISNUMBER(Volcanic!C19),Volcanic!C19,"")</f>
        <v>0.16900871367515766</v>
      </c>
      <c r="G19" s="18">
        <f>IF(ISNUMBER(Volcanic!E19),Volcanic!E19,"")</f>
        <v>4.6600000000000001E-3</v>
      </c>
      <c r="H19" s="18">
        <f>IF(ISNUMBER(Volcanic!D19),Volcanic!D19,"")</f>
        <v>0.24</v>
      </c>
      <c r="I19" s="18">
        <f t="shared" si="0"/>
        <v>0.16900871367515766</v>
      </c>
      <c r="J19" s="18">
        <f t="shared" si="1"/>
        <v>4.6600000000000001E-3</v>
      </c>
      <c r="K19" s="18">
        <f t="shared" si="2"/>
        <v>0.25</v>
      </c>
      <c r="L19" s="18">
        <f t="shared" si="3"/>
        <v>0.16900871367515766</v>
      </c>
      <c r="M19" s="18">
        <f t="shared" si="4"/>
        <v>4.6600000000000001E-3</v>
      </c>
      <c r="N19" s="18">
        <f t="shared" si="5"/>
        <v>-3.1737691167478488E-2</v>
      </c>
      <c r="O19" s="18">
        <f>Forcing!A19</f>
        <v>1976</v>
      </c>
      <c r="P19" s="18">
        <f>Forcing!B19</f>
        <v>-9.7499999999999698E-2</v>
      </c>
      <c r="Q19" s="18">
        <f>Forcing!AN19</f>
        <v>0.53579999999999994</v>
      </c>
      <c r="R19" s="18">
        <f>Forcing!AO19</f>
        <v>-0.58916666666666673</v>
      </c>
      <c r="S19" s="18">
        <f t="shared" si="6"/>
        <v>0.53579999999999994</v>
      </c>
      <c r="T19" s="18">
        <f t="shared" si="7"/>
        <v>-0.25166666666666676</v>
      </c>
      <c r="U19" s="18">
        <f t="shared" si="8"/>
        <v>0.53579999999999994</v>
      </c>
      <c r="V19" s="18">
        <f t="shared" si="9"/>
        <v>-0.39161857823183671</v>
      </c>
      <c r="W19" s="18">
        <f>Forcing!K19+Forcing!J19</f>
        <v>1.8845000000000001</v>
      </c>
      <c r="X19" s="18">
        <f>Forcing!I19*$AB$30</f>
        <v>-2.252329</v>
      </c>
      <c r="Y19" s="18">
        <f t="shared" si="10"/>
        <v>-0.58916666666666673</v>
      </c>
      <c r="Z19" s="18">
        <f>Forcing!B19-($AB$43+$AB$39*Forcing!AQ19+$AB$40*Forcing!AR19+$AB$44*Forcing!AS19)</f>
        <v>-8.8076025405673414E-2</v>
      </c>
      <c r="AA19" s="18" t="s">
        <v>2796</v>
      </c>
      <c r="AB19" s="25">
        <f>INDEX(LINEST($E$9:$E$822,$L$9:$N$822),1,3)</f>
        <v>2.7272803397664118</v>
      </c>
      <c r="AC19" s="25">
        <f>INDEX(LINEST($E$9:$E$822,$L$9:$N$822),1,1)</f>
        <v>7.4876408209322259E-2</v>
      </c>
      <c r="AD19" s="25">
        <f>INDEX(LINEST($E$9:$E$822,$L$9:$N$822),1,2)</f>
        <v>-2.2694826286855698</v>
      </c>
      <c r="AE19" s="25">
        <f>INDEX(LINEST($E$9:$E$822,$L$9:$N$822),1,4)</f>
        <v>-0.55738900478839604</v>
      </c>
      <c r="AF19" s="25">
        <f>INDEX(LINEST($E$9:$E$822,$L$9:$N$822,TRUE(),TRUE()),3,1)</f>
        <v>0.891465785804893</v>
      </c>
      <c r="AG19" s="25">
        <f>INDEX(LINEST($E$9:$E$822,$L$9:$N$822,TRUE(),TRUE()),3,2)</f>
        <v>0.12791233823078044</v>
      </c>
      <c r="AH19" s="25">
        <f>AVERAGEIFS($E$9:$E$822,$B$9:$B$822,"&gt;=2023")-(AE19+AB19*AVERAGEIFS($L$9:$L$822,$B$9:$B$822,"&gt;=2023")+AD19*AVERAGEIFS($M$9:$M$822,$B$9:$B$822,"&gt;=2023")+AC19*AVERAGEIFS($N$9:$N$822,$B$9:$B$822,"&gt;=2023"))</f>
        <v>0.1646193370803346</v>
      </c>
      <c r="AI19" s="6" t="s">
        <v>2797</v>
      </c>
      <c r="AK19" s="18">
        <f>IF(AND(ISNUMBER(C19),ISNUMBER(ENSO!F19)),C19-ENSO!F19,"")</f>
        <v>-0.17</v>
      </c>
      <c r="AL19" s="18">
        <f t="shared" si="12"/>
        <v>1959.625</v>
      </c>
      <c r="AM19" s="18">
        <f t="shared" si="13"/>
        <v>-9.9999999999980105E-3</v>
      </c>
    </row>
    <row r="20" spans="1:39">
      <c r="A20" s="18" t="str">
        <f>IF(Volcanic!A20="","",Volcanic!A20)</f>
        <v>9/1959</v>
      </c>
      <c r="B20" s="18">
        <f>IF(ISNUMBER(Volcanic!L20),Volcanic!L20,"")</f>
        <v>1959.7083333333333</v>
      </c>
      <c r="C20" s="21">
        <v>-0.28999999999999998</v>
      </c>
      <c r="D20" s="18">
        <f t="shared" si="11"/>
        <v>-0.06</v>
      </c>
      <c r="E20" s="18">
        <f>IF(ISNUMBER(Volcanic!B20),Volcanic!B20,"")</f>
        <v>-6.0000000000000497E-2</v>
      </c>
      <c r="F20" s="18">
        <f>IF(ISNUMBER(Volcanic!C20),Volcanic!C20,"")</f>
        <v>0.16460241335740428</v>
      </c>
      <c r="G20" s="18">
        <f>IF(ISNUMBER(Volcanic!E20),Volcanic!E20,"")</f>
        <v>4.4400000000000004E-3</v>
      </c>
      <c r="H20" s="18">
        <f>IF(ISNUMBER(Volcanic!D20),Volcanic!D20,"")</f>
        <v>0.02</v>
      </c>
      <c r="I20" s="18">
        <f t="shared" si="0"/>
        <v>0.16460241335740428</v>
      </c>
      <c r="J20" s="18">
        <f t="shared" si="1"/>
        <v>4.4400000000000004E-3</v>
      </c>
      <c r="K20" s="18">
        <f t="shared" si="2"/>
        <v>-0.06</v>
      </c>
      <c r="L20" s="18">
        <f t="shared" si="3"/>
        <v>0.16460241335740428</v>
      </c>
      <c r="M20" s="18">
        <f t="shared" si="4"/>
        <v>4.4400000000000004E-3</v>
      </c>
      <c r="N20" s="18">
        <f t="shared" si="5"/>
        <v>-0.34104767167688038</v>
      </c>
      <c r="O20" s="18">
        <f>Forcing!A20</f>
        <v>1977</v>
      </c>
      <c r="P20" s="18">
        <f>Forcing!B20</f>
        <v>0.17833333333333354</v>
      </c>
      <c r="Q20" s="18">
        <f>Forcing!AN20</f>
        <v>0.58800000000000008</v>
      </c>
      <c r="R20" s="18">
        <f>Forcing!AO20</f>
        <v>0.52583333333333326</v>
      </c>
      <c r="S20" s="18">
        <f t="shared" si="6"/>
        <v>0.58800000000000008</v>
      </c>
      <c r="T20" s="18">
        <f t="shared" si="7"/>
        <v>0.70416666666666661</v>
      </c>
      <c r="U20" s="18">
        <f t="shared" si="8"/>
        <v>0.58800000000000008</v>
      </c>
      <c r="V20" s="18">
        <f t="shared" si="9"/>
        <v>0.57214163141511687</v>
      </c>
      <c r="W20" s="18">
        <f>Forcing!K20+Forcing!J20</f>
        <v>1.9455</v>
      </c>
      <c r="X20" s="18">
        <f>Forcing!I20*$AB$30</f>
        <v>-2.2670249999999998</v>
      </c>
      <c r="Y20" s="18">
        <f t="shared" si="10"/>
        <v>0.52583333333333326</v>
      </c>
      <c r="Z20" s="18">
        <f>Forcing!B20-($AB$43+$AB$39*Forcing!AQ20+$AB$40*Forcing!AR20+$AB$44*Forcing!AS20)</f>
        <v>5.3563445218998196E-2</v>
      </c>
      <c r="AK20" s="18">
        <f>IF(AND(ISNUMBER(C20),ISNUMBER(ENSO!F20)),C20-ENSO!F20,"")</f>
        <v>-0.24999999999999997</v>
      </c>
      <c r="AL20" s="18">
        <f t="shared" si="12"/>
        <v>1959.7083333333333</v>
      </c>
      <c r="AM20" s="18">
        <f t="shared" si="13"/>
        <v>-6.0000000000000497E-2</v>
      </c>
    </row>
    <row r="21" spans="1:39" ht="18" customHeight="1">
      <c r="A21" s="18" t="str">
        <f>IF(Volcanic!A21="","",Volcanic!A21)</f>
        <v>10/1959</v>
      </c>
      <c r="B21" s="18">
        <f>IF(ISNUMBER(Volcanic!L21),Volcanic!L21,"")</f>
        <v>1959.7916666666667</v>
      </c>
      <c r="C21" s="21">
        <v>-0.26</v>
      </c>
      <c r="D21" s="18">
        <f t="shared" si="11"/>
        <v>-0.23</v>
      </c>
      <c r="E21" s="18">
        <f>IF(ISNUMBER(Volcanic!B21),Volcanic!B21,"")</f>
        <v>-7.0000000000000284E-2</v>
      </c>
      <c r="F21" s="18">
        <f>IF(ISNUMBER(Volcanic!C21),Volcanic!C21,"")</f>
        <v>0.16225608099765507</v>
      </c>
      <c r="G21" s="18">
        <f>IF(ISNUMBER(Volcanic!E21),Volcanic!E21,"")</f>
        <v>4.3E-3</v>
      </c>
      <c r="H21" s="18">
        <f>IF(ISNUMBER(Volcanic!D21),Volcanic!D21,"")</f>
        <v>-0.19</v>
      </c>
      <c r="I21" s="18">
        <f t="shared" si="0"/>
        <v>0.16225608099765507</v>
      </c>
      <c r="J21" s="18">
        <f t="shared" si="1"/>
        <v>4.3E-3</v>
      </c>
      <c r="K21" s="18">
        <f t="shared" si="2"/>
        <v>-0.23</v>
      </c>
      <c r="L21" s="18">
        <f t="shared" si="3"/>
        <v>0.16225608099765507</v>
      </c>
      <c r="M21" s="18">
        <f t="shared" si="4"/>
        <v>4.3E-3</v>
      </c>
      <c r="N21" s="18">
        <f t="shared" si="5"/>
        <v>-0.51035765218627871</v>
      </c>
      <c r="O21" s="18">
        <f>Forcing!A21</f>
        <v>1978</v>
      </c>
      <c r="P21" s="18">
        <f>Forcing!B21</f>
        <v>6.6666666666666277E-2</v>
      </c>
      <c r="Q21" s="18">
        <f>Forcing!AN21</f>
        <v>0.62959999999999994</v>
      </c>
      <c r="R21" s="18">
        <f>Forcing!AO21</f>
        <v>0.16499999999999992</v>
      </c>
      <c r="S21" s="18">
        <f t="shared" si="6"/>
        <v>0.62959999999999994</v>
      </c>
      <c r="T21" s="18">
        <f t="shared" si="7"/>
        <v>0.26250000000000001</v>
      </c>
      <c r="U21" s="18">
        <f t="shared" si="8"/>
        <v>0.62959999999999994</v>
      </c>
      <c r="V21" s="18">
        <f t="shared" si="9"/>
        <v>0.13840184106206871</v>
      </c>
      <c r="W21" s="18">
        <f>Forcing!K21+Forcing!J21</f>
        <v>2.0060000000000002</v>
      </c>
      <c r="X21" s="18">
        <f>Forcing!I21*$AB$30</f>
        <v>-2.2985880000000001</v>
      </c>
      <c r="Y21" s="18">
        <f t="shared" si="10"/>
        <v>0.16499999999999992</v>
      </c>
      <c r="Z21" s="18">
        <f>Forcing!B21-($AB$43+$AB$39*Forcing!AQ21+$AB$40*Forcing!AR21+$AB$44*Forcing!AS21)</f>
        <v>-3.8469872556567378E-2</v>
      </c>
      <c r="AA21" s="61" t="s">
        <v>2798</v>
      </c>
      <c r="AB21" s="53"/>
      <c r="AC21" s="53"/>
      <c r="AD21" s="53"/>
      <c r="AE21" s="53"/>
      <c r="AF21" s="53"/>
      <c r="AG21" s="53"/>
      <c r="AH21" s="53"/>
      <c r="AI21" s="53"/>
      <c r="AK21" s="18">
        <f>IF(AND(ISNUMBER(C21),ISNUMBER(ENSO!F21)),C21-ENSO!F21,"")</f>
        <v>-0.37</v>
      </c>
      <c r="AL21" s="18">
        <f t="shared" si="12"/>
        <v>1959.7916666666667</v>
      </c>
      <c r="AM21" s="18">
        <f t="shared" si="13"/>
        <v>-7.0000000000000284E-2</v>
      </c>
    </row>
    <row r="22" spans="1:39" ht="30" customHeight="1">
      <c r="A22" s="18" t="str">
        <f>IF(Volcanic!A22="","",Volcanic!A22)</f>
        <v>11/1959</v>
      </c>
      <c r="B22" s="18">
        <f>IF(ISNUMBER(Volcanic!L22),Volcanic!L22,"")</f>
        <v>1959.875</v>
      </c>
      <c r="C22" s="21">
        <v>-0.11</v>
      </c>
      <c r="D22" s="18">
        <f t="shared" si="11"/>
        <v>-0.4</v>
      </c>
      <c r="E22" s="18">
        <f>IF(ISNUMBER(Volcanic!B22),Volcanic!B22,"")</f>
        <v>-8.0000000000001847E-2</v>
      </c>
      <c r="F22" s="18">
        <f>IF(ISNUMBER(Volcanic!C22),Volcanic!C22,"")</f>
        <v>0.16905454188757499</v>
      </c>
      <c r="G22" s="18">
        <f>IF(ISNUMBER(Volcanic!E22),Volcanic!E22,"")</f>
        <v>4.2599999999999999E-3</v>
      </c>
      <c r="H22" s="18">
        <f>IF(ISNUMBER(Volcanic!D22),Volcanic!D22,"")</f>
        <v>-0.23</v>
      </c>
      <c r="I22" s="18">
        <f t="shared" si="0"/>
        <v>0.16905454188757499</v>
      </c>
      <c r="J22" s="18">
        <f t="shared" si="1"/>
        <v>4.2599999999999999E-3</v>
      </c>
      <c r="K22" s="18">
        <f t="shared" si="2"/>
        <v>-0.4</v>
      </c>
      <c r="L22" s="18">
        <f t="shared" si="3"/>
        <v>0.16905454188757499</v>
      </c>
      <c r="M22" s="18">
        <f t="shared" si="4"/>
        <v>4.2599999999999999E-3</v>
      </c>
      <c r="N22" s="18">
        <f t="shared" si="5"/>
        <v>-0.67966763269568065</v>
      </c>
      <c r="O22" s="18">
        <f>Forcing!A22</f>
        <v>1979</v>
      </c>
      <c r="P22" s="18">
        <f>Forcing!B22</f>
        <v>0.16416666666666671</v>
      </c>
      <c r="Q22" s="18">
        <f>Forcing!AN22</f>
        <v>0.66369999999999973</v>
      </c>
      <c r="R22" s="18">
        <f>Forcing!AO22</f>
        <v>0.155</v>
      </c>
      <c r="S22" s="18">
        <f t="shared" si="6"/>
        <v>0.66369999999999973</v>
      </c>
      <c r="T22" s="18">
        <f t="shared" si="7"/>
        <v>0.13083333333333333</v>
      </c>
      <c r="U22" s="18">
        <f t="shared" si="8"/>
        <v>0.66369999999999973</v>
      </c>
      <c r="V22" s="18">
        <f t="shared" si="9"/>
        <v>1.4662050709020463E-2</v>
      </c>
      <c r="W22" s="18">
        <f>Forcing!K22+Forcing!J22</f>
        <v>2.0625</v>
      </c>
      <c r="X22" s="18">
        <f>Forcing!I22*$AB$30</f>
        <v>-2.3359960000000002</v>
      </c>
      <c r="Y22" s="18">
        <f t="shared" si="10"/>
        <v>0.155</v>
      </c>
      <c r="Z22" s="18">
        <f>Forcing!B22-($AB$43+$AB$39*Forcing!AQ22+$AB$40*Forcing!AR22+$AB$44*Forcing!AS22)</f>
        <v>4.6220750257239734E-2</v>
      </c>
      <c r="AA22" s="2" t="s">
        <v>2783</v>
      </c>
      <c r="AB22" s="2" t="s">
        <v>2799</v>
      </c>
      <c r="AC22" s="2" t="s">
        <v>2785</v>
      </c>
      <c r="AD22" s="2" t="s">
        <v>2787</v>
      </c>
      <c r="AE22" s="2" t="s">
        <v>2800</v>
      </c>
      <c r="AF22" s="2" t="s">
        <v>2788</v>
      </c>
      <c r="AG22" s="2" t="s">
        <v>2790</v>
      </c>
      <c r="AH22" s="2" t="s">
        <v>2791</v>
      </c>
      <c r="AK22" s="18">
        <f>IF(AND(ISNUMBER(C22),ISNUMBER(ENSO!F22)),C22-ENSO!F22,"")</f>
        <v>-0.34</v>
      </c>
      <c r="AL22" s="18">
        <f t="shared" si="12"/>
        <v>1959.875</v>
      </c>
      <c r="AM22" s="18">
        <f t="shared" si="13"/>
        <v>-8.0000000000001847E-2</v>
      </c>
    </row>
    <row r="23" spans="1:39">
      <c r="A23" s="18" t="str">
        <f>IF(Volcanic!A23="","",Volcanic!A23)</f>
        <v>12/1959</v>
      </c>
      <c r="B23" s="18">
        <f>IF(ISNUMBER(Volcanic!L23),Volcanic!L23,"")</f>
        <v>1959.9583333333333</v>
      </c>
      <c r="C23" s="21">
        <v>-0.02</v>
      </c>
      <c r="D23" s="18">
        <f t="shared" si="11"/>
        <v>-0.28999999999999998</v>
      </c>
      <c r="E23" s="18">
        <f>IF(ISNUMBER(Volcanic!B23),Volcanic!B23,"")</f>
        <v>0</v>
      </c>
      <c r="F23" s="18">
        <f>IF(ISNUMBER(Volcanic!C23),Volcanic!C23,"")</f>
        <v>0.17257894974287927</v>
      </c>
      <c r="G23" s="18">
        <f>IF(ISNUMBER(Volcanic!E23),Volcanic!E23,"")</f>
        <v>4.2500000000000003E-3</v>
      </c>
      <c r="H23" s="18">
        <f>IF(ISNUMBER(Volcanic!D23),Volcanic!D23,"")</f>
        <v>-0.04</v>
      </c>
      <c r="I23" s="18">
        <f t="shared" si="0"/>
        <v>0.17257894974287927</v>
      </c>
      <c r="J23" s="18">
        <f t="shared" si="1"/>
        <v>4.2500000000000003E-3</v>
      </c>
      <c r="K23" s="18">
        <f t="shared" si="2"/>
        <v>-0.28999999999999998</v>
      </c>
      <c r="L23" s="18">
        <f t="shared" si="3"/>
        <v>0.17257894974287927</v>
      </c>
      <c r="M23" s="18">
        <f t="shared" si="4"/>
        <v>4.2500000000000003E-3</v>
      </c>
      <c r="N23" s="18">
        <f t="shared" si="5"/>
        <v>-0.56897761320508256</v>
      </c>
      <c r="O23" s="18">
        <f>Forcing!A23</f>
        <v>1980</v>
      </c>
      <c r="P23" s="18">
        <f>Forcing!B23</f>
        <v>0.25583333333333363</v>
      </c>
      <c r="Q23" s="18">
        <f>Forcing!AN23</f>
        <v>0.72320000000000007</v>
      </c>
      <c r="R23" s="18">
        <f>Forcing!AO23</f>
        <v>0.34916666666666668</v>
      </c>
      <c r="S23" s="18">
        <f t="shared" si="6"/>
        <v>0.72320000000000007</v>
      </c>
      <c r="T23" s="18">
        <f t="shared" si="7"/>
        <v>0.34</v>
      </c>
      <c r="U23" s="18">
        <f t="shared" si="8"/>
        <v>0.72320000000000007</v>
      </c>
      <c r="V23" s="18">
        <f t="shared" si="9"/>
        <v>0.23175559368930737</v>
      </c>
      <c r="W23" s="18">
        <f>Forcing!K23+Forcing!J23</f>
        <v>2.1170999999999998</v>
      </c>
      <c r="X23" s="18">
        <f>Forcing!I23*$AB$30</f>
        <v>-2.3278129999999999</v>
      </c>
      <c r="Y23" s="18">
        <f t="shared" si="10"/>
        <v>0.34916666666666668</v>
      </c>
      <c r="Z23" s="18">
        <f>Forcing!B23-($AB$43+$AB$39*Forcing!AQ23+$AB$40*Forcing!AR23+$AB$44*Forcing!AS23)</f>
        <v>9.3884708383723259E-2</v>
      </c>
      <c r="AA23" s="18" t="s">
        <v>2801</v>
      </c>
      <c r="AB23" s="25">
        <f>INDEX(LINEST($P$2:$P$68,$Q$2:$R$68),1,2)</f>
        <v>0.40882660364013163</v>
      </c>
      <c r="AC23" s="25">
        <f>INDEX(LINEST($P$2:$P$68,$Q$2:$R$68),1,1)</f>
        <v>0.10122491798538621</v>
      </c>
      <c r="AD23" s="25">
        <f>INDEX(LINEST($P$2:$P$68,$Q$2:$R$68),1,3)</f>
        <v>-0.16838468970603016</v>
      </c>
      <c r="AE23" s="25">
        <f>AB23*Forcing!$T$3</f>
        <v>1.6066885523057173</v>
      </c>
      <c r="AF23" s="25">
        <f>INDEX(LINEST($P$2:$P$68,$Q$2:$R$68,TRUE(),TRUE()),3,1)</f>
        <v>0.95321835462445192</v>
      </c>
      <c r="AG23" s="25">
        <f>AVERAGE($P$66:$P$68)-(AD23+AB23*AVERAGE($Q$66:$Q$68)+AC23*AVERAGE($R$66:$R$68))</f>
        <v>0.13648317597795812</v>
      </c>
      <c r="AH23" s="6" t="s">
        <v>2802</v>
      </c>
      <c r="AK23" s="18">
        <f>IF(AND(ISNUMBER(C23),ISNUMBER(ENSO!F23)),C23-ENSO!F23,"")</f>
        <v>-0.16</v>
      </c>
      <c r="AL23" s="18">
        <f t="shared" si="12"/>
        <v>1959.9583333333333</v>
      </c>
      <c r="AM23" s="18">
        <f t="shared" si="13"/>
        <v>0</v>
      </c>
    </row>
    <row r="24" spans="1:39">
      <c r="A24" s="18" t="str">
        <f>IF(Volcanic!A24="","",Volcanic!A24)</f>
        <v>1/1960</v>
      </c>
      <c r="B24" s="18">
        <f>IF(ISNUMBER(Volcanic!L24),Volcanic!L24,"")</f>
        <v>1960.0416666666667</v>
      </c>
      <c r="C24" s="21">
        <v>0.03</v>
      </c>
      <c r="D24" s="18">
        <f t="shared" si="11"/>
        <v>-0.26</v>
      </c>
      <c r="E24" s="18">
        <f>IF(ISNUMBER(Volcanic!B24),Volcanic!B24,"")</f>
        <v>0</v>
      </c>
      <c r="F24" s="18">
        <f>IF(ISNUMBER(Volcanic!C24),Volcanic!C24,"")</f>
        <v>0.17645955772100325</v>
      </c>
      <c r="G24" s="18">
        <f>IF(ISNUMBER(Volcanic!E24),Volcanic!E24,"")</f>
        <v>4.2700000000000004E-3</v>
      </c>
      <c r="H24" s="18">
        <f>IF(ISNUMBER(Volcanic!D24),Volcanic!D24,"")</f>
        <v>0.11</v>
      </c>
      <c r="I24" s="18">
        <f t="shared" si="0"/>
        <v>0.17645955772100325</v>
      </c>
      <c r="J24" s="18">
        <f t="shared" si="1"/>
        <v>4.2700000000000004E-3</v>
      </c>
      <c r="K24" s="18">
        <f t="shared" si="2"/>
        <v>-0.26</v>
      </c>
      <c r="L24" s="18">
        <f t="shared" si="3"/>
        <v>0.17645955772100325</v>
      </c>
      <c r="M24" s="18">
        <f t="shared" si="4"/>
        <v>4.2700000000000004E-3</v>
      </c>
      <c r="N24" s="18">
        <f t="shared" si="5"/>
        <v>-0.53828759371448087</v>
      </c>
      <c r="O24" s="18">
        <f>Forcing!A24</f>
        <v>1981</v>
      </c>
      <c r="P24" s="18">
        <f>Forcing!B24</f>
        <v>0.32333333333333264</v>
      </c>
      <c r="Q24" s="18">
        <f>Forcing!AN24</f>
        <v>0.79930000000000023</v>
      </c>
      <c r="R24" s="18">
        <f>Forcing!AO24</f>
        <v>-0.21250000000000002</v>
      </c>
      <c r="S24" s="18">
        <f t="shared" si="6"/>
        <v>0.79930000000000023</v>
      </c>
      <c r="T24" s="18">
        <f t="shared" si="7"/>
        <v>-0.13583333333333333</v>
      </c>
      <c r="U24" s="18">
        <f t="shared" si="8"/>
        <v>0.79930000000000023</v>
      </c>
      <c r="V24" s="18">
        <f t="shared" si="9"/>
        <v>-0.23615086333040755</v>
      </c>
      <c r="W24" s="18">
        <f>Forcing!K24+Forcing!J24</f>
        <v>2.1537000000000002</v>
      </c>
      <c r="X24" s="18">
        <f>Forcing!I24*$AB$30</f>
        <v>-2.2618480000000001</v>
      </c>
      <c r="Y24" s="18">
        <f t="shared" si="10"/>
        <v>-0.21250000000000002</v>
      </c>
      <c r="Z24" s="18">
        <f>Forcing!B24-($AB$43+$AB$39*Forcing!AQ24+$AB$40*Forcing!AR24+$AB$44*Forcing!AS24)</f>
        <v>0.18695813396173863</v>
      </c>
      <c r="AA24" s="18" t="s">
        <v>2794</v>
      </c>
      <c r="AB24" s="25">
        <f>INDEX(LINEST($P$2:$P$68,$S$2:$T$68),1,2)</f>
        <v>0.42364723661387971</v>
      </c>
      <c r="AC24" s="25">
        <f>INDEX(LINEST($P$2:$P$68,$S$2:$T$68),1,1)</f>
        <v>7.7766226105718136E-2</v>
      </c>
      <c r="AD24" s="25">
        <f>INDEX(LINEST($P$2:$P$68,$S$2:$T$68),1,3)</f>
        <v>-0.18762230707393179</v>
      </c>
      <c r="AE24" s="25">
        <f>AB24*Forcing!$T$3</f>
        <v>1.6649336398925474</v>
      </c>
      <c r="AF24" s="25">
        <f>INDEX(LINEST($P$2:$P$68,$S$2:$T$68,TRUE(),TRUE()),3,1)</f>
        <v>0.94315147293793722</v>
      </c>
      <c r="AG24" s="25">
        <f>AVERAGE($P$66:$P$68)-(AD24+AB24*AVERAGE($S$66:$S$68)+AC24*AVERAGE($T$66:$T$68))</f>
        <v>0.15631069409328502</v>
      </c>
      <c r="AH24" s="6" t="s">
        <v>2803</v>
      </c>
      <c r="AK24" s="18">
        <f>IF(AND(ISNUMBER(C24),ISNUMBER(ENSO!F24)),C24-ENSO!F24,"")</f>
        <v>9.9999999999999985E-3</v>
      </c>
      <c r="AL24" s="18">
        <f t="shared" si="12"/>
        <v>1960.0416666666667</v>
      </c>
      <c r="AM24" s="18">
        <f t="shared" si="13"/>
        <v>0</v>
      </c>
    </row>
    <row r="25" spans="1:39">
      <c r="A25" s="18" t="str">
        <f>IF(Volcanic!A25="","",Volcanic!A25)</f>
        <v>2/1960</v>
      </c>
      <c r="B25" s="18">
        <f>IF(ISNUMBER(Volcanic!L25),Volcanic!L25,"")</f>
        <v>1960.125</v>
      </c>
      <c r="C25" s="21">
        <v>0.04</v>
      </c>
      <c r="D25" s="18">
        <f t="shared" si="11"/>
        <v>-0.11</v>
      </c>
      <c r="E25" s="18">
        <f>IF(ISNUMBER(Volcanic!B25),Volcanic!B25,"")</f>
        <v>0.12999999999999901</v>
      </c>
      <c r="F25" s="18">
        <f>IF(ISNUMBER(Volcanic!C25),Volcanic!C25,"")</f>
        <v>0.17896498855382964</v>
      </c>
      <c r="G25" s="18">
        <f>IF(ISNUMBER(Volcanic!E25),Volcanic!E25,"")</f>
        <v>4.3099999999999996E-3</v>
      </c>
      <c r="H25" s="18">
        <f>IF(ISNUMBER(Volcanic!D25),Volcanic!D25,"")</f>
        <v>0.23</v>
      </c>
      <c r="I25" s="18">
        <f t="shared" si="0"/>
        <v>0.17896498855382964</v>
      </c>
      <c r="J25" s="18">
        <f t="shared" si="1"/>
        <v>4.3099999999999996E-3</v>
      </c>
      <c r="K25" s="18">
        <f t="shared" si="2"/>
        <v>-0.11</v>
      </c>
      <c r="L25" s="18">
        <f t="shared" si="3"/>
        <v>0.17896498855382964</v>
      </c>
      <c r="M25" s="18">
        <f t="shared" si="4"/>
        <v>4.3099999999999996E-3</v>
      </c>
      <c r="N25" s="18">
        <f t="shared" si="5"/>
        <v>-0.38759757422388275</v>
      </c>
      <c r="O25" s="18">
        <f>Forcing!A25</f>
        <v>1982</v>
      </c>
      <c r="P25" s="18">
        <f>Forcing!B25</f>
        <v>0.13916666666666591</v>
      </c>
      <c r="Q25" s="18">
        <f>Forcing!AN25</f>
        <v>0.81170000000000009</v>
      </c>
      <c r="R25" s="18">
        <f>Forcing!AO25</f>
        <v>0.3741666666666667</v>
      </c>
      <c r="S25" s="18">
        <f t="shared" si="6"/>
        <v>0.81170000000000009</v>
      </c>
      <c r="T25" s="18">
        <f t="shared" si="7"/>
        <v>0.56166666666666665</v>
      </c>
      <c r="U25" s="18">
        <f t="shared" si="8"/>
        <v>0.81170000000000009</v>
      </c>
      <c r="V25" s="18">
        <f t="shared" si="9"/>
        <v>0.46927601298321087</v>
      </c>
      <c r="W25" s="18">
        <f>Forcing!K25+Forcing!J25</f>
        <v>2.2046999999999999</v>
      </c>
      <c r="X25" s="18">
        <f>Forcing!I25*$AB$30</f>
        <v>-2.3263099999999999</v>
      </c>
      <c r="Y25" s="18">
        <f t="shared" si="10"/>
        <v>0.3741666666666667</v>
      </c>
      <c r="Z25" s="18">
        <f>Forcing!B25-($AB$43+$AB$39*Forcing!AQ25+$AB$40*Forcing!AR25+$AB$44*Forcing!AS25)</f>
        <v>-6.1486055393295797E-2</v>
      </c>
      <c r="AA25" s="18" t="s">
        <v>2796</v>
      </c>
      <c r="AB25" s="25">
        <f>INDEX(LINEST($P$2:$P$68,$U$2:$V$68),1,2)</f>
        <v>0.40999168886220583</v>
      </c>
      <c r="AC25" s="25">
        <f>INDEX(LINEST($P$2:$P$68,$U$2:$V$68),1,1)</f>
        <v>7.6535127378430656E-2</v>
      </c>
      <c r="AD25" s="25">
        <f>INDEX(LINEST($P$2:$P$68,$U$2:$V$68),1,3)</f>
        <v>-0.1677089888425522</v>
      </c>
      <c r="AE25" s="25">
        <f>AB25*Forcing!$T$3</f>
        <v>1.6112673372284689</v>
      </c>
      <c r="AF25" s="25">
        <f>INDEX(LINEST($P$2:$P$68,$U$2:$V$68,TRUE(),TRUE()),3,1)</f>
        <v>0.94283557456849554</v>
      </c>
      <c r="AG25" s="25">
        <f>AVERAGE($P$66:$P$68)-(AD25+AB25*AVERAGE($U$66:$U$68)+AC25*AVERAGE($V$66:$V$68))</f>
        <v>0.1584741240376828</v>
      </c>
      <c r="AH25" s="6" t="s">
        <v>2804</v>
      </c>
      <c r="AK25" s="18">
        <f>IF(AND(ISNUMBER(C25),ISNUMBER(ENSO!F25)),C25-ENSO!F25,"")</f>
        <v>1.0000000000000002E-2</v>
      </c>
      <c r="AL25" s="18">
        <f t="shared" si="12"/>
        <v>1960.125</v>
      </c>
      <c r="AM25" s="18">
        <f t="shared" si="13"/>
        <v>0.12999999999999901</v>
      </c>
    </row>
    <row r="26" spans="1:39">
      <c r="A26" s="18" t="str">
        <f>IF(Volcanic!A26="","",Volcanic!A26)</f>
        <v>3/1960</v>
      </c>
      <c r="B26" s="18">
        <f>IF(ISNUMBER(Volcanic!L26),Volcanic!L26,"")</f>
        <v>1960.2083333333333</v>
      </c>
      <c r="C26" s="21">
        <v>0</v>
      </c>
      <c r="D26" s="18">
        <f t="shared" si="11"/>
        <v>-0.02</v>
      </c>
      <c r="E26" s="18">
        <f>IF(ISNUMBER(Volcanic!B26),Volcanic!B26,"")</f>
        <v>-0.35000000000000142</v>
      </c>
      <c r="F26" s="18">
        <f>IF(ISNUMBER(Volcanic!C26),Volcanic!C26,"")</f>
        <v>0.1816932326363403</v>
      </c>
      <c r="G26" s="18">
        <f>IF(ISNUMBER(Volcanic!E26),Volcanic!E26,"")</f>
        <v>4.3699999999999998E-3</v>
      </c>
      <c r="H26" s="18">
        <f>IF(ISNUMBER(Volcanic!D26),Volcanic!D26,"")</f>
        <v>0.14000000000000001</v>
      </c>
      <c r="I26" s="18">
        <f t="shared" si="0"/>
        <v>0.1816932326363403</v>
      </c>
      <c r="J26" s="18">
        <f t="shared" si="1"/>
        <v>4.3699999999999998E-3</v>
      </c>
      <c r="K26" s="18">
        <f t="shared" si="2"/>
        <v>-0.02</v>
      </c>
      <c r="L26" s="18">
        <f t="shared" si="3"/>
        <v>0.1816932326363403</v>
      </c>
      <c r="M26" s="18">
        <f t="shared" si="4"/>
        <v>4.3699999999999998E-3</v>
      </c>
      <c r="N26" s="18">
        <f t="shared" si="5"/>
        <v>-0.29690755473328467</v>
      </c>
      <c r="O26" s="18">
        <f>Forcing!A26</f>
        <v>1983</v>
      </c>
      <c r="P26" s="18">
        <f>Forcing!B26</f>
        <v>0.31500000000000039</v>
      </c>
      <c r="Q26" s="18">
        <f>Forcing!AN26</f>
        <v>0.92230000000000001</v>
      </c>
      <c r="R26" s="18">
        <f>Forcing!AO26</f>
        <v>1.1749999999999998</v>
      </c>
      <c r="S26" s="18">
        <f t="shared" si="6"/>
        <v>0.92230000000000001</v>
      </c>
      <c r="T26" s="18">
        <f t="shared" si="7"/>
        <v>1.3141666666666671</v>
      </c>
      <c r="U26" s="18">
        <f t="shared" si="8"/>
        <v>0.92230000000000001</v>
      </c>
      <c r="V26" s="18">
        <f t="shared" si="9"/>
        <v>1.2297028892968316</v>
      </c>
      <c r="W26" s="18">
        <f>Forcing!K26+Forcing!J26</f>
        <v>2.2324000000000002</v>
      </c>
      <c r="X26" s="18">
        <f>Forcing!I26*$AB$30</f>
        <v>-2.1878669999999998</v>
      </c>
      <c r="Y26" s="18">
        <f t="shared" si="10"/>
        <v>1.1749999999999998</v>
      </c>
      <c r="Z26" s="18">
        <f>Forcing!B26-($AB$43+$AB$39*Forcing!AQ26+$AB$40*Forcing!AR26+$AB$44*Forcing!AS26)</f>
        <v>-1.2367082649262451E-2</v>
      </c>
      <c r="AK26" s="18">
        <f>IF(AND(ISNUMBER(C26),ISNUMBER(ENSO!F26)),C26-ENSO!F26,"")</f>
        <v>-0.06</v>
      </c>
      <c r="AL26" s="18">
        <f t="shared" si="12"/>
        <v>1960.2083333333333</v>
      </c>
      <c r="AM26" s="18">
        <f t="shared" si="13"/>
        <v>-0.35000000000000142</v>
      </c>
    </row>
    <row r="27" spans="1:39" ht="18" customHeight="1">
      <c r="A27" s="18" t="str">
        <f>IF(Volcanic!A27="","",Volcanic!A27)</f>
        <v>4/1960</v>
      </c>
      <c r="B27" s="18">
        <f>IF(ISNUMBER(Volcanic!L27),Volcanic!L27,"")</f>
        <v>1960.2916666666667</v>
      </c>
      <c r="C27" s="21">
        <v>0.08</v>
      </c>
      <c r="D27" s="18">
        <f t="shared" si="11"/>
        <v>0.03</v>
      </c>
      <c r="E27" s="18">
        <f>IF(ISNUMBER(Volcanic!B27),Volcanic!B27,"")</f>
        <v>-0.14999999999999858</v>
      </c>
      <c r="F27" s="18">
        <f>IF(ISNUMBER(Volcanic!C27),Volcanic!C27,"")</f>
        <v>0.18826526709013644</v>
      </c>
      <c r="G27" s="18">
        <f>IF(ISNUMBER(Volcanic!E27),Volcanic!E27,"")</f>
        <v>4.4099999999999999E-3</v>
      </c>
      <c r="H27" s="18">
        <f>IF(ISNUMBER(Volcanic!D27),Volcanic!D27,"")</f>
        <v>0.02</v>
      </c>
      <c r="I27" s="18">
        <f t="shared" si="0"/>
        <v>0.18826526709013644</v>
      </c>
      <c r="J27" s="18">
        <f t="shared" si="1"/>
        <v>4.4099999999999999E-3</v>
      </c>
      <c r="K27" s="18">
        <f t="shared" si="2"/>
        <v>0.03</v>
      </c>
      <c r="L27" s="18">
        <f t="shared" si="3"/>
        <v>0.18826526709013644</v>
      </c>
      <c r="M27" s="18">
        <f t="shared" si="4"/>
        <v>4.4099999999999999E-3</v>
      </c>
      <c r="N27" s="18">
        <f t="shared" si="5"/>
        <v>-0.24621753524268655</v>
      </c>
      <c r="O27" s="18">
        <f>Forcing!A27</f>
        <v>1984</v>
      </c>
      <c r="P27" s="18">
        <f>Forcing!B27</f>
        <v>0.15500000000000011</v>
      </c>
      <c r="Q27" s="18">
        <f>Forcing!AN27</f>
        <v>0.94940000000000024</v>
      </c>
      <c r="R27" s="18">
        <f>Forcing!AO27</f>
        <v>-0.54999999999999993</v>
      </c>
      <c r="S27" s="18">
        <f t="shared" si="6"/>
        <v>0.94940000000000024</v>
      </c>
      <c r="T27" s="18">
        <f t="shared" si="7"/>
        <v>-0.52083333333333348</v>
      </c>
      <c r="U27" s="18">
        <f t="shared" si="8"/>
        <v>0.94940000000000024</v>
      </c>
      <c r="V27" s="18">
        <f t="shared" si="9"/>
        <v>-0.59737023438955061</v>
      </c>
      <c r="W27" s="18">
        <f>Forcing!K27+Forcing!J27</f>
        <v>2.2869000000000002</v>
      </c>
      <c r="X27" s="18">
        <f>Forcing!I27*$AB$30</f>
        <v>-2.233625</v>
      </c>
      <c r="Y27" s="18">
        <f t="shared" si="10"/>
        <v>-0.54999999999999993</v>
      </c>
      <c r="Z27" s="18">
        <f>Forcing!B27-($AB$43+$AB$39*Forcing!AQ27+$AB$40*Forcing!AR27+$AB$44*Forcing!AS27)</f>
        <v>-8.6282561988275108E-3</v>
      </c>
      <c r="AA27" s="61" t="s">
        <v>2805</v>
      </c>
      <c r="AB27" s="53"/>
      <c r="AC27" s="53"/>
      <c r="AD27" s="53"/>
      <c r="AE27" s="53"/>
      <c r="AF27" s="53"/>
      <c r="AG27" s="53"/>
      <c r="AH27" s="53"/>
      <c r="AI27" s="53"/>
      <c r="AK27" s="18">
        <f>IF(AND(ISNUMBER(C27),ISNUMBER(ENSO!F27)),C27-ENSO!F27,"")</f>
        <v>-9.0000000000000011E-2</v>
      </c>
      <c r="AL27" s="18">
        <f t="shared" si="12"/>
        <v>1960.2916666666667</v>
      </c>
      <c r="AM27" s="18">
        <f t="shared" si="13"/>
        <v>-0.14999999999999858</v>
      </c>
    </row>
    <row r="28" spans="1:39">
      <c r="A28" s="18" t="str">
        <f>IF(Volcanic!A28="","",Volcanic!A28)</f>
        <v>5/1960</v>
      </c>
      <c r="B28" s="18">
        <f>IF(ISNUMBER(Volcanic!L28),Volcanic!L28,"")</f>
        <v>1960.375</v>
      </c>
      <c r="C28" s="21">
        <v>0.06</v>
      </c>
      <c r="D28" s="18">
        <f t="shared" si="11"/>
        <v>0.04</v>
      </c>
      <c r="E28" s="18">
        <f>IF(ISNUMBER(Volcanic!B28),Volcanic!B28,"")</f>
        <v>-8.0000000000001847E-2</v>
      </c>
      <c r="F28" s="18">
        <f>IF(ISNUMBER(Volcanic!C28),Volcanic!C28,"")</f>
        <v>0.19278032426290692</v>
      </c>
      <c r="G28" s="18">
        <f>IF(ISNUMBER(Volcanic!E28),Volcanic!E28,"")</f>
        <v>4.45E-3</v>
      </c>
      <c r="H28" s="18">
        <f>IF(ISNUMBER(Volcanic!D28),Volcanic!D28,"")</f>
        <v>0.03</v>
      </c>
      <c r="I28" s="18">
        <f t="shared" si="0"/>
        <v>0.19278032426290692</v>
      </c>
      <c r="J28" s="18">
        <f t="shared" si="1"/>
        <v>4.45E-3</v>
      </c>
      <c r="K28" s="18">
        <f t="shared" si="2"/>
        <v>0.04</v>
      </c>
      <c r="L28" s="18">
        <f t="shared" si="3"/>
        <v>0.19278032426290692</v>
      </c>
      <c r="M28" s="18">
        <f t="shared" si="4"/>
        <v>4.45E-3</v>
      </c>
      <c r="N28" s="18">
        <f t="shared" si="5"/>
        <v>-0.23552751575208844</v>
      </c>
      <c r="O28" s="18">
        <f>Forcing!A28</f>
        <v>1985</v>
      </c>
      <c r="P28" s="18">
        <f>Forcing!B28</f>
        <v>0.11833333333333303</v>
      </c>
      <c r="Q28" s="18">
        <f>Forcing!AN28</f>
        <v>0.9856999999999998</v>
      </c>
      <c r="R28" s="18">
        <f>Forcing!AO28</f>
        <v>-0.71833333333333327</v>
      </c>
      <c r="S28" s="18">
        <f t="shared" si="6"/>
        <v>0.9856999999999998</v>
      </c>
      <c r="T28" s="18">
        <f t="shared" si="7"/>
        <v>-0.60083333333333333</v>
      </c>
      <c r="U28" s="18">
        <f t="shared" si="8"/>
        <v>0.9856999999999998</v>
      </c>
      <c r="V28" s="18">
        <f t="shared" si="9"/>
        <v>-0.66944335807593203</v>
      </c>
      <c r="W28" s="18">
        <f>Forcing!K28+Forcing!J28</f>
        <v>2.3359999999999999</v>
      </c>
      <c r="X28" s="18">
        <f>Forcing!I28*$AB$30</f>
        <v>-2.255001</v>
      </c>
      <c r="Y28" s="18">
        <f t="shared" si="10"/>
        <v>-0.71833333333333327</v>
      </c>
      <c r="Z28" s="18">
        <f>Forcing!B28-($AB$43+$AB$39*Forcing!AQ28+$AB$40*Forcing!AR28+$AB$44*Forcing!AS28)</f>
        <v>-4.3019284130064436E-2</v>
      </c>
      <c r="AA28" s="18" t="s">
        <v>2806</v>
      </c>
      <c r="AB28" s="25">
        <f>SLOPE($T$2:$T$68,$O$2:$O$68)</f>
        <v>-7.9268763136190711E-3</v>
      </c>
      <c r="AK28" s="18">
        <f>IF(AND(ISNUMBER(C28),ISNUMBER(ENSO!F28)),C28-ENSO!F28,"")</f>
        <v>1.9999999999999997E-2</v>
      </c>
      <c r="AL28" s="18">
        <f t="shared" si="12"/>
        <v>1960.375</v>
      </c>
      <c r="AM28" s="18">
        <f t="shared" si="13"/>
        <v>-8.0000000000001847E-2</v>
      </c>
    </row>
    <row r="29" spans="1:39">
      <c r="A29" s="18" t="str">
        <f>IF(Volcanic!A29="","",Volcanic!A29)</f>
        <v>6/1960</v>
      </c>
      <c r="B29" s="18">
        <f>IF(ISNUMBER(Volcanic!L29),Volcanic!L29,"")</f>
        <v>1960.4583333333333</v>
      </c>
      <c r="C29" s="21">
        <v>0.04</v>
      </c>
      <c r="D29" s="18">
        <f t="shared" si="11"/>
        <v>0</v>
      </c>
      <c r="E29" s="18">
        <f>IF(ISNUMBER(Volcanic!B29),Volcanic!B29,"")</f>
        <v>-3.9999999999999147E-2</v>
      </c>
      <c r="F29" s="18">
        <f>IF(ISNUMBER(Volcanic!C29),Volcanic!C29,"")</f>
        <v>0.19075029697903845</v>
      </c>
      <c r="G29" s="18">
        <f>IF(ISNUMBER(Volcanic!E29),Volcanic!E29,"")</f>
        <v>4.3499999999999997E-3</v>
      </c>
      <c r="H29" s="18">
        <f>IF(ISNUMBER(Volcanic!D29),Volcanic!D29,"")</f>
        <v>0.06</v>
      </c>
      <c r="I29" s="18">
        <f t="shared" si="0"/>
        <v>0.19075029697903845</v>
      </c>
      <c r="J29" s="18">
        <f t="shared" si="1"/>
        <v>4.3499999999999997E-3</v>
      </c>
      <c r="K29" s="18">
        <f t="shared" si="2"/>
        <v>0</v>
      </c>
      <c r="L29" s="18">
        <f t="shared" si="3"/>
        <v>0.19075029697903845</v>
      </c>
      <c r="M29" s="18">
        <f t="shared" si="4"/>
        <v>4.3499999999999997E-3</v>
      </c>
      <c r="N29" s="18">
        <f t="shared" si="5"/>
        <v>-0.27483749626148679</v>
      </c>
      <c r="O29" s="18">
        <f>Forcing!A29</f>
        <v>1986</v>
      </c>
      <c r="P29" s="18">
        <f>Forcing!B29</f>
        <v>0.17999999999999927</v>
      </c>
      <c r="Q29" s="18">
        <f>Forcing!AN29</f>
        <v>1.0379999999999998</v>
      </c>
      <c r="R29" s="18">
        <f>Forcing!AO29</f>
        <v>-7.2499999999999995E-2</v>
      </c>
      <c r="S29" s="18">
        <f t="shared" si="6"/>
        <v>1.0379999999999998</v>
      </c>
      <c r="T29" s="18">
        <f t="shared" si="7"/>
        <v>1.2499999999999992E-2</v>
      </c>
      <c r="U29" s="18">
        <f t="shared" si="8"/>
        <v>1.0379999999999998</v>
      </c>
      <c r="V29" s="18">
        <f t="shared" si="9"/>
        <v>-4.8183148428978494E-2</v>
      </c>
      <c r="W29" s="18">
        <f>Forcing!K29+Forcing!J29</f>
        <v>2.39</v>
      </c>
      <c r="X29" s="18">
        <f>Forcing!I29*$AB$30</f>
        <v>-2.2578399999999998</v>
      </c>
      <c r="Y29" s="18">
        <f t="shared" si="10"/>
        <v>-7.2499999999999995E-2</v>
      </c>
      <c r="Z29" s="18">
        <f>Forcing!B29-($AB$43+$AB$39*Forcing!AQ29+$AB$40*Forcing!AR29+$AB$44*Forcing!AS29)</f>
        <v>-6.8115337056172509E-2</v>
      </c>
      <c r="AA29" s="18" t="s">
        <v>2807</v>
      </c>
      <c r="AB29" s="25">
        <f>INTERCEPT($T$2:$T$68,$O$2:$O$68)</f>
        <v>15.803459507276454</v>
      </c>
      <c r="AK29" s="18">
        <f>IF(AND(ISNUMBER(C29),ISNUMBER(ENSO!F29)),C29-ENSO!F29,"")</f>
        <v>0.04</v>
      </c>
      <c r="AL29" s="18">
        <f t="shared" si="12"/>
        <v>1960.4583333333333</v>
      </c>
      <c r="AM29" s="18">
        <f t="shared" si="13"/>
        <v>-3.9999999999999147E-2</v>
      </c>
    </row>
    <row r="30" spans="1:39">
      <c r="A30" s="18" t="str">
        <f>IF(Volcanic!A30="","",Volcanic!A30)</f>
        <v>7/1960</v>
      </c>
      <c r="B30" s="18">
        <f>IF(ISNUMBER(Volcanic!L30),Volcanic!L30,"")</f>
        <v>1960.5416666666667</v>
      </c>
      <c r="C30" s="21">
        <v>0.11</v>
      </c>
      <c r="D30" s="18">
        <f t="shared" si="11"/>
        <v>0.08</v>
      </c>
      <c r="E30" s="18">
        <f>IF(ISNUMBER(Volcanic!B30),Volcanic!B30,"")</f>
        <v>-3.9999999999999147E-2</v>
      </c>
      <c r="F30" s="18">
        <f>IF(ISNUMBER(Volcanic!C30),Volcanic!C30,"")</f>
        <v>0.1844163271422109</v>
      </c>
      <c r="G30" s="18">
        <f>IF(ISNUMBER(Volcanic!E30),Volcanic!E30,"")</f>
        <v>4.2199999999999998E-3</v>
      </c>
      <c r="H30" s="18">
        <f>IF(ISNUMBER(Volcanic!D30),Volcanic!D30,"")</f>
        <v>0.17</v>
      </c>
      <c r="I30" s="18">
        <f t="shared" si="0"/>
        <v>0.1844163271422109</v>
      </c>
      <c r="J30" s="18">
        <f t="shared" si="1"/>
        <v>4.2199999999999998E-3</v>
      </c>
      <c r="K30" s="18">
        <f t="shared" si="2"/>
        <v>0.08</v>
      </c>
      <c r="L30" s="18">
        <f t="shared" si="3"/>
        <v>0.1844163271422109</v>
      </c>
      <c r="M30" s="18">
        <f t="shared" si="4"/>
        <v>4.2199999999999998E-3</v>
      </c>
      <c r="N30" s="18">
        <f t="shared" si="5"/>
        <v>-0.19414747677088867</v>
      </c>
      <c r="O30" s="18">
        <f>Forcing!A30</f>
        <v>1987</v>
      </c>
      <c r="P30" s="18">
        <f>Forcing!B30</f>
        <v>0.3216666666666666</v>
      </c>
      <c r="Q30" s="18">
        <f>Forcing!AN30</f>
        <v>1.0542000000000002</v>
      </c>
      <c r="R30" s="18">
        <f>Forcing!AO30</f>
        <v>1.1424999999999998</v>
      </c>
      <c r="S30" s="18">
        <f t="shared" si="6"/>
        <v>1.0542000000000002</v>
      </c>
      <c r="T30" s="18">
        <f t="shared" si="7"/>
        <v>1.2983333333333336</v>
      </c>
      <c r="U30" s="18">
        <f t="shared" si="8"/>
        <v>1.0542000000000002</v>
      </c>
      <c r="V30" s="18">
        <f t="shared" si="9"/>
        <v>1.2455770612179735</v>
      </c>
      <c r="W30" s="18">
        <f>Forcing!K30+Forcing!J30</f>
        <v>2.4476</v>
      </c>
      <c r="X30" s="18">
        <f>Forcing!I30*$AB$30</f>
        <v>-2.326978</v>
      </c>
      <c r="Y30" s="18">
        <f t="shared" si="10"/>
        <v>1.1424999999999998</v>
      </c>
      <c r="Z30" s="18">
        <f>Forcing!B30-($AB$43+$AB$39*Forcing!AQ30+$AB$40*Forcing!AR30+$AB$44*Forcing!AS30)</f>
        <v>-5.5890373158987594E-2</v>
      </c>
      <c r="AA30" s="18" t="s">
        <v>2808</v>
      </c>
      <c r="AB30" s="21">
        <v>1.67</v>
      </c>
      <c r="AK30" s="18">
        <f>IF(AND(ISNUMBER(C30),ISNUMBER(ENSO!F30)),C30-ENSO!F30,"")</f>
        <v>0.1</v>
      </c>
      <c r="AL30" s="18">
        <f t="shared" si="12"/>
        <v>1960.5416666666667</v>
      </c>
      <c r="AM30" s="18">
        <f t="shared" si="13"/>
        <v>-3.9999999999999147E-2</v>
      </c>
    </row>
    <row r="31" spans="1:39">
      <c r="A31" s="18" t="str">
        <f>IF(Volcanic!A31="","",Volcanic!A31)</f>
        <v>8/1960</v>
      </c>
      <c r="B31" s="18">
        <f>IF(ISNUMBER(Volcanic!L31),Volcanic!L31,"")</f>
        <v>1960.625</v>
      </c>
      <c r="C31" s="21">
        <v>0.17</v>
      </c>
      <c r="D31" s="18">
        <f t="shared" si="11"/>
        <v>0.06</v>
      </c>
      <c r="E31" s="18">
        <f>IF(ISNUMBER(Volcanic!B31),Volcanic!B31,"")</f>
        <v>2.0000000000003126E-2</v>
      </c>
      <c r="F31" s="18">
        <f>IF(ISNUMBER(Volcanic!C31),Volcanic!C31,"")</f>
        <v>0.17404110991454413</v>
      </c>
      <c r="G31" s="18">
        <f>IF(ISNUMBER(Volcanic!E31),Volcanic!E31,"")</f>
        <v>4.1099999999999999E-3</v>
      </c>
      <c r="H31" s="18">
        <f>IF(ISNUMBER(Volcanic!D31),Volcanic!D31,"")</f>
        <v>0.04</v>
      </c>
      <c r="I31" s="18">
        <f t="shared" si="0"/>
        <v>0.17404110991454413</v>
      </c>
      <c r="J31" s="18">
        <f t="shared" si="1"/>
        <v>4.1099999999999999E-3</v>
      </c>
      <c r="K31" s="18">
        <f t="shared" si="2"/>
        <v>0.06</v>
      </c>
      <c r="L31" s="18">
        <f t="shared" si="3"/>
        <v>0.17404110991454413</v>
      </c>
      <c r="M31" s="18">
        <f t="shared" si="4"/>
        <v>4.1099999999999999E-3</v>
      </c>
      <c r="N31" s="18">
        <f t="shared" si="5"/>
        <v>-0.21345745728029059</v>
      </c>
      <c r="O31" s="18">
        <f>Forcing!A31</f>
        <v>1988</v>
      </c>
      <c r="P31" s="18">
        <f>Forcing!B31</f>
        <v>0.38999999999999985</v>
      </c>
      <c r="Q31" s="18">
        <f>Forcing!AN31</f>
        <v>1.1193999999999997</v>
      </c>
      <c r="R31" s="18">
        <f>Forcing!AO31</f>
        <v>-0.15583333333333335</v>
      </c>
      <c r="S31" s="18">
        <f t="shared" si="6"/>
        <v>1.1193999999999997</v>
      </c>
      <c r="T31" s="18">
        <f t="shared" si="7"/>
        <v>-0.35333333333333333</v>
      </c>
      <c r="U31" s="18">
        <f t="shared" si="8"/>
        <v>1.1193999999999997</v>
      </c>
      <c r="V31" s="18">
        <f t="shared" si="9"/>
        <v>-0.39816272913507317</v>
      </c>
      <c r="W31" s="18">
        <f>Forcing!K31+Forcing!J31</f>
        <v>2.5202</v>
      </c>
      <c r="X31" s="18">
        <f>Forcing!I31*$AB$30</f>
        <v>-2.3393359999999999</v>
      </c>
      <c r="Y31" s="18">
        <f t="shared" si="10"/>
        <v>-0.15583333333333335</v>
      </c>
      <c r="Z31" s="18">
        <f>Forcing!B31-($AB$43+$AB$39*Forcing!AQ31+$AB$40*Forcing!AR31+$AB$44*Forcing!AS31)</f>
        <v>0.1173048795983524</v>
      </c>
      <c r="AK31" s="18">
        <f>IF(AND(ISNUMBER(C31),ISNUMBER(ENSO!F31)),C31-ENSO!F31,"")</f>
        <v>2.0000000000000018E-2</v>
      </c>
      <c r="AL31" s="18">
        <f t="shared" si="12"/>
        <v>1960.625</v>
      </c>
      <c r="AM31" s="18">
        <f t="shared" si="13"/>
        <v>2.0000000000003126E-2</v>
      </c>
    </row>
    <row r="32" spans="1:39" ht="78" customHeight="1">
      <c r="A32" s="18" t="str">
        <f>IF(Volcanic!A32="","",Volcanic!A32)</f>
        <v>9/1960</v>
      </c>
      <c r="B32" s="18">
        <f>IF(ISNUMBER(Volcanic!L32),Volcanic!L32,"")</f>
        <v>1960.7083333333333</v>
      </c>
      <c r="C32" s="21">
        <v>0.17</v>
      </c>
      <c r="D32" s="18">
        <f t="shared" si="11"/>
        <v>0.04</v>
      </c>
      <c r="E32" s="18">
        <f>IF(ISNUMBER(Volcanic!B32),Volcanic!B32,"")</f>
        <v>7.0000000000000284E-2</v>
      </c>
      <c r="F32" s="18">
        <f>IF(ISNUMBER(Volcanic!C32),Volcanic!C32,"")</f>
        <v>0.16611859751788685</v>
      </c>
      <c r="G32" s="18">
        <f>IF(ISNUMBER(Volcanic!E32),Volcanic!E32,"")</f>
        <v>3.9699999999999996E-3</v>
      </c>
      <c r="H32" s="18">
        <f>IF(ISNUMBER(Volcanic!D32),Volcanic!D32,"")</f>
        <v>0</v>
      </c>
      <c r="I32" s="18">
        <f t="shared" si="0"/>
        <v>0.16611859751788685</v>
      </c>
      <c r="J32" s="18">
        <f t="shared" si="1"/>
        <v>3.9699999999999996E-3</v>
      </c>
      <c r="K32" s="18">
        <f t="shared" si="2"/>
        <v>0.04</v>
      </c>
      <c r="L32" s="18">
        <f t="shared" si="3"/>
        <v>0.16611859751788685</v>
      </c>
      <c r="M32" s="18">
        <f t="shared" si="4"/>
        <v>3.9699999999999996E-3</v>
      </c>
      <c r="N32" s="18">
        <f t="shared" si="5"/>
        <v>-0.23276743778969247</v>
      </c>
      <c r="O32" s="18">
        <f>Forcing!A32</f>
        <v>1989</v>
      </c>
      <c r="P32" s="18">
        <f>Forcing!B32</f>
        <v>0.27416666666666512</v>
      </c>
      <c r="Q32" s="18">
        <f>Forcing!AN32</f>
        <v>1.1875</v>
      </c>
      <c r="R32" s="18">
        <f>Forcing!AO32</f>
        <v>-1.0191666666666663</v>
      </c>
      <c r="S32" s="18">
        <f t="shared" si="6"/>
        <v>1.1875</v>
      </c>
      <c r="T32" s="18">
        <f t="shared" si="7"/>
        <v>-1.0399999999999998</v>
      </c>
      <c r="U32" s="18">
        <f t="shared" si="8"/>
        <v>1.1875</v>
      </c>
      <c r="V32" s="18">
        <f t="shared" si="9"/>
        <v>-1.0769025194881212</v>
      </c>
      <c r="W32" s="18">
        <f>Forcing!K32+Forcing!J32</f>
        <v>2.5716000000000001</v>
      </c>
      <c r="X32" s="18">
        <f>Forcing!I32*$AB$30</f>
        <v>-2.3114470000000003</v>
      </c>
      <c r="Y32" s="18">
        <f t="shared" si="10"/>
        <v>-1.0191666666666663</v>
      </c>
      <c r="Z32" s="18">
        <f>Forcing!B32-($AB$43+$AB$39*Forcing!AQ32+$AB$40*Forcing!AR32+$AB$44*Forcing!AS32)</f>
        <v>6.0977331066786933E-2</v>
      </c>
      <c r="AA32" s="54" t="s">
        <v>2809</v>
      </c>
      <c r="AB32" s="53"/>
      <c r="AC32" s="53"/>
      <c r="AD32" s="53"/>
      <c r="AE32" s="53"/>
      <c r="AF32" s="53"/>
      <c r="AG32" s="53"/>
      <c r="AH32" s="53"/>
      <c r="AI32" s="53"/>
      <c r="AK32" s="18">
        <f>IF(AND(ISNUMBER(C32),ISNUMBER(ENSO!F32)),C32-ENSO!F32,"")</f>
        <v>-1.999999999999999E-2</v>
      </c>
      <c r="AL32" s="18">
        <f t="shared" si="12"/>
        <v>1960.7083333333333</v>
      </c>
      <c r="AM32" s="18">
        <f t="shared" si="13"/>
        <v>7.0000000000000284E-2</v>
      </c>
    </row>
    <row r="33" spans="1:39">
      <c r="A33" s="18" t="str">
        <f>IF(Volcanic!A33="","",Volcanic!A33)</f>
        <v>10/1960</v>
      </c>
      <c r="B33" s="18">
        <f>IF(ISNUMBER(Volcanic!L33),Volcanic!L33,"")</f>
        <v>1960.7916666666667</v>
      </c>
      <c r="C33" s="21">
        <v>7.0000000000000007E-2</v>
      </c>
      <c r="D33" s="18">
        <f t="shared" si="11"/>
        <v>0.11</v>
      </c>
      <c r="E33" s="18">
        <f>IF(ISNUMBER(Volcanic!B33),Volcanic!B33,"")</f>
        <v>5.9999999999998721E-2</v>
      </c>
      <c r="F33" s="18">
        <f>IF(ISNUMBER(Volcanic!C33),Volcanic!C33,"")</f>
        <v>0.16455644349932552</v>
      </c>
      <c r="G33" s="18">
        <f>IF(ISNUMBER(Volcanic!E33),Volcanic!E33,"")</f>
        <v>3.8899999999999998E-3</v>
      </c>
      <c r="H33" s="18">
        <f>IF(ISNUMBER(Volcanic!D33),Volcanic!D33,"")</f>
        <v>0.01</v>
      </c>
      <c r="I33" s="18">
        <f t="shared" si="0"/>
        <v>0.16455644349932552</v>
      </c>
      <c r="J33" s="18">
        <f t="shared" si="1"/>
        <v>3.8899999999999998E-3</v>
      </c>
      <c r="K33" s="18">
        <f t="shared" si="2"/>
        <v>0.11</v>
      </c>
      <c r="L33" s="18">
        <f t="shared" si="3"/>
        <v>0.16455644349932552</v>
      </c>
      <c r="M33" s="18">
        <f t="shared" si="4"/>
        <v>3.8899999999999998E-3</v>
      </c>
      <c r="N33" s="18">
        <f t="shared" si="5"/>
        <v>-0.16207741829909084</v>
      </c>
      <c r="O33" s="18">
        <f>Forcing!A33</f>
        <v>1990</v>
      </c>
      <c r="P33" s="18">
        <f>Forcing!B33</f>
        <v>0.44916666666666821</v>
      </c>
      <c r="Q33" s="18">
        <f>Forcing!AN33</f>
        <v>1.2159</v>
      </c>
      <c r="R33" s="18">
        <f>Forcing!AO33</f>
        <v>0.16</v>
      </c>
      <c r="S33" s="18">
        <f t="shared" si="6"/>
        <v>1.2159</v>
      </c>
      <c r="T33" s="18">
        <f t="shared" si="7"/>
        <v>0.18166666666666664</v>
      </c>
      <c r="U33" s="18">
        <f t="shared" si="8"/>
        <v>1.2159</v>
      </c>
      <c r="V33" s="18">
        <f t="shared" si="9"/>
        <v>0.15269102349216368</v>
      </c>
      <c r="W33" s="18">
        <f>Forcing!K33+Forcing!J33</f>
        <v>2.6153</v>
      </c>
      <c r="X33" s="18">
        <f>Forcing!I33*$AB$30</f>
        <v>-2.3369979999999999</v>
      </c>
      <c r="Y33" s="18">
        <f t="shared" si="10"/>
        <v>0.16</v>
      </c>
      <c r="Z33" s="18">
        <f>Forcing!B33-($AB$43+$AB$39*Forcing!AQ33+$AB$40*Forcing!AR33+$AB$44*Forcing!AS33)</f>
        <v>0.10504550775010407</v>
      </c>
      <c r="AK33" s="18">
        <f>IF(AND(ISNUMBER(C33),ISNUMBER(ENSO!F33)),C33-ENSO!F33,"")</f>
        <v>-9.999999999999995E-3</v>
      </c>
      <c r="AL33" s="18">
        <f t="shared" si="12"/>
        <v>1960.7916666666667</v>
      </c>
      <c r="AM33" s="18">
        <f t="shared" si="13"/>
        <v>5.9999999999998721E-2</v>
      </c>
    </row>
    <row r="34" spans="1:39" ht="15.75">
      <c r="A34" s="18" t="str">
        <f>IF(Volcanic!A34="","",Volcanic!A34)</f>
        <v>11/1960</v>
      </c>
      <c r="B34" s="18">
        <f>IF(ISNUMBER(Volcanic!L34),Volcanic!L34,"")</f>
        <v>1960.875</v>
      </c>
      <c r="C34" s="21">
        <v>0.01</v>
      </c>
      <c r="D34" s="18">
        <f t="shared" si="11"/>
        <v>0.17</v>
      </c>
      <c r="E34" s="18">
        <f>IF(ISNUMBER(Volcanic!B34),Volcanic!B34,"")</f>
        <v>-0.10999999999999766</v>
      </c>
      <c r="F34" s="18">
        <f>IF(ISNUMBER(Volcanic!C34),Volcanic!C34,"")</f>
        <v>0.16992500144231237</v>
      </c>
      <c r="G34" s="18">
        <f>IF(ISNUMBER(Volcanic!E34),Volcanic!E34,"")</f>
        <v>3.9100000000000003E-3</v>
      </c>
      <c r="H34" s="18">
        <f>IF(ISNUMBER(Volcanic!D34),Volcanic!D34,"")</f>
        <v>0.15</v>
      </c>
      <c r="I34" s="18">
        <f t="shared" si="0"/>
        <v>0.16992500144231237</v>
      </c>
      <c r="J34" s="18">
        <f t="shared" si="1"/>
        <v>3.9100000000000003E-3</v>
      </c>
      <c r="K34" s="18">
        <f t="shared" si="2"/>
        <v>0.17</v>
      </c>
      <c r="L34" s="18">
        <f t="shared" si="3"/>
        <v>0.16992500144231237</v>
      </c>
      <c r="M34" s="18">
        <f t="shared" si="4"/>
        <v>3.9100000000000003E-3</v>
      </c>
      <c r="N34" s="18">
        <f t="shared" si="5"/>
        <v>-0.10138739880849271</v>
      </c>
      <c r="O34" s="18">
        <f>Forcing!A34</f>
        <v>1991</v>
      </c>
      <c r="P34" s="18">
        <f>Forcing!B34</f>
        <v>0.40749999999999975</v>
      </c>
      <c r="Q34" s="18">
        <f>Forcing!AN34</f>
        <v>1.2000000000000002</v>
      </c>
      <c r="R34" s="18">
        <f>Forcing!AO34</f>
        <v>0.44416666666666665</v>
      </c>
      <c r="S34" s="18">
        <f t="shared" ref="S34:S68" si="14">Q34</f>
        <v>1.2000000000000002</v>
      </c>
      <c r="T34" s="18">
        <f t="shared" ref="T34:T68" si="15">AVERAGEIFS($D$9:$D$822,$B$9:$B$822,"&gt;="&amp;O34,$B$9:$B$822,"&lt;"&amp;(O34+1))</f>
        <v>0.56500000000000006</v>
      </c>
      <c r="U34" s="18">
        <f t="shared" ref="U34:U68" si="16">Q34</f>
        <v>1.2000000000000002</v>
      </c>
      <c r="V34" s="18">
        <f t="shared" ref="V34:V68" si="17">T34-($AB$28*O34+$AB$29)</f>
        <v>0.54395123313911731</v>
      </c>
      <c r="W34" s="18">
        <f>Forcing!K34+Forcing!J34</f>
        <v>2.6889000000000003</v>
      </c>
      <c r="X34" s="18">
        <f>Forcing!I34*$AB$30</f>
        <v>-2.4864629999999996</v>
      </c>
      <c r="Y34" s="18">
        <f t="shared" ref="Y34:Y68" si="18">R34</f>
        <v>0.44416666666666665</v>
      </c>
      <c r="Z34" s="18">
        <f>Forcing!B34-($AB$43+$AB$39*Forcing!AQ34+$AB$40*Forcing!AR34+$AB$44*Forcing!AS34)</f>
        <v>4.1557153547058912E-2</v>
      </c>
      <c r="AA34" s="4" t="s">
        <v>2810</v>
      </c>
      <c r="AK34" s="18">
        <f>IF(AND(ISNUMBER(C34),ISNUMBER(ENSO!F34)),C34-ENSO!F34,"")</f>
        <v>0.08</v>
      </c>
      <c r="AL34" s="18">
        <f t="shared" si="12"/>
        <v>1960.875</v>
      </c>
      <c r="AM34" s="18">
        <f t="shared" si="13"/>
        <v>-0.10999999999999766</v>
      </c>
    </row>
    <row r="35" spans="1:39">
      <c r="A35" s="18" t="str">
        <f>IF(Volcanic!A35="","",Volcanic!A35)</f>
        <v>12/1960</v>
      </c>
      <c r="B35" s="18">
        <f>IF(ISNUMBER(Volcanic!L35),Volcanic!L35,"")</f>
        <v>1960.9583333333333</v>
      </c>
      <c r="C35" s="21">
        <v>0.02</v>
      </c>
      <c r="D35" s="18">
        <f t="shared" si="11"/>
        <v>0.17</v>
      </c>
      <c r="E35" s="18">
        <f>IF(ISNUMBER(Volcanic!B35),Volcanic!B35,"")</f>
        <v>0.19000000000000128</v>
      </c>
      <c r="F35" s="18">
        <f>IF(ISNUMBER(Volcanic!C35),Volcanic!C35,"")</f>
        <v>0.17536491377542907</v>
      </c>
      <c r="G35" s="18">
        <f>IF(ISNUMBER(Volcanic!E35),Volcanic!E35,"")</f>
        <v>3.9399999999999999E-3</v>
      </c>
      <c r="H35" s="18">
        <f>IF(ISNUMBER(Volcanic!D35),Volcanic!D35,"")</f>
        <v>0.19</v>
      </c>
      <c r="I35" s="18">
        <f t="shared" si="0"/>
        <v>0.17536491377542907</v>
      </c>
      <c r="J35" s="18">
        <f t="shared" si="1"/>
        <v>3.9399999999999999E-3</v>
      </c>
      <c r="K35" s="18">
        <f t="shared" si="2"/>
        <v>0.17</v>
      </c>
      <c r="L35" s="18">
        <f t="shared" si="3"/>
        <v>0.17536491377542907</v>
      </c>
      <c r="M35" s="18">
        <f t="shared" si="4"/>
        <v>3.9399999999999999E-3</v>
      </c>
      <c r="N35" s="18">
        <f t="shared" si="5"/>
        <v>-0.1006973793178946</v>
      </c>
      <c r="O35" s="18">
        <f>Forcing!A35</f>
        <v>1992</v>
      </c>
      <c r="P35" s="18">
        <f>Forcing!B35</f>
        <v>0.22416666666666707</v>
      </c>
      <c r="Q35" s="18">
        <f>Forcing!AN35</f>
        <v>1.3488</v>
      </c>
      <c r="R35" s="18">
        <f>Forcing!AO35</f>
        <v>0.93833333333333335</v>
      </c>
      <c r="S35" s="18">
        <f t="shared" si="14"/>
        <v>1.3488</v>
      </c>
      <c r="T35" s="18">
        <f t="shared" si="15"/>
        <v>1.3783333333333332</v>
      </c>
      <c r="U35" s="18">
        <f t="shared" si="16"/>
        <v>1.3488</v>
      </c>
      <c r="V35" s="18">
        <f t="shared" si="17"/>
        <v>1.3652114427860689</v>
      </c>
      <c r="W35" s="18">
        <f>Forcing!K35+Forcing!J35</f>
        <v>2.6818</v>
      </c>
      <c r="X35" s="18">
        <f>Forcing!I35*$AB$30</f>
        <v>-2.2261099999999998</v>
      </c>
      <c r="Y35" s="18">
        <f t="shared" si="18"/>
        <v>0.93833333333333335</v>
      </c>
      <c r="Z35" s="18">
        <f>Forcing!B35-($AB$43+$AB$39*Forcing!AQ35+$AB$40*Forcing!AR35+$AB$44*Forcing!AS35)</f>
        <v>-0.25342008136674737</v>
      </c>
      <c r="AA35" s="18" t="s">
        <v>2811</v>
      </c>
      <c r="AB35" s="25">
        <f>CORREL(Forcing!$K$2:$K$68+Forcing!$J$2:$J$68,Forcing!$I$2:$I$68)</f>
        <v>-1.5923200147918723E-3</v>
      </c>
      <c r="AC35" s="25">
        <f>Forcing!T24</f>
        <v>1.8611198965483026E-2</v>
      </c>
      <c r="AK35" s="18">
        <f>IF(AND(ISNUMBER(C35),ISNUMBER(ENSO!F35)),C35-ENSO!F35,"")</f>
        <v>9.0000000000000011E-2</v>
      </c>
      <c r="AL35" s="18">
        <f t="shared" si="12"/>
        <v>1960.9583333333333</v>
      </c>
      <c r="AM35" s="18">
        <f t="shared" si="13"/>
        <v>0.19000000000000128</v>
      </c>
    </row>
    <row r="36" spans="1:39">
      <c r="A36" s="18" t="str">
        <f>IF(Volcanic!A36="","",Volcanic!A36)</f>
        <v>1/1961</v>
      </c>
      <c r="B36" s="18">
        <f>IF(ISNUMBER(Volcanic!L36),Volcanic!L36,"")</f>
        <v>1961.0416666666667</v>
      </c>
      <c r="C36" s="21">
        <v>0.05</v>
      </c>
      <c r="D36" s="18">
        <f t="shared" si="11"/>
        <v>7.0000000000000007E-2</v>
      </c>
      <c r="E36" s="18">
        <f>IF(ISNUMBER(Volcanic!B36),Volcanic!B36,"")</f>
        <v>7.0000000000000284E-2</v>
      </c>
      <c r="F36" s="18">
        <f>IF(ISNUMBER(Volcanic!C36),Volcanic!C36,"")</f>
        <v>0.17855530658575247</v>
      </c>
      <c r="G36" s="18">
        <f>IF(ISNUMBER(Volcanic!E36),Volcanic!E36,"")</f>
        <v>4.0000000000000001E-3</v>
      </c>
      <c r="H36" s="18">
        <f>IF(ISNUMBER(Volcanic!D36),Volcanic!D36,"")</f>
        <v>0.08</v>
      </c>
      <c r="I36" s="18">
        <f t="shared" si="0"/>
        <v>0.17855530658575247</v>
      </c>
      <c r="J36" s="18">
        <f t="shared" si="1"/>
        <v>4.0000000000000001E-3</v>
      </c>
      <c r="K36" s="18">
        <f t="shared" si="2"/>
        <v>7.0000000000000007E-2</v>
      </c>
      <c r="L36" s="18">
        <f t="shared" si="3"/>
        <v>0.17855530658575247</v>
      </c>
      <c r="M36" s="18">
        <f t="shared" si="4"/>
        <v>4.0000000000000001E-3</v>
      </c>
      <c r="N36" s="18">
        <f t="shared" si="5"/>
        <v>-0.20000735982729295</v>
      </c>
      <c r="O36" s="18">
        <f>Forcing!A36</f>
        <v>1993</v>
      </c>
      <c r="P36" s="18">
        <f>Forcing!B36</f>
        <v>0.23333333333333339</v>
      </c>
      <c r="Q36" s="18">
        <f>Forcing!AN36</f>
        <v>1.3699000000000003</v>
      </c>
      <c r="R36" s="18">
        <f>Forcing!AO36</f>
        <v>0.26500000000000001</v>
      </c>
      <c r="S36" s="18">
        <f t="shared" si="14"/>
        <v>1.3699000000000003</v>
      </c>
      <c r="T36" s="18">
        <f t="shared" si="15"/>
        <v>0.54333333333333333</v>
      </c>
      <c r="U36" s="18">
        <f t="shared" si="16"/>
        <v>1.3699000000000003</v>
      </c>
      <c r="V36" s="18">
        <f t="shared" si="17"/>
        <v>0.53813831909968746</v>
      </c>
      <c r="W36" s="18">
        <f>Forcing!K36+Forcing!J36</f>
        <v>2.7106000000000003</v>
      </c>
      <c r="X36" s="18">
        <f>Forcing!I36*$AB$30</f>
        <v>-2.238969</v>
      </c>
      <c r="Y36" s="18">
        <f t="shared" si="18"/>
        <v>0.26500000000000001</v>
      </c>
      <c r="Z36" s="18">
        <f>Forcing!B36-($AB$43+$AB$39*Forcing!AQ36+$AB$40*Forcing!AR36+$AB$44*Forcing!AS36)</f>
        <v>-0.18465517975468593</v>
      </c>
      <c r="AA36" s="18" t="s">
        <v>2812</v>
      </c>
      <c r="AB36" s="25">
        <f>Forcing!I2</f>
        <v>-0.91220000000000001</v>
      </c>
      <c r="AC36" s="25">
        <f>MIN(Forcing!I2:I68)</f>
        <v>-1.4888999999999999</v>
      </c>
      <c r="AD36" s="25">
        <f>Forcing!I68</f>
        <v>-0.96179999999999999</v>
      </c>
      <c r="AK36" s="18">
        <f>IF(AND(ISNUMBER(C36),ISNUMBER(ENSO!F36)),C36-ENSO!F36,"")</f>
        <v>0.05</v>
      </c>
      <c r="AL36" s="18">
        <f t="shared" si="12"/>
        <v>1961.0416666666667</v>
      </c>
      <c r="AM36" s="18">
        <f t="shared" si="13"/>
        <v>7.0000000000000284E-2</v>
      </c>
    </row>
    <row r="37" spans="1:39">
      <c r="A37" s="18" t="str">
        <f>IF(Volcanic!A37="","",Volcanic!A37)</f>
        <v>2/1961</v>
      </c>
      <c r="B37" s="18">
        <f>IF(ISNUMBER(Volcanic!L37),Volcanic!L37,"")</f>
        <v>1961.125</v>
      </c>
      <c r="C37" s="21">
        <v>0.06</v>
      </c>
      <c r="D37" s="18">
        <f t="shared" si="11"/>
        <v>0.01</v>
      </c>
      <c r="E37" s="18">
        <f>IF(ISNUMBER(Volcanic!B37),Volcanic!B37,"")</f>
        <v>0.19000000000000128</v>
      </c>
      <c r="F37" s="18">
        <f>IF(ISNUMBER(Volcanic!C37),Volcanic!C37,"")</f>
        <v>0.18223826288116377</v>
      </c>
      <c r="G37" s="18">
        <f>IF(ISNUMBER(Volcanic!E37),Volcanic!E37,"")</f>
        <v>4.0800000000000003E-3</v>
      </c>
      <c r="H37" s="18">
        <f>IF(ISNUMBER(Volcanic!D37),Volcanic!D37,"")</f>
        <v>-7.0000000000000007E-2</v>
      </c>
      <c r="I37" s="18">
        <f t="shared" si="0"/>
        <v>0.18223826288116377</v>
      </c>
      <c r="J37" s="18">
        <f t="shared" si="1"/>
        <v>4.0800000000000003E-3</v>
      </c>
      <c r="K37" s="18">
        <f t="shared" si="2"/>
        <v>0.01</v>
      </c>
      <c r="L37" s="18">
        <f t="shared" si="3"/>
        <v>0.18223826288116377</v>
      </c>
      <c r="M37" s="18">
        <f t="shared" si="4"/>
        <v>4.0800000000000003E-3</v>
      </c>
      <c r="N37" s="18">
        <f t="shared" si="5"/>
        <v>-0.25931734033669485</v>
      </c>
      <c r="O37" s="18">
        <f>Forcing!A37</f>
        <v>1994</v>
      </c>
      <c r="P37" s="18">
        <f>Forcing!B37</f>
        <v>0.31583333333333358</v>
      </c>
      <c r="Q37" s="18">
        <f>Forcing!AN37</f>
        <v>1.3697000000000001</v>
      </c>
      <c r="R37" s="18">
        <f>Forcing!AO37</f>
        <v>0.20166666666666666</v>
      </c>
      <c r="S37" s="18">
        <f t="shared" si="14"/>
        <v>1.3697000000000001</v>
      </c>
      <c r="T37" s="18">
        <f t="shared" si="15"/>
        <v>0.52583333333333349</v>
      </c>
      <c r="U37" s="18">
        <f t="shared" si="16"/>
        <v>1.3697000000000001</v>
      </c>
      <c r="V37" s="18">
        <f t="shared" si="17"/>
        <v>0.52856519541330782</v>
      </c>
      <c r="W37" s="18">
        <f>Forcing!K37+Forcing!J37</f>
        <v>2.7677</v>
      </c>
      <c r="X37" s="18">
        <f>Forcing!I37*$AB$30</f>
        <v>-2.33466</v>
      </c>
      <c r="Y37" s="18">
        <f t="shared" si="18"/>
        <v>0.20166666666666666</v>
      </c>
      <c r="Z37" s="18">
        <f>Forcing!B37-($AB$43+$AB$39*Forcing!AQ37+$AB$40*Forcing!AR37+$AB$44*Forcing!AS37)</f>
        <v>-9.5368816851646832E-2</v>
      </c>
      <c r="AA37" s="18" t="s">
        <v>2813</v>
      </c>
      <c r="AB37" s="25">
        <f>Forcing!K2</f>
        <v>1.0916000000000001</v>
      </c>
      <c r="AC37" s="25">
        <f>Forcing!K68</f>
        <v>3.5846</v>
      </c>
      <c r="AK37" s="18">
        <f>IF(AND(ISNUMBER(C37),ISNUMBER(ENSO!F37)),C37-ENSO!F37,"")</f>
        <v>0.03</v>
      </c>
      <c r="AL37" s="18">
        <f t="shared" si="12"/>
        <v>1961.125</v>
      </c>
      <c r="AM37" s="18">
        <f t="shared" si="13"/>
        <v>0.19000000000000128</v>
      </c>
    </row>
    <row r="38" spans="1:39" ht="30" customHeight="1">
      <c r="A38" s="18" t="str">
        <f>IF(Volcanic!A38="","",Volcanic!A38)</f>
        <v>3/1961</v>
      </c>
      <c r="B38" s="18">
        <f>IF(ISNUMBER(Volcanic!L38),Volcanic!L38,"")</f>
        <v>1961.2083333333333</v>
      </c>
      <c r="C38" s="21">
        <v>0.03</v>
      </c>
      <c r="D38" s="18">
        <f t="shared" si="11"/>
        <v>0.02</v>
      </c>
      <c r="E38" s="18">
        <f>IF(ISNUMBER(Volcanic!B38),Volcanic!B38,"")</f>
        <v>8.9999999999999858E-2</v>
      </c>
      <c r="F38" s="18">
        <f>IF(ISNUMBER(Volcanic!C38),Volcanic!C38,"")</f>
        <v>0.18604772012519621</v>
      </c>
      <c r="G38" s="18">
        <f>IF(ISNUMBER(Volcanic!E38),Volcanic!E38,"")</f>
        <v>4.1799999999999997E-3</v>
      </c>
      <c r="H38" s="18">
        <f>IF(ISNUMBER(Volcanic!D38),Volcanic!D38,"")</f>
        <v>-7.0000000000000007E-2</v>
      </c>
      <c r="I38" s="18">
        <f t="shared" si="0"/>
        <v>0.18604772012519621</v>
      </c>
      <c r="J38" s="18">
        <f t="shared" si="1"/>
        <v>4.1799999999999997E-3</v>
      </c>
      <c r="K38" s="18">
        <f t="shared" si="2"/>
        <v>0.02</v>
      </c>
      <c r="L38" s="18">
        <f t="shared" si="3"/>
        <v>0.18604772012519621</v>
      </c>
      <c r="M38" s="18">
        <f t="shared" si="4"/>
        <v>4.1799999999999997E-3</v>
      </c>
      <c r="N38" s="18">
        <f t="shared" si="5"/>
        <v>-0.24862732084609676</v>
      </c>
      <c r="O38" s="18">
        <f>Forcing!A38</f>
        <v>1995</v>
      </c>
      <c r="P38" s="18">
        <f>Forcing!B38</f>
        <v>0.4475000000000004</v>
      </c>
      <c r="Q38" s="18">
        <f>Forcing!AN38</f>
        <v>1.472</v>
      </c>
      <c r="R38" s="18">
        <f>Forcing!AO38</f>
        <v>0.25000000000000006</v>
      </c>
      <c r="S38" s="18">
        <f t="shared" si="14"/>
        <v>1.472</v>
      </c>
      <c r="T38" s="18">
        <f t="shared" si="15"/>
        <v>0.46083333333333326</v>
      </c>
      <c r="U38" s="18">
        <f t="shared" si="16"/>
        <v>1.472</v>
      </c>
      <c r="V38" s="18">
        <f t="shared" si="17"/>
        <v>0.47149207172692603</v>
      </c>
      <c r="W38" s="18">
        <f>Forcing!K38+Forcing!J38</f>
        <v>2.7991999999999999</v>
      </c>
      <c r="X38" s="18">
        <f>Forcing!I38*$AB$30</f>
        <v>-2.2164239999999999</v>
      </c>
      <c r="Y38" s="18">
        <f t="shared" si="18"/>
        <v>0.25000000000000006</v>
      </c>
      <c r="Z38" s="18">
        <f>Forcing!B38-($AB$43+$AB$39*Forcing!AQ38+$AB$40*Forcing!AR38+$AB$44*Forcing!AS38)</f>
        <v>-1.0764293745840703E-2</v>
      </c>
      <c r="AA38" s="17" t="s">
        <v>2814</v>
      </c>
      <c r="AK38" s="18">
        <f>IF(AND(ISNUMBER(C38),ISNUMBER(ENSO!F38)),C38-ENSO!F38,"")</f>
        <v>1.9999999999999997E-2</v>
      </c>
      <c r="AL38" s="18">
        <f t="shared" si="12"/>
        <v>1961.2083333333333</v>
      </c>
      <c r="AM38" s="18">
        <f t="shared" si="13"/>
        <v>8.9999999999999858E-2</v>
      </c>
    </row>
    <row r="39" spans="1:39">
      <c r="A39" s="18" t="str">
        <f>IF(Volcanic!A39="","",Volcanic!A39)</f>
        <v>4/1961</v>
      </c>
      <c r="B39" s="18">
        <f>IF(ISNUMBER(Volcanic!L39),Volcanic!L39,"")</f>
        <v>1961.2916666666667</v>
      </c>
      <c r="C39" s="21">
        <v>0.1</v>
      </c>
      <c r="D39" s="18">
        <f t="shared" si="11"/>
        <v>0.05</v>
      </c>
      <c r="E39" s="18">
        <f>IF(ISNUMBER(Volcanic!B39),Volcanic!B39,"")</f>
        <v>0.12999999999999901</v>
      </c>
      <c r="F39" s="18">
        <f>IF(ISNUMBER(Volcanic!C39),Volcanic!C39,"")</f>
        <v>0.19029879162659466</v>
      </c>
      <c r="G39" s="18">
        <f>IF(ISNUMBER(Volcanic!E39),Volcanic!E39,"")</f>
        <v>4.2399999999999998E-3</v>
      </c>
      <c r="H39" s="18">
        <f>IF(ISNUMBER(Volcanic!D39),Volcanic!D39,"")</f>
        <v>0</v>
      </c>
      <c r="I39" s="18">
        <f t="shared" si="0"/>
        <v>0.19029879162659466</v>
      </c>
      <c r="J39" s="18">
        <f t="shared" si="1"/>
        <v>4.2399999999999998E-3</v>
      </c>
      <c r="K39" s="18">
        <f t="shared" si="2"/>
        <v>0.05</v>
      </c>
      <c r="L39" s="18">
        <f t="shared" si="3"/>
        <v>0.19029879162659466</v>
      </c>
      <c r="M39" s="18">
        <f t="shared" si="4"/>
        <v>4.2399999999999998E-3</v>
      </c>
      <c r="N39" s="18">
        <f t="shared" si="5"/>
        <v>-0.21793730135549511</v>
      </c>
      <c r="O39" s="18">
        <f>Forcing!A39</f>
        <v>1996</v>
      </c>
      <c r="P39" s="18">
        <f>Forcing!B39</f>
        <v>0.33416666666666667</v>
      </c>
      <c r="Q39" s="18">
        <f>Forcing!AN39</f>
        <v>1.5419999999999998</v>
      </c>
      <c r="R39" s="18">
        <f>Forcing!AO39</f>
        <v>-0.56416666666666671</v>
      </c>
      <c r="S39" s="18">
        <f t="shared" si="14"/>
        <v>1.5419999999999998</v>
      </c>
      <c r="T39" s="18">
        <f t="shared" si="15"/>
        <v>-0.5625</v>
      </c>
      <c r="U39" s="18">
        <f t="shared" si="16"/>
        <v>1.5419999999999998</v>
      </c>
      <c r="V39" s="18">
        <f t="shared" si="17"/>
        <v>-0.54391438529278879</v>
      </c>
      <c r="W39" s="18">
        <f>Forcing!K39+Forcing!J39</f>
        <v>2.8313999999999999</v>
      </c>
      <c r="X39" s="18">
        <f>Forcing!I39*$AB$30</f>
        <v>-2.1532979999999999</v>
      </c>
      <c r="Y39" s="18">
        <f t="shared" si="18"/>
        <v>-0.56416666666666671</v>
      </c>
      <c r="Z39" s="18">
        <f>Forcing!B39-($AB$43+$AB$39*Forcing!AQ39+$AB$40*Forcing!AR39+$AB$44*Forcing!AS39)</f>
        <v>-7.0454303069691304E-2</v>
      </c>
      <c r="AA39" s="18" t="s">
        <v>2815</v>
      </c>
      <c r="AB39" s="25">
        <f>Forcing!T21</f>
        <v>0.40867799906458935</v>
      </c>
      <c r="AC39" s="25">
        <f>INDEX(LINEST(Forcing!$B$2:$B$68,Forcing!$AQ$2:$AS$68,TRUE(),TRUE()),2,3)</f>
        <v>1.1733471935342021E-2</v>
      </c>
      <c r="AD39" s="25">
        <f>AC39*SQRT((1+AB42)/(1-AB42))</f>
        <v>1.7034460464708662E-2</v>
      </c>
      <c r="AK39" s="18">
        <f>IF(AND(ISNUMBER(C39),ISNUMBER(ENSO!F39)),C39-ENSO!F39,"")</f>
        <v>0.05</v>
      </c>
      <c r="AL39" s="18">
        <f t="shared" si="12"/>
        <v>1961.2916666666667</v>
      </c>
      <c r="AM39" s="18">
        <f t="shared" si="13"/>
        <v>0.12999999999999901</v>
      </c>
    </row>
    <row r="40" spans="1:39">
      <c r="A40" s="18" t="str">
        <f>IF(Volcanic!A40="","",Volcanic!A40)</f>
        <v>5/1961</v>
      </c>
      <c r="B40" s="18">
        <f>IF(ISNUMBER(Volcanic!L40),Volcanic!L40,"")</f>
        <v>1961.375</v>
      </c>
      <c r="C40" s="21">
        <v>0.26</v>
      </c>
      <c r="D40" s="18">
        <f t="shared" si="11"/>
        <v>0.06</v>
      </c>
      <c r="E40" s="18">
        <f>IF(ISNUMBER(Volcanic!B40),Volcanic!B40,"")</f>
        <v>0.11999999999999744</v>
      </c>
      <c r="F40" s="18">
        <f>IF(ISNUMBER(Volcanic!C40),Volcanic!C40,"")</f>
        <v>0.1952575958242399</v>
      </c>
      <c r="G40" s="18">
        <f>IF(ISNUMBER(Volcanic!E40),Volcanic!E40,"")</f>
        <v>4.3099999999999996E-3</v>
      </c>
      <c r="H40" s="18">
        <f>IF(ISNUMBER(Volcanic!D40),Volcanic!D40,"")</f>
        <v>0.03</v>
      </c>
      <c r="I40" s="18">
        <f t="shared" si="0"/>
        <v>0.1952575958242399</v>
      </c>
      <c r="J40" s="18">
        <f t="shared" si="1"/>
        <v>4.3099999999999996E-3</v>
      </c>
      <c r="K40" s="18">
        <f t="shared" si="2"/>
        <v>0.06</v>
      </c>
      <c r="L40" s="18">
        <f t="shared" si="3"/>
        <v>0.1952575958242399</v>
      </c>
      <c r="M40" s="18">
        <f t="shared" si="4"/>
        <v>4.3099999999999996E-3</v>
      </c>
      <c r="N40" s="18">
        <f t="shared" si="5"/>
        <v>-0.20724728186489699</v>
      </c>
      <c r="O40" s="18">
        <f>Forcing!A40</f>
        <v>1997</v>
      </c>
      <c r="P40" s="18">
        <f>Forcing!B40</f>
        <v>0.46749999999999964</v>
      </c>
      <c r="Q40" s="18">
        <f>Forcing!AN40</f>
        <v>1.4751000000000001</v>
      </c>
      <c r="R40" s="18">
        <f>Forcing!AO40</f>
        <v>0.46833333333333332</v>
      </c>
      <c r="S40" s="18">
        <f t="shared" si="14"/>
        <v>1.4751000000000001</v>
      </c>
      <c r="T40" s="18">
        <f t="shared" si="15"/>
        <v>0.64333333333333331</v>
      </c>
      <c r="U40" s="18">
        <f t="shared" si="16"/>
        <v>1.4751000000000001</v>
      </c>
      <c r="V40" s="18">
        <f t="shared" si="17"/>
        <v>0.66984582435416473</v>
      </c>
      <c r="W40" s="18">
        <f>Forcing!K40+Forcing!J40</f>
        <v>2.9024000000000001</v>
      </c>
      <c r="X40" s="18">
        <f>Forcing!I40*$AB$30</f>
        <v>-2.383591</v>
      </c>
      <c r="Y40" s="18">
        <f t="shared" si="18"/>
        <v>0.46833333333333332</v>
      </c>
      <c r="Z40" s="18">
        <f>Forcing!B40-($AB$43+$AB$39*Forcing!AQ40+$AB$40*Forcing!AR40+$AB$44*Forcing!AS40)</f>
        <v>-1.3630620574973273E-2</v>
      </c>
      <c r="AA40" s="18" t="s">
        <v>2816</v>
      </c>
      <c r="AB40" s="25">
        <f>Forcing!T22</f>
        <v>0.4137644284953973</v>
      </c>
      <c r="AC40" s="25">
        <f>INDEX(LINEST(Forcing!$B$2:$B$68,Forcing!$AQ$2:$AS$68,TRUE(),TRUE()),2,2)</f>
        <v>6.734691980160068E-2</v>
      </c>
      <c r="AD40" s="25">
        <f>AC40*SQRT((1+AB42)/(1-AB42))</f>
        <v>9.7773144138587939E-2</v>
      </c>
      <c r="AK40" s="18">
        <f>IF(AND(ISNUMBER(C40),ISNUMBER(ENSO!F40)),C40-ENSO!F40,"")</f>
        <v>4.0000000000000008E-2</v>
      </c>
      <c r="AL40" s="18">
        <f t="shared" si="12"/>
        <v>1961.375</v>
      </c>
      <c r="AM40" s="18">
        <f t="shared" si="13"/>
        <v>0.11999999999999744</v>
      </c>
    </row>
    <row r="41" spans="1:39">
      <c r="A41" s="18" t="str">
        <f>IF(Volcanic!A41="","",Volcanic!A41)</f>
        <v>6/1961</v>
      </c>
      <c r="B41" s="18">
        <f>IF(ISNUMBER(Volcanic!L41),Volcanic!L41,"")</f>
        <v>1961.4583333333333</v>
      </c>
      <c r="C41" s="21">
        <v>0.34</v>
      </c>
      <c r="D41" s="18">
        <f t="shared" si="11"/>
        <v>0.03</v>
      </c>
      <c r="E41" s="18">
        <f>IF(ISNUMBER(Volcanic!B41),Volcanic!B41,"")</f>
        <v>0.10999999999999766</v>
      </c>
      <c r="F41" s="18">
        <f>IF(ISNUMBER(Volcanic!C41),Volcanic!C41,"")</f>
        <v>0.19160776805384336</v>
      </c>
      <c r="G41" s="18">
        <f>IF(ISNUMBER(Volcanic!E41),Volcanic!E41,"")</f>
        <v>4.2300000000000003E-3</v>
      </c>
      <c r="H41" s="18">
        <f>IF(ISNUMBER(Volcanic!D41),Volcanic!D41,"")</f>
        <v>0.01</v>
      </c>
      <c r="I41" s="18">
        <f t="shared" si="0"/>
        <v>0.19160776805384336</v>
      </c>
      <c r="J41" s="18">
        <f t="shared" si="1"/>
        <v>4.2300000000000003E-3</v>
      </c>
      <c r="K41" s="18">
        <f t="shared" si="2"/>
        <v>0.03</v>
      </c>
      <c r="L41" s="18">
        <f t="shared" si="3"/>
        <v>0.19160776805384336</v>
      </c>
      <c r="M41" s="18">
        <f t="shared" si="4"/>
        <v>4.2300000000000003E-3</v>
      </c>
      <c r="N41" s="18">
        <f t="shared" si="5"/>
        <v>-0.23655726237429889</v>
      </c>
      <c r="O41" s="18">
        <f>Forcing!A41</f>
        <v>1998</v>
      </c>
      <c r="P41" s="18">
        <f>Forcing!B41</f>
        <v>0.6091666666666683</v>
      </c>
      <c r="Q41" s="18">
        <f>Forcing!AN41</f>
        <v>1.5399999999999998</v>
      </c>
      <c r="R41" s="18">
        <f>Forcing!AO41</f>
        <v>0.9458333333333333</v>
      </c>
      <c r="S41" s="18">
        <f t="shared" si="14"/>
        <v>1.5399999999999998</v>
      </c>
      <c r="T41" s="18">
        <f t="shared" si="15"/>
        <v>0.71833333333333338</v>
      </c>
      <c r="U41" s="18">
        <f t="shared" si="16"/>
        <v>1.5399999999999998</v>
      </c>
      <c r="V41" s="18">
        <f t="shared" si="17"/>
        <v>0.75277270066778323</v>
      </c>
      <c r="W41" s="18">
        <f>Forcing!K41+Forcing!J41</f>
        <v>2.9463999999999997</v>
      </c>
      <c r="X41" s="18">
        <f>Forcing!I41*$AB$30</f>
        <v>-2.3486880000000001</v>
      </c>
      <c r="Y41" s="18">
        <f t="shared" si="18"/>
        <v>0.9458333333333333</v>
      </c>
      <c r="Z41" s="18">
        <f>Forcing!B41-($AB$43+$AB$39*Forcing!AQ41+$AB$40*Forcing!AR41+$AB$44*Forcing!AS41)</f>
        <v>5.3054574210331551E-2</v>
      </c>
      <c r="AA41" s="18" t="s">
        <v>2817</v>
      </c>
      <c r="AB41" s="25">
        <f>Forcing!T23</f>
        <v>0.95322246731435467</v>
      </c>
      <c r="AK41" s="18">
        <f>IF(AND(ISNUMBER(C41),ISNUMBER(ENSO!F41)),C41-ENSO!F41,"")</f>
        <v>0.12000000000000002</v>
      </c>
      <c r="AL41" s="18">
        <f t="shared" si="12"/>
        <v>1961.4583333333333</v>
      </c>
      <c r="AM41" s="18">
        <f t="shared" si="13"/>
        <v>0.10999999999999766</v>
      </c>
    </row>
    <row r="42" spans="1:39">
      <c r="A42" s="18" t="str">
        <f>IF(Volcanic!A42="","",Volcanic!A42)</f>
        <v>7/1961</v>
      </c>
      <c r="B42" s="18">
        <f>IF(ISNUMBER(Volcanic!L42),Volcanic!L42,"")</f>
        <v>1961.5416666666667</v>
      </c>
      <c r="C42" s="21">
        <v>0.2</v>
      </c>
      <c r="D42" s="18">
        <f t="shared" si="11"/>
        <v>0.1</v>
      </c>
      <c r="E42" s="18">
        <f>IF(ISNUMBER(Volcanic!B42),Volcanic!B42,"")</f>
        <v>1.0000000000001563E-2</v>
      </c>
      <c r="F42" s="18">
        <f>IF(ISNUMBER(Volcanic!C42),Volcanic!C42,"")</f>
        <v>0.18613829900081141</v>
      </c>
      <c r="G42" s="18">
        <f>IF(ISNUMBER(Volcanic!E42),Volcanic!E42,"")</f>
        <v>4.1200000000000004E-3</v>
      </c>
      <c r="H42" s="18">
        <f>IF(ISNUMBER(Volcanic!D42),Volcanic!D42,"")</f>
        <v>0.05</v>
      </c>
      <c r="I42" s="18">
        <f t="shared" si="0"/>
        <v>0.18613829900081141</v>
      </c>
      <c r="J42" s="18">
        <f t="shared" si="1"/>
        <v>4.1200000000000004E-3</v>
      </c>
      <c r="K42" s="18">
        <f t="shared" si="2"/>
        <v>0.1</v>
      </c>
      <c r="L42" s="18">
        <f t="shared" si="3"/>
        <v>0.18613829900081141</v>
      </c>
      <c r="M42" s="18">
        <f t="shared" si="4"/>
        <v>4.1200000000000004E-3</v>
      </c>
      <c r="N42" s="18">
        <f t="shared" si="5"/>
        <v>-0.16586724288370078</v>
      </c>
      <c r="O42" s="18">
        <f>Forcing!A42</f>
        <v>1999</v>
      </c>
      <c r="P42" s="18">
        <f>Forcing!B42</f>
        <v>0.38249999999999984</v>
      </c>
      <c r="Q42" s="18">
        <f>Forcing!AN42</f>
        <v>1.6950000000000003</v>
      </c>
      <c r="R42" s="18">
        <f>Forcing!AO42</f>
        <v>-1.0716666666666665</v>
      </c>
      <c r="S42" s="18">
        <f t="shared" si="14"/>
        <v>1.6950000000000003</v>
      </c>
      <c r="T42" s="18">
        <f t="shared" si="15"/>
        <v>-1.2200000000000002</v>
      </c>
      <c r="U42" s="18">
        <f t="shared" si="16"/>
        <v>1.6950000000000003</v>
      </c>
      <c r="V42" s="18">
        <f t="shared" si="17"/>
        <v>-1.1776337563519319</v>
      </c>
      <c r="W42" s="18">
        <f>Forcing!K42+Forcing!J42</f>
        <v>2.9614000000000003</v>
      </c>
      <c r="X42" s="18">
        <f>Forcing!I42*$AB$30</f>
        <v>-2.1148879999999997</v>
      </c>
      <c r="Y42" s="18">
        <f t="shared" si="18"/>
        <v>-1.0716666666666665</v>
      </c>
      <c r="Z42" s="18">
        <f>Forcing!B42-($AB$43+$AB$39*Forcing!AQ42+$AB$40*Forcing!AR42+$AB$44*Forcing!AS42)</f>
        <v>-3.3375908415203548E-2</v>
      </c>
      <c r="AA42" s="18" t="s">
        <v>2818</v>
      </c>
      <c r="AB42" s="25">
        <f>CORREL($Z$2:$Z$67,$Z$3:$Z$68)</f>
        <v>0.35643210281134596</v>
      </c>
      <c r="AK42" s="18">
        <f>IF(AND(ISNUMBER(C42),ISNUMBER(ENSO!F42)),C42-ENSO!F42,"")</f>
        <v>0.12000000000000001</v>
      </c>
      <c r="AL42" s="18">
        <f t="shared" si="12"/>
        <v>1961.5416666666667</v>
      </c>
      <c r="AM42" s="18">
        <f t="shared" si="13"/>
        <v>1.0000000000001563E-2</v>
      </c>
    </row>
    <row r="43" spans="1:39">
      <c r="A43" s="18" t="str">
        <f>IF(Volcanic!A43="","",Volcanic!A43)</f>
        <v>8/1961</v>
      </c>
      <c r="B43" s="18">
        <f>IF(ISNUMBER(Volcanic!L43),Volcanic!L43,"")</f>
        <v>1961.625</v>
      </c>
      <c r="C43" s="21">
        <v>-0.09</v>
      </c>
      <c r="D43" s="18">
        <f t="shared" si="11"/>
        <v>0.26</v>
      </c>
      <c r="E43" s="18">
        <f>IF(ISNUMBER(Volcanic!B43),Volcanic!B43,"")</f>
        <v>1.0000000000001563E-2</v>
      </c>
      <c r="F43" s="18">
        <f>IF(ISNUMBER(Volcanic!C43),Volcanic!C43,"")</f>
        <v>0.17809996791233229</v>
      </c>
      <c r="G43" s="18">
        <f>IF(ISNUMBER(Volcanic!E43),Volcanic!E43,"")</f>
        <v>4.0200000000000001E-3</v>
      </c>
      <c r="H43" s="18">
        <f>IF(ISNUMBER(Volcanic!D43),Volcanic!D43,"")</f>
        <v>0.22</v>
      </c>
      <c r="I43" s="18">
        <f t="shared" si="0"/>
        <v>0.17809996791233229</v>
      </c>
      <c r="J43" s="18">
        <f t="shared" si="1"/>
        <v>4.0200000000000001E-3</v>
      </c>
      <c r="K43" s="18">
        <f t="shared" si="2"/>
        <v>0.26</v>
      </c>
      <c r="L43" s="18">
        <f t="shared" si="3"/>
        <v>0.17809996791233229</v>
      </c>
      <c r="M43" s="18">
        <f t="shared" si="4"/>
        <v>4.0200000000000001E-3</v>
      </c>
      <c r="N43" s="18">
        <f t="shared" si="5"/>
        <v>-5.1772233931026701E-3</v>
      </c>
      <c r="O43" s="18">
        <f>Forcing!A43</f>
        <v>2000</v>
      </c>
      <c r="P43" s="18">
        <f>Forcing!B43</f>
        <v>0.39333333333333381</v>
      </c>
      <c r="Q43" s="18">
        <f>Forcing!AN43</f>
        <v>1.7592000000000003</v>
      </c>
      <c r="R43" s="18">
        <f>Forcing!AO43</f>
        <v>-0.92666666666666664</v>
      </c>
      <c r="S43" s="18">
        <f t="shared" si="14"/>
        <v>1.7592000000000003</v>
      </c>
      <c r="T43" s="18">
        <f t="shared" si="15"/>
        <v>-0.94833333333333325</v>
      </c>
      <c r="U43" s="18">
        <f t="shared" si="16"/>
        <v>1.7592000000000003</v>
      </c>
      <c r="V43" s="18">
        <f t="shared" si="17"/>
        <v>-0.89804021337164475</v>
      </c>
      <c r="W43" s="18">
        <f>Forcing!K43+Forcing!J43</f>
        <v>2.9778000000000002</v>
      </c>
      <c r="X43" s="18">
        <f>Forcing!I43*$AB$30</f>
        <v>-2.0350619999999999</v>
      </c>
      <c r="Y43" s="18">
        <f t="shared" si="18"/>
        <v>-0.92666666666666664</v>
      </c>
      <c r="Z43" s="18">
        <f>Forcing!B43-($AB$43+$AB$39*Forcing!AQ43+$AB$40*Forcing!AR43+$AB$44*Forcing!AS43)</f>
        <v>-6.3705629107164874E-2</v>
      </c>
      <c r="AA43" s="18" t="s">
        <v>2819</v>
      </c>
      <c r="AB43" s="25">
        <f>INDEX(LINEST(Forcing!$B$2:$B$68,Forcing!$AQ$2:$AS$68,TRUE(),TRUE()),1,4)</f>
        <v>-0.16187417580314167</v>
      </c>
      <c r="AK43" s="18">
        <f>IF(AND(ISNUMBER(C43),ISNUMBER(ENSO!F43)),C43-ENSO!F43,"")</f>
        <v>0.11000000000000001</v>
      </c>
      <c r="AL43" s="18">
        <f t="shared" si="12"/>
        <v>1961.625</v>
      </c>
      <c r="AM43" s="18">
        <f t="shared" si="13"/>
        <v>1.0000000000001563E-2</v>
      </c>
    </row>
    <row r="44" spans="1:39">
      <c r="A44" s="18" t="str">
        <f>IF(Volcanic!A44="","",Volcanic!A44)</f>
        <v>9/1961</v>
      </c>
      <c r="B44" s="18">
        <f>IF(ISNUMBER(Volcanic!L44),Volcanic!L44,"")</f>
        <v>1961.7083333333333</v>
      </c>
      <c r="C44" s="21">
        <v>-0.32</v>
      </c>
      <c r="D44" s="18">
        <f t="shared" si="11"/>
        <v>0.34</v>
      </c>
      <c r="E44" s="18">
        <f>IF(ISNUMBER(Volcanic!B44),Volcanic!B44,"")</f>
        <v>8.0000000000000071E-2</v>
      </c>
      <c r="F44" s="18">
        <f>IF(ISNUMBER(Volcanic!C44),Volcanic!C44,"")</f>
        <v>0.16987920087274735</v>
      </c>
      <c r="G44" s="18">
        <f>IF(ISNUMBER(Volcanic!E44),Volcanic!E44,"")</f>
        <v>3.8899999999999998E-3</v>
      </c>
      <c r="H44" s="18">
        <f>IF(ISNUMBER(Volcanic!D44),Volcanic!D44,"")</f>
        <v>0.22</v>
      </c>
      <c r="I44" s="18">
        <f t="shared" si="0"/>
        <v>0.16987920087274735</v>
      </c>
      <c r="J44" s="18">
        <f t="shared" si="1"/>
        <v>3.8899999999999998E-3</v>
      </c>
      <c r="K44" s="18">
        <f t="shared" si="2"/>
        <v>0.34</v>
      </c>
      <c r="L44" s="18">
        <f t="shared" si="3"/>
        <v>0.16987920087274735</v>
      </c>
      <c r="M44" s="18">
        <f t="shared" si="4"/>
        <v>3.8899999999999998E-3</v>
      </c>
      <c r="N44" s="18">
        <f t="shared" si="5"/>
        <v>7.5512796097495449E-2</v>
      </c>
      <c r="O44" s="18">
        <f>Forcing!A44</f>
        <v>2001</v>
      </c>
      <c r="P44" s="18">
        <f>Forcing!B44</f>
        <v>0.5333333333333331</v>
      </c>
      <c r="Q44" s="18">
        <f>Forcing!AN44</f>
        <v>1.7915000000000001</v>
      </c>
      <c r="R44" s="18">
        <f>Forcing!AO44</f>
        <v>-0.39166666666666666</v>
      </c>
      <c r="S44" s="18">
        <f t="shared" si="14"/>
        <v>1.7915000000000001</v>
      </c>
      <c r="T44" s="18">
        <f t="shared" si="15"/>
        <v>-0.38749999999999996</v>
      </c>
      <c r="U44" s="18">
        <f t="shared" si="16"/>
        <v>1.7915000000000001</v>
      </c>
      <c r="V44" s="18">
        <f t="shared" si="17"/>
        <v>-0.32928000372469302</v>
      </c>
      <c r="W44" s="18">
        <f>Forcing!K44+Forcing!J44</f>
        <v>3.0106000000000002</v>
      </c>
      <c r="X44" s="18">
        <f>Forcing!I44*$AB$30</f>
        <v>-2.0358969999999998</v>
      </c>
      <c r="Y44" s="18">
        <f t="shared" si="18"/>
        <v>-0.39166666666666666</v>
      </c>
      <c r="Z44" s="18">
        <f>Forcing!B44-($AB$43+$AB$39*Forcing!AQ44+$AB$40*Forcing!AR44+$AB$44*Forcing!AS44)</f>
        <v>8.9221636355060197E-3</v>
      </c>
      <c r="AA44" s="18" t="s">
        <v>2820</v>
      </c>
      <c r="AB44" s="25">
        <f>INDEX(LINEST(Forcing!$B$2:$B$68,Forcing!$AQ$2:$AS$68,TRUE(),TRUE()),1,1)</f>
        <v>0.10126065626590239</v>
      </c>
      <c r="AK44" s="18">
        <f>IF(AND(ISNUMBER(C44),ISNUMBER(ENSO!F44)),C44-ENSO!F44,"")</f>
        <v>0</v>
      </c>
      <c r="AL44" s="18">
        <f t="shared" si="12"/>
        <v>1961.7083333333333</v>
      </c>
      <c r="AM44" s="18">
        <f t="shared" si="13"/>
        <v>8.0000000000000071E-2</v>
      </c>
    </row>
    <row r="45" spans="1:39">
      <c r="A45" s="18" t="str">
        <f>IF(Volcanic!A45="","",Volcanic!A45)</f>
        <v>10/1961</v>
      </c>
      <c r="B45" s="18">
        <f>IF(ISNUMBER(Volcanic!L45),Volcanic!L45,"")</f>
        <v>1961.7916666666667</v>
      </c>
      <c r="C45" s="21">
        <v>-0.31</v>
      </c>
      <c r="D45" s="18">
        <f t="shared" si="11"/>
        <v>0.2</v>
      </c>
      <c r="E45" s="18">
        <f>IF(ISNUMBER(Volcanic!B45),Volcanic!B45,"")</f>
        <v>0</v>
      </c>
      <c r="F45" s="18">
        <f>IF(ISNUMBER(Volcanic!C45),Volcanic!C45,"")</f>
        <v>0.17134409839059492</v>
      </c>
      <c r="G45" s="18">
        <f>IF(ISNUMBER(Volcanic!E45),Volcanic!E45,"")</f>
        <v>3.82E-3</v>
      </c>
      <c r="H45" s="18">
        <f>IF(ISNUMBER(Volcanic!D45),Volcanic!D45,"")</f>
        <v>0.08</v>
      </c>
      <c r="I45" s="18">
        <f t="shared" si="0"/>
        <v>0.17134409839059492</v>
      </c>
      <c r="J45" s="18">
        <f t="shared" si="1"/>
        <v>3.82E-3</v>
      </c>
      <c r="K45" s="18">
        <f t="shared" si="2"/>
        <v>0.2</v>
      </c>
      <c r="L45" s="18">
        <f t="shared" si="3"/>
        <v>0.17134409839059492</v>
      </c>
      <c r="M45" s="18">
        <f t="shared" si="4"/>
        <v>3.82E-3</v>
      </c>
      <c r="N45" s="18">
        <f t="shared" si="5"/>
        <v>-6.3797184411902907E-2</v>
      </c>
      <c r="O45" s="18">
        <f>Forcing!A45</f>
        <v>2002</v>
      </c>
      <c r="P45" s="18">
        <f>Forcing!B45</f>
        <v>0.6275000000000005</v>
      </c>
      <c r="Q45" s="18">
        <f>Forcing!AN45</f>
        <v>1.7610000000000001</v>
      </c>
      <c r="R45" s="18">
        <f>Forcing!AO45</f>
        <v>0.16666666666666666</v>
      </c>
      <c r="S45" s="18">
        <f t="shared" si="14"/>
        <v>1.7610000000000001</v>
      </c>
      <c r="T45" s="18">
        <f t="shared" si="15"/>
        <v>0.29416666666666669</v>
      </c>
      <c r="U45" s="18">
        <f t="shared" si="16"/>
        <v>1.7610000000000001</v>
      </c>
      <c r="V45" s="18">
        <f t="shared" si="17"/>
        <v>0.36031353925559384</v>
      </c>
      <c r="W45" s="18">
        <f>Forcing!K45+Forcing!J45</f>
        <v>3.0637000000000003</v>
      </c>
      <c r="X45" s="18">
        <f>Forcing!I45*$AB$30</f>
        <v>-2.1755089999999999</v>
      </c>
      <c r="Y45" s="18">
        <f t="shared" si="18"/>
        <v>0.16666666666666666</v>
      </c>
      <c r="Z45" s="18">
        <f>Forcing!B45-($AB$43+$AB$39*Forcing!AQ45+$AB$40*Forcing!AR45+$AB$44*Forcing!AS45)</f>
        <v>5.9441535025596681E-2</v>
      </c>
      <c r="AA45" s="18" t="s">
        <v>2821</v>
      </c>
      <c r="AB45" s="25">
        <f>AB39-AB40</f>
        <v>-5.0864294308079483E-3</v>
      </c>
      <c r="AC45" s="33">
        <v>9.9199999999999997E-2</v>
      </c>
      <c r="AD45" s="20">
        <f>AB45/AC45</f>
        <v>-5.1274490229918833E-2</v>
      </c>
      <c r="AE45" s="20">
        <f>2*(1-NORMSDIST(ABS(AD45)))</f>
        <v>0.95910679520626418</v>
      </c>
      <c r="AK45" s="18">
        <f>IF(AND(ISNUMBER(C45),ISNUMBER(ENSO!F45)),C45-ENSO!F45,"")</f>
        <v>-0.09</v>
      </c>
      <c r="AL45" s="18">
        <f t="shared" si="12"/>
        <v>1961.7916666666667</v>
      </c>
      <c r="AM45" s="18">
        <f t="shared" si="13"/>
        <v>0</v>
      </c>
    </row>
    <row r="46" spans="1:39">
      <c r="A46" s="18" t="str">
        <f>IF(Volcanic!A46="","",Volcanic!A46)</f>
        <v>11/1961</v>
      </c>
      <c r="B46" s="18">
        <f>IF(ISNUMBER(Volcanic!L46),Volcanic!L46,"")</f>
        <v>1961.875</v>
      </c>
      <c r="C46" s="21">
        <v>-0.24</v>
      </c>
      <c r="D46" s="18">
        <f t="shared" si="11"/>
        <v>-0.09</v>
      </c>
      <c r="E46" s="18">
        <f>IF(ISNUMBER(Volcanic!B46),Volcanic!B46,"")</f>
        <v>2.9999999999997584E-2</v>
      </c>
      <c r="F46" s="18">
        <f>IF(ISNUMBER(Volcanic!C46),Volcanic!C46,"")</f>
        <v>0.17495420807216977</v>
      </c>
      <c r="G46" s="18">
        <f>IF(ISNUMBER(Volcanic!E46),Volcanic!E46,"")</f>
        <v>3.8500000000000001E-3</v>
      </c>
      <c r="H46" s="18">
        <f>IF(ISNUMBER(Volcanic!D46),Volcanic!D46,"")</f>
        <v>-0.2</v>
      </c>
      <c r="I46" s="18">
        <f t="shared" si="0"/>
        <v>0.17495420807216977</v>
      </c>
      <c r="J46" s="18">
        <f t="shared" si="1"/>
        <v>3.8500000000000001E-3</v>
      </c>
      <c r="K46" s="18">
        <f t="shared" si="2"/>
        <v>-0.09</v>
      </c>
      <c r="L46" s="18">
        <f t="shared" si="3"/>
        <v>0.17495420807216977</v>
      </c>
      <c r="M46" s="18">
        <f t="shared" si="4"/>
        <v>3.8500000000000001E-3</v>
      </c>
      <c r="N46" s="18">
        <f t="shared" si="5"/>
        <v>-0.35310716492130478</v>
      </c>
      <c r="O46" s="18">
        <f>Forcing!A46</f>
        <v>2003</v>
      </c>
      <c r="P46" s="18">
        <f>Forcing!B46</f>
        <v>0.61666666666666703</v>
      </c>
      <c r="Q46" s="18">
        <f>Forcing!AN46</f>
        <v>1.7699</v>
      </c>
      <c r="R46" s="18">
        <f>Forcing!AO46</f>
        <v>0.43916666666666671</v>
      </c>
      <c r="S46" s="18">
        <f t="shared" si="14"/>
        <v>1.7699</v>
      </c>
      <c r="T46" s="18">
        <f t="shared" si="15"/>
        <v>0.42249999999999993</v>
      </c>
      <c r="U46" s="18">
        <f t="shared" si="16"/>
        <v>1.7699</v>
      </c>
      <c r="V46" s="18">
        <f t="shared" si="17"/>
        <v>0.49657374890254552</v>
      </c>
      <c r="W46" s="18">
        <f>Forcing!K46+Forcing!J46</f>
        <v>3.1128999999999998</v>
      </c>
      <c r="X46" s="18">
        <f>Forcing!I46*$AB$30</f>
        <v>-2.24281</v>
      </c>
      <c r="Y46" s="18">
        <f t="shared" si="18"/>
        <v>0.43916666666666671</v>
      </c>
      <c r="Z46" s="18">
        <f>Forcing!B46-($AB$43+$AB$39*Forcing!AQ46+$AB$40*Forcing!AR46+$AB$44*Forcing!AS46)</f>
        <v>1.758242177419167E-2</v>
      </c>
      <c r="AA46" s="18" t="s">
        <v>2822</v>
      </c>
      <c r="AB46" s="20">
        <f>AB45-1.96*AC45</f>
        <v>-0.19951842943080794</v>
      </c>
      <c r="AC46" s="20">
        <f>AB45+1.96*AC45</f>
        <v>0.18934557056919205</v>
      </c>
      <c r="AK46" s="18">
        <f>IF(AND(ISNUMBER(C46),ISNUMBER(ENSO!F46)),C46-ENSO!F46,"")</f>
        <v>-0.13</v>
      </c>
      <c r="AL46" s="18">
        <f t="shared" si="12"/>
        <v>1961.875</v>
      </c>
      <c r="AM46" s="18">
        <f t="shared" si="13"/>
        <v>2.9999999999997584E-2</v>
      </c>
    </row>
    <row r="47" spans="1:39">
      <c r="A47" s="18" t="str">
        <f>IF(Volcanic!A47="","",Volcanic!A47)</f>
        <v>12/1961</v>
      </c>
      <c r="B47" s="18">
        <f>IF(ISNUMBER(Volcanic!L47),Volcanic!L47,"")</f>
        <v>1961.9583333333333</v>
      </c>
      <c r="C47" s="21">
        <v>-0.12</v>
      </c>
      <c r="D47" s="18">
        <f t="shared" si="11"/>
        <v>-0.32</v>
      </c>
      <c r="E47" s="18">
        <f>IF(ISNUMBER(Volcanic!B47),Volcanic!B47,"")</f>
        <v>-0.16000000000000014</v>
      </c>
      <c r="F47" s="18">
        <f>IF(ISNUMBER(Volcanic!C47),Volcanic!C47,"")</f>
        <v>0.17910152336118931</v>
      </c>
      <c r="G47" s="18">
        <f>IF(ISNUMBER(Volcanic!E47),Volcanic!E47,"")</f>
        <v>3.8899999999999998E-3</v>
      </c>
      <c r="H47" s="18">
        <f>IF(ISNUMBER(Volcanic!D47),Volcanic!D47,"")</f>
        <v>-0.32</v>
      </c>
      <c r="I47" s="18">
        <f t="shared" si="0"/>
        <v>0.17910152336118931</v>
      </c>
      <c r="J47" s="18">
        <f t="shared" si="1"/>
        <v>3.8899999999999998E-3</v>
      </c>
      <c r="K47" s="18">
        <f t="shared" si="2"/>
        <v>-0.32</v>
      </c>
      <c r="L47" s="18">
        <f t="shared" si="3"/>
        <v>0.17910152336118931</v>
      </c>
      <c r="M47" s="18">
        <f t="shared" si="4"/>
        <v>3.8899999999999998E-3</v>
      </c>
      <c r="N47" s="18">
        <f t="shared" si="5"/>
        <v>-0.58241714543070677</v>
      </c>
      <c r="O47" s="18">
        <f>Forcing!A47</f>
        <v>2004</v>
      </c>
      <c r="P47" s="18">
        <f>Forcing!B47</f>
        <v>0.53416666666666723</v>
      </c>
      <c r="Q47" s="18">
        <f>Forcing!AN47</f>
        <v>1.8122</v>
      </c>
      <c r="R47" s="18">
        <f>Forcing!AO47</f>
        <v>0.29666666666666669</v>
      </c>
      <c r="S47" s="18">
        <f t="shared" si="14"/>
        <v>1.8122</v>
      </c>
      <c r="T47" s="18">
        <f t="shared" si="15"/>
        <v>0.3775</v>
      </c>
      <c r="U47" s="18">
        <f t="shared" si="16"/>
        <v>1.8122</v>
      </c>
      <c r="V47" s="18">
        <f t="shared" si="17"/>
        <v>0.45950062521616403</v>
      </c>
      <c r="W47" s="18">
        <f>Forcing!K47+Forcing!J47</f>
        <v>3.1577999999999999</v>
      </c>
      <c r="X47" s="18">
        <f>Forcing!I47*$AB$30</f>
        <v>-2.2471519999999998</v>
      </c>
      <c r="Y47" s="18">
        <f t="shared" si="18"/>
        <v>0.29666666666666669</v>
      </c>
      <c r="Z47" s="18">
        <f>Forcing!B47-($AB$43+$AB$39*Forcing!AQ47+$AB$40*Forcing!AR47+$AB$44*Forcing!AS47)</f>
        <v>-6.7761789351829083E-2</v>
      </c>
      <c r="AA47" s="18" t="s">
        <v>2823</v>
      </c>
      <c r="AB47" s="33">
        <v>1.5E-3</v>
      </c>
      <c r="AK47" s="18">
        <f>IF(AND(ISNUMBER(C47),ISNUMBER(ENSO!F47)),C47-ENSO!F47,"")</f>
        <v>-6.9999999999999993E-2</v>
      </c>
      <c r="AL47" s="18">
        <f t="shared" si="12"/>
        <v>1961.9583333333333</v>
      </c>
      <c r="AM47" s="18">
        <f t="shared" si="13"/>
        <v>-0.16000000000000014</v>
      </c>
    </row>
    <row r="48" spans="1:39" ht="18" customHeight="1">
      <c r="A48" s="18" t="str">
        <f>IF(Volcanic!A48="","",Volcanic!A48)</f>
        <v>1/1962</v>
      </c>
      <c r="B48" s="18">
        <f>IF(ISNUMBER(Volcanic!L48),Volcanic!L48,"")</f>
        <v>1962.0416666666667</v>
      </c>
      <c r="C48" s="21">
        <v>-0.13</v>
      </c>
      <c r="D48" s="18">
        <f t="shared" si="11"/>
        <v>-0.31</v>
      </c>
      <c r="E48" s="18">
        <f>IF(ISNUMBER(Volcanic!B48),Volcanic!B48,"")</f>
        <v>5.0000000000004263E-2</v>
      </c>
      <c r="F48" s="18">
        <f>IF(ISNUMBER(Volcanic!C48),Volcanic!C48,"")</f>
        <v>0.18332770604480075</v>
      </c>
      <c r="G48" s="18">
        <f>IF(ISNUMBER(Volcanic!E48),Volcanic!E48,"")</f>
        <v>3.96E-3</v>
      </c>
      <c r="H48" s="18">
        <f>IF(ISNUMBER(Volcanic!D48),Volcanic!D48,"")</f>
        <v>-0.22</v>
      </c>
      <c r="I48" s="18">
        <f t="shared" si="0"/>
        <v>0.18332770604480075</v>
      </c>
      <c r="J48" s="18">
        <f t="shared" si="1"/>
        <v>3.96E-3</v>
      </c>
      <c r="K48" s="18">
        <f t="shared" si="2"/>
        <v>-0.31</v>
      </c>
      <c r="L48" s="18">
        <f t="shared" si="3"/>
        <v>0.18332770604480075</v>
      </c>
      <c r="M48" s="18">
        <f t="shared" si="4"/>
        <v>3.96E-3</v>
      </c>
      <c r="N48" s="18">
        <f t="shared" si="5"/>
        <v>-0.57172712594010511</v>
      </c>
      <c r="O48" s="18">
        <f>Forcing!A48</f>
        <v>2005</v>
      </c>
      <c r="P48" s="18">
        <f>Forcing!B48</f>
        <v>0.67916666666666681</v>
      </c>
      <c r="Q48" s="18">
        <f>Forcing!AN48</f>
        <v>1.8112999999999999</v>
      </c>
      <c r="R48" s="18">
        <f>Forcing!AO48</f>
        <v>0.33083333333333337</v>
      </c>
      <c r="S48" s="18">
        <f t="shared" si="14"/>
        <v>1.8112999999999999</v>
      </c>
      <c r="T48" s="18">
        <f t="shared" si="15"/>
        <v>0.3133333333333333</v>
      </c>
      <c r="U48" s="18">
        <f t="shared" si="16"/>
        <v>1.8112999999999999</v>
      </c>
      <c r="V48" s="18">
        <f t="shared" si="17"/>
        <v>0.40326083486311753</v>
      </c>
      <c r="W48" s="18">
        <f>Forcing!K48+Forcing!J48</f>
        <v>3.2007999999999996</v>
      </c>
      <c r="X48" s="18">
        <f>Forcing!I48*$AB$30</f>
        <v>-2.320465</v>
      </c>
      <c r="Y48" s="18">
        <f t="shared" si="18"/>
        <v>0.33083333333333337</v>
      </c>
      <c r="Z48" s="18">
        <f>Forcing!B48-($AB$43+$AB$39*Forcing!AQ48+$AB$40*Forcing!AR48+$AB$44*Forcing!AS48)</f>
        <v>7.4369576010256178E-2</v>
      </c>
      <c r="AA48" s="61" t="s">
        <v>2824</v>
      </c>
      <c r="AB48" s="53"/>
      <c r="AC48" s="53"/>
      <c r="AD48" s="53"/>
      <c r="AE48" s="53"/>
      <c r="AF48" s="53"/>
      <c r="AG48" s="53"/>
      <c r="AH48" s="53"/>
      <c r="AI48" s="53"/>
      <c r="AK48" s="18">
        <f>IF(AND(ISNUMBER(C48),ISNUMBER(ENSO!F48)),C48-ENSO!F48,"")</f>
        <v>0.03</v>
      </c>
      <c r="AL48" s="18">
        <f t="shared" si="12"/>
        <v>1962.0416666666667</v>
      </c>
      <c r="AM48" s="18">
        <f t="shared" si="13"/>
        <v>5.0000000000004263E-2</v>
      </c>
    </row>
    <row r="49" spans="1:39" ht="30" customHeight="1">
      <c r="A49" s="18" t="str">
        <f>IF(Volcanic!A49="","",Volcanic!A49)</f>
        <v>2/1962</v>
      </c>
      <c r="B49" s="18">
        <f>IF(ISNUMBER(Volcanic!L49),Volcanic!L49,"")</f>
        <v>1962.125</v>
      </c>
      <c r="C49" s="21">
        <v>-0.09</v>
      </c>
      <c r="D49" s="18">
        <f t="shared" si="11"/>
        <v>-0.24</v>
      </c>
      <c r="E49" s="18">
        <f>IF(ISNUMBER(Volcanic!B49),Volcanic!B49,"")</f>
        <v>0.14999999999999858</v>
      </c>
      <c r="F49" s="18">
        <f>IF(ISNUMBER(Volcanic!C49),Volcanic!C49,"")</f>
        <v>0.18609301027387254</v>
      </c>
      <c r="G49" s="18">
        <f>IF(ISNUMBER(Volcanic!E49),Volcanic!E49,"")</f>
        <v>4.0499999999999998E-3</v>
      </c>
      <c r="H49" s="18">
        <f>IF(ISNUMBER(Volcanic!D49),Volcanic!D49,"")</f>
        <v>-0.11</v>
      </c>
      <c r="I49" s="18">
        <f t="shared" si="0"/>
        <v>0.18609301027387254</v>
      </c>
      <c r="J49" s="18">
        <f t="shared" si="1"/>
        <v>4.0499999999999998E-3</v>
      </c>
      <c r="K49" s="18">
        <f t="shared" si="2"/>
        <v>-0.24</v>
      </c>
      <c r="L49" s="18">
        <f t="shared" si="3"/>
        <v>0.18609301027387254</v>
      </c>
      <c r="M49" s="18">
        <f t="shared" si="4"/>
        <v>4.0499999999999998E-3</v>
      </c>
      <c r="N49" s="18">
        <f t="shared" si="5"/>
        <v>-0.50103710644950694</v>
      </c>
      <c r="O49" s="18">
        <f>Forcing!A49</f>
        <v>2006</v>
      </c>
      <c r="P49" s="18">
        <f>Forcing!B49</f>
        <v>0.64083333333333392</v>
      </c>
      <c r="Q49" s="18">
        <f>Forcing!AN49</f>
        <v>1.8320999999999998</v>
      </c>
      <c r="R49" s="18">
        <f>Forcing!AO49</f>
        <v>-0.3041666666666667</v>
      </c>
      <c r="S49" s="18">
        <f t="shared" si="14"/>
        <v>1.8320999999999998</v>
      </c>
      <c r="T49" s="18">
        <f t="shared" si="15"/>
        <v>-0.30166666666666669</v>
      </c>
      <c r="U49" s="18">
        <f t="shared" si="16"/>
        <v>1.8320999999999998</v>
      </c>
      <c r="V49" s="18">
        <f t="shared" si="17"/>
        <v>-0.20381228882326402</v>
      </c>
      <c r="W49" s="18">
        <f>Forcing!K49+Forcing!J49</f>
        <v>3.2462999999999997</v>
      </c>
      <c r="X49" s="18">
        <f>Forcing!I49*$AB$30</f>
        <v>-2.3617139999999996</v>
      </c>
      <c r="Y49" s="18">
        <f t="shared" si="18"/>
        <v>-0.3041666666666667</v>
      </c>
      <c r="Z49" s="18">
        <f>Forcing!B49-($AB$43+$AB$39*Forcing!AQ49+$AB$40*Forcing!AR49+$AB$44*Forcing!AS49)</f>
        <v>9.1961891832168852E-2</v>
      </c>
      <c r="AA49" s="2" t="s">
        <v>2825</v>
      </c>
      <c r="AB49" s="2" t="s">
        <v>2826</v>
      </c>
      <c r="AC49" s="2" t="s">
        <v>2827</v>
      </c>
      <c r="AD49" s="2" t="s">
        <v>2828</v>
      </c>
      <c r="AE49" s="2" t="s">
        <v>2788</v>
      </c>
      <c r="AK49" s="18">
        <f>IF(AND(ISNUMBER(C49),ISNUMBER(ENSO!F49)),C49-ENSO!F49,"")</f>
        <v>8.0000000000000016E-2</v>
      </c>
      <c r="AL49" s="18">
        <f t="shared" si="12"/>
        <v>1962.125</v>
      </c>
      <c r="AM49" s="18">
        <f t="shared" si="13"/>
        <v>0.14999999999999858</v>
      </c>
    </row>
    <row r="50" spans="1:39">
      <c r="A50" s="18" t="str">
        <f>IF(Volcanic!A50="","",Volcanic!A50)</f>
        <v>3/1962</v>
      </c>
      <c r="B50" s="18">
        <f>IF(ISNUMBER(Volcanic!L50),Volcanic!L50,"")</f>
        <v>1962.2083333333333</v>
      </c>
      <c r="C50" s="21">
        <v>-0.11</v>
      </c>
      <c r="D50" s="18">
        <f t="shared" si="11"/>
        <v>-0.12</v>
      </c>
      <c r="E50" s="18">
        <f>IF(ISNUMBER(Volcanic!B50),Volcanic!B50,"")</f>
        <v>9.9999999999997868E-2</v>
      </c>
      <c r="F50" s="18">
        <f>IF(ISNUMBER(Volcanic!C50),Volcanic!C50,"")</f>
        <v>0.19120166107272715</v>
      </c>
      <c r="G50" s="18">
        <f>IF(ISNUMBER(Volcanic!E50),Volcanic!E50,"")</f>
        <v>4.15E-3</v>
      </c>
      <c r="H50" s="18">
        <f>IF(ISNUMBER(Volcanic!D50),Volcanic!D50,"")</f>
        <v>-0.05</v>
      </c>
      <c r="I50" s="18">
        <f t="shared" si="0"/>
        <v>0.19120166107272715</v>
      </c>
      <c r="J50" s="18">
        <f t="shared" si="1"/>
        <v>4.15E-3</v>
      </c>
      <c r="K50" s="18">
        <f t="shared" si="2"/>
        <v>-0.12</v>
      </c>
      <c r="L50" s="18">
        <f t="shared" si="3"/>
        <v>0.19120166107272715</v>
      </c>
      <c r="M50" s="18">
        <f t="shared" si="4"/>
        <v>4.15E-3</v>
      </c>
      <c r="N50" s="18">
        <f t="shared" si="5"/>
        <v>-0.38034708695890884</v>
      </c>
      <c r="O50" s="18">
        <f>Forcing!A50</f>
        <v>2007</v>
      </c>
      <c r="P50" s="18">
        <f>Forcing!B50</f>
        <v>0.66416666666666746</v>
      </c>
      <c r="Q50" s="18">
        <f>Forcing!AN50</f>
        <v>1.9038999999999999</v>
      </c>
      <c r="R50" s="18">
        <f>Forcing!AO50</f>
        <v>-1.8333333333333351E-2</v>
      </c>
      <c r="S50" s="18">
        <f t="shared" si="14"/>
        <v>1.9038999999999999</v>
      </c>
      <c r="T50" s="18">
        <f t="shared" si="15"/>
        <v>-4.9166666666666671E-2</v>
      </c>
      <c r="U50" s="18">
        <f t="shared" si="16"/>
        <v>1.9038999999999999</v>
      </c>
      <c r="V50" s="18">
        <f t="shared" si="17"/>
        <v>5.6614587490354439E-2</v>
      </c>
      <c r="W50" s="18">
        <f>Forcing!K50+Forcing!J50</f>
        <v>3.2904999999999998</v>
      </c>
      <c r="X50" s="18">
        <f>Forcing!I50*$AB$30</f>
        <v>-2.3156219999999998</v>
      </c>
      <c r="Y50" s="18">
        <f t="shared" si="18"/>
        <v>-1.8333333333333351E-2</v>
      </c>
      <c r="Z50" s="18">
        <f>Forcing!B50-($AB$43+$AB$39*Forcing!AQ50+$AB$40*Forcing!AR50+$AB$44*Forcing!AS50)</f>
        <v>5.6868088464370747E-2</v>
      </c>
      <c r="AA50" s="18" t="s">
        <v>2829</v>
      </c>
      <c r="AB50" s="25">
        <f>INDEX(LINEST($P$2:$P$68,$W$2:$Y$68),1,3)</f>
        <v>0.40867799906458946</v>
      </c>
      <c r="AC50" s="25">
        <f>INDEX(LINEST($P$2:$P$68,$W$2:$Y$68),1,2)</f>
        <v>0.24776313083556722</v>
      </c>
      <c r="AD50" s="25">
        <f>AC50*AB30</f>
        <v>0.41376442849539724</v>
      </c>
      <c r="AE50" s="25">
        <f>INDEX(LINEST($P$2:$P$68,$W$2:$Y$68,TRUE(),TRUE()),3,1)</f>
        <v>0.95322246731435489</v>
      </c>
      <c r="AK50" s="18">
        <f>IF(AND(ISNUMBER(C50),ISNUMBER(ENSO!F50)),C50-ENSO!F50,"")</f>
        <v>3.9999999999999994E-2</v>
      </c>
      <c r="AL50" s="18">
        <f t="shared" si="12"/>
        <v>1962.2083333333333</v>
      </c>
      <c r="AM50" s="18">
        <f t="shared" si="13"/>
        <v>9.9999999999997868E-2</v>
      </c>
    </row>
    <row r="51" spans="1:39" ht="78" customHeight="1">
      <c r="A51" s="18" t="str">
        <f>IF(Volcanic!A51="","",Volcanic!A51)</f>
        <v>4/1962</v>
      </c>
      <c r="B51" s="18">
        <f>IF(ISNUMBER(Volcanic!L51),Volcanic!L51,"")</f>
        <v>1962.2916666666667</v>
      </c>
      <c r="C51" s="21">
        <v>-0.22</v>
      </c>
      <c r="D51" s="18">
        <f t="shared" si="11"/>
        <v>-0.13</v>
      </c>
      <c r="E51" s="18">
        <f>IF(ISNUMBER(Volcanic!B51),Volcanic!B51,"")</f>
        <v>5.0000000000004263E-2</v>
      </c>
      <c r="F51" s="18">
        <f>IF(ISNUMBER(Volcanic!C51),Volcanic!C51,"")</f>
        <v>0.19521259246961153</v>
      </c>
      <c r="G51" s="18">
        <f>IF(ISNUMBER(Volcanic!E51),Volcanic!E51,"")</f>
        <v>4.2199999999999998E-3</v>
      </c>
      <c r="H51" s="18">
        <f>IF(ISNUMBER(Volcanic!D51),Volcanic!D51,"")</f>
        <v>-0.16</v>
      </c>
      <c r="I51" s="18">
        <f t="shared" si="0"/>
        <v>0.19521259246961153</v>
      </c>
      <c r="J51" s="18">
        <f t="shared" si="1"/>
        <v>4.2199999999999998E-3</v>
      </c>
      <c r="K51" s="18">
        <f t="shared" si="2"/>
        <v>-0.13</v>
      </c>
      <c r="L51" s="18">
        <f t="shared" si="3"/>
        <v>0.19521259246961153</v>
      </c>
      <c r="M51" s="18">
        <f t="shared" si="4"/>
        <v>4.2199999999999998E-3</v>
      </c>
      <c r="N51" s="18">
        <f t="shared" si="5"/>
        <v>-0.38965706746830719</v>
      </c>
      <c r="O51" s="18">
        <f>Forcing!A51</f>
        <v>2008</v>
      </c>
      <c r="P51" s="18">
        <f>Forcing!B51</f>
        <v>0.54333333333333378</v>
      </c>
      <c r="Q51" s="18">
        <f>Forcing!AN51</f>
        <v>1.9909000000000003</v>
      </c>
      <c r="R51" s="18">
        <f>Forcing!AO51</f>
        <v>-1.0541666666666667</v>
      </c>
      <c r="S51" s="18">
        <f t="shared" si="14"/>
        <v>1.9909000000000003</v>
      </c>
      <c r="T51" s="18">
        <f t="shared" si="15"/>
        <v>-0.96249999999999991</v>
      </c>
      <c r="U51" s="18">
        <f t="shared" si="16"/>
        <v>1.9909000000000003</v>
      </c>
      <c r="V51" s="18">
        <f t="shared" si="17"/>
        <v>-0.84879186952935859</v>
      </c>
      <c r="W51" s="18">
        <f>Forcing!K51+Forcing!J51</f>
        <v>3.3221000000000003</v>
      </c>
      <c r="X51" s="18">
        <f>Forcing!I51*$AB$30</f>
        <v>-2.2231039999999997</v>
      </c>
      <c r="Y51" s="18">
        <f t="shared" si="18"/>
        <v>-1.0541666666666667</v>
      </c>
      <c r="Z51" s="18">
        <f>Forcing!B51-($AB$43+$AB$39*Forcing!AQ51+$AB$40*Forcing!AR51+$AB$44*Forcing!AS51)</f>
        <v>5.0871441373814275E-3</v>
      </c>
      <c r="AA51" s="54" t="s">
        <v>2830</v>
      </c>
      <c r="AB51" s="53"/>
      <c r="AC51" s="53"/>
      <c r="AD51" s="53"/>
      <c r="AE51" s="53"/>
      <c r="AF51" s="53"/>
      <c r="AG51" s="53"/>
      <c r="AH51" s="53"/>
      <c r="AI51" s="53"/>
      <c r="AK51" s="18">
        <f>IF(AND(ISNUMBER(C51),ISNUMBER(ENSO!F51)),C51-ENSO!F51,"")</f>
        <v>-1.999999999999999E-2</v>
      </c>
      <c r="AL51" s="18">
        <f t="shared" si="12"/>
        <v>1962.2916666666667</v>
      </c>
      <c r="AM51" s="18">
        <f t="shared" si="13"/>
        <v>5.0000000000004263E-2</v>
      </c>
    </row>
    <row r="52" spans="1:39">
      <c r="A52" s="18" t="str">
        <f>IF(Volcanic!A52="","",Volcanic!A52)</f>
        <v>5/1962</v>
      </c>
      <c r="B52" s="18">
        <f>IF(ISNUMBER(Volcanic!L52),Volcanic!L52,"")</f>
        <v>1962.375</v>
      </c>
      <c r="C52" s="21">
        <v>-0.26</v>
      </c>
      <c r="D52" s="18">
        <f t="shared" si="11"/>
        <v>-0.09</v>
      </c>
      <c r="E52" s="18">
        <f>IF(ISNUMBER(Volcanic!B52),Volcanic!B52,"")</f>
        <v>-6.0000000000000497E-2</v>
      </c>
      <c r="F52" s="18">
        <f>IF(ISNUMBER(Volcanic!C52),Volcanic!C52,"")</f>
        <v>0.19723635491870628</v>
      </c>
      <c r="G52" s="18">
        <f>IF(ISNUMBER(Volcanic!E52),Volcanic!E52,"")</f>
        <v>4.3E-3</v>
      </c>
      <c r="H52" s="18">
        <f>IF(ISNUMBER(Volcanic!D52),Volcanic!D52,"")</f>
        <v>-0.17</v>
      </c>
      <c r="I52" s="18">
        <f t="shared" si="0"/>
        <v>0.19723635491870628</v>
      </c>
      <c r="J52" s="18">
        <f t="shared" si="1"/>
        <v>4.3E-3</v>
      </c>
      <c r="K52" s="18">
        <f t="shared" si="2"/>
        <v>-0.09</v>
      </c>
      <c r="L52" s="18">
        <f t="shared" si="3"/>
        <v>0.19723635491870628</v>
      </c>
      <c r="M52" s="18">
        <f t="shared" si="4"/>
        <v>4.3E-3</v>
      </c>
      <c r="N52" s="18">
        <f t="shared" si="5"/>
        <v>-0.34896704797770906</v>
      </c>
      <c r="O52" s="18">
        <f>Forcing!A52</f>
        <v>2009</v>
      </c>
      <c r="P52" s="18">
        <f>Forcing!B52</f>
        <v>0.65583333333333371</v>
      </c>
      <c r="Q52" s="18">
        <f>Forcing!AN52</f>
        <v>2.0844999999999998</v>
      </c>
      <c r="R52" s="18">
        <f>Forcing!AO52</f>
        <v>-0.19499999999999995</v>
      </c>
      <c r="S52" s="18">
        <f t="shared" si="14"/>
        <v>2.0844999999999998</v>
      </c>
      <c r="T52" s="18">
        <f t="shared" si="15"/>
        <v>-0.28416666666666668</v>
      </c>
      <c r="U52" s="18">
        <f t="shared" si="16"/>
        <v>2.0844999999999998</v>
      </c>
      <c r="V52" s="18">
        <f t="shared" si="17"/>
        <v>-0.16253165988240692</v>
      </c>
      <c r="W52" s="18">
        <f>Forcing!K52+Forcing!J52</f>
        <v>3.3378000000000001</v>
      </c>
      <c r="X52" s="18">
        <f>Forcing!I52*$AB$30</f>
        <v>-2.0930110000000002</v>
      </c>
      <c r="Y52" s="18">
        <f t="shared" si="18"/>
        <v>-0.19499999999999995</v>
      </c>
      <c r="Z52" s="18">
        <f>Forcing!B52-($AB$43+$AB$39*Forcing!AQ52+$AB$40*Forcing!AR52+$AB$44*Forcing!AS52)</f>
        <v>-8.0611299361784683E-3</v>
      </c>
      <c r="AK52" s="18">
        <f>IF(AND(ISNUMBER(C52),ISNUMBER(ENSO!F52)),C52-ENSO!F52,"")</f>
        <v>-7.0000000000000007E-2</v>
      </c>
      <c r="AL52" s="18">
        <f t="shared" si="12"/>
        <v>1962.375</v>
      </c>
      <c r="AM52" s="18">
        <f t="shared" si="13"/>
        <v>-6.0000000000000497E-2</v>
      </c>
    </row>
    <row r="53" spans="1:39" ht="15.75">
      <c r="A53" s="18" t="str">
        <f>IF(Volcanic!A53="","",Volcanic!A53)</f>
        <v>6/1962</v>
      </c>
      <c r="B53" s="18">
        <f>IF(ISNUMBER(Volcanic!L53),Volcanic!L53,"")</f>
        <v>1962.4583333333333</v>
      </c>
      <c r="C53" s="21">
        <v>-0.21</v>
      </c>
      <c r="D53" s="18">
        <f t="shared" si="11"/>
        <v>-0.11</v>
      </c>
      <c r="E53" s="18">
        <f>IF(ISNUMBER(Volcanic!B53),Volcanic!B53,"")</f>
        <v>2.9999999999997584E-2</v>
      </c>
      <c r="F53" s="18">
        <f>IF(ISNUMBER(Volcanic!C53),Volcanic!C53,"")</f>
        <v>0.19543759520574477</v>
      </c>
      <c r="G53" s="18">
        <f>IF(ISNUMBER(Volcanic!E53),Volcanic!E53,"")</f>
        <v>4.2199999999999998E-3</v>
      </c>
      <c r="H53" s="18">
        <f>IF(ISNUMBER(Volcanic!D53),Volcanic!D53,"")</f>
        <v>-0.15</v>
      </c>
      <c r="I53" s="18">
        <f t="shared" si="0"/>
        <v>0.19543759520574477</v>
      </c>
      <c r="J53" s="18">
        <f t="shared" si="1"/>
        <v>4.2199999999999998E-3</v>
      </c>
      <c r="K53" s="18">
        <f t="shared" si="2"/>
        <v>-0.11</v>
      </c>
      <c r="L53" s="18">
        <f t="shared" si="3"/>
        <v>0.19543759520574477</v>
      </c>
      <c r="M53" s="18">
        <f t="shared" si="4"/>
        <v>4.2199999999999998E-3</v>
      </c>
      <c r="N53" s="18">
        <f t="shared" si="5"/>
        <v>-0.36827702848711097</v>
      </c>
      <c r="O53" s="18">
        <f>Forcing!A53</f>
        <v>2010</v>
      </c>
      <c r="P53" s="18">
        <f>Forcing!B53</f>
        <v>0.7241666666666674</v>
      </c>
      <c r="Q53" s="18">
        <f>Forcing!AN53</f>
        <v>2.1269</v>
      </c>
      <c r="R53" s="18">
        <f>Forcing!AO53</f>
        <v>0.26666666666666661</v>
      </c>
      <c r="S53" s="18">
        <f t="shared" si="14"/>
        <v>2.1269</v>
      </c>
      <c r="T53" s="18">
        <f t="shared" si="15"/>
        <v>9.1666666666666619E-2</v>
      </c>
      <c r="U53" s="18">
        <f t="shared" si="16"/>
        <v>2.1269</v>
      </c>
      <c r="V53" s="18">
        <f t="shared" si="17"/>
        <v>0.22122854976454481</v>
      </c>
      <c r="W53" s="18">
        <f>Forcing!K53+Forcing!J53</f>
        <v>3.3967000000000001</v>
      </c>
      <c r="X53" s="18">
        <f>Forcing!I53*$AB$30</f>
        <v>-2.1205660000000002</v>
      </c>
      <c r="Y53" s="18">
        <f t="shared" si="18"/>
        <v>0.26666666666666661</v>
      </c>
      <c r="Z53" s="18">
        <f>Forcing!B53-($AB$43+$AB$39*Forcing!AQ53+$AB$40*Forcing!AR53+$AB$44*Forcing!AS53)</f>
        <v>-3.7204873203332545E-3</v>
      </c>
      <c r="AA53" s="4" t="s">
        <v>2831</v>
      </c>
      <c r="AK53" s="18">
        <f>IF(AND(ISNUMBER(C53),ISNUMBER(ENSO!F53)),C53-ENSO!F53,"")</f>
        <v>-7.9999999999999988E-2</v>
      </c>
      <c r="AL53" s="18">
        <f t="shared" si="12"/>
        <v>1962.4583333333333</v>
      </c>
      <c r="AM53" s="18">
        <f t="shared" si="13"/>
        <v>2.9999999999997584E-2</v>
      </c>
    </row>
    <row r="54" spans="1:39" ht="30" customHeight="1">
      <c r="A54" s="18" t="str">
        <f>IF(Volcanic!A54="","",Volcanic!A54)</f>
        <v>7/1962</v>
      </c>
      <c r="B54" s="18">
        <f>IF(ISNUMBER(Volcanic!L54),Volcanic!L54,"")</f>
        <v>1962.5416666666667</v>
      </c>
      <c r="C54" s="21">
        <v>-0.11</v>
      </c>
      <c r="D54" s="18">
        <f t="shared" si="11"/>
        <v>-0.22</v>
      </c>
      <c r="E54" s="18">
        <f>IF(ISNUMBER(Volcanic!B54),Volcanic!B54,"")</f>
        <v>2.0000000000003126E-2</v>
      </c>
      <c r="F54" s="18">
        <f>IF(ISNUMBER(Volcanic!C54),Volcanic!C54,"")</f>
        <v>0.19088572103529255</v>
      </c>
      <c r="G54" s="18">
        <f>IF(ISNUMBER(Volcanic!E54),Volcanic!E54,"")</f>
        <v>4.1099999999999999E-3</v>
      </c>
      <c r="H54" s="18">
        <f>IF(ISNUMBER(Volcanic!D54),Volcanic!D54,"")</f>
        <v>-0.2</v>
      </c>
      <c r="I54" s="18">
        <f t="shared" si="0"/>
        <v>0.19088572103529255</v>
      </c>
      <c r="J54" s="18">
        <f t="shared" si="1"/>
        <v>4.1099999999999999E-3</v>
      </c>
      <c r="K54" s="18">
        <f t="shared" si="2"/>
        <v>-0.22</v>
      </c>
      <c r="L54" s="18">
        <f t="shared" si="3"/>
        <v>0.19088572103529255</v>
      </c>
      <c r="M54" s="18">
        <f t="shared" si="4"/>
        <v>4.1099999999999999E-3</v>
      </c>
      <c r="N54" s="18">
        <f t="shared" si="5"/>
        <v>-0.47758700899651285</v>
      </c>
      <c r="O54" s="18">
        <f>Forcing!A54</f>
        <v>2011</v>
      </c>
      <c r="P54" s="18">
        <f>Forcing!B54</f>
        <v>0.60750000000000037</v>
      </c>
      <c r="Q54" s="18">
        <f>Forcing!AN54</f>
        <v>2.1751</v>
      </c>
      <c r="R54" s="18">
        <f>Forcing!AO54</f>
        <v>-0.91166666666666651</v>
      </c>
      <c r="S54" s="18">
        <f t="shared" si="14"/>
        <v>2.1751</v>
      </c>
      <c r="T54" s="18">
        <f t="shared" si="15"/>
        <v>-0.98083333333333333</v>
      </c>
      <c r="U54" s="18">
        <f t="shared" si="16"/>
        <v>2.1751</v>
      </c>
      <c r="V54" s="18">
        <f t="shared" si="17"/>
        <v>-0.84334457392183493</v>
      </c>
      <c r="W54" s="18">
        <f>Forcing!K54+Forcing!J54</f>
        <v>3.4318999999999997</v>
      </c>
      <c r="X54" s="18">
        <f>Forcing!I54*$AB$30</f>
        <v>-2.0988559999999996</v>
      </c>
      <c r="Y54" s="18">
        <f t="shared" si="18"/>
        <v>-0.91166666666666651</v>
      </c>
      <c r="Z54" s="18">
        <f>Forcing!B54-($AB$43+$AB$39*Forcing!AQ54+$AB$40*Forcing!AR54+$AB$44*Forcing!AS54)</f>
        <v>-2.0832750491192265E-2</v>
      </c>
      <c r="AA54" s="2" t="s">
        <v>2832</v>
      </c>
      <c r="AB54" s="2" t="s">
        <v>2833</v>
      </c>
      <c r="AC54" s="2" t="s">
        <v>2834</v>
      </c>
      <c r="AD54" s="2" t="s">
        <v>2835</v>
      </c>
      <c r="AK54" s="18">
        <f>IF(AND(ISNUMBER(C54),ISNUMBER(ENSO!F54)),C54-ENSO!F54,"")</f>
        <v>-0.11</v>
      </c>
      <c r="AL54" s="18">
        <f t="shared" si="12"/>
        <v>1962.5416666666667</v>
      </c>
      <c r="AM54" s="18">
        <f t="shared" si="13"/>
        <v>2.0000000000003126E-2</v>
      </c>
    </row>
    <row r="55" spans="1:39">
      <c r="A55" s="18" t="str">
        <f>IF(Volcanic!A55="","",Volcanic!A55)</f>
        <v>8/1962</v>
      </c>
      <c r="B55" s="18">
        <f>IF(ISNUMBER(Volcanic!L55),Volcanic!L55,"")</f>
        <v>1962.625</v>
      </c>
      <c r="C55" s="21">
        <v>-0.18</v>
      </c>
      <c r="D55" s="18">
        <f t="shared" si="11"/>
        <v>-0.26</v>
      </c>
      <c r="E55" s="18">
        <f>IF(ISNUMBER(Volcanic!B55),Volcanic!B55,"")</f>
        <v>-9.9999999999980105E-3</v>
      </c>
      <c r="F55" s="18">
        <f>IF(ISNUMBER(Volcanic!C55),Volcanic!C55,"")</f>
        <v>0.18087530100285296</v>
      </c>
      <c r="G55" s="18">
        <f>IF(ISNUMBER(Volcanic!E55),Volcanic!E55,"")</f>
        <v>4.0099999999999997E-3</v>
      </c>
      <c r="H55" s="18">
        <f>IF(ISNUMBER(Volcanic!D55),Volcanic!D55,"")</f>
        <v>-0.19</v>
      </c>
      <c r="I55" s="18">
        <f t="shared" si="0"/>
        <v>0.18087530100285296</v>
      </c>
      <c r="J55" s="18">
        <f t="shared" si="1"/>
        <v>4.0099999999999997E-3</v>
      </c>
      <c r="K55" s="18">
        <f t="shared" si="2"/>
        <v>-0.26</v>
      </c>
      <c r="L55" s="18">
        <f t="shared" si="3"/>
        <v>0.18087530100285296</v>
      </c>
      <c r="M55" s="18">
        <f t="shared" si="4"/>
        <v>4.0099999999999997E-3</v>
      </c>
      <c r="N55" s="18">
        <f t="shared" si="5"/>
        <v>-0.51689698950591123</v>
      </c>
      <c r="O55" s="18">
        <f>Forcing!A55</f>
        <v>2012</v>
      </c>
      <c r="P55" s="18">
        <f>Forcing!B55</f>
        <v>0.64666666666666694</v>
      </c>
      <c r="Q55" s="18">
        <f>Forcing!AN55</f>
        <v>2.1985000000000001</v>
      </c>
      <c r="R55" s="18">
        <f>Forcing!AO55</f>
        <v>-0.33749999999999997</v>
      </c>
      <c r="S55" s="18">
        <f t="shared" si="14"/>
        <v>2.1985000000000001</v>
      </c>
      <c r="T55" s="18">
        <f t="shared" si="15"/>
        <v>-0.37916666666666665</v>
      </c>
      <c r="U55" s="18">
        <f t="shared" si="16"/>
        <v>2.1985000000000001</v>
      </c>
      <c r="V55" s="18">
        <f t="shared" si="17"/>
        <v>-0.23375103094154981</v>
      </c>
      <c r="W55" s="18">
        <f>Forcing!K55+Forcing!J55</f>
        <v>3.4776000000000002</v>
      </c>
      <c r="X55" s="18">
        <f>Forcing!I55*$AB$30</f>
        <v>-2.1360969999999999</v>
      </c>
      <c r="Y55" s="18">
        <f t="shared" si="18"/>
        <v>-0.33749999999999997</v>
      </c>
      <c r="Z55" s="18">
        <f>Forcing!B55-($AB$43+$AB$39*Forcing!AQ55+$AB$40*Forcing!AR55+$AB$44*Forcing!AS55)</f>
        <v>-4.9256215099002687E-2</v>
      </c>
      <c r="AA55" s="18" t="s">
        <v>2836</v>
      </c>
      <c r="AB55" s="25">
        <f>AVERAGEIFS(CERES!$E$5:$E$29,CERES!$A$5:$A$29,"&gt;=2001",CERES!$A$5:$A$29,"&lt;=2022")</f>
        <v>98.986571212121191</v>
      </c>
      <c r="AC55" s="25">
        <f>AVERAGEIFS(CERES!$E$5:$E$29,CERES!$A$5:$A$29,"&gt;=2023")</f>
        <v>97.695174999999992</v>
      </c>
      <c r="AD55" s="25">
        <f>AC55-AB55</f>
        <v>-1.2913962121211995</v>
      </c>
      <c r="AK55" s="18">
        <f>IF(AND(ISNUMBER(C55),ISNUMBER(ENSO!F55)),C55-ENSO!F55,"")</f>
        <v>-7.9999999999999988E-2</v>
      </c>
      <c r="AL55" s="18">
        <f t="shared" si="12"/>
        <v>1962.625</v>
      </c>
      <c r="AM55" s="18">
        <f t="shared" si="13"/>
        <v>-9.9999999999980105E-3</v>
      </c>
    </row>
    <row r="56" spans="1:39">
      <c r="A56" s="18" t="str">
        <f>IF(Volcanic!A56="","",Volcanic!A56)</f>
        <v>9/1962</v>
      </c>
      <c r="B56" s="18">
        <f>IF(ISNUMBER(Volcanic!L56),Volcanic!L56,"")</f>
        <v>1962.7083333333333</v>
      </c>
      <c r="C56" s="21">
        <v>-0.25</v>
      </c>
      <c r="D56" s="18">
        <f t="shared" si="11"/>
        <v>-0.21</v>
      </c>
      <c r="E56" s="18">
        <f>IF(ISNUMBER(Volcanic!B56),Volcanic!B56,"")</f>
        <v>0</v>
      </c>
      <c r="F56" s="18">
        <f>IF(ISNUMBER(Volcanic!C56),Volcanic!C56,"")</f>
        <v>0.17559303309992255</v>
      </c>
      <c r="G56" s="18">
        <f>IF(ISNUMBER(Volcanic!E56),Volcanic!E56,"")</f>
        <v>3.8899999999999998E-3</v>
      </c>
      <c r="H56" s="18">
        <f>IF(ISNUMBER(Volcanic!D56),Volcanic!D56,"")</f>
        <v>-0.13</v>
      </c>
      <c r="I56" s="18">
        <f t="shared" si="0"/>
        <v>0.17559303309992255</v>
      </c>
      <c r="J56" s="18">
        <f t="shared" si="1"/>
        <v>3.8899999999999998E-3</v>
      </c>
      <c r="K56" s="18">
        <f t="shared" si="2"/>
        <v>-0.21</v>
      </c>
      <c r="L56" s="18">
        <f t="shared" si="3"/>
        <v>0.17559303309992255</v>
      </c>
      <c r="M56" s="18">
        <f t="shared" si="4"/>
        <v>3.8899999999999998E-3</v>
      </c>
      <c r="N56" s="18">
        <f t="shared" si="5"/>
        <v>-0.46620697001531308</v>
      </c>
      <c r="O56" s="18">
        <f>Forcing!A56</f>
        <v>2013</v>
      </c>
      <c r="P56" s="18">
        <f>Forcing!B56</f>
        <v>0.67666666666666764</v>
      </c>
      <c r="Q56" s="18">
        <f>Forcing!AN56</f>
        <v>2.3132999999999999</v>
      </c>
      <c r="R56" s="18">
        <f>Forcing!AO56</f>
        <v>-0.19666666666666666</v>
      </c>
      <c r="S56" s="18">
        <f t="shared" si="14"/>
        <v>2.3132999999999999</v>
      </c>
      <c r="T56" s="18">
        <f t="shared" si="15"/>
        <v>-0.35166666666666663</v>
      </c>
      <c r="U56" s="18">
        <f t="shared" si="16"/>
        <v>2.3132999999999999</v>
      </c>
      <c r="V56" s="18">
        <f t="shared" si="17"/>
        <v>-0.19832415462793135</v>
      </c>
      <c r="W56" s="18">
        <f>Forcing!K56+Forcing!J56</f>
        <v>3.5131999999999999</v>
      </c>
      <c r="X56" s="18">
        <f>Forcing!I56*$AB$30</f>
        <v>-2.0038329999999998</v>
      </c>
      <c r="Y56" s="18">
        <f t="shared" si="18"/>
        <v>-0.19666666666666666</v>
      </c>
      <c r="Z56" s="18">
        <f>Forcing!B56-($AB$43+$AB$39*Forcing!AQ56+$AB$40*Forcing!AR56+$AB$44*Forcing!AS56)</f>
        <v>-8.0836170359984472E-2</v>
      </c>
      <c r="AA56" s="18" t="s">
        <v>2837</v>
      </c>
      <c r="AB56" s="25">
        <f>AVERAGEIFS(CERES!$D$5:$D$29,CERES!$A$5:$A$29,"&gt;=2001",CERES!$A$5:$A$29,"&lt;=2022")</f>
        <v>240.36060984848481</v>
      </c>
      <c r="AC56" s="25">
        <f>AVERAGEIFS(CERES!$D$5:$D$29,CERES!$A$5:$A$29,"&gt;=2023")</f>
        <v>241.38919444444446</v>
      </c>
      <c r="AD56" s="25">
        <f>AC56-AB56</f>
        <v>1.0285845959596429</v>
      </c>
      <c r="AK56" s="18">
        <f>IF(AND(ISNUMBER(C56),ISNUMBER(ENSO!F56)),C56-ENSO!F56,"")</f>
        <v>-0.09</v>
      </c>
      <c r="AL56" s="18">
        <f t="shared" si="12"/>
        <v>1962.7083333333333</v>
      </c>
      <c r="AM56" s="18">
        <f t="shared" si="13"/>
        <v>0</v>
      </c>
    </row>
    <row r="57" spans="1:39">
      <c r="A57" s="18" t="str">
        <f>IF(Volcanic!A57="","",Volcanic!A57)</f>
        <v>10/1962</v>
      </c>
      <c r="B57" s="18">
        <f>IF(ISNUMBER(Volcanic!L57),Volcanic!L57,"")</f>
        <v>1962.7916666666667</v>
      </c>
      <c r="C57" s="21">
        <v>-0.4</v>
      </c>
      <c r="D57" s="18">
        <f t="shared" si="11"/>
        <v>-0.11</v>
      </c>
      <c r="E57" s="18">
        <f>IF(ISNUMBER(Volcanic!B57),Volcanic!B57,"")</f>
        <v>1.0000000000001563E-2</v>
      </c>
      <c r="F57" s="18">
        <f>IF(ISNUMBER(Volcanic!C57),Volcanic!C57,"")</f>
        <v>0.17184731357334099</v>
      </c>
      <c r="G57" s="18">
        <f>IF(ISNUMBER(Volcanic!E57),Volcanic!E57,"")</f>
        <v>3.82E-3</v>
      </c>
      <c r="H57" s="18">
        <f>IF(ISNUMBER(Volcanic!D57),Volcanic!D57,"")</f>
        <v>0</v>
      </c>
      <c r="I57" s="18">
        <f t="shared" si="0"/>
        <v>0.17184731357334099</v>
      </c>
      <c r="J57" s="18">
        <f t="shared" si="1"/>
        <v>3.82E-3</v>
      </c>
      <c r="K57" s="18">
        <f t="shared" si="2"/>
        <v>-0.11</v>
      </c>
      <c r="L57" s="18">
        <f t="shared" si="3"/>
        <v>0.17184731357334099</v>
      </c>
      <c r="M57" s="18">
        <f t="shared" si="4"/>
        <v>3.82E-3</v>
      </c>
      <c r="N57" s="18">
        <f t="shared" si="5"/>
        <v>-0.365516950524715</v>
      </c>
      <c r="O57" s="18">
        <f>Forcing!A57</f>
        <v>2014</v>
      </c>
      <c r="P57" s="18">
        <f>Forcing!B57</f>
        <v>0.74916666666666665</v>
      </c>
      <c r="Q57" s="18">
        <f>Forcing!AN57</f>
        <v>2.3534000000000002</v>
      </c>
      <c r="R57" s="18">
        <f>Forcing!AO57</f>
        <v>0.03</v>
      </c>
      <c r="S57" s="18">
        <f t="shared" si="14"/>
        <v>2.3534000000000002</v>
      </c>
      <c r="T57" s="18">
        <f t="shared" si="15"/>
        <v>-0.18749999999999997</v>
      </c>
      <c r="U57" s="18">
        <f t="shared" si="16"/>
        <v>2.3534000000000002</v>
      </c>
      <c r="V57" s="18">
        <f t="shared" si="17"/>
        <v>-2.6230611647644481E-2</v>
      </c>
      <c r="W57" s="18">
        <f>Forcing!K57+Forcing!J57</f>
        <v>3.5615000000000001</v>
      </c>
      <c r="X57" s="18">
        <f>Forcing!I57*$AB$30</f>
        <v>-2.0175269999999998</v>
      </c>
      <c r="Y57" s="18">
        <f t="shared" si="18"/>
        <v>0.03</v>
      </c>
      <c r="Z57" s="18">
        <f>Forcing!B57-($AB$43+$AB$39*Forcing!AQ57+$AB$40*Forcing!AR57+$AB$44*Forcing!AS57)</f>
        <v>-4.7634864821414435E-2</v>
      </c>
      <c r="AA57" s="18" t="s">
        <v>2838</v>
      </c>
      <c r="AB57" s="25">
        <f>AVERAGEIFS(CERES!$C$5:$C$29,CERES!$A$5:$A$29,"&gt;=2001",CERES!$A$5:$A$29,"&lt;=2022")</f>
        <v>0.83660984848484854</v>
      </c>
      <c r="AC57" s="25">
        <f>AVERAGEIFS(CERES!$C$5:$C$29,CERES!$A$5:$A$29,"&gt;=2023")</f>
        <v>1.3789527777777781</v>
      </c>
      <c r="AD57" s="25">
        <f>AC57-AB57</f>
        <v>0.5423429292929296</v>
      </c>
      <c r="AK57" s="18">
        <f>IF(AND(ISNUMBER(C57),ISNUMBER(ENSO!F57)),C57-ENSO!F57,"")</f>
        <v>-0.15000000000000002</v>
      </c>
      <c r="AL57" s="18">
        <f t="shared" si="12"/>
        <v>1962.7916666666667</v>
      </c>
      <c r="AM57" s="18">
        <f t="shared" si="13"/>
        <v>1.0000000000001563E-2</v>
      </c>
    </row>
    <row r="58" spans="1:39">
      <c r="A58" s="18" t="str">
        <f>IF(Volcanic!A58="","",Volcanic!A58)</f>
        <v>11/1962</v>
      </c>
      <c r="B58" s="18">
        <f>IF(ISNUMBER(Volcanic!L58),Volcanic!L58,"")</f>
        <v>1962.875</v>
      </c>
      <c r="C58" s="21">
        <v>-0.46</v>
      </c>
      <c r="D58" s="18">
        <f t="shared" si="11"/>
        <v>-0.18</v>
      </c>
      <c r="E58" s="18">
        <f>IF(ISNUMBER(Volcanic!B58),Volcanic!B58,"")</f>
        <v>5.9999999999998721E-2</v>
      </c>
      <c r="F58" s="18">
        <f>IF(ISNUMBER(Volcanic!C58),Volcanic!C58,"")</f>
        <v>0.17764448548104073</v>
      </c>
      <c r="G58" s="18">
        <f>IF(ISNUMBER(Volcanic!E58),Volcanic!E58,"")</f>
        <v>3.8500000000000001E-3</v>
      </c>
      <c r="H58" s="18">
        <f>IF(ISNUMBER(Volcanic!D58),Volcanic!D58,"")</f>
        <v>-0.1</v>
      </c>
      <c r="I58" s="18">
        <f t="shared" si="0"/>
        <v>0.17764448548104073</v>
      </c>
      <c r="J58" s="18">
        <f t="shared" si="1"/>
        <v>3.8500000000000001E-3</v>
      </c>
      <c r="K58" s="18">
        <f t="shared" si="2"/>
        <v>-0.18</v>
      </c>
      <c r="L58" s="18">
        <f t="shared" si="3"/>
        <v>0.17764448548104073</v>
      </c>
      <c r="M58" s="18">
        <f t="shared" si="4"/>
        <v>3.8500000000000001E-3</v>
      </c>
      <c r="N58" s="18">
        <f t="shared" si="5"/>
        <v>-0.4348269310341169</v>
      </c>
      <c r="O58" s="18">
        <f>Forcing!A58</f>
        <v>2015</v>
      </c>
      <c r="P58" s="18">
        <f>Forcing!B58</f>
        <v>0.89833333333333354</v>
      </c>
      <c r="Q58" s="18">
        <f>Forcing!AN58</f>
        <v>2.4205999999999999</v>
      </c>
      <c r="R58" s="18">
        <f>Forcing!AO58</f>
        <v>1.0325</v>
      </c>
      <c r="S58" s="18">
        <f t="shared" si="14"/>
        <v>2.4205999999999999</v>
      </c>
      <c r="T58" s="18">
        <f t="shared" si="15"/>
        <v>0.84</v>
      </c>
      <c r="U58" s="18">
        <f t="shared" si="16"/>
        <v>2.4205999999999999</v>
      </c>
      <c r="V58" s="18">
        <f t="shared" si="17"/>
        <v>1.0091962646659738</v>
      </c>
      <c r="W58" s="18">
        <f>Forcing!K58+Forcing!J58</f>
        <v>3.6147999999999998</v>
      </c>
      <c r="X58" s="18">
        <f>Forcing!I58*$AB$30</f>
        <v>-1.9943139999999997</v>
      </c>
      <c r="Y58" s="18">
        <f t="shared" si="18"/>
        <v>1.0325</v>
      </c>
      <c r="Z58" s="18">
        <f>Forcing!B58-($AB$43+$AB$39*Forcing!AQ58+$AB$40*Forcing!AR58+$AB$44*Forcing!AS58)</f>
        <v>-2.75158689675431E-2</v>
      </c>
      <c r="AA58" s="18" t="s">
        <v>2839</v>
      </c>
      <c r="AB58" s="25">
        <f>AVERAGEIFS(Forcing!$O$2:$O$68,Forcing!$A$2:$A$68,"&gt;=2001",Forcing!$A$2:$A$68,"&lt;=2022")</f>
        <v>2.399131818181818</v>
      </c>
      <c r="AC58" s="25">
        <f>AVERAGEIFS(Forcing!$O$2:$O$68,Forcing!$A$2:$A$68,"&gt;=2023")</f>
        <v>3.258433333333334</v>
      </c>
      <c r="AD58" s="25">
        <f>AC58-AB58</f>
        <v>0.85930151515151598</v>
      </c>
      <c r="AK58" s="18">
        <f>IF(AND(ISNUMBER(C58),ISNUMBER(ENSO!F58)),C58-ENSO!F58,"")</f>
        <v>-0.21000000000000002</v>
      </c>
      <c r="AL58" s="18">
        <f t="shared" si="12"/>
        <v>1962.875</v>
      </c>
      <c r="AM58" s="18">
        <f t="shared" si="13"/>
        <v>5.9999999999998721E-2</v>
      </c>
    </row>
    <row r="59" spans="1:39">
      <c r="A59" s="18" t="str">
        <f>IF(Volcanic!A59="","",Volcanic!A59)</f>
        <v>12/1962</v>
      </c>
      <c r="B59" s="18">
        <f>IF(ISNUMBER(Volcanic!L59),Volcanic!L59,"")</f>
        <v>1962.9583333333333</v>
      </c>
      <c r="C59" s="21">
        <v>-0.5</v>
      </c>
      <c r="D59" s="18">
        <f t="shared" si="11"/>
        <v>-0.25</v>
      </c>
      <c r="E59" s="18">
        <f>IF(ISNUMBER(Volcanic!B59),Volcanic!B59,"")</f>
        <v>-2.9999999999999361E-2</v>
      </c>
      <c r="F59" s="18">
        <f>IF(ISNUMBER(Volcanic!C59),Volcanic!C59,"")</f>
        <v>0.18223826288116377</v>
      </c>
      <c r="G59" s="18">
        <f>IF(ISNUMBER(Volcanic!E59),Volcanic!E59,"")</f>
        <v>3.8899999999999998E-3</v>
      </c>
      <c r="H59" s="18">
        <f>IF(ISNUMBER(Volcanic!D59),Volcanic!D59,"")</f>
        <v>-0.16</v>
      </c>
      <c r="I59" s="18">
        <f t="shared" si="0"/>
        <v>0.18223826288116377</v>
      </c>
      <c r="J59" s="18">
        <f t="shared" si="1"/>
        <v>3.8899999999999998E-3</v>
      </c>
      <c r="K59" s="18">
        <f t="shared" si="2"/>
        <v>-0.25</v>
      </c>
      <c r="L59" s="18">
        <f t="shared" si="3"/>
        <v>0.18223826288116377</v>
      </c>
      <c r="M59" s="18">
        <f t="shared" si="4"/>
        <v>3.8899999999999998E-3</v>
      </c>
      <c r="N59" s="18">
        <f t="shared" si="5"/>
        <v>-0.50413691154351881</v>
      </c>
      <c r="O59" s="18">
        <f>Forcing!A59</f>
        <v>2016</v>
      </c>
      <c r="P59" s="18">
        <f>Forcing!B59</f>
        <v>1.0124999999999997</v>
      </c>
      <c r="Q59" s="18">
        <f>Forcing!AN59</f>
        <v>2.5571000000000002</v>
      </c>
      <c r="R59" s="18">
        <f>Forcing!AO59</f>
        <v>1.2116666666666667</v>
      </c>
      <c r="S59" s="18">
        <f t="shared" si="14"/>
        <v>2.5571000000000002</v>
      </c>
      <c r="T59" s="18">
        <f t="shared" si="15"/>
        <v>0.7683333333333332</v>
      </c>
      <c r="U59" s="18">
        <f t="shared" si="16"/>
        <v>2.5571000000000002</v>
      </c>
      <c r="V59" s="18">
        <f t="shared" si="17"/>
        <v>0.94545647431292734</v>
      </c>
      <c r="W59" s="18">
        <f>Forcing!K59+Forcing!J59</f>
        <v>3.6542000000000003</v>
      </c>
      <c r="X59" s="18">
        <f>Forcing!I59*$AB$30</f>
        <v>-1.8321569999999998</v>
      </c>
      <c r="Y59" s="18">
        <f t="shared" si="18"/>
        <v>1.2116666666666667</v>
      </c>
      <c r="Z59" s="18">
        <f>Forcing!B59-($AB$43+$AB$39*Forcing!AQ59+$AB$40*Forcing!AR59+$AB$44*Forcing!AS59)</f>
        <v>1.2229824281434043E-2</v>
      </c>
      <c r="AA59" s="18" t="s">
        <v>2840</v>
      </c>
      <c r="AB59" s="25">
        <f>-AD55*Forcing!$T$14</f>
        <v>0.52795712735524092</v>
      </c>
      <c r="AC59" s="25">
        <f>-AD55*Volcanic!$N$36</f>
        <v>0.1638698105610395</v>
      </c>
      <c r="AD59" s="20">
        <f>AC59/'Recent 2023-25'!$D$17</f>
        <v>2.402442051004833</v>
      </c>
      <c r="AK59" s="18">
        <f>IF(AND(ISNUMBER(C59),ISNUMBER(ENSO!F59)),C59-ENSO!F59,"")</f>
        <v>-0.18</v>
      </c>
      <c r="AL59" s="18">
        <f t="shared" si="12"/>
        <v>1962.9583333333333</v>
      </c>
      <c r="AM59" s="18">
        <f t="shared" si="13"/>
        <v>-2.9999999999999361E-2</v>
      </c>
    </row>
    <row r="60" spans="1:39">
      <c r="A60" s="18" t="str">
        <f>IF(Volcanic!A60="","",Volcanic!A60)</f>
        <v>1/1963</v>
      </c>
      <c r="B60" s="18">
        <f>IF(ISNUMBER(Volcanic!L60),Volcanic!L60,"")</f>
        <v>1963.0416666666667</v>
      </c>
      <c r="C60" s="21">
        <v>-0.38</v>
      </c>
      <c r="D60" s="18">
        <f t="shared" si="11"/>
        <v>-0.4</v>
      </c>
      <c r="E60" s="18">
        <f>IF(ISNUMBER(Volcanic!B60),Volcanic!B60,"")</f>
        <v>-2.9999999999999361E-2</v>
      </c>
      <c r="F60" s="18">
        <f>IF(ISNUMBER(Volcanic!C60),Volcanic!C60,"")</f>
        <v>0.18695325307037156</v>
      </c>
      <c r="G60" s="18">
        <f>IF(ISNUMBER(Volcanic!E60),Volcanic!E60,"")</f>
        <v>3.9699999999999996E-3</v>
      </c>
      <c r="H60" s="18">
        <f>IF(ISNUMBER(Volcanic!D60),Volcanic!D60,"")</f>
        <v>-0.25</v>
      </c>
      <c r="I60" s="18">
        <f t="shared" si="0"/>
        <v>0.18695325307037156</v>
      </c>
      <c r="J60" s="18">
        <f t="shared" si="1"/>
        <v>3.9699999999999996E-3</v>
      </c>
      <c r="K60" s="18">
        <f t="shared" si="2"/>
        <v>-0.4</v>
      </c>
      <c r="L60" s="18">
        <f t="shared" si="3"/>
        <v>0.18695325307037156</v>
      </c>
      <c r="M60" s="18">
        <f t="shared" si="4"/>
        <v>3.9699999999999996E-3</v>
      </c>
      <c r="N60" s="18">
        <f t="shared" si="5"/>
        <v>-0.65344689205291717</v>
      </c>
      <c r="O60" s="18">
        <f>Forcing!A60</f>
        <v>2017</v>
      </c>
      <c r="P60" s="18">
        <f>Forcing!B60</f>
        <v>0.91499999999999904</v>
      </c>
      <c r="Q60" s="18">
        <f>Forcing!AN60</f>
        <v>2.6228000000000002</v>
      </c>
      <c r="R60" s="18">
        <f>Forcing!AO60</f>
        <v>-2.2500000000000003E-2</v>
      </c>
      <c r="S60" s="18">
        <f t="shared" si="14"/>
        <v>2.6228000000000002</v>
      </c>
      <c r="T60" s="18">
        <f t="shared" si="15"/>
        <v>-0.50666666666666671</v>
      </c>
      <c r="U60" s="18">
        <f t="shared" si="16"/>
        <v>2.6228000000000002</v>
      </c>
      <c r="V60" s="18">
        <f t="shared" si="17"/>
        <v>-0.32161664937345413</v>
      </c>
      <c r="W60" s="18">
        <f>Forcing!K60+Forcing!J60</f>
        <v>3.6971000000000003</v>
      </c>
      <c r="X60" s="18">
        <f>Forcing!I60*$AB$30</f>
        <v>-1.794081</v>
      </c>
      <c r="Y60" s="18">
        <f t="shared" si="18"/>
        <v>-2.2500000000000003E-2</v>
      </c>
      <c r="Z60" s="18">
        <f>Forcing!B60-($AB$43+$AB$39*Forcing!AQ60+$AB$40*Forcing!AR60+$AB$44*Forcing!AS60)</f>
        <v>1.2736235760035464E-2</v>
      </c>
      <c r="AA60" s="18" t="s">
        <v>2841</v>
      </c>
      <c r="AB60" s="20">
        <f>AB59/'Recent 2023-25'!$D$17</f>
        <v>7.7402079098241616</v>
      </c>
      <c r="AK60" s="18">
        <f>IF(AND(ISNUMBER(C60),ISNUMBER(ENSO!F60)),C60-ENSO!F60,"")</f>
        <v>-4.9999999999999989E-2</v>
      </c>
      <c r="AL60" s="18">
        <f t="shared" si="12"/>
        <v>1963.0416666666667</v>
      </c>
      <c r="AM60" s="18">
        <f t="shared" si="13"/>
        <v>-2.9999999999999361E-2</v>
      </c>
    </row>
    <row r="61" spans="1:39">
      <c r="A61" s="18" t="str">
        <f>IF(Volcanic!A61="","",Volcanic!A61)</f>
        <v>2/1963</v>
      </c>
      <c r="B61" s="18">
        <f>IF(ISNUMBER(Volcanic!L61),Volcanic!L61,"")</f>
        <v>1963.125</v>
      </c>
      <c r="C61" s="21">
        <v>-0.1</v>
      </c>
      <c r="D61" s="18">
        <f t="shared" si="11"/>
        <v>-0.46</v>
      </c>
      <c r="E61" s="18">
        <f>IF(ISNUMBER(Volcanic!B61),Volcanic!B61,"")</f>
        <v>0.17999999999999972</v>
      </c>
      <c r="F61" s="18">
        <f>IF(ISNUMBER(Volcanic!C61),Volcanic!C61,"")</f>
        <v>0.18844614093972484</v>
      </c>
      <c r="G61" s="18">
        <f>IF(ISNUMBER(Volcanic!E61),Volcanic!E61,"")</f>
        <v>4.0499999999999998E-3</v>
      </c>
      <c r="H61" s="18">
        <f>IF(ISNUMBER(Volcanic!D61),Volcanic!D61,"")</f>
        <v>-0.25</v>
      </c>
      <c r="I61" s="18">
        <f t="shared" si="0"/>
        <v>0.18844614093972484</v>
      </c>
      <c r="J61" s="18">
        <f t="shared" si="1"/>
        <v>4.0499999999999998E-3</v>
      </c>
      <c r="K61" s="18">
        <f t="shared" si="2"/>
        <v>-0.46</v>
      </c>
      <c r="L61" s="18">
        <f t="shared" si="3"/>
        <v>0.18844614093972484</v>
      </c>
      <c r="M61" s="18">
        <f t="shared" si="4"/>
        <v>4.0499999999999998E-3</v>
      </c>
      <c r="N61" s="18">
        <f t="shared" si="5"/>
        <v>-0.71275687256231901</v>
      </c>
      <c r="O61" s="18">
        <f>Forcing!A61</f>
        <v>2018</v>
      </c>
      <c r="P61" s="18">
        <f>Forcing!B61</f>
        <v>0.85083333333333433</v>
      </c>
      <c r="Q61" s="18">
        <f>Forcing!AN61</f>
        <v>2.6823999999999999</v>
      </c>
      <c r="R61" s="18">
        <f>Forcing!AO61</f>
        <v>-0.25083333333333335</v>
      </c>
      <c r="S61" s="18">
        <f t="shared" si="14"/>
        <v>2.6823999999999999</v>
      </c>
      <c r="T61" s="18">
        <f t="shared" si="15"/>
        <v>-0.57083333333333319</v>
      </c>
      <c r="U61" s="18">
        <f t="shared" si="16"/>
        <v>2.6823999999999999</v>
      </c>
      <c r="V61" s="18">
        <f t="shared" si="17"/>
        <v>-0.37785643972650218</v>
      </c>
      <c r="W61" s="18">
        <f>Forcing!K61+Forcing!J61</f>
        <v>3.7384999999999997</v>
      </c>
      <c r="X61" s="18">
        <f>Forcing!I61*$AB$30</f>
        <v>-1.763687</v>
      </c>
      <c r="Y61" s="18">
        <f t="shared" si="18"/>
        <v>-0.25083333333333335</v>
      </c>
      <c r="Z61" s="18">
        <f>Forcing!B61-($AB$43+$AB$39*Forcing!AQ61+$AB$40*Forcing!AR61+$AB$44*Forcing!AS61)</f>
        <v>-5.2759029485804909E-2</v>
      </c>
      <c r="AA61" s="18" t="s">
        <v>2842</v>
      </c>
      <c r="AB61" s="20">
        <f>-AD55/AD58</f>
        <v>1.502844099947263</v>
      </c>
      <c r="AK61" s="18">
        <f>IF(AND(ISNUMBER(C61),ISNUMBER(ENSO!F61)),C61-ENSO!F61,"")</f>
        <v>7.0000000000000007E-2</v>
      </c>
      <c r="AL61" s="18">
        <f t="shared" si="12"/>
        <v>1963.125</v>
      </c>
      <c r="AM61" s="18">
        <f t="shared" si="13"/>
        <v>0.17999999999999972</v>
      </c>
    </row>
    <row r="62" spans="1:39">
      <c r="A62" s="18" t="str">
        <f>IF(Volcanic!A62="","",Volcanic!A62)</f>
        <v>3/1963</v>
      </c>
      <c r="B62" s="18">
        <f>IF(ISNUMBER(Volcanic!L62),Volcanic!L62,"")</f>
        <v>1963.2083333333333</v>
      </c>
      <c r="C62" s="21">
        <v>0.17</v>
      </c>
      <c r="D62" s="18">
        <f t="shared" si="11"/>
        <v>-0.5</v>
      </c>
      <c r="E62" s="18">
        <f>IF(ISNUMBER(Volcanic!B62),Volcanic!B62,"")</f>
        <v>-0.13999999999999879</v>
      </c>
      <c r="F62" s="18">
        <f>IF(ISNUMBER(Volcanic!C62),Volcanic!C62,"")</f>
        <v>0.19201376075129936</v>
      </c>
      <c r="G62" s="18">
        <f>IF(ISNUMBER(Volcanic!E62),Volcanic!E62,"")</f>
        <v>4.1599999999999996E-3</v>
      </c>
      <c r="H62" s="18">
        <f>IF(ISNUMBER(Volcanic!D62),Volcanic!D62,"")</f>
        <v>-0.32</v>
      </c>
      <c r="I62" s="18">
        <f t="shared" si="0"/>
        <v>0.19201376075129936</v>
      </c>
      <c r="J62" s="18">
        <f t="shared" si="1"/>
        <v>4.1599999999999996E-3</v>
      </c>
      <c r="K62" s="18">
        <f t="shared" si="2"/>
        <v>-0.5</v>
      </c>
      <c r="L62" s="18">
        <f t="shared" si="3"/>
        <v>0.19201376075129936</v>
      </c>
      <c r="M62" s="18">
        <f t="shared" si="4"/>
        <v>4.1599999999999996E-3</v>
      </c>
      <c r="N62" s="18">
        <f t="shared" si="5"/>
        <v>-0.75206685307172094</v>
      </c>
      <c r="O62" s="18">
        <f>Forcing!A62</f>
        <v>2019</v>
      </c>
      <c r="P62" s="18">
        <f>Forcing!B62</f>
        <v>0.97999999999999898</v>
      </c>
      <c r="Q62" s="18">
        <f>Forcing!AN62</f>
        <v>2.6877000000000004</v>
      </c>
      <c r="R62" s="18">
        <f>Forcing!AO62</f>
        <v>0.72666666666666668</v>
      </c>
      <c r="S62" s="18">
        <f t="shared" si="14"/>
        <v>2.6877000000000004</v>
      </c>
      <c r="T62" s="18">
        <f t="shared" si="15"/>
        <v>0.40833333333333338</v>
      </c>
      <c r="U62" s="18">
        <f t="shared" si="16"/>
        <v>2.6877000000000004</v>
      </c>
      <c r="V62" s="18">
        <f t="shared" si="17"/>
        <v>0.60923710325378466</v>
      </c>
      <c r="W62" s="18">
        <f>Forcing!K62+Forcing!J62</f>
        <v>3.8006000000000002</v>
      </c>
      <c r="X62" s="18">
        <f>Forcing!I62*$AB$30</f>
        <v>-1.8585429999999998</v>
      </c>
      <c r="Y62" s="18">
        <f t="shared" si="18"/>
        <v>0.72666666666666668</v>
      </c>
      <c r="Z62" s="18">
        <f>Forcing!B62-($AB$43+$AB$39*Forcing!AQ62+$AB$40*Forcing!AR62+$AB$44*Forcing!AS62)</f>
        <v>-2.4451738522432431E-2</v>
      </c>
      <c r="AA62" s="18" t="s">
        <v>2843</v>
      </c>
      <c r="AB62" s="25">
        <f>Forcing!T34</f>
        <v>6.1773699810023897E-2</v>
      </c>
      <c r="AK62" s="18">
        <f>IF(AND(ISNUMBER(C62),ISNUMBER(ENSO!F62)),C62-ENSO!F62,"")</f>
        <v>0.16</v>
      </c>
      <c r="AL62" s="18">
        <f t="shared" si="12"/>
        <v>1963.2083333333333</v>
      </c>
      <c r="AM62" s="18">
        <f t="shared" si="13"/>
        <v>-0.13999999999999879</v>
      </c>
    </row>
    <row r="63" spans="1:39" ht="78" customHeight="1">
      <c r="A63" s="18" t="str">
        <f>IF(Volcanic!A63="","",Volcanic!A63)</f>
        <v>4/1963</v>
      </c>
      <c r="B63" s="18">
        <f>IF(ISNUMBER(Volcanic!L63),Volcanic!L63,"")</f>
        <v>1963.2916666666667</v>
      </c>
      <c r="C63" s="21">
        <v>0.24</v>
      </c>
      <c r="D63" s="18">
        <f t="shared" si="11"/>
        <v>-0.38</v>
      </c>
      <c r="E63" s="18">
        <f>IF(ISNUMBER(Volcanic!B63),Volcanic!B63,"")</f>
        <v>-7.0000000000000284E-2</v>
      </c>
      <c r="F63" s="18">
        <f>IF(ISNUMBER(Volcanic!C63),Volcanic!C63,"")</f>
        <v>0.198853323377887</v>
      </c>
      <c r="G63" s="18">
        <f>IF(ISNUMBER(Volcanic!E63),Volcanic!E63,"")</f>
        <v>4.2300000000000003E-3</v>
      </c>
      <c r="H63" s="18">
        <f>IF(ISNUMBER(Volcanic!D63),Volcanic!D63,"")</f>
        <v>-0.33</v>
      </c>
      <c r="I63" s="18">
        <f t="shared" si="0"/>
        <v>0.198853323377887</v>
      </c>
      <c r="J63" s="18">
        <f t="shared" si="1"/>
        <v>4.2300000000000003E-3</v>
      </c>
      <c r="K63" s="18">
        <f t="shared" si="2"/>
        <v>-0.38</v>
      </c>
      <c r="L63" s="18">
        <f t="shared" si="3"/>
        <v>0.198853323377887</v>
      </c>
      <c r="M63" s="18">
        <f t="shared" si="4"/>
        <v>4.2300000000000003E-3</v>
      </c>
      <c r="N63" s="18">
        <f t="shared" si="5"/>
        <v>-0.63137683358111929</v>
      </c>
      <c r="O63" s="18">
        <f>Forcing!A63</f>
        <v>2020</v>
      </c>
      <c r="P63" s="18">
        <f>Forcing!B63</f>
        <v>1.0075000000000005</v>
      </c>
      <c r="Q63" s="18">
        <f>Forcing!AN63</f>
        <v>2.8317000000000001</v>
      </c>
      <c r="R63" s="18">
        <f>Forcing!AO63</f>
        <v>0.21833333333333335</v>
      </c>
      <c r="S63" s="18">
        <f t="shared" si="14"/>
        <v>2.8317000000000001</v>
      </c>
      <c r="T63" s="18">
        <f t="shared" si="15"/>
        <v>-0.32166666666666671</v>
      </c>
      <c r="U63" s="18">
        <f t="shared" si="16"/>
        <v>2.8317000000000001</v>
      </c>
      <c r="V63" s="18">
        <f t="shared" si="17"/>
        <v>-0.11283602043259705</v>
      </c>
      <c r="W63" s="18">
        <f>Forcing!K63+Forcing!J63</f>
        <v>3.7882000000000002</v>
      </c>
      <c r="X63" s="18">
        <f>Forcing!I63*$AB$30</f>
        <v>-1.5973549999999999</v>
      </c>
      <c r="Y63" s="18">
        <f t="shared" si="18"/>
        <v>0.21833333333333335</v>
      </c>
      <c r="Z63" s="18">
        <f>Forcing!B63-($AB$43+$AB$39*Forcing!AQ63+$AB$40*Forcing!AR63+$AB$44*Forcing!AS63)</f>
        <v>-5.1227210155431191E-3</v>
      </c>
      <c r="AA63" s="54" t="s">
        <v>2844</v>
      </c>
      <c r="AB63" s="53"/>
      <c r="AC63" s="53"/>
      <c r="AD63" s="53"/>
      <c r="AE63" s="53"/>
      <c r="AF63" s="53"/>
      <c r="AG63" s="53"/>
      <c r="AH63" s="53"/>
      <c r="AI63" s="53"/>
      <c r="AK63" s="18">
        <f>IF(AND(ISNUMBER(C63),ISNUMBER(ENSO!F63)),C63-ENSO!F63,"")</f>
        <v>0.10999999999999999</v>
      </c>
      <c r="AL63" s="18">
        <f t="shared" si="12"/>
        <v>1963.2916666666667</v>
      </c>
      <c r="AM63" s="18">
        <f t="shared" si="13"/>
        <v>-7.0000000000000284E-2</v>
      </c>
    </row>
    <row r="64" spans="1:39">
      <c r="A64" s="18" t="str">
        <f>IF(Volcanic!A64="","",Volcanic!A64)</f>
        <v>5/1963</v>
      </c>
      <c r="B64" s="18">
        <f>IF(ISNUMBER(Volcanic!L64),Volcanic!L64,"")</f>
        <v>1963.375</v>
      </c>
      <c r="C64" s="21">
        <v>0.23</v>
      </c>
      <c r="D64" s="18">
        <f t="shared" si="11"/>
        <v>-0.1</v>
      </c>
      <c r="E64" s="18">
        <f>IF(ISNUMBER(Volcanic!B64),Volcanic!B64,"")</f>
        <v>-6.0000000000000497E-2</v>
      </c>
      <c r="F64" s="18">
        <f>IF(ISNUMBER(Volcanic!C64),Volcanic!C64,"")</f>
        <v>0.20270876128709345</v>
      </c>
      <c r="G64" s="18">
        <f>IF(ISNUMBER(Volcanic!E64),Volcanic!E64,"")</f>
        <v>4.3E-3</v>
      </c>
      <c r="H64" s="18">
        <f>IF(ISNUMBER(Volcanic!D64),Volcanic!D64,"")</f>
        <v>-0.17</v>
      </c>
      <c r="I64" s="18">
        <f t="shared" si="0"/>
        <v>0.20270876128709345</v>
      </c>
      <c r="J64" s="18">
        <f t="shared" si="1"/>
        <v>4.3E-3</v>
      </c>
      <c r="K64" s="18">
        <f t="shared" si="2"/>
        <v>-0.1</v>
      </c>
      <c r="L64" s="18">
        <f t="shared" si="3"/>
        <v>0.20270876128709345</v>
      </c>
      <c r="M64" s="18">
        <f t="shared" si="4"/>
        <v>4.3E-3</v>
      </c>
      <c r="N64" s="18">
        <f t="shared" si="5"/>
        <v>-0.35068681409052116</v>
      </c>
      <c r="O64" s="18">
        <f>Forcing!A64</f>
        <v>2021</v>
      </c>
      <c r="P64" s="18">
        <f>Forcing!B64</f>
        <v>0.84916666666666762</v>
      </c>
      <c r="Q64" s="18">
        <f>Forcing!AN64</f>
        <v>2.8166000000000002</v>
      </c>
      <c r="R64" s="18">
        <f>Forcing!AO64</f>
        <v>-0.70583333333333342</v>
      </c>
      <c r="S64" s="18">
        <f t="shared" si="14"/>
        <v>2.8166000000000002</v>
      </c>
      <c r="T64" s="18">
        <f t="shared" si="15"/>
        <v>-0.97750000000000004</v>
      </c>
      <c r="U64" s="18">
        <f t="shared" si="16"/>
        <v>2.8166000000000002</v>
      </c>
      <c r="V64" s="18">
        <f t="shared" si="17"/>
        <v>-0.76074247745231194</v>
      </c>
      <c r="W64" s="18">
        <f>Forcing!K64+Forcing!J64</f>
        <v>3.8553000000000002</v>
      </c>
      <c r="X64" s="18">
        <f>Forcing!I64*$AB$30</f>
        <v>-1.7346289999999998</v>
      </c>
      <c r="Y64" s="18">
        <f t="shared" si="18"/>
        <v>-0.70583333333333342</v>
      </c>
      <c r="Z64" s="18">
        <f>Forcing!B64-($AB$43+$AB$39*Forcing!AQ64+$AB$40*Forcing!AR64+$AB$44*Forcing!AS64)</f>
        <v>-6.3285188898050126E-2</v>
      </c>
      <c r="AK64" s="18">
        <f>IF(AND(ISNUMBER(C64),ISNUMBER(ENSO!F64)),C64-ENSO!F64,"")</f>
        <v>0.11000000000000001</v>
      </c>
      <c r="AL64" s="18">
        <f t="shared" si="12"/>
        <v>1963.375</v>
      </c>
      <c r="AM64" s="18">
        <f t="shared" si="13"/>
        <v>-6.0000000000000497E-2</v>
      </c>
    </row>
    <row r="65" spans="1:39" ht="15.75">
      <c r="A65" s="18" t="str">
        <f>IF(Volcanic!A65="","",Volcanic!A65)</f>
        <v>6/1963</v>
      </c>
      <c r="B65" s="18">
        <f>IF(ISNUMBER(Volcanic!L65),Volcanic!L65,"")</f>
        <v>1963.4583333333333</v>
      </c>
      <c r="C65" s="21">
        <v>0.41</v>
      </c>
      <c r="D65" s="18">
        <f t="shared" si="11"/>
        <v>0.17</v>
      </c>
      <c r="E65" s="18">
        <f>IF(ISNUMBER(Volcanic!B65),Volcanic!B65,"")</f>
        <v>5.0000000000004263E-2</v>
      </c>
      <c r="F65" s="18">
        <f>IF(ISNUMBER(Volcanic!C65),Volcanic!C65,"")</f>
        <v>0.19934703581133892</v>
      </c>
      <c r="G65" s="18">
        <f>IF(ISNUMBER(Volcanic!E65),Volcanic!E65,"")</f>
        <v>4.2300000000000003E-3</v>
      </c>
      <c r="H65" s="18">
        <f>IF(ISNUMBER(Volcanic!D65),Volcanic!D65,"")</f>
        <v>0.01</v>
      </c>
      <c r="I65" s="18">
        <f t="shared" si="0"/>
        <v>0.19934703581133892</v>
      </c>
      <c r="J65" s="18">
        <f t="shared" si="1"/>
        <v>4.2300000000000003E-3</v>
      </c>
      <c r="K65" s="18">
        <f t="shared" si="2"/>
        <v>0.17</v>
      </c>
      <c r="L65" s="18">
        <f t="shared" si="3"/>
        <v>0.19934703581133892</v>
      </c>
      <c r="M65" s="18">
        <f t="shared" si="4"/>
        <v>4.2300000000000003E-3</v>
      </c>
      <c r="N65" s="18">
        <f t="shared" si="5"/>
        <v>-7.9996794599923066E-2</v>
      </c>
      <c r="O65" s="18">
        <f>Forcing!A65</f>
        <v>2022</v>
      </c>
      <c r="P65" s="18">
        <f>Forcing!B65</f>
        <v>0.89250000000000063</v>
      </c>
      <c r="Q65" s="18">
        <f>Forcing!AN65</f>
        <v>2.9706000000000001</v>
      </c>
      <c r="R65" s="18">
        <f>Forcing!AO65</f>
        <v>-0.79083333333333339</v>
      </c>
      <c r="S65" s="18">
        <f t="shared" si="14"/>
        <v>2.9706000000000001</v>
      </c>
      <c r="T65" s="18">
        <f t="shared" si="15"/>
        <v>-1.155</v>
      </c>
      <c r="U65" s="18">
        <f t="shared" si="16"/>
        <v>2.9706000000000001</v>
      </c>
      <c r="V65" s="18">
        <f t="shared" si="17"/>
        <v>-0.93031560113869349</v>
      </c>
      <c r="W65" s="18">
        <f>Forcing!K65+Forcing!J65</f>
        <v>3.8963000000000001</v>
      </c>
      <c r="X65" s="18">
        <f>Forcing!I65*$AB$30</f>
        <v>-1.5459189999999998</v>
      </c>
      <c r="Y65" s="18">
        <f t="shared" si="18"/>
        <v>-0.79083333333333339</v>
      </c>
      <c r="Z65" s="18">
        <f>Forcing!B65-($AB$43+$AB$39*Forcing!AQ65+$AB$40*Forcing!AR65+$AB$44*Forcing!AS65)</f>
        <v>-7.4855878163743506E-2</v>
      </c>
      <c r="AA65" s="4" t="s">
        <v>2845</v>
      </c>
      <c r="AK65" s="18">
        <f>IF(AND(ISNUMBER(C65),ISNUMBER(ENSO!F65)),C65-ENSO!F65,"")</f>
        <v>-4.0000000000000036E-2</v>
      </c>
      <c r="AL65" s="18">
        <f t="shared" si="12"/>
        <v>1963.4583333333333</v>
      </c>
      <c r="AM65" s="18">
        <f t="shared" si="13"/>
        <v>5.0000000000004263E-2</v>
      </c>
    </row>
    <row r="66" spans="1:39" ht="78" customHeight="1">
      <c r="A66" s="18" t="str">
        <f>IF(Volcanic!A66="","",Volcanic!A66)</f>
        <v>7/1963</v>
      </c>
      <c r="B66" s="18">
        <f>IF(ISNUMBER(Volcanic!L66),Volcanic!L66,"")</f>
        <v>1963.5416666666667</v>
      </c>
      <c r="C66" s="21">
        <v>0.73</v>
      </c>
      <c r="D66" s="18">
        <f t="shared" si="11"/>
        <v>0.24</v>
      </c>
      <c r="E66" s="18">
        <f>IF(ISNUMBER(Volcanic!B66),Volcanic!B66,"")</f>
        <v>5.9999999999998721E-2</v>
      </c>
      <c r="F66" s="18">
        <f>IF(ISNUMBER(Volcanic!C66),Volcanic!C66,"")</f>
        <v>0.19147241176149948</v>
      </c>
      <c r="G66" s="18">
        <f>IF(ISNUMBER(Volcanic!E66),Volcanic!E66,"")</f>
        <v>4.1099999999999999E-3</v>
      </c>
      <c r="H66" s="18">
        <f>IF(ISNUMBER(Volcanic!D66),Volcanic!D66,"")</f>
        <v>0.13</v>
      </c>
      <c r="I66" s="18">
        <f t="shared" ref="I66:I129" si="19">F66</f>
        <v>0.19147241176149948</v>
      </c>
      <c r="J66" s="18">
        <f t="shared" ref="J66:J129" si="20">G66</f>
        <v>4.1099999999999999E-3</v>
      </c>
      <c r="K66" s="18">
        <f t="shared" ref="K66:K129" si="21">IF(ISNUMBER(D66),D66,"")</f>
        <v>0.24</v>
      </c>
      <c r="L66" s="18">
        <f t="shared" ref="L66:L129" si="22">F66</f>
        <v>0.19147241176149948</v>
      </c>
      <c r="M66" s="18">
        <f t="shared" ref="M66:M129" si="23">G66</f>
        <v>4.1099999999999999E-3</v>
      </c>
      <c r="N66" s="18">
        <f t="shared" ref="N66:N129" si="24">IF(ISNUMBER(D66),D66-($AB$8*B66+$AB$9),"")</f>
        <v>-9.3067751093214302E-3</v>
      </c>
      <c r="O66" s="18">
        <f>Forcing!A66</f>
        <v>2023</v>
      </c>
      <c r="P66" s="18">
        <f>Forcing!B66</f>
        <v>1.1724999999999992</v>
      </c>
      <c r="Q66" s="18">
        <f>Forcing!AN66</f>
        <v>2.8590999999999998</v>
      </c>
      <c r="R66" s="18">
        <f>Forcing!AO66</f>
        <v>0.14416666666666667</v>
      </c>
      <c r="S66" s="18">
        <f t="shared" si="14"/>
        <v>2.8590999999999998</v>
      </c>
      <c r="T66" s="18">
        <f t="shared" si="15"/>
        <v>-0.18583333333333329</v>
      </c>
      <c r="U66" s="18">
        <f t="shared" si="16"/>
        <v>2.8590999999999998</v>
      </c>
      <c r="V66" s="18">
        <f t="shared" si="17"/>
        <v>4.6777941841595228E-2</v>
      </c>
      <c r="W66" s="18">
        <f>Forcing!K66+Forcing!J66</f>
        <v>3.9899</v>
      </c>
      <c r="X66" s="18">
        <f>Forcing!I66*$AB$30</f>
        <v>-1.888436</v>
      </c>
      <c r="Y66" s="18">
        <f t="shared" si="18"/>
        <v>0.14416666666666667</v>
      </c>
      <c r="Z66" s="18">
        <f>Forcing!B66-($AB$43+$AB$39*Forcing!AQ66+$AB$40*Forcing!AR66+$AB$44*Forcing!AS66)</f>
        <v>0.15707623179959684</v>
      </c>
      <c r="AA66" s="54" t="s">
        <v>2846</v>
      </c>
      <c r="AB66" s="53"/>
      <c r="AC66" s="53"/>
      <c r="AD66" s="53"/>
      <c r="AE66" s="53"/>
      <c r="AF66" s="53"/>
      <c r="AG66" s="53"/>
      <c r="AH66" s="53"/>
      <c r="AI66" s="53"/>
      <c r="AK66" s="18">
        <f>IF(AND(ISNUMBER(C66),ISNUMBER(ENSO!F66)),C66-ENSO!F66,"")</f>
        <v>-3.0000000000000027E-2</v>
      </c>
      <c r="AL66" s="18">
        <f t="shared" si="12"/>
        <v>1963.5416666666667</v>
      </c>
      <c r="AM66" s="18">
        <f t="shared" si="13"/>
        <v>5.9999999999998721E-2</v>
      </c>
    </row>
    <row r="67" spans="1:39" ht="78" customHeight="1">
      <c r="A67" s="18" t="str">
        <f>IF(Volcanic!A67="","",Volcanic!A67)</f>
        <v>8/1963</v>
      </c>
      <c r="B67" s="18">
        <f>IF(ISNUMBER(Volcanic!L67),Volcanic!L67,"")</f>
        <v>1963.625</v>
      </c>
      <c r="C67" s="21">
        <v>0.99</v>
      </c>
      <c r="D67" s="18">
        <f t="shared" si="11"/>
        <v>0.23</v>
      </c>
      <c r="E67" s="18">
        <f>IF(ISNUMBER(Volcanic!B67),Volcanic!B67,"")</f>
        <v>0.22000000000000242</v>
      </c>
      <c r="F67" s="18">
        <f>IF(ISNUMBER(Volcanic!C67),Volcanic!C67,"")</f>
        <v>0.18255610212855772</v>
      </c>
      <c r="G67" s="18">
        <f>IF(ISNUMBER(Volcanic!E67),Volcanic!E67,"")</f>
        <v>4.0200000000000001E-3</v>
      </c>
      <c r="H67" s="18">
        <f>IF(ISNUMBER(Volcanic!D67),Volcanic!D67,"")</f>
        <v>0.12</v>
      </c>
      <c r="I67" s="18">
        <f t="shared" si="19"/>
        <v>0.18255610212855772</v>
      </c>
      <c r="J67" s="18">
        <f t="shared" si="20"/>
        <v>4.0200000000000001E-3</v>
      </c>
      <c r="K67" s="18">
        <f t="shared" si="21"/>
        <v>0.23</v>
      </c>
      <c r="L67" s="18">
        <f t="shared" si="22"/>
        <v>0.18255610212855772</v>
      </c>
      <c r="M67" s="18">
        <f t="shared" si="23"/>
        <v>4.0200000000000001E-3</v>
      </c>
      <c r="N67" s="18">
        <f t="shared" si="24"/>
        <v>-1.8616755618723307E-2</v>
      </c>
      <c r="O67" s="18">
        <f>Forcing!A67</f>
        <v>2024</v>
      </c>
      <c r="P67" s="18">
        <f>Forcing!B67</f>
        <v>1.2858333333333338</v>
      </c>
      <c r="Q67" s="18">
        <f>Forcing!AN67</f>
        <v>2.9832000000000001</v>
      </c>
      <c r="R67" s="18">
        <f>Forcing!AO67</f>
        <v>0.95500000000000007</v>
      </c>
      <c r="S67" s="18">
        <f t="shared" si="14"/>
        <v>2.9832000000000001</v>
      </c>
      <c r="T67" s="18">
        <f t="shared" si="15"/>
        <v>0.35416666666666674</v>
      </c>
      <c r="U67" s="18">
        <f t="shared" si="16"/>
        <v>2.9832000000000001</v>
      </c>
      <c r="V67" s="18">
        <f t="shared" si="17"/>
        <v>0.5947048181552137</v>
      </c>
      <c r="W67" s="18">
        <f>Forcing!K67+Forcing!J67</f>
        <v>4.0494000000000003</v>
      </c>
      <c r="X67" s="18">
        <f>Forcing!I67*$AB$30</f>
        <v>-1.780554</v>
      </c>
      <c r="Y67" s="18">
        <f t="shared" si="18"/>
        <v>0.95500000000000007</v>
      </c>
      <c r="Z67" s="18">
        <f>Forcing!B67-($AB$43+$AB$39*Forcing!AQ67+$AB$40*Forcing!AR67+$AB$44*Forcing!AS67)</f>
        <v>0.13725852665218308</v>
      </c>
      <c r="AA67" s="54" t="s">
        <v>2847</v>
      </c>
      <c r="AB67" s="53"/>
      <c r="AC67" s="53"/>
      <c r="AD67" s="53"/>
      <c r="AE67" s="53"/>
      <c r="AF67" s="53"/>
      <c r="AG67" s="53"/>
      <c r="AH67" s="53"/>
      <c r="AI67" s="53"/>
      <c r="AK67" s="18">
        <f>IF(AND(ISNUMBER(C67),ISNUMBER(ENSO!F67)),C67-ENSO!F67,"")</f>
        <v>-0.10000000000000009</v>
      </c>
      <c r="AL67" s="18">
        <f t="shared" si="12"/>
        <v>1963.625</v>
      </c>
      <c r="AM67" s="18">
        <f t="shared" si="13"/>
        <v>0.22000000000000242</v>
      </c>
    </row>
    <row r="68" spans="1:39">
      <c r="A68" s="18" t="str">
        <f>IF(Volcanic!A68="","",Volcanic!A68)</f>
        <v>9/1963</v>
      </c>
      <c r="B68" s="18">
        <f>IF(ISNUMBER(Volcanic!L68),Volcanic!L68,"")</f>
        <v>1963.7083333333333</v>
      </c>
      <c r="C68" s="21">
        <v>1.04</v>
      </c>
      <c r="D68" s="18">
        <f t="shared" si="11"/>
        <v>0.41</v>
      </c>
      <c r="E68" s="18">
        <f>IF(ISNUMBER(Volcanic!B68),Volcanic!B68,"")</f>
        <v>0.16999999999999993</v>
      </c>
      <c r="F68" s="18">
        <f>IF(ISNUMBER(Volcanic!C68),Volcanic!C68,"")</f>
        <v>0.17545616583370666</v>
      </c>
      <c r="G68" s="18">
        <f>IF(ISNUMBER(Volcanic!E68),Volcanic!E68,"")</f>
        <v>3.8899999999999998E-3</v>
      </c>
      <c r="H68" s="18">
        <f>IF(ISNUMBER(Volcanic!D68),Volcanic!D68,"")</f>
        <v>0.45</v>
      </c>
      <c r="I68" s="18">
        <f t="shared" si="19"/>
        <v>0.17545616583370666</v>
      </c>
      <c r="J68" s="18">
        <f t="shared" si="20"/>
        <v>3.8899999999999998E-3</v>
      </c>
      <c r="K68" s="18">
        <f t="shared" si="21"/>
        <v>0.41</v>
      </c>
      <c r="L68" s="18">
        <f t="shared" si="22"/>
        <v>0.17545616583370666</v>
      </c>
      <c r="M68" s="18">
        <f t="shared" si="23"/>
        <v>3.8899999999999998E-3</v>
      </c>
      <c r="N68" s="18">
        <f t="shared" si="24"/>
        <v>0.16207326387187476</v>
      </c>
      <c r="O68" s="18">
        <f>Forcing!A68</f>
        <v>2025</v>
      </c>
      <c r="P68" s="18">
        <f>Forcing!B68</f>
        <v>1.193333333333334</v>
      </c>
      <c r="Q68" s="18">
        <f>Forcing!AN68</f>
        <v>3.1034999999999999</v>
      </c>
      <c r="R68" s="18">
        <f>Forcing!AO68</f>
        <v>-0.2091666666666667</v>
      </c>
      <c r="S68" s="18">
        <f t="shared" si="14"/>
        <v>3.1034999999999999</v>
      </c>
      <c r="T68" s="18">
        <f t="shared" si="15"/>
        <v>-0.73749999999999993</v>
      </c>
      <c r="U68" s="18">
        <f t="shared" si="16"/>
        <v>3.1034999999999999</v>
      </c>
      <c r="V68" s="18">
        <f t="shared" si="17"/>
        <v>-0.48903497219783454</v>
      </c>
      <c r="W68" s="18">
        <f>Forcing!K68+Forcing!J68</f>
        <v>4.0652999999999997</v>
      </c>
      <c r="X68" s="18">
        <f>Forcing!I68*$AB$30</f>
        <v>-1.606206</v>
      </c>
      <c r="Y68" s="18">
        <f t="shared" si="18"/>
        <v>-0.2091666666666667</v>
      </c>
      <c r="Z68" s="18">
        <f>Forcing!B68-($AB$43+$AB$39*Forcing!AQ68+$AB$40*Forcing!AR68+$AB$44*Forcing!AS68)</f>
        <v>0.11294782080169186</v>
      </c>
      <c r="AK68" s="18">
        <f>IF(AND(ISNUMBER(C68),ISNUMBER(ENSO!F68)),C68-ENSO!F68,"")</f>
        <v>-5.0000000000000044E-2</v>
      </c>
      <c r="AL68" s="18">
        <f t="shared" si="12"/>
        <v>1963.7083333333333</v>
      </c>
      <c r="AM68" s="18">
        <f t="shared" si="13"/>
        <v>0.16999999999999993</v>
      </c>
    </row>
    <row r="69" spans="1:39">
      <c r="A69" s="18" t="str">
        <f>IF(Volcanic!A69="","",Volcanic!A69)</f>
        <v>10/1963</v>
      </c>
      <c r="B69" s="18">
        <f>IF(ISNUMBER(Volcanic!L69),Volcanic!L69,"")</f>
        <v>1963.7916666666667</v>
      </c>
      <c r="C69" s="21">
        <v>1.1000000000000001</v>
      </c>
      <c r="D69" s="18">
        <f t="shared" ref="D69:D132" si="25">IF(C66="","",C66)</f>
        <v>0.73</v>
      </c>
      <c r="E69" s="18">
        <f>IF(ISNUMBER(Volcanic!B69),Volcanic!B69,"")</f>
        <v>0.14999999999999858</v>
      </c>
      <c r="F69" s="18">
        <f>IF(ISNUMBER(Volcanic!C69),Volcanic!C69,"")</f>
        <v>0.17445207560337639</v>
      </c>
      <c r="G69" s="18">
        <f>IF(ISNUMBER(Volcanic!E69),Volcanic!E69,"")</f>
        <v>5.0600000000000003E-3</v>
      </c>
      <c r="H69" s="18">
        <f>IF(ISNUMBER(Volcanic!D69),Volcanic!D69,"")</f>
        <v>0.76</v>
      </c>
      <c r="I69" s="18">
        <f t="shared" si="19"/>
        <v>0.17445207560337639</v>
      </c>
      <c r="J69" s="18">
        <f t="shared" si="20"/>
        <v>5.0600000000000003E-3</v>
      </c>
      <c r="K69" s="18">
        <f t="shared" si="21"/>
        <v>0.73</v>
      </c>
      <c r="L69" s="18">
        <f t="shared" si="22"/>
        <v>0.17445207560337639</v>
      </c>
      <c r="M69" s="18">
        <f t="shared" si="23"/>
        <v>5.0600000000000003E-3</v>
      </c>
      <c r="N69" s="18">
        <f t="shared" si="24"/>
        <v>0.48276328336247287</v>
      </c>
      <c r="AK69" s="18">
        <f>IF(AND(ISNUMBER(C69),ISNUMBER(ENSO!F69)),C69-ENSO!F69,"")</f>
        <v>-2.9999999999999805E-2</v>
      </c>
      <c r="AL69" s="18">
        <f t="shared" si="12"/>
        <v>1963.7916666666667</v>
      </c>
      <c r="AM69" s="18">
        <f t="shared" si="13"/>
        <v>0.14999999999999858</v>
      </c>
    </row>
    <row r="70" spans="1:39">
      <c r="A70" s="18" t="str">
        <f>IF(Volcanic!A70="","",Volcanic!A70)</f>
        <v>11/1963</v>
      </c>
      <c r="B70" s="18">
        <f>IF(ISNUMBER(Volcanic!L70),Volcanic!L70,"")</f>
        <v>1963.875</v>
      </c>
      <c r="C70" s="21">
        <v>1.22</v>
      </c>
      <c r="D70" s="18">
        <f t="shared" si="25"/>
        <v>0.99</v>
      </c>
      <c r="E70" s="18">
        <f>IF(ISNUMBER(Volcanic!B70),Volcanic!B70,"")</f>
        <v>0.14999999999999858</v>
      </c>
      <c r="F70" s="18">
        <f>IF(ISNUMBER(Volcanic!C70),Volcanic!C70,"")</f>
        <v>0.179374554217585</v>
      </c>
      <c r="G70" s="18">
        <f>IF(ISNUMBER(Volcanic!E70),Volcanic!E70,"")</f>
        <v>2.034E-2</v>
      </c>
      <c r="H70" s="18">
        <f>IF(ISNUMBER(Volcanic!D70),Volcanic!D70,"")</f>
        <v>1.0900000000000001</v>
      </c>
      <c r="I70" s="18">
        <f t="shared" si="19"/>
        <v>0.179374554217585</v>
      </c>
      <c r="J70" s="18">
        <f t="shared" si="20"/>
        <v>2.034E-2</v>
      </c>
      <c r="K70" s="18">
        <f t="shared" si="21"/>
        <v>0.99</v>
      </c>
      <c r="L70" s="18">
        <f t="shared" si="22"/>
        <v>0.179374554217585</v>
      </c>
      <c r="M70" s="18">
        <f t="shared" si="23"/>
        <v>2.034E-2</v>
      </c>
      <c r="N70" s="18">
        <f t="shared" si="24"/>
        <v>0.74345330285307099</v>
      </c>
      <c r="AK70" s="18">
        <f>IF(AND(ISNUMBER(C70),ISNUMBER(ENSO!F70)),C70-ENSO!F70,"")</f>
        <v>3.0000000000000027E-2</v>
      </c>
      <c r="AL70" s="18">
        <f t="shared" si="12"/>
        <v>1963.875</v>
      </c>
      <c r="AM70" s="18">
        <f t="shared" si="13"/>
        <v>0.14999999999999858</v>
      </c>
    </row>
    <row r="71" spans="1:39">
      <c r="A71" s="18" t="str">
        <f>IF(Volcanic!A71="","",Volcanic!A71)</f>
        <v>12/1963</v>
      </c>
      <c r="B71" s="18">
        <f>IF(ISNUMBER(Volcanic!L71),Volcanic!L71,"")</f>
        <v>1963.9583333333333</v>
      </c>
      <c r="C71" s="21">
        <v>1.25</v>
      </c>
      <c r="D71" s="18">
        <f t="shared" si="25"/>
        <v>1.04</v>
      </c>
      <c r="E71" s="18">
        <f>IF(ISNUMBER(Volcanic!B71),Volcanic!B71,"")</f>
        <v>-2.9999999999999361E-2</v>
      </c>
      <c r="F71" s="18">
        <f>IF(ISNUMBER(Volcanic!C71),Volcanic!C71,"")</f>
        <v>0.18518693705150802</v>
      </c>
      <c r="G71" s="18">
        <f>IF(ISNUMBER(Volcanic!E71),Volcanic!E71,"")</f>
        <v>3.2120000000000003E-2</v>
      </c>
      <c r="H71" s="18">
        <f>IF(ISNUMBER(Volcanic!D71),Volcanic!D71,"")</f>
        <v>1.0900000000000001</v>
      </c>
      <c r="I71" s="18">
        <f t="shared" si="19"/>
        <v>0.18518693705150802</v>
      </c>
      <c r="J71" s="18">
        <f t="shared" si="20"/>
        <v>3.2120000000000003E-2</v>
      </c>
      <c r="K71" s="18">
        <f t="shared" si="21"/>
        <v>1.04</v>
      </c>
      <c r="L71" s="18">
        <f t="shared" si="22"/>
        <v>0.18518693705150802</v>
      </c>
      <c r="M71" s="18">
        <f t="shared" si="23"/>
        <v>3.2120000000000003E-2</v>
      </c>
      <c r="N71" s="18">
        <f t="shared" si="24"/>
        <v>0.79414332234367269</v>
      </c>
      <c r="AK71" s="18">
        <f>IF(AND(ISNUMBER(C71),ISNUMBER(ENSO!F71)),C71-ENSO!F71,"")</f>
        <v>0.12000000000000011</v>
      </c>
      <c r="AL71" s="18">
        <f t="shared" si="12"/>
        <v>1963.9583333333333</v>
      </c>
      <c r="AM71" s="18">
        <f t="shared" si="13"/>
        <v>-2.9999999999999361E-2</v>
      </c>
    </row>
    <row r="72" spans="1:39">
      <c r="A72" s="18" t="str">
        <f>IF(Volcanic!A72="","",Volcanic!A72)</f>
        <v>1/1964</v>
      </c>
      <c r="B72" s="18">
        <f>IF(ISNUMBER(Volcanic!L72),Volcanic!L72,"")</f>
        <v>1964.0416666666667</v>
      </c>
      <c r="C72" s="21">
        <v>1.1299999999999999</v>
      </c>
      <c r="D72" s="18">
        <f t="shared" si="25"/>
        <v>1.1000000000000001</v>
      </c>
      <c r="E72" s="18">
        <f>IF(ISNUMBER(Volcanic!B72),Volcanic!B72,"")</f>
        <v>-9.0000000000001634E-2</v>
      </c>
      <c r="F72" s="18">
        <f>IF(ISNUMBER(Volcanic!C72),Volcanic!C72,"")</f>
        <v>0.1907051528018969</v>
      </c>
      <c r="G72" s="18">
        <f>IF(ISNUMBER(Volcanic!E72),Volcanic!E72,"")</f>
        <v>5.5280000000000003E-2</v>
      </c>
      <c r="H72" s="18">
        <f>IF(ISNUMBER(Volcanic!D72),Volcanic!D72,"")</f>
        <v>1.1299999999999999</v>
      </c>
      <c r="I72" s="18">
        <f t="shared" si="19"/>
        <v>0.1907051528018969</v>
      </c>
      <c r="J72" s="18">
        <f t="shared" si="20"/>
        <v>5.5280000000000003E-2</v>
      </c>
      <c r="K72" s="18">
        <f t="shared" si="21"/>
        <v>1.1000000000000001</v>
      </c>
      <c r="L72" s="18">
        <f t="shared" si="22"/>
        <v>0.1907051528018969</v>
      </c>
      <c r="M72" s="18">
        <f t="shared" si="23"/>
        <v>5.5280000000000003E-2</v>
      </c>
      <c r="N72" s="18">
        <f t="shared" si="24"/>
        <v>0.85483334183427084</v>
      </c>
      <c r="AK72" s="18">
        <f>IF(AND(ISNUMBER(C72),ISNUMBER(ENSO!F72)),C72-ENSO!F72,"")</f>
        <v>0.17999999999999994</v>
      </c>
      <c r="AL72" s="18">
        <f t="shared" si="12"/>
        <v>1964.0416666666667</v>
      </c>
      <c r="AM72" s="18">
        <f t="shared" si="13"/>
        <v>-9.0000000000001634E-2</v>
      </c>
    </row>
    <row r="73" spans="1:39">
      <c r="A73" s="18" t="str">
        <f>IF(Volcanic!A73="","",Volcanic!A73)</f>
        <v>2/1964</v>
      </c>
      <c r="B73" s="18">
        <f>IF(ISNUMBER(Volcanic!L73),Volcanic!L73,"")</f>
        <v>1964.125</v>
      </c>
      <c r="C73" s="21">
        <v>0.68</v>
      </c>
      <c r="D73" s="18">
        <f t="shared" si="25"/>
        <v>1.22</v>
      </c>
      <c r="E73" s="18">
        <f>IF(ISNUMBER(Volcanic!B73),Volcanic!B73,"")</f>
        <v>-0.10000000000000142</v>
      </c>
      <c r="F73" s="18">
        <f>IF(ISNUMBER(Volcanic!C73),Volcanic!C73,"")</f>
        <v>0.19282540355239119</v>
      </c>
      <c r="G73" s="18">
        <f>IF(ISNUMBER(Volcanic!E73),Volcanic!E73,"")</f>
        <v>6.9760000000000003E-2</v>
      </c>
      <c r="H73" s="18">
        <f>IF(ISNUMBER(Volcanic!D73),Volcanic!D73,"")</f>
        <v>1.19</v>
      </c>
      <c r="I73" s="18">
        <f t="shared" si="19"/>
        <v>0.19282540355239119</v>
      </c>
      <c r="J73" s="18">
        <f t="shared" si="20"/>
        <v>6.9760000000000003E-2</v>
      </c>
      <c r="K73" s="18">
        <f t="shared" si="21"/>
        <v>1.22</v>
      </c>
      <c r="L73" s="18">
        <f t="shared" si="22"/>
        <v>0.19282540355239119</v>
      </c>
      <c r="M73" s="18">
        <f t="shared" si="23"/>
        <v>6.9760000000000003E-2</v>
      </c>
      <c r="N73" s="18">
        <f t="shared" si="24"/>
        <v>0.97552336132486883</v>
      </c>
      <c r="AK73" s="18">
        <f>IF(AND(ISNUMBER(C73),ISNUMBER(ENSO!F73)),C73-ENSO!F73,"")</f>
        <v>0.16000000000000003</v>
      </c>
      <c r="AL73" s="18">
        <f t="shared" ref="AL73:AL136" si="26">B73</f>
        <v>1964.125</v>
      </c>
      <c r="AM73" s="18">
        <f t="shared" ref="AM73:AM136" si="27">E73</f>
        <v>-0.10000000000000142</v>
      </c>
    </row>
    <row r="74" spans="1:39">
      <c r="A74" s="18" t="str">
        <f>IF(Volcanic!A74="","",Volcanic!A74)</f>
        <v>3/1964</v>
      </c>
      <c r="B74" s="18">
        <f>IF(ISNUMBER(Volcanic!L74),Volcanic!L74,"")</f>
        <v>1964.2083333333333</v>
      </c>
      <c r="C74" s="21">
        <v>0.1</v>
      </c>
      <c r="D74" s="18">
        <f t="shared" si="25"/>
        <v>1.25</v>
      </c>
      <c r="E74" s="18">
        <f>IF(ISNUMBER(Volcanic!B74),Volcanic!B74,"")</f>
        <v>-0.20999999999999908</v>
      </c>
      <c r="F74" s="18">
        <f>IF(ISNUMBER(Volcanic!C74),Volcanic!C74,"")</f>
        <v>0.19602243814471609</v>
      </c>
      <c r="G74" s="18">
        <f>IF(ISNUMBER(Volcanic!E74),Volcanic!E74,"")</f>
        <v>7.7710000000000001E-2</v>
      </c>
      <c r="H74" s="18">
        <f>IF(ISNUMBER(Volcanic!D74),Volcanic!D74,"")</f>
        <v>1.1299999999999999</v>
      </c>
      <c r="I74" s="18">
        <f t="shared" si="19"/>
        <v>0.19602243814471609</v>
      </c>
      <c r="J74" s="18">
        <f t="shared" si="20"/>
        <v>7.7710000000000001E-2</v>
      </c>
      <c r="K74" s="18">
        <f t="shared" si="21"/>
        <v>1.25</v>
      </c>
      <c r="L74" s="18">
        <f t="shared" si="22"/>
        <v>0.19602243814471609</v>
      </c>
      <c r="M74" s="18">
        <f t="shared" si="23"/>
        <v>7.7710000000000001E-2</v>
      </c>
      <c r="N74" s="18">
        <f t="shared" si="24"/>
        <v>1.006213380815467</v>
      </c>
      <c r="AK74" s="18">
        <f>IF(AND(ISNUMBER(C74),ISNUMBER(ENSO!F74)),C74-ENSO!F74,"")</f>
        <v>4.0000000000000008E-2</v>
      </c>
      <c r="AL74" s="18">
        <f t="shared" si="26"/>
        <v>1964.2083333333333</v>
      </c>
      <c r="AM74" s="18">
        <f t="shared" si="27"/>
        <v>-0.20999999999999908</v>
      </c>
    </row>
    <row r="75" spans="1:39">
      <c r="A75" s="18" t="str">
        <f>IF(Volcanic!A75="","",Volcanic!A75)</f>
        <v>4/1964</v>
      </c>
      <c r="B75" s="18">
        <f>IF(ISNUMBER(Volcanic!L75),Volcanic!L75,"")</f>
        <v>1964.2916666666667</v>
      </c>
      <c r="C75" s="21">
        <v>-0.37</v>
      </c>
      <c r="D75" s="18">
        <f t="shared" si="25"/>
        <v>1.1299999999999999</v>
      </c>
      <c r="E75" s="18">
        <f>IF(ISNUMBER(Volcanic!B75),Volcanic!B75,"")</f>
        <v>-0.32000000000000206</v>
      </c>
      <c r="F75" s="18">
        <f>IF(ISNUMBER(Volcanic!C75),Volcanic!C75,"")</f>
        <v>0.20091681590593874</v>
      </c>
      <c r="G75" s="18">
        <f>IF(ISNUMBER(Volcanic!E75),Volcanic!E75,"")</f>
        <v>8.0869999999999997E-2</v>
      </c>
      <c r="H75" s="18">
        <f>IF(ISNUMBER(Volcanic!D75),Volcanic!D75,"")</f>
        <v>0.95</v>
      </c>
      <c r="I75" s="18">
        <f t="shared" si="19"/>
        <v>0.20091681590593874</v>
      </c>
      <c r="J75" s="18">
        <f t="shared" si="20"/>
        <v>8.0869999999999997E-2</v>
      </c>
      <c r="K75" s="18">
        <f t="shared" si="21"/>
        <v>1.1299999999999999</v>
      </c>
      <c r="L75" s="18">
        <f t="shared" si="22"/>
        <v>0.20091681590593874</v>
      </c>
      <c r="M75" s="18">
        <f t="shared" si="23"/>
        <v>8.0869999999999997E-2</v>
      </c>
      <c r="N75" s="18">
        <f t="shared" si="24"/>
        <v>0.88690340030606851</v>
      </c>
      <c r="AK75" s="18">
        <f>IF(AND(ISNUMBER(C75),ISNUMBER(ENSO!F75)),C75-ENSO!F75,"")</f>
        <v>-2.0000000000000018E-2</v>
      </c>
      <c r="AL75" s="18">
        <f t="shared" si="26"/>
        <v>1964.2916666666667</v>
      </c>
      <c r="AM75" s="18">
        <f t="shared" si="27"/>
        <v>-0.32000000000000206</v>
      </c>
    </row>
    <row r="76" spans="1:39">
      <c r="A76" s="18" t="str">
        <f>IF(Volcanic!A76="","",Volcanic!A76)</f>
        <v>5/1964</v>
      </c>
      <c r="B76" s="18">
        <f>IF(ISNUMBER(Volcanic!L76),Volcanic!L76,"")</f>
        <v>1964.375</v>
      </c>
      <c r="C76" s="21">
        <v>-0.63</v>
      </c>
      <c r="D76" s="18">
        <f t="shared" si="25"/>
        <v>0.68</v>
      </c>
      <c r="E76" s="18">
        <f>IF(ISNUMBER(Volcanic!B76),Volcanic!B76,"")</f>
        <v>-0.25</v>
      </c>
      <c r="F76" s="18">
        <f>IF(ISNUMBER(Volcanic!C76),Volcanic!C76,"")</f>
        <v>0.20275353141668456</v>
      </c>
      <c r="G76" s="18">
        <f>IF(ISNUMBER(Volcanic!E76),Volcanic!E76,"")</f>
        <v>8.0670000000000006E-2</v>
      </c>
      <c r="H76" s="18">
        <f>IF(ISNUMBER(Volcanic!D76),Volcanic!D76,"")</f>
        <v>0.52</v>
      </c>
      <c r="I76" s="18">
        <f t="shared" si="19"/>
        <v>0.20275353141668456</v>
      </c>
      <c r="J76" s="18">
        <f t="shared" si="20"/>
        <v>8.0670000000000006E-2</v>
      </c>
      <c r="K76" s="18">
        <f t="shared" si="21"/>
        <v>0.68</v>
      </c>
      <c r="L76" s="18">
        <f t="shared" si="22"/>
        <v>0.20275353141668456</v>
      </c>
      <c r="M76" s="18">
        <f t="shared" si="23"/>
        <v>8.0670000000000006E-2</v>
      </c>
      <c r="N76" s="18">
        <f t="shared" si="24"/>
        <v>0.43759341979666677</v>
      </c>
      <c r="AK76" s="18">
        <f>IF(AND(ISNUMBER(C76),ISNUMBER(ENSO!F76)),C76-ENSO!F76,"")</f>
        <v>-3.0000000000000027E-2</v>
      </c>
      <c r="AL76" s="18">
        <f t="shared" si="26"/>
        <v>1964.375</v>
      </c>
      <c r="AM76" s="18">
        <f t="shared" si="27"/>
        <v>-0.25</v>
      </c>
    </row>
    <row r="77" spans="1:39">
      <c r="A77" s="18" t="str">
        <f>IF(Volcanic!A77="","",Volcanic!A77)</f>
        <v>6/1964</v>
      </c>
      <c r="B77" s="18">
        <f>IF(ISNUMBER(Volcanic!L77),Volcanic!L77,"")</f>
        <v>1964.4583333333333</v>
      </c>
      <c r="C77" s="21">
        <v>-0.59</v>
      </c>
      <c r="D77" s="18">
        <f t="shared" si="25"/>
        <v>0.1</v>
      </c>
      <c r="E77" s="18">
        <f>IF(ISNUMBER(Volcanic!B77),Volcanic!B77,"")</f>
        <v>-3.9999999999999147E-2</v>
      </c>
      <c r="F77" s="18">
        <f>IF(ISNUMBER(Volcanic!C77),Volcanic!C77,"")</f>
        <v>0.20114093083670029</v>
      </c>
      <c r="G77" s="18">
        <f>IF(ISNUMBER(Volcanic!E77),Volcanic!E77,"")</f>
        <v>7.8039999999999998E-2</v>
      </c>
      <c r="H77" s="18">
        <f>IF(ISNUMBER(Volcanic!D77),Volcanic!D77,"")</f>
        <v>0.06</v>
      </c>
      <c r="I77" s="18">
        <f t="shared" si="19"/>
        <v>0.20114093083670029</v>
      </c>
      <c r="J77" s="18">
        <f t="shared" si="20"/>
        <v>7.8039999999999998E-2</v>
      </c>
      <c r="K77" s="18">
        <f t="shared" si="21"/>
        <v>0.1</v>
      </c>
      <c r="L77" s="18">
        <f t="shared" si="22"/>
        <v>0.20114093083670029</v>
      </c>
      <c r="M77" s="18">
        <f t="shared" si="23"/>
        <v>7.8039999999999998E-2</v>
      </c>
      <c r="N77" s="18">
        <f t="shared" si="24"/>
        <v>-0.14171656071273517</v>
      </c>
      <c r="AK77" s="18">
        <f>IF(AND(ISNUMBER(C77),ISNUMBER(ENSO!F77)),C77-ENSO!F77,"")</f>
        <v>7.0000000000000062E-2</v>
      </c>
      <c r="AL77" s="18">
        <f t="shared" si="26"/>
        <v>1964.4583333333333</v>
      </c>
      <c r="AM77" s="18">
        <f t="shared" si="27"/>
        <v>-3.9999999999999147E-2</v>
      </c>
    </row>
    <row r="78" spans="1:39">
      <c r="A78" s="18" t="str">
        <f>IF(Volcanic!A78="","",Volcanic!A78)</f>
        <v>7/1964</v>
      </c>
      <c r="B78" s="18">
        <f>IF(ISNUMBER(Volcanic!L78),Volcanic!L78,"")</f>
        <v>1964.5416666666667</v>
      </c>
      <c r="C78" s="21">
        <v>-0.59</v>
      </c>
      <c r="D78" s="18">
        <f t="shared" si="25"/>
        <v>-0.37</v>
      </c>
      <c r="E78" s="18">
        <f>IF(ISNUMBER(Volcanic!B78),Volcanic!B78,"")</f>
        <v>-3.9999999999999147E-2</v>
      </c>
      <c r="F78" s="18">
        <f>IF(ISNUMBER(Volcanic!C78),Volcanic!C78,"")</f>
        <v>0.19462742107482237</v>
      </c>
      <c r="G78" s="18">
        <f>IF(ISNUMBER(Volcanic!E78),Volcanic!E78,"")</f>
        <v>7.3910000000000003E-2</v>
      </c>
      <c r="H78" s="18">
        <f>IF(ISNUMBER(Volcanic!D78),Volcanic!D78,"")</f>
        <v>-0.35</v>
      </c>
      <c r="I78" s="18">
        <f t="shared" si="19"/>
        <v>0.19462742107482237</v>
      </c>
      <c r="J78" s="18">
        <f t="shared" si="20"/>
        <v>7.3910000000000003E-2</v>
      </c>
      <c r="K78" s="18">
        <f t="shared" si="21"/>
        <v>-0.37</v>
      </c>
      <c r="L78" s="18">
        <f t="shared" si="22"/>
        <v>0.19462742107482237</v>
      </c>
      <c r="M78" s="18">
        <f t="shared" si="23"/>
        <v>7.3910000000000003E-2</v>
      </c>
      <c r="N78" s="18">
        <f t="shared" si="24"/>
        <v>-0.61102654122213351</v>
      </c>
      <c r="AK78" s="18">
        <f>IF(AND(ISNUMBER(C78),ISNUMBER(ENSO!F78)),C78-ENSO!F78,"")</f>
        <v>8.0000000000000071E-2</v>
      </c>
      <c r="AL78" s="18">
        <f t="shared" si="26"/>
        <v>1964.5416666666667</v>
      </c>
      <c r="AM78" s="18">
        <f t="shared" si="27"/>
        <v>-3.9999999999999147E-2</v>
      </c>
    </row>
    <row r="79" spans="1:39">
      <c r="A79" s="18" t="str">
        <f>IF(Volcanic!A79="","",Volcanic!A79)</f>
        <v>8/1964</v>
      </c>
      <c r="B79" s="18">
        <f>IF(ISNUMBER(Volcanic!L79),Volcanic!L79,"")</f>
        <v>1964.625</v>
      </c>
      <c r="C79" s="21">
        <v>-0.62</v>
      </c>
      <c r="D79" s="18">
        <f t="shared" si="25"/>
        <v>-0.63</v>
      </c>
      <c r="E79" s="18">
        <f>IF(ISNUMBER(Volcanic!B79),Volcanic!B79,"")</f>
        <v>-0.21999999999999886</v>
      </c>
      <c r="F79" s="18">
        <f>IF(ISNUMBER(Volcanic!C79),Volcanic!C79,"")</f>
        <v>0.18672692311353747</v>
      </c>
      <c r="G79" s="18">
        <f>IF(ISNUMBER(Volcanic!E79),Volcanic!E79,"")</f>
        <v>6.8930000000000005E-2</v>
      </c>
      <c r="H79" s="18">
        <f>IF(ISNUMBER(Volcanic!D79),Volcanic!D79,"")</f>
        <v>-0.6</v>
      </c>
      <c r="I79" s="18">
        <f t="shared" si="19"/>
        <v>0.18672692311353747</v>
      </c>
      <c r="J79" s="18">
        <f t="shared" si="20"/>
        <v>6.8930000000000005E-2</v>
      </c>
      <c r="K79" s="18">
        <f t="shared" si="21"/>
        <v>-0.63</v>
      </c>
      <c r="L79" s="18">
        <f t="shared" si="22"/>
        <v>0.18672692311353747</v>
      </c>
      <c r="M79" s="18">
        <f t="shared" si="23"/>
        <v>6.8930000000000005E-2</v>
      </c>
      <c r="N79" s="18">
        <f t="shared" si="24"/>
        <v>-0.87033652173153542</v>
      </c>
      <c r="AK79" s="18">
        <f>IF(AND(ISNUMBER(C79),ISNUMBER(ENSO!F79)),C79-ENSO!F79,"")</f>
        <v>7.999999999999996E-2</v>
      </c>
      <c r="AL79" s="18">
        <f t="shared" si="26"/>
        <v>1964.625</v>
      </c>
      <c r="AM79" s="18">
        <f t="shared" si="27"/>
        <v>-0.21999999999999886</v>
      </c>
    </row>
    <row r="80" spans="1:39">
      <c r="A80" s="18" t="str">
        <f>IF(Volcanic!A80="","",Volcanic!A80)</f>
        <v>9/1964</v>
      </c>
      <c r="B80" s="18">
        <f>IF(ISNUMBER(Volcanic!L80),Volcanic!L80,"")</f>
        <v>1964.7083333333333</v>
      </c>
      <c r="C80" s="21">
        <v>-0.72</v>
      </c>
      <c r="D80" s="18">
        <f t="shared" si="25"/>
        <v>-0.59</v>
      </c>
      <c r="E80" s="18">
        <f>IF(ISNUMBER(Volcanic!B80),Volcanic!B80,"")</f>
        <v>-0.30000000000000249</v>
      </c>
      <c r="F80" s="18">
        <f>IF(ISNUMBER(Volcanic!C80),Volcanic!C80,"")</f>
        <v>0.17773559347228587</v>
      </c>
      <c r="G80" s="18">
        <f>IF(ISNUMBER(Volcanic!E80),Volcanic!E80,"")</f>
        <v>6.3469999999999999E-2</v>
      </c>
      <c r="H80" s="18">
        <f>IF(ISNUMBER(Volcanic!D80),Volcanic!D80,"")</f>
        <v>-0.66</v>
      </c>
      <c r="I80" s="18">
        <f t="shared" si="19"/>
        <v>0.17773559347228587</v>
      </c>
      <c r="J80" s="18">
        <f t="shared" si="20"/>
        <v>6.3469999999999999E-2</v>
      </c>
      <c r="K80" s="18">
        <f t="shared" si="21"/>
        <v>-0.59</v>
      </c>
      <c r="L80" s="18">
        <f t="shared" si="22"/>
        <v>0.17773559347228587</v>
      </c>
      <c r="M80" s="18">
        <f t="shared" si="23"/>
        <v>6.3469999999999999E-2</v>
      </c>
      <c r="N80" s="18">
        <f t="shared" si="24"/>
        <v>-0.82964650224093728</v>
      </c>
      <c r="AK80" s="18">
        <f>IF(AND(ISNUMBER(C80),ISNUMBER(ENSO!F80)),C80-ENSO!F80,"")</f>
        <v>0</v>
      </c>
      <c r="AL80" s="18">
        <f t="shared" si="26"/>
        <v>1964.7083333333333</v>
      </c>
      <c r="AM80" s="18">
        <f t="shared" si="27"/>
        <v>-0.30000000000000249</v>
      </c>
    </row>
    <row r="81" spans="1:39">
      <c r="A81" s="18" t="str">
        <f>IF(Volcanic!A81="","",Volcanic!A81)</f>
        <v>10/1964</v>
      </c>
      <c r="B81" s="18">
        <f>IF(ISNUMBER(Volcanic!L81),Volcanic!L81,"")</f>
        <v>1964.7916666666667</v>
      </c>
      <c r="C81" s="21">
        <v>-0.76</v>
      </c>
      <c r="D81" s="18">
        <f t="shared" si="25"/>
        <v>-0.59</v>
      </c>
      <c r="E81" s="18">
        <f>IF(ISNUMBER(Volcanic!B81),Volcanic!B81,"")</f>
        <v>-0.31000000000000227</v>
      </c>
      <c r="F81" s="18">
        <f>IF(ISNUMBER(Volcanic!C81),Volcanic!C81,"")</f>
        <v>0.17846425034734256</v>
      </c>
      <c r="G81" s="18">
        <f>IF(ISNUMBER(Volcanic!E81),Volcanic!E81,"")</f>
        <v>5.7950000000000002E-2</v>
      </c>
      <c r="H81" s="18">
        <f>IF(ISNUMBER(Volcanic!D81),Volcanic!D81,"")</f>
        <v>-0.67</v>
      </c>
      <c r="I81" s="18">
        <f t="shared" si="19"/>
        <v>0.17846425034734256</v>
      </c>
      <c r="J81" s="18">
        <f t="shared" si="20"/>
        <v>5.7950000000000002E-2</v>
      </c>
      <c r="K81" s="18">
        <f t="shared" si="21"/>
        <v>-0.59</v>
      </c>
      <c r="L81" s="18">
        <f t="shared" si="22"/>
        <v>0.17846425034734256</v>
      </c>
      <c r="M81" s="18">
        <f t="shared" si="23"/>
        <v>5.7950000000000002E-2</v>
      </c>
      <c r="N81" s="18">
        <f t="shared" si="24"/>
        <v>-0.82895648275033562</v>
      </c>
      <c r="AK81" s="18">
        <f>IF(AND(ISNUMBER(C81),ISNUMBER(ENSO!F81)),C81-ENSO!F81,"")</f>
        <v>4.0000000000000036E-2</v>
      </c>
      <c r="AL81" s="18">
        <f t="shared" si="26"/>
        <v>1964.7916666666667</v>
      </c>
      <c r="AM81" s="18">
        <f t="shared" si="27"/>
        <v>-0.31000000000000227</v>
      </c>
    </row>
    <row r="82" spans="1:39">
      <c r="A82" s="18" t="str">
        <f>IF(Volcanic!A82="","",Volcanic!A82)</f>
        <v>11/1964</v>
      </c>
      <c r="B82" s="18">
        <f>IF(ISNUMBER(Volcanic!L82),Volcanic!L82,"")</f>
        <v>1964.875</v>
      </c>
      <c r="C82" s="21">
        <v>-0.7</v>
      </c>
      <c r="D82" s="18">
        <f t="shared" si="25"/>
        <v>-0.62</v>
      </c>
      <c r="E82" s="18">
        <f>IF(ISNUMBER(Volcanic!B82),Volcanic!B82,"")</f>
        <v>-0.20999999999999908</v>
      </c>
      <c r="F82" s="18">
        <f>IF(ISNUMBER(Volcanic!C82),Volcanic!C82,"")</f>
        <v>0.18214743880477707</v>
      </c>
      <c r="G82" s="18">
        <f>IF(ISNUMBER(Volcanic!E82),Volcanic!E82,"")</f>
        <v>5.262E-2</v>
      </c>
      <c r="H82" s="18">
        <f>IF(ISNUMBER(Volcanic!D82),Volcanic!D82,"")</f>
        <v>-0.7</v>
      </c>
      <c r="I82" s="18">
        <f t="shared" si="19"/>
        <v>0.18214743880477707</v>
      </c>
      <c r="J82" s="18">
        <f t="shared" si="20"/>
        <v>5.262E-2</v>
      </c>
      <c r="K82" s="18">
        <f t="shared" si="21"/>
        <v>-0.62</v>
      </c>
      <c r="L82" s="18">
        <f t="shared" si="22"/>
        <v>0.18214743880477707</v>
      </c>
      <c r="M82" s="18">
        <f t="shared" si="23"/>
        <v>5.262E-2</v>
      </c>
      <c r="N82" s="18">
        <f t="shared" si="24"/>
        <v>-0.85826646325973754</v>
      </c>
      <c r="AK82" s="18">
        <f>IF(AND(ISNUMBER(C82),ISNUMBER(ENSO!F82)),C82-ENSO!F82,"")</f>
        <v>9.000000000000008E-2</v>
      </c>
      <c r="AL82" s="18">
        <f t="shared" si="26"/>
        <v>1964.875</v>
      </c>
      <c r="AM82" s="18">
        <f t="shared" si="27"/>
        <v>-0.20999999999999908</v>
      </c>
    </row>
    <row r="83" spans="1:39">
      <c r="A83" s="18" t="str">
        <f>IF(Volcanic!A83="","",Volcanic!A83)</f>
        <v>12/1964</v>
      </c>
      <c r="B83" s="18">
        <f>IF(ISNUMBER(Volcanic!L83),Volcanic!L83,"")</f>
        <v>1964.9583333333333</v>
      </c>
      <c r="C83" s="21">
        <v>-0.51</v>
      </c>
      <c r="D83" s="18">
        <f t="shared" si="25"/>
        <v>-0.72</v>
      </c>
      <c r="E83" s="18">
        <f>IF(ISNUMBER(Volcanic!B83),Volcanic!B83,"")</f>
        <v>-0.30000000000000249</v>
      </c>
      <c r="F83" s="18">
        <f>IF(ISNUMBER(Volcanic!C83),Volcanic!C83,"")</f>
        <v>0.18681745935711205</v>
      </c>
      <c r="G83" s="18">
        <f>IF(ISNUMBER(Volcanic!E83),Volcanic!E83,"")</f>
        <v>4.7509999999999997E-2</v>
      </c>
      <c r="H83" s="18">
        <f>IF(ISNUMBER(Volcanic!D83),Volcanic!D83,"")</f>
        <v>-0.72</v>
      </c>
      <c r="I83" s="18">
        <f t="shared" si="19"/>
        <v>0.18681745935711205</v>
      </c>
      <c r="J83" s="18">
        <f t="shared" si="20"/>
        <v>4.7509999999999997E-2</v>
      </c>
      <c r="K83" s="18">
        <f t="shared" si="21"/>
        <v>-0.72</v>
      </c>
      <c r="L83" s="18">
        <f t="shared" si="22"/>
        <v>0.18681745935711205</v>
      </c>
      <c r="M83" s="18">
        <f t="shared" si="23"/>
        <v>4.7509999999999997E-2</v>
      </c>
      <c r="N83" s="18">
        <f t="shared" si="24"/>
        <v>-0.95757644376913942</v>
      </c>
      <c r="AK83" s="18">
        <f>IF(AND(ISNUMBER(C83),ISNUMBER(ENSO!F83)),C83-ENSO!F83,"")</f>
        <v>0.24</v>
      </c>
      <c r="AL83" s="18">
        <f t="shared" si="26"/>
        <v>1964.9583333333333</v>
      </c>
      <c r="AM83" s="18">
        <f t="shared" si="27"/>
        <v>-0.30000000000000249</v>
      </c>
    </row>
    <row r="84" spans="1:39">
      <c r="A84" s="18" t="str">
        <f>IF(Volcanic!A84="","",Volcanic!A84)</f>
        <v>1/1965</v>
      </c>
      <c r="B84" s="18">
        <f>IF(ISNUMBER(Volcanic!L84),Volcanic!L84,"")</f>
        <v>1965.0416666666667</v>
      </c>
      <c r="C84" s="21">
        <v>-0.25</v>
      </c>
      <c r="D84" s="18">
        <f t="shared" si="25"/>
        <v>-0.76</v>
      </c>
      <c r="E84" s="18">
        <f>IF(ISNUMBER(Volcanic!B84),Volcanic!B84,"")</f>
        <v>-8.0000000000001847E-2</v>
      </c>
      <c r="F84" s="18">
        <f>IF(ISNUMBER(Volcanic!C84),Volcanic!C84,"")</f>
        <v>0.19011814991335674</v>
      </c>
      <c r="G84" s="18">
        <f>IF(ISNUMBER(Volcanic!E84),Volcanic!E84,"")</f>
        <v>4.2759999999999999E-2</v>
      </c>
      <c r="H84" s="18">
        <f>IF(ISNUMBER(Volcanic!D84),Volcanic!D84,"")</f>
        <v>-0.8</v>
      </c>
      <c r="I84" s="18">
        <f t="shared" si="19"/>
        <v>0.19011814991335674</v>
      </c>
      <c r="J84" s="18">
        <f t="shared" si="20"/>
        <v>4.2759999999999999E-2</v>
      </c>
      <c r="K84" s="18">
        <f t="shared" si="21"/>
        <v>-0.76</v>
      </c>
      <c r="L84" s="18">
        <f t="shared" si="22"/>
        <v>0.19011814991335674</v>
      </c>
      <c r="M84" s="18">
        <f t="shared" si="23"/>
        <v>4.2759999999999999E-2</v>
      </c>
      <c r="N84" s="18">
        <f t="shared" si="24"/>
        <v>-0.99688642427854135</v>
      </c>
      <c r="AK84" s="18">
        <f>IF(AND(ISNUMBER(C84),ISNUMBER(ENSO!F84)),C84-ENSO!F84,"")</f>
        <v>0.26</v>
      </c>
      <c r="AL84" s="18">
        <f t="shared" si="26"/>
        <v>1965.0416666666667</v>
      </c>
      <c r="AM84" s="18">
        <f t="shared" si="27"/>
        <v>-8.0000000000001847E-2</v>
      </c>
    </row>
    <row r="85" spans="1:39">
      <c r="A85" s="18" t="str">
        <f>IF(Volcanic!A85="","",Volcanic!A85)</f>
        <v>2/1965</v>
      </c>
      <c r="B85" s="18">
        <f>IF(ISNUMBER(Volcanic!L85),Volcanic!L85,"")</f>
        <v>1965.125</v>
      </c>
      <c r="C85" s="21">
        <v>7.0000000000000007E-2</v>
      </c>
      <c r="D85" s="18">
        <f t="shared" si="25"/>
        <v>-0.7</v>
      </c>
      <c r="E85" s="18">
        <f>IF(ISNUMBER(Volcanic!B85),Volcanic!B85,"")</f>
        <v>-0.16999999999999638</v>
      </c>
      <c r="F85" s="18">
        <f>IF(ISNUMBER(Volcanic!C85),Volcanic!C85,"")</f>
        <v>0.19462742107482237</v>
      </c>
      <c r="G85" s="18">
        <f>IF(ISNUMBER(Volcanic!E85),Volcanic!E85,"")</f>
        <v>3.8379999999999997E-2</v>
      </c>
      <c r="H85" s="18">
        <f>IF(ISNUMBER(Volcanic!D85),Volcanic!D85,"")</f>
        <v>-0.79</v>
      </c>
      <c r="I85" s="18">
        <f t="shared" si="19"/>
        <v>0.19462742107482237</v>
      </c>
      <c r="J85" s="18">
        <f t="shared" si="20"/>
        <v>3.8379999999999997E-2</v>
      </c>
      <c r="K85" s="18">
        <f t="shared" si="21"/>
        <v>-0.7</v>
      </c>
      <c r="L85" s="18">
        <f t="shared" si="22"/>
        <v>0.19462742107482237</v>
      </c>
      <c r="M85" s="18">
        <f t="shared" si="23"/>
        <v>3.8379999999999997E-2</v>
      </c>
      <c r="N85" s="18">
        <f t="shared" si="24"/>
        <v>-0.93619640478794319</v>
      </c>
      <c r="AK85" s="18">
        <f>IF(AND(ISNUMBER(C85),ISNUMBER(ENSO!F85)),C85-ENSO!F85,"")</f>
        <v>0.32</v>
      </c>
      <c r="AL85" s="18">
        <f t="shared" si="26"/>
        <v>1965.125</v>
      </c>
      <c r="AM85" s="18">
        <f t="shared" si="27"/>
        <v>-0.16999999999999638</v>
      </c>
    </row>
    <row r="86" spans="1:39">
      <c r="A86" s="18" t="str">
        <f>IF(Volcanic!A86="","",Volcanic!A86)</f>
        <v>3/1965</v>
      </c>
      <c r="B86" s="18">
        <f>IF(ISNUMBER(Volcanic!L86),Volcanic!L86,"")</f>
        <v>1965.2083333333333</v>
      </c>
      <c r="C86" s="21">
        <v>0.15</v>
      </c>
      <c r="D86" s="18">
        <f t="shared" si="25"/>
        <v>-0.51</v>
      </c>
      <c r="E86" s="18">
        <f>IF(ISNUMBER(Volcanic!B86),Volcanic!B86,"")</f>
        <v>-0.13000000000000256</v>
      </c>
      <c r="F86" s="18">
        <f>IF(ISNUMBER(Volcanic!C86),Volcanic!C86,"")</f>
        <v>0.19665200397268703</v>
      </c>
      <c r="G86" s="18">
        <f>IF(ISNUMBER(Volcanic!E86),Volcanic!E86,"")</f>
        <v>3.44E-2</v>
      </c>
      <c r="H86" s="18">
        <f>IF(ISNUMBER(Volcanic!D86),Volcanic!D86,"")</f>
        <v>-0.75</v>
      </c>
      <c r="I86" s="18">
        <f t="shared" si="19"/>
        <v>0.19665200397268703</v>
      </c>
      <c r="J86" s="18">
        <f t="shared" si="20"/>
        <v>3.44E-2</v>
      </c>
      <c r="K86" s="18">
        <f t="shared" si="21"/>
        <v>-0.51</v>
      </c>
      <c r="L86" s="18">
        <f t="shared" si="22"/>
        <v>0.19665200397268703</v>
      </c>
      <c r="M86" s="18">
        <f t="shared" si="23"/>
        <v>3.44E-2</v>
      </c>
      <c r="N86" s="18">
        <f t="shared" si="24"/>
        <v>-0.74550638529734514</v>
      </c>
      <c r="AK86" s="18">
        <f>IF(AND(ISNUMBER(C86),ISNUMBER(ENSO!F86)),C86-ENSO!F86,"")</f>
        <v>0.19</v>
      </c>
      <c r="AL86" s="18">
        <f t="shared" si="26"/>
        <v>1965.2083333333333</v>
      </c>
      <c r="AM86" s="18">
        <f t="shared" si="27"/>
        <v>-0.13000000000000256</v>
      </c>
    </row>
    <row r="87" spans="1:39">
      <c r="A87" s="18" t="str">
        <f>IF(Volcanic!A87="","",Volcanic!A87)</f>
        <v>4/1965</v>
      </c>
      <c r="B87" s="18">
        <f>IF(ISNUMBER(Volcanic!L87),Volcanic!L87,"")</f>
        <v>1965.2916666666667</v>
      </c>
      <c r="C87" s="21">
        <v>0.37</v>
      </c>
      <c r="D87" s="18">
        <f t="shared" si="25"/>
        <v>-0.25</v>
      </c>
      <c r="E87" s="18">
        <f>IF(ISNUMBER(Volcanic!B87),Volcanic!B87,"")</f>
        <v>-0.18999999999999773</v>
      </c>
      <c r="F87" s="18">
        <f>IF(ISNUMBER(Volcanic!C87),Volcanic!C87,"")</f>
        <v>0.20226098356200239</v>
      </c>
      <c r="G87" s="18">
        <f>IF(ISNUMBER(Volcanic!E87),Volcanic!E87,"")</f>
        <v>3.0769999999999999E-2</v>
      </c>
      <c r="H87" s="18">
        <f>IF(ISNUMBER(Volcanic!D87),Volcanic!D87,"")</f>
        <v>-0.51</v>
      </c>
      <c r="I87" s="18">
        <f t="shared" si="19"/>
        <v>0.20226098356200239</v>
      </c>
      <c r="J87" s="18">
        <f t="shared" si="20"/>
        <v>3.0769999999999999E-2</v>
      </c>
      <c r="K87" s="18">
        <f t="shared" si="21"/>
        <v>-0.25</v>
      </c>
      <c r="L87" s="18">
        <f t="shared" si="22"/>
        <v>0.20226098356200239</v>
      </c>
      <c r="M87" s="18">
        <f t="shared" si="23"/>
        <v>3.0769999999999999E-2</v>
      </c>
      <c r="N87" s="18">
        <f t="shared" si="24"/>
        <v>-0.48481636580674348</v>
      </c>
      <c r="AK87" s="18">
        <f>IF(AND(ISNUMBER(C87),ISNUMBER(ENSO!F87)),C87-ENSO!F87,"")</f>
        <v>0.21</v>
      </c>
      <c r="AL87" s="18">
        <f t="shared" si="26"/>
        <v>1965.2916666666667</v>
      </c>
      <c r="AM87" s="18">
        <f t="shared" si="27"/>
        <v>-0.18999999999999773</v>
      </c>
    </row>
    <row r="88" spans="1:39">
      <c r="A88" s="18" t="str">
        <f>IF(Volcanic!A88="","",Volcanic!A88)</f>
        <v>5/1965</v>
      </c>
      <c r="B88" s="18">
        <f>IF(ISNUMBER(Volcanic!L88),Volcanic!L88,"")</f>
        <v>1965.375</v>
      </c>
      <c r="C88" s="21">
        <v>0.62</v>
      </c>
      <c r="D88" s="18">
        <f t="shared" si="25"/>
        <v>7.0000000000000007E-2</v>
      </c>
      <c r="E88" s="18">
        <f>IF(ISNUMBER(Volcanic!B88),Volcanic!B88,"")</f>
        <v>-0.11999999999999744</v>
      </c>
      <c r="F88" s="18">
        <f>IF(ISNUMBER(Volcanic!C88),Volcanic!C88,"")</f>
        <v>0.20239533147297081</v>
      </c>
      <c r="G88" s="18">
        <f>IF(ISNUMBER(Volcanic!E88),Volcanic!E88,"")</f>
        <v>2.7529999999999999E-2</v>
      </c>
      <c r="H88" s="18">
        <f>IF(ISNUMBER(Volcanic!D88),Volcanic!D88,"")</f>
        <v>-0.25</v>
      </c>
      <c r="I88" s="18">
        <f t="shared" si="19"/>
        <v>0.20239533147297081</v>
      </c>
      <c r="J88" s="18">
        <f t="shared" si="20"/>
        <v>2.7529999999999999E-2</v>
      </c>
      <c r="K88" s="18">
        <f t="shared" si="21"/>
        <v>7.0000000000000007E-2</v>
      </c>
      <c r="L88" s="18">
        <f t="shared" si="22"/>
        <v>0.20239533147297081</v>
      </c>
      <c r="M88" s="18">
        <f t="shared" si="23"/>
        <v>2.7529999999999999E-2</v>
      </c>
      <c r="N88" s="18">
        <f t="shared" si="24"/>
        <v>-0.16412634631614537</v>
      </c>
      <c r="AK88" s="18">
        <f>IF(AND(ISNUMBER(C88),ISNUMBER(ENSO!F88)),C88-ENSO!F88,"")</f>
        <v>0.15000000000000002</v>
      </c>
      <c r="AL88" s="18">
        <f t="shared" si="26"/>
        <v>1965.375</v>
      </c>
      <c r="AM88" s="18">
        <f t="shared" si="27"/>
        <v>-0.11999999999999744</v>
      </c>
    </row>
    <row r="89" spans="1:39">
      <c r="A89" s="18" t="str">
        <f>IF(Volcanic!A89="","",Volcanic!A89)</f>
        <v>6/1965</v>
      </c>
      <c r="B89" s="18">
        <f>IF(ISNUMBER(Volcanic!L89),Volcanic!L89,"")</f>
        <v>1965.4583333333333</v>
      </c>
      <c r="C89" s="21">
        <v>1.03</v>
      </c>
      <c r="D89" s="18">
        <f t="shared" si="25"/>
        <v>0.15</v>
      </c>
      <c r="E89" s="18">
        <f>IF(ISNUMBER(Volcanic!B89),Volcanic!B89,"")</f>
        <v>-8.0000000000001847E-2</v>
      </c>
      <c r="F89" s="18">
        <f>IF(ISNUMBER(Volcanic!C89),Volcanic!C89,"")</f>
        <v>0.20105128904215877</v>
      </c>
      <c r="G89" s="18">
        <f>IF(ISNUMBER(Volcanic!E89),Volcanic!E89,"")</f>
        <v>2.462E-2</v>
      </c>
      <c r="H89" s="18">
        <f>IF(ISNUMBER(Volcanic!D89),Volcanic!D89,"")</f>
        <v>-0.04</v>
      </c>
      <c r="I89" s="18">
        <f t="shared" si="19"/>
        <v>0.20105128904215877</v>
      </c>
      <c r="J89" s="18">
        <f t="shared" si="20"/>
        <v>2.462E-2</v>
      </c>
      <c r="K89" s="18">
        <f t="shared" si="21"/>
        <v>0.15</v>
      </c>
      <c r="L89" s="18">
        <f t="shared" si="22"/>
        <v>0.20105128904215877</v>
      </c>
      <c r="M89" s="18">
        <f t="shared" si="23"/>
        <v>2.462E-2</v>
      </c>
      <c r="N89" s="18">
        <f t="shared" si="24"/>
        <v>-8.3436326825547275E-2</v>
      </c>
      <c r="AK89" s="18">
        <f>IF(AND(ISNUMBER(C89),ISNUMBER(ENSO!F89)),C89-ENSO!F89,"")</f>
        <v>0.24</v>
      </c>
      <c r="AL89" s="18">
        <f t="shared" si="26"/>
        <v>1965.4583333333333</v>
      </c>
      <c r="AM89" s="18">
        <f t="shared" si="27"/>
        <v>-8.0000000000001847E-2</v>
      </c>
    </row>
    <row r="90" spans="1:39">
      <c r="A90" s="18" t="str">
        <f>IF(Volcanic!A90="","",Volcanic!A90)</f>
        <v>7/1965</v>
      </c>
      <c r="B90" s="18">
        <f>IF(ISNUMBER(Volcanic!L90),Volcanic!L90,"")</f>
        <v>1965.5416666666667</v>
      </c>
      <c r="C90" s="21">
        <v>1.38</v>
      </c>
      <c r="D90" s="18">
        <f t="shared" si="25"/>
        <v>0.37</v>
      </c>
      <c r="E90" s="18">
        <f>IF(ISNUMBER(Volcanic!B90),Volcanic!B90,"")</f>
        <v>-0.13000000000000256</v>
      </c>
      <c r="F90" s="18">
        <f>IF(ISNUMBER(Volcanic!C90),Volcanic!C90,"")</f>
        <v>0.19808998077164383</v>
      </c>
      <c r="G90" s="18">
        <f>IF(ISNUMBER(Volcanic!E90),Volcanic!E90,"")</f>
        <v>2.2419999999999999E-2</v>
      </c>
      <c r="H90" s="18">
        <f>IF(ISNUMBER(Volcanic!D90),Volcanic!D90,"")</f>
        <v>0.16</v>
      </c>
      <c r="I90" s="18">
        <f t="shared" si="19"/>
        <v>0.19808998077164383</v>
      </c>
      <c r="J90" s="18">
        <f t="shared" si="20"/>
        <v>2.2419999999999999E-2</v>
      </c>
      <c r="K90" s="18">
        <f t="shared" si="21"/>
        <v>0.37</v>
      </c>
      <c r="L90" s="18">
        <f t="shared" si="22"/>
        <v>0.19808998077164383</v>
      </c>
      <c r="M90" s="18">
        <f t="shared" si="23"/>
        <v>2.2419999999999999E-2</v>
      </c>
      <c r="N90" s="18">
        <f t="shared" si="24"/>
        <v>0.13725369266505438</v>
      </c>
      <c r="AK90" s="18">
        <f>IF(AND(ISNUMBER(C90),ISNUMBER(ENSO!F90)),C90-ENSO!F90,"")</f>
        <v>0.2799999999999998</v>
      </c>
      <c r="AL90" s="18">
        <f t="shared" si="26"/>
        <v>1965.5416666666667</v>
      </c>
      <c r="AM90" s="18">
        <f t="shared" si="27"/>
        <v>-0.13000000000000256</v>
      </c>
    </row>
    <row r="91" spans="1:39">
      <c r="A91" s="18" t="str">
        <f>IF(Volcanic!A91="","",Volcanic!A91)</f>
        <v>8/1965</v>
      </c>
      <c r="B91" s="18">
        <f>IF(ISNUMBER(Volcanic!L91),Volcanic!L91,"")</f>
        <v>1965.625</v>
      </c>
      <c r="C91" s="21">
        <v>1.67</v>
      </c>
      <c r="D91" s="18">
        <f t="shared" si="25"/>
        <v>0.62</v>
      </c>
      <c r="E91" s="18">
        <f>IF(ISNUMBER(Volcanic!B91),Volcanic!B91,"")</f>
        <v>-3.9999999999999147E-2</v>
      </c>
      <c r="F91" s="18">
        <f>IF(ISNUMBER(Volcanic!C91),Volcanic!C91,"")</f>
        <v>0.18754154484093474</v>
      </c>
      <c r="G91" s="18">
        <f>IF(ISNUMBER(Volcanic!E91),Volcanic!E91,"")</f>
        <v>2.01E-2</v>
      </c>
      <c r="H91" s="18">
        <f>IF(ISNUMBER(Volcanic!D91),Volcanic!D91,"")</f>
        <v>0.47</v>
      </c>
      <c r="I91" s="18">
        <f t="shared" si="19"/>
        <v>0.18754154484093474</v>
      </c>
      <c r="J91" s="18">
        <f t="shared" si="20"/>
        <v>2.01E-2</v>
      </c>
      <c r="K91" s="18">
        <f t="shared" si="21"/>
        <v>0.62</v>
      </c>
      <c r="L91" s="18">
        <f t="shared" si="22"/>
        <v>0.18754154484093474</v>
      </c>
      <c r="M91" s="18">
        <f t="shared" si="23"/>
        <v>2.01E-2</v>
      </c>
      <c r="N91" s="18">
        <f t="shared" si="24"/>
        <v>0.38794371215565249</v>
      </c>
      <c r="AK91" s="18">
        <f>IF(AND(ISNUMBER(C91),ISNUMBER(ENSO!F91)),C91-ENSO!F91,"")</f>
        <v>0.39999999999999991</v>
      </c>
      <c r="AL91" s="18">
        <f t="shared" si="26"/>
        <v>1965.625</v>
      </c>
      <c r="AM91" s="18">
        <f t="shared" si="27"/>
        <v>-3.9999999999999147E-2</v>
      </c>
    </row>
    <row r="92" spans="1:39">
      <c r="A92" s="18" t="str">
        <f>IF(Volcanic!A92="","",Volcanic!A92)</f>
        <v>9/1965</v>
      </c>
      <c r="B92" s="18">
        <f>IF(ISNUMBER(Volcanic!L92),Volcanic!L92,"")</f>
        <v>1965.7083333333333</v>
      </c>
      <c r="C92" s="21">
        <v>1.94</v>
      </c>
      <c r="D92" s="18">
        <f t="shared" si="25"/>
        <v>1.03</v>
      </c>
      <c r="E92" s="18">
        <f>IF(ISNUMBER(Volcanic!B92),Volcanic!B92,"")</f>
        <v>-0.14999999999999858</v>
      </c>
      <c r="F92" s="18">
        <f>IF(ISNUMBER(Volcanic!C92),Volcanic!C92,"")</f>
        <v>0.18278308729885059</v>
      </c>
      <c r="G92" s="18">
        <f>IF(ISNUMBER(Volcanic!E92),Volcanic!E92,"")</f>
        <v>1.789E-2</v>
      </c>
      <c r="H92" s="18">
        <f>IF(ISNUMBER(Volcanic!D92),Volcanic!D92,"")</f>
        <v>0.79</v>
      </c>
      <c r="I92" s="18">
        <f t="shared" si="19"/>
        <v>0.18278308729885059</v>
      </c>
      <c r="J92" s="18">
        <f t="shared" si="20"/>
        <v>1.789E-2</v>
      </c>
      <c r="K92" s="18">
        <f t="shared" si="21"/>
        <v>1.03</v>
      </c>
      <c r="L92" s="18">
        <f t="shared" si="22"/>
        <v>0.18278308729885059</v>
      </c>
      <c r="M92" s="18">
        <f t="shared" si="23"/>
        <v>1.789E-2</v>
      </c>
      <c r="N92" s="18">
        <f t="shared" si="24"/>
        <v>0.79863373164625062</v>
      </c>
      <c r="AK92" s="18">
        <f>IF(AND(ISNUMBER(C92),ISNUMBER(ENSO!F92)),C92-ENSO!F92,"")</f>
        <v>0.3899999999999999</v>
      </c>
      <c r="AL92" s="18">
        <f t="shared" si="26"/>
        <v>1965.7083333333333</v>
      </c>
      <c r="AM92" s="18">
        <f t="shared" si="27"/>
        <v>-0.14999999999999858</v>
      </c>
    </row>
    <row r="93" spans="1:39">
      <c r="A93" s="18" t="str">
        <f>IF(Volcanic!A93="","",Volcanic!A93)</f>
        <v>10/1965</v>
      </c>
      <c r="B93" s="18">
        <f>IF(ISNUMBER(Volcanic!L93),Volcanic!L93,"")</f>
        <v>1965.7916666666667</v>
      </c>
      <c r="C93" s="21">
        <v>2.0299999999999998</v>
      </c>
      <c r="D93" s="18">
        <f t="shared" si="25"/>
        <v>1.38</v>
      </c>
      <c r="E93" s="18">
        <f>IF(ISNUMBER(Volcanic!B93),Volcanic!B93,"")</f>
        <v>-5.0000000000000711E-2</v>
      </c>
      <c r="F93" s="18">
        <f>IF(ISNUMBER(Volcanic!C93),Volcanic!C93,"")</f>
        <v>0.18042069408530895</v>
      </c>
      <c r="G93" s="18">
        <f>IF(ISNUMBER(Volcanic!E93),Volcanic!E93,"")</f>
        <v>1.5949999999999999E-2</v>
      </c>
      <c r="H93" s="18">
        <f>IF(ISNUMBER(Volcanic!D93),Volcanic!D93,"")</f>
        <v>1.1000000000000001</v>
      </c>
      <c r="I93" s="18">
        <f t="shared" si="19"/>
        <v>0.18042069408530895</v>
      </c>
      <c r="J93" s="18">
        <f t="shared" si="20"/>
        <v>1.5949999999999999E-2</v>
      </c>
      <c r="K93" s="18">
        <f t="shared" si="21"/>
        <v>1.38</v>
      </c>
      <c r="L93" s="18">
        <f t="shared" si="22"/>
        <v>0.18042069408530895</v>
      </c>
      <c r="M93" s="18">
        <f t="shared" si="23"/>
        <v>1.5949999999999999E-2</v>
      </c>
      <c r="N93" s="18">
        <f t="shared" si="24"/>
        <v>1.1493237511368521</v>
      </c>
      <c r="AK93" s="18">
        <f>IF(AND(ISNUMBER(C93),ISNUMBER(ENSO!F93)),C93-ENSO!F93,"")</f>
        <v>0.32999999999999985</v>
      </c>
      <c r="AL93" s="18">
        <f t="shared" si="26"/>
        <v>1965.7916666666667</v>
      </c>
      <c r="AM93" s="18">
        <f t="shared" si="27"/>
        <v>-5.0000000000000711E-2</v>
      </c>
    </row>
    <row r="94" spans="1:39">
      <c r="A94" s="18" t="str">
        <f>IF(Volcanic!A94="","",Volcanic!A94)</f>
        <v>11/1965</v>
      </c>
      <c r="B94" s="18">
        <f>IF(ISNUMBER(Volcanic!L94),Volcanic!L94,"")</f>
        <v>1965.875</v>
      </c>
      <c r="C94" s="21">
        <v>2.04</v>
      </c>
      <c r="D94" s="18">
        <f t="shared" si="25"/>
        <v>1.67</v>
      </c>
      <c r="E94" s="18">
        <f>IF(ISNUMBER(Volcanic!B94),Volcanic!B94,"")</f>
        <v>-6.0000000000000497E-2</v>
      </c>
      <c r="F94" s="18">
        <f>IF(ISNUMBER(Volcanic!C94),Volcanic!C94,"")</f>
        <v>0.18754154484093474</v>
      </c>
      <c r="G94" s="18">
        <f>IF(ISNUMBER(Volcanic!E94),Volcanic!E94,"")</f>
        <v>1.4330000000000001E-2</v>
      </c>
      <c r="H94" s="18">
        <f>IF(ISNUMBER(Volcanic!D94),Volcanic!D94,"")</f>
        <v>1.27</v>
      </c>
      <c r="I94" s="18">
        <f t="shared" si="19"/>
        <v>0.18754154484093474</v>
      </c>
      <c r="J94" s="18">
        <f t="shared" si="20"/>
        <v>1.4330000000000001E-2</v>
      </c>
      <c r="K94" s="18">
        <f t="shared" si="21"/>
        <v>1.67</v>
      </c>
      <c r="L94" s="18">
        <f t="shared" si="22"/>
        <v>0.18754154484093474</v>
      </c>
      <c r="M94" s="18">
        <f t="shared" si="23"/>
        <v>1.4330000000000001E-2</v>
      </c>
      <c r="N94" s="18">
        <f t="shared" si="24"/>
        <v>1.4400137706274503</v>
      </c>
      <c r="AK94" s="18">
        <f>IF(AND(ISNUMBER(C94),ISNUMBER(ENSO!F94)),C94-ENSO!F94,"")</f>
        <v>0.21999999999999997</v>
      </c>
      <c r="AL94" s="18">
        <f t="shared" si="26"/>
        <v>1965.875</v>
      </c>
      <c r="AM94" s="18">
        <f t="shared" si="27"/>
        <v>-6.0000000000000497E-2</v>
      </c>
    </row>
    <row r="95" spans="1:39">
      <c r="A95" s="18" t="str">
        <f>IF(Volcanic!A95="","",Volcanic!A95)</f>
        <v>12/1965</v>
      </c>
      <c r="B95" s="18">
        <f>IF(ISNUMBER(Volcanic!L95),Volcanic!L95,"")</f>
        <v>1965.9583333333333</v>
      </c>
      <c r="C95" s="21">
        <v>1.9</v>
      </c>
      <c r="D95" s="18">
        <f t="shared" si="25"/>
        <v>1.94</v>
      </c>
      <c r="E95" s="18">
        <f>IF(ISNUMBER(Volcanic!B95),Volcanic!B95,"")</f>
        <v>-8.0000000000001847E-2</v>
      </c>
      <c r="F95" s="18">
        <f>IF(ISNUMBER(Volcanic!C95),Volcanic!C95,"")</f>
        <v>0.19002782057413631</v>
      </c>
      <c r="G95" s="18">
        <f>IF(ISNUMBER(Volcanic!E95),Volcanic!E95,"")</f>
        <v>1.295E-2</v>
      </c>
      <c r="H95" s="18">
        <f>IF(ISNUMBER(Volcanic!D95),Volcanic!D95,"")</f>
        <v>1.55</v>
      </c>
      <c r="I95" s="18">
        <f t="shared" si="19"/>
        <v>0.19002782057413631</v>
      </c>
      <c r="J95" s="18">
        <f t="shared" si="20"/>
        <v>1.295E-2</v>
      </c>
      <c r="K95" s="18">
        <f t="shared" si="21"/>
        <v>1.94</v>
      </c>
      <c r="L95" s="18">
        <f t="shared" si="22"/>
        <v>0.19002782057413631</v>
      </c>
      <c r="M95" s="18">
        <f t="shared" si="23"/>
        <v>1.295E-2</v>
      </c>
      <c r="N95" s="18">
        <f t="shared" si="24"/>
        <v>1.7107037901180484</v>
      </c>
      <c r="AK95" s="18">
        <f>IF(AND(ISNUMBER(C95),ISNUMBER(ENSO!F95)),C95-ENSO!F95,"")</f>
        <v>0.29999999999999982</v>
      </c>
      <c r="AL95" s="18">
        <f t="shared" si="26"/>
        <v>1965.9583333333333</v>
      </c>
      <c r="AM95" s="18">
        <f t="shared" si="27"/>
        <v>-8.0000000000001847E-2</v>
      </c>
    </row>
    <row r="96" spans="1:39">
      <c r="A96" s="18" t="str">
        <f>IF(Volcanic!A96="","",Volcanic!A96)</f>
        <v>1/1966</v>
      </c>
      <c r="B96" s="18">
        <f>IF(ISNUMBER(Volcanic!L96),Volcanic!L96,"")</f>
        <v>1966.0416666666667</v>
      </c>
      <c r="C96" s="21">
        <v>1.65</v>
      </c>
      <c r="D96" s="18">
        <f t="shared" si="25"/>
        <v>2.0299999999999998</v>
      </c>
      <c r="E96" s="18">
        <f>IF(ISNUMBER(Volcanic!B96),Volcanic!B96,"")</f>
        <v>-0.18999999999999773</v>
      </c>
      <c r="F96" s="18">
        <f>IF(ISNUMBER(Volcanic!C96),Volcanic!C96,"")</f>
        <v>0.19543759520574477</v>
      </c>
      <c r="G96" s="18">
        <f>IF(ISNUMBER(Volcanic!E96),Volcanic!E96,"")</f>
        <v>1.1809999999999999E-2</v>
      </c>
      <c r="H96" s="18">
        <f>IF(ISNUMBER(Volcanic!D96),Volcanic!D96,"")</f>
        <v>1.7</v>
      </c>
      <c r="I96" s="18">
        <f t="shared" si="19"/>
        <v>0.19543759520574477</v>
      </c>
      <c r="J96" s="18">
        <f t="shared" si="20"/>
        <v>1.1809999999999999E-2</v>
      </c>
      <c r="K96" s="18">
        <f t="shared" si="21"/>
        <v>2.0299999999999998</v>
      </c>
      <c r="L96" s="18">
        <f t="shared" si="22"/>
        <v>0.19543759520574477</v>
      </c>
      <c r="M96" s="18">
        <f t="shared" si="23"/>
        <v>1.1809999999999999E-2</v>
      </c>
      <c r="N96" s="18">
        <f t="shared" si="24"/>
        <v>1.8013938096086464</v>
      </c>
      <c r="AK96" s="18">
        <f>IF(AND(ISNUMBER(C96),ISNUMBER(ENSO!F96)),C96-ENSO!F96,"")</f>
        <v>0.40999999999999992</v>
      </c>
      <c r="AL96" s="18">
        <f t="shared" si="26"/>
        <v>1966.0416666666667</v>
      </c>
      <c r="AM96" s="18">
        <f t="shared" si="27"/>
        <v>-0.18999999999999773</v>
      </c>
    </row>
    <row r="97" spans="1:39">
      <c r="A97" s="18" t="str">
        <f>IF(Volcanic!A97="","",Volcanic!A97)</f>
        <v>2/1966</v>
      </c>
      <c r="B97" s="18">
        <f>IF(ISNUMBER(Volcanic!L97),Volcanic!L97,"")</f>
        <v>1966.125</v>
      </c>
      <c r="C97" s="21">
        <v>1.52</v>
      </c>
      <c r="D97" s="18">
        <f t="shared" si="25"/>
        <v>2.04</v>
      </c>
      <c r="E97" s="18">
        <f>IF(ISNUMBER(Volcanic!B97),Volcanic!B97,"")</f>
        <v>-3.9999999999999147E-2</v>
      </c>
      <c r="F97" s="18">
        <f>IF(ISNUMBER(Volcanic!C97),Volcanic!C97,"")</f>
        <v>0.19984057934659985</v>
      </c>
      <c r="G97" s="18">
        <f>IF(ISNUMBER(Volcanic!E97),Volcanic!E97,"")</f>
        <v>1.0829999999999999E-2</v>
      </c>
      <c r="H97" s="18">
        <f>IF(ISNUMBER(Volcanic!D97),Volcanic!D97,"")</f>
        <v>1.82</v>
      </c>
      <c r="I97" s="18">
        <f t="shared" si="19"/>
        <v>0.19984057934659985</v>
      </c>
      <c r="J97" s="18">
        <f t="shared" si="20"/>
        <v>1.0829999999999999E-2</v>
      </c>
      <c r="K97" s="18">
        <f t="shared" si="21"/>
        <v>2.04</v>
      </c>
      <c r="L97" s="18">
        <f t="shared" si="22"/>
        <v>0.19984057934659985</v>
      </c>
      <c r="M97" s="18">
        <f t="shared" si="23"/>
        <v>1.0829999999999999E-2</v>
      </c>
      <c r="N97" s="18">
        <f t="shared" si="24"/>
        <v>1.8120838290992483</v>
      </c>
      <c r="AK97" s="18">
        <f>IF(AND(ISNUMBER(C97),ISNUMBER(ENSO!F97)),C97-ENSO!F97,"")</f>
        <v>0.57000000000000006</v>
      </c>
      <c r="AL97" s="18">
        <f t="shared" si="26"/>
        <v>1966.125</v>
      </c>
      <c r="AM97" s="18">
        <f t="shared" si="27"/>
        <v>-3.9999999999999147E-2</v>
      </c>
    </row>
    <row r="98" spans="1:39">
      <c r="A98" s="18" t="str">
        <f>IF(Volcanic!A98="","",Volcanic!A98)</f>
        <v>3/1966</v>
      </c>
      <c r="B98" s="18">
        <f>IF(ISNUMBER(Volcanic!L98),Volcanic!L98,"")</f>
        <v>1966.2083333333333</v>
      </c>
      <c r="C98" s="21">
        <v>1.26</v>
      </c>
      <c r="D98" s="18">
        <f t="shared" si="25"/>
        <v>1.9</v>
      </c>
      <c r="E98" s="18">
        <f>IF(ISNUMBER(Volcanic!B98),Volcanic!B98,"")</f>
        <v>2.9999999999997584E-2</v>
      </c>
      <c r="F98" s="18">
        <f>IF(ISNUMBER(Volcanic!C98),Volcanic!C98,"")</f>
        <v>0.20338016739614553</v>
      </c>
      <c r="G98" s="18">
        <f>IF(ISNUMBER(Volcanic!E98),Volcanic!E98,"")</f>
        <v>1.001E-2</v>
      </c>
      <c r="H98" s="18">
        <f>IF(ISNUMBER(Volcanic!D98),Volcanic!D98,"")</f>
        <v>1.6</v>
      </c>
      <c r="I98" s="18">
        <f t="shared" si="19"/>
        <v>0.20338016739614553</v>
      </c>
      <c r="J98" s="18">
        <f t="shared" si="20"/>
        <v>1.001E-2</v>
      </c>
      <c r="K98" s="18">
        <f t="shared" si="21"/>
        <v>1.9</v>
      </c>
      <c r="L98" s="18">
        <f t="shared" si="22"/>
        <v>0.20338016739614553</v>
      </c>
      <c r="M98" s="18">
        <f t="shared" si="23"/>
        <v>1.001E-2</v>
      </c>
      <c r="N98" s="18">
        <f t="shared" si="24"/>
        <v>1.6727738485898462</v>
      </c>
      <c r="AK98" s="18">
        <f>IF(AND(ISNUMBER(C98),ISNUMBER(ENSO!F98)),C98-ENSO!F98,"")</f>
        <v>0.5</v>
      </c>
      <c r="AL98" s="18">
        <f t="shared" si="26"/>
        <v>1966.2083333333333</v>
      </c>
      <c r="AM98" s="18">
        <f t="shared" si="27"/>
        <v>2.9999999999997584E-2</v>
      </c>
    </row>
    <row r="99" spans="1:39">
      <c r="A99" s="18" t="str">
        <f>IF(Volcanic!A99="","",Volcanic!A99)</f>
        <v>4/1966</v>
      </c>
      <c r="B99" s="18">
        <f>IF(ISNUMBER(Volcanic!L99),Volcanic!L99,"")</f>
        <v>1966.2916666666667</v>
      </c>
      <c r="C99" s="21">
        <v>0.87</v>
      </c>
      <c r="D99" s="18">
        <f t="shared" si="25"/>
        <v>1.65</v>
      </c>
      <c r="E99" s="18">
        <f>IF(ISNUMBER(Volcanic!B99),Volcanic!B99,"")</f>
        <v>-0.13000000000000256</v>
      </c>
      <c r="F99" s="18">
        <f>IF(ISNUMBER(Volcanic!C99),Volcanic!C99,"")</f>
        <v>0.20923053837684438</v>
      </c>
      <c r="G99" s="18">
        <f>IF(ISNUMBER(Volcanic!E99),Volcanic!E99,"")</f>
        <v>9.2800000000000001E-3</v>
      </c>
      <c r="H99" s="18">
        <f>IF(ISNUMBER(Volcanic!D99),Volcanic!D99,"")</f>
        <v>1.24</v>
      </c>
      <c r="I99" s="18">
        <f t="shared" si="19"/>
        <v>0.20923053837684438</v>
      </c>
      <c r="J99" s="18">
        <f t="shared" si="20"/>
        <v>9.2800000000000001E-3</v>
      </c>
      <c r="K99" s="18">
        <f t="shared" si="21"/>
        <v>1.65</v>
      </c>
      <c r="L99" s="18">
        <f t="shared" si="22"/>
        <v>0.20923053837684438</v>
      </c>
      <c r="M99" s="18">
        <f t="shared" si="23"/>
        <v>9.2800000000000001E-3</v>
      </c>
      <c r="N99" s="18">
        <f t="shared" si="24"/>
        <v>1.4234638680804443</v>
      </c>
      <c r="AK99" s="18">
        <f>IF(AND(ISNUMBER(C99),ISNUMBER(ENSO!F99)),C99-ENSO!F99,"")</f>
        <v>0.44</v>
      </c>
      <c r="AL99" s="18">
        <f t="shared" si="26"/>
        <v>1966.2916666666667</v>
      </c>
      <c r="AM99" s="18">
        <f t="shared" si="27"/>
        <v>-0.13000000000000256</v>
      </c>
    </row>
    <row r="100" spans="1:39">
      <c r="A100" s="18" t="str">
        <f>IF(Volcanic!A100="","",Volcanic!A100)</f>
        <v>5/1966</v>
      </c>
      <c r="B100" s="18">
        <f>IF(ISNUMBER(Volcanic!L100),Volcanic!L100,"")</f>
        <v>1966.375</v>
      </c>
      <c r="C100" s="21">
        <v>0.46</v>
      </c>
      <c r="D100" s="18">
        <f t="shared" si="25"/>
        <v>1.52</v>
      </c>
      <c r="E100" s="18">
        <f>IF(ISNUMBER(Volcanic!B100),Volcanic!B100,"")</f>
        <v>-0.11999999999999744</v>
      </c>
      <c r="F100" s="18">
        <f>IF(ISNUMBER(Volcanic!C100),Volcanic!C100,"")</f>
        <v>0.21092316296674554</v>
      </c>
      <c r="G100" s="18">
        <f>IF(ISNUMBER(Volcanic!E100),Volcanic!E100,"")</f>
        <v>9.1400000000000006E-3</v>
      </c>
      <c r="H100" s="18">
        <f>IF(ISNUMBER(Volcanic!D100),Volcanic!D100,"")</f>
        <v>0.95</v>
      </c>
      <c r="I100" s="18">
        <f t="shared" si="19"/>
        <v>0.21092316296674554</v>
      </c>
      <c r="J100" s="18">
        <f t="shared" si="20"/>
        <v>9.1400000000000006E-3</v>
      </c>
      <c r="K100" s="18">
        <f t="shared" si="21"/>
        <v>1.52</v>
      </c>
      <c r="L100" s="18">
        <f t="shared" si="22"/>
        <v>0.21092316296674554</v>
      </c>
      <c r="M100" s="18">
        <f t="shared" si="23"/>
        <v>9.1400000000000006E-3</v>
      </c>
      <c r="N100" s="18">
        <f t="shared" si="24"/>
        <v>1.2941538875710425</v>
      </c>
      <c r="AK100" s="18">
        <f>IF(AND(ISNUMBER(C100),ISNUMBER(ENSO!F100)),C100-ENSO!F100,"")</f>
        <v>0.22000000000000003</v>
      </c>
      <c r="AL100" s="18">
        <f t="shared" si="26"/>
        <v>1966.375</v>
      </c>
      <c r="AM100" s="18">
        <f t="shared" si="27"/>
        <v>-0.11999999999999744</v>
      </c>
    </row>
    <row r="101" spans="1:39">
      <c r="A101" s="18" t="str">
        <f>IF(Volcanic!A101="","",Volcanic!A101)</f>
        <v>6/1966</v>
      </c>
      <c r="B101" s="18">
        <f>IF(ISNUMBER(Volcanic!L101),Volcanic!L101,"")</f>
        <v>1966.4583333333333</v>
      </c>
      <c r="C101" s="21">
        <v>0.28999999999999998</v>
      </c>
      <c r="D101" s="18">
        <f t="shared" si="25"/>
        <v>1.26</v>
      </c>
      <c r="E101" s="18">
        <f>IF(ISNUMBER(Volcanic!B101),Volcanic!B101,"")</f>
        <v>1.0000000000001563E-2</v>
      </c>
      <c r="F101" s="18">
        <f>IF(ISNUMBER(Volcanic!C101),Volcanic!C101,"")</f>
        <v>0.20945336562894978</v>
      </c>
      <c r="G101" s="18">
        <f>IF(ISNUMBER(Volcanic!E101),Volcanic!E101,"")</f>
        <v>8.7299999999999999E-3</v>
      </c>
      <c r="H101" s="18">
        <f>IF(ISNUMBER(Volcanic!D101),Volcanic!D101,"")</f>
        <v>0.76</v>
      </c>
      <c r="I101" s="18">
        <f t="shared" si="19"/>
        <v>0.20945336562894978</v>
      </c>
      <c r="J101" s="18">
        <f t="shared" si="20"/>
        <v>8.7299999999999999E-3</v>
      </c>
      <c r="K101" s="18">
        <f t="shared" si="21"/>
        <v>1.26</v>
      </c>
      <c r="L101" s="18">
        <f t="shared" si="22"/>
        <v>0.20945336562894978</v>
      </c>
      <c r="M101" s="18">
        <f t="shared" si="23"/>
        <v>8.7299999999999999E-3</v>
      </c>
      <c r="N101" s="18">
        <f t="shared" si="24"/>
        <v>1.0348439070616406</v>
      </c>
      <c r="AK101" s="18">
        <f>IF(AND(ISNUMBER(C101),ISNUMBER(ENSO!F101)),C101-ENSO!F101,"")</f>
        <v>0.10999999999999999</v>
      </c>
      <c r="AL101" s="18">
        <f t="shared" si="26"/>
        <v>1966.4583333333333</v>
      </c>
      <c r="AM101" s="18">
        <f t="shared" si="27"/>
        <v>1.0000000000001563E-2</v>
      </c>
    </row>
    <row r="102" spans="1:39">
      <c r="A102" s="18" t="str">
        <f>IF(Volcanic!A102="","",Volcanic!A102)</f>
        <v>7/1966</v>
      </c>
      <c r="B102" s="18">
        <f>IF(ISNUMBER(Volcanic!L102),Volcanic!L102,"")</f>
        <v>1966.5416666666667</v>
      </c>
      <c r="C102" s="21">
        <v>0.27</v>
      </c>
      <c r="D102" s="18">
        <f t="shared" si="25"/>
        <v>0.87</v>
      </c>
      <c r="E102" s="18">
        <f>IF(ISNUMBER(Volcanic!B102),Volcanic!B102,"")</f>
        <v>8.0000000000000071E-2</v>
      </c>
      <c r="F102" s="18">
        <f>IF(ISNUMBER(Volcanic!C102),Volcanic!C102,"")</f>
        <v>0.20329066463286302</v>
      </c>
      <c r="G102" s="18">
        <f>IF(ISNUMBER(Volcanic!E102),Volcanic!E102,"")</f>
        <v>8.1399999999999997E-3</v>
      </c>
      <c r="H102" s="18">
        <f>IF(ISNUMBER(Volcanic!D102),Volcanic!D102,"")</f>
        <v>0.43</v>
      </c>
      <c r="I102" s="18">
        <f t="shared" si="19"/>
        <v>0.20329066463286302</v>
      </c>
      <c r="J102" s="18">
        <f t="shared" si="20"/>
        <v>8.1399999999999997E-3</v>
      </c>
      <c r="K102" s="18">
        <f t="shared" si="21"/>
        <v>0.87</v>
      </c>
      <c r="L102" s="18">
        <f t="shared" si="22"/>
        <v>0.20329066463286302</v>
      </c>
      <c r="M102" s="18">
        <f t="shared" si="23"/>
        <v>8.1399999999999997E-3</v>
      </c>
      <c r="N102" s="18">
        <f t="shared" si="24"/>
        <v>0.64553392655224229</v>
      </c>
      <c r="AK102" s="18">
        <f>IF(AND(ISNUMBER(C102),ISNUMBER(ENSO!F102)),C102-ENSO!F102,"")</f>
        <v>2.0000000000000018E-2</v>
      </c>
      <c r="AL102" s="18">
        <f t="shared" si="26"/>
        <v>1966.5416666666667</v>
      </c>
      <c r="AM102" s="18">
        <f t="shared" si="27"/>
        <v>8.0000000000000071E-2</v>
      </c>
    </row>
    <row r="103" spans="1:39">
      <c r="A103" s="18" t="str">
        <f>IF(Volcanic!A103="","",Volcanic!A103)</f>
        <v>8/1966</v>
      </c>
      <c r="B103" s="18">
        <f>IF(ISNUMBER(Volcanic!L103),Volcanic!L103,"")</f>
        <v>1966.625</v>
      </c>
      <c r="C103" s="21">
        <v>0.13</v>
      </c>
      <c r="D103" s="18">
        <f t="shared" si="25"/>
        <v>0.46</v>
      </c>
      <c r="E103" s="18">
        <f>IF(ISNUMBER(Volcanic!B103),Volcanic!B103,"")</f>
        <v>-9.0000000000001634E-2</v>
      </c>
      <c r="F103" s="18">
        <f>IF(ISNUMBER(Volcanic!C103),Volcanic!C103,"")</f>
        <v>0.19426719759207978</v>
      </c>
      <c r="G103" s="18">
        <f>IF(ISNUMBER(Volcanic!E103),Volcanic!E103,"")</f>
        <v>7.5900000000000004E-3</v>
      </c>
      <c r="H103" s="18">
        <f>IF(ISNUMBER(Volcanic!D103),Volcanic!D103,"")</f>
        <v>0.24</v>
      </c>
      <c r="I103" s="18">
        <f t="shared" si="19"/>
        <v>0.19426719759207978</v>
      </c>
      <c r="J103" s="18">
        <f t="shared" si="20"/>
        <v>7.5900000000000004E-3</v>
      </c>
      <c r="K103" s="18">
        <f t="shared" si="21"/>
        <v>0.46</v>
      </c>
      <c r="L103" s="18">
        <f t="shared" si="22"/>
        <v>0.19426719759207978</v>
      </c>
      <c r="M103" s="18">
        <f t="shared" si="23"/>
        <v>7.5900000000000004E-3</v>
      </c>
      <c r="N103" s="18">
        <f t="shared" si="24"/>
        <v>0.23622394604284042</v>
      </c>
      <c r="AK103" s="18">
        <f>IF(AND(ISNUMBER(C103),ISNUMBER(ENSO!F103)),C103-ENSO!F103,"")</f>
        <v>0</v>
      </c>
      <c r="AL103" s="18">
        <f t="shared" si="26"/>
        <v>1966.625</v>
      </c>
      <c r="AM103" s="18">
        <f t="shared" si="27"/>
        <v>-9.0000000000001634E-2</v>
      </c>
    </row>
    <row r="104" spans="1:39">
      <c r="A104" s="18" t="str">
        <f>IF(Volcanic!A104="","",Volcanic!A104)</f>
        <v>9/1966</v>
      </c>
      <c r="B104" s="18">
        <f>IF(ISNUMBER(Volcanic!L104),Volcanic!L104,"")</f>
        <v>1966.7083333333333</v>
      </c>
      <c r="C104" s="21">
        <v>-0.02</v>
      </c>
      <c r="D104" s="18">
        <f t="shared" si="25"/>
        <v>0.28999999999999998</v>
      </c>
      <c r="E104" s="18">
        <f>IF(ISNUMBER(Volcanic!B104),Volcanic!B104,"")</f>
        <v>-2.9999999999999361E-2</v>
      </c>
      <c r="F104" s="18">
        <f>IF(ISNUMBER(Volcanic!C104),Volcanic!C104,"")</f>
        <v>0.18650055764449477</v>
      </c>
      <c r="G104" s="18">
        <f>IF(ISNUMBER(Volcanic!E104),Volcanic!E104,"")</f>
        <v>7.0299999999999998E-3</v>
      </c>
      <c r="H104" s="18">
        <f>IF(ISNUMBER(Volcanic!D104),Volcanic!D104,"")</f>
        <v>0.18</v>
      </c>
      <c r="I104" s="18">
        <f t="shared" si="19"/>
        <v>0.18650055764449477</v>
      </c>
      <c r="J104" s="18">
        <f t="shared" si="20"/>
        <v>7.0299999999999998E-3</v>
      </c>
      <c r="K104" s="18">
        <f t="shared" si="21"/>
        <v>0.28999999999999998</v>
      </c>
      <c r="L104" s="18">
        <f t="shared" si="22"/>
        <v>0.18650055764449477</v>
      </c>
      <c r="M104" s="18">
        <f t="shared" si="23"/>
        <v>7.0299999999999998E-3</v>
      </c>
      <c r="N104" s="18">
        <f t="shared" si="24"/>
        <v>6.691396553343848E-2</v>
      </c>
      <c r="AK104" s="18">
        <f>IF(AND(ISNUMBER(C104),ISNUMBER(ENSO!F104)),C104-ENSO!F104,"")</f>
        <v>6.9999999999999993E-2</v>
      </c>
      <c r="AL104" s="18">
        <f t="shared" si="26"/>
        <v>1966.7083333333333</v>
      </c>
      <c r="AM104" s="18">
        <f t="shared" si="27"/>
        <v>-2.9999999999999361E-2</v>
      </c>
    </row>
    <row r="105" spans="1:39">
      <c r="A105" s="18" t="str">
        <f>IF(Volcanic!A105="","",Volcanic!A105)</f>
        <v>10/1966</v>
      </c>
      <c r="B105" s="18">
        <f>IF(ISNUMBER(Volcanic!L105),Volcanic!L105,"")</f>
        <v>1966.7916666666667</v>
      </c>
      <c r="C105" s="21">
        <v>-7.0000000000000007E-2</v>
      </c>
      <c r="D105" s="18">
        <f t="shared" si="25"/>
        <v>0.27</v>
      </c>
      <c r="E105" s="18">
        <f>IF(ISNUMBER(Volcanic!B105),Volcanic!B105,"")</f>
        <v>-0.16999999999999638</v>
      </c>
      <c r="F105" s="18">
        <f>IF(ISNUMBER(Volcanic!C105),Volcanic!C105,"")</f>
        <v>0.18405354470718463</v>
      </c>
      <c r="G105" s="18">
        <f>IF(ISNUMBER(Volcanic!E105),Volcanic!E105,"")</f>
        <v>6.5900000000000004E-3</v>
      </c>
      <c r="H105" s="18">
        <f>IF(ISNUMBER(Volcanic!D105),Volcanic!D105,"")</f>
        <v>0.25</v>
      </c>
      <c r="I105" s="18">
        <f t="shared" si="19"/>
        <v>0.18405354470718463</v>
      </c>
      <c r="J105" s="18">
        <f t="shared" si="20"/>
        <v>6.5900000000000004E-3</v>
      </c>
      <c r="K105" s="18">
        <f t="shared" si="21"/>
        <v>0.27</v>
      </c>
      <c r="L105" s="18">
        <f t="shared" si="22"/>
        <v>0.18405354470718463</v>
      </c>
      <c r="M105" s="18">
        <f t="shared" si="23"/>
        <v>6.5900000000000004E-3</v>
      </c>
      <c r="N105" s="18">
        <f t="shared" si="24"/>
        <v>4.7603985024040174E-2</v>
      </c>
      <c r="AK105" s="18">
        <f>IF(AND(ISNUMBER(C105),ISNUMBER(ENSO!F105)),C105-ENSO!F105,"")</f>
        <v>4.9999999999999989E-2</v>
      </c>
      <c r="AL105" s="18">
        <f t="shared" si="26"/>
        <v>1966.7916666666667</v>
      </c>
      <c r="AM105" s="18">
        <f t="shared" si="27"/>
        <v>-0.16999999999999638</v>
      </c>
    </row>
    <row r="106" spans="1:39">
      <c r="A106" s="18" t="str">
        <f>IF(Volcanic!A106="","",Volcanic!A106)</f>
        <v>11/1966</v>
      </c>
      <c r="B106" s="18">
        <f>IF(ISNUMBER(Volcanic!L106),Volcanic!L106,"")</f>
        <v>1966.875</v>
      </c>
      <c r="C106" s="21">
        <v>-0.12</v>
      </c>
      <c r="D106" s="18">
        <f t="shared" si="25"/>
        <v>0.13</v>
      </c>
      <c r="E106" s="18">
        <f>IF(ISNUMBER(Volcanic!B106),Volcanic!B106,"")</f>
        <v>-9.9999999999980105E-3</v>
      </c>
      <c r="F106" s="18">
        <f>IF(ISNUMBER(Volcanic!C106),Volcanic!C106,"")</f>
        <v>0.19165288399602148</v>
      </c>
      <c r="G106" s="18">
        <f>IF(ISNUMBER(Volcanic!E106),Volcanic!E106,"")</f>
        <v>6.28E-3</v>
      </c>
      <c r="H106" s="18">
        <f>IF(ISNUMBER(Volcanic!D106),Volcanic!D106,"")</f>
        <v>0.13</v>
      </c>
      <c r="I106" s="18">
        <f t="shared" si="19"/>
        <v>0.19165288399602148</v>
      </c>
      <c r="J106" s="18">
        <f t="shared" si="20"/>
        <v>6.28E-3</v>
      </c>
      <c r="K106" s="18">
        <f t="shared" si="21"/>
        <v>0.13</v>
      </c>
      <c r="L106" s="18">
        <f t="shared" si="22"/>
        <v>0.19165288399602148</v>
      </c>
      <c r="M106" s="18">
        <f t="shared" si="23"/>
        <v>6.28E-3</v>
      </c>
      <c r="N106" s="18">
        <f t="shared" si="24"/>
        <v>-9.1705995485361735E-2</v>
      </c>
      <c r="AK106" s="18">
        <f>IF(AND(ISNUMBER(C106),ISNUMBER(ENSO!F106)),C106-ENSO!F106,"")</f>
        <v>0.11000000000000001</v>
      </c>
      <c r="AL106" s="18">
        <f t="shared" si="26"/>
        <v>1966.875</v>
      </c>
      <c r="AM106" s="18">
        <f t="shared" si="27"/>
        <v>-9.9999999999980105E-3</v>
      </c>
    </row>
    <row r="107" spans="1:39">
      <c r="A107" s="18" t="str">
        <f>IF(Volcanic!A107="","",Volcanic!A107)</f>
        <v>12/1966</v>
      </c>
      <c r="B107" s="18">
        <f>IF(ISNUMBER(Volcanic!L107),Volcanic!L107,"")</f>
        <v>1966.9583333333333</v>
      </c>
      <c r="C107" s="21">
        <v>-0.17</v>
      </c>
      <c r="D107" s="18">
        <f t="shared" si="25"/>
        <v>-0.02</v>
      </c>
      <c r="E107" s="18">
        <f>IF(ISNUMBER(Volcanic!B107),Volcanic!B107,"")</f>
        <v>-2.9999999999999361E-2</v>
      </c>
      <c r="F107" s="18">
        <f>IF(ISNUMBER(Volcanic!C107),Volcanic!C107,"")</f>
        <v>0.19723635491870628</v>
      </c>
      <c r="G107" s="18">
        <f>IF(ISNUMBER(Volcanic!E107),Volcanic!E107,"")</f>
        <v>6.5799999999999999E-3</v>
      </c>
      <c r="H107" s="18">
        <f>IF(ISNUMBER(Volcanic!D107),Volcanic!D107,"")</f>
        <v>-0.09</v>
      </c>
      <c r="I107" s="18">
        <f t="shared" si="19"/>
        <v>0.19723635491870628</v>
      </c>
      <c r="J107" s="18">
        <f t="shared" si="20"/>
        <v>6.5799999999999999E-3</v>
      </c>
      <c r="K107" s="18">
        <f t="shared" si="21"/>
        <v>-0.02</v>
      </c>
      <c r="L107" s="18">
        <f t="shared" si="22"/>
        <v>0.19723635491870628</v>
      </c>
      <c r="M107" s="18">
        <f t="shared" si="23"/>
        <v>6.5799999999999999E-3</v>
      </c>
      <c r="N107" s="18">
        <f t="shared" si="24"/>
        <v>-0.24101597599476363</v>
      </c>
      <c r="AK107" s="18">
        <f>IF(AND(ISNUMBER(C107),ISNUMBER(ENSO!F107)),C107-ENSO!F107,"")</f>
        <v>0.17999999999999997</v>
      </c>
      <c r="AL107" s="18">
        <f t="shared" si="26"/>
        <v>1966.9583333333333</v>
      </c>
      <c r="AM107" s="18">
        <f t="shared" si="27"/>
        <v>-2.9999999999999361E-2</v>
      </c>
    </row>
    <row r="108" spans="1:39">
      <c r="A108" s="18" t="str">
        <f>IF(Volcanic!A108="","",Volcanic!A108)</f>
        <v>1/1967</v>
      </c>
      <c r="B108" s="18">
        <f>IF(ISNUMBER(Volcanic!L108),Volcanic!L108,"")</f>
        <v>1967.0416666666667</v>
      </c>
      <c r="C108" s="21">
        <v>-0.17</v>
      </c>
      <c r="D108" s="18">
        <f t="shared" si="25"/>
        <v>-7.0000000000000007E-2</v>
      </c>
      <c r="E108" s="18">
        <f>IF(ISNUMBER(Volcanic!B108),Volcanic!B108,"")</f>
        <v>-8.0000000000001847E-2</v>
      </c>
      <c r="F108" s="18">
        <f>IF(ISNUMBER(Volcanic!C108),Volcanic!C108,"")</f>
        <v>0.20311164244670007</v>
      </c>
      <c r="G108" s="18">
        <f>IF(ISNUMBER(Volcanic!E108),Volcanic!E108,"")</f>
        <v>6.6E-3</v>
      </c>
      <c r="H108" s="18">
        <f>IF(ISNUMBER(Volcanic!D108),Volcanic!D108,"")</f>
        <v>-0.12</v>
      </c>
      <c r="I108" s="18">
        <f t="shared" si="19"/>
        <v>0.20311164244670007</v>
      </c>
      <c r="J108" s="18">
        <f t="shared" si="20"/>
        <v>6.6E-3</v>
      </c>
      <c r="K108" s="18">
        <f t="shared" si="21"/>
        <v>-7.0000000000000007E-2</v>
      </c>
      <c r="L108" s="18">
        <f t="shared" si="22"/>
        <v>0.20311164244670007</v>
      </c>
      <c r="M108" s="18">
        <f t="shared" si="23"/>
        <v>6.6E-3</v>
      </c>
      <c r="N108" s="18">
        <f t="shared" si="24"/>
        <v>-0.29032595650416199</v>
      </c>
      <c r="AK108" s="18">
        <f>IF(AND(ISNUMBER(C108),ISNUMBER(ENSO!F108)),C108-ENSO!F108,"")</f>
        <v>0.29000000000000004</v>
      </c>
      <c r="AL108" s="18">
        <f t="shared" si="26"/>
        <v>1967.0416666666667</v>
      </c>
      <c r="AM108" s="18">
        <f t="shared" si="27"/>
        <v>-8.0000000000001847E-2</v>
      </c>
    </row>
    <row r="109" spans="1:39">
      <c r="A109" s="18" t="str">
        <f>IF(Volcanic!A109="","",Volcanic!A109)</f>
        <v>2/1967</v>
      </c>
      <c r="B109" s="18">
        <f>IF(ISNUMBER(Volcanic!L109),Volcanic!L109,"")</f>
        <v>1967.125</v>
      </c>
      <c r="C109" s="21">
        <v>-0.2</v>
      </c>
      <c r="D109" s="18">
        <f t="shared" si="25"/>
        <v>-0.12</v>
      </c>
      <c r="E109" s="18">
        <f>IF(ISNUMBER(Volcanic!B109),Volcanic!B109,"")</f>
        <v>-0.20999999999999908</v>
      </c>
      <c r="F109" s="18">
        <f>IF(ISNUMBER(Volcanic!C109),Volcanic!C109,"")</f>
        <v>0.20387233336564989</v>
      </c>
      <c r="G109" s="18">
        <f>IF(ISNUMBER(Volcanic!E109),Volcanic!E109,"")</f>
        <v>6.4799999999999996E-3</v>
      </c>
      <c r="H109" s="18">
        <f>IF(ISNUMBER(Volcanic!D109),Volcanic!D109,"")</f>
        <v>-0.23</v>
      </c>
      <c r="I109" s="18">
        <f t="shared" si="19"/>
        <v>0.20387233336564989</v>
      </c>
      <c r="J109" s="18">
        <f t="shared" si="20"/>
        <v>6.4799999999999996E-3</v>
      </c>
      <c r="K109" s="18">
        <f t="shared" si="21"/>
        <v>-0.12</v>
      </c>
      <c r="L109" s="18">
        <f t="shared" si="22"/>
        <v>0.20387233336564989</v>
      </c>
      <c r="M109" s="18">
        <f t="shared" si="23"/>
        <v>6.4799999999999996E-3</v>
      </c>
      <c r="N109" s="18">
        <f t="shared" si="24"/>
        <v>-0.33963593701356387</v>
      </c>
      <c r="AK109" s="18">
        <f>IF(AND(ISNUMBER(C109),ISNUMBER(ENSO!F109)),C109-ENSO!F109,"")</f>
        <v>0.27999999999999997</v>
      </c>
      <c r="AL109" s="18">
        <f t="shared" si="26"/>
        <v>1967.125</v>
      </c>
      <c r="AM109" s="18">
        <f t="shared" si="27"/>
        <v>-0.20999999999999908</v>
      </c>
    </row>
    <row r="110" spans="1:39">
      <c r="A110" s="18" t="str">
        <f>IF(Volcanic!A110="","",Volcanic!A110)</f>
        <v>3/1967</v>
      </c>
      <c r="B110" s="18">
        <f>IF(ISNUMBER(Volcanic!L110),Volcanic!L110,"")</f>
        <v>1967.2083333333333</v>
      </c>
      <c r="C110" s="21">
        <v>-0.39</v>
      </c>
      <c r="D110" s="18">
        <f t="shared" si="25"/>
        <v>-0.17</v>
      </c>
      <c r="E110" s="18">
        <f>IF(ISNUMBER(Volcanic!B110),Volcanic!B110,"")</f>
        <v>5.0000000000004263E-2</v>
      </c>
      <c r="F110" s="18">
        <f>IF(ISNUMBER(Volcanic!C110),Volcanic!C110,"")</f>
        <v>0.20624132797002478</v>
      </c>
      <c r="G110" s="18">
        <f>IF(ISNUMBER(Volcanic!E110),Volcanic!E110,"")</f>
        <v>6.5500000000000003E-3</v>
      </c>
      <c r="H110" s="18">
        <f>IF(ISNUMBER(Volcanic!D110),Volcanic!D110,"")</f>
        <v>-0.35</v>
      </c>
      <c r="I110" s="18">
        <f t="shared" si="19"/>
        <v>0.20624132797002478</v>
      </c>
      <c r="J110" s="18">
        <f t="shared" si="20"/>
        <v>6.5500000000000003E-3</v>
      </c>
      <c r="K110" s="18">
        <f t="shared" si="21"/>
        <v>-0.17</v>
      </c>
      <c r="L110" s="18">
        <f t="shared" si="22"/>
        <v>0.20624132797002478</v>
      </c>
      <c r="M110" s="18">
        <f t="shared" si="23"/>
        <v>6.5500000000000003E-3</v>
      </c>
      <c r="N110" s="18">
        <f t="shared" si="24"/>
        <v>-0.38894591752296581</v>
      </c>
      <c r="AK110" s="18">
        <f>IF(AND(ISNUMBER(C110),ISNUMBER(ENSO!F110)),C110-ENSO!F110,"")</f>
        <v>0.10999999999999999</v>
      </c>
      <c r="AL110" s="18">
        <f t="shared" si="26"/>
        <v>1967.2083333333333</v>
      </c>
      <c r="AM110" s="18">
        <f t="shared" si="27"/>
        <v>5.0000000000004263E-2</v>
      </c>
    </row>
    <row r="111" spans="1:39">
      <c r="A111" s="18" t="str">
        <f>IF(Volcanic!A111="","",Volcanic!A111)</f>
        <v>4/1967</v>
      </c>
      <c r="B111" s="18">
        <f>IF(ISNUMBER(Volcanic!L111),Volcanic!L111,"")</f>
        <v>1967.2916666666667</v>
      </c>
      <c r="C111" s="21">
        <v>-0.4</v>
      </c>
      <c r="D111" s="18">
        <f t="shared" si="25"/>
        <v>-0.17</v>
      </c>
      <c r="E111" s="18">
        <f>IF(ISNUMBER(Volcanic!B111),Volcanic!B111,"")</f>
        <v>-5.0000000000000711E-2</v>
      </c>
      <c r="F111" s="18">
        <f>IF(ISNUMBER(Volcanic!C111),Volcanic!C111,"")</f>
        <v>0.21239146441962328</v>
      </c>
      <c r="G111" s="18">
        <f>IF(ISNUMBER(Volcanic!E111),Volcanic!E111,"")</f>
        <v>6.9100000000000003E-3</v>
      </c>
      <c r="H111" s="18">
        <f>IF(ISNUMBER(Volcanic!D111),Volcanic!D111,"")</f>
        <v>-0.46</v>
      </c>
      <c r="I111" s="18">
        <f t="shared" si="19"/>
        <v>0.21239146441962328</v>
      </c>
      <c r="J111" s="18">
        <f t="shared" si="20"/>
        <v>6.9100000000000003E-3</v>
      </c>
      <c r="K111" s="18">
        <f t="shared" si="21"/>
        <v>-0.17</v>
      </c>
      <c r="L111" s="18">
        <f t="shared" si="22"/>
        <v>0.21239146441962328</v>
      </c>
      <c r="M111" s="18">
        <f t="shared" si="23"/>
        <v>6.9100000000000003E-3</v>
      </c>
      <c r="N111" s="18">
        <f t="shared" si="24"/>
        <v>-0.38825589803236771</v>
      </c>
      <c r="AK111" s="18">
        <f>IF(AND(ISNUMBER(C111),ISNUMBER(ENSO!F111)),C111-ENSO!F111,"")</f>
        <v>-3.0000000000000027E-2</v>
      </c>
      <c r="AL111" s="18">
        <f t="shared" si="26"/>
        <v>1967.2916666666667</v>
      </c>
      <c r="AM111" s="18">
        <f t="shared" si="27"/>
        <v>-5.0000000000000711E-2</v>
      </c>
    </row>
    <row r="112" spans="1:39">
      <c r="A112" s="18" t="str">
        <f>IF(Volcanic!A112="","",Volcanic!A112)</f>
        <v>5/1967</v>
      </c>
      <c r="B112" s="18">
        <f>IF(ISNUMBER(Volcanic!L112),Volcanic!L112,"")</f>
        <v>1967.375</v>
      </c>
      <c r="C112" s="21">
        <v>-0.19</v>
      </c>
      <c r="D112" s="18">
        <f t="shared" si="25"/>
        <v>-0.2</v>
      </c>
      <c r="E112" s="18">
        <f>IF(ISNUMBER(Volcanic!B112),Volcanic!B112,"")</f>
        <v>0.11999999999999744</v>
      </c>
      <c r="F112" s="18">
        <f>IF(ISNUMBER(Volcanic!C112),Volcanic!C112,"")</f>
        <v>0.21501289097085052</v>
      </c>
      <c r="G112" s="18">
        <f>IF(ISNUMBER(Volcanic!E112),Volcanic!E112,"")</f>
        <v>6.8799999999999998E-3</v>
      </c>
      <c r="H112" s="18">
        <f>IF(ISNUMBER(Volcanic!D112),Volcanic!D112,"")</f>
        <v>-0.48</v>
      </c>
      <c r="I112" s="18">
        <f t="shared" si="19"/>
        <v>0.21501289097085052</v>
      </c>
      <c r="J112" s="18">
        <f t="shared" si="20"/>
        <v>6.8799999999999998E-3</v>
      </c>
      <c r="K112" s="18">
        <f t="shared" si="21"/>
        <v>-0.2</v>
      </c>
      <c r="L112" s="18">
        <f t="shared" si="22"/>
        <v>0.21501289097085052</v>
      </c>
      <c r="M112" s="18">
        <f t="shared" si="23"/>
        <v>6.8799999999999998E-3</v>
      </c>
      <c r="N112" s="18">
        <f t="shared" si="24"/>
        <v>-0.41756587854176958</v>
      </c>
      <c r="AK112" s="18">
        <f>IF(AND(ISNUMBER(C112),ISNUMBER(ENSO!F112)),C112-ENSO!F112,"")</f>
        <v>-4.0000000000000008E-2</v>
      </c>
      <c r="AL112" s="18">
        <f t="shared" si="26"/>
        <v>1967.375</v>
      </c>
      <c r="AM112" s="18">
        <f t="shared" si="27"/>
        <v>0.11999999999999744</v>
      </c>
    </row>
    <row r="113" spans="1:39">
      <c r="A113" s="18" t="str">
        <f>IF(Volcanic!A113="","",Volcanic!A113)</f>
        <v>6/1967</v>
      </c>
      <c r="B113" s="18">
        <f>IF(ISNUMBER(Volcanic!L113),Volcanic!L113,"")</f>
        <v>1967.4583333333333</v>
      </c>
      <c r="C113" s="21">
        <v>0.18</v>
      </c>
      <c r="D113" s="18">
        <f t="shared" si="25"/>
        <v>-0.39</v>
      </c>
      <c r="E113" s="18">
        <f>IF(ISNUMBER(Volcanic!B113),Volcanic!B113,"")</f>
        <v>-8.0000000000001847E-2</v>
      </c>
      <c r="F113" s="18">
        <f>IF(ISNUMBER(Volcanic!C113),Volcanic!C113,"")</f>
        <v>0.21096767891290158</v>
      </c>
      <c r="G113" s="18">
        <f>IF(ISNUMBER(Volcanic!E113),Volcanic!E113,"")</f>
        <v>6.6100000000000004E-3</v>
      </c>
      <c r="H113" s="18">
        <f>IF(ISNUMBER(Volcanic!D113),Volcanic!D113,"")</f>
        <v>-0.5</v>
      </c>
      <c r="I113" s="18">
        <f t="shared" si="19"/>
        <v>0.21096767891290158</v>
      </c>
      <c r="J113" s="18">
        <f t="shared" si="20"/>
        <v>6.6100000000000004E-3</v>
      </c>
      <c r="K113" s="18">
        <f t="shared" si="21"/>
        <v>-0.39</v>
      </c>
      <c r="L113" s="18">
        <f t="shared" si="22"/>
        <v>0.21096767891290158</v>
      </c>
      <c r="M113" s="18">
        <f t="shared" si="23"/>
        <v>6.6100000000000004E-3</v>
      </c>
      <c r="N113" s="18">
        <f t="shared" si="24"/>
        <v>-0.60687585905116792</v>
      </c>
      <c r="AK113" s="18">
        <f>IF(AND(ISNUMBER(C113),ISNUMBER(ENSO!F113)),C113-ENSO!F113,"")</f>
        <v>0.13</v>
      </c>
      <c r="AL113" s="18">
        <f t="shared" si="26"/>
        <v>1967.4583333333333</v>
      </c>
      <c r="AM113" s="18">
        <f t="shared" si="27"/>
        <v>-8.0000000000001847E-2</v>
      </c>
    </row>
    <row r="114" spans="1:39">
      <c r="A114" s="18" t="str">
        <f>IF(Volcanic!A114="","",Volcanic!A114)</f>
        <v>7/1967</v>
      </c>
      <c r="B114" s="18">
        <f>IF(ISNUMBER(Volcanic!L114),Volcanic!L114,"")</f>
        <v>1967.5416666666667</v>
      </c>
      <c r="C114" s="21">
        <v>0.3</v>
      </c>
      <c r="D114" s="18">
        <f t="shared" si="25"/>
        <v>-0.4</v>
      </c>
      <c r="E114" s="18">
        <f>IF(ISNUMBER(Volcanic!B114),Volcanic!B114,"")</f>
        <v>2.0000000000003126E-2</v>
      </c>
      <c r="F114" s="18">
        <f>IF(ISNUMBER(Volcanic!C114),Volcanic!C114,"")</f>
        <v>0.20405126118938038</v>
      </c>
      <c r="G114" s="18">
        <f>IF(ISNUMBER(Volcanic!E114),Volcanic!E114,"")</f>
        <v>6.3E-3</v>
      </c>
      <c r="H114" s="18">
        <f>IF(ISNUMBER(Volcanic!D114),Volcanic!D114,"")</f>
        <v>-0.37</v>
      </c>
      <c r="I114" s="18">
        <f t="shared" si="19"/>
        <v>0.20405126118938038</v>
      </c>
      <c r="J114" s="18">
        <f t="shared" si="20"/>
        <v>6.3E-3</v>
      </c>
      <c r="K114" s="18">
        <f t="shared" si="21"/>
        <v>-0.4</v>
      </c>
      <c r="L114" s="18">
        <f t="shared" si="22"/>
        <v>0.20405126118938038</v>
      </c>
      <c r="M114" s="18">
        <f t="shared" si="23"/>
        <v>6.3E-3</v>
      </c>
      <c r="N114" s="18">
        <f t="shared" si="24"/>
        <v>-0.61618583956056983</v>
      </c>
      <c r="AK114" s="18">
        <f>IF(AND(ISNUMBER(C114),ISNUMBER(ENSO!F114)),C114-ENSO!F114,"")</f>
        <v>0.32</v>
      </c>
      <c r="AL114" s="18">
        <f t="shared" si="26"/>
        <v>1967.5416666666667</v>
      </c>
      <c r="AM114" s="18">
        <f t="shared" si="27"/>
        <v>2.0000000000003126E-2</v>
      </c>
    </row>
    <row r="115" spans="1:39">
      <c r="A115" s="18" t="str">
        <f>IF(Volcanic!A115="","",Volcanic!A115)</f>
        <v>8/1967</v>
      </c>
      <c r="B115" s="18">
        <f>IF(ISNUMBER(Volcanic!L115),Volcanic!L115,"")</f>
        <v>1967.625</v>
      </c>
      <c r="C115" s="21">
        <v>0.1</v>
      </c>
      <c r="D115" s="18">
        <f t="shared" si="25"/>
        <v>-0.19</v>
      </c>
      <c r="E115" s="18">
        <f>IF(ISNUMBER(Volcanic!B115),Volcanic!B115,"")</f>
        <v>1.0000000000001563E-2</v>
      </c>
      <c r="F115" s="18">
        <f>IF(ISNUMBER(Volcanic!C115),Volcanic!C115,"")</f>
        <v>0.1967868752001786</v>
      </c>
      <c r="G115" s="18">
        <f>IF(ISNUMBER(Volcanic!E115),Volcanic!E115,"")</f>
        <v>6.0000000000000001E-3</v>
      </c>
      <c r="H115" s="18">
        <f>IF(ISNUMBER(Volcanic!D115),Volcanic!D115,"")</f>
        <v>-0.15</v>
      </c>
      <c r="I115" s="18">
        <f t="shared" si="19"/>
        <v>0.1967868752001786</v>
      </c>
      <c r="J115" s="18">
        <f t="shared" si="20"/>
        <v>6.0000000000000001E-3</v>
      </c>
      <c r="K115" s="18">
        <f t="shared" si="21"/>
        <v>-0.19</v>
      </c>
      <c r="L115" s="18">
        <f t="shared" si="22"/>
        <v>0.1967868752001786</v>
      </c>
      <c r="M115" s="18">
        <f t="shared" si="23"/>
        <v>6.0000000000000001E-3</v>
      </c>
      <c r="N115" s="18">
        <f t="shared" si="24"/>
        <v>-0.4054958200699717</v>
      </c>
      <c r="AK115" s="18">
        <f>IF(AND(ISNUMBER(C115),ISNUMBER(ENSO!F115)),C115-ENSO!F115,"")</f>
        <v>0.36</v>
      </c>
      <c r="AL115" s="18">
        <f t="shared" si="26"/>
        <v>1967.625</v>
      </c>
      <c r="AM115" s="18">
        <f t="shared" si="27"/>
        <v>1.0000000000001563E-2</v>
      </c>
    </row>
    <row r="116" spans="1:39">
      <c r="A116" s="18" t="str">
        <f>IF(Volcanic!A116="","",Volcanic!A116)</f>
        <v>9/1967</v>
      </c>
      <c r="B116" s="18">
        <f>IF(ISNUMBER(Volcanic!L116),Volcanic!L116,"")</f>
        <v>1967.7083333333333</v>
      </c>
      <c r="C116" s="21">
        <v>-0.02</v>
      </c>
      <c r="D116" s="18">
        <f t="shared" si="25"/>
        <v>0.18</v>
      </c>
      <c r="E116" s="18">
        <f>IF(ISNUMBER(Volcanic!B116),Volcanic!B116,"")</f>
        <v>-6.0000000000000497E-2</v>
      </c>
      <c r="F116" s="18">
        <f>IF(ISNUMBER(Volcanic!C116),Volcanic!C116,"")</f>
        <v>0.18925979275775742</v>
      </c>
      <c r="G116" s="18">
        <f>IF(ISNUMBER(Volcanic!E116),Volcanic!E116,"")</f>
        <v>5.6800000000000002E-3</v>
      </c>
      <c r="H116" s="18">
        <f>IF(ISNUMBER(Volcanic!D116),Volcanic!D116,"")</f>
        <v>0.05</v>
      </c>
      <c r="I116" s="18">
        <f t="shared" si="19"/>
        <v>0.18925979275775742</v>
      </c>
      <c r="J116" s="18">
        <f t="shared" si="20"/>
        <v>5.6800000000000002E-3</v>
      </c>
      <c r="K116" s="18">
        <f t="shared" si="21"/>
        <v>0.18</v>
      </c>
      <c r="L116" s="18">
        <f t="shared" si="22"/>
        <v>0.18925979275775742</v>
      </c>
      <c r="M116" s="18">
        <f t="shared" si="23"/>
        <v>5.6800000000000002E-3</v>
      </c>
      <c r="N116" s="18">
        <f t="shared" si="24"/>
        <v>-3.4805800579373602E-2</v>
      </c>
      <c r="AK116" s="18">
        <f>IF(AND(ISNUMBER(C116),ISNUMBER(ENSO!F116)),C116-ENSO!F116,"")</f>
        <v>0.38</v>
      </c>
      <c r="AL116" s="18">
        <f t="shared" si="26"/>
        <v>1967.7083333333333</v>
      </c>
      <c r="AM116" s="18">
        <f t="shared" si="27"/>
        <v>-6.0000000000000497E-2</v>
      </c>
    </row>
    <row r="117" spans="1:39">
      <c r="A117" s="18" t="str">
        <f>IF(Volcanic!A117="","",Volcanic!A117)</f>
        <v>10/1967</v>
      </c>
      <c r="B117" s="18">
        <f>IF(ISNUMBER(Volcanic!L117),Volcanic!L117,"")</f>
        <v>1967.7916666666667</v>
      </c>
      <c r="C117" s="21">
        <v>-0.08</v>
      </c>
      <c r="D117" s="18">
        <f t="shared" si="25"/>
        <v>0.3</v>
      </c>
      <c r="E117" s="18">
        <f>IF(ISNUMBER(Volcanic!B117),Volcanic!B117,"")</f>
        <v>8.9999999999999858E-2</v>
      </c>
      <c r="F117" s="18">
        <f>IF(ISNUMBER(Volcanic!C117),Volcanic!C117,"")</f>
        <v>0.18989231596006176</v>
      </c>
      <c r="G117" s="18">
        <f>IF(ISNUMBER(Volcanic!E117),Volcanic!E117,"")</f>
        <v>5.4299999999999999E-3</v>
      </c>
      <c r="H117" s="18">
        <f>IF(ISNUMBER(Volcanic!D117),Volcanic!D117,"")</f>
        <v>-0.02</v>
      </c>
      <c r="I117" s="18">
        <f t="shared" si="19"/>
        <v>0.18989231596006176</v>
      </c>
      <c r="J117" s="18">
        <f t="shared" si="20"/>
        <v>5.4299999999999999E-3</v>
      </c>
      <c r="K117" s="18">
        <f t="shared" si="21"/>
        <v>0.3</v>
      </c>
      <c r="L117" s="18">
        <f t="shared" si="22"/>
        <v>0.18989231596006176</v>
      </c>
      <c r="M117" s="18">
        <f t="shared" si="23"/>
        <v>5.4299999999999999E-3</v>
      </c>
      <c r="N117" s="18">
        <f t="shared" si="24"/>
        <v>8.588421891122805E-2</v>
      </c>
      <c r="AK117" s="18">
        <f>IF(AND(ISNUMBER(C117),ISNUMBER(ENSO!F117)),C117-ENSO!F117,"")</f>
        <v>0.32</v>
      </c>
      <c r="AL117" s="18">
        <f t="shared" si="26"/>
        <v>1967.7916666666667</v>
      </c>
      <c r="AM117" s="18">
        <f t="shared" si="27"/>
        <v>8.9999999999999858E-2</v>
      </c>
    </row>
    <row r="118" spans="1:39">
      <c r="A118" s="18" t="str">
        <f>IF(Volcanic!A118="","",Volcanic!A118)</f>
        <v>11/1967</v>
      </c>
      <c r="B118" s="18">
        <f>IF(ISNUMBER(Volcanic!L118),Volcanic!L118,"")</f>
        <v>1967.875</v>
      </c>
      <c r="C118" s="21">
        <v>0.01</v>
      </c>
      <c r="D118" s="18">
        <f t="shared" si="25"/>
        <v>0.1</v>
      </c>
      <c r="E118" s="18">
        <f>IF(ISNUMBER(Volcanic!B118),Volcanic!B118,"")</f>
        <v>-5.0000000000000711E-2</v>
      </c>
      <c r="F118" s="18">
        <f>IF(ISNUMBER(Volcanic!C118),Volcanic!C118,"")</f>
        <v>0.19593247773807179</v>
      </c>
      <c r="G118" s="18">
        <f>IF(ISNUMBER(Volcanic!E118),Volcanic!E118,"")</f>
        <v>5.2900000000000004E-3</v>
      </c>
      <c r="H118" s="18">
        <f>IF(ISNUMBER(Volcanic!D118),Volcanic!D118,"")</f>
        <v>-0.26</v>
      </c>
      <c r="I118" s="18">
        <f t="shared" si="19"/>
        <v>0.19593247773807179</v>
      </c>
      <c r="J118" s="18">
        <f t="shared" si="20"/>
        <v>5.2900000000000004E-3</v>
      </c>
      <c r="K118" s="18">
        <f t="shared" si="21"/>
        <v>0.1</v>
      </c>
      <c r="L118" s="18">
        <f t="shared" si="22"/>
        <v>0.19593247773807179</v>
      </c>
      <c r="M118" s="18">
        <f t="shared" si="23"/>
        <v>5.2900000000000004E-3</v>
      </c>
      <c r="N118" s="18">
        <f t="shared" si="24"/>
        <v>-0.11342576159817383</v>
      </c>
      <c r="AK118" s="18">
        <f>IF(AND(ISNUMBER(C118),ISNUMBER(ENSO!F118)),C118-ENSO!F118,"")</f>
        <v>0.37</v>
      </c>
      <c r="AL118" s="18">
        <f t="shared" si="26"/>
        <v>1967.875</v>
      </c>
      <c r="AM118" s="18">
        <f t="shared" si="27"/>
        <v>-5.0000000000000711E-2</v>
      </c>
    </row>
    <row r="119" spans="1:39">
      <c r="A119" s="18" t="str">
        <f>IF(Volcanic!A119="","",Volcanic!A119)</f>
        <v>12/1967</v>
      </c>
      <c r="B119" s="18">
        <f>IF(ISNUMBER(Volcanic!L119),Volcanic!L119,"")</f>
        <v>1967.9583333333333</v>
      </c>
      <c r="C119" s="21">
        <v>-0.02</v>
      </c>
      <c r="D119" s="18">
        <f t="shared" si="25"/>
        <v>-0.02</v>
      </c>
      <c r="E119" s="18">
        <f>IF(ISNUMBER(Volcanic!B119),Volcanic!B119,"")</f>
        <v>-5.0000000000000711E-2</v>
      </c>
      <c r="F119" s="18">
        <f>IF(ISNUMBER(Volcanic!C119),Volcanic!C119,"")</f>
        <v>0.20145463326198595</v>
      </c>
      <c r="G119" s="18">
        <f>IF(ISNUMBER(Volcanic!E119),Volcanic!E119,"")</f>
        <v>5.1799999999999997E-3</v>
      </c>
      <c r="H119" s="18">
        <f>IF(ISNUMBER(Volcanic!D119),Volcanic!D119,"")</f>
        <v>-0.4</v>
      </c>
      <c r="I119" s="18">
        <f t="shared" si="19"/>
        <v>0.20145463326198595</v>
      </c>
      <c r="J119" s="18">
        <f t="shared" si="20"/>
        <v>5.1799999999999997E-3</v>
      </c>
      <c r="K119" s="18">
        <f t="shared" si="21"/>
        <v>-0.02</v>
      </c>
      <c r="L119" s="18">
        <f t="shared" si="22"/>
        <v>0.20145463326198595</v>
      </c>
      <c r="M119" s="18">
        <f t="shared" si="23"/>
        <v>5.1799999999999997E-3</v>
      </c>
      <c r="N119" s="18">
        <f t="shared" si="24"/>
        <v>-0.23273574210757572</v>
      </c>
      <c r="AK119" s="18">
        <f>IF(AND(ISNUMBER(C119),ISNUMBER(ENSO!F119)),C119-ENSO!F119,"")</f>
        <v>0.39999999999999997</v>
      </c>
      <c r="AL119" s="18">
        <f t="shared" si="26"/>
        <v>1967.9583333333333</v>
      </c>
      <c r="AM119" s="18">
        <f t="shared" si="27"/>
        <v>-5.0000000000000711E-2</v>
      </c>
    </row>
    <row r="120" spans="1:39">
      <c r="A120" s="18" t="str">
        <f>IF(Volcanic!A120="","",Volcanic!A120)</f>
        <v>1/1968</v>
      </c>
      <c r="B120" s="18">
        <f>IF(ISNUMBER(Volcanic!L120),Volcanic!L120,"")</f>
        <v>1968.0416666666667</v>
      </c>
      <c r="C120" s="21">
        <v>-0.21</v>
      </c>
      <c r="D120" s="18">
        <f t="shared" si="25"/>
        <v>-0.08</v>
      </c>
      <c r="E120" s="18">
        <f>IF(ISNUMBER(Volcanic!B120),Volcanic!B120,"")</f>
        <v>-0.25999999999999979</v>
      </c>
      <c r="F120" s="18">
        <f>IF(ISNUMBER(Volcanic!C120),Volcanic!C120,"")</f>
        <v>0.20418544249569365</v>
      </c>
      <c r="G120" s="18">
        <f>IF(ISNUMBER(Volcanic!E120),Volcanic!E120,"")</f>
        <v>5.11E-3</v>
      </c>
      <c r="H120" s="18">
        <f>IF(ISNUMBER(Volcanic!D120),Volcanic!D120,"")</f>
        <v>-0.4</v>
      </c>
      <c r="I120" s="18">
        <f t="shared" si="19"/>
        <v>0.20418544249569365</v>
      </c>
      <c r="J120" s="18">
        <f t="shared" si="20"/>
        <v>5.11E-3</v>
      </c>
      <c r="K120" s="18">
        <f t="shared" si="21"/>
        <v>-0.08</v>
      </c>
      <c r="L120" s="18">
        <f t="shared" si="22"/>
        <v>0.20418544249569365</v>
      </c>
      <c r="M120" s="18">
        <f t="shared" si="23"/>
        <v>5.11E-3</v>
      </c>
      <c r="N120" s="18">
        <f t="shared" si="24"/>
        <v>-0.29204572261697409</v>
      </c>
      <c r="AK120" s="18">
        <f>IF(AND(ISNUMBER(C120),ISNUMBER(ENSO!F120)),C120-ENSO!F120,"")</f>
        <v>0.41000000000000003</v>
      </c>
      <c r="AL120" s="18">
        <f t="shared" si="26"/>
        <v>1968.0416666666667</v>
      </c>
      <c r="AM120" s="18">
        <f t="shared" si="27"/>
        <v>-0.25999999999999979</v>
      </c>
    </row>
    <row r="121" spans="1:39">
      <c r="A121" s="18" t="str">
        <f>IF(Volcanic!A121="","",Volcanic!A121)</f>
        <v>2/1968</v>
      </c>
      <c r="B121" s="18">
        <f>IF(ISNUMBER(Volcanic!L121),Volcanic!L121,"")</f>
        <v>1968.125</v>
      </c>
      <c r="C121" s="21">
        <v>-0.33</v>
      </c>
      <c r="D121" s="18">
        <f t="shared" si="25"/>
        <v>0.01</v>
      </c>
      <c r="E121" s="18">
        <f>IF(ISNUMBER(Volcanic!B121),Volcanic!B121,"")</f>
        <v>-0.13999999999999879</v>
      </c>
      <c r="F121" s="18">
        <f>IF(ISNUMBER(Volcanic!C121),Volcanic!C121,"")</f>
        <v>0.20677716444561006</v>
      </c>
      <c r="G121" s="18">
        <f>IF(ISNUMBER(Volcanic!E121),Volcanic!E121,"")</f>
        <v>5.0600000000000003E-3</v>
      </c>
      <c r="H121" s="18">
        <f>IF(ISNUMBER(Volcanic!D121),Volcanic!D121,"")</f>
        <v>-0.36</v>
      </c>
      <c r="I121" s="18">
        <f t="shared" si="19"/>
        <v>0.20677716444561006</v>
      </c>
      <c r="J121" s="18">
        <f t="shared" si="20"/>
        <v>5.0600000000000003E-3</v>
      </c>
      <c r="K121" s="18">
        <f t="shared" si="21"/>
        <v>0.01</v>
      </c>
      <c r="L121" s="18">
        <f t="shared" si="22"/>
        <v>0.20677716444561006</v>
      </c>
      <c r="M121" s="18">
        <f t="shared" si="23"/>
        <v>5.0600000000000003E-3</v>
      </c>
      <c r="N121" s="18">
        <f t="shared" si="24"/>
        <v>-0.20135570312637596</v>
      </c>
      <c r="AK121" s="18">
        <f>IF(AND(ISNUMBER(C121),ISNUMBER(ENSO!F121)),C121-ENSO!F121,"")</f>
        <v>0.39999999999999997</v>
      </c>
      <c r="AL121" s="18">
        <f t="shared" si="26"/>
        <v>1968.125</v>
      </c>
      <c r="AM121" s="18">
        <f t="shared" si="27"/>
        <v>-0.13999999999999879</v>
      </c>
    </row>
    <row r="122" spans="1:39">
      <c r="A122" s="18" t="str">
        <f>IF(Volcanic!A122="","",Volcanic!A122)</f>
        <v>3/1968</v>
      </c>
      <c r="B122" s="18">
        <f>IF(ISNUMBER(Volcanic!L122),Volcanic!L122,"")</f>
        <v>1968.2083333333333</v>
      </c>
      <c r="C122" s="21">
        <v>-0.31</v>
      </c>
      <c r="D122" s="18">
        <f t="shared" si="25"/>
        <v>-0.02</v>
      </c>
      <c r="E122" s="18">
        <f>IF(ISNUMBER(Volcanic!B122),Volcanic!B122,"")</f>
        <v>0.20000000000000107</v>
      </c>
      <c r="F122" s="18">
        <f>IF(ISNUMBER(Volcanic!C122),Volcanic!C122,"")</f>
        <v>0.21007709890320869</v>
      </c>
      <c r="G122" s="18">
        <f>IF(ISNUMBER(Volcanic!E122),Volcanic!E122,"")</f>
        <v>5.0499999999999998E-3</v>
      </c>
      <c r="H122" s="18">
        <f>IF(ISNUMBER(Volcanic!D122),Volcanic!D122,"")</f>
        <v>-0.42</v>
      </c>
      <c r="I122" s="18">
        <f t="shared" si="19"/>
        <v>0.21007709890320869</v>
      </c>
      <c r="J122" s="18">
        <f t="shared" si="20"/>
        <v>5.0499999999999998E-3</v>
      </c>
      <c r="K122" s="18">
        <f t="shared" si="21"/>
        <v>-0.02</v>
      </c>
      <c r="L122" s="18">
        <f t="shared" si="22"/>
        <v>0.21007709890320869</v>
      </c>
      <c r="M122" s="18">
        <f t="shared" si="23"/>
        <v>5.0499999999999998E-3</v>
      </c>
      <c r="N122" s="18">
        <f t="shared" si="24"/>
        <v>-0.23066568363577786</v>
      </c>
      <c r="AK122" s="18">
        <f>IF(AND(ISNUMBER(C122),ISNUMBER(ENSO!F122)),C122-ENSO!F122,"")</f>
        <v>0.32</v>
      </c>
      <c r="AL122" s="18">
        <f t="shared" si="26"/>
        <v>1968.2083333333333</v>
      </c>
      <c r="AM122" s="18">
        <f t="shared" si="27"/>
        <v>0.20000000000000107</v>
      </c>
    </row>
    <row r="123" spans="1:39">
      <c r="A123" s="18" t="str">
        <f>IF(Volcanic!A123="","",Volcanic!A123)</f>
        <v>4/1968</v>
      </c>
      <c r="B123" s="18">
        <f>IF(ISNUMBER(Volcanic!L123),Volcanic!L123,"")</f>
        <v>1968.2916666666667</v>
      </c>
      <c r="C123" s="21">
        <v>-0.19</v>
      </c>
      <c r="D123" s="18">
        <f t="shared" si="25"/>
        <v>-0.21</v>
      </c>
      <c r="E123" s="18">
        <f>IF(ISNUMBER(Volcanic!B123),Volcanic!B123,"")</f>
        <v>-6.0000000000000497E-2</v>
      </c>
      <c r="F123" s="18">
        <f>IF(ISNUMBER(Volcanic!C123),Volcanic!C123,"")</f>
        <v>0.21510166947251774</v>
      </c>
      <c r="G123" s="18">
        <f>IF(ISNUMBER(Volcanic!E123),Volcanic!E123,"")</f>
        <v>5.0200000000000002E-3</v>
      </c>
      <c r="H123" s="18">
        <f>IF(ISNUMBER(Volcanic!D123),Volcanic!D123,"")</f>
        <v>-0.62</v>
      </c>
      <c r="I123" s="18">
        <f t="shared" si="19"/>
        <v>0.21510166947251774</v>
      </c>
      <c r="J123" s="18">
        <f t="shared" si="20"/>
        <v>5.0200000000000002E-3</v>
      </c>
      <c r="K123" s="18">
        <f t="shared" si="21"/>
        <v>-0.21</v>
      </c>
      <c r="L123" s="18">
        <f t="shared" si="22"/>
        <v>0.21510166947251774</v>
      </c>
      <c r="M123" s="18">
        <f t="shared" si="23"/>
        <v>5.0200000000000002E-3</v>
      </c>
      <c r="N123" s="18">
        <f t="shared" si="24"/>
        <v>-0.41997566414517973</v>
      </c>
      <c r="AK123" s="18">
        <f>IF(AND(ISNUMBER(C123),ISNUMBER(ENSO!F123)),C123-ENSO!F123,"")</f>
        <v>0.28999999999999998</v>
      </c>
      <c r="AL123" s="18">
        <f t="shared" si="26"/>
        <v>1968.2916666666667</v>
      </c>
      <c r="AM123" s="18">
        <f t="shared" si="27"/>
        <v>-6.0000000000000497E-2</v>
      </c>
    </row>
    <row r="124" spans="1:39">
      <c r="A124" s="18" t="str">
        <f>IF(Volcanic!A124="","",Volcanic!A124)</f>
        <v>5/1968</v>
      </c>
      <c r="B124" s="18">
        <f>IF(ISNUMBER(Volcanic!L124),Volcanic!L124,"")</f>
        <v>1968.375</v>
      </c>
      <c r="C124" s="21">
        <v>0.16</v>
      </c>
      <c r="D124" s="18">
        <f t="shared" si="25"/>
        <v>-0.33</v>
      </c>
      <c r="E124" s="18">
        <f>IF(ISNUMBER(Volcanic!B124),Volcanic!B124,"")</f>
        <v>-0.13999999999999879</v>
      </c>
      <c r="F124" s="18">
        <f>IF(ISNUMBER(Volcanic!C124),Volcanic!C124,"")</f>
        <v>0.21754093986252426</v>
      </c>
      <c r="G124" s="18">
        <f>IF(ISNUMBER(Volcanic!E124),Volcanic!E124,"")</f>
        <v>5.0000000000000001E-3</v>
      </c>
      <c r="H124" s="18">
        <f>IF(ISNUMBER(Volcanic!D124),Volcanic!D124,"")</f>
        <v>-0.73</v>
      </c>
      <c r="I124" s="18">
        <f t="shared" si="19"/>
        <v>0.21754093986252426</v>
      </c>
      <c r="J124" s="18">
        <f t="shared" si="20"/>
        <v>5.0000000000000001E-3</v>
      </c>
      <c r="K124" s="18">
        <f t="shared" si="21"/>
        <v>-0.33</v>
      </c>
      <c r="L124" s="18">
        <f t="shared" si="22"/>
        <v>0.21754093986252426</v>
      </c>
      <c r="M124" s="18">
        <f t="shared" si="23"/>
        <v>5.0000000000000001E-3</v>
      </c>
      <c r="N124" s="18">
        <f t="shared" si="24"/>
        <v>-0.53928564465457818</v>
      </c>
      <c r="AK124" s="18">
        <f>IF(AND(ISNUMBER(C124),ISNUMBER(ENSO!F124)),C124-ENSO!F124,"")</f>
        <v>0.26</v>
      </c>
      <c r="AL124" s="18">
        <f t="shared" si="26"/>
        <v>1968.375</v>
      </c>
      <c r="AM124" s="18">
        <f t="shared" si="27"/>
        <v>-0.13999999999999879</v>
      </c>
    </row>
    <row r="125" spans="1:39">
      <c r="A125" s="18" t="str">
        <f>IF(Volcanic!A125="","",Volcanic!A125)</f>
        <v>6/1968</v>
      </c>
      <c r="B125" s="18">
        <f>IF(ISNUMBER(Volcanic!L125),Volcanic!L125,"")</f>
        <v>1968.4583333333333</v>
      </c>
      <c r="C125" s="21">
        <v>0.45</v>
      </c>
      <c r="D125" s="18">
        <f t="shared" si="25"/>
        <v>-0.31</v>
      </c>
      <c r="E125" s="18">
        <f>IF(ISNUMBER(Volcanic!B125),Volcanic!B125,"")</f>
        <v>-9.0000000000001634E-2</v>
      </c>
      <c r="F125" s="18">
        <f>IF(ISNUMBER(Volcanic!C125),Volcanic!C125,"")</f>
        <v>0.21661006874244201</v>
      </c>
      <c r="G125" s="18">
        <f>IF(ISNUMBER(Volcanic!E125),Volcanic!E125,"")</f>
        <v>4.8399999999999997E-3</v>
      </c>
      <c r="H125" s="18">
        <f>IF(ISNUMBER(Volcanic!D125),Volcanic!D125,"")</f>
        <v>-0.63</v>
      </c>
      <c r="I125" s="18">
        <f t="shared" si="19"/>
        <v>0.21661006874244201</v>
      </c>
      <c r="J125" s="18">
        <f t="shared" si="20"/>
        <v>4.8399999999999997E-3</v>
      </c>
      <c r="K125" s="18">
        <f t="shared" si="21"/>
        <v>-0.31</v>
      </c>
      <c r="L125" s="18">
        <f t="shared" si="22"/>
        <v>0.21661006874244201</v>
      </c>
      <c r="M125" s="18">
        <f t="shared" si="23"/>
        <v>4.8399999999999997E-3</v>
      </c>
      <c r="N125" s="18">
        <f t="shared" si="24"/>
        <v>-0.51859562516398006</v>
      </c>
      <c r="AK125" s="18">
        <f>IF(AND(ISNUMBER(C125),ISNUMBER(ENSO!F125)),C125-ENSO!F125,"")</f>
        <v>0.28000000000000003</v>
      </c>
      <c r="AL125" s="18">
        <f t="shared" si="26"/>
        <v>1968.4583333333333</v>
      </c>
      <c r="AM125" s="18">
        <f t="shared" si="27"/>
        <v>-9.0000000000001634E-2</v>
      </c>
    </row>
    <row r="126" spans="1:39">
      <c r="A126" s="18" t="str">
        <f>IF(Volcanic!A126="","",Volcanic!A126)</f>
        <v>7/1968</v>
      </c>
      <c r="B126" s="18">
        <f>IF(ISNUMBER(Volcanic!L126),Volcanic!L126,"")</f>
        <v>1968.5416666666667</v>
      </c>
      <c r="C126" s="21">
        <v>0.69</v>
      </c>
      <c r="D126" s="18">
        <f t="shared" si="25"/>
        <v>-0.19</v>
      </c>
      <c r="E126" s="18">
        <f>IF(ISNUMBER(Volcanic!B126),Volcanic!B126,"")</f>
        <v>-0.13000000000000256</v>
      </c>
      <c r="F126" s="18">
        <f>IF(ISNUMBER(Volcanic!C126),Volcanic!C126,"")</f>
        <v>0.21119023804218459</v>
      </c>
      <c r="G126" s="18">
        <f>IF(ISNUMBER(Volcanic!E126),Volcanic!E126,"")</f>
        <v>4.6499999999999996E-3</v>
      </c>
      <c r="H126" s="18">
        <f>IF(ISNUMBER(Volcanic!D126),Volcanic!D126,"")</f>
        <v>-0.48</v>
      </c>
      <c r="I126" s="18">
        <f t="shared" si="19"/>
        <v>0.21119023804218459</v>
      </c>
      <c r="J126" s="18">
        <f t="shared" si="20"/>
        <v>4.6499999999999996E-3</v>
      </c>
      <c r="K126" s="18">
        <f t="shared" si="21"/>
        <v>-0.19</v>
      </c>
      <c r="L126" s="18">
        <f t="shared" si="22"/>
        <v>0.21119023804218459</v>
      </c>
      <c r="M126" s="18">
        <f t="shared" si="23"/>
        <v>4.6499999999999996E-3</v>
      </c>
      <c r="N126" s="18">
        <f t="shared" si="24"/>
        <v>-0.3979056056733819</v>
      </c>
      <c r="AK126" s="18">
        <f>IF(AND(ISNUMBER(C126),ISNUMBER(ENSO!F126)),C126-ENSO!F126,"")</f>
        <v>0.24999999999999994</v>
      </c>
      <c r="AL126" s="18">
        <f t="shared" si="26"/>
        <v>1968.5416666666667</v>
      </c>
      <c r="AM126" s="18">
        <f t="shared" si="27"/>
        <v>-0.13000000000000256</v>
      </c>
    </row>
    <row r="127" spans="1:39">
      <c r="A127" s="18" t="str">
        <f>IF(Volcanic!A127="","",Volcanic!A127)</f>
        <v>8/1968</v>
      </c>
      <c r="B127" s="18">
        <f>IF(ISNUMBER(Volcanic!L127),Volcanic!L127,"")</f>
        <v>1968.625</v>
      </c>
      <c r="C127" s="21">
        <v>0.57999999999999996</v>
      </c>
      <c r="D127" s="18">
        <f t="shared" si="25"/>
        <v>0.16</v>
      </c>
      <c r="E127" s="18">
        <f>IF(ISNUMBER(Volcanic!B127),Volcanic!B127,"")</f>
        <v>-8.0000000000001847E-2</v>
      </c>
      <c r="F127" s="18">
        <f>IF(ISNUMBER(Volcanic!C127),Volcanic!C127,"")</f>
        <v>0.20212662313900553</v>
      </c>
      <c r="G127" s="18">
        <f>IF(ISNUMBER(Volcanic!E127),Volcanic!E127,"")</f>
        <v>4.4999999999999997E-3</v>
      </c>
      <c r="H127" s="18">
        <f>IF(ISNUMBER(Volcanic!D127),Volcanic!D127,"")</f>
        <v>-0.1</v>
      </c>
      <c r="I127" s="18">
        <f t="shared" si="19"/>
        <v>0.20212662313900553</v>
      </c>
      <c r="J127" s="18">
        <f t="shared" si="20"/>
        <v>4.4999999999999997E-3</v>
      </c>
      <c r="K127" s="18">
        <f t="shared" si="21"/>
        <v>0.16</v>
      </c>
      <c r="L127" s="18">
        <f t="shared" si="22"/>
        <v>0.20212662313900553</v>
      </c>
      <c r="M127" s="18">
        <f t="shared" si="23"/>
        <v>4.4999999999999997E-3</v>
      </c>
      <c r="N127" s="18">
        <f t="shared" si="24"/>
        <v>-4.7215586182783792E-2</v>
      </c>
      <c r="AK127" s="18">
        <f>IF(AND(ISNUMBER(C127),ISNUMBER(ENSO!F127)),C127-ENSO!F127,"")</f>
        <v>0.19999999999999996</v>
      </c>
      <c r="AL127" s="18">
        <f t="shared" si="26"/>
        <v>1968.625</v>
      </c>
      <c r="AM127" s="18">
        <f t="shared" si="27"/>
        <v>-8.0000000000001847E-2</v>
      </c>
    </row>
    <row r="128" spans="1:39">
      <c r="A128" s="18" t="str">
        <f>IF(Volcanic!A128="","",Volcanic!A128)</f>
        <v>9/1968</v>
      </c>
      <c r="B128" s="18">
        <f>IF(ISNUMBER(Volcanic!L128),Volcanic!L128,"")</f>
        <v>1968.7083333333333</v>
      </c>
      <c r="C128" s="21">
        <v>0.45</v>
      </c>
      <c r="D128" s="18">
        <f t="shared" si="25"/>
        <v>0.45</v>
      </c>
      <c r="E128" s="18">
        <f>IF(ISNUMBER(Volcanic!B128),Volcanic!B128,"")</f>
        <v>-0.18999999999999773</v>
      </c>
      <c r="F128" s="18">
        <f>IF(ISNUMBER(Volcanic!C128),Volcanic!C128,"")</f>
        <v>0.19413209059412975</v>
      </c>
      <c r="G128" s="18">
        <f>IF(ISNUMBER(Volcanic!E128),Volcanic!E128,"")</f>
        <v>4.3099999999999996E-3</v>
      </c>
      <c r="H128" s="18">
        <f>IF(ISNUMBER(Volcanic!D128),Volcanic!D128,"")</f>
        <v>0.17</v>
      </c>
      <c r="I128" s="18">
        <f t="shared" si="19"/>
        <v>0.19413209059412975</v>
      </c>
      <c r="J128" s="18">
        <f t="shared" si="20"/>
        <v>4.3099999999999996E-3</v>
      </c>
      <c r="K128" s="18">
        <f t="shared" si="21"/>
        <v>0.45</v>
      </c>
      <c r="L128" s="18">
        <f t="shared" si="22"/>
        <v>0.19413209059412975</v>
      </c>
      <c r="M128" s="18">
        <f t="shared" si="23"/>
        <v>4.3099999999999996E-3</v>
      </c>
      <c r="N128" s="18">
        <f t="shared" si="24"/>
        <v>0.24347443330781432</v>
      </c>
      <c r="AK128" s="18">
        <f>IF(AND(ISNUMBER(C128),ISNUMBER(ENSO!F128)),C128-ENSO!F128,"")</f>
        <v>0.10999999999999999</v>
      </c>
      <c r="AL128" s="18">
        <f t="shared" si="26"/>
        <v>1968.7083333333333</v>
      </c>
      <c r="AM128" s="18">
        <f t="shared" si="27"/>
        <v>-0.18999999999999773</v>
      </c>
    </row>
    <row r="129" spans="1:39">
      <c r="A129" s="18" t="str">
        <f>IF(Volcanic!A129="","",Volcanic!A129)</f>
        <v>10/1968</v>
      </c>
      <c r="B129" s="18">
        <f>IF(ISNUMBER(Volcanic!L129),Volcanic!L129,"")</f>
        <v>1968.7916666666667</v>
      </c>
      <c r="C129" s="21">
        <v>0.55000000000000004</v>
      </c>
      <c r="D129" s="18">
        <f t="shared" si="25"/>
        <v>0.69</v>
      </c>
      <c r="E129" s="18">
        <f>IF(ISNUMBER(Volcanic!B129),Volcanic!B129,"")</f>
        <v>8.9999999999999858E-2</v>
      </c>
      <c r="F129" s="18">
        <f>IF(ISNUMBER(Volcanic!C129),Volcanic!C129,"")</f>
        <v>0.19377174339668018</v>
      </c>
      <c r="G129" s="18">
        <f>IF(ISNUMBER(Volcanic!E129),Volcanic!E129,"")</f>
        <v>4.1900000000000001E-3</v>
      </c>
      <c r="H129" s="18">
        <f>IF(ISNUMBER(Volcanic!D129),Volcanic!D129,"")</f>
        <v>0.44</v>
      </c>
      <c r="I129" s="18">
        <f t="shared" si="19"/>
        <v>0.19377174339668018</v>
      </c>
      <c r="J129" s="18">
        <f t="shared" si="20"/>
        <v>4.1900000000000001E-3</v>
      </c>
      <c r="K129" s="18">
        <f t="shared" si="21"/>
        <v>0.69</v>
      </c>
      <c r="L129" s="18">
        <f t="shared" si="22"/>
        <v>0.19377174339668018</v>
      </c>
      <c r="M129" s="18">
        <f t="shared" si="23"/>
        <v>4.1900000000000001E-3</v>
      </c>
      <c r="N129" s="18">
        <f t="shared" si="24"/>
        <v>0.48416445279841591</v>
      </c>
      <c r="AK129" s="18">
        <f>IF(AND(ISNUMBER(C129),ISNUMBER(ENSO!F129)),C129-ENSO!F129,"")</f>
        <v>5.0000000000000044E-2</v>
      </c>
      <c r="AL129" s="18">
        <f t="shared" si="26"/>
        <v>1968.7916666666667</v>
      </c>
      <c r="AM129" s="18">
        <f t="shared" si="27"/>
        <v>8.9999999999999858E-2</v>
      </c>
    </row>
    <row r="130" spans="1:39">
      <c r="A130" s="18" t="str">
        <f>IF(Volcanic!A130="","",Volcanic!A130)</f>
        <v>11/1968</v>
      </c>
      <c r="B130" s="18">
        <f>IF(ISNUMBER(Volcanic!L130),Volcanic!L130,"")</f>
        <v>1968.875</v>
      </c>
      <c r="C130" s="21">
        <v>0.77</v>
      </c>
      <c r="D130" s="18">
        <f t="shared" si="25"/>
        <v>0.57999999999999996</v>
      </c>
      <c r="E130" s="18">
        <f>IF(ISNUMBER(Volcanic!B130),Volcanic!B130,"")</f>
        <v>-5.0000000000000711E-2</v>
      </c>
      <c r="F130" s="18">
        <f>IF(ISNUMBER(Volcanic!C130),Volcanic!C130,"")</f>
        <v>0.19858395445706917</v>
      </c>
      <c r="G130" s="18">
        <f>IF(ISNUMBER(Volcanic!E130),Volcanic!E130,"")</f>
        <v>4.1799999999999997E-3</v>
      </c>
      <c r="H130" s="18">
        <f>IF(ISNUMBER(Volcanic!D130),Volcanic!D130,"")</f>
        <v>0.38</v>
      </c>
      <c r="I130" s="18">
        <f t="shared" ref="I130:I193" si="28">F130</f>
        <v>0.19858395445706917</v>
      </c>
      <c r="J130" s="18">
        <f t="shared" ref="J130:J193" si="29">G130</f>
        <v>4.1799999999999997E-3</v>
      </c>
      <c r="K130" s="18">
        <f t="shared" ref="K130:K193" si="30">IF(ISNUMBER(D130),D130,"")</f>
        <v>0.57999999999999996</v>
      </c>
      <c r="L130" s="18">
        <f t="shared" ref="L130:L193" si="31">F130</f>
        <v>0.19858395445706917</v>
      </c>
      <c r="M130" s="18">
        <f t="shared" ref="M130:M193" si="32">G130</f>
        <v>4.1799999999999997E-3</v>
      </c>
      <c r="N130" s="18">
        <f t="shared" ref="N130:N193" si="33">IF(ISNUMBER(D130),D130-($AB$8*B130+$AB$9),"")</f>
        <v>0.37485447228901403</v>
      </c>
      <c r="AK130" s="18">
        <f>IF(AND(ISNUMBER(C130),ISNUMBER(ENSO!F130)),C130-ENSO!F130,"")</f>
        <v>0.10999999999999999</v>
      </c>
      <c r="AL130" s="18">
        <f t="shared" si="26"/>
        <v>1968.875</v>
      </c>
      <c r="AM130" s="18">
        <f t="shared" si="27"/>
        <v>-5.0000000000000711E-2</v>
      </c>
    </row>
    <row r="131" spans="1:39">
      <c r="A131" s="18" t="str">
        <f>IF(Volcanic!A131="","",Volcanic!A131)</f>
        <v>12/1968</v>
      </c>
      <c r="B131" s="18">
        <f>IF(ISNUMBER(Volcanic!L131),Volcanic!L131,"")</f>
        <v>1968.9583333333333</v>
      </c>
      <c r="C131" s="21">
        <v>1.06</v>
      </c>
      <c r="D131" s="18">
        <f t="shared" si="25"/>
        <v>0.45</v>
      </c>
      <c r="E131" s="18">
        <f>IF(ISNUMBER(Volcanic!B131),Volcanic!B131,"")</f>
        <v>-0.13999999999999879</v>
      </c>
      <c r="F131" s="18">
        <f>IF(ISNUMBER(Volcanic!C131),Volcanic!C131,"")</f>
        <v>0.20561593377604628</v>
      </c>
      <c r="G131" s="18">
        <f>IF(ISNUMBER(Volcanic!E131),Volcanic!E131,"")</f>
        <v>4.1900000000000001E-3</v>
      </c>
      <c r="H131" s="18">
        <f>IF(ISNUMBER(Volcanic!D131),Volcanic!D131,"")</f>
        <v>0.34</v>
      </c>
      <c r="I131" s="18">
        <f t="shared" si="28"/>
        <v>0.20561593377604628</v>
      </c>
      <c r="J131" s="18">
        <f t="shared" si="29"/>
        <v>4.1900000000000001E-3</v>
      </c>
      <c r="K131" s="18">
        <f t="shared" si="30"/>
        <v>0.45</v>
      </c>
      <c r="L131" s="18">
        <f t="shared" si="31"/>
        <v>0.20561593377604628</v>
      </c>
      <c r="M131" s="18">
        <f t="shared" si="32"/>
        <v>4.1900000000000001E-3</v>
      </c>
      <c r="N131" s="18">
        <f t="shared" si="33"/>
        <v>0.24554449177961218</v>
      </c>
      <c r="AK131" s="18">
        <f>IF(AND(ISNUMBER(C131),ISNUMBER(ENSO!F131)),C131-ENSO!F131,"")</f>
        <v>0.13</v>
      </c>
      <c r="AL131" s="18">
        <f t="shared" si="26"/>
        <v>1968.9583333333333</v>
      </c>
      <c r="AM131" s="18">
        <f t="shared" si="27"/>
        <v>-0.13999999999999879</v>
      </c>
    </row>
    <row r="132" spans="1:39">
      <c r="A132" s="18" t="str">
        <f>IF(Volcanic!A132="","",Volcanic!A132)</f>
        <v>1/1969</v>
      </c>
      <c r="B132" s="18">
        <f>IF(ISNUMBER(Volcanic!L132),Volcanic!L132,"")</f>
        <v>1969.0416666666667</v>
      </c>
      <c r="C132" s="21">
        <v>1.24</v>
      </c>
      <c r="D132" s="18">
        <f t="shared" si="25"/>
        <v>0.55000000000000004</v>
      </c>
      <c r="E132" s="18">
        <f>IF(ISNUMBER(Volcanic!B132),Volcanic!B132,"")</f>
        <v>-0.10999999999999766</v>
      </c>
      <c r="F132" s="18">
        <f>IF(ISNUMBER(Volcanic!C132),Volcanic!C132,"")</f>
        <v>0.21056698593965839</v>
      </c>
      <c r="G132" s="18">
        <f>IF(ISNUMBER(Volcanic!E132),Volcanic!E132,"")</f>
        <v>5.4400000000000004E-3</v>
      </c>
      <c r="H132" s="18">
        <f>IF(ISNUMBER(Volcanic!D132),Volcanic!D132,"")</f>
        <v>0.5</v>
      </c>
      <c r="I132" s="18">
        <f t="shared" si="28"/>
        <v>0.21056698593965839</v>
      </c>
      <c r="J132" s="18">
        <f t="shared" si="29"/>
        <v>5.4400000000000004E-3</v>
      </c>
      <c r="K132" s="18">
        <f t="shared" si="30"/>
        <v>0.55000000000000004</v>
      </c>
      <c r="L132" s="18">
        <f t="shared" si="31"/>
        <v>0.21056698593965839</v>
      </c>
      <c r="M132" s="18">
        <f t="shared" si="32"/>
        <v>5.4400000000000004E-3</v>
      </c>
      <c r="N132" s="18">
        <f t="shared" si="33"/>
        <v>0.34623451127021387</v>
      </c>
      <c r="AK132" s="18">
        <f>IF(AND(ISNUMBER(C132),ISNUMBER(ENSO!F132)),C132-ENSO!F132,"")</f>
        <v>0.26</v>
      </c>
      <c r="AL132" s="18">
        <f t="shared" si="26"/>
        <v>1969.0416666666667</v>
      </c>
      <c r="AM132" s="18">
        <f t="shared" si="27"/>
        <v>-0.10999999999999766</v>
      </c>
    </row>
    <row r="133" spans="1:39">
      <c r="A133" s="18" t="str">
        <f>IF(Volcanic!A133="","",Volcanic!A133)</f>
        <v>2/1969</v>
      </c>
      <c r="B133" s="18">
        <f>IF(ISNUMBER(Volcanic!L133),Volcanic!L133,"")</f>
        <v>1969.125</v>
      </c>
      <c r="C133" s="21">
        <v>1.1299999999999999</v>
      </c>
      <c r="D133" s="18">
        <f t="shared" ref="D133:D196" si="34">IF(C130="","",C130)</f>
        <v>0.77</v>
      </c>
      <c r="E133" s="18">
        <f>IF(ISNUMBER(Volcanic!B133),Volcanic!B133,"")</f>
        <v>-0.17999999999999794</v>
      </c>
      <c r="F133" s="18">
        <f>IF(ISNUMBER(Volcanic!C133),Volcanic!C133,"")</f>
        <v>0.21239146441962328</v>
      </c>
      <c r="G133" s="18">
        <f>IF(ISNUMBER(Volcanic!E133),Volcanic!E133,"")</f>
        <v>1.0580000000000001E-2</v>
      </c>
      <c r="H133" s="18">
        <f>IF(ISNUMBER(Volcanic!D133),Volcanic!D133,"")</f>
        <v>0.66</v>
      </c>
      <c r="I133" s="18">
        <f t="shared" si="28"/>
        <v>0.21239146441962328</v>
      </c>
      <c r="J133" s="18">
        <f t="shared" si="29"/>
        <v>1.0580000000000001E-2</v>
      </c>
      <c r="K133" s="18">
        <f t="shared" si="30"/>
        <v>0.77</v>
      </c>
      <c r="L133" s="18">
        <f t="shared" si="31"/>
        <v>0.21239146441962328</v>
      </c>
      <c r="M133" s="18">
        <f t="shared" si="32"/>
        <v>1.0580000000000001E-2</v>
      </c>
      <c r="N133" s="18">
        <f t="shared" si="33"/>
        <v>0.56692453076081195</v>
      </c>
      <c r="AK133" s="18">
        <f>IF(AND(ISNUMBER(C133),ISNUMBER(ENSO!F133)),C133-ENSO!F133,"")</f>
        <v>0.14999999999999991</v>
      </c>
      <c r="AL133" s="18">
        <f t="shared" si="26"/>
        <v>1969.125</v>
      </c>
      <c r="AM133" s="18">
        <f t="shared" si="27"/>
        <v>-0.17999999999999794</v>
      </c>
    </row>
    <row r="134" spans="1:39">
      <c r="A134" s="18" t="str">
        <f>IF(Volcanic!A134="","",Volcanic!A134)</f>
        <v>3/1969</v>
      </c>
      <c r="B134" s="18">
        <f>IF(ISNUMBER(Volcanic!L134),Volcanic!L134,"")</f>
        <v>1969.2083333333333</v>
      </c>
      <c r="C134" s="21">
        <v>0.85</v>
      </c>
      <c r="D134" s="18">
        <f t="shared" si="34"/>
        <v>1.06</v>
      </c>
      <c r="E134" s="18">
        <f>IF(ISNUMBER(Volcanic!B134),Volcanic!B134,"")</f>
        <v>1.0000000000001563E-2</v>
      </c>
      <c r="F134" s="18">
        <f>IF(ISNUMBER(Volcanic!C134),Volcanic!C134,"")</f>
        <v>0.21780679275778927</v>
      </c>
      <c r="G134" s="18">
        <f>IF(ISNUMBER(Volcanic!E134),Volcanic!E134,"")</f>
        <v>1.392E-2</v>
      </c>
      <c r="H134" s="18">
        <f>IF(ISNUMBER(Volcanic!D134),Volcanic!D134,"")</f>
        <v>0.93</v>
      </c>
      <c r="I134" s="18">
        <f t="shared" si="28"/>
        <v>0.21780679275778927</v>
      </c>
      <c r="J134" s="18">
        <f t="shared" si="29"/>
        <v>1.392E-2</v>
      </c>
      <c r="K134" s="18">
        <f t="shared" si="30"/>
        <v>1.06</v>
      </c>
      <c r="L134" s="18">
        <f t="shared" si="31"/>
        <v>0.21780679275778927</v>
      </c>
      <c r="M134" s="18">
        <f t="shared" si="32"/>
        <v>1.392E-2</v>
      </c>
      <c r="N134" s="18">
        <f t="shared" si="33"/>
        <v>0.85761455025141009</v>
      </c>
      <c r="AK134" s="18">
        <f>IF(AND(ISNUMBER(C134),ISNUMBER(ENSO!F134)),C134-ENSO!F134,"")</f>
        <v>7.999999999999996E-2</v>
      </c>
      <c r="AL134" s="18">
        <f t="shared" si="26"/>
        <v>1969.2083333333333</v>
      </c>
      <c r="AM134" s="18">
        <f t="shared" si="27"/>
        <v>1.0000000000001563E-2</v>
      </c>
    </row>
    <row r="135" spans="1:39">
      <c r="A135" s="18" t="str">
        <f>IF(Volcanic!A135="","",Volcanic!A135)</f>
        <v>4/1969</v>
      </c>
      <c r="B135" s="18">
        <f>IF(ISNUMBER(Volcanic!L135),Volcanic!L135,"")</f>
        <v>1969.2916666666667</v>
      </c>
      <c r="C135" s="21">
        <v>0.54</v>
      </c>
      <c r="D135" s="18">
        <f t="shared" si="34"/>
        <v>1.24</v>
      </c>
      <c r="E135" s="18">
        <f>IF(ISNUMBER(Volcanic!B135),Volcanic!B135,"")</f>
        <v>0.16999999999999993</v>
      </c>
      <c r="F135" s="18">
        <f>IF(ISNUMBER(Volcanic!C135),Volcanic!C135,"")</f>
        <v>0.22236297828007129</v>
      </c>
      <c r="G135" s="18">
        <f>IF(ISNUMBER(Volcanic!E135),Volcanic!E135,"")</f>
        <v>1.6070000000000001E-2</v>
      </c>
      <c r="H135" s="18">
        <f>IF(ISNUMBER(Volcanic!D135),Volcanic!D135,"")</f>
        <v>0.98</v>
      </c>
      <c r="I135" s="18">
        <f t="shared" si="28"/>
        <v>0.22236297828007129</v>
      </c>
      <c r="J135" s="18">
        <f t="shared" si="29"/>
        <v>1.6070000000000001E-2</v>
      </c>
      <c r="K135" s="18">
        <f t="shared" si="30"/>
        <v>1.24</v>
      </c>
      <c r="L135" s="18">
        <f t="shared" si="31"/>
        <v>0.22236297828007129</v>
      </c>
      <c r="M135" s="18">
        <f t="shared" si="32"/>
        <v>1.6070000000000001E-2</v>
      </c>
      <c r="N135" s="18">
        <f t="shared" si="33"/>
        <v>1.0383045697420117</v>
      </c>
      <c r="AK135" s="18">
        <f>IF(AND(ISNUMBER(C135),ISNUMBER(ENSO!F135)),C135-ENSO!F135,"")</f>
        <v>-0.14999999999999991</v>
      </c>
      <c r="AL135" s="18">
        <f t="shared" si="26"/>
        <v>1969.2916666666667</v>
      </c>
      <c r="AM135" s="18">
        <f t="shared" si="27"/>
        <v>0.16999999999999993</v>
      </c>
    </row>
    <row r="136" spans="1:39">
      <c r="A136" s="18" t="str">
        <f>IF(Volcanic!A136="","",Volcanic!A136)</f>
        <v>5/1969</v>
      </c>
      <c r="B136" s="18">
        <f>IF(ISNUMBER(Volcanic!L136),Volcanic!L136,"")</f>
        <v>1969.375</v>
      </c>
      <c r="C136" s="21">
        <v>0.35</v>
      </c>
      <c r="D136" s="18">
        <f t="shared" si="34"/>
        <v>1.1299999999999999</v>
      </c>
      <c r="E136" s="18">
        <f>IF(ISNUMBER(Volcanic!B136),Volcanic!B136,"")</f>
        <v>0.17999999999999972</v>
      </c>
      <c r="F136" s="18">
        <f>IF(ISNUMBER(Volcanic!C136),Volcanic!C136,"")</f>
        <v>0.22553936152588727</v>
      </c>
      <c r="G136" s="18">
        <f>IF(ISNUMBER(Volcanic!E136),Volcanic!E136,"")</f>
        <v>1.738E-2</v>
      </c>
      <c r="H136" s="18">
        <f>IF(ISNUMBER(Volcanic!D136),Volcanic!D136,"")</f>
        <v>0.98</v>
      </c>
      <c r="I136" s="18">
        <f t="shared" si="28"/>
        <v>0.22553936152588727</v>
      </c>
      <c r="J136" s="18">
        <f t="shared" si="29"/>
        <v>1.738E-2</v>
      </c>
      <c r="K136" s="18">
        <f t="shared" si="30"/>
        <v>1.1299999999999999</v>
      </c>
      <c r="L136" s="18">
        <f t="shared" si="31"/>
        <v>0.22553936152588727</v>
      </c>
      <c r="M136" s="18">
        <f t="shared" si="32"/>
        <v>1.738E-2</v>
      </c>
      <c r="N136" s="18">
        <f t="shared" si="33"/>
        <v>0.92899458923260969</v>
      </c>
      <c r="AK136" s="18">
        <f>IF(AND(ISNUMBER(C136),ISNUMBER(ENSO!F136)),C136-ENSO!F136,"")</f>
        <v>-0.27</v>
      </c>
      <c r="AL136" s="18">
        <f t="shared" si="26"/>
        <v>1969.375</v>
      </c>
      <c r="AM136" s="18">
        <f t="shared" si="27"/>
        <v>0.17999999999999972</v>
      </c>
    </row>
    <row r="137" spans="1:39">
      <c r="A137" s="18" t="str">
        <f>IF(Volcanic!A137="","",Volcanic!A137)</f>
        <v>6/1969</v>
      </c>
      <c r="B137" s="18">
        <f>IF(ISNUMBER(Volcanic!L137),Volcanic!L137,"")</f>
        <v>1969.4583333333333</v>
      </c>
      <c r="C137" s="21">
        <v>0.23</v>
      </c>
      <c r="D137" s="18">
        <f t="shared" si="34"/>
        <v>0.85</v>
      </c>
      <c r="E137" s="18">
        <f>IF(ISNUMBER(Volcanic!B137),Volcanic!B137,"")</f>
        <v>2.9999999999997584E-2</v>
      </c>
      <c r="F137" s="18">
        <f>IF(ISNUMBER(Volcanic!C137),Volcanic!C137,"")</f>
        <v>0.22258378655772451</v>
      </c>
      <c r="G137" s="18">
        <f>IF(ISNUMBER(Volcanic!E137),Volcanic!E137,"")</f>
        <v>1.7930000000000001E-2</v>
      </c>
      <c r="H137" s="18">
        <f>IF(ISNUMBER(Volcanic!D137),Volcanic!D137,"")</f>
        <v>0.77</v>
      </c>
      <c r="I137" s="18">
        <f t="shared" si="28"/>
        <v>0.22258378655772451</v>
      </c>
      <c r="J137" s="18">
        <f t="shared" si="29"/>
        <v>1.7930000000000001E-2</v>
      </c>
      <c r="K137" s="18">
        <f t="shared" si="30"/>
        <v>0.85</v>
      </c>
      <c r="L137" s="18">
        <f t="shared" si="31"/>
        <v>0.22258378655772451</v>
      </c>
      <c r="M137" s="18">
        <f t="shared" si="32"/>
        <v>1.7930000000000001E-2</v>
      </c>
      <c r="N137" s="18">
        <f t="shared" si="33"/>
        <v>0.64968460872320788</v>
      </c>
      <c r="AK137" s="18">
        <f>IF(AND(ISNUMBER(C137),ISNUMBER(ENSO!F137)),C137-ENSO!F137,"")</f>
        <v>-0.24999999999999997</v>
      </c>
      <c r="AL137" s="18">
        <f t="shared" ref="AL137:AL200" si="35">B137</f>
        <v>1969.4583333333333</v>
      </c>
      <c r="AM137" s="18">
        <f t="shared" ref="AM137:AM200" si="36">E137</f>
        <v>2.9999999999997584E-2</v>
      </c>
    </row>
    <row r="138" spans="1:39">
      <c r="A138" s="18" t="str">
        <f>IF(Volcanic!A138="","",Volcanic!A138)</f>
        <v>7/1969</v>
      </c>
      <c r="B138" s="18">
        <f>IF(ISNUMBER(Volcanic!L138),Volcanic!L138,"")</f>
        <v>1969.5416666666667</v>
      </c>
      <c r="C138" s="21">
        <v>0.23</v>
      </c>
      <c r="D138" s="18">
        <f t="shared" si="34"/>
        <v>0.54</v>
      </c>
      <c r="E138" s="18">
        <f>IF(ISNUMBER(Volcanic!B138),Volcanic!B138,"")</f>
        <v>-3.9999999999999147E-2</v>
      </c>
      <c r="F138" s="18">
        <f>IF(ISNUMBER(Volcanic!C138),Volcanic!C138,"")</f>
        <v>0.21891398613294744</v>
      </c>
      <c r="G138" s="18">
        <f>IF(ISNUMBER(Volcanic!E138),Volcanic!E138,"")</f>
        <v>1.7989999999999999E-2</v>
      </c>
      <c r="H138" s="18">
        <f>IF(ISNUMBER(Volcanic!D138),Volcanic!D138,"")</f>
        <v>0.69</v>
      </c>
      <c r="I138" s="18">
        <f t="shared" si="28"/>
        <v>0.21891398613294744</v>
      </c>
      <c r="J138" s="18">
        <f t="shared" si="29"/>
        <v>1.7989999999999999E-2</v>
      </c>
      <c r="K138" s="18">
        <f t="shared" si="30"/>
        <v>0.54</v>
      </c>
      <c r="L138" s="18">
        <f t="shared" si="31"/>
        <v>0.21891398613294744</v>
      </c>
      <c r="M138" s="18">
        <f t="shared" si="32"/>
        <v>1.7989999999999999E-2</v>
      </c>
      <c r="N138" s="18">
        <f t="shared" si="33"/>
        <v>0.34037462821380604</v>
      </c>
      <c r="AK138" s="18">
        <f>IF(AND(ISNUMBER(C138),ISNUMBER(ENSO!F138)),C138-ENSO!F138,"")</f>
        <v>-0.13999999999999999</v>
      </c>
      <c r="AL138" s="18">
        <f t="shared" si="35"/>
        <v>1969.5416666666667</v>
      </c>
      <c r="AM138" s="18">
        <f t="shared" si="36"/>
        <v>-3.9999999999999147E-2</v>
      </c>
    </row>
    <row r="139" spans="1:39">
      <c r="A139" s="18" t="str">
        <f>IF(Volcanic!A139="","",Volcanic!A139)</f>
        <v>8/1969</v>
      </c>
      <c r="B139" s="18">
        <f>IF(ISNUMBER(Volcanic!L139),Volcanic!L139,"")</f>
        <v>1969.625</v>
      </c>
      <c r="C139" s="21">
        <v>0.43</v>
      </c>
      <c r="D139" s="18">
        <f t="shared" si="34"/>
        <v>0.35</v>
      </c>
      <c r="E139" s="18">
        <f>IF(ISNUMBER(Volcanic!B139),Volcanic!B139,"")</f>
        <v>3.9999999999999147E-2</v>
      </c>
      <c r="F139" s="18">
        <f>IF(ISNUMBER(Volcanic!C139),Volcanic!C139,"")</f>
        <v>0.20905225179222678</v>
      </c>
      <c r="G139" s="18">
        <f>IF(ISNUMBER(Volcanic!E139),Volcanic!E139,"")</f>
        <v>1.7749999999999998E-2</v>
      </c>
      <c r="H139" s="18">
        <f>IF(ISNUMBER(Volcanic!D139),Volcanic!D139,"")</f>
        <v>0.62</v>
      </c>
      <c r="I139" s="18">
        <f t="shared" si="28"/>
        <v>0.20905225179222678</v>
      </c>
      <c r="J139" s="18">
        <f t="shared" si="29"/>
        <v>1.7749999999999998E-2</v>
      </c>
      <c r="K139" s="18">
        <f t="shared" si="30"/>
        <v>0.35</v>
      </c>
      <c r="L139" s="18">
        <f t="shared" si="31"/>
        <v>0.20905225179222678</v>
      </c>
      <c r="M139" s="18">
        <f t="shared" si="32"/>
        <v>1.7749999999999998E-2</v>
      </c>
      <c r="N139" s="18">
        <f t="shared" si="33"/>
        <v>0.15106464770440409</v>
      </c>
      <c r="AK139" s="18">
        <f>IF(AND(ISNUMBER(C139),ISNUMBER(ENSO!F139)),C139-ENSO!F139,"")</f>
        <v>2.0000000000000018E-2</v>
      </c>
      <c r="AL139" s="18">
        <f t="shared" si="35"/>
        <v>1969.625</v>
      </c>
      <c r="AM139" s="18">
        <f t="shared" si="36"/>
        <v>3.9999999999999147E-2</v>
      </c>
    </row>
    <row r="140" spans="1:39">
      <c r="A140" s="18" t="str">
        <f>IF(Volcanic!A140="","",Volcanic!A140)</f>
        <v>9/1969</v>
      </c>
      <c r="B140" s="18">
        <f>IF(ISNUMBER(Volcanic!L140),Volcanic!L140,"")</f>
        <v>1969.7083333333333</v>
      </c>
      <c r="C140" s="21">
        <v>0.72</v>
      </c>
      <c r="D140" s="18">
        <f t="shared" si="34"/>
        <v>0.23</v>
      </c>
      <c r="E140" s="18">
        <f>IF(ISNUMBER(Volcanic!B140),Volcanic!B140,"")</f>
        <v>8.0000000000000071E-2</v>
      </c>
      <c r="F140" s="18">
        <f>IF(ISNUMBER(Volcanic!C140),Volcanic!C140,"")</f>
        <v>0.20333541670858227</v>
      </c>
      <c r="G140" s="18">
        <f>IF(ISNUMBER(Volcanic!E140),Volcanic!E140,"")</f>
        <v>1.7219999999999999E-2</v>
      </c>
      <c r="H140" s="18">
        <f>IF(ISNUMBER(Volcanic!D140),Volcanic!D140,"")</f>
        <v>0.48</v>
      </c>
      <c r="I140" s="18">
        <f t="shared" si="28"/>
        <v>0.20333541670858227</v>
      </c>
      <c r="J140" s="18">
        <f t="shared" si="29"/>
        <v>1.7219999999999999E-2</v>
      </c>
      <c r="K140" s="18">
        <f t="shared" si="30"/>
        <v>0.23</v>
      </c>
      <c r="L140" s="18">
        <f t="shared" si="31"/>
        <v>0.20333541670858227</v>
      </c>
      <c r="M140" s="18">
        <f t="shared" si="32"/>
        <v>1.7219999999999999E-2</v>
      </c>
      <c r="N140" s="18">
        <f t="shared" si="33"/>
        <v>3.1754667195005776E-2</v>
      </c>
      <c r="AK140" s="18">
        <f>IF(AND(ISNUMBER(C140),ISNUMBER(ENSO!F140)),C140-ENSO!F140,"")</f>
        <v>0.10999999999999999</v>
      </c>
      <c r="AL140" s="18">
        <f t="shared" si="35"/>
        <v>1969.7083333333333</v>
      </c>
      <c r="AM140" s="18">
        <f t="shared" si="36"/>
        <v>8.0000000000000071E-2</v>
      </c>
    </row>
    <row r="141" spans="1:39">
      <c r="A141" s="18" t="str">
        <f>IF(Volcanic!A141="","",Volcanic!A141)</f>
        <v>10/1969</v>
      </c>
      <c r="B141" s="18">
        <f>IF(ISNUMBER(Volcanic!L141),Volcanic!L141,"")</f>
        <v>1969.7916666666667</v>
      </c>
      <c r="C141" s="21">
        <v>0.78</v>
      </c>
      <c r="D141" s="18">
        <f t="shared" si="34"/>
        <v>0.23</v>
      </c>
      <c r="E141" s="18">
        <f>IF(ISNUMBER(Volcanic!B141),Volcanic!B141,"")</f>
        <v>8.9999999999999858E-2</v>
      </c>
      <c r="F141" s="18">
        <f>IF(ISNUMBER(Volcanic!C141),Volcanic!C141,"")</f>
        <v>0.20064783202506462</v>
      </c>
      <c r="G141" s="18">
        <f>IF(ISNUMBER(Volcanic!E141),Volcanic!E141,"")</f>
        <v>1.6590000000000001E-2</v>
      </c>
      <c r="H141" s="18">
        <f>IF(ISNUMBER(Volcanic!D141),Volcanic!D141,"")</f>
        <v>0.37</v>
      </c>
      <c r="I141" s="18">
        <f t="shared" si="28"/>
        <v>0.20064783202506462</v>
      </c>
      <c r="J141" s="18">
        <f t="shared" si="29"/>
        <v>1.6590000000000001E-2</v>
      </c>
      <c r="K141" s="18">
        <f t="shared" si="30"/>
        <v>0.23</v>
      </c>
      <c r="L141" s="18">
        <f t="shared" si="31"/>
        <v>0.20064783202506462</v>
      </c>
      <c r="M141" s="18">
        <f t="shared" si="32"/>
        <v>1.6590000000000001E-2</v>
      </c>
      <c r="N141" s="18">
        <f t="shared" si="33"/>
        <v>3.244468668560388E-2</v>
      </c>
      <c r="AK141" s="18">
        <f>IF(AND(ISNUMBER(C141),ISNUMBER(ENSO!F141)),C141-ENSO!F141,"")</f>
        <v>7.0000000000000062E-2</v>
      </c>
      <c r="AL141" s="18">
        <f t="shared" si="35"/>
        <v>1969.7916666666667</v>
      </c>
      <c r="AM141" s="18">
        <f t="shared" si="36"/>
        <v>8.9999999999999858E-2</v>
      </c>
    </row>
    <row r="142" spans="1:39">
      <c r="A142" s="18" t="str">
        <f>IF(Volcanic!A142="","",Volcanic!A142)</f>
        <v>11/1969</v>
      </c>
      <c r="B142" s="18">
        <f>IF(ISNUMBER(Volcanic!L142),Volcanic!L142,"")</f>
        <v>1969.875</v>
      </c>
      <c r="C142" s="21">
        <v>0.74</v>
      </c>
      <c r="D142" s="18">
        <f t="shared" si="34"/>
        <v>0.43</v>
      </c>
      <c r="E142" s="18">
        <f>IF(ISNUMBER(Volcanic!B142),Volcanic!B142,"")</f>
        <v>0.11999999999999744</v>
      </c>
      <c r="F142" s="18">
        <f>IF(ISNUMBER(Volcanic!C142),Volcanic!C142,"")</f>
        <v>0.2054371999150208</v>
      </c>
      <c r="G142" s="18">
        <f>IF(ISNUMBER(Volcanic!E142),Volcanic!E142,"")</f>
        <v>1.593E-2</v>
      </c>
      <c r="H142" s="18">
        <f>IF(ISNUMBER(Volcanic!D142),Volcanic!D142,"")</f>
        <v>0.41</v>
      </c>
      <c r="I142" s="18">
        <f t="shared" si="28"/>
        <v>0.2054371999150208</v>
      </c>
      <c r="J142" s="18">
        <f t="shared" si="29"/>
        <v>1.593E-2</v>
      </c>
      <c r="K142" s="18">
        <f t="shared" si="30"/>
        <v>0.43</v>
      </c>
      <c r="L142" s="18">
        <f t="shared" si="31"/>
        <v>0.2054371999150208</v>
      </c>
      <c r="M142" s="18">
        <f t="shared" si="32"/>
        <v>1.593E-2</v>
      </c>
      <c r="N142" s="18">
        <f t="shared" si="33"/>
        <v>0.23313470617620197</v>
      </c>
      <c r="AK142" s="18">
        <f>IF(AND(ISNUMBER(C142),ISNUMBER(ENSO!F142)),C142-ENSO!F142,"")</f>
        <v>-7.0000000000000062E-2</v>
      </c>
      <c r="AL142" s="18">
        <f t="shared" si="35"/>
        <v>1969.875</v>
      </c>
      <c r="AM142" s="18">
        <f t="shared" si="36"/>
        <v>0.11999999999999744</v>
      </c>
    </row>
    <row r="143" spans="1:39">
      <c r="A143" s="18" t="str">
        <f>IF(Volcanic!A143="","",Volcanic!A143)</f>
        <v>12/1969</v>
      </c>
      <c r="B143" s="18">
        <f>IF(ISNUMBER(Volcanic!L143),Volcanic!L143,"")</f>
        <v>1969.9583333333333</v>
      </c>
      <c r="C143" s="21">
        <v>0.56999999999999995</v>
      </c>
      <c r="D143" s="18">
        <f t="shared" si="34"/>
        <v>0.72</v>
      </c>
      <c r="E143" s="18">
        <f>IF(ISNUMBER(Volcanic!B143),Volcanic!B143,"")</f>
        <v>0.24000000000000199</v>
      </c>
      <c r="F143" s="18">
        <f>IF(ISNUMBER(Volcanic!C143),Volcanic!C143,"")</f>
        <v>0.21105670668466028</v>
      </c>
      <c r="G143" s="18">
        <f>IF(ISNUMBER(Volcanic!E143),Volcanic!E143,"")</f>
        <v>1.52E-2</v>
      </c>
      <c r="H143" s="18">
        <f>IF(ISNUMBER(Volcanic!D143),Volcanic!D143,"")</f>
        <v>0.61</v>
      </c>
      <c r="I143" s="18">
        <f t="shared" si="28"/>
        <v>0.21105670668466028</v>
      </c>
      <c r="J143" s="18">
        <f t="shared" si="29"/>
        <v>1.52E-2</v>
      </c>
      <c r="K143" s="18">
        <f t="shared" si="30"/>
        <v>0.72</v>
      </c>
      <c r="L143" s="18">
        <f t="shared" si="31"/>
        <v>0.21105670668466028</v>
      </c>
      <c r="M143" s="18">
        <f t="shared" si="32"/>
        <v>1.52E-2</v>
      </c>
      <c r="N143" s="18">
        <f t="shared" si="33"/>
        <v>0.52382472566680005</v>
      </c>
      <c r="AK143" s="18">
        <f>IF(AND(ISNUMBER(C143),ISNUMBER(ENSO!F143)),C143-ENSO!F143,"")</f>
        <v>-0.14000000000000001</v>
      </c>
      <c r="AL143" s="18">
        <f t="shared" si="35"/>
        <v>1969.9583333333333</v>
      </c>
      <c r="AM143" s="18">
        <f t="shared" si="36"/>
        <v>0.24000000000000199</v>
      </c>
    </row>
    <row r="144" spans="1:39">
      <c r="A144" s="18" t="str">
        <f>IF(Volcanic!A144="","",Volcanic!A144)</f>
        <v>1/1970</v>
      </c>
      <c r="B144" s="18">
        <f>IF(ISNUMBER(Volcanic!L144),Volcanic!L144,"")</f>
        <v>1970.0416666666667</v>
      </c>
      <c r="C144" s="21">
        <v>0.51</v>
      </c>
      <c r="D144" s="18">
        <f t="shared" si="34"/>
        <v>0.78</v>
      </c>
      <c r="E144" s="18">
        <f>IF(ISNUMBER(Volcanic!B144),Volcanic!B144,"")</f>
        <v>8.0000000000000071E-2</v>
      </c>
      <c r="F144" s="18">
        <f>IF(ISNUMBER(Volcanic!C144),Volcanic!C144,"")</f>
        <v>0.21527921008816014</v>
      </c>
      <c r="G144" s="18">
        <f>IF(ISNUMBER(Volcanic!E144),Volcanic!E144,"")</f>
        <v>1.4449999999999999E-2</v>
      </c>
      <c r="H144" s="18">
        <f>IF(ISNUMBER(Volcanic!D144),Volcanic!D144,"")</f>
        <v>0.71</v>
      </c>
      <c r="I144" s="18">
        <f t="shared" si="28"/>
        <v>0.21527921008816014</v>
      </c>
      <c r="J144" s="18">
        <f t="shared" si="29"/>
        <v>1.4449999999999999E-2</v>
      </c>
      <c r="K144" s="18">
        <f t="shared" si="30"/>
        <v>0.78</v>
      </c>
      <c r="L144" s="18">
        <f t="shared" si="31"/>
        <v>0.21527921008816014</v>
      </c>
      <c r="M144" s="18">
        <f t="shared" si="32"/>
        <v>1.4449999999999999E-2</v>
      </c>
      <c r="N144" s="18">
        <f t="shared" si="33"/>
        <v>0.58451474515740176</v>
      </c>
      <c r="AK144" s="18">
        <f>IF(AND(ISNUMBER(C144),ISNUMBER(ENSO!F144)),C144-ENSO!F144,"")</f>
        <v>4.9999999999999989E-2</v>
      </c>
      <c r="AL144" s="18">
        <f t="shared" si="35"/>
        <v>1970.0416666666667</v>
      </c>
      <c r="AM144" s="18">
        <f t="shared" si="36"/>
        <v>8.0000000000000071E-2</v>
      </c>
    </row>
    <row r="145" spans="1:39">
      <c r="A145" s="18" t="str">
        <f>IF(Volcanic!A145="","",Volcanic!A145)</f>
        <v>2/1970</v>
      </c>
      <c r="B145" s="18">
        <f>IF(ISNUMBER(Volcanic!L145),Volcanic!L145,"")</f>
        <v>1970.125</v>
      </c>
      <c r="C145" s="21">
        <v>0.31</v>
      </c>
      <c r="D145" s="18">
        <f t="shared" si="34"/>
        <v>0.74</v>
      </c>
      <c r="E145" s="18">
        <f>IF(ISNUMBER(Volcanic!B145),Volcanic!B145,"")</f>
        <v>0.22000000000000242</v>
      </c>
      <c r="F145" s="18">
        <f>IF(ISNUMBER(Volcanic!C145),Volcanic!C145,"")</f>
        <v>0.21940088215824097</v>
      </c>
      <c r="G145" s="18">
        <f>IF(ISNUMBER(Volcanic!E145),Volcanic!E145,"")</f>
        <v>1.37E-2</v>
      </c>
      <c r="H145" s="18">
        <f>IF(ISNUMBER(Volcanic!D145),Volcanic!D145,"")</f>
        <v>0.81</v>
      </c>
      <c r="I145" s="18">
        <f t="shared" si="28"/>
        <v>0.21940088215824097</v>
      </c>
      <c r="J145" s="18">
        <f t="shared" si="29"/>
        <v>1.37E-2</v>
      </c>
      <c r="K145" s="18">
        <f t="shared" si="30"/>
        <v>0.74</v>
      </c>
      <c r="L145" s="18">
        <f t="shared" si="31"/>
        <v>0.21940088215824097</v>
      </c>
      <c r="M145" s="18">
        <f t="shared" si="32"/>
        <v>1.37E-2</v>
      </c>
      <c r="N145" s="18">
        <f t="shared" si="33"/>
        <v>0.54520476464799983</v>
      </c>
      <c r="AK145" s="18">
        <f>IF(AND(ISNUMBER(C145),ISNUMBER(ENSO!F145)),C145-ENSO!F145,"")</f>
        <v>7.9999999999999988E-2</v>
      </c>
      <c r="AL145" s="18">
        <f t="shared" si="35"/>
        <v>1970.125</v>
      </c>
      <c r="AM145" s="18">
        <f t="shared" si="36"/>
        <v>0.22000000000000242</v>
      </c>
    </row>
    <row r="146" spans="1:39">
      <c r="A146" s="18" t="str">
        <f>IF(Volcanic!A146="","",Volcanic!A146)</f>
        <v>3/1970</v>
      </c>
      <c r="B146" s="18">
        <f>IF(ISNUMBER(Volcanic!L146),Volcanic!L146,"")</f>
        <v>1970.2083333333333</v>
      </c>
      <c r="C146" s="21">
        <v>0.25</v>
      </c>
      <c r="D146" s="18">
        <f t="shared" si="34"/>
        <v>0.56999999999999995</v>
      </c>
      <c r="E146" s="18">
        <f>IF(ISNUMBER(Volcanic!B146),Volcanic!B146,"")</f>
        <v>5.9999999999998721E-2</v>
      </c>
      <c r="F146" s="18">
        <f>IF(ISNUMBER(Volcanic!C146),Volcanic!C146,"")</f>
        <v>0.22355494169199039</v>
      </c>
      <c r="G146" s="18">
        <f>IF(ISNUMBER(Volcanic!E146),Volcanic!E146,"")</f>
        <v>1.3010000000000001E-2</v>
      </c>
      <c r="H146" s="18">
        <f>IF(ISNUMBER(Volcanic!D146),Volcanic!D146,"")</f>
        <v>0.71</v>
      </c>
      <c r="I146" s="18">
        <f t="shared" si="28"/>
        <v>0.22355494169199039</v>
      </c>
      <c r="J146" s="18">
        <f t="shared" si="29"/>
        <v>1.3010000000000001E-2</v>
      </c>
      <c r="K146" s="18">
        <f t="shared" si="30"/>
        <v>0.56999999999999995</v>
      </c>
      <c r="L146" s="18">
        <f t="shared" si="31"/>
        <v>0.22355494169199039</v>
      </c>
      <c r="M146" s="18">
        <f t="shared" si="32"/>
        <v>1.3010000000000001E-2</v>
      </c>
      <c r="N146" s="18">
        <f t="shared" si="33"/>
        <v>0.37589478413859789</v>
      </c>
      <c r="AK146" s="18">
        <f>IF(AND(ISNUMBER(C146),ISNUMBER(ENSO!F146)),C146-ENSO!F146,"")</f>
        <v>1.999999999999999E-2</v>
      </c>
      <c r="AL146" s="18">
        <f t="shared" si="35"/>
        <v>1970.2083333333333</v>
      </c>
      <c r="AM146" s="18">
        <f t="shared" si="36"/>
        <v>5.9999999999998721E-2</v>
      </c>
    </row>
    <row r="147" spans="1:39">
      <c r="A147" s="18" t="str">
        <f>IF(Volcanic!A147="","",Volcanic!A147)</f>
        <v>4/1970</v>
      </c>
      <c r="B147" s="18">
        <f>IF(ISNUMBER(Volcanic!L147),Volcanic!L147,"")</f>
        <v>1970.2916666666667</v>
      </c>
      <c r="C147" s="21">
        <v>0.11</v>
      </c>
      <c r="D147" s="18">
        <f t="shared" si="34"/>
        <v>0.51</v>
      </c>
      <c r="E147" s="18">
        <f>IF(ISNUMBER(Volcanic!B147),Volcanic!B147,"")</f>
        <v>5.0000000000004263E-2</v>
      </c>
      <c r="F147" s="18">
        <f>IF(ISNUMBER(Volcanic!C147),Volcanic!C147,"")</f>
        <v>0.22884067425281851</v>
      </c>
      <c r="G147" s="18">
        <f>IF(ISNUMBER(Volcanic!E147),Volcanic!E147,"")</f>
        <v>1.23E-2</v>
      </c>
      <c r="H147" s="18">
        <f>IF(ISNUMBER(Volcanic!D147),Volcanic!D147,"")</f>
        <v>0.46</v>
      </c>
      <c r="I147" s="18">
        <f t="shared" si="28"/>
        <v>0.22884067425281851</v>
      </c>
      <c r="J147" s="18">
        <f t="shared" si="29"/>
        <v>1.23E-2</v>
      </c>
      <c r="K147" s="18">
        <f t="shared" si="30"/>
        <v>0.51</v>
      </c>
      <c r="L147" s="18">
        <f t="shared" si="31"/>
        <v>0.22884067425281851</v>
      </c>
      <c r="M147" s="18">
        <f t="shared" si="32"/>
        <v>1.23E-2</v>
      </c>
      <c r="N147" s="18">
        <f t="shared" si="33"/>
        <v>0.31658480362919961</v>
      </c>
      <c r="AK147" s="18">
        <f>IF(AND(ISNUMBER(C147),ISNUMBER(ENSO!F147)),C147-ENSO!F147,"")</f>
        <v>-0.17000000000000004</v>
      </c>
      <c r="AL147" s="18">
        <f t="shared" si="35"/>
        <v>1970.2916666666667</v>
      </c>
      <c r="AM147" s="18">
        <f t="shared" si="36"/>
        <v>5.0000000000004263E-2</v>
      </c>
    </row>
    <row r="148" spans="1:39">
      <c r="A148" s="18" t="str">
        <f>IF(Volcanic!A148="","",Volcanic!A148)</f>
        <v>5/1970</v>
      </c>
      <c r="B148" s="18">
        <f>IF(ISNUMBER(Volcanic!L148),Volcanic!L148,"")</f>
        <v>1970.375</v>
      </c>
      <c r="C148" s="21">
        <v>0.01</v>
      </c>
      <c r="D148" s="18">
        <f t="shared" si="34"/>
        <v>0.31</v>
      </c>
      <c r="E148" s="18">
        <f>IF(ISNUMBER(Volcanic!B148),Volcanic!B148,"")</f>
        <v>-2.9999999999999361E-2</v>
      </c>
      <c r="F148" s="18">
        <f>IF(ISNUMBER(Volcanic!C148),Volcanic!C148,"")</f>
        <v>0.22862082160752503</v>
      </c>
      <c r="G148" s="18">
        <f>IF(ISNUMBER(Volcanic!E148),Volcanic!E148,"")</f>
        <v>1.163E-2</v>
      </c>
      <c r="H148" s="18">
        <f>IF(ISNUMBER(Volcanic!D148),Volcanic!D148,"")</f>
        <v>0.23</v>
      </c>
      <c r="I148" s="18">
        <f t="shared" si="28"/>
        <v>0.22862082160752503</v>
      </c>
      <c r="J148" s="18">
        <f t="shared" si="29"/>
        <v>1.163E-2</v>
      </c>
      <c r="K148" s="18">
        <f t="shared" si="30"/>
        <v>0.31</v>
      </c>
      <c r="L148" s="18">
        <f t="shared" si="31"/>
        <v>0.22862082160752503</v>
      </c>
      <c r="M148" s="18">
        <f t="shared" si="32"/>
        <v>1.163E-2</v>
      </c>
      <c r="N148" s="18">
        <f t="shared" si="33"/>
        <v>0.1172748231197977</v>
      </c>
      <c r="AK148" s="18">
        <f>IF(AND(ISNUMBER(C148),ISNUMBER(ENSO!F148)),C148-ENSO!F148,"")</f>
        <v>-0.1</v>
      </c>
      <c r="AL148" s="18">
        <f t="shared" si="35"/>
        <v>1970.375</v>
      </c>
      <c r="AM148" s="18">
        <f t="shared" si="36"/>
        <v>-2.9999999999999361E-2</v>
      </c>
    </row>
    <row r="149" spans="1:39">
      <c r="A149" s="18" t="str">
        <f>IF(Volcanic!A149="","",Volcanic!A149)</f>
        <v>6/1970</v>
      </c>
      <c r="B149" s="18">
        <f>IF(ISNUMBER(Volcanic!L149),Volcanic!L149,"")</f>
        <v>1970.4583333333333</v>
      </c>
      <c r="C149" s="21">
        <v>-0.28999999999999998</v>
      </c>
      <c r="D149" s="18">
        <f t="shared" si="34"/>
        <v>0.25</v>
      </c>
      <c r="E149" s="18">
        <f>IF(ISNUMBER(Volcanic!B149),Volcanic!B149,"")</f>
        <v>-1.9999999999999574E-2</v>
      </c>
      <c r="F149" s="18">
        <f>IF(ISNUMBER(Volcanic!C149),Volcanic!C149,"")</f>
        <v>0.22681676504986711</v>
      </c>
      <c r="G149" s="18">
        <f>IF(ISNUMBER(Volcanic!E149),Volcanic!E149,"")</f>
        <v>1.0840000000000001E-2</v>
      </c>
      <c r="H149" s="18">
        <f>IF(ISNUMBER(Volcanic!D149),Volcanic!D149,"")</f>
        <v>0.23</v>
      </c>
      <c r="I149" s="18">
        <f t="shared" si="28"/>
        <v>0.22681676504986711</v>
      </c>
      <c r="J149" s="18">
        <f t="shared" si="29"/>
        <v>1.0840000000000001E-2</v>
      </c>
      <c r="K149" s="18">
        <f t="shared" si="30"/>
        <v>0.25</v>
      </c>
      <c r="L149" s="18">
        <f t="shared" si="31"/>
        <v>0.22681676504986711</v>
      </c>
      <c r="M149" s="18">
        <f t="shared" si="32"/>
        <v>1.0840000000000001E-2</v>
      </c>
      <c r="N149" s="18">
        <f t="shared" si="33"/>
        <v>5.7964842610395806E-2</v>
      </c>
      <c r="AK149" s="18">
        <f>IF(AND(ISNUMBER(C149),ISNUMBER(ENSO!F149)),C149-ENSO!F149,"")</f>
        <v>-2.9999999999999971E-2</v>
      </c>
      <c r="AL149" s="18">
        <f t="shared" si="35"/>
        <v>1970.4583333333333</v>
      </c>
      <c r="AM149" s="18">
        <f t="shared" si="36"/>
        <v>-1.9999999999999574E-2</v>
      </c>
    </row>
    <row r="150" spans="1:39">
      <c r="A150" s="18" t="str">
        <f>IF(Volcanic!A150="","",Volcanic!A150)</f>
        <v>7/1970</v>
      </c>
      <c r="B150" s="18">
        <f>IF(ISNUMBER(Volcanic!L150),Volcanic!L150,"")</f>
        <v>1970.5416666666667</v>
      </c>
      <c r="C150" s="21">
        <v>-0.57999999999999996</v>
      </c>
      <c r="D150" s="18">
        <f t="shared" si="34"/>
        <v>0.11</v>
      </c>
      <c r="E150" s="18">
        <f>IF(ISNUMBER(Volcanic!B150),Volcanic!B150,"")</f>
        <v>2.0000000000003126E-2</v>
      </c>
      <c r="F150" s="18">
        <f>IF(ISNUMBER(Volcanic!C150),Volcanic!C150,"")</f>
        <v>0.2209490044667792</v>
      </c>
      <c r="G150" s="18">
        <f>IF(ISNUMBER(Volcanic!E150),Volcanic!E150,"")</f>
        <v>1.0059999999999999E-2</v>
      </c>
      <c r="H150" s="18">
        <f>IF(ISNUMBER(Volcanic!D150),Volcanic!D150,"")</f>
        <v>0.28000000000000003</v>
      </c>
      <c r="I150" s="18">
        <f t="shared" si="28"/>
        <v>0.2209490044667792</v>
      </c>
      <c r="J150" s="18">
        <f t="shared" si="29"/>
        <v>1.0059999999999999E-2</v>
      </c>
      <c r="K150" s="18">
        <f t="shared" si="30"/>
        <v>0.11</v>
      </c>
      <c r="L150" s="18">
        <f t="shared" si="31"/>
        <v>0.2209490044667792</v>
      </c>
      <c r="M150" s="18">
        <f t="shared" si="32"/>
        <v>1.0059999999999999E-2</v>
      </c>
      <c r="N150" s="18">
        <f t="shared" si="33"/>
        <v>-8.1345137899002537E-2</v>
      </c>
      <c r="AK150" s="18">
        <f>IF(AND(ISNUMBER(C150),ISNUMBER(ENSO!F150)),C150-ENSO!F150,"")</f>
        <v>-2.9999999999999916E-2</v>
      </c>
      <c r="AL150" s="18">
        <f t="shared" si="35"/>
        <v>1970.5416666666667</v>
      </c>
      <c r="AM150" s="18">
        <f t="shared" si="36"/>
        <v>2.0000000000003126E-2</v>
      </c>
    </row>
    <row r="151" spans="1:39">
      <c r="A151" s="18" t="str">
        <f>IF(Volcanic!A151="","",Volcanic!A151)</f>
        <v>8/1970</v>
      </c>
      <c r="B151" s="18">
        <f>IF(ISNUMBER(Volcanic!L151),Volcanic!L151,"")</f>
        <v>1970.625</v>
      </c>
      <c r="C151" s="21">
        <v>-0.69</v>
      </c>
      <c r="D151" s="18">
        <f t="shared" si="34"/>
        <v>0.01</v>
      </c>
      <c r="E151" s="18">
        <f>IF(ISNUMBER(Volcanic!B151),Volcanic!B151,"")</f>
        <v>-0.10000000000000142</v>
      </c>
      <c r="F151" s="18">
        <f>IF(ISNUMBER(Volcanic!C151),Volcanic!C151,"")</f>
        <v>0.21359169145595572</v>
      </c>
      <c r="G151" s="18">
        <f>IF(ISNUMBER(Volcanic!E151),Volcanic!E151,"")</f>
        <v>9.3399999999999993E-3</v>
      </c>
      <c r="H151" s="18">
        <f>IF(ISNUMBER(Volcanic!D151),Volcanic!D151,"")</f>
        <v>0.11</v>
      </c>
      <c r="I151" s="18">
        <f t="shared" si="28"/>
        <v>0.21359169145595572</v>
      </c>
      <c r="J151" s="18">
        <f t="shared" si="29"/>
        <v>9.3399999999999993E-3</v>
      </c>
      <c r="K151" s="18">
        <f t="shared" si="30"/>
        <v>0.01</v>
      </c>
      <c r="L151" s="18">
        <f t="shared" si="31"/>
        <v>0.21359169145595572</v>
      </c>
      <c r="M151" s="18">
        <f t="shared" si="32"/>
        <v>9.3399999999999993E-3</v>
      </c>
      <c r="N151" s="18">
        <f t="shared" si="33"/>
        <v>-0.18065511840840442</v>
      </c>
      <c r="AK151" s="18">
        <f>IF(AND(ISNUMBER(C151),ISNUMBER(ENSO!F151)),C151-ENSO!F151,"")</f>
        <v>3.0000000000000027E-2</v>
      </c>
      <c r="AL151" s="18">
        <f t="shared" si="35"/>
        <v>1970.625</v>
      </c>
      <c r="AM151" s="18">
        <f t="shared" si="36"/>
        <v>-0.10000000000000142</v>
      </c>
    </row>
    <row r="152" spans="1:39">
      <c r="A152" s="18" t="str">
        <f>IF(Volcanic!A152="","",Volcanic!A152)</f>
        <v>9/1970</v>
      </c>
      <c r="B152" s="18">
        <f>IF(ISNUMBER(Volcanic!L152),Volcanic!L152,"")</f>
        <v>1970.7083333333333</v>
      </c>
      <c r="C152" s="21">
        <v>-0.69</v>
      </c>
      <c r="D152" s="18">
        <f t="shared" si="34"/>
        <v>-0.28999999999999998</v>
      </c>
      <c r="E152" s="18">
        <f>IF(ISNUMBER(Volcanic!B152),Volcanic!B152,"")</f>
        <v>0.11999999999999744</v>
      </c>
      <c r="F152" s="18">
        <f>IF(ISNUMBER(Volcanic!C152),Volcanic!C152,"")</f>
        <v>0.20655392343303489</v>
      </c>
      <c r="G152" s="18">
        <f>IF(ISNUMBER(Volcanic!E152),Volcanic!E152,"")</f>
        <v>8.6400000000000001E-3</v>
      </c>
      <c r="H152" s="18">
        <f>IF(ISNUMBER(Volcanic!D152),Volcanic!D152,"")</f>
        <v>-0.26</v>
      </c>
      <c r="I152" s="18">
        <f t="shared" si="28"/>
        <v>0.20655392343303489</v>
      </c>
      <c r="J152" s="18">
        <f t="shared" si="29"/>
        <v>8.6400000000000001E-3</v>
      </c>
      <c r="K152" s="18">
        <f t="shared" si="30"/>
        <v>-0.28999999999999998</v>
      </c>
      <c r="L152" s="18">
        <f t="shared" si="31"/>
        <v>0.20655392343303489</v>
      </c>
      <c r="M152" s="18">
        <f t="shared" si="32"/>
        <v>8.6400000000000001E-3</v>
      </c>
      <c r="N152" s="18">
        <f t="shared" si="33"/>
        <v>-0.47996509891780631</v>
      </c>
      <c r="AK152" s="18">
        <f>IF(AND(ISNUMBER(C152),ISNUMBER(ENSO!F152)),C152-ENSO!F152,"")</f>
        <v>0</v>
      </c>
      <c r="AL152" s="18">
        <f t="shared" si="35"/>
        <v>1970.7083333333333</v>
      </c>
      <c r="AM152" s="18">
        <f t="shared" si="36"/>
        <v>0.11999999999999744</v>
      </c>
    </row>
    <row r="153" spans="1:39">
      <c r="A153" s="18" t="str">
        <f>IF(Volcanic!A153="","",Volcanic!A153)</f>
        <v>10/1970</v>
      </c>
      <c r="B153" s="18">
        <f>IF(ISNUMBER(Volcanic!L153),Volcanic!L153,"")</f>
        <v>1970.7916666666667</v>
      </c>
      <c r="C153" s="21">
        <v>-0.63</v>
      </c>
      <c r="D153" s="18">
        <f t="shared" si="34"/>
        <v>-0.57999999999999996</v>
      </c>
      <c r="E153" s="18">
        <f>IF(ISNUMBER(Volcanic!B153),Volcanic!B153,"")</f>
        <v>2.9999999999997584E-2</v>
      </c>
      <c r="F153" s="18">
        <f>IF(ISNUMBER(Volcanic!C153),Volcanic!C153,"")</f>
        <v>0.20637530574791263</v>
      </c>
      <c r="G153" s="18">
        <f>IF(ISNUMBER(Volcanic!E153),Volcanic!E153,"")</f>
        <v>8.0499999999999999E-3</v>
      </c>
      <c r="H153" s="18">
        <f>IF(ISNUMBER(Volcanic!D153),Volcanic!D153,"")</f>
        <v>-0.55000000000000004</v>
      </c>
      <c r="I153" s="18">
        <f t="shared" si="28"/>
        <v>0.20637530574791263</v>
      </c>
      <c r="J153" s="18">
        <f t="shared" si="29"/>
        <v>8.0499999999999999E-3</v>
      </c>
      <c r="K153" s="18">
        <f t="shared" si="30"/>
        <v>-0.57999999999999996</v>
      </c>
      <c r="L153" s="18">
        <f t="shared" si="31"/>
        <v>0.20637530574791263</v>
      </c>
      <c r="M153" s="18">
        <f t="shared" si="32"/>
        <v>8.0499999999999999E-3</v>
      </c>
      <c r="N153" s="18">
        <f t="shared" si="33"/>
        <v>-0.76927507942720819</v>
      </c>
      <c r="AK153" s="18">
        <f>IF(AND(ISNUMBER(C153),ISNUMBER(ENSO!F153)),C153-ENSO!F153,"")</f>
        <v>8.9999999999999969E-2</v>
      </c>
      <c r="AL153" s="18">
        <f t="shared" si="35"/>
        <v>1970.7916666666667</v>
      </c>
      <c r="AM153" s="18">
        <f t="shared" si="36"/>
        <v>2.9999999999997584E-2</v>
      </c>
    </row>
    <row r="154" spans="1:39">
      <c r="A154" s="18" t="str">
        <f>IF(Volcanic!A154="","",Volcanic!A154)</f>
        <v>11/1970</v>
      </c>
      <c r="B154" s="18">
        <f>IF(ISNUMBER(Volcanic!L154),Volcanic!L154,"")</f>
        <v>1970.875</v>
      </c>
      <c r="C154" s="21">
        <v>-0.7</v>
      </c>
      <c r="D154" s="18">
        <f t="shared" si="34"/>
        <v>-0.69</v>
      </c>
      <c r="E154" s="18">
        <f>IF(ISNUMBER(Volcanic!B154),Volcanic!B154,"")</f>
        <v>2.0000000000003126E-2</v>
      </c>
      <c r="F154" s="18">
        <f>IF(ISNUMBER(Volcanic!C154),Volcanic!C154,"")</f>
        <v>0.21061151287723645</v>
      </c>
      <c r="G154" s="18">
        <f>IF(ISNUMBER(Volcanic!E154),Volcanic!E154,"")</f>
        <v>7.6099999999999996E-3</v>
      </c>
      <c r="H154" s="18">
        <f>IF(ISNUMBER(Volcanic!D154),Volcanic!D154,"")</f>
        <v>-0.72</v>
      </c>
      <c r="I154" s="18">
        <f t="shared" si="28"/>
        <v>0.21061151287723645</v>
      </c>
      <c r="J154" s="18">
        <f t="shared" si="29"/>
        <v>7.6099999999999996E-3</v>
      </c>
      <c r="K154" s="18">
        <f t="shared" si="30"/>
        <v>-0.69</v>
      </c>
      <c r="L154" s="18">
        <f t="shared" si="31"/>
        <v>0.21061151287723645</v>
      </c>
      <c r="M154" s="18">
        <f t="shared" si="32"/>
        <v>7.6099999999999996E-3</v>
      </c>
      <c r="N154" s="18">
        <f t="shared" si="33"/>
        <v>-0.87858505993661007</v>
      </c>
      <c r="AK154" s="18">
        <f>IF(AND(ISNUMBER(C154),ISNUMBER(ENSO!F154)),C154-ENSO!F154,"")</f>
        <v>8.0000000000000071E-2</v>
      </c>
      <c r="AL154" s="18">
        <f t="shared" si="35"/>
        <v>1970.875</v>
      </c>
      <c r="AM154" s="18">
        <f t="shared" si="36"/>
        <v>2.0000000000003126E-2</v>
      </c>
    </row>
    <row r="155" spans="1:39">
      <c r="A155" s="18" t="str">
        <f>IF(Volcanic!A155="","",Volcanic!A155)</f>
        <v>12/1970</v>
      </c>
      <c r="B155" s="18">
        <f>IF(ISNUMBER(Volcanic!L155),Volcanic!L155,"")</f>
        <v>1970.9583333333333</v>
      </c>
      <c r="C155" s="21">
        <v>-0.91</v>
      </c>
      <c r="D155" s="18">
        <f t="shared" si="34"/>
        <v>-0.69</v>
      </c>
      <c r="E155" s="18">
        <f>IF(ISNUMBER(Volcanic!B155),Volcanic!B155,"")</f>
        <v>-0.11999999999999744</v>
      </c>
      <c r="F155" s="18">
        <f>IF(ISNUMBER(Volcanic!C155),Volcanic!C155,"")</f>
        <v>0.21558985360237096</v>
      </c>
      <c r="G155" s="18">
        <f>IF(ISNUMBER(Volcanic!E155),Volcanic!E155,"")</f>
        <v>7.2300000000000003E-3</v>
      </c>
      <c r="H155" s="18">
        <f>IF(ISNUMBER(Volcanic!D155),Volcanic!D155,"")</f>
        <v>-0.69</v>
      </c>
      <c r="I155" s="18">
        <f t="shared" si="28"/>
        <v>0.21558985360237096</v>
      </c>
      <c r="J155" s="18">
        <f t="shared" si="29"/>
        <v>7.2300000000000003E-3</v>
      </c>
      <c r="K155" s="18">
        <f t="shared" si="30"/>
        <v>-0.69</v>
      </c>
      <c r="L155" s="18">
        <f t="shared" si="31"/>
        <v>0.21558985360237096</v>
      </c>
      <c r="M155" s="18">
        <f t="shared" si="32"/>
        <v>7.2300000000000003E-3</v>
      </c>
      <c r="N155" s="18">
        <f t="shared" si="33"/>
        <v>-0.87789504044601196</v>
      </c>
      <c r="AK155" s="18">
        <f>IF(AND(ISNUMBER(C155),ISNUMBER(ENSO!F155)),C155-ENSO!F155,"")</f>
        <v>0.19000000000000006</v>
      </c>
      <c r="AL155" s="18">
        <f t="shared" si="35"/>
        <v>1970.9583333333333</v>
      </c>
      <c r="AM155" s="18">
        <f t="shared" si="36"/>
        <v>-0.11999999999999744</v>
      </c>
    </row>
    <row r="156" spans="1:39">
      <c r="A156" s="18" t="str">
        <f>IF(Volcanic!A156="","",Volcanic!A156)</f>
        <v>1/1971</v>
      </c>
      <c r="B156" s="18">
        <f>IF(ISNUMBER(Volcanic!L156),Volcanic!L156,"")</f>
        <v>1971.0416666666667</v>
      </c>
      <c r="C156" s="21">
        <v>-1.03</v>
      </c>
      <c r="D156" s="18">
        <f t="shared" si="34"/>
        <v>-0.63</v>
      </c>
      <c r="E156" s="18">
        <f>IF(ISNUMBER(Volcanic!B156),Volcanic!B156,"")</f>
        <v>-1.9999999999999574E-2</v>
      </c>
      <c r="F156" s="18">
        <f>IF(ISNUMBER(Volcanic!C156),Volcanic!C156,"")</f>
        <v>0.22019726683057364</v>
      </c>
      <c r="G156" s="18">
        <f>IF(ISNUMBER(Volcanic!E156),Volcanic!E156,"")</f>
        <v>6.9100000000000003E-3</v>
      </c>
      <c r="H156" s="18">
        <f>IF(ISNUMBER(Volcanic!D156),Volcanic!D156,"")</f>
        <v>-0.72</v>
      </c>
      <c r="I156" s="18">
        <f t="shared" si="28"/>
        <v>0.22019726683057364</v>
      </c>
      <c r="J156" s="18">
        <f t="shared" si="29"/>
        <v>6.9100000000000003E-3</v>
      </c>
      <c r="K156" s="18">
        <f t="shared" si="30"/>
        <v>-0.63</v>
      </c>
      <c r="L156" s="18">
        <f t="shared" si="31"/>
        <v>0.22019726683057364</v>
      </c>
      <c r="M156" s="18">
        <f t="shared" si="32"/>
        <v>6.9100000000000003E-3</v>
      </c>
      <c r="N156" s="18">
        <f t="shared" si="33"/>
        <v>-0.81720502095541037</v>
      </c>
      <c r="AK156" s="18">
        <f>IF(AND(ISNUMBER(C156),ISNUMBER(ENSO!F156)),C156-ENSO!F156,"")</f>
        <v>0.26</v>
      </c>
      <c r="AL156" s="18">
        <f t="shared" si="35"/>
        <v>1971.0416666666667</v>
      </c>
      <c r="AM156" s="18">
        <f t="shared" si="36"/>
        <v>-1.9999999999999574E-2</v>
      </c>
    </row>
    <row r="157" spans="1:39">
      <c r="A157" s="18" t="str">
        <f>IF(Volcanic!A157="","",Volcanic!A157)</f>
        <v>2/1971</v>
      </c>
      <c r="B157" s="18">
        <f>IF(ISNUMBER(Volcanic!L157),Volcanic!L157,"")</f>
        <v>1971.125</v>
      </c>
      <c r="C157" s="21">
        <v>-1.02</v>
      </c>
      <c r="D157" s="18">
        <f t="shared" si="34"/>
        <v>-0.7</v>
      </c>
      <c r="E157" s="18">
        <f>IF(ISNUMBER(Volcanic!B157),Volcanic!B157,"")</f>
        <v>-0.14999999999999858</v>
      </c>
      <c r="F157" s="18">
        <f>IF(ISNUMBER(Volcanic!C157),Volcanic!C157,"")</f>
        <v>0.22249546730205641</v>
      </c>
      <c r="G157" s="18">
        <f>IF(ISNUMBER(Volcanic!E157),Volcanic!E157,"")</f>
        <v>6.6499999999999997E-3</v>
      </c>
      <c r="H157" s="18">
        <f>IF(ISNUMBER(Volcanic!D157),Volcanic!D157,"")</f>
        <v>-0.78</v>
      </c>
      <c r="I157" s="18">
        <f t="shared" si="28"/>
        <v>0.22249546730205641</v>
      </c>
      <c r="J157" s="18">
        <f t="shared" si="29"/>
        <v>6.6499999999999997E-3</v>
      </c>
      <c r="K157" s="18">
        <f t="shared" si="30"/>
        <v>-0.7</v>
      </c>
      <c r="L157" s="18">
        <f t="shared" si="31"/>
        <v>0.22249546730205641</v>
      </c>
      <c r="M157" s="18">
        <f t="shared" si="32"/>
        <v>6.6499999999999997E-3</v>
      </c>
      <c r="N157" s="18">
        <f t="shared" si="33"/>
        <v>-0.88651500146481221</v>
      </c>
      <c r="AK157" s="18">
        <f>IF(AND(ISNUMBER(C157),ISNUMBER(ENSO!F157)),C157-ENSO!F157,"")</f>
        <v>0.34000000000000008</v>
      </c>
      <c r="AL157" s="18">
        <f t="shared" si="35"/>
        <v>1971.125</v>
      </c>
      <c r="AM157" s="18">
        <f t="shared" si="36"/>
        <v>-0.14999999999999858</v>
      </c>
    </row>
    <row r="158" spans="1:39">
      <c r="A158" s="18" t="str">
        <f>IF(Volcanic!A158="","",Volcanic!A158)</f>
        <v>3/1971</v>
      </c>
      <c r="B158" s="18">
        <f>IF(ISNUMBER(Volcanic!L158),Volcanic!L158,"")</f>
        <v>1971.2083333333333</v>
      </c>
      <c r="C158" s="21">
        <v>-0.83</v>
      </c>
      <c r="D158" s="18">
        <f t="shared" si="34"/>
        <v>-0.91</v>
      </c>
      <c r="E158" s="18">
        <f>IF(ISNUMBER(Volcanic!B158),Volcanic!B158,"")</f>
        <v>-0.17999999999999794</v>
      </c>
      <c r="F158" s="18">
        <f>IF(ISNUMBER(Volcanic!C158),Volcanic!C158,"")</f>
        <v>0.22465773412073844</v>
      </c>
      <c r="G158" s="18">
        <f>IF(ISNUMBER(Volcanic!E158),Volcanic!E158,"")</f>
        <v>6.45E-3</v>
      </c>
      <c r="H158" s="18">
        <f>IF(ISNUMBER(Volcanic!D158),Volcanic!D158,"")</f>
        <v>-1.1000000000000001</v>
      </c>
      <c r="I158" s="18">
        <f t="shared" si="28"/>
        <v>0.22465773412073844</v>
      </c>
      <c r="J158" s="18">
        <f t="shared" si="29"/>
        <v>6.45E-3</v>
      </c>
      <c r="K158" s="18">
        <f t="shared" si="30"/>
        <v>-0.91</v>
      </c>
      <c r="L158" s="18">
        <f t="shared" si="31"/>
        <v>0.22465773412073844</v>
      </c>
      <c r="M158" s="18">
        <f t="shared" si="32"/>
        <v>6.45E-3</v>
      </c>
      <c r="N158" s="18">
        <f t="shared" si="33"/>
        <v>-1.0958249819742143</v>
      </c>
      <c r="AK158" s="18">
        <f>IF(AND(ISNUMBER(C158),ISNUMBER(ENSO!F158)),C158-ENSO!F158,"")</f>
        <v>0.25000000000000011</v>
      </c>
      <c r="AL158" s="18">
        <f t="shared" si="35"/>
        <v>1971.2083333333333</v>
      </c>
      <c r="AM158" s="18">
        <f t="shared" si="36"/>
        <v>-0.17999999999999794</v>
      </c>
    </row>
    <row r="159" spans="1:39">
      <c r="A159" s="18" t="str">
        <f>IF(Volcanic!A159="","",Volcanic!A159)</f>
        <v>4/1971</v>
      </c>
      <c r="B159" s="18">
        <f>IF(ISNUMBER(Volcanic!L159),Volcanic!L159,"")</f>
        <v>1971.2916666666667</v>
      </c>
      <c r="C159" s="21">
        <v>-0.6</v>
      </c>
      <c r="D159" s="18">
        <f t="shared" si="34"/>
        <v>-1.03</v>
      </c>
      <c r="E159" s="18">
        <f>IF(ISNUMBER(Volcanic!B159),Volcanic!B159,"")</f>
        <v>-7.0000000000000284E-2</v>
      </c>
      <c r="F159" s="18">
        <f>IF(ISNUMBER(Volcanic!C159),Volcanic!C159,"")</f>
        <v>0.22730100169945941</v>
      </c>
      <c r="G159" s="18">
        <f>IF(ISNUMBER(Volcanic!E159),Volcanic!E159,"")</f>
        <v>6.2500000000000003E-3</v>
      </c>
      <c r="H159" s="18">
        <f>IF(ISNUMBER(Volcanic!D159),Volcanic!D159,"")</f>
        <v>-1.29</v>
      </c>
      <c r="I159" s="18">
        <f t="shared" si="28"/>
        <v>0.22730100169945941</v>
      </c>
      <c r="J159" s="18">
        <f t="shared" si="29"/>
        <v>6.2500000000000003E-3</v>
      </c>
      <c r="K159" s="18">
        <f t="shared" si="30"/>
        <v>-1.03</v>
      </c>
      <c r="L159" s="18">
        <f t="shared" si="31"/>
        <v>0.22730100169945941</v>
      </c>
      <c r="M159" s="18">
        <f t="shared" si="32"/>
        <v>6.2500000000000003E-3</v>
      </c>
      <c r="N159" s="18">
        <f t="shared" si="33"/>
        <v>-1.2151349624836125</v>
      </c>
      <c r="AK159" s="18">
        <f>IF(AND(ISNUMBER(C159),ISNUMBER(ENSO!F159)),C159-ENSO!F159,"")</f>
        <v>0.21000000000000008</v>
      </c>
      <c r="AL159" s="18">
        <f t="shared" si="35"/>
        <v>1971.2916666666667</v>
      </c>
      <c r="AM159" s="18">
        <f t="shared" si="36"/>
        <v>-7.0000000000000284E-2</v>
      </c>
    </row>
    <row r="160" spans="1:39">
      <c r="A160" s="18" t="str">
        <f>IF(Volcanic!A160="","",Volcanic!A160)</f>
        <v>5/1971</v>
      </c>
      <c r="B160" s="18">
        <f>IF(ISNUMBER(Volcanic!L160),Volcanic!L160,"")</f>
        <v>1971.375</v>
      </c>
      <c r="C160" s="21">
        <v>-0.48</v>
      </c>
      <c r="D160" s="18">
        <f t="shared" si="34"/>
        <v>-1.02</v>
      </c>
      <c r="E160" s="18">
        <f>IF(ISNUMBER(Volcanic!B160),Volcanic!B160,"")</f>
        <v>-5.0000000000000711E-2</v>
      </c>
      <c r="F160" s="18">
        <f>IF(ISNUMBER(Volcanic!C160),Volcanic!C160,"")</f>
        <v>0.23235376773902855</v>
      </c>
      <c r="G160" s="18">
        <f>IF(ISNUMBER(Volcanic!E160),Volcanic!E160,"")</f>
        <v>6.0899999999999999E-3</v>
      </c>
      <c r="H160" s="18">
        <f>IF(ISNUMBER(Volcanic!D160),Volcanic!D160,"")</f>
        <v>-1.36</v>
      </c>
      <c r="I160" s="18">
        <f t="shared" si="28"/>
        <v>0.23235376773902855</v>
      </c>
      <c r="J160" s="18">
        <f t="shared" si="29"/>
        <v>6.0899999999999999E-3</v>
      </c>
      <c r="K160" s="18">
        <f t="shared" si="30"/>
        <v>-1.02</v>
      </c>
      <c r="L160" s="18">
        <f t="shared" si="31"/>
        <v>0.23235376773902855</v>
      </c>
      <c r="M160" s="18">
        <f t="shared" si="32"/>
        <v>6.0899999999999999E-3</v>
      </c>
      <c r="N160" s="18">
        <f t="shared" si="33"/>
        <v>-1.2044449429930144</v>
      </c>
      <c r="AK160" s="18">
        <f>IF(AND(ISNUMBER(C160),ISNUMBER(ENSO!F160)),C160-ENSO!F160,"")</f>
        <v>0.24</v>
      </c>
      <c r="AL160" s="18">
        <f t="shared" si="35"/>
        <v>1971.375</v>
      </c>
      <c r="AM160" s="18">
        <f t="shared" si="36"/>
        <v>-5.0000000000000711E-2</v>
      </c>
    </row>
    <row r="161" spans="1:39">
      <c r="A161" s="18" t="str">
        <f>IF(Volcanic!A161="","",Volcanic!A161)</f>
        <v>6/1971</v>
      </c>
      <c r="B161" s="18">
        <f>IF(ISNUMBER(Volcanic!L161),Volcanic!L161,"")</f>
        <v>1971.4583333333333</v>
      </c>
      <c r="C161" s="21">
        <v>-0.41</v>
      </c>
      <c r="D161" s="18">
        <f t="shared" si="34"/>
        <v>-0.83</v>
      </c>
      <c r="E161" s="18">
        <f>IF(ISNUMBER(Volcanic!B161),Volcanic!B161,"")</f>
        <v>-0.16000000000000014</v>
      </c>
      <c r="F161" s="18">
        <f>IF(ISNUMBER(Volcanic!C161),Volcanic!C161,"")</f>
        <v>0.23077393422839654</v>
      </c>
      <c r="G161" s="18">
        <f>IF(ISNUMBER(Volcanic!E161),Volcanic!E161,"")</f>
        <v>5.79E-3</v>
      </c>
      <c r="H161" s="18">
        <f>IF(ISNUMBER(Volcanic!D161),Volcanic!D161,"")</f>
        <v>-1.08</v>
      </c>
      <c r="I161" s="18">
        <f t="shared" si="28"/>
        <v>0.23077393422839654</v>
      </c>
      <c r="J161" s="18">
        <f t="shared" si="29"/>
        <v>5.79E-3</v>
      </c>
      <c r="K161" s="18">
        <f t="shared" si="30"/>
        <v>-0.83</v>
      </c>
      <c r="L161" s="18">
        <f t="shared" si="31"/>
        <v>0.23077393422839654</v>
      </c>
      <c r="M161" s="18">
        <f t="shared" si="32"/>
        <v>5.79E-3</v>
      </c>
      <c r="N161" s="18">
        <f t="shared" si="33"/>
        <v>-1.0137549235024164</v>
      </c>
      <c r="AK161" s="18">
        <f>IF(AND(ISNUMBER(C161),ISNUMBER(ENSO!F161)),C161-ENSO!F161,"")</f>
        <v>0.27999999999999997</v>
      </c>
      <c r="AL161" s="18">
        <f t="shared" si="35"/>
        <v>1971.4583333333333</v>
      </c>
      <c r="AM161" s="18">
        <f t="shared" si="36"/>
        <v>-0.16000000000000014</v>
      </c>
    </row>
    <row r="162" spans="1:39">
      <c r="A162" s="18" t="str">
        <f>IF(Volcanic!A162="","",Volcanic!A162)</f>
        <v>7/1971</v>
      </c>
      <c r="B162" s="18">
        <f>IF(ISNUMBER(Volcanic!L162),Volcanic!L162,"")</f>
        <v>1971.5416666666667</v>
      </c>
      <c r="C162" s="21">
        <v>-0.44</v>
      </c>
      <c r="D162" s="18">
        <f t="shared" si="34"/>
        <v>-0.6</v>
      </c>
      <c r="E162" s="18">
        <f>IF(ISNUMBER(Volcanic!B162),Volcanic!B162,"")</f>
        <v>-7.0000000000000284E-2</v>
      </c>
      <c r="F162" s="18">
        <f>IF(ISNUMBER(Volcanic!C162),Volcanic!C162,"")</f>
        <v>0.22545122302563764</v>
      </c>
      <c r="G162" s="18">
        <f>IF(ISNUMBER(Volcanic!E162),Volcanic!E162,"")</f>
        <v>5.4900000000000001E-3</v>
      </c>
      <c r="H162" s="18">
        <f>IF(ISNUMBER(Volcanic!D162),Volcanic!D162,"")</f>
        <v>-0.81</v>
      </c>
      <c r="I162" s="18">
        <f t="shared" si="28"/>
        <v>0.22545122302563764</v>
      </c>
      <c r="J162" s="18">
        <f t="shared" si="29"/>
        <v>5.4900000000000001E-3</v>
      </c>
      <c r="K162" s="18">
        <f t="shared" si="30"/>
        <v>-0.6</v>
      </c>
      <c r="L162" s="18">
        <f t="shared" si="31"/>
        <v>0.22545122302563764</v>
      </c>
      <c r="M162" s="18">
        <f t="shared" si="32"/>
        <v>5.4900000000000001E-3</v>
      </c>
      <c r="N162" s="18">
        <f t="shared" si="33"/>
        <v>-0.78306490401181461</v>
      </c>
      <c r="AK162" s="18">
        <f>IF(AND(ISNUMBER(C162),ISNUMBER(ENSO!F162)),C162-ENSO!F162,"")</f>
        <v>0.24000000000000005</v>
      </c>
      <c r="AL162" s="18">
        <f t="shared" si="35"/>
        <v>1971.5416666666667</v>
      </c>
      <c r="AM162" s="18">
        <f t="shared" si="36"/>
        <v>-7.0000000000000284E-2</v>
      </c>
    </row>
    <row r="163" spans="1:39">
      <c r="A163" s="18" t="str">
        <f>IF(Volcanic!A163="","",Volcanic!A163)</f>
        <v>8/1971</v>
      </c>
      <c r="B163" s="18">
        <f>IF(ISNUMBER(Volcanic!L163),Volcanic!L163,"")</f>
        <v>1971.625</v>
      </c>
      <c r="C163" s="21">
        <v>-0.44</v>
      </c>
      <c r="D163" s="18">
        <f t="shared" si="34"/>
        <v>-0.48</v>
      </c>
      <c r="E163" s="18">
        <f>IF(ISNUMBER(Volcanic!B163),Volcanic!B163,"")</f>
        <v>-9.9999999999980105E-3</v>
      </c>
      <c r="F163" s="18">
        <f>IF(ISNUMBER(Volcanic!C163),Volcanic!C163,"")</f>
        <v>0.21692042585687715</v>
      </c>
      <c r="G163" s="18">
        <f>IF(ISNUMBER(Volcanic!E163),Volcanic!E163,"")</f>
        <v>5.2199999999999998E-3</v>
      </c>
      <c r="H163" s="18">
        <f>IF(ISNUMBER(Volcanic!D163),Volcanic!D163,"")</f>
        <v>-0.72</v>
      </c>
      <c r="I163" s="18">
        <f t="shared" si="28"/>
        <v>0.21692042585687715</v>
      </c>
      <c r="J163" s="18">
        <f t="shared" si="29"/>
        <v>5.2199999999999998E-3</v>
      </c>
      <c r="K163" s="18">
        <f t="shared" si="30"/>
        <v>-0.48</v>
      </c>
      <c r="L163" s="18">
        <f t="shared" si="31"/>
        <v>0.21692042585687715</v>
      </c>
      <c r="M163" s="18">
        <f t="shared" si="32"/>
        <v>5.2199999999999998E-3</v>
      </c>
      <c r="N163" s="18">
        <f t="shared" si="33"/>
        <v>-0.66237488452121651</v>
      </c>
      <c r="AK163" s="18">
        <f>IF(AND(ISNUMBER(C163),ISNUMBER(ENSO!F163)),C163-ENSO!F163,"")</f>
        <v>0.15999999999999998</v>
      </c>
      <c r="AL163" s="18">
        <f t="shared" si="35"/>
        <v>1971.625</v>
      </c>
      <c r="AM163" s="18">
        <f t="shared" si="36"/>
        <v>-9.9999999999980105E-3</v>
      </c>
    </row>
    <row r="164" spans="1:39">
      <c r="A164" s="18" t="str">
        <f>IF(Volcanic!A164="","",Volcanic!A164)</f>
        <v>9/1971</v>
      </c>
      <c r="B164" s="18">
        <f>IF(ISNUMBER(Volcanic!L164),Volcanic!L164,"")</f>
        <v>1971.7083333333333</v>
      </c>
      <c r="C164" s="21">
        <v>-0.47</v>
      </c>
      <c r="D164" s="18">
        <f t="shared" si="34"/>
        <v>-0.41</v>
      </c>
      <c r="E164" s="18">
        <f>IF(ISNUMBER(Volcanic!B164),Volcanic!B164,"")</f>
        <v>-5.0000000000000711E-2</v>
      </c>
      <c r="F164" s="18">
        <f>IF(ISNUMBER(Volcanic!C164),Volcanic!C164,"")</f>
        <v>0.2077143996600441</v>
      </c>
      <c r="G164" s="18">
        <f>IF(ISNUMBER(Volcanic!E164),Volcanic!E164,"")</f>
        <v>4.9500000000000004E-3</v>
      </c>
      <c r="H164" s="18">
        <f>IF(ISNUMBER(Volcanic!D164),Volcanic!D164,"")</f>
        <v>-0.69</v>
      </c>
      <c r="I164" s="18">
        <f t="shared" si="28"/>
        <v>0.2077143996600441</v>
      </c>
      <c r="J164" s="18">
        <f t="shared" si="29"/>
        <v>4.9500000000000004E-3</v>
      </c>
      <c r="K164" s="18">
        <f t="shared" si="30"/>
        <v>-0.41</v>
      </c>
      <c r="L164" s="18">
        <f t="shared" si="31"/>
        <v>0.2077143996600441</v>
      </c>
      <c r="M164" s="18">
        <f t="shared" si="32"/>
        <v>4.9500000000000004E-3</v>
      </c>
      <c r="N164" s="18">
        <f t="shared" si="33"/>
        <v>-0.59168486503061835</v>
      </c>
      <c r="AK164" s="18">
        <f>IF(AND(ISNUMBER(C164),ISNUMBER(ENSO!F164)),C164-ENSO!F164,"")</f>
        <v>0.21000000000000008</v>
      </c>
      <c r="AL164" s="18">
        <f t="shared" si="35"/>
        <v>1971.7083333333333</v>
      </c>
      <c r="AM164" s="18">
        <f t="shared" si="36"/>
        <v>-5.0000000000000711E-2</v>
      </c>
    </row>
    <row r="165" spans="1:39">
      <c r="A165" s="18" t="str">
        <f>IF(Volcanic!A165="","",Volcanic!A165)</f>
        <v>10/1971</v>
      </c>
      <c r="B165" s="18">
        <f>IF(ISNUMBER(Volcanic!L165),Volcanic!L165,"")</f>
        <v>1971.7916666666667</v>
      </c>
      <c r="C165" s="21">
        <v>-0.48</v>
      </c>
      <c r="D165" s="18">
        <f t="shared" si="34"/>
        <v>-0.44</v>
      </c>
      <c r="E165" s="18">
        <f>IF(ISNUMBER(Volcanic!B165),Volcanic!B165,"")</f>
        <v>-3.9999999999999147E-2</v>
      </c>
      <c r="F165" s="18">
        <f>IF(ISNUMBER(Volcanic!C165),Volcanic!C165,"")</f>
        <v>0.20860643891488381</v>
      </c>
      <c r="G165" s="18">
        <f>IF(ISNUMBER(Volcanic!E165),Volcanic!E165,"")</f>
        <v>4.7499999999999999E-3</v>
      </c>
      <c r="H165" s="18">
        <f>IF(ISNUMBER(Volcanic!D165),Volcanic!D165,"")</f>
        <v>-0.68</v>
      </c>
      <c r="I165" s="18">
        <f t="shared" si="28"/>
        <v>0.20860643891488381</v>
      </c>
      <c r="J165" s="18">
        <f t="shared" si="29"/>
        <v>4.7499999999999999E-3</v>
      </c>
      <c r="K165" s="18">
        <f t="shared" si="30"/>
        <v>-0.44</v>
      </c>
      <c r="L165" s="18">
        <f t="shared" si="31"/>
        <v>0.20860643891488381</v>
      </c>
      <c r="M165" s="18">
        <f t="shared" si="32"/>
        <v>4.7499999999999999E-3</v>
      </c>
      <c r="N165" s="18">
        <f t="shared" si="33"/>
        <v>-0.62099484554002027</v>
      </c>
      <c r="AK165" s="18">
        <f>IF(AND(ISNUMBER(C165),ISNUMBER(ENSO!F165)),C165-ENSO!F165,"")</f>
        <v>0.30000000000000004</v>
      </c>
      <c r="AL165" s="18">
        <f t="shared" si="35"/>
        <v>1971.7916666666667</v>
      </c>
      <c r="AM165" s="18">
        <f t="shared" si="36"/>
        <v>-3.9999999999999147E-2</v>
      </c>
    </row>
    <row r="166" spans="1:39">
      <c r="A166" s="18" t="str">
        <f>IF(Volcanic!A166="","",Volcanic!A166)</f>
        <v>11/1971</v>
      </c>
      <c r="B166" s="18">
        <f>IF(ISNUMBER(Volcanic!L166),Volcanic!L166,"")</f>
        <v>1971.875</v>
      </c>
      <c r="C166" s="21">
        <v>-0.52</v>
      </c>
      <c r="D166" s="18">
        <f t="shared" si="34"/>
        <v>-0.44</v>
      </c>
      <c r="E166" s="18">
        <f>IF(ISNUMBER(Volcanic!B166),Volcanic!B166,"")</f>
        <v>-7.0000000000000284E-2</v>
      </c>
      <c r="F166" s="18">
        <f>IF(ISNUMBER(Volcanic!C166),Volcanic!C166,"")</f>
        <v>0.21412480535284761</v>
      </c>
      <c r="G166" s="18">
        <f>IF(ISNUMBER(Volcanic!E166),Volcanic!E166,"")</f>
        <v>4.6699999999999997E-3</v>
      </c>
      <c r="H166" s="18">
        <f>IF(ISNUMBER(Volcanic!D166),Volcanic!D166,"")</f>
        <v>-0.6</v>
      </c>
      <c r="I166" s="18">
        <f t="shared" si="28"/>
        <v>0.21412480535284761</v>
      </c>
      <c r="J166" s="18">
        <f t="shared" si="29"/>
        <v>4.6699999999999997E-3</v>
      </c>
      <c r="K166" s="18">
        <f t="shared" si="30"/>
        <v>-0.44</v>
      </c>
      <c r="L166" s="18">
        <f t="shared" si="31"/>
        <v>0.21412480535284761</v>
      </c>
      <c r="M166" s="18">
        <f t="shared" si="32"/>
        <v>4.6699999999999997E-3</v>
      </c>
      <c r="N166" s="18">
        <f t="shared" si="33"/>
        <v>-0.62030482604941861</v>
      </c>
      <c r="AK166" s="18">
        <f>IF(AND(ISNUMBER(C166),ISNUMBER(ENSO!F166)),C166-ENSO!F166,"")</f>
        <v>0.33999999999999997</v>
      </c>
      <c r="AL166" s="18">
        <f t="shared" si="35"/>
        <v>1971.875</v>
      </c>
      <c r="AM166" s="18">
        <f t="shared" si="36"/>
        <v>-7.0000000000000284E-2</v>
      </c>
    </row>
    <row r="167" spans="1:39">
      <c r="A167" s="18" t="str">
        <f>IF(Volcanic!A167="","",Volcanic!A167)</f>
        <v>12/1971</v>
      </c>
      <c r="B167" s="18">
        <f>IF(ISNUMBER(Volcanic!L167),Volcanic!L167,"")</f>
        <v>1971.9583333333333</v>
      </c>
      <c r="C167" s="21">
        <v>-0.47</v>
      </c>
      <c r="D167" s="18">
        <f t="shared" si="34"/>
        <v>-0.47</v>
      </c>
      <c r="E167" s="18">
        <f>IF(ISNUMBER(Volcanic!B167),Volcanic!B167,"")</f>
        <v>-8.0000000000001847E-2</v>
      </c>
      <c r="F167" s="18">
        <f>IF(ISNUMBER(Volcanic!C167),Volcanic!C167,"")</f>
        <v>0.21948939105648271</v>
      </c>
      <c r="G167" s="18">
        <f>IF(ISNUMBER(Volcanic!E167),Volcanic!E167,"")</f>
        <v>4.62E-3</v>
      </c>
      <c r="H167" s="18">
        <f>IF(ISNUMBER(Volcanic!D167),Volcanic!D167,"")</f>
        <v>-0.68</v>
      </c>
      <c r="I167" s="18">
        <f t="shared" si="28"/>
        <v>0.21948939105648271</v>
      </c>
      <c r="J167" s="18">
        <f t="shared" si="29"/>
        <v>4.62E-3</v>
      </c>
      <c r="K167" s="18">
        <f t="shared" si="30"/>
        <v>-0.47</v>
      </c>
      <c r="L167" s="18">
        <f t="shared" si="31"/>
        <v>0.21948939105648271</v>
      </c>
      <c r="M167" s="18">
        <f t="shared" si="32"/>
        <v>4.62E-3</v>
      </c>
      <c r="N167" s="18">
        <f t="shared" si="33"/>
        <v>-0.64961480655882053</v>
      </c>
      <c r="AK167" s="18">
        <f>IF(AND(ISNUMBER(C167),ISNUMBER(ENSO!F167)),C167-ENSO!F167,"")</f>
        <v>0.31000000000000005</v>
      </c>
      <c r="AL167" s="18">
        <f t="shared" si="35"/>
        <v>1971.9583333333333</v>
      </c>
      <c r="AM167" s="18">
        <f t="shared" si="36"/>
        <v>-8.0000000000001847E-2</v>
      </c>
    </row>
    <row r="168" spans="1:39">
      <c r="A168" s="18" t="str">
        <f>IF(Volcanic!A168="","",Volcanic!A168)</f>
        <v>1/1972</v>
      </c>
      <c r="B168" s="18">
        <f>IF(ISNUMBER(Volcanic!L168),Volcanic!L168,"")</f>
        <v>1972.0416666666667</v>
      </c>
      <c r="C168" s="21">
        <v>-0.31</v>
      </c>
      <c r="D168" s="18">
        <f t="shared" si="34"/>
        <v>-0.48</v>
      </c>
      <c r="E168" s="18">
        <f>IF(ISNUMBER(Volcanic!B168),Volcanic!B168,"")</f>
        <v>-0.21999999999999886</v>
      </c>
      <c r="F168" s="18">
        <f>IF(ISNUMBER(Volcanic!C168),Volcanic!C168,"")</f>
        <v>0.22284871188886418</v>
      </c>
      <c r="G168" s="18">
        <f>IF(ISNUMBER(Volcanic!E168),Volcanic!E168,"")</f>
        <v>4.5999999999999999E-3</v>
      </c>
      <c r="H168" s="18">
        <f>IF(ISNUMBER(Volcanic!D168),Volcanic!D168,"")</f>
        <v>-0.78</v>
      </c>
      <c r="I168" s="18">
        <f t="shared" si="28"/>
        <v>0.22284871188886418</v>
      </c>
      <c r="J168" s="18">
        <f t="shared" si="29"/>
        <v>4.5999999999999999E-3</v>
      </c>
      <c r="K168" s="18">
        <f t="shared" si="30"/>
        <v>-0.48</v>
      </c>
      <c r="L168" s="18">
        <f t="shared" si="31"/>
        <v>0.22284871188886418</v>
      </c>
      <c r="M168" s="18">
        <f t="shared" si="32"/>
        <v>4.5999999999999999E-3</v>
      </c>
      <c r="N168" s="18">
        <f t="shared" si="33"/>
        <v>-0.65892478706822244</v>
      </c>
      <c r="AK168" s="18">
        <f>IF(AND(ISNUMBER(C168),ISNUMBER(ENSO!F168)),C168-ENSO!F168,"")</f>
        <v>0.25999999999999995</v>
      </c>
      <c r="AL168" s="18">
        <f t="shared" si="35"/>
        <v>1972.0416666666667</v>
      </c>
      <c r="AM168" s="18">
        <f t="shared" si="36"/>
        <v>-0.21999999999999886</v>
      </c>
    </row>
    <row r="169" spans="1:39">
      <c r="A169" s="18" t="str">
        <f>IF(Volcanic!A169="","",Volcanic!A169)</f>
        <v>2/1972</v>
      </c>
      <c r="B169" s="18">
        <f>IF(ISNUMBER(Volcanic!L169),Volcanic!L169,"")</f>
        <v>1972.125</v>
      </c>
      <c r="C169" s="21">
        <v>0.02</v>
      </c>
      <c r="D169" s="18">
        <f t="shared" si="34"/>
        <v>-0.52</v>
      </c>
      <c r="E169" s="18">
        <f>IF(ISNUMBER(Volcanic!B169),Volcanic!B169,"")</f>
        <v>-0.17999999999999794</v>
      </c>
      <c r="F169" s="18">
        <f>IF(ISNUMBER(Volcanic!C169),Volcanic!C169,"")</f>
        <v>0.22664063869031495</v>
      </c>
      <c r="G169" s="18">
        <f>IF(ISNUMBER(Volcanic!E169),Volcanic!E169,"")</f>
        <v>4.6100000000000004E-3</v>
      </c>
      <c r="H169" s="18">
        <f>IF(ISNUMBER(Volcanic!D169),Volcanic!D169,"")</f>
        <v>-0.86</v>
      </c>
      <c r="I169" s="18">
        <f t="shared" si="28"/>
        <v>0.22664063869031495</v>
      </c>
      <c r="J169" s="18">
        <f t="shared" si="29"/>
        <v>4.6100000000000004E-3</v>
      </c>
      <c r="K169" s="18">
        <f t="shared" si="30"/>
        <v>-0.52</v>
      </c>
      <c r="L169" s="18">
        <f t="shared" si="31"/>
        <v>0.22664063869031495</v>
      </c>
      <c r="M169" s="18">
        <f t="shared" si="32"/>
        <v>4.6100000000000004E-3</v>
      </c>
      <c r="N169" s="18">
        <f t="shared" si="33"/>
        <v>-0.69823476757762437</v>
      </c>
      <c r="AK169" s="18">
        <f>IF(AND(ISNUMBER(C169),ISNUMBER(ENSO!F169)),C169-ENSO!F169,"")</f>
        <v>0.29000000000000004</v>
      </c>
      <c r="AL169" s="18">
        <f t="shared" si="35"/>
        <v>1972.125</v>
      </c>
      <c r="AM169" s="18">
        <f t="shared" si="36"/>
        <v>-0.17999999999999794</v>
      </c>
    </row>
    <row r="170" spans="1:39">
      <c r="A170" s="18" t="str">
        <f>IF(Volcanic!A170="","",Volcanic!A170)</f>
        <v>3/1972</v>
      </c>
      <c r="B170" s="18">
        <f>IF(ISNUMBER(Volcanic!L170),Volcanic!L170,"")</f>
        <v>1972.2083333333333</v>
      </c>
      <c r="C170" s="21">
        <v>0.41</v>
      </c>
      <c r="D170" s="18">
        <f t="shared" si="34"/>
        <v>-0.47</v>
      </c>
      <c r="E170" s="18">
        <f>IF(ISNUMBER(Volcanic!B170),Volcanic!B170,"")</f>
        <v>2.9999999999997584E-2</v>
      </c>
      <c r="F170" s="18">
        <f>IF(ISNUMBER(Volcanic!C170),Volcanic!C170,"")</f>
        <v>0.22716895327678804</v>
      </c>
      <c r="G170" s="18">
        <f>IF(ISNUMBER(Volcanic!E170),Volcanic!E170,"")</f>
        <v>4.6600000000000001E-3</v>
      </c>
      <c r="H170" s="18">
        <f>IF(ISNUMBER(Volcanic!D170),Volcanic!D170,"")</f>
        <v>-0.78</v>
      </c>
      <c r="I170" s="18">
        <f t="shared" si="28"/>
        <v>0.22716895327678804</v>
      </c>
      <c r="J170" s="18">
        <f t="shared" si="29"/>
        <v>4.6600000000000001E-3</v>
      </c>
      <c r="K170" s="18">
        <f t="shared" si="30"/>
        <v>-0.47</v>
      </c>
      <c r="L170" s="18">
        <f t="shared" si="31"/>
        <v>0.22716895327678804</v>
      </c>
      <c r="M170" s="18">
        <f t="shared" si="32"/>
        <v>4.6600000000000001E-3</v>
      </c>
      <c r="N170" s="18">
        <f t="shared" si="33"/>
        <v>-0.64754474808702622</v>
      </c>
      <c r="AK170" s="18">
        <f>IF(AND(ISNUMBER(C170),ISNUMBER(ENSO!F170)),C170-ENSO!F170,"")</f>
        <v>0.37</v>
      </c>
      <c r="AL170" s="18">
        <f t="shared" si="35"/>
        <v>1972.2083333333333</v>
      </c>
      <c r="AM170" s="18">
        <f t="shared" si="36"/>
        <v>2.9999999999997584E-2</v>
      </c>
    </row>
    <row r="171" spans="1:39">
      <c r="A171" s="18" t="str">
        <f>IF(Volcanic!A171="","",Volcanic!A171)</f>
        <v>4/1972</v>
      </c>
      <c r="B171" s="18">
        <f>IF(ISNUMBER(Volcanic!L171),Volcanic!L171,"")</f>
        <v>1972.2916666666667</v>
      </c>
      <c r="C171" s="21">
        <v>0.77</v>
      </c>
      <c r="D171" s="18">
        <f t="shared" si="34"/>
        <v>-0.31</v>
      </c>
      <c r="E171" s="18">
        <f>IF(ISNUMBER(Volcanic!B171),Volcanic!B171,"")</f>
        <v>0</v>
      </c>
      <c r="F171" s="18">
        <f>IF(ISNUMBER(Volcanic!C171),Volcanic!C171,"")</f>
        <v>0.23581457280650558</v>
      </c>
      <c r="G171" s="18">
        <f>IF(ISNUMBER(Volcanic!E171),Volcanic!E171,"")</f>
        <v>4.6699999999999997E-3</v>
      </c>
      <c r="H171" s="18">
        <f>IF(ISNUMBER(Volcanic!D171),Volcanic!D171,"")</f>
        <v>-0.56999999999999995</v>
      </c>
      <c r="I171" s="18">
        <f t="shared" si="28"/>
        <v>0.23581457280650558</v>
      </c>
      <c r="J171" s="18">
        <f t="shared" si="29"/>
        <v>4.6699999999999997E-3</v>
      </c>
      <c r="K171" s="18">
        <f t="shared" si="30"/>
        <v>-0.31</v>
      </c>
      <c r="L171" s="18">
        <f t="shared" si="31"/>
        <v>0.23581457280650558</v>
      </c>
      <c r="M171" s="18">
        <f t="shared" si="32"/>
        <v>4.6699999999999997E-3</v>
      </c>
      <c r="N171" s="18">
        <f t="shared" si="33"/>
        <v>-0.48685472859642459</v>
      </c>
      <c r="AK171" s="18">
        <f>IF(AND(ISNUMBER(C171),ISNUMBER(ENSO!F171)),C171-ENSO!F171,"")</f>
        <v>0.52</v>
      </c>
      <c r="AL171" s="18">
        <f t="shared" si="35"/>
        <v>1972.2916666666667</v>
      </c>
      <c r="AM171" s="18">
        <f t="shared" si="36"/>
        <v>0</v>
      </c>
    </row>
    <row r="172" spans="1:39">
      <c r="A172" s="18" t="str">
        <f>IF(Volcanic!A172="","",Volcanic!A172)</f>
        <v>5/1972</v>
      </c>
      <c r="B172" s="18">
        <f>IF(ISNUMBER(Volcanic!L172),Volcanic!L172,"")</f>
        <v>1972.375</v>
      </c>
      <c r="C172" s="21">
        <v>0.94</v>
      </c>
      <c r="D172" s="18">
        <f t="shared" si="34"/>
        <v>0.02</v>
      </c>
      <c r="E172" s="18">
        <f>IF(ISNUMBER(Volcanic!B172),Volcanic!B172,"")</f>
        <v>-2.9999999999999361E-2</v>
      </c>
      <c r="F172" s="18">
        <f>IF(ISNUMBER(Volcanic!C172),Volcanic!C172,"")</f>
        <v>0.23734519106890656</v>
      </c>
      <c r="G172" s="18">
        <f>IF(ISNUMBER(Volcanic!E172),Volcanic!E172,"")</f>
        <v>4.7000000000000002E-3</v>
      </c>
      <c r="H172" s="18">
        <f>IF(ISNUMBER(Volcanic!D172),Volcanic!D172,"")</f>
        <v>-0.27</v>
      </c>
      <c r="I172" s="18">
        <f t="shared" si="28"/>
        <v>0.23734519106890656</v>
      </c>
      <c r="J172" s="18">
        <f t="shared" si="29"/>
        <v>4.7000000000000002E-3</v>
      </c>
      <c r="K172" s="18">
        <f t="shared" si="30"/>
        <v>0.02</v>
      </c>
      <c r="L172" s="18">
        <f t="shared" si="31"/>
        <v>0.23734519106890656</v>
      </c>
      <c r="M172" s="18">
        <f t="shared" si="32"/>
        <v>4.7000000000000002E-3</v>
      </c>
      <c r="N172" s="18">
        <f t="shared" si="33"/>
        <v>-0.1561647091058265</v>
      </c>
      <c r="AK172" s="18">
        <f>IF(AND(ISNUMBER(C172),ISNUMBER(ENSO!F172)),C172-ENSO!F172,"")</f>
        <v>0.45999999999999996</v>
      </c>
      <c r="AL172" s="18">
        <f t="shared" si="35"/>
        <v>1972.375</v>
      </c>
      <c r="AM172" s="18">
        <f t="shared" si="36"/>
        <v>-2.9999999999999361E-2</v>
      </c>
    </row>
    <row r="173" spans="1:39">
      <c r="A173" s="18" t="str">
        <f>IF(Volcanic!A173="","",Volcanic!A173)</f>
        <v>6/1972</v>
      </c>
      <c r="B173" s="18">
        <f>IF(ISNUMBER(Volcanic!L173),Volcanic!L173,"")</f>
        <v>1972.4583333333333</v>
      </c>
      <c r="C173" s="21">
        <v>1.1200000000000001</v>
      </c>
      <c r="D173" s="18">
        <f t="shared" si="34"/>
        <v>0.41</v>
      </c>
      <c r="E173" s="18">
        <f>IF(ISNUMBER(Volcanic!B173),Volcanic!B173,"")</f>
        <v>3.9999999999999147E-2</v>
      </c>
      <c r="F173" s="18">
        <f>IF(ISNUMBER(Volcanic!C173),Volcanic!C173,"")</f>
        <v>0.23305536103738234</v>
      </c>
      <c r="G173" s="18">
        <f>IF(ISNUMBER(Volcanic!E173),Volcanic!E173,"")</f>
        <v>4.5799999999999999E-3</v>
      </c>
      <c r="H173" s="18">
        <f>IF(ISNUMBER(Volcanic!D173),Volcanic!D173,"")</f>
        <v>0.04</v>
      </c>
      <c r="I173" s="18">
        <f t="shared" si="28"/>
        <v>0.23305536103738234</v>
      </c>
      <c r="J173" s="18">
        <f t="shared" si="29"/>
        <v>4.5799999999999999E-3</v>
      </c>
      <c r="K173" s="18">
        <f t="shared" si="30"/>
        <v>0.41</v>
      </c>
      <c r="L173" s="18">
        <f t="shared" si="31"/>
        <v>0.23305536103738234</v>
      </c>
      <c r="M173" s="18">
        <f t="shared" si="32"/>
        <v>4.5799999999999999E-3</v>
      </c>
      <c r="N173" s="18">
        <f t="shared" si="33"/>
        <v>0.23452531038477159</v>
      </c>
      <c r="AK173" s="18">
        <f>IF(AND(ISNUMBER(C173),ISNUMBER(ENSO!F173)),C173-ENSO!F173,"")</f>
        <v>0.42000000000000015</v>
      </c>
      <c r="AL173" s="18">
        <f t="shared" si="35"/>
        <v>1972.4583333333333</v>
      </c>
      <c r="AM173" s="18">
        <f t="shared" si="36"/>
        <v>3.9999999999999147E-2</v>
      </c>
    </row>
    <row r="174" spans="1:39">
      <c r="A174" s="18" t="str">
        <f>IF(Volcanic!A174="","",Volcanic!A174)</f>
        <v>7/1972</v>
      </c>
      <c r="B174" s="18">
        <f>IF(ISNUMBER(Volcanic!L174),Volcanic!L174,"")</f>
        <v>1972.5416666666667</v>
      </c>
      <c r="C174" s="21">
        <v>1.27</v>
      </c>
      <c r="D174" s="18">
        <f t="shared" si="34"/>
        <v>0.77</v>
      </c>
      <c r="E174" s="18">
        <f>IF(ISNUMBER(Volcanic!B174),Volcanic!B174,"")</f>
        <v>1.0000000000001563E-2</v>
      </c>
      <c r="F174" s="18">
        <f>IF(ISNUMBER(Volcanic!C174),Volcanic!C174,"")</f>
        <v>0.2284449153656577</v>
      </c>
      <c r="G174" s="18">
        <f>IF(ISNUMBER(Volcanic!E174),Volcanic!E174,"")</f>
        <v>4.4299999999999999E-3</v>
      </c>
      <c r="H174" s="18">
        <f>IF(ISNUMBER(Volcanic!D174),Volcanic!D174,"")</f>
        <v>0.25</v>
      </c>
      <c r="I174" s="18">
        <f t="shared" si="28"/>
        <v>0.2284449153656577</v>
      </c>
      <c r="J174" s="18">
        <f t="shared" si="29"/>
        <v>4.4299999999999999E-3</v>
      </c>
      <c r="K174" s="18">
        <f t="shared" si="30"/>
        <v>0.77</v>
      </c>
      <c r="L174" s="18">
        <f t="shared" si="31"/>
        <v>0.2284449153656577</v>
      </c>
      <c r="M174" s="18">
        <f t="shared" si="32"/>
        <v>4.4299999999999999E-3</v>
      </c>
      <c r="N174" s="18">
        <f t="shared" si="33"/>
        <v>0.59521532987537329</v>
      </c>
      <c r="AK174" s="18">
        <f>IF(AND(ISNUMBER(C174),ISNUMBER(ENSO!F174)),C174-ENSO!F174,"")</f>
        <v>0.27</v>
      </c>
      <c r="AL174" s="18">
        <f t="shared" si="35"/>
        <v>1972.5416666666667</v>
      </c>
      <c r="AM174" s="18">
        <f t="shared" si="36"/>
        <v>1.0000000000001563E-2</v>
      </c>
    </row>
    <row r="175" spans="1:39">
      <c r="A175" s="18" t="str">
        <f>IF(Volcanic!A175="","",Volcanic!A175)</f>
        <v>8/1972</v>
      </c>
      <c r="B175" s="18">
        <f>IF(ISNUMBER(Volcanic!L175),Volcanic!L175,"")</f>
        <v>1972.625</v>
      </c>
      <c r="C175" s="21">
        <v>1.49</v>
      </c>
      <c r="D175" s="18">
        <f t="shared" si="34"/>
        <v>0.94</v>
      </c>
      <c r="E175" s="18">
        <f>IF(ISNUMBER(Volcanic!B175),Volcanic!B175,"")</f>
        <v>0.16000000000000014</v>
      </c>
      <c r="F175" s="18">
        <f>IF(ISNUMBER(Volcanic!C175),Volcanic!C175,"")</f>
        <v>0.22086058507283202</v>
      </c>
      <c r="G175" s="18">
        <f>IF(ISNUMBER(Volcanic!E175),Volcanic!E175,"")</f>
        <v>4.3E-3</v>
      </c>
      <c r="H175" s="18">
        <f>IF(ISNUMBER(Volcanic!D175),Volcanic!D175,"")</f>
        <v>0.48</v>
      </c>
      <c r="I175" s="18">
        <f t="shared" si="28"/>
        <v>0.22086058507283202</v>
      </c>
      <c r="J175" s="18">
        <f t="shared" si="29"/>
        <v>4.3E-3</v>
      </c>
      <c r="K175" s="18">
        <f t="shared" si="30"/>
        <v>0.94</v>
      </c>
      <c r="L175" s="18">
        <f t="shared" si="31"/>
        <v>0.22086058507283202</v>
      </c>
      <c r="M175" s="18">
        <f t="shared" si="32"/>
        <v>4.3E-3</v>
      </c>
      <c r="N175" s="18">
        <f t="shared" si="33"/>
        <v>0.76590534936597132</v>
      </c>
      <c r="AK175" s="18">
        <f>IF(AND(ISNUMBER(C175),ISNUMBER(ENSO!F175)),C175-ENSO!F175,"")</f>
        <v>0.22999999999999998</v>
      </c>
      <c r="AL175" s="18">
        <f t="shared" si="35"/>
        <v>1972.625</v>
      </c>
      <c r="AM175" s="18">
        <f t="shared" si="36"/>
        <v>0.16000000000000014</v>
      </c>
    </row>
    <row r="176" spans="1:39">
      <c r="A176" s="18" t="str">
        <f>IF(Volcanic!A176="","",Volcanic!A176)</f>
        <v>9/1972</v>
      </c>
      <c r="B176" s="18">
        <f>IF(ISNUMBER(Volcanic!L176),Volcanic!L176,"")</f>
        <v>1972.7083333333333</v>
      </c>
      <c r="C176" s="21">
        <v>1.7</v>
      </c>
      <c r="D176" s="18">
        <f t="shared" si="34"/>
        <v>1.1200000000000001</v>
      </c>
      <c r="E176" s="18">
        <f>IF(ISNUMBER(Volcanic!B176),Volcanic!B176,"")</f>
        <v>2.0000000000003126E-2</v>
      </c>
      <c r="F176" s="18">
        <f>IF(ISNUMBER(Volcanic!C176),Volcanic!C176,"")</f>
        <v>0.21430246621642873</v>
      </c>
      <c r="G176" s="18">
        <f>IF(ISNUMBER(Volcanic!E176),Volcanic!E176,"")</f>
        <v>4.15E-3</v>
      </c>
      <c r="H176" s="18">
        <f>IF(ISNUMBER(Volcanic!D176),Volcanic!D176,"")</f>
        <v>0.7</v>
      </c>
      <c r="I176" s="18">
        <f t="shared" si="28"/>
        <v>0.21430246621642873</v>
      </c>
      <c r="J176" s="18">
        <f t="shared" si="29"/>
        <v>4.15E-3</v>
      </c>
      <c r="K176" s="18">
        <f t="shared" si="30"/>
        <v>1.1200000000000001</v>
      </c>
      <c r="L176" s="18">
        <f t="shared" si="31"/>
        <v>0.21430246621642873</v>
      </c>
      <c r="M176" s="18">
        <f t="shared" si="32"/>
        <v>4.15E-3</v>
      </c>
      <c r="N176" s="18">
        <f t="shared" si="33"/>
        <v>0.94659536885656959</v>
      </c>
      <c r="AK176" s="18">
        <f>IF(AND(ISNUMBER(C176),ISNUMBER(ENSO!F176)),C176-ENSO!F176,"")</f>
        <v>0.20999999999999996</v>
      </c>
      <c r="AL176" s="18">
        <f t="shared" si="35"/>
        <v>1972.7083333333333</v>
      </c>
      <c r="AM176" s="18">
        <f t="shared" si="36"/>
        <v>2.0000000000003126E-2</v>
      </c>
    </row>
    <row r="177" spans="1:39">
      <c r="A177" s="18" t="str">
        <f>IF(Volcanic!A177="","",Volcanic!A177)</f>
        <v>10/1972</v>
      </c>
      <c r="B177" s="18">
        <f>IF(ISNUMBER(Volcanic!L177),Volcanic!L177,"")</f>
        <v>1972.7916666666667</v>
      </c>
      <c r="C177" s="21">
        <v>1.96</v>
      </c>
      <c r="D177" s="18">
        <f t="shared" si="34"/>
        <v>1.27</v>
      </c>
      <c r="E177" s="18">
        <f>IF(ISNUMBER(Volcanic!B177),Volcanic!B177,"")</f>
        <v>8.0000000000000071E-2</v>
      </c>
      <c r="F177" s="18">
        <f>IF(ISNUMBER(Volcanic!C177),Volcanic!C177,"")</f>
        <v>0.21590043024269898</v>
      </c>
      <c r="G177" s="18">
        <f>IF(ISNUMBER(Volcanic!E177),Volcanic!E177,"")</f>
        <v>4.0499999999999998E-3</v>
      </c>
      <c r="H177" s="18">
        <f>IF(ISNUMBER(Volcanic!D177),Volcanic!D177,"")</f>
        <v>1</v>
      </c>
      <c r="I177" s="18">
        <f t="shared" si="28"/>
        <v>0.21590043024269898</v>
      </c>
      <c r="J177" s="18">
        <f t="shared" si="29"/>
        <v>4.0499999999999998E-3</v>
      </c>
      <c r="K177" s="18">
        <f t="shared" si="30"/>
        <v>1.27</v>
      </c>
      <c r="L177" s="18">
        <f t="shared" si="31"/>
        <v>0.21590043024269898</v>
      </c>
      <c r="M177" s="18">
        <f t="shared" si="32"/>
        <v>4.0499999999999998E-3</v>
      </c>
      <c r="N177" s="18">
        <f t="shared" si="33"/>
        <v>1.0972853883471712</v>
      </c>
      <c r="AK177" s="18">
        <f>IF(AND(ISNUMBER(C177),ISNUMBER(ENSO!F177)),C177-ENSO!F177,"")</f>
        <v>0.27</v>
      </c>
      <c r="AL177" s="18">
        <f t="shared" si="35"/>
        <v>1972.7916666666667</v>
      </c>
      <c r="AM177" s="18">
        <f t="shared" si="36"/>
        <v>8.0000000000000071E-2</v>
      </c>
    </row>
    <row r="178" spans="1:39">
      <c r="A178" s="18" t="str">
        <f>IF(Volcanic!A178="","",Volcanic!A178)</f>
        <v>11/1972</v>
      </c>
      <c r="B178" s="18">
        <f>IF(ISNUMBER(Volcanic!L178),Volcanic!L178,"")</f>
        <v>1972.875</v>
      </c>
      <c r="C178" s="21">
        <v>2.21</v>
      </c>
      <c r="D178" s="18">
        <f t="shared" si="34"/>
        <v>1.49</v>
      </c>
      <c r="E178" s="18">
        <f>IF(ISNUMBER(Volcanic!B178),Volcanic!B178,"")</f>
        <v>2.0000000000003126E-2</v>
      </c>
      <c r="F178" s="18">
        <f>IF(ISNUMBER(Volcanic!C178),Volcanic!C178,"")</f>
        <v>0.22165616460146442</v>
      </c>
      <c r="G178" s="18">
        <f>IF(ISNUMBER(Volcanic!E178),Volcanic!E178,"")</f>
        <v>4.0699999999999998E-3</v>
      </c>
      <c r="H178" s="18">
        <f>IF(ISNUMBER(Volcanic!D178),Volcanic!D178,"")</f>
        <v>1.26</v>
      </c>
      <c r="I178" s="18">
        <f t="shared" si="28"/>
        <v>0.22165616460146442</v>
      </c>
      <c r="J178" s="18">
        <f t="shared" si="29"/>
        <v>4.0699999999999998E-3</v>
      </c>
      <c r="K178" s="18">
        <f t="shared" si="30"/>
        <v>1.49</v>
      </c>
      <c r="L178" s="18">
        <f t="shared" si="31"/>
        <v>0.22165616460146442</v>
      </c>
      <c r="M178" s="18">
        <f t="shared" si="32"/>
        <v>4.0699999999999998E-3</v>
      </c>
      <c r="N178" s="18">
        <f t="shared" si="33"/>
        <v>1.3179754078377692</v>
      </c>
      <c r="AK178" s="18">
        <f>IF(AND(ISNUMBER(C178),ISNUMBER(ENSO!F178)),C178-ENSO!F178,"")</f>
        <v>0.36999999999999988</v>
      </c>
      <c r="AL178" s="18">
        <f t="shared" si="35"/>
        <v>1972.875</v>
      </c>
      <c r="AM178" s="18">
        <f t="shared" si="36"/>
        <v>2.0000000000003126E-2</v>
      </c>
    </row>
    <row r="179" spans="1:39">
      <c r="A179" s="18" t="str">
        <f>IF(Volcanic!A179="","",Volcanic!A179)</f>
        <v>12/1972</v>
      </c>
      <c r="B179" s="18">
        <f>IF(ISNUMBER(Volcanic!L179),Volcanic!L179,"")</f>
        <v>1972.9583333333333</v>
      </c>
      <c r="C179" s="21">
        <v>2.27</v>
      </c>
      <c r="D179" s="18">
        <f t="shared" si="34"/>
        <v>1.7</v>
      </c>
      <c r="E179" s="18">
        <f>IF(ISNUMBER(Volcanic!B179),Volcanic!B179,"")</f>
        <v>0.17999999999999972</v>
      </c>
      <c r="F179" s="18">
        <f>IF(ISNUMBER(Volcanic!C179),Volcanic!C179,"")</f>
        <v>0.22628832145277814</v>
      </c>
      <c r="G179" s="18">
        <f>IF(ISNUMBER(Volcanic!E179),Volcanic!E179,"")</f>
        <v>4.0899999999999999E-3</v>
      </c>
      <c r="H179" s="18">
        <f>IF(ISNUMBER(Volcanic!D179),Volcanic!D179,"")</f>
        <v>1.49</v>
      </c>
      <c r="I179" s="18">
        <f t="shared" si="28"/>
        <v>0.22628832145277814</v>
      </c>
      <c r="J179" s="18">
        <f t="shared" si="29"/>
        <v>4.0899999999999999E-3</v>
      </c>
      <c r="K179" s="18">
        <f t="shared" si="30"/>
        <v>1.7</v>
      </c>
      <c r="L179" s="18">
        <f t="shared" si="31"/>
        <v>0.22628832145277814</v>
      </c>
      <c r="M179" s="18">
        <f t="shared" si="32"/>
        <v>4.0899999999999999E-3</v>
      </c>
      <c r="N179" s="18">
        <f t="shared" si="33"/>
        <v>1.5286654273283673</v>
      </c>
      <c r="AK179" s="18">
        <f>IF(AND(ISNUMBER(C179),ISNUMBER(ENSO!F179)),C179-ENSO!F179,"")</f>
        <v>0.5</v>
      </c>
      <c r="AL179" s="18">
        <f t="shared" si="35"/>
        <v>1972.9583333333333</v>
      </c>
      <c r="AM179" s="18">
        <f t="shared" si="36"/>
        <v>0.17999999999999972</v>
      </c>
    </row>
    <row r="180" spans="1:39">
      <c r="A180" s="18" t="str">
        <f>IF(Volcanic!A180="","",Volcanic!A180)</f>
        <v>1/1973</v>
      </c>
      <c r="B180" s="18">
        <f>IF(ISNUMBER(Volcanic!L180),Volcanic!L180,"")</f>
        <v>1973.0416666666667</v>
      </c>
      <c r="C180" s="21">
        <v>2.02</v>
      </c>
      <c r="D180" s="18">
        <f t="shared" si="34"/>
        <v>1.96</v>
      </c>
      <c r="E180" s="18">
        <f>IF(ISNUMBER(Volcanic!B180),Volcanic!B180,"")</f>
        <v>0.28999999999999559</v>
      </c>
      <c r="F180" s="18">
        <f>IF(ISNUMBER(Volcanic!C180),Volcanic!C180,"")</f>
        <v>0.23068611495390581</v>
      </c>
      <c r="G180" s="18">
        <f>IF(ISNUMBER(Volcanic!E180),Volcanic!E180,"")</f>
        <v>4.15E-3</v>
      </c>
      <c r="H180" s="18">
        <f>IF(ISNUMBER(Volcanic!D180),Volcanic!D180,"")</f>
        <v>1.69</v>
      </c>
      <c r="I180" s="18">
        <f t="shared" si="28"/>
        <v>0.23068611495390581</v>
      </c>
      <c r="J180" s="18">
        <f t="shared" si="29"/>
        <v>4.15E-3</v>
      </c>
      <c r="K180" s="18">
        <f t="shared" si="30"/>
        <v>1.96</v>
      </c>
      <c r="L180" s="18">
        <f t="shared" si="31"/>
        <v>0.23068611495390581</v>
      </c>
      <c r="M180" s="18">
        <f t="shared" si="32"/>
        <v>4.15E-3</v>
      </c>
      <c r="N180" s="18">
        <f t="shared" si="33"/>
        <v>1.7893554468189654</v>
      </c>
      <c r="AK180" s="18">
        <f>IF(AND(ISNUMBER(C180),ISNUMBER(ENSO!F180)),C180-ENSO!F180,"")</f>
        <v>0.47</v>
      </c>
      <c r="AL180" s="18">
        <f t="shared" si="35"/>
        <v>1973.0416666666667</v>
      </c>
      <c r="AM180" s="18">
        <f t="shared" si="36"/>
        <v>0.28999999999999559</v>
      </c>
    </row>
    <row r="181" spans="1:39">
      <c r="A181" s="18" t="str">
        <f>IF(Volcanic!A181="","",Volcanic!A181)</f>
        <v>2/1973</v>
      </c>
      <c r="B181" s="18">
        <f>IF(ISNUMBER(Volcanic!L181),Volcanic!L181,"")</f>
        <v>1973.125</v>
      </c>
      <c r="C181" s="21">
        <v>1.4</v>
      </c>
      <c r="D181" s="18">
        <f t="shared" si="34"/>
        <v>2.21</v>
      </c>
      <c r="E181" s="18">
        <f>IF(ISNUMBER(Volcanic!B181),Volcanic!B181,"")</f>
        <v>0.32000000000000028</v>
      </c>
      <c r="F181" s="18">
        <f>IF(ISNUMBER(Volcanic!C181),Volcanic!C181,"")</f>
        <v>0.23515809611228167</v>
      </c>
      <c r="G181" s="18">
        <f>IF(ISNUMBER(Volcanic!E181),Volcanic!E181,"")</f>
        <v>4.2199999999999998E-3</v>
      </c>
      <c r="H181" s="18">
        <f>IF(ISNUMBER(Volcanic!D181),Volcanic!D181,"")</f>
        <v>1.84</v>
      </c>
      <c r="I181" s="18">
        <f t="shared" si="28"/>
        <v>0.23515809611228167</v>
      </c>
      <c r="J181" s="18">
        <f t="shared" si="29"/>
        <v>4.2199999999999998E-3</v>
      </c>
      <c r="K181" s="18">
        <f t="shared" si="30"/>
        <v>2.21</v>
      </c>
      <c r="L181" s="18">
        <f t="shared" si="31"/>
        <v>0.23515809611228167</v>
      </c>
      <c r="M181" s="18">
        <f t="shared" si="32"/>
        <v>4.2199999999999998E-3</v>
      </c>
      <c r="N181" s="18">
        <f t="shared" si="33"/>
        <v>2.0400454663095635</v>
      </c>
      <c r="AK181" s="18">
        <f>IF(AND(ISNUMBER(C181),ISNUMBER(ENSO!F181)),C181-ENSO!F181,"")</f>
        <v>0.27</v>
      </c>
      <c r="AL181" s="18">
        <f t="shared" si="35"/>
        <v>1973.125</v>
      </c>
      <c r="AM181" s="18">
        <f t="shared" si="36"/>
        <v>0.32000000000000028</v>
      </c>
    </row>
    <row r="182" spans="1:39">
      <c r="A182" s="18" t="str">
        <f>IF(Volcanic!A182="","",Volcanic!A182)</f>
        <v>3/1973</v>
      </c>
      <c r="B182" s="18">
        <f>IF(ISNUMBER(Volcanic!L182),Volcanic!L182,"")</f>
        <v>1973.2083333333333</v>
      </c>
      <c r="C182" s="21">
        <v>0.56000000000000005</v>
      </c>
      <c r="D182" s="18">
        <f t="shared" si="34"/>
        <v>2.27</v>
      </c>
      <c r="E182" s="18">
        <f>IF(ISNUMBER(Volcanic!B182),Volcanic!B182,"")</f>
        <v>0.28999999999999559</v>
      </c>
      <c r="F182" s="18">
        <f>IF(ISNUMBER(Volcanic!C182),Volcanic!C182,"")</f>
        <v>0.23835014245319641</v>
      </c>
      <c r="G182" s="18">
        <f>IF(ISNUMBER(Volcanic!E182),Volcanic!E182,"")</f>
        <v>4.3200000000000001E-3</v>
      </c>
      <c r="H182" s="18">
        <f>IF(ISNUMBER(Volcanic!D182),Volcanic!D182,"")</f>
        <v>1.77</v>
      </c>
      <c r="I182" s="18">
        <f t="shared" si="28"/>
        <v>0.23835014245319641</v>
      </c>
      <c r="J182" s="18">
        <f t="shared" si="29"/>
        <v>4.3200000000000001E-3</v>
      </c>
      <c r="K182" s="18">
        <f t="shared" si="30"/>
        <v>2.27</v>
      </c>
      <c r="L182" s="18">
        <f t="shared" si="31"/>
        <v>0.23835014245319641</v>
      </c>
      <c r="M182" s="18">
        <f t="shared" si="32"/>
        <v>4.3200000000000001E-3</v>
      </c>
      <c r="N182" s="18">
        <f t="shared" si="33"/>
        <v>2.1007354858001652</v>
      </c>
      <c r="AK182" s="18">
        <f>IF(AND(ISNUMBER(C182),ISNUMBER(ENSO!F182)),C182-ENSO!F182,"")</f>
        <v>0</v>
      </c>
      <c r="AL182" s="18">
        <f t="shared" si="35"/>
        <v>1973.2083333333333</v>
      </c>
      <c r="AM182" s="18">
        <f t="shared" si="36"/>
        <v>0.28999999999999559</v>
      </c>
    </row>
    <row r="183" spans="1:39">
      <c r="A183" s="18" t="str">
        <f>IF(Volcanic!A183="","",Volcanic!A183)</f>
        <v>4/1973</v>
      </c>
      <c r="B183" s="18">
        <f>IF(ISNUMBER(Volcanic!L183),Volcanic!L183,"")</f>
        <v>1973.2916666666667</v>
      </c>
      <c r="C183" s="21">
        <v>-0.25</v>
      </c>
      <c r="D183" s="18">
        <f t="shared" si="34"/>
        <v>2.02</v>
      </c>
      <c r="E183" s="18">
        <f>IF(ISNUMBER(Volcanic!B183),Volcanic!B183,"")</f>
        <v>0.27000000000000135</v>
      </c>
      <c r="F183" s="18">
        <f>IF(ISNUMBER(Volcanic!C183),Volcanic!C183,"")</f>
        <v>0.24358204316762133</v>
      </c>
      <c r="G183" s="18">
        <f>IF(ISNUMBER(Volcanic!E183),Volcanic!E183,"")</f>
        <v>4.3800000000000002E-3</v>
      </c>
      <c r="H183" s="18">
        <f>IF(ISNUMBER(Volcanic!D183),Volcanic!D183,"")</f>
        <v>1.55</v>
      </c>
      <c r="I183" s="18">
        <f t="shared" si="28"/>
        <v>0.24358204316762133</v>
      </c>
      <c r="J183" s="18">
        <f t="shared" si="29"/>
        <v>4.3800000000000002E-3</v>
      </c>
      <c r="K183" s="18">
        <f t="shared" si="30"/>
        <v>2.02</v>
      </c>
      <c r="L183" s="18">
        <f t="shared" si="31"/>
        <v>0.24358204316762133</v>
      </c>
      <c r="M183" s="18">
        <f t="shared" si="32"/>
        <v>4.3800000000000002E-3</v>
      </c>
      <c r="N183" s="18">
        <f t="shared" si="33"/>
        <v>1.8514255052907633</v>
      </c>
      <c r="AK183" s="18">
        <f>IF(AND(ISNUMBER(C183),ISNUMBER(ENSO!F183)),C183-ENSO!F183,"")</f>
        <v>-0.22</v>
      </c>
      <c r="AL183" s="18">
        <f t="shared" si="35"/>
        <v>1973.2916666666667</v>
      </c>
      <c r="AM183" s="18">
        <f t="shared" si="36"/>
        <v>0.27000000000000135</v>
      </c>
    </row>
    <row r="184" spans="1:39">
      <c r="A184" s="18" t="str">
        <f>IF(Volcanic!A184="","",Volcanic!A184)</f>
        <v>5/1973</v>
      </c>
      <c r="B184" s="18">
        <f>IF(ISNUMBER(Volcanic!L184),Volcanic!L184,"")</f>
        <v>1973.375</v>
      </c>
      <c r="C184" s="21">
        <v>-0.76</v>
      </c>
      <c r="D184" s="18">
        <f t="shared" si="34"/>
        <v>1.4</v>
      </c>
      <c r="E184" s="18">
        <f>IF(ISNUMBER(Volcanic!B184),Volcanic!B184,"")</f>
        <v>0.2300000000000022</v>
      </c>
      <c r="F184" s="18">
        <f>IF(ISNUMBER(Volcanic!C184),Volcanic!C184,"")</f>
        <v>0.24784073218452071</v>
      </c>
      <c r="G184" s="18">
        <f>IF(ISNUMBER(Volcanic!E184),Volcanic!E184,"")</f>
        <v>4.45E-3</v>
      </c>
      <c r="H184" s="18">
        <f>IF(ISNUMBER(Volcanic!D184),Volcanic!D184,"")</f>
        <v>1.1299999999999999</v>
      </c>
      <c r="I184" s="18">
        <f t="shared" si="28"/>
        <v>0.24784073218452071</v>
      </c>
      <c r="J184" s="18">
        <f t="shared" si="29"/>
        <v>4.45E-3</v>
      </c>
      <c r="K184" s="18">
        <f t="shared" si="30"/>
        <v>1.4</v>
      </c>
      <c r="L184" s="18">
        <f t="shared" si="31"/>
        <v>0.24784073218452071</v>
      </c>
      <c r="M184" s="18">
        <f t="shared" si="32"/>
        <v>4.45E-3</v>
      </c>
      <c r="N184" s="18">
        <f t="shared" si="33"/>
        <v>1.2321155247813613</v>
      </c>
      <c r="AK184" s="18">
        <f>IF(AND(ISNUMBER(C184),ISNUMBER(ENSO!F184)),C184-ENSO!F184,"")</f>
        <v>-0.25</v>
      </c>
      <c r="AL184" s="18">
        <f t="shared" si="35"/>
        <v>1973.375</v>
      </c>
      <c r="AM184" s="18">
        <f t="shared" si="36"/>
        <v>0.2300000000000022</v>
      </c>
    </row>
    <row r="185" spans="1:39">
      <c r="A185" s="18" t="str">
        <f>IF(Volcanic!A185="","",Volcanic!A185)</f>
        <v>6/1973</v>
      </c>
      <c r="B185" s="18">
        <f>IF(ISNUMBER(Volcanic!L185),Volcanic!L185,"")</f>
        <v>1973.4583333333333</v>
      </c>
      <c r="C185" s="21">
        <v>-1.06</v>
      </c>
      <c r="D185" s="18">
        <f t="shared" si="34"/>
        <v>0.56000000000000005</v>
      </c>
      <c r="E185" s="18">
        <f>IF(ISNUMBER(Volcanic!B185),Volcanic!B185,"")</f>
        <v>0.19000000000000128</v>
      </c>
      <c r="F185" s="18">
        <f>IF(ISNUMBER(Volcanic!C185),Volcanic!C185,"")</f>
        <v>0.24606056502835677</v>
      </c>
      <c r="G185" s="18">
        <f>IF(ISNUMBER(Volcanic!E185),Volcanic!E185,"")</f>
        <v>4.3699999999999998E-3</v>
      </c>
      <c r="H185" s="18">
        <f>IF(ISNUMBER(Volcanic!D185),Volcanic!D185,"")</f>
        <v>0.56000000000000005</v>
      </c>
      <c r="I185" s="18">
        <f t="shared" si="28"/>
        <v>0.24606056502835677</v>
      </c>
      <c r="J185" s="18">
        <f t="shared" si="29"/>
        <v>4.3699999999999998E-3</v>
      </c>
      <c r="K185" s="18">
        <f t="shared" si="30"/>
        <v>0.56000000000000005</v>
      </c>
      <c r="L185" s="18">
        <f t="shared" si="31"/>
        <v>0.24606056502835677</v>
      </c>
      <c r="M185" s="18">
        <f t="shared" si="32"/>
        <v>4.3699999999999998E-3</v>
      </c>
      <c r="N185" s="18">
        <f t="shared" si="33"/>
        <v>0.39280554427195957</v>
      </c>
      <c r="AK185" s="18">
        <f>IF(AND(ISNUMBER(C185),ISNUMBER(ENSO!F185)),C185-ENSO!F185,"")</f>
        <v>-0.26</v>
      </c>
      <c r="AL185" s="18">
        <f t="shared" si="35"/>
        <v>1973.4583333333333</v>
      </c>
      <c r="AM185" s="18">
        <f t="shared" si="36"/>
        <v>0.19000000000000128</v>
      </c>
    </row>
    <row r="186" spans="1:39">
      <c r="A186" s="18" t="str">
        <f>IF(Volcanic!A186="","",Volcanic!A186)</f>
        <v>7/1973</v>
      </c>
      <c r="B186" s="18">
        <f>IF(ISNUMBER(Volcanic!L186),Volcanic!L186,"")</f>
        <v>1973.5416666666667</v>
      </c>
      <c r="C186" s="21">
        <v>-1.24</v>
      </c>
      <c r="D186" s="18">
        <f t="shared" si="34"/>
        <v>-0.25</v>
      </c>
      <c r="E186" s="18">
        <f>IF(ISNUMBER(Volcanic!B186),Volcanic!B186,"")</f>
        <v>0.12999999999999901</v>
      </c>
      <c r="F186" s="18">
        <f>IF(ISNUMBER(Volcanic!C186),Volcanic!C186,"")</f>
        <v>0.24083766117617278</v>
      </c>
      <c r="G186" s="18">
        <f>IF(ISNUMBER(Volcanic!E186),Volcanic!E186,"")</f>
        <v>4.2500000000000003E-3</v>
      </c>
      <c r="H186" s="18">
        <f>IF(ISNUMBER(Volcanic!D186),Volcanic!D186,"")</f>
        <v>-0.03</v>
      </c>
      <c r="I186" s="18">
        <f t="shared" si="28"/>
        <v>0.24083766117617278</v>
      </c>
      <c r="J186" s="18">
        <f t="shared" si="29"/>
        <v>4.2500000000000003E-3</v>
      </c>
      <c r="K186" s="18">
        <f t="shared" si="30"/>
        <v>-0.25</v>
      </c>
      <c r="L186" s="18">
        <f t="shared" si="31"/>
        <v>0.24083766117617278</v>
      </c>
      <c r="M186" s="18">
        <f t="shared" si="32"/>
        <v>4.2500000000000003E-3</v>
      </c>
      <c r="N186" s="18">
        <f t="shared" si="33"/>
        <v>-0.41650443623743882</v>
      </c>
      <c r="AK186" s="18">
        <f>IF(AND(ISNUMBER(C186),ISNUMBER(ENSO!F186)),C186-ENSO!F186,"")</f>
        <v>-0.25</v>
      </c>
      <c r="AL186" s="18">
        <f t="shared" si="35"/>
        <v>1973.5416666666667</v>
      </c>
      <c r="AM186" s="18">
        <f t="shared" si="36"/>
        <v>0.12999999999999901</v>
      </c>
    </row>
    <row r="187" spans="1:39">
      <c r="A187" s="18" t="str">
        <f>IF(Volcanic!A187="","",Volcanic!A187)</f>
        <v>8/1973</v>
      </c>
      <c r="B187" s="18">
        <f>IF(ISNUMBER(Volcanic!L187),Volcanic!L187,"")</f>
        <v>1973.625</v>
      </c>
      <c r="C187" s="21">
        <v>-1.4</v>
      </c>
      <c r="D187" s="18">
        <f t="shared" si="34"/>
        <v>-0.76</v>
      </c>
      <c r="E187" s="18">
        <f>IF(ISNUMBER(Volcanic!B187),Volcanic!B187,"")</f>
        <v>5.0000000000004263E-2</v>
      </c>
      <c r="F187" s="18">
        <f>IF(ISNUMBER(Volcanic!C187),Volcanic!C187,"")</f>
        <v>0.23401949506170835</v>
      </c>
      <c r="G187" s="18">
        <f>IF(ISNUMBER(Volcanic!E187),Volcanic!E187,"")</f>
        <v>4.15E-3</v>
      </c>
      <c r="H187" s="18">
        <f>IF(ISNUMBER(Volcanic!D187),Volcanic!D187,"")</f>
        <v>-0.51</v>
      </c>
      <c r="I187" s="18">
        <f t="shared" si="28"/>
        <v>0.23401949506170835</v>
      </c>
      <c r="J187" s="18">
        <f t="shared" si="29"/>
        <v>4.15E-3</v>
      </c>
      <c r="K187" s="18">
        <f t="shared" si="30"/>
        <v>-0.76</v>
      </c>
      <c r="L187" s="18">
        <f t="shared" si="31"/>
        <v>0.23401949506170835</v>
      </c>
      <c r="M187" s="18">
        <f t="shared" si="32"/>
        <v>4.15E-3</v>
      </c>
      <c r="N187" s="18">
        <f t="shared" si="33"/>
        <v>-0.92581441674684073</v>
      </c>
      <c r="AK187" s="18">
        <f>IF(AND(ISNUMBER(C187),ISNUMBER(ENSO!F187)),C187-ENSO!F187,"")</f>
        <v>-0.28999999999999981</v>
      </c>
      <c r="AL187" s="18">
        <f t="shared" si="35"/>
        <v>1973.625</v>
      </c>
      <c r="AM187" s="18">
        <f t="shared" si="36"/>
        <v>5.0000000000004263E-2</v>
      </c>
    </row>
    <row r="188" spans="1:39">
      <c r="A188" s="18" t="str">
        <f>IF(Volcanic!A188="","",Volcanic!A188)</f>
        <v>9/1973</v>
      </c>
      <c r="B188" s="18">
        <f>IF(ISNUMBER(Volcanic!L188),Volcanic!L188,"")</f>
        <v>1973.7083333333333</v>
      </c>
      <c r="C188" s="21">
        <v>-1.54</v>
      </c>
      <c r="D188" s="18">
        <f t="shared" si="34"/>
        <v>-1.06</v>
      </c>
      <c r="E188" s="18">
        <f>IF(ISNUMBER(Volcanic!B188),Volcanic!B188,"")</f>
        <v>8.9999999999999858E-2</v>
      </c>
      <c r="F188" s="18">
        <f>IF(ISNUMBER(Volcanic!C188),Volcanic!C188,"")</f>
        <v>0.22615618030371948</v>
      </c>
      <c r="G188" s="18">
        <f>IF(ISNUMBER(Volcanic!E188),Volcanic!E188,"")</f>
        <v>4.0099999999999997E-3</v>
      </c>
      <c r="H188" s="18">
        <f>IF(ISNUMBER(Volcanic!D188),Volcanic!D188,"")</f>
        <v>-0.8</v>
      </c>
      <c r="I188" s="18">
        <f t="shared" si="28"/>
        <v>0.22615618030371948</v>
      </c>
      <c r="J188" s="18">
        <f t="shared" si="29"/>
        <v>4.0099999999999997E-3</v>
      </c>
      <c r="K188" s="18">
        <f t="shared" si="30"/>
        <v>-1.06</v>
      </c>
      <c r="L188" s="18">
        <f t="shared" si="31"/>
        <v>0.22615618030371948</v>
      </c>
      <c r="M188" s="18">
        <f t="shared" si="32"/>
        <v>4.0099999999999997E-3</v>
      </c>
      <c r="N188" s="18">
        <f t="shared" si="33"/>
        <v>-1.2251243972562427</v>
      </c>
      <c r="AK188" s="18">
        <f>IF(AND(ISNUMBER(C188),ISNUMBER(ENSO!F188)),C188-ENSO!F188,"")</f>
        <v>-0.28000000000000003</v>
      </c>
      <c r="AL188" s="18">
        <f t="shared" si="35"/>
        <v>1973.7083333333333</v>
      </c>
      <c r="AM188" s="18">
        <f t="shared" si="36"/>
        <v>8.9999999999999858E-2</v>
      </c>
    </row>
    <row r="189" spans="1:39">
      <c r="A189" s="18" t="str">
        <f>IF(Volcanic!A189="","",Volcanic!A189)</f>
        <v>10/1973</v>
      </c>
      <c r="B189" s="18">
        <f>IF(ISNUMBER(Volcanic!L189),Volcanic!L189,"")</f>
        <v>1973.7916666666667</v>
      </c>
      <c r="C189" s="21">
        <v>-1.8</v>
      </c>
      <c r="D189" s="18">
        <f t="shared" si="34"/>
        <v>-1.24</v>
      </c>
      <c r="E189" s="18">
        <f>IF(ISNUMBER(Volcanic!B189),Volcanic!B189,"")</f>
        <v>9.9999999999997868E-2</v>
      </c>
      <c r="F189" s="18">
        <f>IF(ISNUMBER(Volcanic!C189),Volcanic!C189,"")</f>
        <v>0.22470182828890004</v>
      </c>
      <c r="G189" s="18">
        <f>IF(ISNUMBER(Volcanic!E189),Volcanic!E189,"")</f>
        <v>3.9399999999999999E-3</v>
      </c>
      <c r="H189" s="18">
        <f>IF(ISNUMBER(Volcanic!D189),Volcanic!D189,"")</f>
        <v>-0.99</v>
      </c>
      <c r="I189" s="18">
        <f t="shared" si="28"/>
        <v>0.22470182828890004</v>
      </c>
      <c r="J189" s="18">
        <f t="shared" si="29"/>
        <v>3.9399999999999999E-3</v>
      </c>
      <c r="K189" s="18">
        <f t="shared" si="30"/>
        <v>-1.24</v>
      </c>
      <c r="L189" s="18">
        <f t="shared" si="31"/>
        <v>0.22470182828890004</v>
      </c>
      <c r="M189" s="18">
        <f t="shared" si="32"/>
        <v>3.9399999999999999E-3</v>
      </c>
      <c r="N189" s="18">
        <f t="shared" si="33"/>
        <v>-1.404434377765641</v>
      </c>
      <c r="AK189" s="18">
        <f>IF(AND(ISNUMBER(C189),ISNUMBER(ENSO!F189)),C189-ENSO!F189,"")</f>
        <v>-0.21999999999999997</v>
      </c>
      <c r="AL189" s="18">
        <f t="shared" si="35"/>
        <v>1973.7916666666667</v>
      </c>
      <c r="AM189" s="18">
        <f t="shared" si="36"/>
        <v>9.9999999999997868E-2</v>
      </c>
    </row>
    <row r="190" spans="1:39">
      <c r="A190" s="18" t="str">
        <f>IF(Volcanic!A190="","",Volcanic!A190)</f>
        <v>11/1973</v>
      </c>
      <c r="B190" s="18">
        <f>IF(ISNUMBER(Volcanic!L190),Volcanic!L190,"")</f>
        <v>1973.875</v>
      </c>
      <c r="C190" s="21">
        <v>-1.95</v>
      </c>
      <c r="D190" s="18">
        <f t="shared" si="34"/>
        <v>-1.4</v>
      </c>
      <c r="E190" s="18">
        <f>IF(ISNUMBER(Volcanic!B190),Volcanic!B190,"")</f>
        <v>3.9999999999999147E-2</v>
      </c>
      <c r="F190" s="18">
        <f>IF(ISNUMBER(Volcanic!C190),Volcanic!C190,"")</f>
        <v>0.22901653224979263</v>
      </c>
      <c r="G190" s="18">
        <f>IF(ISNUMBER(Volcanic!E190),Volcanic!E190,"")</f>
        <v>3.9699999999999996E-3</v>
      </c>
      <c r="H190" s="18">
        <f>IF(ISNUMBER(Volcanic!D190),Volcanic!D190,"")</f>
        <v>-1.1100000000000001</v>
      </c>
      <c r="I190" s="18">
        <f t="shared" si="28"/>
        <v>0.22901653224979263</v>
      </c>
      <c r="J190" s="18">
        <f t="shared" si="29"/>
        <v>3.9699999999999996E-3</v>
      </c>
      <c r="K190" s="18">
        <f t="shared" si="30"/>
        <v>-1.4</v>
      </c>
      <c r="L190" s="18">
        <f t="shared" si="31"/>
        <v>0.22901653224979263</v>
      </c>
      <c r="M190" s="18">
        <f t="shared" si="32"/>
        <v>3.9699999999999996E-3</v>
      </c>
      <c r="N190" s="18">
        <f t="shared" si="33"/>
        <v>-1.5637443582750428</v>
      </c>
      <c r="AK190" s="18">
        <f>IF(AND(ISNUMBER(C190),ISNUMBER(ENSO!F190)),C190-ENSO!F190,"")</f>
        <v>-6.0000000000000053E-2</v>
      </c>
      <c r="AL190" s="18">
        <f t="shared" si="35"/>
        <v>1973.875</v>
      </c>
      <c r="AM190" s="18">
        <f t="shared" si="36"/>
        <v>3.9999999999999147E-2</v>
      </c>
    </row>
    <row r="191" spans="1:39">
      <c r="A191" s="18" t="str">
        <f>IF(Volcanic!A191="","",Volcanic!A191)</f>
        <v>12/1973</v>
      </c>
      <c r="B191" s="18">
        <f>IF(ISNUMBER(Volcanic!L191),Volcanic!L191,"")</f>
        <v>1973.9583333333333</v>
      </c>
      <c r="C191" s="21">
        <v>-1.88</v>
      </c>
      <c r="D191" s="18">
        <f t="shared" si="34"/>
        <v>-1.54</v>
      </c>
      <c r="E191" s="18">
        <f>IF(ISNUMBER(Volcanic!B191),Volcanic!B191,"")</f>
        <v>-7.0000000000000284E-2</v>
      </c>
      <c r="F191" s="18">
        <f>IF(ISNUMBER(Volcanic!C191),Volcanic!C191,"")</f>
        <v>0.23112515787904964</v>
      </c>
      <c r="G191" s="18">
        <f>IF(ISNUMBER(Volcanic!E191),Volcanic!E191,"")</f>
        <v>4.0099999999999997E-3</v>
      </c>
      <c r="H191" s="18">
        <f>IF(ISNUMBER(Volcanic!D191),Volcanic!D191,"")</f>
        <v>-1.26</v>
      </c>
      <c r="I191" s="18">
        <f t="shared" si="28"/>
        <v>0.23112515787904964</v>
      </c>
      <c r="J191" s="18">
        <f t="shared" si="29"/>
        <v>4.0099999999999997E-3</v>
      </c>
      <c r="K191" s="18">
        <f t="shared" si="30"/>
        <v>-1.54</v>
      </c>
      <c r="L191" s="18">
        <f t="shared" si="31"/>
        <v>0.23112515787904964</v>
      </c>
      <c r="M191" s="18">
        <f t="shared" si="32"/>
        <v>4.0099999999999997E-3</v>
      </c>
      <c r="N191" s="18">
        <f t="shared" si="33"/>
        <v>-1.7030543387844448</v>
      </c>
      <c r="AK191" s="18">
        <f>IF(AND(ISNUMBER(C191),ISNUMBER(ENSO!F191)),C191-ENSO!F191,"")</f>
        <v>0.16000000000000014</v>
      </c>
      <c r="AL191" s="18">
        <f t="shared" si="35"/>
        <v>1973.9583333333333</v>
      </c>
      <c r="AM191" s="18">
        <f t="shared" si="36"/>
        <v>-7.0000000000000284E-2</v>
      </c>
    </row>
    <row r="192" spans="1:39">
      <c r="A192" s="18" t="str">
        <f>IF(Volcanic!A192="","",Volcanic!A192)</f>
        <v>1/1974</v>
      </c>
      <c r="B192" s="18">
        <f>IF(ISNUMBER(Volcanic!L192),Volcanic!L192,"")</f>
        <v>1974.0416666666667</v>
      </c>
      <c r="C192" s="21">
        <v>-1.54</v>
      </c>
      <c r="D192" s="18">
        <f t="shared" si="34"/>
        <v>-1.8</v>
      </c>
      <c r="E192" s="18">
        <f>IF(ISNUMBER(Volcanic!B192),Volcanic!B192,"")</f>
        <v>-0.10000000000000142</v>
      </c>
      <c r="F192" s="18">
        <f>IF(ISNUMBER(Volcanic!C192),Volcanic!C192,"")</f>
        <v>0.23423852660157829</v>
      </c>
      <c r="G192" s="18">
        <f>IF(ISNUMBER(Volcanic!E192),Volcanic!E192,"")</f>
        <v>4.0800000000000003E-3</v>
      </c>
      <c r="H192" s="18">
        <f>IF(ISNUMBER(Volcanic!D192),Volcanic!D192,"")</f>
        <v>-1.58</v>
      </c>
      <c r="I192" s="18">
        <f t="shared" si="28"/>
        <v>0.23423852660157829</v>
      </c>
      <c r="J192" s="18">
        <f t="shared" si="29"/>
        <v>4.0800000000000003E-3</v>
      </c>
      <c r="K192" s="18">
        <f t="shared" si="30"/>
        <v>-1.8</v>
      </c>
      <c r="L192" s="18">
        <f t="shared" si="31"/>
        <v>0.23423852660157829</v>
      </c>
      <c r="M192" s="18">
        <f t="shared" si="32"/>
        <v>4.0800000000000003E-3</v>
      </c>
      <c r="N192" s="18">
        <f t="shared" si="33"/>
        <v>-1.9623643192938467</v>
      </c>
      <c r="AK192" s="18">
        <f>IF(AND(ISNUMBER(C192),ISNUMBER(ENSO!F192)),C192-ENSO!F192,"")</f>
        <v>0.33000000000000007</v>
      </c>
      <c r="AL192" s="18">
        <f t="shared" si="35"/>
        <v>1974.0416666666667</v>
      </c>
      <c r="AM192" s="18">
        <f t="shared" si="36"/>
        <v>-0.10000000000000142</v>
      </c>
    </row>
    <row r="193" spans="1:39">
      <c r="A193" s="18" t="str">
        <f>IF(Volcanic!A193="","",Volcanic!A193)</f>
        <v>2/1974</v>
      </c>
      <c r="B193" s="18">
        <f>IF(ISNUMBER(Volcanic!L193),Volcanic!L193,"")</f>
        <v>1974.125</v>
      </c>
      <c r="C193" s="21">
        <v>-1.19</v>
      </c>
      <c r="D193" s="18">
        <f t="shared" si="34"/>
        <v>-1.95</v>
      </c>
      <c r="E193" s="18">
        <f>IF(ISNUMBER(Volcanic!B193),Volcanic!B193,"")</f>
        <v>-0.27000000000000135</v>
      </c>
      <c r="F193" s="18">
        <f>IF(ISNUMBER(Volcanic!C193),Volcanic!C193,"")</f>
        <v>0.24013984319182427</v>
      </c>
      <c r="G193" s="18">
        <f>IF(ISNUMBER(Volcanic!E193),Volcanic!E193,"")</f>
        <v>4.3400000000000001E-3</v>
      </c>
      <c r="H193" s="18">
        <f>IF(ISNUMBER(Volcanic!D193),Volcanic!D193,"")</f>
        <v>-1.89</v>
      </c>
      <c r="I193" s="18">
        <f t="shared" si="28"/>
        <v>0.24013984319182427</v>
      </c>
      <c r="J193" s="18">
        <f t="shared" si="29"/>
        <v>4.3400000000000001E-3</v>
      </c>
      <c r="K193" s="18">
        <f t="shared" si="30"/>
        <v>-1.95</v>
      </c>
      <c r="L193" s="18">
        <f t="shared" si="31"/>
        <v>0.24013984319182427</v>
      </c>
      <c r="M193" s="18">
        <f t="shared" si="32"/>
        <v>4.3400000000000001E-3</v>
      </c>
      <c r="N193" s="18">
        <f t="shared" si="33"/>
        <v>-2.1116742998032452</v>
      </c>
      <c r="AK193" s="18">
        <f>IF(AND(ISNUMBER(C193),ISNUMBER(ENSO!F193)),C193-ENSO!F193,"")</f>
        <v>0.40000000000000013</v>
      </c>
      <c r="AL193" s="18">
        <f t="shared" si="35"/>
        <v>1974.125</v>
      </c>
      <c r="AM193" s="18">
        <f t="shared" si="36"/>
        <v>-0.27000000000000135</v>
      </c>
    </row>
    <row r="194" spans="1:39">
      <c r="A194" s="18" t="str">
        <f>IF(Volcanic!A194="","",Volcanic!A194)</f>
        <v>3/1974</v>
      </c>
      <c r="B194" s="18">
        <f>IF(ISNUMBER(Volcanic!L194),Volcanic!L194,"")</f>
        <v>1974.2083333333333</v>
      </c>
      <c r="C194" s="21">
        <v>-0.95</v>
      </c>
      <c r="D194" s="18">
        <f t="shared" si="34"/>
        <v>-1.88</v>
      </c>
      <c r="E194" s="18">
        <f>IF(ISNUMBER(Volcanic!B194),Volcanic!B194,"")</f>
        <v>-5.0000000000000711E-2</v>
      </c>
      <c r="F194" s="18">
        <f>IF(ISNUMBER(Volcanic!C194),Volcanic!C194,"")</f>
        <v>0.24353852229879974</v>
      </c>
      <c r="G194" s="18">
        <f>IF(ISNUMBER(Volcanic!E194),Volcanic!E194,"")</f>
        <v>5.0800000000000003E-3</v>
      </c>
      <c r="H194" s="18">
        <f>IF(ISNUMBER(Volcanic!D194),Volcanic!D194,"")</f>
        <v>-2.04</v>
      </c>
      <c r="I194" s="18">
        <f t="shared" ref="I194:I257" si="37">F194</f>
        <v>0.24353852229879974</v>
      </c>
      <c r="J194" s="18">
        <f t="shared" ref="J194:J257" si="38">G194</f>
        <v>5.0800000000000003E-3</v>
      </c>
      <c r="K194" s="18">
        <f t="shared" ref="K194:K257" si="39">IF(ISNUMBER(D194),D194,"")</f>
        <v>-1.88</v>
      </c>
      <c r="L194" s="18">
        <f t="shared" ref="L194:L257" si="40">F194</f>
        <v>0.24353852229879974</v>
      </c>
      <c r="M194" s="18">
        <f t="shared" ref="M194:M257" si="41">G194</f>
        <v>5.0800000000000003E-3</v>
      </c>
      <c r="N194" s="18">
        <f t="shared" ref="N194:N257" si="42">IF(ISNUMBER(D194),D194-($AB$8*B194+$AB$9),"")</f>
        <v>-2.0409842803126468</v>
      </c>
      <c r="AK194" s="18">
        <f>IF(AND(ISNUMBER(C194),ISNUMBER(ENSO!F194)),C194-ENSO!F194,"")</f>
        <v>0.29000000000000004</v>
      </c>
      <c r="AL194" s="18">
        <f t="shared" si="35"/>
        <v>1974.2083333333333</v>
      </c>
      <c r="AM194" s="18">
        <f t="shared" si="36"/>
        <v>-5.0000000000000711E-2</v>
      </c>
    </row>
    <row r="195" spans="1:39">
      <c r="A195" s="18" t="str">
        <f>IF(Volcanic!A195="","",Volcanic!A195)</f>
        <v>4/1974</v>
      </c>
      <c r="B195" s="18">
        <f>IF(ISNUMBER(Volcanic!L195),Volcanic!L195,"")</f>
        <v>1974.2916666666667</v>
      </c>
      <c r="C195" s="21">
        <v>-0.86</v>
      </c>
      <c r="D195" s="18">
        <f t="shared" si="34"/>
        <v>-1.54</v>
      </c>
      <c r="E195" s="18">
        <f>IF(ISNUMBER(Volcanic!B195),Volcanic!B195,"")</f>
        <v>-0.11999999999999744</v>
      </c>
      <c r="F195" s="18">
        <f>IF(ISNUMBER(Volcanic!C195),Volcanic!C195,"")</f>
        <v>0.24857820654980772</v>
      </c>
      <c r="G195" s="18">
        <f>IF(ISNUMBER(Volcanic!E195),Volcanic!E195,"")</f>
        <v>5.13E-3</v>
      </c>
      <c r="H195" s="18">
        <f>IF(ISNUMBER(Volcanic!D195),Volcanic!D195,"")</f>
        <v>-1.87</v>
      </c>
      <c r="I195" s="18">
        <f t="shared" si="37"/>
        <v>0.24857820654980772</v>
      </c>
      <c r="J195" s="18">
        <f t="shared" si="38"/>
        <v>5.13E-3</v>
      </c>
      <c r="K195" s="18">
        <f t="shared" si="39"/>
        <v>-1.54</v>
      </c>
      <c r="L195" s="18">
        <f t="shared" si="40"/>
        <v>0.24857820654980772</v>
      </c>
      <c r="M195" s="18">
        <f t="shared" si="41"/>
        <v>5.13E-3</v>
      </c>
      <c r="N195" s="18">
        <f t="shared" si="42"/>
        <v>-1.7002942608220488</v>
      </c>
      <c r="AK195" s="18">
        <f>IF(AND(ISNUMBER(C195),ISNUMBER(ENSO!F195)),C195-ENSO!F195,"")</f>
        <v>0.13</v>
      </c>
      <c r="AL195" s="18">
        <f t="shared" si="35"/>
        <v>1974.2916666666667</v>
      </c>
      <c r="AM195" s="18">
        <f t="shared" si="36"/>
        <v>-0.11999999999999744</v>
      </c>
    </row>
    <row r="196" spans="1:39">
      <c r="A196" s="18" t="str">
        <f>IF(Volcanic!A196="","",Volcanic!A196)</f>
        <v>5/1974</v>
      </c>
      <c r="B196" s="18">
        <f>IF(ISNUMBER(Volcanic!L196),Volcanic!L196,"")</f>
        <v>1974.375</v>
      </c>
      <c r="C196" s="21">
        <v>-0.79</v>
      </c>
      <c r="D196" s="18">
        <f t="shared" si="34"/>
        <v>-1.19</v>
      </c>
      <c r="E196" s="18">
        <f>IF(ISNUMBER(Volcanic!B196),Volcanic!B196,"")</f>
        <v>-3.9999999999999147E-2</v>
      </c>
      <c r="F196" s="18">
        <f>IF(ISNUMBER(Volcanic!C196),Volcanic!C196,"")</f>
        <v>0.25091827471297862</v>
      </c>
      <c r="G196" s="18">
        <f>IF(ISNUMBER(Volcanic!E196),Volcanic!E196,"")</f>
        <v>5.13E-3</v>
      </c>
      <c r="H196" s="18">
        <f>IF(ISNUMBER(Volcanic!D196),Volcanic!D196,"")</f>
        <v>-1.59</v>
      </c>
      <c r="I196" s="18">
        <f t="shared" si="37"/>
        <v>0.25091827471297862</v>
      </c>
      <c r="J196" s="18">
        <f t="shared" si="38"/>
        <v>5.13E-3</v>
      </c>
      <c r="K196" s="18">
        <f t="shared" si="39"/>
        <v>-1.19</v>
      </c>
      <c r="L196" s="18">
        <f t="shared" si="40"/>
        <v>0.25091827471297862</v>
      </c>
      <c r="M196" s="18">
        <f t="shared" si="41"/>
        <v>5.13E-3</v>
      </c>
      <c r="N196" s="18">
        <f t="shared" si="42"/>
        <v>-1.3496042413314506</v>
      </c>
      <c r="AK196" s="18">
        <f>IF(AND(ISNUMBER(C196),ISNUMBER(ENSO!F196)),C196-ENSO!F196,"")</f>
        <v>-8.0000000000000071E-2</v>
      </c>
      <c r="AL196" s="18">
        <f t="shared" si="35"/>
        <v>1974.375</v>
      </c>
      <c r="AM196" s="18">
        <f t="shared" si="36"/>
        <v>-3.9999999999999147E-2</v>
      </c>
    </row>
    <row r="197" spans="1:39">
      <c r="A197" s="18" t="str">
        <f>IF(Volcanic!A197="","",Volcanic!A197)</f>
        <v>6/1974</v>
      </c>
      <c r="B197" s="18">
        <f>IF(ISNUMBER(Volcanic!L197),Volcanic!L197,"")</f>
        <v>1974.4583333333333</v>
      </c>
      <c r="C197" s="21">
        <v>-0.64</v>
      </c>
      <c r="D197" s="18">
        <f t="shared" ref="D197:D260" si="43">IF(C194="","",C194)</f>
        <v>-0.95</v>
      </c>
      <c r="E197" s="18">
        <f>IF(ISNUMBER(Volcanic!B197),Volcanic!B197,"")</f>
        <v>-5.0000000000000711E-2</v>
      </c>
      <c r="F197" s="18">
        <f>IF(ISNUMBER(Volcanic!C197),Volcanic!C197,"")</f>
        <v>0.24662524613004733</v>
      </c>
      <c r="G197" s="18">
        <f>IF(ISNUMBER(Volcanic!E197),Volcanic!E197,"")</f>
        <v>4.9699999999999996E-3</v>
      </c>
      <c r="H197" s="18">
        <f>IF(ISNUMBER(Volcanic!D197),Volcanic!D197,"")</f>
        <v>-1.24</v>
      </c>
      <c r="I197" s="18">
        <f t="shared" si="37"/>
        <v>0.24662524613004733</v>
      </c>
      <c r="J197" s="18">
        <f t="shared" si="38"/>
        <v>4.9699999999999996E-3</v>
      </c>
      <c r="K197" s="18">
        <f t="shared" si="39"/>
        <v>-0.95</v>
      </c>
      <c r="L197" s="18">
        <f t="shared" si="40"/>
        <v>0.24662524613004733</v>
      </c>
      <c r="M197" s="18">
        <f t="shared" si="41"/>
        <v>4.9699999999999996E-3</v>
      </c>
      <c r="N197" s="18">
        <f t="shared" si="42"/>
        <v>-1.1089142218408525</v>
      </c>
      <c r="AK197" s="18">
        <f>IF(AND(ISNUMBER(C197),ISNUMBER(ENSO!F197)),C197-ENSO!F197,"")</f>
        <v>0</v>
      </c>
      <c r="AL197" s="18">
        <f t="shared" si="35"/>
        <v>1974.4583333333333</v>
      </c>
      <c r="AM197" s="18">
        <f t="shared" si="36"/>
        <v>-5.0000000000000711E-2</v>
      </c>
    </row>
    <row r="198" spans="1:39">
      <c r="A198" s="18" t="str">
        <f>IF(Volcanic!A198="","",Volcanic!A198)</f>
        <v>7/1974</v>
      </c>
      <c r="B198" s="18">
        <f>IF(ISNUMBER(Volcanic!L198),Volcanic!L198,"")</f>
        <v>1974.5416666666667</v>
      </c>
      <c r="C198" s="21">
        <v>-0.37</v>
      </c>
      <c r="D198" s="18">
        <f t="shared" si="43"/>
        <v>-0.86</v>
      </c>
      <c r="E198" s="18">
        <f>IF(ISNUMBER(Volcanic!B198),Volcanic!B198,"")</f>
        <v>-2.9999999999999361E-2</v>
      </c>
      <c r="F198" s="18">
        <f>IF(ISNUMBER(Volcanic!C198),Volcanic!C198,"")</f>
        <v>0.24170945927557155</v>
      </c>
      <c r="G198" s="18">
        <f>IF(ISNUMBER(Volcanic!E198),Volcanic!E198,"")</f>
        <v>4.7800000000000004E-3</v>
      </c>
      <c r="H198" s="18">
        <f>IF(ISNUMBER(Volcanic!D198),Volcanic!D198,"")</f>
        <v>-0.99</v>
      </c>
      <c r="I198" s="18">
        <f t="shared" si="37"/>
        <v>0.24170945927557155</v>
      </c>
      <c r="J198" s="18">
        <f t="shared" si="38"/>
        <v>4.7800000000000004E-3</v>
      </c>
      <c r="K198" s="18">
        <f t="shared" si="39"/>
        <v>-0.86</v>
      </c>
      <c r="L198" s="18">
        <f t="shared" si="40"/>
        <v>0.24170945927557155</v>
      </c>
      <c r="M198" s="18">
        <f t="shared" si="41"/>
        <v>4.7800000000000004E-3</v>
      </c>
      <c r="N198" s="18">
        <f t="shared" si="42"/>
        <v>-1.0182242023502508</v>
      </c>
      <c r="AK198" s="18">
        <f>IF(AND(ISNUMBER(C198),ISNUMBER(ENSO!F198)),C198-ENSO!F198,"")</f>
        <v>9.0000000000000024E-2</v>
      </c>
      <c r="AL198" s="18">
        <f t="shared" si="35"/>
        <v>1974.5416666666667</v>
      </c>
      <c r="AM198" s="18">
        <f t="shared" si="36"/>
        <v>-2.9999999999999361E-2</v>
      </c>
    </row>
    <row r="199" spans="1:39">
      <c r="A199" s="18" t="str">
        <f>IF(Volcanic!A199="","",Volcanic!A199)</f>
        <v>8/1974</v>
      </c>
      <c r="B199" s="18">
        <f>IF(ISNUMBER(Volcanic!L199),Volcanic!L199,"")</f>
        <v>1974.625</v>
      </c>
      <c r="C199" s="21">
        <v>-0.19</v>
      </c>
      <c r="D199" s="18">
        <f t="shared" si="43"/>
        <v>-0.79</v>
      </c>
      <c r="E199" s="18">
        <f>IF(ISNUMBER(Volcanic!B199),Volcanic!B199,"")</f>
        <v>9.9999999999997868E-2</v>
      </c>
      <c r="F199" s="18">
        <f>IF(ISNUMBER(Volcanic!C199),Volcanic!C199,"")</f>
        <v>0.23331837058615809</v>
      </c>
      <c r="G199" s="18">
        <f>IF(ISNUMBER(Volcanic!E199),Volcanic!E199,"")</f>
        <v>4.6100000000000004E-3</v>
      </c>
      <c r="H199" s="18">
        <f>IF(ISNUMBER(Volcanic!D199),Volcanic!D199,"")</f>
        <v>-0.71</v>
      </c>
      <c r="I199" s="18">
        <f t="shared" si="37"/>
        <v>0.23331837058615809</v>
      </c>
      <c r="J199" s="18">
        <f t="shared" si="38"/>
        <v>4.6100000000000004E-3</v>
      </c>
      <c r="K199" s="18">
        <f t="shared" si="39"/>
        <v>-0.79</v>
      </c>
      <c r="L199" s="18">
        <f t="shared" si="40"/>
        <v>0.23331837058615809</v>
      </c>
      <c r="M199" s="18">
        <f t="shared" si="41"/>
        <v>4.6100000000000004E-3</v>
      </c>
      <c r="N199" s="18">
        <f t="shared" si="42"/>
        <v>-0.94753418285965285</v>
      </c>
      <c r="AK199" s="18">
        <f>IF(AND(ISNUMBER(C199),ISNUMBER(ENSO!F199)),C199-ENSO!F199,"")</f>
        <v>0.21000000000000002</v>
      </c>
      <c r="AL199" s="18">
        <f t="shared" si="35"/>
        <v>1974.625</v>
      </c>
      <c r="AM199" s="18">
        <f t="shared" si="36"/>
        <v>9.9999999999997868E-2</v>
      </c>
    </row>
    <row r="200" spans="1:39">
      <c r="A200" s="18" t="str">
        <f>IF(Volcanic!A200="","",Volcanic!A200)</f>
        <v>9/1974</v>
      </c>
      <c r="B200" s="18">
        <f>IF(ISNUMBER(Volcanic!L200),Volcanic!L200,"")</f>
        <v>1974.7083333333333</v>
      </c>
      <c r="C200" s="21">
        <v>-0.18</v>
      </c>
      <c r="D200" s="18">
        <f t="shared" si="43"/>
        <v>-0.64</v>
      </c>
      <c r="E200" s="18">
        <f>IF(ISNUMBER(Volcanic!B200),Volcanic!B200,"")</f>
        <v>-8.0000000000001847E-2</v>
      </c>
      <c r="F200" s="18">
        <f>IF(ISNUMBER(Volcanic!C200),Volcanic!C200,"")</f>
        <v>0.22531900517823794</v>
      </c>
      <c r="G200" s="18">
        <f>IF(ISNUMBER(Volcanic!E200),Volcanic!E200,"")</f>
        <v>4.4099999999999999E-3</v>
      </c>
      <c r="H200" s="18">
        <f>IF(ISNUMBER(Volcanic!D200),Volcanic!D200,"")</f>
        <v>-0.64</v>
      </c>
      <c r="I200" s="18">
        <f t="shared" si="37"/>
        <v>0.22531900517823794</v>
      </c>
      <c r="J200" s="18">
        <f t="shared" si="38"/>
        <v>4.4099999999999999E-3</v>
      </c>
      <c r="K200" s="18">
        <f t="shared" si="39"/>
        <v>-0.64</v>
      </c>
      <c r="L200" s="18">
        <f t="shared" si="40"/>
        <v>0.22531900517823794</v>
      </c>
      <c r="M200" s="18">
        <f t="shared" si="41"/>
        <v>4.4099999999999999E-3</v>
      </c>
      <c r="N200" s="18">
        <f t="shared" si="42"/>
        <v>-0.79684416336905473</v>
      </c>
      <c r="AK200" s="18">
        <f>IF(AND(ISNUMBER(C200),ISNUMBER(ENSO!F200)),C200-ENSO!F200,"")</f>
        <v>0.28999999999999998</v>
      </c>
      <c r="AL200" s="18">
        <f t="shared" si="35"/>
        <v>1974.7083333333333</v>
      </c>
      <c r="AM200" s="18">
        <f t="shared" si="36"/>
        <v>-8.0000000000001847E-2</v>
      </c>
    </row>
    <row r="201" spans="1:39">
      <c r="A201" s="18" t="str">
        <f>IF(Volcanic!A201="","",Volcanic!A201)</f>
        <v>10/1974</v>
      </c>
      <c r="B201" s="18">
        <f>IF(ISNUMBER(Volcanic!L201),Volcanic!L201,"")</f>
        <v>1974.7916666666667</v>
      </c>
      <c r="C201" s="21">
        <v>-0.36</v>
      </c>
      <c r="D201" s="18">
        <f t="shared" si="43"/>
        <v>-0.37</v>
      </c>
      <c r="E201" s="18">
        <f>IF(ISNUMBER(Volcanic!B201),Volcanic!B201,"")</f>
        <v>-6.0000000000000497E-2</v>
      </c>
      <c r="F201" s="18">
        <f>IF(ISNUMBER(Volcanic!C201),Volcanic!C201,"")</f>
        <v>0.22509861516835514</v>
      </c>
      <c r="G201" s="18">
        <f>IF(ISNUMBER(Volcanic!E201),Volcanic!E201,"")</f>
        <v>4.2900000000000004E-3</v>
      </c>
      <c r="H201" s="18">
        <f>IF(ISNUMBER(Volcanic!D201),Volcanic!D201,"")</f>
        <v>-0.46</v>
      </c>
      <c r="I201" s="18">
        <f t="shared" si="37"/>
        <v>0.22509861516835514</v>
      </c>
      <c r="J201" s="18">
        <f t="shared" si="38"/>
        <v>4.2900000000000004E-3</v>
      </c>
      <c r="K201" s="18">
        <f t="shared" si="39"/>
        <v>-0.37</v>
      </c>
      <c r="L201" s="18">
        <f t="shared" si="40"/>
        <v>0.22509861516835514</v>
      </c>
      <c r="M201" s="18">
        <f t="shared" si="41"/>
        <v>4.2900000000000004E-3</v>
      </c>
      <c r="N201" s="18">
        <f t="shared" si="42"/>
        <v>-0.52615414387845305</v>
      </c>
      <c r="AK201" s="18">
        <f>IF(AND(ISNUMBER(C201),ISNUMBER(ENSO!F201)),C201-ENSO!F201,"")</f>
        <v>0.32999999999999996</v>
      </c>
      <c r="AL201" s="18">
        <f t="shared" ref="AL201:AL264" si="44">B201</f>
        <v>1974.7916666666667</v>
      </c>
      <c r="AM201" s="18">
        <f t="shared" ref="AM201:AM264" si="45">E201</f>
        <v>-6.0000000000000497E-2</v>
      </c>
    </row>
    <row r="202" spans="1:39">
      <c r="A202" s="18" t="str">
        <f>IF(Volcanic!A202="","",Volcanic!A202)</f>
        <v>11/1974</v>
      </c>
      <c r="B202" s="18">
        <f>IF(ISNUMBER(Volcanic!L202),Volcanic!L202,"")</f>
        <v>1974.875</v>
      </c>
      <c r="C202" s="21">
        <v>-0.45</v>
      </c>
      <c r="D202" s="18">
        <f t="shared" si="43"/>
        <v>-0.19</v>
      </c>
      <c r="E202" s="18">
        <f>IF(ISNUMBER(Volcanic!B202),Volcanic!B202,"")</f>
        <v>-8.0000000000001847E-2</v>
      </c>
      <c r="F202" s="18">
        <f>IF(ISNUMBER(Volcanic!C202),Volcanic!C202,"")</f>
        <v>0.22963186648323872</v>
      </c>
      <c r="G202" s="18">
        <f>IF(ISNUMBER(Volcanic!E202),Volcanic!E202,"")</f>
        <v>4.2700000000000004E-3</v>
      </c>
      <c r="H202" s="18">
        <f>IF(ISNUMBER(Volcanic!D202),Volcanic!D202,"")</f>
        <v>-0.4</v>
      </c>
      <c r="I202" s="18">
        <f t="shared" si="37"/>
        <v>0.22963186648323872</v>
      </c>
      <c r="J202" s="18">
        <f t="shared" si="38"/>
        <v>4.2700000000000004E-3</v>
      </c>
      <c r="K202" s="18">
        <f t="shared" si="39"/>
        <v>-0.19</v>
      </c>
      <c r="L202" s="18">
        <f t="shared" si="40"/>
        <v>0.22963186648323872</v>
      </c>
      <c r="M202" s="18">
        <f t="shared" si="41"/>
        <v>4.2700000000000004E-3</v>
      </c>
      <c r="N202" s="18">
        <f t="shared" si="42"/>
        <v>-0.34546412438785495</v>
      </c>
      <c r="AK202" s="18">
        <f>IF(AND(ISNUMBER(C202),ISNUMBER(ENSO!F202)),C202-ENSO!F202,"")</f>
        <v>0.43</v>
      </c>
      <c r="AL202" s="18">
        <f t="shared" si="44"/>
        <v>1974.875</v>
      </c>
      <c r="AM202" s="18">
        <f t="shared" si="45"/>
        <v>-8.0000000000001847E-2</v>
      </c>
    </row>
    <row r="203" spans="1:39">
      <c r="A203" s="18" t="str">
        <f>IF(Volcanic!A203="","",Volcanic!A203)</f>
        <v>12/1974</v>
      </c>
      <c r="B203" s="18">
        <f>IF(ISNUMBER(Volcanic!L203),Volcanic!L203,"")</f>
        <v>1974.9583333333333</v>
      </c>
      <c r="C203" s="21">
        <v>-0.25</v>
      </c>
      <c r="D203" s="18">
        <f t="shared" si="43"/>
        <v>-0.18</v>
      </c>
      <c r="E203" s="18">
        <f>IF(ISNUMBER(Volcanic!B203),Volcanic!B203,"")</f>
        <v>-8.0000000000001847E-2</v>
      </c>
      <c r="F203" s="18">
        <f>IF(ISNUMBER(Volcanic!C203),Volcanic!C203,"")</f>
        <v>0.23520187051995831</v>
      </c>
      <c r="G203" s="18">
        <f>IF(ISNUMBER(Volcanic!E203),Volcanic!E203,"")</f>
        <v>4.2700000000000004E-3</v>
      </c>
      <c r="H203" s="18">
        <f>IF(ISNUMBER(Volcanic!D203),Volcanic!D203,"")</f>
        <v>-0.47</v>
      </c>
      <c r="I203" s="18">
        <f t="shared" si="37"/>
        <v>0.23520187051995831</v>
      </c>
      <c r="J203" s="18">
        <f t="shared" si="38"/>
        <v>4.2700000000000004E-3</v>
      </c>
      <c r="K203" s="18">
        <f t="shared" si="39"/>
        <v>-0.18</v>
      </c>
      <c r="L203" s="18">
        <f t="shared" si="40"/>
        <v>0.23520187051995831</v>
      </c>
      <c r="M203" s="18">
        <f t="shared" si="41"/>
        <v>4.2700000000000004E-3</v>
      </c>
      <c r="N203" s="18">
        <f t="shared" si="42"/>
        <v>-0.33477410489725684</v>
      </c>
      <c r="AK203" s="18">
        <f>IF(AND(ISNUMBER(C203),ISNUMBER(ENSO!F203)),C203-ENSO!F203,"")</f>
        <v>0.45999999999999996</v>
      </c>
      <c r="AL203" s="18">
        <f t="shared" si="44"/>
        <v>1974.9583333333333</v>
      </c>
      <c r="AM203" s="18">
        <f t="shared" si="45"/>
        <v>-8.0000000000001847E-2</v>
      </c>
    </row>
    <row r="204" spans="1:39">
      <c r="A204" s="18" t="str">
        <f>IF(Volcanic!A204="","",Volcanic!A204)</f>
        <v>1/1975</v>
      </c>
      <c r="B204" s="18">
        <f>IF(ISNUMBER(Volcanic!L204),Volcanic!L204,"")</f>
        <v>1975.0416666666667</v>
      </c>
      <c r="C204" s="21">
        <v>-0.08</v>
      </c>
      <c r="D204" s="18">
        <f t="shared" si="43"/>
        <v>-0.36</v>
      </c>
      <c r="E204" s="18">
        <f>IF(ISNUMBER(Volcanic!B204),Volcanic!B204,"")</f>
        <v>9.9999999999997868E-2</v>
      </c>
      <c r="F204" s="18">
        <f>IF(ISNUMBER(Volcanic!C204),Volcanic!C204,"")</f>
        <v>0.24022708890066147</v>
      </c>
      <c r="G204" s="18">
        <f>IF(ISNUMBER(Volcanic!E204),Volcanic!E204,"")</f>
        <v>4.3E-3</v>
      </c>
      <c r="H204" s="18">
        <f>IF(ISNUMBER(Volcanic!D204),Volcanic!D204,"")</f>
        <v>-0.69</v>
      </c>
      <c r="I204" s="18">
        <f t="shared" si="37"/>
        <v>0.24022708890066147</v>
      </c>
      <c r="J204" s="18">
        <f t="shared" si="38"/>
        <v>4.3E-3</v>
      </c>
      <c r="K204" s="18">
        <f t="shared" si="39"/>
        <v>-0.36</v>
      </c>
      <c r="L204" s="18">
        <f t="shared" si="40"/>
        <v>0.24022708890066147</v>
      </c>
      <c r="M204" s="18">
        <f t="shared" si="41"/>
        <v>4.3E-3</v>
      </c>
      <c r="N204" s="18">
        <f t="shared" si="42"/>
        <v>-0.51408408540665518</v>
      </c>
      <c r="AK204" s="18">
        <f>IF(AND(ISNUMBER(C204),ISNUMBER(ENSO!F204)),C204-ENSO!F204,"")</f>
        <v>0.48000000000000004</v>
      </c>
      <c r="AL204" s="18">
        <f t="shared" si="44"/>
        <v>1975.0416666666667</v>
      </c>
      <c r="AM204" s="18">
        <f t="shared" si="45"/>
        <v>9.9999999999997868E-2</v>
      </c>
    </row>
    <row r="205" spans="1:39">
      <c r="A205" s="18" t="str">
        <f>IF(Volcanic!A205="","",Volcanic!A205)</f>
        <v>2/1975</v>
      </c>
      <c r="B205" s="18">
        <f>IF(ISNUMBER(Volcanic!L205),Volcanic!L205,"")</f>
        <v>1975.125</v>
      </c>
      <c r="C205" s="21">
        <v>-0.13</v>
      </c>
      <c r="D205" s="18">
        <f t="shared" si="43"/>
        <v>-0.45</v>
      </c>
      <c r="E205" s="18">
        <f>IF(ISNUMBER(Volcanic!B205),Volcanic!B205,"")</f>
        <v>8.0000000000000071E-2</v>
      </c>
      <c r="F205" s="18">
        <f>IF(ISNUMBER(Volcanic!C205),Volcanic!C205,"")</f>
        <v>0.24340795181458158</v>
      </c>
      <c r="G205" s="18">
        <f>IF(ISNUMBER(Volcanic!E205),Volcanic!E205,"")</f>
        <v>4.3600000000000002E-3</v>
      </c>
      <c r="H205" s="18">
        <f>IF(ISNUMBER(Volcanic!D205),Volcanic!D205,"")</f>
        <v>-0.88</v>
      </c>
      <c r="I205" s="18">
        <f t="shared" si="37"/>
        <v>0.24340795181458158</v>
      </c>
      <c r="J205" s="18">
        <f t="shared" si="38"/>
        <v>4.3600000000000002E-3</v>
      </c>
      <c r="K205" s="18">
        <f t="shared" si="39"/>
        <v>-0.45</v>
      </c>
      <c r="L205" s="18">
        <f t="shared" si="40"/>
        <v>0.24340795181458158</v>
      </c>
      <c r="M205" s="18">
        <f t="shared" si="41"/>
        <v>4.3600000000000002E-3</v>
      </c>
      <c r="N205" s="18">
        <f t="shared" si="42"/>
        <v>-0.60339406591605704</v>
      </c>
      <c r="AK205" s="18">
        <f>IF(AND(ISNUMBER(C205),ISNUMBER(ENSO!F205)),C205-ENSO!F205,"")</f>
        <v>0.42000000000000004</v>
      </c>
      <c r="AL205" s="18">
        <f t="shared" si="44"/>
        <v>1975.125</v>
      </c>
      <c r="AM205" s="18">
        <f t="shared" si="45"/>
        <v>8.0000000000000071E-2</v>
      </c>
    </row>
    <row r="206" spans="1:39">
      <c r="A206" s="18" t="str">
        <f>IF(Volcanic!A206="","",Volcanic!A206)</f>
        <v>3/1975</v>
      </c>
      <c r="B206" s="18">
        <f>IF(ISNUMBER(Volcanic!L206),Volcanic!L206,"")</f>
        <v>1975.2083333333333</v>
      </c>
      <c r="C206" s="21">
        <v>-0.32</v>
      </c>
      <c r="D206" s="18">
        <f t="shared" si="43"/>
        <v>-0.25</v>
      </c>
      <c r="E206" s="18">
        <f>IF(ISNUMBER(Volcanic!B206),Volcanic!B206,"")</f>
        <v>0.11999999999999744</v>
      </c>
      <c r="F206" s="18">
        <f>IF(ISNUMBER(Volcanic!C206),Volcanic!C206,"")</f>
        <v>0.24549566281992086</v>
      </c>
      <c r="G206" s="18">
        <f>IF(ISNUMBER(Volcanic!E206),Volcanic!E206,"")</f>
        <v>4.4400000000000004E-3</v>
      </c>
      <c r="H206" s="18">
        <f>IF(ISNUMBER(Volcanic!D206),Volcanic!D206,"")</f>
        <v>-0.71</v>
      </c>
      <c r="I206" s="18">
        <f t="shared" si="37"/>
        <v>0.24549566281992086</v>
      </c>
      <c r="J206" s="18">
        <f t="shared" si="38"/>
        <v>4.4400000000000004E-3</v>
      </c>
      <c r="K206" s="18">
        <f t="shared" si="39"/>
        <v>-0.25</v>
      </c>
      <c r="L206" s="18">
        <f t="shared" si="40"/>
        <v>0.24549566281992086</v>
      </c>
      <c r="M206" s="18">
        <f t="shared" si="41"/>
        <v>4.4400000000000004E-3</v>
      </c>
      <c r="N206" s="18">
        <f t="shared" si="42"/>
        <v>-0.40270404642545898</v>
      </c>
      <c r="AK206" s="18">
        <f>IF(AND(ISNUMBER(C206),ISNUMBER(ENSO!F206)),C206-ENSO!F206,"")</f>
        <v>0.28999999999999998</v>
      </c>
      <c r="AL206" s="18">
        <f t="shared" si="44"/>
        <v>1975.2083333333333</v>
      </c>
      <c r="AM206" s="18">
        <f t="shared" si="45"/>
        <v>0.11999999999999744</v>
      </c>
    </row>
    <row r="207" spans="1:39">
      <c r="A207" s="18" t="str">
        <f>IF(Volcanic!A207="","",Volcanic!A207)</f>
        <v>4/1975</v>
      </c>
      <c r="B207" s="18">
        <f>IF(ISNUMBER(Volcanic!L207),Volcanic!L207,"")</f>
        <v>1975.2916666666667</v>
      </c>
      <c r="C207" s="21">
        <v>-0.47</v>
      </c>
      <c r="D207" s="18">
        <f t="shared" si="43"/>
        <v>-0.08</v>
      </c>
      <c r="E207" s="18">
        <f>IF(ISNUMBER(Volcanic!B207),Volcanic!B207,"")</f>
        <v>3.9999999999999147E-2</v>
      </c>
      <c r="F207" s="18">
        <f>IF(ISNUMBER(Volcanic!C207),Volcanic!C207,"")</f>
        <v>0.25057183736095789</v>
      </c>
      <c r="G207" s="18">
        <f>IF(ISNUMBER(Volcanic!E207),Volcanic!E207,"")</f>
        <v>4.4799999999999996E-3</v>
      </c>
      <c r="H207" s="18">
        <f>IF(ISNUMBER(Volcanic!D207),Volcanic!D207,"")</f>
        <v>-0.56000000000000005</v>
      </c>
      <c r="I207" s="18">
        <f t="shared" si="37"/>
        <v>0.25057183736095789</v>
      </c>
      <c r="J207" s="18">
        <f t="shared" si="38"/>
        <v>4.4799999999999996E-3</v>
      </c>
      <c r="K207" s="18">
        <f t="shared" si="39"/>
        <v>-0.08</v>
      </c>
      <c r="L207" s="18">
        <f t="shared" si="40"/>
        <v>0.25057183736095789</v>
      </c>
      <c r="M207" s="18">
        <f t="shared" si="41"/>
        <v>4.4799999999999996E-3</v>
      </c>
      <c r="N207" s="18">
        <f t="shared" si="42"/>
        <v>-0.2320140269348609</v>
      </c>
      <c r="AK207" s="18">
        <f>IF(AND(ISNUMBER(C207),ISNUMBER(ENSO!F207)),C207-ENSO!F207,"")</f>
        <v>0.19000000000000006</v>
      </c>
      <c r="AL207" s="18">
        <f t="shared" si="44"/>
        <v>1975.2916666666667</v>
      </c>
      <c r="AM207" s="18">
        <f t="shared" si="45"/>
        <v>3.9999999999999147E-2</v>
      </c>
    </row>
    <row r="208" spans="1:39">
      <c r="A208" s="18" t="str">
        <f>IF(Volcanic!A208="","",Volcanic!A208)</f>
        <v>5/1975</v>
      </c>
      <c r="B208" s="18">
        <f>IF(ISNUMBER(Volcanic!L208),Volcanic!L208,"")</f>
        <v>1975.375</v>
      </c>
      <c r="C208" s="21">
        <v>-0.61</v>
      </c>
      <c r="D208" s="18">
        <f t="shared" si="43"/>
        <v>-0.13</v>
      </c>
      <c r="E208" s="18">
        <f>IF(ISNUMBER(Volcanic!B208),Volcanic!B208,"")</f>
        <v>0.16000000000000014</v>
      </c>
      <c r="F208" s="18">
        <f>IF(ISNUMBER(Volcanic!C208),Volcanic!C208,"")</f>
        <v>0.25420528705036982</v>
      </c>
      <c r="G208" s="18">
        <f>IF(ISNUMBER(Volcanic!E208),Volcanic!E208,"")</f>
        <v>4.6800000000000001E-3</v>
      </c>
      <c r="H208" s="18">
        <f>IF(ISNUMBER(Volcanic!D208),Volcanic!D208,"")</f>
        <v>-0.55000000000000004</v>
      </c>
      <c r="I208" s="18">
        <f t="shared" si="37"/>
        <v>0.25420528705036982</v>
      </c>
      <c r="J208" s="18">
        <f t="shared" si="38"/>
        <v>4.6800000000000001E-3</v>
      </c>
      <c r="K208" s="18">
        <f t="shared" si="39"/>
        <v>-0.13</v>
      </c>
      <c r="L208" s="18">
        <f t="shared" si="40"/>
        <v>0.25420528705036982</v>
      </c>
      <c r="M208" s="18">
        <f t="shared" si="41"/>
        <v>4.6800000000000001E-3</v>
      </c>
      <c r="N208" s="18">
        <f t="shared" si="42"/>
        <v>-0.28132400744426278</v>
      </c>
      <c r="AK208" s="18">
        <f>IF(AND(ISNUMBER(C208),ISNUMBER(ENSO!F208)),C208-ENSO!F208,"")</f>
        <v>0.19000000000000006</v>
      </c>
      <c r="AL208" s="18">
        <f t="shared" si="44"/>
        <v>1975.375</v>
      </c>
      <c r="AM208" s="18">
        <f t="shared" si="45"/>
        <v>0.16000000000000014</v>
      </c>
    </row>
    <row r="209" spans="1:39">
      <c r="A209" s="18" t="str">
        <f>IF(Volcanic!A209="","",Volcanic!A209)</f>
        <v>6/1975</v>
      </c>
      <c r="B209" s="18">
        <f>IF(ISNUMBER(Volcanic!L209),Volcanic!L209,"")</f>
        <v>1975.4583333333333</v>
      </c>
      <c r="C209" s="21">
        <v>-0.78</v>
      </c>
      <c r="D209" s="18">
        <f t="shared" si="43"/>
        <v>-0.32</v>
      </c>
      <c r="E209" s="18">
        <f>IF(ISNUMBER(Volcanic!B209),Volcanic!B209,"")</f>
        <v>-9.9999999999980105E-3</v>
      </c>
      <c r="F209" s="18">
        <f>IF(ISNUMBER(Volcanic!C209),Volcanic!C209,"")</f>
        <v>0.25191381895195386</v>
      </c>
      <c r="G209" s="18">
        <f>IF(ISNUMBER(Volcanic!E209),Volcanic!E209,"")</f>
        <v>5.1799999999999997E-3</v>
      </c>
      <c r="H209" s="18">
        <f>IF(ISNUMBER(Volcanic!D209),Volcanic!D209,"")</f>
        <v>-0.61</v>
      </c>
      <c r="I209" s="18">
        <f t="shared" si="37"/>
        <v>0.25191381895195386</v>
      </c>
      <c r="J209" s="18">
        <f t="shared" si="38"/>
        <v>5.1799999999999997E-3</v>
      </c>
      <c r="K209" s="18">
        <f t="shared" si="39"/>
        <v>-0.32</v>
      </c>
      <c r="L209" s="18">
        <f t="shared" si="40"/>
        <v>0.25191381895195386</v>
      </c>
      <c r="M209" s="18">
        <f t="shared" si="41"/>
        <v>5.1799999999999997E-3</v>
      </c>
      <c r="N209" s="18">
        <f t="shared" si="42"/>
        <v>-0.47063398795366113</v>
      </c>
      <c r="AK209" s="18">
        <f>IF(AND(ISNUMBER(C209),ISNUMBER(ENSO!F209)),C209-ENSO!F209,"")</f>
        <v>0.14000000000000001</v>
      </c>
      <c r="AL209" s="18">
        <f t="shared" si="44"/>
        <v>1975.4583333333333</v>
      </c>
      <c r="AM209" s="18">
        <f t="shared" si="45"/>
        <v>-9.9999999999980105E-3</v>
      </c>
    </row>
    <row r="210" spans="1:39">
      <c r="A210" s="18" t="str">
        <f>IF(Volcanic!A210="","",Volcanic!A210)</f>
        <v>7/1975</v>
      </c>
      <c r="B210" s="18">
        <f>IF(ISNUMBER(Volcanic!L210),Volcanic!L210,"")</f>
        <v>1975.5416666666667</v>
      </c>
      <c r="C210" s="21">
        <v>-0.91</v>
      </c>
      <c r="D210" s="18">
        <f t="shared" si="43"/>
        <v>-0.47</v>
      </c>
      <c r="E210" s="18">
        <f>IF(ISNUMBER(Volcanic!B210),Volcanic!B210,"")</f>
        <v>-9.9999999999980105E-3</v>
      </c>
      <c r="F210" s="18">
        <f>IF(ISNUMBER(Volcanic!C210),Volcanic!C210,"")</f>
        <v>0.24562604450194436</v>
      </c>
      <c r="G210" s="18">
        <f>IF(ISNUMBER(Volcanic!E210),Volcanic!E210,"")</f>
        <v>5.13E-3</v>
      </c>
      <c r="H210" s="18">
        <f>IF(ISNUMBER(Volcanic!D210),Volcanic!D210,"")</f>
        <v>-0.66</v>
      </c>
      <c r="I210" s="18">
        <f t="shared" si="37"/>
        <v>0.24562604450194436</v>
      </c>
      <c r="J210" s="18">
        <f t="shared" si="38"/>
        <v>5.13E-3</v>
      </c>
      <c r="K210" s="18">
        <f t="shared" si="39"/>
        <v>-0.47</v>
      </c>
      <c r="L210" s="18">
        <f t="shared" si="40"/>
        <v>0.24562604450194436</v>
      </c>
      <c r="M210" s="18">
        <f t="shared" si="41"/>
        <v>5.13E-3</v>
      </c>
      <c r="N210" s="18">
        <f t="shared" si="42"/>
        <v>-0.61994396846306299</v>
      </c>
      <c r="AK210" s="18">
        <f>IF(AND(ISNUMBER(C210),ISNUMBER(ENSO!F210)),C210-ENSO!F210,"")</f>
        <v>0.17000000000000004</v>
      </c>
      <c r="AL210" s="18">
        <f t="shared" si="44"/>
        <v>1975.5416666666667</v>
      </c>
      <c r="AM210" s="18">
        <f t="shared" si="45"/>
        <v>-9.9999999999980105E-3</v>
      </c>
    </row>
    <row r="211" spans="1:39">
      <c r="A211" s="18" t="str">
        <f>IF(Volcanic!A211="","",Volcanic!A211)</f>
        <v>8/1975</v>
      </c>
      <c r="B211" s="18">
        <f>IF(ISNUMBER(Volcanic!L211),Volcanic!L211,"")</f>
        <v>1975.625</v>
      </c>
      <c r="C211" s="21">
        <v>-0.94</v>
      </c>
      <c r="D211" s="18">
        <f t="shared" si="43"/>
        <v>-0.61</v>
      </c>
      <c r="E211" s="18">
        <f>IF(ISNUMBER(Volcanic!B211),Volcanic!B211,"")</f>
        <v>-0.16999999999999638</v>
      </c>
      <c r="F211" s="18">
        <f>IF(ISNUMBER(Volcanic!C211),Volcanic!C211,"")</f>
        <v>0.23682059058160543</v>
      </c>
      <c r="G211" s="18">
        <f>IF(ISNUMBER(Volcanic!E211),Volcanic!E211,"")</f>
        <v>5.0000000000000001E-3</v>
      </c>
      <c r="H211" s="18">
        <f>IF(ISNUMBER(Volcanic!D211),Volcanic!D211,"")</f>
        <v>-0.8</v>
      </c>
      <c r="I211" s="18">
        <f t="shared" si="37"/>
        <v>0.23682059058160543</v>
      </c>
      <c r="J211" s="18">
        <f t="shared" si="38"/>
        <v>5.0000000000000001E-3</v>
      </c>
      <c r="K211" s="18">
        <f t="shared" si="39"/>
        <v>-0.61</v>
      </c>
      <c r="L211" s="18">
        <f t="shared" si="40"/>
        <v>0.23682059058160543</v>
      </c>
      <c r="M211" s="18">
        <f t="shared" si="41"/>
        <v>5.0000000000000001E-3</v>
      </c>
      <c r="N211" s="18">
        <f t="shared" si="42"/>
        <v>-0.7592539489724649</v>
      </c>
      <c r="AK211" s="18">
        <f>IF(AND(ISNUMBER(C211),ISNUMBER(ENSO!F211)),C211-ENSO!F211,"")</f>
        <v>0.18000000000000016</v>
      </c>
      <c r="AL211" s="18">
        <f t="shared" si="44"/>
        <v>1975.625</v>
      </c>
      <c r="AM211" s="18">
        <f t="shared" si="45"/>
        <v>-0.16999999999999638</v>
      </c>
    </row>
    <row r="212" spans="1:39">
      <c r="A212" s="18" t="str">
        <f>IF(Volcanic!A212="","",Volcanic!A212)</f>
        <v>9/1975</v>
      </c>
      <c r="B212" s="18">
        <f>IF(ISNUMBER(Volcanic!L212),Volcanic!L212,"")</f>
        <v>1975.7083333333333</v>
      </c>
      <c r="C212" s="21">
        <v>-1.05</v>
      </c>
      <c r="D212" s="18">
        <f t="shared" si="43"/>
        <v>-0.78</v>
      </c>
      <c r="E212" s="18">
        <f>IF(ISNUMBER(Volcanic!B212),Volcanic!B212,"")</f>
        <v>-1.9999999999999574E-2</v>
      </c>
      <c r="F212" s="18">
        <f>IF(ISNUMBER(Volcanic!C212),Volcanic!C212,"")</f>
        <v>0.23042262505163516</v>
      </c>
      <c r="G212" s="18">
        <f>IF(ISNUMBER(Volcanic!E212),Volcanic!E212,"")</f>
        <v>4.8300000000000001E-3</v>
      </c>
      <c r="H212" s="18">
        <f>IF(ISNUMBER(Volcanic!D212),Volcanic!D212,"")</f>
        <v>-0.92</v>
      </c>
      <c r="I212" s="18">
        <f t="shared" si="37"/>
        <v>0.23042262505163516</v>
      </c>
      <c r="J212" s="18">
        <f t="shared" si="38"/>
        <v>4.8300000000000001E-3</v>
      </c>
      <c r="K212" s="18">
        <f t="shared" si="39"/>
        <v>-0.78</v>
      </c>
      <c r="L212" s="18">
        <f t="shared" si="40"/>
        <v>0.23042262505163516</v>
      </c>
      <c r="M212" s="18">
        <f t="shared" si="41"/>
        <v>4.8300000000000001E-3</v>
      </c>
      <c r="N212" s="18">
        <f t="shared" si="42"/>
        <v>-0.92856392948186683</v>
      </c>
      <c r="AK212" s="18">
        <f>IF(AND(ISNUMBER(C212),ISNUMBER(ENSO!F212)),C212-ENSO!F212,"")</f>
        <v>0.24</v>
      </c>
      <c r="AL212" s="18">
        <f t="shared" si="44"/>
        <v>1975.7083333333333</v>
      </c>
      <c r="AM212" s="18">
        <f t="shared" si="45"/>
        <v>-1.9999999999999574E-2</v>
      </c>
    </row>
    <row r="213" spans="1:39">
      <c r="A213" s="18" t="str">
        <f>IF(Volcanic!A213="","",Volcanic!A213)</f>
        <v>10/1975</v>
      </c>
      <c r="B213" s="18">
        <f>IF(ISNUMBER(Volcanic!L213),Volcanic!L213,"")</f>
        <v>1975.7916666666667</v>
      </c>
      <c r="C213" s="21">
        <v>-1.03</v>
      </c>
      <c r="D213" s="18">
        <f t="shared" si="43"/>
        <v>-0.91</v>
      </c>
      <c r="E213" s="18">
        <f>IF(ISNUMBER(Volcanic!B213),Volcanic!B213,"")</f>
        <v>-0.10999999999999766</v>
      </c>
      <c r="F213" s="18">
        <f>IF(ISNUMBER(Volcanic!C213),Volcanic!C213,"")</f>
        <v>0.22985156512086161</v>
      </c>
      <c r="G213" s="18">
        <f>IF(ISNUMBER(Volcanic!E213),Volcanic!E213,"")</f>
        <v>4.7099999999999998E-3</v>
      </c>
      <c r="H213" s="18">
        <f>IF(ISNUMBER(Volcanic!D213),Volcanic!D213,"")</f>
        <v>-1.08</v>
      </c>
      <c r="I213" s="18">
        <f t="shared" si="37"/>
        <v>0.22985156512086161</v>
      </c>
      <c r="J213" s="18">
        <f t="shared" si="38"/>
        <v>4.7099999999999998E-3</v>
      </c>
      <c r="K213" s="18">
        <f t="shared" si="39"/>
        <v>-0.91</v>
      </c>
      <c r="L213" s="18">
        <f t="shared" si="40"/>
        <v>0.22985156512086161</v>
      </c>
      <c r="M213" s="18">
        <f t="shared" si="41"/>
        <v>4.7099999999999998E-3</v>
      </c>
      <c r="N213" s="18">
        <f t="shared" si="42"/>
        <v>-1.0578739099912653</v>
      </c>
      <c r="AK213" s="18">
        <f>IF(AND(ISNUMBER(C213),ISNUMBER(ENSO!F213)),C213-ENSO!F213,"")</f>
        <v>0.29000000000000004</v>
      </c>
      <c r="AL213" s="18">
        <f t="shared" si="44"/>
        <v>1975.7916666666667</v>
      </c>
      <c r="AM213" s="18">
        <f t="shared" si="45"/>
        <v>-0.10999999999999766</v>
      </c>
    </row>
    <row r="214" spans="1:39">
      <c r="A214" s="18" t="str">
        <f>IF(Volcanic!A214="","",Volcanic!A214)</f>
        <v>11/1975</v>
      </c>
      <c r="B214" s="18">
        <f>IF(ISNUMBER(Volcanic!L214),Volcanic!L214,"")</f>
        <v>1975.875</v>
      </c>
      <c r="C214" s="21">
        <v>-1.08</v>
      </c>
      <c r="D214" s="18">
        <f t="shared" si="43"/>
        <v>-0.94</v>
      </c>
      <c r="E214" s="18">
        <f>IF(ISNUMBER(Volcanic!B214),Volcanic!B214,"")</f>
        <v>-0.16999999999999638</v>
      </c>
      <c r="F214" s="18">
        <f>IF(ISNUMBER(Volcanic!C214),Volcanic!C214,"")</f>
        <v>0.2343261299073639</v>
      </c>
      <c r="G214" s="18">
        <f>IF(ISNUMBER(Volcanic!E214),Volcanic!E214,"")</f>
        <v>4.6800000000000001E-3</v>
      </c>
      <c r="H214" s="18">
        <f>IF(ISNUMBER(Volcanic!D214),Volcanic!D214,"")</f>
        <v>-1.1200000000000001</v>
      </c>
      <c r="I214" s="18">
        <f t="shared" si="37"/>
        <v>0.2343261299073639</v>
      </c>
      <c r="J214" s="18">
        <f t="shared" si="38"/>
        <v>4.6800000000000001E-3</v>
      </c>
      <c r="K214" s="18">
        <f t="shared" si="39"/>
        <v>-0.94</v>
      </c>
      <c r="L214" s="18">
        <f t="shared" si="40"/>
        <v>0.2343261299073639</v>
      </c>
      <c r="M214" s="18">
        <f t="shared" si="41"/>
        <v>4.6800000000000001E-3</v>
      </c>
      <c r="N214" s="18">
        <f t="shared" si="42"/>
        <v>-1.087183890500667</v>
      </c>
      <c r="AK214" s="18">
        <f>IF(AND(ISNUMBER(C214),ISNUMBER(ENSO!F214)),C214-ENSO!F214,"")</f>
        <v>0.3899999999999999</v>
      </c>
      <c r="AL214" s="18">
        <f t="shared" si="44"/>
        <v>1975.875</v>
      </c>
      <c r="AM214" s="18">
        <f t="shared" si="45"/>
        <v>-0.16999999999999638</v>
      </c>
    </row>
    <row r="215" spans="1:39">
      <c r="A215" s="18" t="str">
        <f>IF(Volcanic!A215="","",Volcanic!A215)</f>
        <v>12/1975</v>
      </c>
      <c r="B215" s="18">
        <f>IF(ISNUMBER(Volcanic!L215),Volcanic!L215,"")</f>
        <v>1975.9583333333333</v>
      </c>
      <c r="C215" s="21">
        <v>-1.1200000000000001</v>
      </c>
      <c r="D215" s="18">
        <f t="shared" si="43"/>
        <v>-1.05</v>
      </c>
      <c r="E215" s="18">
        <f>IF(ISNUMBER(Volcanic!B215),Volcanic!B215,"")</f>
        <v>-0.16999999999999638</v>
      </c>
      <c r="F215" s="18">
        <f>IF(ISNUMBER(Volcanic!C215),Volcanic!C215,"")</f>
        <v>0.24040156449160882</v>
      </c>
      <c r="G215" s="18">
        <f>IF(ISNUMBER(Volcanic!E215),Volcanic!E215,"")</f>
        <v>4.6699999999999997E-3</v>
      </c>
      <c r="H215" s="18">
        <f>IF(ISNUMBER(Volcanic!D215),Volcanic!D215,"")</f>
        <v>-1.29</v>
      </c>
      <c r="I215" s="18">
        <f t="shared" si="37"/>
        <v>0.24040156449160882</v>
      </c>
      <c r="J215" s="18">
        <f t="shared" si="38"/>
        <v>4.6699999999999997E-3</v>
      </c>
      <c r="K215" s="18">
        <f t="shared" si="39"/>
        <v>-1.05</v>
      </c>
      <c r="L215" s="18">
        <f t="shared" si="40"/>
        <v>0.24040156449160882</v>
      </c>
      <c r="M215" s="18">
        <f t="shared" si="41"/>
        <v>4.6699999999999997E-3</v>
      </c>
      <c r="N215" s="18">
        <f t="shared" si="42"/>
        <v>-1.196493871010069</v>
      </c>
      <c r="AK215" s="18">
        <f>IF(AND(ISNUMBER(C215),ISNUMBER(ENSO!F215)),C215-ENSO!F215,"")</f>
        <v>0.45999999999999996</v>
      </c>
      <c r="AL215" s="18">
        <f t="shared" si="44"/>
        <v>1975.9583333333333</v>
      </c>
      <c r="AM215" s="18">
        <f t="shared" si="45"/>
        <v>-0.16999999999999638</v>
      </c>
    </row>
    <row r="216" spans="1:39">
      <c r="A216" s="18" t="str">
        <f>IF(Volcanic!A216="","",Volcanic!A216)</f>
        <v>1/1976</v>
      </c>
      <c r="B216" s="18">
        <f>IF(ISNUMBER(Volcanic!L216),Volcanic!L216,"")</f>
        <v>1976.0416666666667</v>
      </c>
      <c r="C216" s="21">
        <v>-1.03</v>
      </c>
      <c r="D216" s="18">
        <f t="shared" si="43"/>
        <v>-1.03</v>
      </c>
      <c r="E216" s="18">
        <f>IF(ISNUMBER(Volcanic!B216),Volcanic!B216,"")</f>
        <v>-2.9999999999999361E-2</v>
      </c>
      <c r="F216" s="18">
        <f>IF(ISNUMBER(Volcanic!C216),Volcanic!C216,"")</f>
        <v>0.2438431408139568</v>
      </c>
      <c r="G216" s="18">
        <f>IF(ISNUMBER(Volcanic!E216),Volcanic!E216,"")</f>
        <v>4.6800000000000001E-3</v>
      </c>
      <c r="H216" s="18">
        <f>IF(ISNUMBER(Volcanic!D216),Volcanic!D216,"")</f>
        <v>-1.32</v>
      </c>
      <c r="I216" s="18">
        <f t="shared" si="37"/>
        <v>0.2438431408139568</v>
      </c>
      <c r="J216" s="18">
        <f t="shared" si="38"/>
        <v>4.6800000000000001E-3</v>
      </c>
      <c r="K216" s="18">
        <f t="shared" si="39"/>
        <v>-1.03</v>
      </c>
      <c r="L216" s="18">
        <f t="shared" si="40"/>
        <v>0.2438431408139568</v>
      </c>
      <c r="M216" s="18">
        <f t="shared" si="41"/>
        <v>4.6800000000000001E-3</v>
      </c>
      <c r="N216" s="18">
        <f t="shared" si="42"/>
        <v>-1.1758038515194673</v>
      </c>
      <c r="AK216" s="18">
        <f>IF(AND(ISNUMBER(C216),ISNUMBER(ENSO!F216)),C216-ENSO!F216,"")</f>
        <v>0.45999999999999996</v>
      </c>
      <c r="AL216" s="18">
        <f t="shared" si="44"/>
        <v>1976.0416666666667</v>
      </c>
      <c r="AM216" s="18">
        <f t="shared" si="45"/>
        <v>-2.9999999999999361E-2</v>
      </c>
    </row>
    <row r="217" spans="1:39">
      <c r="A217" s="18" t="str">
        <f>IF(Volcanic!A217="","",Volcanic!A217)</f>
        <v>2/1976</v>
      </c>
      <c r="B217" s="18">
        <f>IF(ISNUMBER(Volcanic!L217),Volcanic!L217,"")</f>
        <v>1976.125</v>
      </c>
      <c r="C217" s="21">
        <v>-0.65</v>
      </c>
      <c r="D217" s="18">
        <f t="shared" si="43"/>
        <v>-1.08</v>
      </c>
      <c r="E217" s="18">
        <f>IF(ISNUMBER(Volcanic!B217),Volcanic!B217,"")</f>
        <v>-6.0000000000000497E-2</v>
      </c>
      <c r="F217" s="18">
        <f>IF(ISNUMBER(Volcanic!C217),Volcanic!C217,"")</f>
        <v>0.24896848158992504</v>
      </c>
      <c r="G217" s="18">
        <f>IF(ISNUMBER(Volcanic!E217),Volcanic!E217,"")</f>
        <v>5.0499999999999998E-3</v>
      </c>
      <c r="H217" s="18">
        <f>IF(ISNUMBER(Volcanic!D217),Volcanic!D217,"")</f>
        <v>-1.47</v>
      </c>
      <c r="I217" s="18">
        <f t="shared" si="37"/>
        <v>0.24896848158992504</v>
      </c>
      <c r="J217" s="18">
        <f t="shared" si="38"/>
        <v>5.0499999999999998E-3</v>
      </c>
      <c r="K217" s="18">
        <f t="shared" si="39"/>
        <v>-1.08</v>
      </c>
      <c r="L217" s="18">
        <f t="shared" si="40"/>
        <v>0.24896848158992504</v>
      </c>
      <c r="M217" s="18">
        <f t="shared" si="41"/>
        <v>5.0499999999999998E-3</v>
      </c>
      <c r="N217" s="18">
        <f t="shared" si="42"/>
        <v>-1.2251138320288693</v>
      </c>
      <c r="AK217" s="18">
        <f>IF(AND(ISNUMBER(C217),ISNUMBER(ENSO!F217)),C217-ENSO!F217,"")</f>
        <v>0.46000000000000008</v>
      </c>
      <c r="AL217" s="18">
        <f t="shared" si="44"/>
        <v>1976.125</v>
      </c>
      <c r="AM217" s="18">
        <f t="shared" si="45"/>
        <v>-6.0000000000000497E-2</v>
      </c>
    </row>
    <row r="218" spans="1:39">
      <c r="A218" s="18" t="str">
        <f>IF(Volcanic!A218="","",Volcanic!A218)</f>
        <v>3/1976</v>
      </c>
      <c r="B218" s="18">
        <f>IF(ISNUMBER(Volcanic!L218),Volcanic!L218,"")</f>
        <v>1976.2083333333333</v>
      </c>
      <c r="C218" s="21">
        <v>-0.3</v>
      </c>
      <c r="D218" s="18">
        <f t="shared" si="43"/>
        <v>-1.1200000000000001</v>
      </c>
      <c r="E218" s="18">
        <f>IF(ISNUMBER(Volcanic!B218),Volcanic!B218,"")</f>
        <v>-0.21999999999999886</v>
      </c>
      <c r="F218" s="18">
        <f>IF(ISNUMBER(Volcanic!C218),Volcanic!C218,"")</f>
        <v>0.25165417798285766</v>
      </c>
      <c r="G218" s="18">
        <f>IF(ISNUMBER(Volcanic!E218),Volcanic!E218,"")</f>
        <v>5.5100000000000001E-3</v>
      </c>
      <c r="H218" s="18">
        <f>IF(ISNUMBER(Volcanic!D218),Volcanic!D218,"")</f>
        <v>-1.58</v>
      </c>
      <c r="I218" s="18">
        <f t="shared" si="37"/>
        <v>0.25165417798285766</v>
      </c>
      <c r="J218" s="18">
        <f t="shared" si="38"/>
        <v>5.5100000000000001E-3</v>
      </c>
      <c r="K218" s="18">
        <f t="shared" si="39"/>
        <v>-1.1200000000000001</v>
      </c>
      <c r="L218" s="18">
        <f t="shared" si="40"/>
        <v>0.25165417798285766</v>
      </c>
      <c r="M218" s="18">
        <f t="shared" si="41"/>
        <v>5.5100000000000001E-3</v>
      </c>
      <c r="N218" s="18">
        <f t="shared" si="42"/>
        <v>-1.2644238125382712</v>
      </c>
      <c r="AK218" s="18">
        <f>IF(AND(ISNUMBER(C218),ISNUMBER(ENSO!F218)),C218-ENSO!F218,"")</f>
        <v>0.35000000000000003</v>
      </c>
      <c r="AL218" s="18">
        <f t="shared" si="44"/>
        <v>1976.2083333333333</v>
      </c>
      <c r="AM218" s="18">
        <f t="shared" si="45"/>
        <v>-0.21999999999999886</v>
      </c>
    </row>
    <row r="219" spans="1:39">
      <c r="A219" s="18" t="str">
        <f>IF(Volcanic!A219="","",Volcanic!A219)</f>
        <v>4/1976</v>
      </c>
      <c r="B219" s="18">
        <f>IF(ISNUMBER(Volcanic!L219),Volcanic!L219,"")</f>
        <v>1976.2916666666667</v>
      </c>
      <c r="C219" s="21">
        <v>-0.11</v>
      </c>
      <c r="D219" s="18">
        <f t="shared" si="43"/>
        <v>-1.03</v>
      </c>
      <c r="E219" s="18">
        <f>IF(ISNUMBER(Volcanic!B219),Volcanic!B219,"")</f>
        <v>-7.0000000000000284E-2</v>
      </c>
      <c r="F219" s="18">
        <f>IF(ISNUMBER(Volcanic!C219),Volcanic!C219,"")</f>
        <v>0.25761413004954092</v>
      </c>
      <c r="G219" s="18">
        <f>IF(ISNUMBER(Volcanic!E219),Volcanic!E219,"")</f>
        <v>5.5500000000000002E-3</v>
      </c>
      <c r="H219" s="18">
        <f>IF(ISNUMBER(Volcanic!D219),Volcanic!D219,"")</f>
        <v>-1.49</v>
      </c>
      <c r="I219" s="18">
        <f t="shared" si="37"/>
        <v>0.25761413004954092</v>
      </c>
      <c r="J219" s="18">
        <f t="shared" si="38"/>
        <v>5.5500000000000002E-3</v>
      </c>
      <c r="K219" s="18">
        <f t="shared" si="39"/>
        <v>-1.03</v>
      </c>
      <c r="L219" s="18">
        <f t="shared" si="40"/>
        <v>0.25761413004954092</v>
      </c>
      <c r="M219" s="18">
        <f t="shared" si="41"/>
        <v>5.5500000000000002E-3</v>
      </c>
      <c r="N219" s="18">
        <f t="shared" si="42"/>
        <v>-1.1737337930476694</v>
      </c>
      <c r="AK219" s="18">
        <f>IF(AND(ISNUMBER(C219),ISNUMBER(ENSO!F219)),C219-ENSO!F219,"")</f>
        <v>0.34</v>
      </c>
      <c r="AL219" s="18">
        <f t="shared" si="44"/>
        <v>1976.2916666666667</v>
      </c>
      <c r="AM219" s="18">
        <f t="shared" si="45"/>
        <v>-7.0000000000000284E-2</v>
      </c>
    </row>
    <row r="220" spans="1:39">
      <c r="A220" s="18" t="str">
        <f>IF(Volcanic!A220="","",Volcanic!A220)</f>
        <v>5/1976</v>
      </c>
      <c r="B220" s="18">
        <f>IF(ISNUMBER(Volcanic!L220),Volcanic!L220,"")</f>
        <v>1976.375</v>
      </c>
      <c r="C220" s="21">
        <v>0</v>
      </c>
      <c r="D220" s="18">
        <f t="shared" si="43"/>
        <v>-0.65</v>
      </c>
      <c r="E220" s="18">
        <f>IF(ISNUMBER(Volcanic!B220),Volcanic!B220,"")</f>
        <v>-0.19999999999999751</v>
      </c>
      <c r="F220" s="18">
        <f>IF(ISNUMBER(Volcanic!C220),Volcanic!C220,"")</f>
        <v>0.25752792952725034</v>
      </c>
      <c r="G220" s="18">
        <f>IF(ISNUMBER(Volcanic!E220),Volcanic!E220,"")</f>
        <v>5.5300000000000002E-3</v>
      </c>
      <c r="H220" s="18">
        <f>IF(ISNUMBER(Volcanic!D220),Volcanic!D220,"")</f>
        <v>-1.1100000000000001</v>
      </c>
      <c r="I220" s="18">
        <f t="shared" si="37"/>
        <v>0.25752792952725034</v>
      </c>
      <c r="J220" s="18">
        <f t="shared" si="38"/>
        <v>5.5300000000000002E-3</v>
      </c>
      <c r="K220" s="18">
        <f t="shared" si="39"/>
        <v>-0.65</v>
      </c>
      <c r="L220" s="18">
        <f t="shared" si="40"/>
        <v>0.25752792952725034</v>
      </c>
      <c r="M220" s="18">
        <f t="shared" si="41"/>
        <v>5.5300000000000002E-3</v>
      </c>
      <c r="N220" s="18">
        <f t="shared" si="42"/>
        <v>-0.79304377355707134</v>
      </c>
      <c r="AK220" s="18">
        <f>IF(AND(ISNUMBER(C220),ISNUMBER(ENSO!F220)),C220-ENSO!F220,"")</f>
        <v>0.23</v>
      </c>
      <c r="AL220" s="18">
        <f t="shared" si="44"/>
        <v>1976.375</v>
      </c>
      <c r="AM220" s="18">
        <f t="shared" si="45"/>
        <v>-0.19999999999999751</v>
      </c>
    </row>
    <row r="221" spans="1:39">
      <c r="A221" s="18" t="str">
        <f>IF(Volcanic!A221="","",Volcanic!A221)</f>
        <v>6/1976</v>
      </c>
      <c r="B221" s="18">
        <f>IF(ISNUMBER(Volcanic!L221),Volcanic!L221,"")</f>
        <v>1976.4583333333333</v>
      </c>
      <c r="C221" s="21">
        <v>0.23</v>
      </c>
      <c r="D221" s="18">
        <f t="shared" si="43"/>
        <v>-0.3</v>
      </c>
      <c r="E221" s="18">
        <f>IF(ISNUMBER(Volcanic!B221),Volcanic!B221,"")</f>
        <v>-0.11999999999999744</v>
      </c>
      <c r="F221" s="18">
        <f>IF(ISNUMBER(Volcanic!C221),Volcanic!C221,"")</f>
        <v>0.25429168632221816</v>
      </c>
      <c r="G221" s="18">
        <f>IF(ISNUMBER(Volcanic!E221),Volcanic!E221,"")</f>
        <v>5.3299999999999997E-3</v>
      </c>
      <c r="H221" s="18">
        <f>IF(ISNUMBER(Volcanic!D221),Volcanic!D221,"")</f>
        <v>-0.65</v>
      </c>
      <c r="I221" s="18">
        <f t="shared" si="37"/>
        <v>0.25429168632221816</v>
      </c>
      <c r="J221" s="18">
        <f t="shared" si="38"/>
        <v>5.3299999999999997E-3</v>
      </c>
      <c r="K221" s="18">
        <f t="shared" si="39"/>
        <v>-0.3</v>
      </c>
      <c r="L221" s="18">
        <f t="shared" si="40"/>
        <v>0.25429168632221816</v>
      </c>
      <c r="M221" s="18">
        <f t="shared" si="41"/>
        <v>5.3299999999999997E-3</v>
      </c>
      <c r="N221" s="18">
        <f t="shared" si="42"/>
        <v>-0.4423537540664732</v>
      </c>
      <c r="AK221" s="18">
        <f>IF(AND(ISNUMBER(C221),ISNUMBER(ENSO!F221)),C221-ENSO!F221,"")</f>
        <v>0.23</v>
      </c>
      <c r="AL221" s="18">
        <f t="shared" si="44"/>
        <v>1976.4583333333333</v>
      </c>
      <c r="AM221" s="18">
        <f t="shared" si="45"/>
        <v>-0.11999999999999744</v>
      </c>
    </row>
    <row r="222" spans="1:39">
      <c r="A222" s="18" t="str">
        <f>IF(Volcanic!A222="","",Volcanic!A222)</f>
        <v>7/1976</v>
      </c>
      <c r="B222" s="18">
        <f>IF(ISNUMBER(Volcanic!L222),Volcanic!L222,"")</f>
        <v>1976.5416666666667</v>
      </c>
      <c r="C222" s="21">
        <v>0.46</v>
      </c>
      <c r="D222" s="18">
        <f t="shared" si="43"/>
        <v>-0.11</v>
      </c>
      <c r="E222" s="18">
        <f>IF(ISNUMBER(Volcanic!B222),Volcanic!B222,"")</f>
        <v>-0.10000000000000142</v>
      </c>
      <c r="F222" s="18">
        <f>IF(ISNUMBER(Volcanic!C222),Volcanic!C222,"")</f>
        <v>0.2504419019033377</v>
      </c>
      <c r="G222" s="18">
        <f>IF(ISNUMBER(Volcanic!E222),Volcanic!E222,"")</f>
        <v>5.1000000000000004E-3</v>
      </c>
      <c r="H222" s="18">
        <f>IF(ISNUMBER(Volcanic!D222),Volcanic!D222,"")</f>
        <v>-0.45</v>
      </c>
      <c r="I222" s="18">
        <f t="shared" si="37"/>
        <v>0.2504419019033377</v>
      </c>
      <c r="J222" s="18">
        <f t="shared" si="38"/>
        <v>5.1000000000000004E-3</v>
      </c>
      <c r="K222" s="18">
        <f t="shared" si="39"/>
        <v>-0.11</v>
      </c>
      <c r="L222" s="18">
        <f t="shared" si="40"/>
        <v>0.2504419019033377</v>
      </c>
      <c r="M222" s="18">
        <f t="shared" si="41"/>
        <v>5.1000000000000004E-3</v>
      </c>
      <c r="N222" s="18">
        <f t="shared" si="42"/>
        <v>-0.2516637345758751</v>
      </c>
      <c r="AK222" s="18">
        <f>IF(AND(ISNUMBER(C222),ISNUMBER(ENSO!F222)),C222-ENSO!F222,"")</f>
        <v>0.23</v>
      </c>
      <c r="AL222" s="18">
        <f t="shared" si="44"/>
        <v>1976.5416666666667</v>
      </c>
      <c r="AM222" s="18">
        <f t="shared" si="45"/>
        <v>-0.10000000000000142</v>
      </c>
    </row>
    <row r="223" spans="1:39">
      <c r="A223" s="18" t="str">
        <f>IF(Volcanic!A223="","",Volcanic!A223)</f>
        <v>8/1976</v>
      </c>
      <c r="B223" s="18">
        <f>IF(ISNUMBER(Volcanic!L223),Volcanic!L223,"")</f>
        <v>1976.625</v>
      </c>
      <c r="C223" s="21">
        <v>0.67</v>
      </c>
      <c r="D223" s="18">
        <f t="shared" si="43"/>
        <v>0</v>
      </c>
      <c r="E223" s="18">
        <f>IF(ISNUMBER(Volcanic!B223),Volcanic!B223,"")</f>
        <v>-0.11999999999999744</v>
      </c>
      <c r="F223" s="18">
        <f>IF(ISNUMBER(Volcanic!C223),Volcanic!C223,"")</f>
        <v>0.24000896473507025</v>
      </c>
      <c r="G223" s="18">
        <f>IF(ISNUMBER(Volcanic!E223),Volcanic!E223,"")</f>
        <v>4.8900000000000002E-3</v>
      </c>
      <c r="H223" s="18">
        <f>IF(ISNUMBER(Volcanic!D223),Volcanic!D223,"")</f>
        <v>-0.23</v>
      </c>
      <c r="I223" s="18">
        <f t="shared" si="37"/>
        <v>0.24000896473507025</v>
      </c>
      <c r="J223" s="18">
        <f t="shared" si="38"/>
        <v>4.8900000000000002E-3</v>
      </c>
      <c r="K223" s="18">
        <f t="shared" si="39"/>
        <v>0</v>
      </c>
      <c r="L223" s="18">
        <f t="shared" si="40"/>
        <v>0.24000896473507025</v>
      </c>
      <c r="M223" s="18">
        <f t="shared" si="41"/>
        <v>4.8900000000000002E-3</v>
      </c>
      <c r="N223" s="18">
        <f t="shared" si="42"/>
        <v>-0.14097371508527701</v>
      </c>
      <c r="AK223" s="18">
        <f>IF(AND(ISNUMBER(C223),ISNUMBER(ENSO!F223)),C223-ENSO!F223,"")</f>
        <v>0.27</v>
      </c>
      <c r="AL223" s="18">
        <f t="shared" si="44"/>
        <v>1976.625</v>
      </c>
      <c r="AM223" s="18">
        <f t="shared" si="45"/>
        <v>-0.11999999999999744</v>
      </c>
    </row>
    <row r="224" spans="1:39">
      <c r="A224" s="18" t="str">
        <f>IF(Volcanic!A224="","",Volcanic!A224)</f>
        <v>9/1976</v>
      </c>
      <c r="B224" s="18">
        <f>IF(ISNUMBER(Volcanic!L224),Volcanic!L224,"")</f>
        <v>1976.7083333333333</v>
      </c>
      <c r="C224" s="21">
        <v>0.94</v>
      </c>
      <c r="D224" s="18">
        <f t="shared" si="43"/>
        <v>0.23</v>
      </c>
      <c r="E224" s="18">
        <f>IF(ISNUMBER(Volcanic!B224),Volcanic!B224,"")</f>
        <v>-6.0000000000000497E-2</v>
      </c>
      <c r="F224" s="18">
        <f>IF(ISNUMBER(Volcanic!C224),Volcanic!C224,"")</f>
        <v>0.23248534247418692</v>
      </c>
      <c r="G224" s="18">
        <f>IF(ISNUMBER(Volcanic!E224),Volcanic!E224,"")</f>
        <v>5.3499999999999997E-3</v>
      </c>
      <c r="H224" s="18">
        <f>IF(ISNUMBER(Volcanic!D224),Volcanic!D224,"")</f>
        <v>0</v>
      </c>
      <c r="I224" s="18">
        <f t="shared" si="37"/>
        <v>0.23248534247418692</v>
      </c>
      <c r="J224" s="18">
        <f t="shared" si="38"/>
        <v>5.3499999999999997E-3</v>
      </c>
      <c r="K224" s="18">
        <f t="shared" si="39"/>
        <v>0.23</v>
      </c>
      <c r="L224" s="18">
        <f t="shared" si="40"/>
        <v>0.23248534247418692</v>
      </c>
      <c r="M224" s="18">
        <f t="shared" si="41"/>
        <v>5.3499999999999997E-3</v>
      </c>
      <c r="N224" s="18">
        <f t="shared" si="42"/>
        <v>8.9716304405321107E-2</v>
      </c>
      <c r="AK224" s="18">
        <f>IF(AND(ISNUMBER(C224),ISNUMBER(ENSO!F224)),C224-ENSO!F224,"")</f>
        <v>0.33999999999999997</v>
      </c>
      <c r="AL224" s="18">
        <f t="shared" si="44"/>
        <v>1976.7083333333333</v>
      </c>
      <c r="AM224" s="18">
        <f t="shared" si="45"/>
        <v>-6.0000000000000497E-2</v>
      </c>
    </row>
    <row r="225" spans="1:39">
      <c r="A225" s="18" t="str">
        <f>IF(Volcanic!A225="","",Volcanic!A225)</f>
        <v>10/1976</v>
      </c>
      <c r="B225" s="18">
        <f>IF(ISNUMBER(Volcanic!L225),Volcanic!L225,"")</f>
        <v>1976.7916666666667</v>
      </c>
      <c r="C225" s="21">
        <v>1.1000000000000001</v>
      </c>
      <c r="D225" s="18">
        <f t="shared" si="43"/>
        <v>0.46</v>
      </c>
      <c r="E225" s="18">
        <f>IF(ISNUMBER(Volcanic!B225),Volcanic!B225,"")</f>
        <v>-0.24000000000000021</v>
      </c>
      <c r="F225" s="18">
        <f>IF(ISNUMBER(Volcanic!C225),Volcanic!C225,"")</f>
        <v>0.23143240844796537</v>
      </c>
      <c r="G225" s="18">
        <f>IF(ISNUMBER(Volcanic!E225),Volcanic!E225,"")</f>
        <v>5.3E-3</v>
      </c>
      <c r="H225" s="18">
        <f>IF(ISNUMBER(Volcanic!D225),Volcanic!D225,"")</f>
        <v>0.23</v>
      </c>
      <c r="I225" s="18">
        <f t="shared" si="37"/>
        <v>0.23143240844796537</v>
      </c>
      <c r="J225" s="18">
        <f t="shared" si="38"/>
        <v>5.3E-3</v>
      </c>
      <c r="K225" s="18">
        <f t="shared" si="39"/>
        <v>0.46</v>
      </c>
      <c r="L225" s="18">
        <f t="shared" si="40"/>
        <v>0.23143240844796537</v>
      </c>
      <c r="M225" s="18">
        <f t="shared" si="41"/>
        <v>5.3E-3</v>
      </c>
      <c r="N225" s="18">
        <f t="shared" si="42"/>
        <v>0.32040632389592277</v>
      </c>
      <c r="AK225" s="18">
        <f>IF(AND(ISNUMBER(C225),ISNUMBER(ENSO!F225)),C225-ENSO!F225,"")</f>
        <v>0.31000000000000005</v>
      </c>
      <c r="AL225" s="18">
        <f t="shared" si="44"/>
        <v>1976.7916666666667</v>
      </c>
      <c r="AM225" s="18">
        <f t="shared" si="45"/>
        <v>-0.24000000000000021</v>
      </c>
    </row>
    <row r="226" spans="1:39">
      <c r="A226" s="18" t="str">
        <f>IF(Volcanic!A226="","",Volcanic!A226)</f>
        <v>11/1976</v>
      </c>
      <c r="B226" s="18">
        <f>IF(ISNUMBER(Volcanic!L226),Volcanic!L226,"")</f>
        <v>1976.875</v>
      </c>
      <c r="C226" s="21">
        <v>1.1299999999999999</v>
      </c>
      <c r="D226" s="18">
        <f t="shared" si="43"/>
        <v>0.67</v>
      </c>
      <c r="E226" s="18">
        <f>IF(ISNUMBER(Volcanic!B226),Volcanic!B226,"")</f>
        <v>-6.0000000000000497E-2</v>
      </c>
      <c r="F226" s="18">
        <f>IF(ISNUMBER(Volcanic!C226),Volcanic!C226,"")</f>
        <v>0.23773851628734363</v>
      </c>
      <c r="G226" s="18">
        <f>IF(ISNUMBER(Volcanic!E226),Volcanic!E226,"")</f>
        <v>5.2100000000000002E-3</v>
      </c>
      <c r="H226" s="18">
        <f>IF(ISNUMBER(Volcanic!D226),Volcanic!D226,"")</f>
        <v>0.4</v>
      </c>
      <c r="I226" s="18">
        <f t="shared" si="37"/>
        <v>0.23773851628734363</v>
      </c>
      <c r="J226" s="18">
        <f t="shared" si="38"/>
        <v>5.2100000000000002E-3</v>
      </c>
      <c r="K226" s="18">
        <f t="shared" si="39"/>
        <v>0.67</v>
      </c>
      <c r="L226" s="18">
        <f t="shared" si="40"/>
        <v>0.23773851628734363</v>
      </c>
      <c r="M226" s="18">
        <f t="shared" si="41"/>
        <v>5.2100000000000002E-3</v>
      </c>
      <c r="N226" s="18">
        <f t="shared" si="42"/>
        <v>0.5310963433865209</v>
      </c>
      <c r="AK226" s="18">
        <f>IF(AND(ISNUMBER(C226),ISNUMBER(ENSO!F226)),C226-ENSO!F226,"")</f>
        <v>0.31999999999999984</v>
      </c>
      <c r="AL226" s="18">
        <f t="shared" si="44"/>
        <v>1976.875</v>
      </c>
      <c r="AM226" s="18">
        <f t="shared" si="45"/>
        <v>-6.0000000000000497E-2</v>
      </c>
    </row>
    <row r="227" spans="1:39">
      <c r="A227" s="18" t="str">
        <f>IF(Volcanic!A227="","",Volcanic!A227)</f>
        <v>12/1976</v>
      </c>
      <c r="B227" s="18">
        <f>IF(ISNUMBER(Volcanic!L227),Volcanic!L227,"")</f>
        <v>1976.9583333333333</v>
      </c>
      <c r="C227" s="21">
        <v>1.1299999999999999</v>
      </c>
      <c r="D227" s="18">
        <f t="shared" si="43"/>
        <v>0.94</v>
      </c>
      <c r="E227" s="18">
        <f>IF(ISNUMBER(Volcanic!B227),Volcanic!B227,"")</f>
        <v>0.10999999999999766</v>
      </c>
      <c r="F227" s="18">
        <f>IF(ISNUMBER(Volcanic!C227),Volcanic!C227,"")</f>
        <v>0.24410419121562613</v>
      </c>
      <c r="G227" s="18">
        <f>IF(ISNUMBER(Volcanic!E227),Volcanic!E227,"")</f>
        <v>5.11E-3</v>
      </c>
      <c r="H227" s="18">
        <f>IF(ISNUMBER(Volcanic!D227),Volcanic!D227,"")</f>
        <v>0.6</v>
      </c>
      <c r="I227" s="18">
        <f t="shared" si="37"/>
        <v>0.24410419121562613</v>
      </c>
      <c r="J227" s="18">
        <f t="shared" si="38"/>
        <v>5.11E-3</v>
      </c>
      <c r="K227" s="18">
        <f t="shared" si="39"/>
        <v>0.94</v>
      </c>
      <c r="L227" s="18">
        <f t="shared" si="40"/>
        <v>0.24410419121562613</v>
      </c>
      <c r="M227" s="18">
        <f t="shared" si="41"/>
        <v>5.11E-3</v>
      </c>
      <c r="N227" s="18">
        <f t="shared" si="42"/>
        <v>0.80178636287711891</v>
      </c>
      <c r="AK227" s="18">
        <f>IF(AND(ISNUMBER(C227),ISNUMBER(ENSO!F227)),C227-ENSO!F227,"")</f>
        <v>0.28999999999999992</v>
      </c>
      <c r="AL227" s="18">
        <f t="shared" si="44"/>
        <v>1976.9583333333333</v>
      </c>
      <c r="AM227" s="18">
        <f t="shared" si="45"/>
        <v>0.10999999999999766</v>
      </c>
    </row>
    <row r="228" spans="1:39">
      <c r="A228" s="18" t="str">
        <f>IF(Volcanic!A228="","",Volcanic!A228)</f>
        <v>1/1977</v>
      </c>
      <c r="B228" s="18">
        <f>IF(ISNUMBER(Volcanic!L228),Volcanic!L228,"")</f>
        <v>1977.0416666666667</v>
      </c>
      <c r="C228" s="21">
        <v>1.01</v>
      </c>
      <c r="D228" s="18">
        <f t="shared" si="43"/>
        <v>1.1000000000000001</v>
      </c>
      <c r="E228" s="18">
        <f>IF(ISNUMBER(Volcanic!B228),Volcanic!B228,"")</f>
        <v>0.19000000000000128</v>
      </c>
      <c r="F228" s="18">
        <f>IF(ISNUMBER(Volcanic!C228),Volcanic!C228,"")</f>
        <v>0.248708309960915</v>
      </c>
      <c r="G228" s="18">
        <f>IF(ISNUMBER(Volcanic!E228),Volcanic!E228,"")</f>
        <v>5.0400000000000002E-3</v>
      </c>
      <c r="H228" s="18">
        <f>IF(ISNUMBER(Volcanic!D228),Volcanic!D228,"")</f>
        <v>0.79</v>
      </c>
      <c r="I228" s="18">
        <f t="shared" si="37"/>
        <v>0.248708309960915</v>
      </c>
      <c r="J228" s="18">
        <f t="shared" si="38"/>
        <v>5.0400000000000002E-3</v>
      </c>
      <c r="K228" s="18">
        <f t="shared" si="39"/>
        <v>1.1000000000000001</v>
      </c>
      <c r="L228" s="18">
        <f t="shared" si="40"/>
        <v>0.248708309960915</v>
      </c>
      <c r="M228" s="18">
        <f t="shared" si="41"/>
        <v>5.0400000000000002E-3</v>
      </c>
      <c r="N228" s="18">
        <f t="shared" si="42"/>
        <v>0.96247638236772071</v>
      </c>
      <c r="AK228" s="18">
        <f>IF(AND(ISNUMBER(C228),ISNUMBER(ENSO!F228)),C228-ENSO!F228,"")</f>
        <v>0.30000000000000004</v>
      </c>
      <c r="AL228" s="18">
        <f t="shared" si="44"/>
        <v>1977.0416666666667</v>
      </c>
      <c r="AM228" s="18">
        <f t="shared" si="45"/>
        <v>0.19000000000000128</v>
      </c>
    </row>
    <row r="229" spans="1:39">
      <c r="A229" s="18" t="str">
        <f>IF(Volcanic!A229="","",Volcanic!A229)</f>
        <v>2/1977</v>
      </c>
      <c r="B229" s="18">
        <f>IF(ISNUMBER(Volcanic!L229),Volcanic!L229,"")</f>
        <v>1977.125</v>
      </c>
      <c r="C229" s="21">
        <v>0.93</v>
      </c>
      <c r="D229" s="18">
        <f t="shared" si="43"/>
        <v>1.1299999999999999</v>
      </c>
      <c r="E229" s="18">
        <f>IF(ISNUMBER(Volcanic!B229),Volcanic!B229,"")</f>
        <v>0.2300000000000022</v>
      </c>
      <c r="F229" s="18">
        <f>IF(ISNUMBER(Volcanic!C229),Volcanic!C229,"")</f>
        <v>0.25083167317379135</v>
      </c>
      <c r="G229" s="18">
        <f>IF(ISNUMBER(Volcanic!E229),Volcanic!E229,"")</f>
        <v>5.0099999999999997E-3</v>
      </c>
      <c r="H229" s="18">
        <f>IF(ISNUMBER(Volcanic!D229),Volcanic!D229,"")</f>
        <v>0.81</v>
      </c>
      <c r="I229" s="18">
        <f t="shared" si="37"/>
        <v>0.25083167317379135</v>
      </c>
      <c r="J229" s="18">
        <f t="shared" si="38"/>
        <v>5.0099999999999997E-3</v>
      </c>
      <c r="K229" s="18">
        <f t="shared" si="39"/>
        <v>1.1299999999999999</v>
      </c>
      <c r="L229" s="18">
        <f t="shared" si="40"/>
        <v>0.25083167317379135</v>
      </c>
      <c r="M229" s="18">
        <f t="shared" si="41"/>
        <v>5.0099999999999997E-3</v>
      </c>
      <c r="N229" s="18">
        <f t="shared" si="42"/>
        <v>0.99316640185831861</v>
      </c>
      <c r="AK229" s="18">
        <f>IF(AND(ISNUMBER(C229),ISNUMBER(ENSO!F229)),C229-ENSO!F229,"")</f>
        <v>0.27</v>
      </c>
      <c r="AL229" s="18">
        <f t="shared" si="44"/>
        <v>1977.125</v>
      </c>
      <c r="AM229" s="18">
        <f t="shared" si="45"/>
        <v>0.2300000000000022</v>
      </c>
    </row>
    <row r="230" spans="1:39">
      <c r="A230" s="18" t="str">
        <f>IF(Volcanic!A230="","",Volcanic!A230)</f>
        <v>3/1977</v>
      </c>
      <c r="B230" s="18">
        <f>IF(ISNUMBER(Volcanic!L230),Volcanic!L230,"")</f>
        <v>1977.2083333333333</v>
      </c>
      <c r="C230" s="21">
        <v>0.52</v>
      </c>
      <c r="D230" s="18">
        <f t="shared" si="43"/>
        <v>1.1299999999999999</v>
      </c>
      <c r="E230" s="18">
        <f>IF(ISNUMBER(Volcanic!B230),Volcanic!B230,"")</f>
        <v>0.24000000000000199</v>
      </c>
      <c r="F230" s="18">
        <f>IF(ISNUMBER(Volcanic!C230),Volcanic!C230,"")</f>
        <v>0.25856199602061081</v>
      </c>
      <c r="G230" s="18">
        <f>IF(ISNUMBER(Volcanic!E230),Volcanic!E230,"")</f>
        <v>5.0000000000000001E-3</v>
      </c>
      <c r="H230" s="18">
        <f>IF(ISNUMBER(Volcanic!D230),Volcanic!D230,"")</f>
        <v>0.84</v>
      </c>
      <c r="I230" s="18">
        <f t="shared" si="37"/>
        <v>0.25856199602061081</v>
      </c>
      <c r="J230" s="18">
        <f t="shared" si="38"/>
        <v>5.0000000000000001E-3</v>
      </c>
      <c r="K230" s="18">
        <f t="shared" si="39"/>
        <v>1.1299999999999999</v>
      </c>
      <c r="L230" s="18">
        <f t="shared" si="40"/>
        <v>0.25856199602061081</v>
      </c>
      <c r="M230" s="18">
        <f t="shared" si="41"/>
        <v>5.0000000000000001E-3</v>
      </c>
      <c r="N230" s="18">
        <f t="shared" si="42"/>
        <v>0.99385642134891672</v>
      </c>
      <c r="AK230" s="18">
        <f>IF(AND(ISNUMBER(C230),ISNUMBER(ENSO!F230)),C230-ENSO!F230,"")</f>
        <v>0.19</v>
      </c>
      <c r="AL230" s="18">
        <f t="shared" si="44"/>
        <v>1977.2083333333333</v>
      </c>
      <c r="AM230" s="18">
        <f t="shared" si="45"/>
        <v>0.24000000000000199</v>
      </c>
    </row>
    <row r="231" spans="1:39">
      <c r="A231" s="18" t="str">
        <f>IF(Volcanic!A231="","",Volcanic!A231)</f>
        <v>4/1977</v>
      </c>
      <c r="B231" s="18">
        <f>IF(ISNUMBER(Volcanic!L231),Volcanic!L231,"")</f>
        <v>1977.2916666666667</v>
      </c>
      <c r="C231" s="21">
        <v>0.31</v>
      </c>
      <c r="D231" s="18">
        <f t="shared" si="43"/>
        <v>1.01</v>
      </c>
      <c r="E231" s="18">
        <f>IF(ISNUMBER(Volcanic!B231),Volcanic!B231,"")</f>
        <v>0.25999999999999979</v>
      </c>
      <c r="F231" s="18">
        <f>IF(ISNUMBER(Volcanic!C231),Volcanic!C231,"")</f>
        <v>0.26363540356832926</v>
      </c>
      <c r="G231" s="18">
        <f>IF(ISNUMBER(Volcanic!E231),Volcanic!E231,"")</f>
        <v>4.9699999999999996E-3</v>
      </c>
      <c r="H231" s="18">
        <f>IF(ISNUMBER(Volcanic!D231),Volcanic!D231,"")</f>
        <v>0.71</v>
      </c>
      <c r="I231" s="18">
        <f t="shared" si="37"/>
        <v>0.26363540356832926</v>
      </c>
      <c r="J231" s="18">
        <f t="shared" si="38"/>
        <v>4.9699999999999996E-3</v>
      </c>
      <c r="K231" s="18">
        <f t="shared" si="39"/>
        <v>1.01</v>
      </c>
      <c r="L231" s="18">
        <f t="shared" si="40"/>
        <v>0.26363540356832926</v>
      </c>
      <c r="M231" s="18">
        <f t="shared" si="41"/>
        <v>4.9699999999999996E-3</v>
      </c>
      <c r="N231" s="18">
        <f t="shared" si="42"/>
        <v>0.87454644083951849</v>
      </c>
      <c r="AK231" s="18">
        <f>IF(AND(ISNUMBER(C231),ISNUMBER(ENSO!F231)),C231-ENSO!F231,"")</f>
        <v>4.9999999999999989E-2</v>
      </c>
      <c r="AL231" s="18">
        <f t="shared" si="44"/>
        <v>1977.2916666666667</v>
      </c>
      <c r="AM231" s="18">
        <f t="shared" si="45"/>
        <v>0.25999999999999979</v>
      </c>
    </row>
    <row r="232" spans="1:39">
      <c r="A232" s="18" t="str">
        <f>IF(Volcanic!A232="","",Volcanic!A232)</f>
        <v>5/1977</v>
      </c>
      <c r="B232" s="18">
        <f>IF(ISNUMBER(Volcanic!L232),Volcanic!L232,"")</f>
        <v>1977.375</v>
      </c>
      <c r="C232" s="21">
        <v>0.19</v>
      </c>
      <c r="D232" s="18">
        <f t="shared" si="43"/>
        <v>0.93</v>
      </c>
      <c r="E232" s="18">
        <f>IF(ISNUMBER(Volcanic!B232),Volcanic!B232,"")</f>
        <v>0.32999999999999652</v>
      </c>
      <c r="F232" s="18">
        <f>IF(ISNUMBER(Volcanic!C232),Volcanic!C232,"")</f>
        <v>0.26702206351656388</v>
      </c>
      <c r="G232" s="18">
        <f>IF(ISNUMBER(Volcanic!E232),Volcanic!E232,"")</f>
        <v>4.9699999999999996E-3</v>
      </c>
      <c r="H232" s="18">
        <f>IF(ISNUMBER(Volcanic!D232),Volcanic!D232,"")</f>
        <v>0.66</v>
      </c>
      <c r="I232" s="18">
        <f t="shared" si="37"/>
        <v>0.26702206351656388</v>
      </c>
      <c r="J232" s="18">
        <f t="shared" si="38"/>
        <v>4.9699999999999996E-3</v>
      </c>
      <c r="K232" s="18">
        <f t="shared" si="39"/>
        <v>0.93</v>
      </c>
      <c r="L232" s="18">
        <f t="shared" si="40"/>
        <v>0.26702206351656388</v>
      </c>
      <c r="M232" s="18">
        <f t="shared" si="41"/>
        <v>4.9699999999999996E-3</v>
      </c>
      <c r="N232" s="18">
        <f t="shared" si="42"/>
        <v>0.79523646033011663</v>
      </c>
      <c r="AK232" s="18">
        <f>IF(AND(ISNUMBER(C232),ISNUMBER(ENSO!F232)),C232-ENSO!F232,"")</f>
        <v>-7.0000000000000007E-2</v>
      </c>
      <c r="AL232" s="18">
        <f t="shared" si="44"/>
        <v>1977.375</v>
      </c>
      <c r="AM232" s="18">
        <f t="shared" si="45"/>
        <v>0.32999999999999652</v>
      </c>
    </row>
    <row r="233" spans="1:39">
      <c r="A233" s="18" t="str">
        <f>IF(Volcanic!A233="","",Volcanic!A233)</f>
        <v>6/1977</v>
      </c>
      <c r="B233" s="18">
        <f>IF(ISNUMBER(Volcanic!L233),Volcanic!L233,"")</f>
        <v>1977.4583333333333</v>
      </c>
      <c r="C233" s="21">
        <v>0.35</v>
      </c>
      <c r="D233" s="18">
        <f t="shared" si="43"/>
        <v>0.52</v>
      </c>
      <c r="E233" s="18">
        <f>IF(ISNUMBER(Volcanic!B233),Volcanic!B233,"")</f>
        <v>0.27000000000000135</v>
      </c>
      <c r="F233" s="18">
        <f>IF(ISNUMBER(Volcanic!C233),Volcanic!C233,"")</f>
        <v>0.26376415623080784</v>
      </c>
      <c r="G233" s="18">
        <f>IF(ISNUMBER(Volcanic!E233),Volcanic!E233,"")</f>
        <v>4.8199999999999996E-3</v>
      </c>
      <c r="H233" s="18">
        <f>IF(ISNUMBER(Volcanic!D233),Volcanic!D233,"")</f>
        <v>0.33</v>
      </c>
      <c r="I233" s="18">
        <f t="shared" si="37"/>
        <v>0.26376415623080784</v>
      </c>
      <c r="J233" s="18">
        <f t="shared" si="38"/>
        <v>4.8199999999999996E-3</v>
      </c>
      <c r="K233" s="18">
        <f t="shared" si="39"/>
        <v>0.52</v>
      </c>
      <c r="L233" s="18">
        <f t="shared" si="40"/>
        <v>0.26376415623080784</v>
      </c>
      <c r="M233" s="18">
        <f t="shared" si="41"/>
        <v>4.8199999999999996E-3</v>
      </c>
      <c r="N233" s="18">
        <f t="shared" si="42"/>
        <v>0.38592647982071471</v>
      </c>
      <c r="AK233" s="18">
        <f>IF(AND(ISNUMBER(C233),ISNUMBER(ENSO!F233)),C233-ENSO!F233,"")</f>
        <v>-0.11000000000000004</v>
      </c>
      <c r="AL233" s="18">
        <f t="shared" si="44"/>
        <v>1977.4583333333333</v>
      </c>
      <c r="AM233" s="18">
        <f t="shared" si="45"/>
        <v>0.27000000000000135</v>
      </c>
    </row>
    <row r="234" spans="1:39">
      <c r="A234" s="18" t="str">
        <f>IF(Volcanic!A234="","",Volcanic!A234)</f>
        <v>7/1977</v>
      </c>
      <c r="B234" s="18">
        <f>IF(ISNUMBER(Volcanic!L234),Volcanic!L234,"")</f>
        <v>1977.5416666666667</v>
      </c>
      <c r="C234" s="21">
        <v>0.42</v>
      </c>
      <c r="D234" s="18">
        <f t="shared" si="43"/>
        <v>0.31</v>
      </c>
      <c r="E234" s="18">
        <f>IF(ISNUMBER(Volcanic!B234),Volcanic!B234,"")</f>
        <v>0.20000000000000107</v>
      </c>
      <c r="F234" s="18">
        <f>IF(ISNUMBER(Volcanic!C234),Volcanic!C234,"")</f>
        <v>0.25826046984839379</v>
      </c>
      <c r="G234" s="18">
        <f>IF(ISNUMBER(Volcanic!E234),Volcanic!E234,"")</f>
        <v>4.64E-3</v>
      </c>
      <c r="H234" s="18">
        <f>IF(ISNUMBER(Volcanic!D234),Volcanic!D234,"")</f>
        <v>0.26</v>
      </c>
      <c r="I234" s="18">
        <f t="shared" si="37"/>
        <v>0.25826046984839379</v>
      </c>
      <c r="J234" s="18">
        <f t="shared" si="38"/>
        <v>4.64E-3</v>
      </c>
      <c r="K234" s="18">
        <f t="shared" si="39"/>
        <v>0.31</v>
      </c>
      <c r="L234" s="18">
        <f t="shared" si="40"/>
        <v>0.25826046984839379</v>
      </c>
      <c r="M234" s="18">
        <f t="shared" si="41"/>
        <v>4.64E-3</v>
      </c>
      <c r="N234" s="18">
        <f t="shared" si="42"/>
        <v>0.17661649931131279</v>
      </c>
      <c r="AK234" s="18">
        <f>IF(AND(ISNUMBER(C234),ISNUMBER(ENSO!F234)),C234-ENSO!F234,"")</f>
        <v>2.9999999999999971E-2</v>
      </c>
      <c r="AL234" s="18">
        <f t="shared" si="44"/>
        <v>1977.5416666666667</v>
      </c>
      <c r="AM234" s="18">
        <f t="shared" si="45"/>
        <v>0.20000000000000107</v>
      </c>
    </row>
    <row r="235" spans="1:39">
      <c r="A235" s="18" t="str">
        <f>IF(Volcanic!A235="","",Volcanic!A235)</f>
        <v>8/1977</v>
      </c>
      <c r="B235" s="18">
        <f>IF(ISNUMBER(Volcanic!L235),Volcanic!L235,"")</f>
        <v>1977.625</v>
      </c>
      <c r="C235" s="21">
        <v>0.57999999999999996</v>
      </c>
      <c r="D235" s="18">
        <f t="shared" si="43"/>
        <v>0.19</v>
      </c>
      <c r="E235" s="18">
        <f>IF(ISNUMBER(Volcanic!B235),Volcanic!B235,"")</f>
        <v>0.17999999999999972</v>
      </c>
      <c r="F235" s="18">
        <f>IF(ISNUMBER(Volcanic!C235),Volcanic!C235,"")</f>
        <v>0.2481878259046813</v>
      </c>
      <c r="G235" s="18">
        <f>IF(ISNUMBER(Volcanic!E235),Volcanic!E235,"")</f>
        <v>4.4799999999999996E-3</v>
      </c>
      <c r="H235" s="18">
        <f>IF(ISNUMBER(Volcanic!D235),Volcanic!D235,"")</f>
        <v>0.26</v>
      </c>
      <c r="I235" s="18">
        <f t="shared" si="37"/>
        <v>0.2481878259046813</v>
      </c>
      <c r="J235" s="18">
        <f t="shared" si="38"/>
        <v>4.4799999999999996E-3</v>
      </c>
      <c r="K235" s="18">
        <f t="shared" si="39"/>
        <v>0.19</v>
      </c>
      <c r="L235" s="18">
        <f t="shared" si="40"/>
        <v>0.2481878259046813</v>
      </c>
      <c r="M235" s="18">
        <f t="shared" si="41"/>
        <v>4.4799999999999996E-3</v>
      </c>
      <c r="N235" s="18">
        <f t="shared" si="42"/>
        <v>5.7306518801914452E-2</v>
      </c>
      <c r="AK235" s="18">
        <f>IF(AND(ISNUMBER(C235),ISNUMBER(ENSO!F235)),C235-ENSO!F235,"")</f>
        <v>0.22999999999999998</v>
      </c>
      <c r="AL235" s="18">
        <f t="shared" si="44"/>
        <v>1977.625</v>
      </c>
      <c r="AM235" s="18">
        <f t="shared" si="45"/>
        <v>0.17999999999999972</v>
      </c>
    </row>
    <row r="236" spans="1:39">
      <c r="A236" s="18" t="str">
        <f>IF(Volcanic!A236="","",Volcanic!A236)</f>
        <v>9/1977</v>
      </c>
      <c r="B236" s="18">
        <f>IF(ISNUMBER(Volcanic!L236),Volcanic!L236,"")</f>
        <v>1977.7083333333333</v>
      </c>
      <c r="C236" s="21">
        <v>0.78</v>
      </c>
      <c r="D236" s="18">
        <f t="shared" si="43"/>
        <v>0.35</v>
      </c>
      <c r="E236" s="18">
        <f>IF(ISNUMBER(Volcanic!B236),Volcanic!B236,"")</f>
        <v>2.0000000000003126E-2</v>
      </c>
      <c r="F236" s="18">
        <f>IF(ISNUMBER(Volcanic!C236),Volcanic!C236,"")</f>
        <v>0.24266782910668239</v>
      </c>
      <c r="G236" s="18">
        <f>IF(ISNUMBER(Volcanic!E236),Volcanic!E236,"")</f>
        <v>4.3E-3</v>
      </c>
      <c r="H236" s="18">
        <f>IF(ISNUMBER(Volcanic!D236),Volcanic!D236,"")</f>
        <v>0.46</v>
      </c>
      <c r="I236" s="18">
        <f t="shared" si="37"/>
        <v>0.24266782910668239</v>
      </c>
      <c r="J236" s="18">
        <f t="shared" si="38"/>
        <v>4.3E-3</v>
      </c>
      <c r="K236" s="18">
        <f t="shared" si="39"/>
        <v>0.35</v>
      </c>
      <c r="L236" s="18">
        <f t="shared" si="40"/>
        <v>0.24266782910668239</v>
      </c>
      <c r="M236" s="18">
        <f t="shared" si="41"/>
        <v>4.3E-3</v>
      </c>
      <c r="N236" s="18">
        <f t="shared" si="42"/>
        <v>0.21799653829251253</v>
      </c>
      <c r="AK236" s="18">
        <f>IF(AND(ISNUMBER(C236),ISNUMBER(ENSO!F236)),C236-ENSO!F236,"")</f>
        <v>0.33</v>
      </c>
      <c r="AL236" s="18">
        <f t="shared" si="44"/>
        <v>1977.7083333333333</v>
      </c>
      <c r="AM236" s="18">
        <f t="shared" si="45"/>
        <v>2.0000000000003126E-2</v>
      </c>
    </row>
    <row r="237" spans="1:39">
      <c r="A237" s="18" t="str">
        <f>IF(Volcanic!A237="","",Volcanic!A237)</f>
        <v>10/1977</v>
      </c>
      <c r="B237" s="18">
        <f>IF(ISNUMBER(Volcanic!L237),Volcanic!L237,"")</f>
        <v>1977.7916666666667</v>
      </c>
      <c r="C237" s="21">
        <v>0.97</v>
      </c>
      <c r="D237" s="18">
        <f t="shared" si="43"/>
        <v>0.42</v>
      </c>
      <c r="E237" s="18">
        <f>IF(ISNUMBER(Volcanic!B237),Volcanic!B237,"")</f>
        <v>2.9999999999997584E-2</v>
      </c>
      <c r="F237" s="18">
        <f>IF(ISNUMBER(Volcanic!C237),Volcanic!C237,"")</f>
        <v>0.24262428065018715</v>
      </c>
      <c r="G237" s="18">
        <f>IF(ISNUMBER(Volcanic!E237),Volcanic!E237,"")</f>
        <v>4.1999999999999997E-3</v>
      </c>
      <c r="H237" s="18">
        <f>IF(ISNUMBER(Volcanic!D237),Volcanic!D237,"")</f>
        <v>0.39</v>
      </c>
      <c r="I237" s="18">
        <f t="shared" si="37"/>
        <v>0.24262428065018715</v>
      </c>
      <c r="J237" s="18">
        <f t="shared" si="38"/>
        <v>4.1999999999999997E-3</v>
      </c>
      <c r="K237" s="18">
        <f t="shared" si="39"/>
        <v>0.42</v>
      </c>
      <c r="L237" s="18">
        <f t="shared" si="40"/>
        <v>0.24262428065018715</v>
      </c>
      <c r="M237" s="18">
        <f t="shared" si="41"/>
        <v>4.1999999999999997E-3</v>
      </c>
      <c r="N237" s="18">
        <f t="shared" si="42"/>
        <v>0.28868655778311064</v>
      </c>
      <c r="AK237" s="18">
        <f>IF(AND(ISNUMBER(C237),ISNUMBER(ENSO!F237)),C237-ENSO!F237,"")</f>
        <v>0.28999999999999992</v>
      </c>
      <c r="AL237" s="18">
        <f t="shared" si="44"/>
        <v>1977.7916666666667</v>
      </c>
      <c r="AM237" s="18">
        <f t="shared" si="45"/>
        <v>2.9999999999997584E-2</v>
      </c>
    </row>
    <row r="238" spans="1:39">
      <c r="A238" s="18" t="str">
        <f>IF(Volcanic!A238="","",Volcanic!A238)</f>
        <v>11/1977</v>
      </c>
      <c r="B238" s="18">
        <f>IF(ISNUMBER(Volcanic!L238),Volcanic!L238,"")</f>
        <v>1977.875</v>
      </c>
      <c r="C238" s="21">
        <v>1.0900000000000001</v>
      </c>
      <c r="D238" s="18">
        <f t="shared" si="43"/>
        <v>0.57999999999999996</v>
      </c>
      <c r="E238" s="18">
        <f>IF(ISNUMBER(Volcanic!B238),Volcanic!B238,"")</f>
        <v>0.16000000000000014</v>
      </c>
      <c r="F238" s="18">
        <f>IF(ISNUMBER(Volcanic!C238),Volcanic!C238,"")</f>
        <v>0.24775394570505929</v>
      </c>
      <c r="G238" s="18">
        <f>IF(ISNUMBER(Volcanic!E238),Volcanic!E238,"")</f>
        <v>4.1900000000000001E-3</v>
      </c>
      <c r="H238" s="18">
        <f>IF(ISNUMBER(Volcanic!D238),Volcanic!D238,"")</f>
        <v>0.35</v>
      </c>
      <c r="I238" s="18">
        <f t="shared" si="37"/>
        <v>0.24775394570505929</v>
      </c>
      <c r="J238" s="18">
        <f t="shared" si="38"/>
        <v>4.1900000000000001E-3</v>
      </c>
      <c r="K238" s="18">
        <f t="shared" si="39"/>
        <v>0.57999999999999996</v>
      </c>
      <c r="L238" s="18">
        <f t="shared" si="40"/>
        <v>0.24775394570505929</v>
      </c>
      <c r="M238" s="18">
        <f t="shared" si="41"/>
        <v>4.1900000000000001E-3</v>
      </c>
      <c r="N238" s="18">
        <f t="shared" si="42"/>
        <v>0.44937657727370872</v>
      </c>
      <c r="AK238" s="18">
        <f>IF(AND(ISNUMBER(C238),ISNUMBER(ENSO!F238)),C238-ENSO!F238,"")</f>
        <v>0.25000000000000011</v>
      </c>
      <c r="AL238" s="18">
        <f t="shared" si="44"/>
        <v>1977.875</v>
      </c>
      <c r="AM238" s="18">
        <f t="shared" si="45"/>
        <v>0.16000000000000014</v>
      </c>
    </row>
    <row r="239" spans="1:39">
      <c r="A239" s="18" t="str">
        <f>IF(Volcanic!A239="","",Volcanic!A239)</f>
        <v>12/1977</v>
      </c>
      <c r="B239" s="18">
        <f>IF(ISNUMBER(Volcanic!L239),Volcanic!L239,"")</f>
        <v>1977.9583333333333</v>
      </c>
      <c r="C239" s="21">
        <v>1.05</v>
      </c>
      <c r="D239" s="18">
        <f t="shared" si="43"/>
        <v>0.78</v>
      </c>
      <c r="E239" s="18">
        <f>IF(ISNUMBER(Volcanic!B239),Volcanic!B239,"")</f>
        <v>2.9999999999997584E-2</v>
      </c>
      <c r="F239" s="18">
        <f>IF(ISNUMBER(Volcanic!C239),Volcanic!C239,"")</f>
        <v>0.25269246161233488</v>
      </c>
      <c r="G239" s="18">
        <f>IF(ISNUMBER(Volcanic!E239),Volcanic!E239,"")</f>
        <v>4.2100000000000002E-3</v>
      </c>
      <c r="H239" s="18">
        <f>IF(ISNUMBER(Volcanic!D239),Volcanic!D239,"")</f>
        <v>0.45</v>
      </c>
      <c r="I239" s="18">
        <f t="shared" si="37"/>
        <v>0.25269246161233488</v>
      </c>
      <c r="J239" s="18">
        <f t="shared" si="38"/>
        <v>4.2100000000000002E-3</v>
      </c>
      <c r="K239" s="18">
        <f t="shared" si="39"/>
        <v>0.78</v>
      </c>
      <c r="L239" s="18">
        <f t="shared" si="40"/>
        <v>0.25269246161233488</v>
      </c>
      <c r="M239" s="18">
        <f t="shared" si="41"/>
        <v>4.2100000000000002E-3</v>
      </c>
      <c r="N239" s="18">
        <f t="shared" si="42"/>
        <v>0.65006659676430689</v>
      </c>
      <c r="AK239" s="18">
        <f>IF(AND(ISNUMBER(C239),ISNUMBER(ENSO!F239)),C239-ENSO!F239,"")</f>
        <v>0.23000000000000009</v>
      </c>
      <c r="AL239" s="18">
        <f t="shared" si="44"/>
        <v>1977.9583333333333</v>
      </c>
      <c r="AM239" s="18">
        <f t="shared" si="45"/>
        <v>2.9999999999997584E-2</v>
      </c>
    </row>
    <row r="240" spans="1:39">
      <c r="A240" s="18" t="str">
        <f>IF(Volcanic!A240="","",Volcanic!A240)</f>
        <v>1/1978</v>
      </c>
      <c r="B240" s="18">
        <f>IF(ISNUMBER(Volcanic!L240),Volcanic!L240,"")</f>
        <v>1978.0416666666667</v>
      </c>
      <c r="C240" s="21">
        <v>0.94</v>
      </c>
      <c r="D240" s="18">
        <f t="shared" si="43"/>
        <v>0.97</v>
      </c>
      <c r="E240" s="18">
        <f>IF(ISNUMBER(Volcanic!B240),Volcanic!B240,"")</f>
        <v>5.9999999999998721E-2</v>
      </c>
      <c r="F240" s="18">
        <f>IF(ISNUMBER(Volcanic!C240),Volcanic!C240,"")</f>
        <v>0.25847585211606888</v>
      </c>
      <c r="G240" s="18">
        <f>IF(ISNUMBER(Volcanic!E240),Volcanic!E240,"")</f>
        <v>4.2599999999999999E-3</v>
      </c>
      <c r="H240" s="18">
        <f>IF(ISNUMBER(Volcanic!D240),Volcanic!D240,"")</f>
        <v>0.68</v>
      </c>
      <c r="I240" s="18">
        <f t="shared" si="37"/>
        <v>0.25847585211606888</v>
      </c>
      <c r="J240" s="18">
        <f t="shared" si="38"/>
        <v>4.2599999999999999E-3</v>
      </c>
      <c r="K240" s="18">
        <f t="shared" si="39"/>
        <v>0.97</v>
      </c>
      <c r="L240" s="18">
        <f t="shared" si="40"/>
        <v>0.25847585211606888</v>
      </c>
      <c r="M240" s="18">
        <f t="shared" si="41"/>
        <v>4.2599999999999999E-3</v>
      </c>
      <c r="N240" s="18">
        <f t="shared" si="42"/>
        <v>0.8407566162549085</v>
      </c>
      <c r="AK240" s="18">
        <f>IF(AND(ISNUMBER(C240),ISNUMBER(ENSO!F240)),C240-ENSO!F240,"")</f>
        <v>0.22999999999999998</v>
      </c>
      <c r="AL240" s="18">
        <f t="shared" si="44"/>
        <v>1978.0416666666667</v>
      </c>
      <c r="AM240" s="18">
        <f t="shared" si="45"/>
        <v>5.9999999999998721E-2</v>
      </c>
    </row>
    <row r="241" spans="1:39">
      <c r="A241" s="18" t="str">
        <f>IF(Volcanic!A241="","",Volcanic!A241)</f>
        <v>2/1978</v>
      </c>
      <c r="B241" s="18">
        <f>IF(ISNUMBER(Volcanic!L241),Volcanic!L241,"")</f>
        <v>1978.125</v>
      </c>
      <c r="C241" s="21">
        <v>0.6</v>
      </c>
      <c r="D241" s="18">
        <f t="shared" si="43"/>
        <v>1.0900000000000001</v>
      </c>
      <c r="E241" s="18">
        <f>IF(ISNUMBER(Volcanic!B241),Volcanic!B241,"")</f>
        <v>9.9999999999997868E-2</v>
      </c>
      <c r="F241" s="18">
        <f>IF(ISNUMBER(Volcanic!C241),Volcanic!C241,"")</f>
        <v>0.25985353772683362</v>
      </c>
      <c r="G241" s="18">
        <f>IF(ISNUMBER(Volcanic!E241),Volcanic!E241,"")</f>
        <v>4.3200000000000001E-3</v>
      </c>
      <c r="H241" s="18">
        <f>IF(ISNUMBER(Volcanic!D241),Volcanic!D241,"")</f>
        <v>0.84</v>
      </c>
      <c r="I241" s="18">
        <f t="shared" si="37"/>
        <v>0.25985353772683362</v>
      </c>
      <c r="J241" s="18">
        <f t="shared" si="38"/>
        <v>4.3200000000000001E-3</v>
      </c>
      <c r="K241" s="18">
        <f t="shared" si="39"/>
        <v>1.0900000000000001</v>
      </c>
      <c r="L241" s="18">
        <f t="shared" si="40"/>
        <v>0.25985353772683362</v>
      </c>
      <c r="M241" s="18">
        <f t="shared" si="41"/>
        <v>4.3200000000000001E-3</v>
      </c>
      <c r="N241" s="18">
        <f t="shared" si="42"/>
        <v>0.96144663574550671</v>
      </c>
      <c r="AK241" s="18">
        <f>IF(AND(ISNUMBER(C241),ISNUMBER(ENSO!F241)),C241-ENSO!F241,"")</f>
        <v>7.999999999999996E-2</v>
      </c>
      <c r="AL241" s="18">
        <f t="shared" si="44"/>
        <v>1978.125</v>
      </c>
      <c r="AM241" s="18">
        <f t="shared" si="45"/>
        <v>9.9999999999997868E-2</v>
      </c>
    </row>
    <row r="242" spans="1:39">
      <c r="A242" s="18" t="str">
        <f>IF(Volcanic!A242="","",Volcanic!A242)</f>
        <v>3/1978</v>
      </c>
      <c r="B242" s="18">
        <f>IF(ISNUMBER(Volcanic!L242),Volcanic!L242,"")</f>
        <v>1978.2083333333333</v>
      </c>
      <c r="C242" s="21">
        <v>0.13</v>
      </c>
      <c r="D242" s="18">
        <f t="shared" si="43"/>
        <v>1.05</v>
      </c>
      <c r="E242" s="18">
        <f>IF(ISNUMBER(Volcanic!B242),Volcanic!B242,"")</f>
        <v>0.19000000000000128</v>
      </c>
      <c r="F242" s="18">
        <f>IF(ISNUMBER(Volcanic!C242),Volcanic!C242,"")</f>
        <v>0.26586549147154565</v>
      </c>
      <c r="G242" s="18">
        <f>IF(ISNUMBER(Volcanic!E242),Volcanic!E242,"")</f>
        <v>4.4099999999999999E-3</v>
      </c>
      <c r="H242" s="18">
        <f>IF(ISNUMBER(Volcanic!D242),Volcanic!D242,"")</f>
        <v>0.82</v>
      </c>
      <c r="I242" s="18">
        <f t="shared" si="37"/>
        <v>0.26586549147154565</v>
      </c>
      <c r="J242" s="18">
        <f t="shared" si="38"/>
        <v>4.4099999999999999E-3</v>
      </c>
      <c r="K242" s="18">
        <f t="shared" si="39"/>
        <v>1.05</v>
      </c>
      <c r="L242" s="18">
        <f t="shared" si="40"/>
        <v>0.26586549147154565</v>
      </c>
      <c r="M242" s="18">
        <f t="shared" si="41"/>
        <v>4.4099999999999999E-3</v>
      </c>
      <c r="N242" s="18">
        <f t="shared" si="42"/>
        <v>0.92213665523610477</v>
      </c>
      <c r="AK242" s="18">
        <f>IF(AND(ISNUMBER(C242),ISNUMBER(ENSO!F242)),C242-ENSO!F242,"")</f>
        <v>-4.0000000000000008E-2</v>
      </c>
      <c r="AL242" s="18">
        <f t="shared" si="44"/>
        <v>1978.2083333333333</v>
      </c>
      <c r="AM242" s="18">
        <f t="shared" si="45"/>
        <v>0.19000000000000128</v>
      </c>
    </row>
    <row r="243" spans="1:39">
      <c r="A243" s="18" t="str">
        <f>IF(Volcanic!A243="","",Volcanic!A243)</f>
        <v>4/1978</v>
      </c>
      <c r="B243" s="18">
        <f>IF(ISNUMBER(Volcanic!L243),Volcanic!L243,"")</f>
        <v>1978.2916666666667</v>
      </c>
      <c r="C243" s="21">
        <v>-0.18</v>
      </c>
      <c r="D243" s="18">
        <f t="shared" si="43"/>
        <v>0.94</v>
      </c>
      <c r="E243" s="18">
        <f>IF(ISNUMBER(Volcanic!B243),Volcanic!B243,"")</f>
        <v>0.16999999999999993</v>
      </c>
      <c r="F243" s="18">
        <f>IF(ISNUMBER(Volcanic!C243),Volcanic!C243,"")</f>
        <v>0.27027263033914217</v>
      </c>
      <c r="G243" s="18">
        <f>IF(ISNUMBER(Volcanic!E243),Volcanic!E243,"")</f>
        <v>4.47E-3</v>
      </c>
      <c r="H243" s="18">
        <f>IF(ISNUMBER(Volcanic!D243),Volcanic!D243,"")</f>
        <v>0.71</v>
      </c>
      <c r="I243" s="18">
        <f t="shared" si="37"/>
        <v>0.27027263033914217</v>
      </c>
      <c r="J243" s="18">
        <f t="shared" si="38"/>
        <v>4.47E-3</v>
      </c>
      <c r="K243" s="18">
        <f t="shared" si="39"/>
        <v>0.94</v>
      </c>
      <c r="L243" s="18">
        <f t="shared" si="40"/>
        <v>0.27027263033914217</v>
      </c>
      <c r="M243" s="18">
        <f t="shared" si="41"/>
        <v>4.47E-3</v>
      </c>
      <c r="N243" s="18">
        <f t="shared" si="42"/>
        <v>0.81282667472670633</v>
      </c>
      <c r="AK243" s="18">
        <f>IF(AND(ISNUMBER(C243),ISNUMBER(ENSO!F243)),C243-ENSO!F243,"")</f>
        <v>-0.12</v>
      </c>
      <c r="AL243" s="18">
        <f t="shared" si="44"/>
        <v>1978.2916666666667</v>
      </c>
      <c r="AM243" s="18">
        <f t="shared" si="45"/>
        <v>0.16999999999999993</v>
      </c>
    </row>
    <row r="244" spans="1:39">
      <c r="A244" s="18" t="str">
        <f>IF(Volcanic!A244="","",Volcanic!A244)</f>
        <v>5/1978</v>
      </c>
      <c r="B244" s="18">
        <f>IF(ISNUMBER(Volcanic!L244),Volcanic!L244,"")</f>
        <v>1978.375</v>
      </c>
      <c r="C244" s="21">
        <v>-0.36</v>
      </c>
      <c r="D244" s="18">
        <f t="shared" si="43"/>
        <v>0.6</v>
      </c>
      <c r="E244" s="18">
        <f>IF(ISNUMBER(Volcanic!B244),Volcanic!B244,"")</f>
        <v>8.9999999999999858E-2</v>
      </c>
      <c r="F244" s="18">
        <f>IF(ISNUMBER(Volcanic!C244),Volcanic!C244,"")</f>
        <v>0.27168178338214594</v>
      </c>
      <c r="G244" s="18">
        <f>IF(ISNUMBER(Volcanic!E244),Volcanic!E244,"")</f>
        <v>4.5300000000000002E-3</v>
      </c>
      <c r="H244" s="18">
        <f>IF(ISNUMBER(Volcanic!D244),Volcanic!D244,"")</f>
        <v>0.52</v>
      </c>
      <c r="I244" s="18">
        <f t="shared" si="37"/>
        <v>0.27168178338214594</v>
      </c>
      <c r="J244" s="18">
        <f t="shared" si="38"/>
        <v>4.5300000000000002E-3</v>
      </c>
      <c r="K244" s="18">
        <f t="shared" si="39"/>
        <v>0.6</v>
      </c>
      <c r="L244" s="18">
        <f t="shared" si="40"/>
        <v>0.27168178338214594</v>
      </c>
      <c r="M244" s="18">
        <f t="shared" si="41"/>
        <v>4.5300000000000002E-3</v>
      </c>
      <c r="N244" s="18">
        <f t="shared" si="42"/>
        <v>0.47351669421730447</v>
      </c>
      <c r="AK244" s="18">
        <f>IF(AND(ISNUMBER(C244),ISNUMBER(ENSO!F244)),C244-ENSO!F244,"")</f>
        <v>-7.999999999999996E-2</v>
      </c>
      <c r="AL244" s="18">
        <f t="shared" si="44"/>
        <v>1978.375</v>
      </c>
      <c r="AM244" s="18">
        <f t="shared" si="45"/>
        <v>8.9999999999999858E-2</v>
      </c>
    </row>
    <row r="245" spans="1:39">
      <c r="A245" s="18" t="str">
        <f>IF(Volcanic!A245="","",Volcanic!A245)</f>
        <v>6/1978</v>
      </c>
      <c r="B245" s="18">
        <f>IF(ISNUMBER(Volcanic!L245),Volcanic!L245,"")</f>
        <v>1978.4583333333333</v>
      </c>
      <c r="C245" s="21">
        <v>-0.28999999999999998</v>
      </c>
      <c r="D245" s="18">
        <f t="shared" si="43"/>
        <v>0.13</v>
      </c>
      <c r="E245" s="18">
        <f>IF(ISNUMBER(Volcanic!B245),Volcanic!B245,"")</f>
        <v>-9.9999999999980105E-3</v>
      </c>
      <c r="F245" s="18">
        <f>IF(ISNUMBER(Volcanic!C245),Volcanic!C245,"")</f>
        <v>0.27163910199105418</v>
      </c>
      <c r="G245" s="18">
        <f>IF(ISNUMBER(Volcanic!E245),Volcanic!E245,"")</f>
        <v>4.4400000000000004E-3</v>
      </c>
      <c r="H245" s="18">
        <f>IF(ISNUMBER(Volcanic!D245),Volcanic!D245,"")</f>
        <v>0.17</v>
      </c>
      <c r="I245" s="18">
        <f t="shared" si="37"/>
        <v>0.27163910199105418</v>
      </c>
      <c r="J245" s="18">
        <f t="shared" si="38"/>
        <v>4.4400000000000004E-3</v>
      </c>
      <c r="K245" s="18">
        <f t="shared" si="39"/>
        <v>0.13</v>
      </c>
      <c r="L245" s="18">
        <f t="shared" si="40"/>
        <v>0.27163910199105418</v>
      </c>
      <c r="M245" s="18">
        <f t="shared" si="41"/>
        <v>4.4400000000000004E-3</v>
      </c>
      <c r="N245" s="18">
        <f t="shared" si="42"/>
        <v>4.2067137079025985E-3</v>
      </c>
      <c r="AK245" s="18">
        <f>IF(AND(ISNUMBER(C245),ISNUMBER(ENSO!F245)),C245-ENSO!F245,"")</f>
        <v>-4.9999999999999989E-2</v>
      </c>
      <c r="AL245" s="18">
        <f t="shared" si="44"/>
        <v>1978.4583333333333</v>
      </c>
      <c r="AM245" s="18">
        <f t="shared" si="45"/>
        <v>-9.9999999999980105E-3</v>
      </c>
    </row>
    <row r="246" spans="1:39">
      <c r="A246" s="18" t="str">
        <f>IF(Volcanic!A246="","",Volcanic!A246)</f>
        <v>7/1978</v>
      </c>
      <c r="B246" s="18">
        <f>IF(ISNUMBER(Volcanic!L246),Volcanic!L246,"")</f>
        <v>1978.5416666666667</v>
      </c>
      <c r="C246" s="21">
        <v>-0.32</v>
      </c>
      <c r="D246" s="18">
        <f t="shared" si="43"/>
        <v>-0.18</v>
      </c>
      <c r="E246" s="18">
        <f>IF(ISNUMBER(Volcanic!B246),Volcanic!B246,"")</f>
        <v>3.9999999999999147E-2</v>
      </c>
      <c r="F246" s="18">
        <f>IF(ISNUMBER(Volcanic!C246),Volcanic!C246,"")</f>
        <v>0.26517967766535055</v>
      </c>
      <c r="G246" s="18">
        <f>IF(ISNUMBER(Volcanic!E246),Volcanic!E246,"")</f>
        <v>4.3200000000000001E-3</v>
      </c>
      <c r="H246" s="18">
        <f>IF(ISNUMBER(Volcanic!D246),Volcanic!D246,"")</f>
        <v>-0.06</v>
      </c>
      <c r="I246" s="18">
        <f t="shared" si="37"/>
        <v>0.26517967766535055</v>
      </c>
      <c r="J246" s="18">
        <f t="shared" si="38"/>
        <v>4.3200000000000001E-3</v>
      </c>
      <c r="K246" s="18">
        <f t="shared" si="39"/>
        <v>-0.18</v>
      </c>
      <c r="L246" s="18">
        <f t="shared" si="40"/>
        <v>0.26517967766535055</v>
      </c>
      <c r="M246" s="18">
        <f t="shared" si="41"/>
        <v>4.3200000000000001E-3</v>
      </c>
      <c r="N246" s="18">
        <f t="shared" si="42"/>
        <v>-0.30510326680149574</v>
      </c>
      <c r="AK246" s="18">
        <f>IF(AND(ISNUMBER(C246),ISNUMBER(ENSO!F246)),C246-ENSO!F246,"")</f>
        <v>4.9999999999999989E-2</v>
      </c>
      <c r="AL246" s="18">
        <f t="shared" si="44"/>
        <v>1978.5416666666667</v>
      </c>
      <c r="AM246" s="18">
        <f t="shared" si="45"/>
        <v>3.9999999999999147E-2</v>
      </c>
    </row>
    <row r="247" spans="1:39">
      <c r="A247" s="18" t="str">
        <f>IF(Volcanic!A247="","",Volcanic!A247)</f>
        <v>8/1978</v>
      </c>
      <c r="B247" s="18">
        <f>IF(ISNUMBER(Volcanic!L247),Volcanic!L247,"")</f>
        <v>1978.625</v>
      </c>
      <c r="C247" s="21">
        <v>-0.28000000000000003</v>
      </c>
      <c r="D247" s="18">
        <f t="shared" si="43"/>
        <v>-0.36</v>
      </c>
      <c r="E247" s="18">
        <f>IF(ISNUMBER(Volcanic!B247),Volcanic!B247,"")</f>
        <v>-0.13999999999999879</v>
      </c>
      <c r="F247" s="18">
        <f>IF(ISNUMBER(Volcanic!C247),Volcanic!C247,"")</f>
        <v>0.25623430325691615</v>
      </c>
      <c r="G247" s="18">
        <f>IF(ISNUMBER(Volcanic!E247),Volcanic!E247,"")</f>
        <v>4.2100000000000002E-3</v>
      </c>
      <c r="H247" s="18">
        <f>IF(ISNUMBER(Volcanic!D247),Volcanic!D247,"")</f>
        <v>-0.28000000000000003</v>
      </c>
      <c r="I247" s="18">
        <f t="shared" si="37"/>
        <v>0.25623430325691615</v>
      </c>
      <c r="J247" s="18">
        <f t="shared" si="38"/>
        <v>4.2100000000000002E-3</v>
      </c>
      <c r="K247" s="18">
        <f t="shared" si="39"/>
        <v>-0.36</v>
      </c>
      <c r="L247" s="18">
        <f t="shared" si="40"/>
        <v>0.25623430325691615</v>
      </c>
      <c r="M247" s="18">
        <f t="shared" si="41"/>
        <v>4.2100000000000002E-3</v>
      </c>
      <c r="N247" s="18">
        <f t="shared" si="42"/>
        <v>-0.48441324731089763</v>
      </c>
      <c r="AK247" s="18">
        <f>IF(AND(ISNUMBER(C247),ISNUMBER(ENSO!F247)),C247-ENSO!F247,"")</f>
        <v>8.9999999999999969E-2</v>
      </c>
      <c r="AL247" s="18">
        <f t="shared" si="44"/>
        <v>1978.625</v>
      </c>
      <c r="AM247" s="18">
        <f t="shared" si="45"/>
        <v>-0.13999999999999879</v>
      </c>
    </row>
    <row r="248" spans="1:39">
      <c r="A248" s="18" t="str">
        <f>IF(Volcanic!A248="","",Volcanic!A248)</f>
        <v>9/1978</v>
      </c>
      <c r="B248" s="18">
        <f>IF(ISNUMBER(Volcanic!L248),Volcanic!L248,"")</f>
        <v>1978.7083333333333</v>
      </c>
      <c r="C248" s="21">
        <v>-0.2</v>
      </c>
      <c r="D248" s="18">
        <f t="shared" si="43"/>
        <v>-0.28999999999999998</v>
      </c>
      <c r="E248" s="18">
        <f>IF(ISNUMBER(Volcanic!B248),Volcanic!B248,"")</f>
        <v>5.9999999999998721E-2</v>
      </c>
      <c r="F248" s="18">
        <f>IF(ISNUMBER(Volcanic!C248),Volcanic!C248,"")</f>
        <v>0.24731993497981972</v>
      </c>
      <c r="G248" s="18">
        <f>IF(ISNUMBER(Volcanic!E248),Volcanic!E248,"")</f>
        <v>4.0699999999999998E-3</v>
      </c>
      <c r="H248" s="18">
        <f>IF(ISNUMBER(Volcanic!D248),Volcanic!D248,"")</f>
        <v>-0.24</v>
      </c>
      <c r="I248" s="18">
        <f t="shared" si="37"/>
        <v>0.24731993497981972</v>
      </c>
      <c r="J248" s="18">
        <f t="shared" si="38"/>
        <v>4.0699999999999998E-3</v>
      </c>
      <c r="K248" s="18">
        <f t="shared" si="39"/>
        <v>-0.28999999999999998</v>
      </c>
      <c r="L248" s="18">
        <f t="shared" si="40"/>
        <v>0.24731993497981972</v>
      </c>
      <c r="M248" s="18">
        <f t="shared" si="41"/>
        <v>4.0699999999999998E-3</v>
      </c>
      <c r="N248" s="18">
        <f t="shared" si="42"/>
        <v>-0.41372322782029952</v>
      </c>
      <c r="AK248" s="18">
        <f>IF(AND(ISNUMBER(C248),ISNUMBER(ENSO!F248)),C248-ENSO!F248,"")</f>
        <v>0.24</v>
      </c>
      <c r="AL248" s="18">
        <f t="shared" si="44"/>
        <v>1978.7083333333333</v>
      </c>
      <c r="AM248" s="18">
        <f t="shared" si="45"/>
        <v>5.9999999999998721E-2</v>
      </c>
    </row>
    <row r="249" spans="1:39">
      <c r="A249" s="18" t="str">
        <f>IF(Volcanic!A249="","",Volcanic!A249)</f>
        <v>10/1978</v>
      </c>
      <c r="B249" s="18">
        <f>IF(ISNUMBER(Volcanic!L249),Volcanic!L249,"")</f>
        <v>1978.7916666666667</v>
      </c>
      <c r="C249" s="21">
        <v>-0.05</v>
      </c>
      <c r="D249" s="18">
        <f t="shared" si="43"/>
        <v>-0.32</v>
      </c>
      <c r="E249" s="18">
        <f>IF(ISNUMBER(Volcanic!B249),Volcanic!B249,"")</f>
        <v>2.9999999999997584E-2</v>
      </c>
      <c r="F249" s="18">
        <f>IF(ISNUMBER(Volcanic!C249),Volcanic!C249,"")</f>
        <v>0.24771055050748395</v>
      </c>
      <c r="G249" s="18">
        <f>IF(ISNUMBER(Volcanic!E249),Volcanic!E249,"")</f>
        <v>4.0000000000000001E-3</v>
      </c>
      <c r="H249" s="18">
        <f>IF(ISNUMBER(Volcanic!D249),Volcanic!D249,"")</f>
        <v>-0.37</v>
      </c>
      <c r="I249" s="18">
        <f t="shared" si="37"/>
        <v>0.24771055050748395</v>
      </c>
      <c r="J249" s="18">
        <f t="shared" si="38"/>
        <v>4.0000000000000001E-3</v>
      </c>
      <c r="K249" s="18">
        <f t="shared" si="39"/>
        <v>-0.32</v>
      </c>
      <c r="L249" s="18">
        <f t="shared" si="40"/>
        <v>0.24771055050748395</v>
      </c>
      <c r="M249" s="18">
        <f t="shared" si="41"/>
        <v>4.0000000000000001E-3</v>
      </c>
      <c r="N249" s="18">
        <f t="shared" si="42"/>
        <v>-0.44303320832970144</v>
      </c>
      <c r="AK249" s="18">
        <f>IF(AND(ISNUMBER(C249),ISNUMBER(ENSO!F249)),C249-ENSO!F249,"")</f>
        <v>0.22000000000000003</v>
      </c>
      <c r="AL249" s="18">
        <f t="shared" si="44"/>
        <v>1978.7916666666667</v>
      </c>
      <c r="AM249" s="18">
        <f t="shared" si="45"/>
        <v>2.9999999999997584E-2</v>
      </c>
    </row>
    <row r="250" spans="1:39">
      <c r="A250" s="18" t="str">
        <f>IF(Volcanic!A250="","",Volcanic!A250)</f>
        <v>11/1978</v>
      </c>
      <c r="B250" s="18">
        <f>IF(ISNUMBER(Volcanic!L250),Volcanic!L250,"")</f>
        <v>1978.875</v>
      </c>
      <c r="C250" s="21">
        <v>0.15</v>
      </c>
      <c r="D250" s="18">
        <f t="shared" si="43"/>
        <v>-0.28000000000000003</v>
      </c>
      <c r="E250" s="18">
        <f>IF(ISNUMBER(Volcanic!B250),Volcanic!B250,"")</f>
        <v>0.12999999999999901</v>
      </c>
      <c r="F250" s="18">
        <f>IF(ISNUMBER(Volcanic!C250),Volcanic!C250,"")</f>
        <v>0.25338423580007446</v>
      </c>
      <c r="G250" s="18">
        <f>IF(ISNUMBER(Volcanic!E250),Volcanic!E250,"")</f>
        <v>4.0299999999999997E-3</v>
      </c>
      <c r="H250" s="18">
        <f>IF(ISNUMBER(Volcanic!D250),Volcanic!D250,"")</f>
        <v>-0.37</v>
      </c>
      <c r="I250" s="18">
        <f t="shared" si="37"/>
        <v>0.25338423580007446</v>
      </c>
      <c r="J250" s="18">
        <f t="shared" si="38"/>
        <v>4.0299999999999997E-3</v>
      </c>
      <c r="K250" s="18">
        <f t="shared" si="39"/>
        <v>-0.28000000000000003</v>
      </c>
      <c r="L250" s="18">
        <f t="shared" si="40"/>
        <v>0.25338423580007446</v>
      </c>
      <c r="M250" s="18">
        <f t="shared" si="41"/>
        <v>4.0299999999999997E-3</v>
      </c>
      <c r="N250" s="18">
        <f t="shared" si="42"/>
        <v>-0.40234318883910336</v>
      </c>
      <c r="AK250" s="18">
        <f>IF(AND(ISNUMBER(C250),ISNUMBER(ENSO!F250)),C250-ENSO!F250,"")</f>
        <v>0.22</v>
      </c>
      <c r="AL250" s="18">
        <f t="shared" si="44"/>
        <v>1978.875</v>
      </c>
      <c r="AM250" s="18">
        <f t="shared" si="45"/>
        <v>0.12999999999999901</v>
      </c>
    </row>
    <row r="251" spans="1:39">
      <c r="A251" s="18" t="str">
        <f>IF(Volcanic!A251="","",Volcanic!A251)</f>
        <v>12/1978</v>
      </c>
      <c r="B251" s="18">
        <f>IF(ISNUMBER(Volcanic!L251),Volcanic!L251,"")</f>
        <v>1978.9583333333333</v>
      </c>
      <c r="C251" s="21">
        <v>0.17</v>
      </c>
      <c r="D251" s="18">
        <f t="shared" si="43"/>
        <v>-0.2</v>
      </c>
      <c r="E251" s="18">
        <f>IF(ISNUMBER(Volcanic!B251),Volcanic!B251,"")</f>
        <v>8.0000000000000071E-2</v>
      </c>
      <c r="F251" s="18">
        <f>IF(ISNUMBER(Volcanic!C251),Volcanic!C251,"")</f>
        <v>0.25834662661407437</v>
      </c>
      <c r="G251" s="18">
        <f>IF(ISNUMBER(Volcanic!E251),Volcanic!E251,"")</f>
        <v>4.0699999999999998E-3</v>
      </c>
      <c r="H251" s="18">
        <f>IF(ISNUMBER(Volcanic!D251),Volcanic!D251,"")</f>
        <v>-0.44</v>
      </c>
      <c r="I251" s="18">
        <f t="shared" si="37"/>
        <v>0.25834662661407437</v>
      </c>
      <c r="J251" s="18">
        <f t="shared" si="38"/>
        <v>4.0699999999999998E-3</v>
      </c>
      <c r="K251" s="18">
        <f t="shared" si="39"/>
        <v>-0.2</v>
      </c>
      <c r="L251" s="18">
        <f t="shared" si="40"/>
        <v>0.25834662661407437</v>
      </c>
      <c r="M251" s="18">
        <f t="shared" si="41"/>
        <v>4.0699999999999998E-3</v>
      </c>
      <c r="N251" s="18">
        <f t="shared" si="42"/>
        <v>-0.32165316934850169</v>
      </c>
      <c r="AK251" s="18">
        <f>IF(AND(ISNUMBER(C251),ISNUMBER(ENSO!F251)),C251-ENSO!F251,"")</f>
        <v>6.0000000000000012E-2</v>
      </c>
      <c r="AL251" s="18">
        <f t="shared" si="44"/>
        <v>1978.9583333333333</v>
      </c>
      <c r="AM251" s="18">
        <f t="shared" si="45"/>
        <v>8.0000000000000071E-2</v>
      </c>
    </row>
    <row r="252" spans="1:39">
      <c r="A252" s="18" t="str">
        <f>IF(Volcanic!A252="","",Volcanic!A252)</f>
        <v>1/1979</v>
      </c>
      <c r="B252" s="18">
        <f>IF(ISNUMBER(Volcanic!L252),Volcanic!L252,"")</f>
        <v>1979.0416666666667</v>
      </c>
      <c r="C252" s="21">
        <v>0.17</v>
      </c>
      <c r="D252" s="18">
        <f t="shared" si="43"/>
        <v>-0.05</v>
      </c>
      <c r="E252" s="18">
        <f>IF(ISNUMBER(Volcanic!B252),Volcanic!B252,"")</f>
        <v>8.9999999999999858E-2</v>
      </c>
      <c r="F252" s="18">
        <f>IF(ISNUMBER(Volcanic!C252),Volcanic!C252,"")</f>
        <v>0.26363540356832926</v>
      </c>
      <c r="G252" s="18">
        <f>IF(ISNUMBER(Volcanic!E252),Volcanic!E252,"")</f>
        <v>4.1399999999999996E-3</v>
      </c>
      <c r="H252" s="18">
        <f>IF(ISNUMBER(Volcanic!D252),Volcanic!D252,"")</f>
        <v>-0.27</v>
      </c>
      <c r="I252" s="18">
        <f t="shared" si="37"/>
        <v>0.26363540356832926</v>
      </c>
      <c r="J252" s="18">
        <f t="shared" si="38"/>
        <v>4.1399999999999996E-3</v>
      </c>
      <c r="K252" s="18">
        <f t="shared" si="39"/>
        <v>-0.05</v>
      </c>
      <c r="L252" s="18">
        <f t="shared" si="40"/>
        <v>0.26363540356832926</v>
      </c>
      <c r="M252" s="18">
        <f t="shared" si="41"/>
        <v>4.1399999999999996E-3</v>
      </c>
      <c r="N252" s="18">
        <f t="shared" si="42"/>
        <v>-0.17096314985790356</v>
      </c>
      <c r="AK252" s="18">
        <f>IF(AND(ISNUMBER(C252),ISNUMBER(ENSO!F252)),C252-ENSO!F252,"")</f>
        <v>-1.999999999999999E-2</v>
      </c>
      <c r="AL252" s="18">
        <f t="shared" si="44"/>
        <v>1979.0416666666667</v>
      </c>
      <c r="AM252" s="18">
        <f t="shared" si="45"/>
        <v>8.9999999999999858E-2</v>
      </c>
    </row>
    <row r="253" spans="1:39">
      <c r="A253" s="18" t="str">
        <f>IF(Volcanic!A253="","",Volcanic!A253)</f>
        <v>2/1979</v>
      </c>
      <c r="B253" s="18">
        <f>IF(ISNUMBER(Volcanic!L253),Volcanic!L253,"")</f>
        <v>1979.125</v>
      </c>
      <c r="C253" s="21">
        <v>0.15</v>
      </c>
      <c r="D253" s="18">
        <f t="shared" si="43"/>
        <v>0.15</v>
      </c>
      <c r="E253" s="18">
        <f>IF(ISNUMBER(Volcanic!B253),Volcanic!B253,"")</f>
        <v>-0.10000000000000142</v>
      </c>
      <c r="F253" s="18">
        <f>IF(ISNUMBER(Volcanic!C253),Volcanic!C253,"")</f>
        <v>0.2659940452734475</v>
      </c>
      <c r="G253" s="18">
        <f>IF(ISNUMBER(Volcanic!E253),Volcanic!E253,"")</f>
        <v>4.2199999999999998E-3</v>
      </c>
      <c r="H253" s="18">
        <f>IF(ISNUMBER(Volcanic!D253),Volcanic!D253,"")</f>
        <v>-7.0000000000000007E-2</v>
      </c>
      <c r="I253" s="18">
        <f t="shared" si="37"/>
        <v>0.2659940452734475</v>
      </c>
      <c r="J253" s="18">
        <f t="shared" si="38"/>
        <v>4.2199999999999998E-3</v>
      </c>
      <c r="K253" s="18">
        <f t="shared" si="39"/>
        <v>0.15</v>
      </c>
      <c r="L253" s="18">
        <f t="shared" si="40"/>
        <v>0.2659940452734475</v>
      </c>
      <c r="M253" s="18">
        <f t="shared" si="41"/>
        <v>4.2199999999999998E-3</v>
      </c>
      <c r="N253" s="18">
        <f t="shared" si="42"/>
        <v>2.9726869632694525E-2</v>
      </c>
      <c r="AK253" s="18">
        <f>IF(AND(ISNUMBER(C253),ISNUMBER(ENSO!F253)),C253-ENSO!F253,"")</f>
        <v>-0.06</v>
      </c>
      <c r="AL253" s="18">
        <f t="shared" si="44"/>
        <v>1979.125</v>
      </c>
      <c r="AM253" s="18">
        <f t="shared" si="45"/>
        <v>-0.10000000000000142</v>
      </c>
    </row>
    <row r="254" spans="1:39">
      <c r="A254" s="18" t="str">
        <f>IF(Volcanic!A254="","",Volcanic!A254)</f>
        <v>3/1979</v>
      </c>
      <c r="B254" s="18">
        <f>IF(ISNUMBER(Volcanic!L254),Volcanic!L254,"")</f>
        <v>1979.2083333333333</v>
      </c>
      <c r="C254" s="21">
        <v>0.21</v>
      </c>
      <c r="D254" s="18">
        <f t="shared" si="43"/>
        <v>0.17</v>
      </c>
      <c r="E254" s="18">
        <f>IF(ISNUMBER(Volcanic!B254),Volcanic!B254,"")</f>
        <v>0.19000000000000128</v>
      </c>
      <c r="F254" s="18">
        <f>IF(ISNUMBER(Volcanic!C254),Volcanic!C254,"")</f>
        <v>0.27274840798594358</v>
      </c>
      <c r="G254" s="18">
        <f>IF(ISNUMBER(Volcanic!E254),Volcanic!E254,"")</f>
        <v>4.3299999999999996E-3</v>
      </c>
      <c r="H254" s="18">
        <f>IF(ISNUMBER(Volcanic!D254),Volcanic!D254,"")</f>
        <v>0.11</v>
      </c>
      <c r="I254" s="18">
        <f t="shared" si="37"/>
        <v>0.27274840798594358</v>
      </c>
      <c r="J254" s="18">
        <f t="shared" si="38"/>
        <v>4.3299999999999996E-3</v>
      </c>
      <c r="K254" s="18">
        <f t="shared" si="39"/>
        <v>0.17</v>
      </c>
      <c r="L254" s="18">
        <f t="shared" si="40"/>
        <v>0.27274840798594358</v>
      </c>
      <c r="M254" s="18">
        <f t="shared" si="41"/>
        <v>4.3299999999999996E-3</v>
      </c>
      <c r="N254" s="18">
        <f t="shared" si="42"/>
        <v>5.0416889123292646E-2</v>
      </c>
      <c r="AK254" s="18">
        <f>IF(AND(ISNUMBER(C254),ISNUMBER(ENSO!F254)),C254-ENSO!F254,"")</f>
        <v>-7.9999999999999988E-2</v>
      </c>
      <c r="AL254" s="18">
        <f t="shared" si="44"/>
        <v>1979.2083333333333</v>
      </c>
      <c r="AM254" s="18">
        <f t="shared" si="45"/>
        <v>0.19000000000000128</v>
      </c>
    </row>
    <row r="255" spans="1:39">
      <c r="A255" s="18" t="str">
        <f>IF(Volcanic!A255="","",Volcanic!A255)</f>
        <v>4/1979</v>
      </c>
      <c r="B255" s="18">
        <f>IF(ISNUMBER(Volcanic!L255),Volcanic!L255,"")</f>
        <v>1979.2916666666667</v>
      </c>
      <c r="C255" s="21">
        <v>0.2</v>
      </c>
      <c r="D255" s="18">
        <f t="shared" si="43"/>
        <v>0.17</v>
      </c>
      <c r="E255" s="18">
        <f>IF(ISNUMBER(Volcanic!B255),Volcanic!B255,"")</f>
        <v>0.14999999999999858</v>
      </c>
      <c r="F255" s="18">
        <f>IF(ISNUMBER(Volcanic!C255),Volcanic!C255,"")</f>
        <v>0.27509220998275441</v>
      </c>
      <c r="G255" s="18">
        <f>IF(ISNUMBER(Volcanic!E255),Volcanic!E255,"")</f>
        <v>4.4000000000000003E-3</v>
      </c>
      <c r="H255" s="18">
        <f>IF(ISNUMBER(Volcanic!D255),Volcanic!D255,"")</f>
        <v>0.19</v>
      </c>
      <c r="I255" s="18">
        <f t="shared" si="37"/>
        <v>0.27509220998275441</v>
      </c>
      <c r="J255" s="18">
        <f t="shared" si="38"/>
        <v>4.4000000000000003E-3</v>
      </c>
      <c r="K255" s="18">
        <f t="shared" si="39"/>
        <v>0.17</v>
      </c>
      <c r="L255" s="18">
        <f t="shared" si="40"/>
        <v>0.27509220998275441</v>
      </c>
      <c r="M255" s="18">
        <f t="shared" si="41"/>
        <v>4.4000000000000003E-3</v>
      </c>
      <c r="N255" s="18">
        <f t="shared" si="42"/>
        <v>5.1106908613894303E-2</v>
      </c>
      <c r="AK255" s="18">
        <f>IF(AND(ISNUMBER(C255),ISNUMBER(ENSO!F255)),C255-ENSO!F255,"")</f>
        <v>-0.12</v>
      </c>
      <c r="AL255" s="18">
        <f t="shared" si="44"/>
        <v>1979.2916666666667</v>
      </c>
      <c r="AM255" s="18">
        <f t="shared" si="45"/>
        <v>0.14999999999999858</v>
      </c>
    </row>
    <row r="256" spans="1:39">
      <c r="A256" s="18" t="str">
        <f>IF(Volcanic!A256="","",Volcanic!A256)</f>
        <v>5/1979</v>
      </c>
      <c r="B256" s="18">
        <f>IF(ISNUMBER(Volcanic!L256),Volcanic!L256,"")</f>
        <v>1979.375</v>
      </c>
      <c r="C256" s="21">
        <v>0.08</v>
      </c>
      <c r="D256" s="18">
        <f t="shared" si="43"/>
        <v>0.15</v>
      </c>
      <c r="E256" s="18">
        <f>IF(ISNUMBER(Volcanic!B256),Volcanic!B256,"")</f>
        <v>2.9999999999997584E-2</v>
      </c>
      <c r="F256" s="18">
        <f>IF(ISNUMBER(Volcanic!C256),Volcanic!C256,"")</f>
        <v>0.27687946183264034</v>
      </c>
      <c r="G256" s="18">
        <f>IF(ISNUMBER(Volcanic!E256),Volcanic!E256,"")</f>
        <v>4.4799999999999996E-3</v>
      </c>
      <c r="H256" s="18">
        <f>IF(ISNUMBER(Volcanic!D256),Volcanic!D256,"")</f>
        <v>0.21</v>
      </c>
      <c r="I256" s="18">
        <f t="shared" si="37"/>
        <v>0.27687946183264034</v>
      </c>
      <c r="J256" s="18">
        <f t="shared" si="38"/>
        <v>4.4799999999999996E-3</v>
      </c>
      <c r="K256" s="18">
        <f t="shared" si="39"/>
        <v>0.15</v>
      </c>
      <c r="L256" s="18">
        <f t="shared" si="40"/>
        <v>0.27687946183264034</v>
      </c>
      <c r="M256" s="18">
        <f t="shared" si="41"/>
        <v>4.4799999999999996E-3</v>
      </c>
      <c r="N256" s="18">
        <f t="shared" si="42"/>
        <v>3.1796928104492389E-2</v>
      </c>
      <c r="AK256" s="18">
        <f>IF(AND(ISNUMBER(C256),ISNUMBER(ENSO!F256)),C256-ENSO!F256,"")</f>
        <v>-0.20999999999999996</v>
      </c>
      <c r="AL256" s="18">
        <f t="shared" si="44"/>
        <v>1979.375</v>
      </c>
      <c r="AM256" s="18">
        <f t="shared" si="45"/>
        <v>2.9999999999997584E-2</v>
      </c>
    </row>
    <row r="257" spans="1:39">
      <c r="A257" s="18" t="str">
        <f>IF(Volcanic!A257="","",Volcanic!A257)</f>
        <v>6/1979</v>
      </c>
      <c r="B257" s="18">
        <f>IF(ISNUMBER(Volcanic!L257),Volcanic!L257,"")</f>
        <v>1979.4583333333333</v>
      </c>
      <c r="C257" s="21">
        <v>-0.08</v>
      </c>
      <c r="D257" s="18">
        <f t="shared" si="43"/>
        <v>0.21</v>
      </c>
      <c r="E257" s="18">
        <f>IF(ISNUMBER(Volcanic!B257),Volcanic!B257,"")</f>
        <v>0.13999999999999879</v>
      </c>
      <c r="F257" s="18">
        <f>IF(ISNUMBER(Volcanic!C257),Volcanic!C257,"")</f>
        <v>0.27696451386160453</v>
      </c>
      <c r="G257" s="18">
        <f>IF(ISNUMBER(Volcanic!E257),Volcanic!E257,"")</f>
        <v>4.3899999999999998E-3</v>
      </c>
      <c r="H257" s="18">
        <f>IF(ISNUMBER(Volcanic!D257),Volcanic!D257,"")</f>
        <v>0.28999999999999998</v>
      </c>
      <c r="I257" s="18">
        <f t="shared" si="37"/>
        <v>0.27696451386160453</v>
      </c>
      <c r="J257" s="18">
        <f t="shared" si="38"/>
        <v>4.3899999999999998E-3</v>
      </c>
      <c r="K257" s="18">
        <f t="shared" si="39"/>
        <v>0.21</v>
      </c>
      <c r="L257" s="18">
        <f t="shared" si="40"/>
        <v>0.27696451386160453</v>
      </c>
      <c r="M257" s="18">
        <f t="shared" si="41"/>
        <v>4.3899999999999998E-3</v>
      </c>
      <c r="N257" s="18">
        <f t="shared" si="42"/>
        <v>9.2486947595090491E-2</v>
      </c>
      <c r="AK257" s="18">
        <f>IF(AND(ISNUMBER(C257),ISNUMBER(ENSO!F257)),C257-ENSO!F257,"")</f>
        <v>-0.22000000000000003</v>
      </c>
      <c r="AL257" s="18">
        <f t="shared" si="44"/>
        <v>1979.4583333333333</v>
      </c>
      <c r="AM257" s="18">
        <f t="shared" si="45"/>
        <v>0.13999999999999879</v>
      </c>
    </row>
    <row r="258" spans="1:39">
      <c r="A258" s="18" t="str">
        <f>IF(Volcanic!A258="","",Volcanic!A258)</f>
        <v>7/1979</v>
      </c>
      <c r="B258" s="18">
        <f>IF(ISNUMBER(Volcanic!L258),Volcanic!L258,"")</f>
        <v>1979.5416666666667</v>
      </c>
      <c r="C258" s="21">
        <v>-0.02</v>
      </c>
      <c r="D258" s="18">
        <f t="shared" si="43"/>
        <v>0.2</v>
      </c>
      <c r="E258" s="18">
        <f>IF(ISNUMBER(Volcanic!B258),Volcanic!B258,"")</f>
        <v>3.9999999999999147E-2</v>
      </c>
      <c r="F258" s="18">
        <f>IF(ISNUMBER(Volcanic!C258),Volcanic!C258,"")</f>
        <v>0.26963165094043912</v>
      </c>
      <c r="G258" s="18">
        <f>IF(ISNUMBER(Volcanic!E258),Volcanic!E258,"")</f>
        <v>4.28E-3</v>
      </c>
      <c r="H258" s="18">
        <f>IF(ISNUMBER(Volcanic!D258),Volcanic!D258,"")</f>
        <v>0.32</v>
      </c>
      <c r="I258" s="18">
        <f t="shared" ref="I258:I321" si="46">F258</f>
        <v>0.26963165094043912</v>
      </c>
      <c r="J258" s="18">
        <f t="shared" ref="J258:J321" si="47">G258</f>
        <v>4.28E-3</v>
      </c>
      <c r="K258" s="18">
        <f t="shared" ref="K258:K321" si="48">IF(ISNUMBER(D258),D258,"")</f>
        <v>0.2</v>
      </c>
      <c r="L258" s="18">
        <f t="shared" ref="L258:L321" si="49">F258</f>
        <v>0.26963165094043912</v>
      </c>
      <c r="M258" s="18">
        <f t="shared" ref="M258:M321" si="50">G258</f>
        <v>4.28E-3</v>
      </c>
      <c r="N258" s="18">
        <f t="shared" ref="N258:N321" si="51">IF(ISNUMBER(D258),D258-($AB$8*B258+$AB$9),"")</f>
        <v>8.3176967085692166E-2</v>
      </c>
      <c r="AK258" s="18">
        <f>IF(AND(ISNUMBER(C258),ISNUMBER(ENSO!F258)),C258-ENSO!F258,"")</f>
        <v>-0.11</v>
      </c>
      <c r="AL258" s="18">
        <f t="shared" si="44"/>
        <v>1979.5416666666667</v>
      </c>
      <c r="AM258" s="18">
        <f t="shared" si="45"/>
        <v>3.9999999999999147E-2</v>
      </c>
    </row>
    <row r="259" spans="1:39">
      <c r="A259" s="18" t="str">
        <f>IF(Volcanic!A259="","",Volcanic!A259)</f>
        <v>8/1979</v>
      </c>
      <c r="B259" s="18">
        <f>IF(ISNUMBER(Volcanic!L259),Volcanic!L259,"")</f>
        <v>1979.625</v>
      </c>
      <c r="C259" s="21">
        <v>0.2</v>
      </c>
      <c r="D259" s="18">
        <f t="shared" si="43"/>
        <v>0.08</v>
      </c>
      <c r="E259" s="18">
        <f>IF(ISNUMBER(Volcanic!B259),Volcanic!B259,"")</f>
        <v>0.16999999999999993</v>
      </c>
      <c r="F259" s="18">
        <f>IF(ISNUMBER(Volcanic!C259),Volcanic!C259,"")</f>
        <v>0.26183165875213665</v>
      </c>
      <c r="G259" s="18">
        <f>IF(ISNUMBER(Volcanic!E259),Volcanic!E259,"")</f>
        <v>5.2700000000000004E-3</v>
      </c>
      <c r="H259" s="18">
        <f>IF(ISNUMBER(Volcanic!D259),Volcanic!D259,"")</f>
        <v>0.28999999999999998</v>
      </c>
      <c r="I259" s="18">
        <f t="shared" si="46"/>
        <v>0.26183165875213665</v>
      </c>
      <c r="J259" s="18">
        <f t="shared" si="47"/>
        <v>5.2700000000000004E-3</v>
      </c>
      <c r="K259" s="18">
        <f t="shared" si="48"/>
        <v>0.08</v>
      </c>
      <c r="L259" s="18">
        <f t="shared" si="49"/>
        <v>0.26183165875213665</v>
      </c>
      <c r="M259" s="18">
        <f t="shared" si="50"/>
        <v>5.2700000000000004E-3</v>
      </c>
      <c r="N259" s="18">
        <f t="shared" si="51"/>
        <v>-3.6133013423709739E-2</v>
      </c>
      <c r="AK259" s="18">
        <f>IF(AND(ISNUMBER(C259),ISNUMBER(ENSO!F259)),C259-ENSO!F259,"")</f>
        <v>-1.999999999999999E-2</v>
      </c>
      <c r="AL259" s="18">
        <f t="shared" si="44"/>
        <v>1979.625</v>
      </c>
      <c r="AM259" s="18">
        <f t="shared" si="45"/>
        <v>0.16999999999999993</v>
      </c>
    </row>
    <row r="260" spans="1:39">
      <c r="A260" s="18" t="str">
        <f>IF(Volcanic!A260="","",Volcanic!A260)</f>
        <v>9/1979</v>
      </c>
      <c r="B260" s="18">
        <f>IF(ISNUMBER(Volcanic!L260),Volcanic!L260,"")</f>
        <v>1979.7083333333333</v>
      </c>
      <c r="C260" s="21">
        <v>0.39</v>
      </c>
      <c r="D260" s="18">
        <f t="shared" si="43"/>
        <v>-0.08</v>
      </c>
      <c r="E260" s="18">
        <f>IF(ISNUMBER(Volcanic!B260),Volcanic!B260,"")</f>
        <v>0.25000000000000355</v>
      </c>
      <c r="F260" s="18">
        <f>IF(ISNUMBER(Volcanic!C260),Volcanic!C260,"")</f>
        <v>0.25429168632221816</v>
      </c>
      <c r="G260" s="18">
        <f>IF(ISNUMBER(Volcanic!E260),Volcanic!E260,"")</f>
        <v>5.2500000000000003E-3</v>
      </c>
      <c r="H260" s="18">
        <f>IF(ISNUMBER(Volcanic!D260),Volcanic!D260,"")</f>
        <v>0.14000000000000001</v>
      </c>
      <c r="I260" s="18">
        <f t="shared" si="46"/>
        <v>0.25429168632221816</v>
      </c>
      <c r="J260" s="18">
        <f t="shared" si="47"/>
        <v>5.2500000000000003E-3</v>
      </c>
      <c r="K260" s="18">
        <f t="shared" si="48"/>
        <v>-0.08</v>
      </c>
      <c r="L260" s="18">
        <f t="shared" si="49"/>
        <v>0.25429168632221816</v>
      </c>
      <c r="M260" s="18">
        <f t="shared" si="50"/>
        <v>5.2500000000000003E-3</v>
      </c>
      <c r="N260" s="18">
        <f t="shared" si="51"/>
        <v>-0.19544299393311165</v>
      </c>
      <c r="AK260" s="18">
        <f>IF(AND(ISNUMBER(C260),ISNUMBER(ENSO!F260)),C260-ENSO!F260,"")</f>
        <v>4.9999999999999989E-2</v>
      </c>
      <c r="AL260" s="18">
        <f t="shared" si="44"/>
        <v>1979.7083333333333</v>
      </c>
      <c r="AM260" s="18">
        <f t="shared" si="45"/>
        <v>0.25000000000000355</v>
      </c>
    </row>
    <row r="261" spans="1:39">
      <c r="A261" s="18" t="str">
        <f>IF(Volcanic!A261="","",Volcanic!A261)</f>
        <v>10/1979</v>
      </c>
      <c r="B261" s="18">
        <f>IF(ISNUMBER(Volcanic!L261),Volcanic!L261,"")</f>
        <v>1979.7916666666667</v>
      </c>
      <c r="C261" s="21">
        <v>0.49</v>
      </c>
      <c r="D261" s="18">
        <f t="shared" ref="D261:D324" si="52">IF(C258="","",C258)</f>
        <v>-0.02</v>
      </c>
      <c r="E261" s="18">
        <f>IF(ISNUMBER(Volcanic!B261),Volcanic!B261,"")</f>
        <v>0.25999999999999979</v>
      </c>
      <c r="F261" s="18">
        <f>IF(ISNUMBER(Volcanic!C261),Volcanic!C261,"")</f>
        <v>0.25545757034741712</v>
      </c>
      <c r="G261" s="18">
        <f>IF(ISNUMBER(Volcanic!E261),Volcanic!E261,"")</f>
        <v>5.2300000000000003E-3</v>
      </c>
      <c r="H261" s="18">
        <f>IF(ISNUMBER(Volcanic!D261),Volcanic!D261,"")</f>
        <v>0.09</v>
      </c>
      <c r="I261" s="18">
        <f t="shared" si="46"/>
        <v>0.25545757034741712</v>
      </c>
      <c r="J261" s="18">
        <f t="shared" si="47"/>
        <v>5.2300000000000003E-3</v>
      </c>
      <c r="K261" s="18">
        <f t="shared" si="48"/>
        <v>-0.02</v>
      </c>
      <c r="L261" s="18">
        <f t="shared" si="49"/>
        <v>0.25545757034741712</v>
      </c>
      <c r="M261" s="18">
        <f t="shared" si="50"/>
        <v>5.2300000000000003E-3</v>
      </c>
      <c r="N261" s="18">
        <f t="shared" si="51"/>
        <v>-0.13475297444251352</v>
      </c>
      <c r="AK261" s="18">
        <f>IF(AND(ISNUMBER(C261),ISNUMBER(ENSO!F261)),C261-ENSO!F261,"")</f>
        <v>2.0000000000000018E-2</v>
      </c>
      <c r="AL261" s="18">
        <f t="shared" si="44"/>
        <v>1979.7916666666667</v>
      </c>
      <c r="AM261" s="18">
        <f t="shared" si="45"/>
        <v>0.25999999999999979</v>
      </c>
    </row>
    <row r="262" spans="1:39">
      <c r="A262" s="18" t="str">
        <f>IF(Volcanic!A262="","",Volcanic!A262)</f>
        <v>11/1979</v>
      </c>
      <c r="B262" s="18">
        <f>IF(ISNUMBER(Volcanic!L262),Volcanic!L262,"")</f>
        <v>1979.875</v>
      </c>
      <c r="C262" s="21">
        <v>0.54</v>
      </c>
      <c r="D262" s="18">
        <f t="shared" si="52"/>
        <v>0.2</v>
      </c>
      <c r="E262" s="18">
        <f>IF(ISNUMBER(Volcanic!B262),Volcanic!B262,"")</f>
        <v>0.28000000000000114</v>
      </c>
      <c r="F262" s="18">
        <f>IF(ISNUMBER(Volcanic!C262),Volcanic!C262,"")</f>
        <v>0.26011170737902828</v>
      </c>
      <c r="G262" s="18">
        <f>IF(ISNUMBER(Volcanic!E262),Volcanic!E262,"")</f>
        <v>5.1700000000000001E-3</v>
      </c>
      <c r="H262" s="18">
        <f>IF(ISNUMBER(Volcanic!D262),Volcanic!D262,"")</f>
        <v>0.22</v>
      </c>
      <c r="I262" s="18">
        <f t="shared" si="46"/>
        <v>0.26011170737902828</v>
      </c>
      <c r="J262" s="18">
        <f t="shared" si="47"/>
        <v>5.1700000000000001E-3</v>
      </c>
      <c r="K262" s="18">
        <f t="shared" si="48"/>
        <v>0.2</v>
      </c>
      <c r="L262" s="18">
        <f t="shared" si="49"/>
        <v>0.26011170737902828</v>
      </c>
      <c r="M262" s="18">
        <f t="shared" si="50"/>
        <v>5.1700000000000001E-3</v>
      </c>
      <c r="N262" s="18">
        <f t="shared" si="51"/>
        <v>8.5937045048088134E-2</v>
      </c>
      <c r="AK262" s="18">
        <f>IF(AND(ISNUMBER(C262),ISNUMBER(ENSO!F262)),C262-ENSO!F262,"")</f>
        <v>4.0000000000000036E-2</v>
      </c>
      <c r="AL262" s="18">
        <f t="shared" si="44"/>
        <v>1979.875</v>
      </c>
      <c r="AM262" s="18">
        <f t="shared" si="45"/>
        <v>0.28000000000000114</v>
      </c>
    </row>
    <row r="263" spans="1:39">
      <c r="A263" s="18" t="str">
        <f>IF(Volcanic!A263="","",Volcanic!A263)</f>
        <v>12/1979</v>
      </c>
      <c r="B263" s="18">
        <f>IF(ISNUMBER(Volcanic!L263),Volcanic!L263,"")</f>
        <v>1979.9583333333333</v>
      </c>
      <c r="C263" s="21">
        <v>0.66</v>
      </c>
      <c r="D263" s="18">
        <f t="shared" si="52"/>
        <v>0.39</v>
      </c>
      <c r="E263" s="18">
        <f>IF(ISNUMBER(Volcanic!B263),Volcanic!B263,"")</f>
        <v>0.47000000000000242</v>
      </c>
      <c r="F263" s="18">
        <f>IF(ISNUMBER(Volcanic!C263),Volcanic!C263,"")</f>
        <v>0.26650814596160988</v>
      </c>
      <c r="G263" s="18">
        <f>IF(ISNUMBER(Volcanic!E263),Volcanic!E263,"")</f>
        <v>5.0899999999999999E-3</v>
      </c>
      <c r="H263" s="18">
        <f>IF(ISNUMBER(Volcanic!D263),Volcanic!D263,"")</f>
        <v>0.34</v>
      </c>
      <c r="I263" s="18">
        <f t="shared" si="46"/>
        <v>0.26650814596160988</v>
      </c>
      <c r="J263" s="18">
        <f t="shared" si="47"/>
        <v>5.0899999999999999E-3</v>
      </c>
      <c r="K263" s="18">
        <f t="shared" si="48"/>
        <v>0.39</v>
      </c>
      <c r="L263" s="18">
        <f t="shared" si="49"/>
        <v>0.26650814596160988</v>
      </c>
      <c r="M263" s="18">
        <f t="shared" si="50"/>
        <v>5.0899999999999999E-3</v>
      </c>
      <c r="N263" s="18">
        <f t="shared" si="51"/>
        <v>0.27662706453868624</v>
      </c>
      <c r="AK263" s="18">
        <f>IF(AND(ISNUMBER(C263),ISNUMBER(ENSO!F263)),C263-ENSO!F263,"")</f>
        <v>2.0000000000000018E-2</v>
      </c>
      <c r="AL263" s="18">
        <f t="shared" si="44"/>
        <v>1979.9583333333333</v>
      </c>
      <c r="AM263" s="18">
        <f t="shared" si="45"/>
        <v>0.47000000000000242</v>
      </c>
    </row>
    <row r="264" spans="1:39">
      <c r="A264" s="18" t="str">
        <f>IF(Volcanic!A264="","",Volcanic!A264)</f>
        <v>1/1980</v>
      </c>
      <c r="B264" s="18">
        <f>IF(ISNUMBER(Volcanic!L264),Volcanic!L264,"")</f>
        <v>1980.0416666666667</v>
      </c>
      <c r="C264" s="21">
        <v>0.64</v>
      </c>
      <c r="D264" s="18">
        <f t="shared" si="52"/>
        <v>0.49</v>
      </c>
      <c r="E264" s="18">
        <f>IF(ISNUMBER(Volcanic!B264),Volcanic!B264,"")</f>
        <v>0.30000000000000249</v>
      </c>
      <c r="F264" s="18">
        <f>IF(ISNUMBER(Volcanic!C264),Volcanic!C264,"")</f>
        <v>0.2711695233314726</v>
      </c>
      <c r="G264" s="18">
        <f>IF(ISNUMBER(Volcanic!E264),Volcanic!E264,"")</f>
        <v>5.1200000000000004E-3</v>
      </c>
      <c r="H264" s="18">
        <f>IF(ISNUMBER(Volcanic!D264),Volcanic!D264,"")</f>
        <v>0.47</v>
      </c>
      <c r="I264" s="18">
        <f t="shared" si="46"/>
        <v>0.2711695233314726</v>
      </c>
      <c r="J264" s="18">
        <f t="shared" si="47"/>
        <v>5.1200000000000004E-3</v>
      </c>
      <c r="K264" s="18">
        <f t="shared" si="48"/>
        <v>0.49</v>
      </c>
      <c r="L264" s="18">
        <f t="shared" si="49"/>
        <v>0.2711695233314726</v>
      </c>
      <c r="M264" s="18">
        <f t="shared" si="50"/>
        <v>5.1200000000000004E-3</v>
      </c>
      <c r="N264" s="18">
        <f t="shared" si="51"/>
        <v>0.37731708402928432</v>
      </c>
      <c r="AK264" s="18">
        <f>IF(AND(ISNUMBER(C264),ISNUMBER(ENSO!F264)),C264-ENSO!F264,"")</f>
        <v>2.0000000000000018E-2</v>
      </c>
      <c r="AL264" s="18">
        <f t="shared" si="44"/>
        <v>1980.0416666666667</v>
      </c>
      <c r="AM264" s="18">
        <f t="shared" si="45"/>
        <v>0.30000000000000249</v>
      </c>
    </row>
    <row r="265" spans="1:39">
      <c r="A265" s="18" t="str">
        <f>IF(Volcanic!A265="","",Volcanic!A265)</f>
        <v>2/1980</v>
      </c>
      <c r="B265" s="18">
        <f>IF(ISNUMBER(Volcanic!L265),Volcanic!L265,"")</f>
        <v>1980.125</v>
      </c>
      <c r="C265" s="21">
        <v>0.47</v>
      </c>
      <c r="D265" s="18">
        <f t="shared" si="52"/>
        <v>0.54</v>
      </c>
      <c r="E265" s="18">
        <f>IF(ISNUMBER(Volcanic!B265),Volcanic!B265,"")</f>
        <v>0.38999999999999879</v>
      </c>
      <c r="F265" s="18">
        <f>IF(ISNUMBER(Volcanic!C265),Volcanic!C265,"")</f>
        <v>0.27304692161483607</v>
      </c>
      <c r="G265" s="18">
        <f>IF(ISNUMBER(Volcanic!E265),Volcanic!E265,"")</f>
        <v>5.1500000000000001E-3</v>
      </c>
      <c r="H265" s="18">
        <f>IF(ISNUMBER(Volcanic!D265),Volcanic!D265,"")</f>
        <v>0.5</v>
      </c>
      <c r="I265" s="18">
        <f t="shared" si="46"/>
        <v>0.27304692161483607</v>
      </c>
      <c r="J265" s="18">
        <f t="shared" si="47"/>
        <v>5.1500000000000001E-3</v>
      </c>
      <c r="K265" s="18">
        <f t="shared" si="48"/>
        <v>0.54</v>
      </c>
      <c r="L265" s="18">
        <f t="shared" si="49"/>
        <v>0.27304692161483607</v>
      </c>
      <c r="M265" s="18">
        <f t="shared" si="50"/>
        <v>5.1500000000000001E-3</v>
      </c>
      <c r="N265" s="18">
        <f t="shared" si="51"/>
        <v>0.42800710351988247</v>
      </c>
      <c r="AK265" s="18">
        <f>IF(AND(ISNUMBER(C265),ISNUMBER(ENSO!F265)),C265-ENSO!F265,"")</f>
        <v>0</v>
      </c>
      <c r="AL265" s="18">
        <f t="shared" ref="AL265:AL328" si="53">B265</f>
        <v>1980.125</v>
      </c>
      <c r="AM265" s="18">
        <f t="shared" ref="AM265:AM328" si="54">E265</f>
        <v>0.38999999999999879</v>
      </c>
    </row>
    <row r="266" spans="1:39">
      <c r="A266" s="18" t="str">
        <f>IF(Volcanic!A266="","",Volcanic!A266)</f>
        <v>3/1980</v>
      </c>
      <c r="B266" s="18">
        <f>IF(ISNUMBER(Volcanic!L266),Volcanic!L266,"")</f>
        <v>1980.2083333333333</v>
      </c>
      <c r="C266" s="21">
        <v>0.27</v>
      </c>
      <c r="D266" s="18">
        <f t="shared" si="52"/>
        <v>0.66</v>
      </c>
      <c r="E266" s="18">
        <f>IF(ISNUMBER(Volcanic!B266),Volcanic!B266,"")</f>
        <v>0.28999999999999559</v>
      </c>
      <c r="F266" s="18">
        <f>IF(ISNUMBER(Volcanic!C266),Volcanic!C266,"")</f>
        <v>0.28040491407037693</v>
      </c>
      <c r="G266" s="18">
        <f>IF(ISNUMBER(Volcanic!E266),Volcanic!E266,"")</f>
        <v>5.3200000000000001E-3</v>
      </c>
      <c r="H266" s="18">
        <f>IF(ISNUMBER(Volcanic!D266),Volcanic!D266,"")</f>
        <v>0.64</v>
      </c>
      <c r="I266" s="18">
        <f t="shared" si="46"/>
        <v>0.28040491407037693</v>
      </c>
      <c r="J266" s="18">
        <f t="shared" si="47"/>
        <v>5.3200000000000001E-3</v>
      </c>
      <c r="K266" s="18">
        <f t="shared" si="48"/>
        <v>0.66</v>
      </c>
      <c r="L266" s="18">
        <f t="shared" si="49"/>
        <v>0.28040491407037693</v>
      </c>
      <c r="M266" s="18">
        <f t="shared" si="50"/>
        <v>5.3200000000000001E-3</v>
      </c>
      <c r="N266" s="18">
        <f t="shared" si="51"/>
        <v>0.54869712301048057</v>
      </c>
      <c r="AK266" s="18">
        <f>IF(AND(ISNUMBER(C266),ISNUMBER(ENSO!F266)),C266-ENSO!F266,"")</f>
        <v>-7.999999999999996E-2</v>
      </c>
      <c r="AL266" s="18">
        <f t="shared" si="53"/>
        <v>1980.2083333333333</v>
      </c>
      <c r="AM266" s="18">
        <f t="shared" si="54"/>
        <v>0.28999999999999559</v>
      </c>
    </row>
    <row r="267" spans="1:39">
      <c r="A267" s="18" t="str">
        <f>IF(Volcanic!A267="","",Volcanic!A267)</f>
        <v>4/1980</v>
      </c>
      <c r="B267" s="18">
        <f>IF(ISNUMBER(Volcanic!L267),Volcanic!L267,"")</f>
        <v>1980.2916666666667</v>
      </c>
      <c r="C267" s="21">
        <v>0.21</v>
      </c>
      <c r="D267" s="18">
        <f t="shared" si="52"/>
        <v>0.64</v>
      </c>
      <c r="E267" s="18">
        <f>IF(ISNUMBER(Volcanic!B267),Volcanic!B267,"")</f>
        <v>0.30000000000000249</v>
      </c>
      <c r="F267" s="18">
        <f>IF(ISNUMBER(Volcanic!C267),Volcanic!C267,"")</f>
        <v>0.28404872727074498</v>
      </c>
      <c r="G267" s="18">
        <f>IF(ISNUMBER(Volcanic!E267),Volcanic!E267,"")</f>
        <v>5.5700000000000003E-3</v>
      </c>
      <c r="H267" s="18">
        <f>IF(ISNUMBER(Volcanic!D267),Volcanic!D267,"")</f>
        <v>0.62</v>
      </c>
      <c r="I267" s="18">
        <f t="shared" si="46"/>
        <v>0.28404872727074498</v>
      </c>
      <c r="J267" s="18">
        <f t="shared" si="47"/>
        <v>5.5700000000000003E-3</v>
      </c>
      <c r="K267" s="18">
        <f t="shared" si="48"/>
        <v>0.64</v>
      </c>
      <c r="L267" s="18">
        <f t="shared" si="49"/>
        <v>0.28404872727074498</v>
      </c>
      <c r="M267" s="18">
        <f t="shared" si="50"/>
        <v>5.5700000000000003E-3</v>
      </c>
      <c r="N267" s="18">
        <f t="shared" si="51"/>
        <v>0.52938714250108221</v>
      </c>
      <c r="AK267" s="18">
        <f>IF(AND(ISNUMBER(C267),ISNUMBER(ENSO!F267)),C267-ENSO!F267,"")</f>
        <v>-0.13000000000000003</v>
      </c>
      <c r="AL267" s="18">
        <f t="shared" si="53"/>
        <v>1980.2916666666667</v>
      </c>
      <c r="AM267" s="18">
        <f t="shared" si="54"/>
        <v>0.30000000000000249</v>
      </c>
    </row>
    <row r="268" spans="1:39">
      <c r="A268" s="18" t="str">
        <f>IF(Volcanic!A268="","",Volcanic!A268)</f>
        <v>5/1980</v>
      </c>
      <c r="B268" s="18">
        <f>IF(ISNUMBER(Volcanic!L268),Volcanic!L268,"")</f>
        <v>1980.375</v>
      </c>
      <c r="C268" s="21">
        <v>0.31</v>
      </c>
      <c r="D268" s="18">
        <f t="shared" si="52"/>
        <v>0.47</v>
      </c>
      <c r="E268" s="18">
        <f>IF(ISNUMBER(Volcanic!B268),Volcanic!B268,"")</f>
        <v>0.34999999999999787</v>
      </c>
      <c r="F268" s="18">
        <f>IF(ISNUMBER(Volcanic!C268),Volcanic!C268,"")</f>
        <v>0.28624750673812982</v>
      </c>
      <c r="G268" s="18">
        <f>IF(ISNUMBER(Volcanic!E268),Volcanic!E268,"")</f>
        <v>5.9100000000000003E-3</v>
      </c>
      <c r="H268" s="18">
        <f>IF(ISNUMBER(Volcanic!D268),Volcanic!D268,"")</f>
        <v>0.47</v>
      </c>
      <c r="I268" s="18">
        <f t="shared" si="46"/>
        <v>0.28624750673812982</v>
      </c>
      <c r="J268" s="18">
        <f t="shared" si="47"/>
        <v>5.9100000000000003E-3</v>
      </c>
      <c r="K268" s="18">
        <f t="shared" si="48"/>
        <v>0.47</v>
      </c>
      <c r="L268" s="18">
        <f t="shared" si="49"/>
        <v>0.28624750673812982</v>
      </c>
      <c r="M268" s="18">
        <f t="shared" si="50"/>
        <v>5.9100000000000003E-3</v>
      </c>
      <c r="N268" s="18">
        <f t="shared" si="51"/>
        <v>0.36007716199168027</v>
      </c>
      <c r="AK268" s="18">
        <f>IF(AND(ISNUMBER(C268),ISNUMBER(ENSO!F268)),C268-ENSO!F268,"")</f>
        <v>-0.14000000000000001</v>
      </c>
      <c r="AL268" s="18">
        <f t="shared" si="53"/>
        <v>1980.375</v>
      </c>
      <c r="AM268" s="18">
        <f t="shared" si="54"/>
        <v>0.34999999999999787</v>
      </c>
    </row>
    <row r="269" spans="1:39">
      <c r="A269" s="18" t="str">
        <f>IF(Volcanic!A269="","",Volcanic!A269)</f>
        <v>6/1980</v>
      </c>
      <c r="B269" s="18">
        <f>IF(ISNUMBER(Volcanic!L269),Volcanic!L269,"")</f>
        <v>1980.4583333333333</v>
      </c>
      <c r="C269" s="21">
        <v>0.33</v>
      </c>
      <c r="D269" s="18">
        <f t="shared" si="52"/>
        <v>0.27</v>
      </c>
      <c r="E269" s="18">
        <f>IF(ISNUMBER(Volcanic!B269),Volcanic!B269,"")</f>
        <v>0.20000000000000107</v>
      </c>
      <c r="F269" s="18">
        <f>IF(ISNUMBER(Volcanic!C269),Volcanic!C269,"")</f>
        <v>0.28586718848142018</v>
      </c>
      <c r="G269" s="18">
        <f>IF(ISNUMBER(Volcanic!E269),Volcanic!E269,"")</f>
        <v>6.0800000000000003E-3</v>
      </c>
      <c r="H269" s="18">
        <f>IF(ISNUMBER(Volcanic!D269),Volcanic!D269,"")</f>
        <v>0.35</v>
      </c>
      <c r="I269" s="18">
        <f t="shared" si="46"/>
        <v>0.28586718848142018</v>
      </c>
      <c r="J269" s="18">
        <f t="shared" si="47"/>
        <v>6.0800000000000003E-3</v>
      </c>
      <c r="K269" s="18">
        <f t="shared" si="48"/>
        <v>0.27</v>
      </c>
      <c r="L269" s="18">
        <f t="shared" si="49"/>
        <v>0.28586718848142018</v>
      </c>
      <c r="M269" s="18">
        <f t="shared" si="50"/>
        <v>6.0800000000000003E-3</v>
      </c>
      <c r="N269" s="18">
        <f t="shared" si="51"/>
        <v>0.16076718148227842</v>
      </c>
      <c r="AK269" s="18">
        <f>IF(AND(ISNUMBER(C269),ISNUMBER(ENSO!F269)),C269-ENSO!F269,"")</f>
        <v>-7.0000000000000007E-2</v>
      </c>
      <c r="AL269" s="18">
        <f t="shared" si="53"/>
        <v>1980.4583333333333</v>
      </c>
      <c r="AM269" s="18">
        <f t="shared" si="54"/>
        <v>0.20000000000000107</v>
      </c>
    </row>
    <row r="270" spans="1:39">
      <c r="A270" s="18" t="str">
        <f>IF(Volcanic!A270="","",Volcanic!A270)</f>
        <v>7/1980</v>
      </c>
      <c r="B270" s="18">
        <f>IF(ISNUMBER(Volcanic!L270),Volcanic!L270,"")</f>
        <v>1980.5416666666667</v>
      </c>
      <c r="C270" s="21">
        <v>0.19</v>
      </c>
      <c r="D270" s="18">
        <f t="shared" si="52"/>
        <v>0.21</v>
      </c>
      <c r="E270" s="18">
        <f>IF(ISNUMBER(Volcanic!B270),Volcanic!B270,"")</f>
        <v>0.22000000000000242</v>
      </c>
      <c r="F270" s="18">
        <f>IF(ISNUMBER(Volcanic!C270),Volcanic!C270,"")</f>
        <v>0.27777225815571982</v>
      </c>
      <c r="G270" s="18">
        <f>IF(ISNUMBER(Volcanic!E270),Volcanic!E270,"")</f>
        <v>6.1900000000000002E-3</v>
      </c>
      <c r="H270" s="18">
        <f>IF(ISNUMBER(Volcanic!D270),Volcanic!D270,"")</f>
        <v>0.34</v>
      </c>
      <c r="I270" s="18">
        <f t="shared" si="46"/>
        <v>0.27777225815571982</v>
      </c>
      <c r="J270" s="18">
        <f t="shared" si="47"/>
        <v>6.1900000000000002E-3</v>
      </c>
      <c r="K270" s="18">
        <f t="shared" si="48"/>
        <v>0.21</v>
      </c>
      <c r="L270" s="18">
        <f t="shared" si="49"/>
        <v>0.27777225815571982</v>
      </c>
      <c r="M270" s="18">
        <f t="shared" si="50"/>
        <v>6.1900000000000002E-3</v>
      </c>
      <c r="N270" s="18">
        <f t="shared" si="51"/>
        <v>0.10145720097288005</v>
      </c>
      <c r="AK270" s="18">
        <f>IF(AND(ISNUMBER(C270),ISNUMBER(ENSO!F270)),C270-ENSO!F270,"")</f>
        <v>1.0000000000000009E-2</v>
      </c>
      <c r="AL270" s="18">
        <f t="shared" si="53"/>
        <v>1980.5416666666667</v>
      </c>
      <c r="AM270" s="18">
        <f t="shared" si="54"/>
        <v>0.22000000000000242</v>
      </c>
    </row>
    <row r="271" spans="1:39">
      <c r="A271" s="18" t="str">
        <f>IF(Volcanic!A271="","",Volcanic!A271)</f>
        <v>8/1980</v>
      </c>
      <c r="B271" s="18">
        <f>IF(ISNUMBER(Volcanic!L271),Volcanic!L271,"")</f>
        <v>1980.625</v>
      </c>
      <c r="C271" s="21">
        <v>0.01</v>
      </c>
      <c r="D271" s="18">
        <f t="shared" si="52"/>
        <v>0.31</v>
      </c>
      <c r="E271" s="18">
        <f>IF(ISNUMBER(Volcanic!B271),Volcanic!B271,"")</f>
        <v>0.17999999999999972</v>
      </c>
      <c r="F271" s="18">
        <f>IF(ISNUMBER(Volcanic!C271),Volcanic!C271,"")</f>
        <v>0.2701871828716399</v>
      </c>
      <c r="G271" s="18">
        <f>IF(ISNUMBER(Volcanic!E271),Volcanic!E271,"")</f>
        <v>6.7200000000000003E-3</v>
      </c>
      <c r="H271" s="18">
        <f>IF(ISNUMBER(Volcanic!D271),Volcanic!D271,"")</f>
        <v>0.45</v>
      </c>
      <c r="I271" s="18">
        <f t="shared" si="46"/>
        <v>0.2701871828716399</v>
      </c>
      <c r="J271" s="18">
        <f t="shared" si="47"/>
        <v>6.7200000000000003E-3</v>
      </c>
      <c r="K271" s="18">
        <f t="shared" si="48"/>
        <v>0.31</v>
      </c>
      <c r="L271" s="18">
        <f t="shared" si="49"/>
        <v>0.2701871828716399</v>
      </c>
      <c r="M271" s="18">
        <f t="shared" si="50"/>
        <v>6.7200000000000003E-3</v>
      </c>
      <c r="N271" s="18">
        <f t="shared" si="51"/>
        <v>0.20214722046347816</v>
      </c>
      <c r="AK271" s="18">
        <f>IF(AND(ISNUMBER(C271),ISNUMBER(ENSO!F271)),C271-ENSO!F271,"")</f>
        <v>6.9999999999999993E-2</v>
      </c>
      <c r="AL271" s="18">
        <f t="shared" si="53"/>
        <v>1980.625</v>
      </c>
      <c r="AM271" s="18">
        <f t="shared" si="54"/>
        <v>0.17999999999999972</v>
      </c>
    </row>
    <row r="272" spans="1:39">
      <c r="A272" s="18" t="str">
        <f>IF(Volcanic!A272="","",Volcanic!A272)</f>
        <v>9/1980</v>
      </c>
      <c r="B272" s="18">
        <f>IF(ISNUMBER(Volcanic!L272),Volcanic!L272,"")</f>
        <v>1980.7083333333333</v>
      </c>
      <c r="C272" s="21">
        <v>-0.04</v>
      </c>
      <c r="D272" s="18">
        <f t="shared" si="52"/>
        <v>0.33</v>
      </c>
      <c r="E272" s="18">
        <f>IF(ISNUMBER(Volcanic!B272),Volcanic!B272,"")</f>
        <v>0.20000000000000107</v>
      </c>
      <c r="F272" s="18">
        <f>IF(ISNUMBER(Volcanic!C272),Volcanic!C272,"")</f>
        <v>0.26410744049902013</v>
      </c>
      <c r="G272" s="18">
        <f>IF(ISNUMBER(Volcanic!E272),Volcanic!E272,"")</f>
        <v>6.6499999999999997E-3</v>
      </c>
      <c r="H272" s="18">
        <f>IF(ISNUMBER(Volcanic!D272),Volcanic!D272,"")</f>
        <v>0.4</v>
      </c>
      <c r="I272" s="18">
        <f t="shared" si="46"/>
        <v>0.26410744049902013</v>
      </c>
      <c r="J272" s="18">
        <f t="shared" si="47"/>
        <v>6.6499999999999997E-3</v>
      </c>
      <c r="K272" s="18">
        <f t="shared" si="48"/>
        <v>0.33</v>
      </c>
      <c r="L272" s="18">
        <f t="shared" si="49"/>
        <v>0.26410744049902013</v>
      </c>
      <c r="M272" s="18">
        <f t="shared" si="50"/>
        <v>6.6499999999999997E-3</v>
      </c>
      <c r="N272" s="18">
        <f t="shared" si="51"/>
        <v>0.22283723995407628</v>
      </c>
      <c r="AK272" s="18">
        <f>IF(AND(ISNUMBER(C272),ISNUMBER(ENSO!F272)),C272-ENSO!F272,"")</f>
        <v>0.13</v>
      </c>
      <c r="AL272" s="18">
        <f t="shared" si="53"/>
        <v>1980.7083333333333</v>
      </c>
      <c r="AM272" s="18">
        <f t="shared" si="54"/>
        <v>0.20000000000000107</v>
      </c>
    </row>
    <row r="273" spans="1:39">
      <c r="A273" s="18" t="str">
        <f>IF(Volcanic!A273="","",Volcanic!A273)</f>
        <v>10/1980</v>
      </c>
      <c r="B273" s="18">
        <f>IF(ISNUMBER(Volcanic!L273),Volcanic!L273,"")</f>
        <v>1980.7916666666667</v>
      </c>
      <c r="C273" s="21">
        <v>0.06</v>
      </c>
      <c r="D273" s="18">
        <f t="shared" si="52"/>
        <v>0.19</v>
      </c>
      <c r="E273" s="18">
        <f>IF(ISNUMBER(Volcanic!B273),Volcanic!B273,"")</f>
        <v>0.12999999999999901</v>
      </c>
      <c r="F273" s="18">
        <f>IF(ISNUMBER(Volcanic!C273),Volcanic!C273,"")</f>
        <v>0.26363540356832926</v>
      </c>
      <c r="G273" s="18">
        <f>IF(ISNUMBER(Volcanic!E273),Volcanic!E273,"")</f>
        <v>6.5399999999999998E-3</v>
      </c>
      <c r="H273" s="18">
        <f>IF(ISNUMBER(Volcanic!D273),Volcanic!D273,"")</f>
        <v>0.18</v>
      </c>
      <c r="I273" s="18">
        <f t="shared" si="46"/>
        <v>0.26363540356832926</v>
      </c>
      <c r="J273" s="18">
        <f t="shared" si="47"/>
        <v>6.5399999999999998E-3</v>
      </c>
      <c r="K273" s="18">
        <f t="shared" si="48"/>
        <v>0.19</v>
      </c>
      <c r="L273" s="18">
        <f t="shared" si="49"/>
        <v>0.26363540356832926</v>
      </c>
      <c r="M273" s="18">
        <f t="shared" si="50"/>
        <v>6.5399999999999998E-3</v>
      </c>
      <c r="N273" s="18">
        <f t="shared" si="51"/>
        <v>8.3527259444677926E-2</v>
      </c>
      <c r="AK273" s="18">
        <f>IF(AND(ISNUMBER(C273),ISNUMBER(ENSO!F273)),C273-ENSO!F273,"")</f>
        <v>0.13</v>
      </c>
      <c r="AL273" s="18">
        <f t="shared" si="53"/>
        <v>1980.7916666666667</v>
      </c>
      <c r="AM273" s="18">
        <f t="shared" si="54"/>
        <v>0.12999999999999901</v>
      </c>
    </row>
    <row r="274" spans="1:39">
      <c r="A274" s="18" t="str">
        <f>IF(Volcanic!A274="","",Volcanic!A274)</f>
        <v>11/1980</v>
      </c>
      <c r="B274" s="18">
        <f>IF(ISNUMBER(Volcanic!L274),Volcanic!L274,"")</f>
        <v>1980.875</v>
      </c>
      <c r="C274" s="21">
        <v>0.2</v>
      </c>
      <c r="D274" s="18">
        <f t="shared" si="52"/>
        <v>0.01</v>
      </c>
      <c r="E274" s="18">
        <f>IF(ISNUMBER(Volcanic!B274),Volcanic!B274,"")</f>
        <v>0.30000000000000249</v>
      </c>
      <c r="F274" s="18">
        <f>IF(ISNUMBER(Volcanic!C274),Volcanic!C274,"")</f>
        <v>0.26860549118579774</v>
      </c>
      <c r="G274" s="18">
        <f>IF(ISNUMBER(Volcanic!E274),Volcanic!E274,"")</f>
        <v>6.45E-3</v>
      </c>
      <c r="H274" s="18">
        <f>IF(ISNUMBER(Volcanic!D274),Volcanic!D274,"")</f>
        <v>-0.06</v>
      </c>
      <c r="I274" s="18">
        <f t="shared" si="46"/>
        <v>0.26860549118579774</v>
      </c>
      <c r="J274" s="18">
        <f t="shared" si="47"/>
        <v>6.45E-3</v>
      </c>
      <c r="K274" s="18">
        <f t="shared" si="48"/>
        <v>0.01</v>
      </c>
      <c r="L274" s="18">
        <f t="shared" si="49"/>
        <v>0.26860549118579774</v>
      </c>
      <c r="M274" s="18">
        <f t="shared" si="50"/>
        <v>6.45E-3</v>
      </c>
      <c r="N274" s="18">
        <f t="shared" si="51"/>
        <v>-9.5782721064723977E-2</v>
      </c>
      <c r="AK274" s="18">
        <f>IF(AND(ISNUMBER(C274),ISNUMBER(ENSO!F274)),C274-ENSO!F274,"")</f>
        <v>0.12000000000000001</v>
      </c>
      <c r="AL274" s="18">
        <f t="shared" si="53"/>
        <v>1980.875</v>
      </c>
      <c r="AM274" s="18">
        <f t="shared" si="54"/>
        <v>0.30000000000000249</v>
      </c>
    </row>
    <row r="275" spans="1:39">
      <c r="A275" s="18" t="str">
        <f>IF(Volcanic!A275="","",Volcanic!A275)</f>
        <v>12/1980</v>
      </c>
      <c r="B275" s="18">
        <f>IF(ISNUMBER(Volcanic!L275),Volcanic!L275,"")</f>
        <v>1980.9583333333333</v>
      </c>
      <c r="C275" s="21">
        <v>0.17</v>
      </c>
      <c r="D275" s="18">
        <f t="shared" si="52"/>
        <v>-0.04</v>
      </c>
      <c r="E275" s="18">
        <f>IF(ISNUMBER(Volcanic!B275),Volcanic!B275,"")</f>
        <v>0.21000000000000085</v>
      </c>
      <c r="F275" s="18">
        <f>IF(ISNUMBER(Volcanic!C275),Volcanic!C275,"")</f>
        <v>0.27283370389710077</v>
      </c>
      <c r="G275" s="18">
        <f>IF(ISNUMBER(Volcanic!E275),Volcanic!E275,"")</f>
        <v>6.3400000000000001E-3</v>
      </c>
      <c r="H275" s="18">
        <f>IF(ISNUMBER(Volcanic!D275),Volcanic!D275,"")</f>
        <v>-0.17</v>
      </c>
      <c r="I275" s="18">
        <f t="shared" si="46"/>
        <v>0.27283370389710077</v>
      </c>
      <c r="J275" s="18">
        <f t="shared" si="47"/>
        <v>6.3400000000000001E-3</v>
      </c>
      <c r="K275" s="18">
        <f t="shared" si="48"/>
        <v>-0.04</v>
      </c>
      <c r="L275" s="18">
        <f t="shared" si="49"/>
        <v>0.27283370389710077</v>
      </c>
      <c r="M275" s="18">
        <f t="shared" si="50"/>
        <v>6.3400000000000001E-3</v>
      </c>
      <c r="N275" s="18">
        <f t="shared" si="51"/>
        <v>-0.14509270157412588</v>
      </c>
      <c r="AK275" s="18">
        <f>IF(AND(ISNUMBER(C275),ISNUMBER(ENSO!F275)),C275-ENSO!F275,"")</f>
        <v>0.22000000000000003</v>
      </c>
      <c r="AL275" s="18">
        <f t="shared" si="53"/>
        <v>1980.9583333333333</v>
      </c>
      <c r="AM275" s="18">
        <f t="shared" si="54"/>
        <v>0.21000000000000085</v>
      </c>
    </row>
    <row r="276" spans="1:39">
      <c r="A276" s="18" t="str">
        <f>IF(Volcanic!A276="","",Volcanic!A276)</f>
        <v>1/1981</v>
      </c>
      <c r="B276" s="18">
        <f>IF(ISNUMBER(Volcanic!L276),Volcanic!L276,"")</f>
        <v>1981.0416666666667</v>
      </c>
      <c r="C276" s="21">
        <v>0.01</v>
      </c>
      <c r="D276" s="18">
        <f t="shared" si="52"/>
        <v>0.06</v>
      </c>
      <c r="E276" s="18">
        <f>IF(ISNUMBER(Volcanic!B276),Volcanic!B276,"")</f>
        <v>0.52999999999999758</v>
      </c>
      <c r="F276" s="18">
        <f>IF(ISNUMBER(Volcanic!C276),Volcanic!C276,"")</f>
        <v>0.27709208250431316</v>
      </c>
      <c r="G276" s="18">
        <f>IF(ISNUMBER(Volcanic!E276),Volcanic!E276,"")</f>
        <v>7.1399999999999996E-3</v>
      </c>
      <c r="H276" s="18">
        <f>IF(ISNUMBER(Volcanic!D276),Volcanic!D276,"")</f>
        <v>-7.0000000000000007E-2</v>
      </c>
      <c r="I276" s="18">
        <f t="shared" si="46"/>
        <v>0.27709208250431316</v>
      </c>
      <c r="J276" s="18">
        <f t="shared" si="47"/>
        <v>7.1399999999999996E-3</v>
      </c>
      <c r="K276" s="18">
        <f t="shared" si="48"/>
        <v>0.06</v>
      </c>
      <c r="L276" s="18">
        <f t="shared" si="49"/>
        <v>0.27709208250431316</v>
      </c>
      <c r="M276" s="18">
        <f t="shared" si="50"/>
        <v>7.1399999999999996E-3</v>
      </c>
      <c r="N276" s="18">
        <f t="shared" si="51"/>
        <v>-4.4402682083527767E-2</v>
      </c>
      <c r="AK276" s="18">
        <f>IF(AND(ISNUMBER(C276),ISNUMBER(ENSO!F276)),C276-ENSO!F276,"")</f>
        <v>0.28000000000000003</v>
      </c>
      <c r="AL276" s="18">
        <f t="shared" si="53"/>
        <v>1981.0416666666667</v>
      </c>
      <c r="AM276" s="18">
        <f t="shared" si="54"/>
        <v>0.52999999999999758</v>
      </c>
    </row>
    <row r="277" spans="1:39">
      <c r="A277" s="18" t="str">
        <f>IF(Volcanic!A277="","",Volcanic!A277)</f>
        <v>2/1981</v>
      </c>
      <c r="B277" s="18">
        <f>IF(ISNUMBER(Volcanic!L277),Volcanic!L277,"")</f>
        <v>1981.125</v>
      </c>
      <c r="C277" s="21">
        <v>-0.27</v>
      </c>
      <c r="D277" s="18">
        <f t="shared" si="52"/>
        <v>0.2</v>
      </c>
      <c r="E277" s="18">
        <f>IF(ISNUMBER(Volcanic!B277),Volcanic!B277,"")</f>
        <v>0.42000000000000348</v>
      </c>
      <c r="F277" s="18">
        <f>IF(ISNUMBER(Volcanic!C277),Volcanic!C277,"")</f>
        <v>0.28243980500638693</v>
      </c>
      <c r="G277" s="18">
        <f>IF(ISNUMBER(Volcanic!E277),Volcanic!E277,"")</f>
        <v>8.0099999999999998E-3</v>
      </c>
      <c r="H277" s="18">
        <f>IF(ISNUMBER(Volcanic!D277),Volcanic!D277,"")</f>
        <v>0.08</v>
      </c>
      <c r="I277" s="18">
        <f t="shared" si="46"/>
        <v>0.28243980500638693</v>
      </c>
      <c r="J277" s="18">
        <f t="shared" si="47"/>
        <v>8.0099999999999998E-3</v>
      </c>
      <c r="K277" s="18">
        <f t="shared" si="48"/>
        <v>0.2</v>
      </c>
      <c r="L277" s="18">
        <f t="shared" si="49"/>
        <v>0.28243980500638693</v>
      </c>
      <c r="M277" s="18">
        <f t="shared" si="50"/>
        <v>8.0099999999999998E-3</v>
      </c>
      <c r="N277" s="18">
        <f t="shared" si="51"/>
        <v>9.628733740707035E-2</v>
      </c>
      <c r="AK277" s="18">
        <f>IF(AND(ISNUMBER(C277),ISNUMBER(ENSO!F277)),C277-ENSO!F277,"")</f>
        <v>0.14999999999999997</v>
      </c>
      <c r="AL277" s="18">
        <f t="shared" si="53"/>
        <v>1981.125</v>
      </c>
      <c r="AM277" s="18">
        <f t="shared" si="54"/>
        <v>0.42000000000000348</v>
      </c>
    </row>
    <row r="278" spans="1:39">
      <c r="A278" s="18" t="str">
        <f>IF(Volcanic!A278="","",Volcanic!A278)</f>
        <v>3/1981</v>
      </c>
      <c r="B278" s="18">
        <f>IF(ISNUMBER(Volcanic!L278),Volcanic!L278,"")</f>
        <v>1981.2083333333333</v>
      </c>
      <c r="C278" s="21">
        <v>-0.34</v>
      </c>
      <c r="D278" s="18">
        <f t="shared" si="52"/>
        <v>0.17</v>
      </c>
      <c r="E278" s="18">
        <f>IF(ISNUMBER(Volcanic!B278),Volcanic!B278,"")</f>
        <v>0.47999999999999865</v>
      </c>
      <c r="F278" s="18">
        <f>IF(ISNUMBER(Volcanic!C278),Volcanic!C278,"")</f>
        <v>0.28700784260909884</v>
      </c>
      <c r="G278" s="18">
        <f>IF(ISNUMBER(Volcanic!E278),Volcanic!E278,"")</f>
        <v>8.5900000000000004E-3</v>
      </c>
      <c r="H278" s="18">
        <f>IF(ISNUMBER(Volcanic!D278),Volcanic!D278,"")</f>
        <v>-0.05</v>
      </c>
      <c r="I278" s="18">
        <f t="shared" si="46"/>
        <v>0.28700784260909884</v>
      </c>
      <c r="J278" s="18">
        <f t="shared" si="47"/>
        <v>8.5900000000000004E-3</v>
      </c>
      <c r="K278" s="18">
        <f t="shared" si="48"/>
        <v>0.17</v>
      </c>
      <c r="L278" s="18">
        <f t="shared" si="49"/>
        <v>0.28700784260909884</v>
      </c>
      <c r="M278" s="18">
        <f t="shared" si="50"/>
        <v>8.5900000000000004E-3</v>
      </c>
      <c r="N278" s="18">
        <f t="shared" si="51"/>
        <v>6.6977356897672008E-2</v>
      </c>
      <c r="AK278" s="18">
        <f>IF(AND(ISNUMBER(C278),ISNUMBER(ENSO!F278)),C278-ENSO!F278,"")</f>
        <v>6.9999999999999951E-2</v>
      </c>
      <c r="AL278" s="18">
        <f t="shared" si="53"/>
        <v>1981.2083333333333</v>
      </c>
      <c r="AM278" s="18">
        <f t="shared" si="54"/>
        <v>0.47999999999999865</v>
      </c>
    </row>
    <row r="279" spans="1:39">
      <c r="A279" s="18" t="str">
        <f>IF(Volcanic!A279="","",Volcanic!A279)</f>
        <v>4/1981</v>
      </c>
      <c r="B279" s="18">
        <f>IF(ISNUMBER(Volcanic!L279),Volcanic!L279,"")</f>
        <v>1981.2916666666667</v>
      </c>
      <c r="C279" s="21">
        <v>-0.34</v>
      </c>
      <c r="D279" s="18">
        <f t="shared" si="52"/>
        <v>0.01</v>
      </c>
      <c r="E279" s="18">
        <f>IF(ISNUMBER(Volcanic!B279),Volcanic!B279,"")</f>
        <v>0.32000000000000028</v>
      </c>
      <c r="F279" s="18">
        <f>IF(ISNUMBER(Volcanic!C279),Volcanic!C279,"")</f>
        <v>0.29109832425167037</v>
      </c>
      <c r="G279" s="18">
        <f>IF(ISNUMBER(Volcanic!E279),Volcanic!E279,"")</f>
        <v>8.7600000000000004E-3</v>
      </c>
      <c r="H279" s="18">
        <f>IF(ISNUMBER(Volcanic!D279),Volcanic!D279,"")</f>
        <v>-0.27</v>
      </c>
      <c r="I279" s="18">
        <f t="shared" si="46"/>
        <v>0.29109832425167037</v>
      </c>
      <c r="J279" s="18">
        <f t="shared" si="47"/>
        <v>8.7600000000000004E-3</v>
      </c>
      <c r="K279" s="18">
        <f t="shared" si="48"/>
        <v>0.01</v>
      </c>
      <c r="L279" s="18">
        <f t="shared" si="49"/>
        <v>0.29109832425167037</v>
      </c>
      <c r="M279" s="18">
        <f t="shared" si="50"/>
        <v>8.7600000000000004E-3</v>
      </c>
      <c r="N279" s="18">
        <f t="shared" si="51"/>
        <v>-9.2332623611729905E-2</v>
      </c>
      <c r="AK279" s="18">
        <f>IF(AND(ISNUMBER(C279),ISNUMBER(ENSO!F279)),C279-ENSO!F279,"")</f>
        <v>-7.0000000000000007E-2</v>
      </c>
      <c r="AL279" s="18">
        <f t="shared" si="53"/>
        <v>1981.2916666666667</v>
      </c>
      <c r="AM279" s="18">
        <f t="shared" si="54"/>
        <v>0.32000000000000028</v>
      </c>
    </row>
    <row r="280" spans="1:39">
      <c r="A280" s="18" t="str">
        <f>IF(Volcanic!A280="","",Volcanic!A280)</f>
        <v>5/1981</v>
      </c>
      <c r="B280" s="18">
        <f>IF(ISNUMBER(Volcanic!L280),Volcanic!L280,"")</f>
        <v>1981.375</v>
      </c>
      <c r="C280" s="21">
        <v>-0.26</v>
      </c>
      <c r="D280" s="18">
        <f t="shared" si="52"/>
        <v>-0.27</v>
      </c>
      <c r="E280" s="18">
        <f>IF(ISNUMBER(Volcanic!B280),Volcanic!B280,"")</f>
        <v>0.25000000000000355</v>
      </c>
      <c r="F280" s="18">
        <f>IF(ISNUMBER(Volcanic!C280),Volcanic!C280,"")</f>
        <v>0.29294998373808151</v>
      </c>
      <c r="G280" s="18">
        <f>IF(ISNUMBER(Volcanic!E280),Volcanic!E280,"")</f>
        <v>8.9499999999999996E-3</v>
      </c>
      <c r="H280" s="18">
        <f>IF(ISNUMBER(Volcanic!D280),Volcanic!D280,"")</f>
        <v>-0.42</v>
      </c>
      <c r="I280" s="18">
        <f t="shared" si="46"/>
        <v>0.29294998373808151</v>
      </c>
      <c r="J280" s="18">
        <f t="shared" si="47"/>
        <v>8.9499999999999996E-3</v>
      </c>
      <c r="K280" s="18">
        <f t="shared" si="48"/>
        <v>-0.27</v>
      </c>
      <c r="L280" s="18">
        <f t="shared" si="49"/>
        <v>0.29294998373808151</v>
      </c>
      <c r="M280" s="18">
        <f t="shared" si="50"/>
        <v>8.9499999999999996E-3</v>
      </c>
      <c r="N280" s="18">
        <f t="shared" si="51"/>
        <v>-0.37164260412113181</v>
      </c>
      <c r="AK280" s="18">
        <f>IF(AND(ISNUMBER(C280),ISNUMBER(ENSO!F280)),C280-ENSO!F280,"")</f>
        <v>2.0000000000000018E-2</v>
      </c>
      <c r="AL280" s="18">
        <f t="shared" si="53"/>
        <v>1981.375</v>
      </c>
      <c r="AM280" s="18">
        <f t="shared" si="54"/>
        <v>0.25000000000000355</v>
      </c>
    </row>
    <row r="281" spans="1:39">
      <c r="A281" s="18" t="str">
        <f>IF(Volcanic!A281="","",Volcanic!A281)</f>
        <v>6/1981</v>
      </c>
      <c r="B281" s="18">
        <f>IF(ISNUMBER(Volcanic!L281),Volcanic!L281,"")</f>
        <v>1981.4583333333333</v>
      </c>
      <c r="C281" s="21">
        <v>-0.3</v>
      </c>
      <c r="D281" s="18">
        <f t="shared" si="52"/>
        <v>-0.34</v>
      </c>
      <c r="E281" s="18">
        <f>IF(ISNUMBER(Volcanic!B281),Volcanic!B281,"")</f>
        <v>0.28999999999999559</v>
      </c>
      <c r="F281" s="18">
        <f>IF(ISNUMBER(Volcanic!C281),Volcanic!C281,"")</f>
        <v>0.29084564099664334</v>
      </c>
      <c r="G281" s="18">
        <f>IF(ISNUMBER(Volcanic!E281),Volcanic!E281,"")</f>
        <v>8.8000000000000005E-3</v>
      </c>
      <c r="H281" s="18">
        <f>IF(ISNUMBER(Volcanic!D281),Volcanic!D281,"")</f>
        <v>-0.41</v>
      </c>
      <c r="I281" s="18">
        <f t="shared" si="46"/>
        <v>0.29084564099664334</v>
      </c>
      <c r="J281" s="18">
        <f t="shared" si="47"/>
        <v>8.8000000000000005E-3</v>
      </c>
      <c r="K281" s="18">
        <f t="shared" si="48"/>
        <v>-0.34</v>
      </c>
      <c r="L281" s="18">
        <f t="shared" si="49"/>
        <v>0.29084564099664334</v>
      </c>
      <c r="M281" s="18">
        <f t="shared" si="50"/>
        <v>8.8000000000000005E-3</v>
      </c>
      <c r="N281" s="18">
        <f t="shared" si="51"/>
        <v>-0.44095258463053372</v>
      </c>
      <c r="AK281" s="18">
        <f>IF(AND(ISNUMBER(C281),ISNUMBER(ENSO!F281)),C281-ENSO!F281,"")</f>
        <v>-2.9999999999999971E-2</v>
      </c>
      <c r="AL281" s="18">
        <f t="shared" si="53"/>
        <v>1981.4583333333333</v>
      </c>
      <c r="AM281" s="18">
        <f t="shared" si="54"/>
        <v>0.28999999999999559</v>
      </c>
    </row>
    <row r="282" spans="1:39">
      <c r="A282" s="18" t="str">
        <f>IF(Volcanic!A282="","",Volcanic!A282)</f>
        <v>7/1981</v>
      </c>
      <c r="B282" s="18">
        <f>IF(ISNUMBER(Volcanic!L282),Volcanic!L282,"")</f>
        <v>1981.5416666666667</v>
      </c>
      <c r="C282" s="21">
        <v>-0.26</v>
      </c>
      <c r="D282" s="18">
        <f t="shared" si="52"/>
        <v>-0.34</v>
      </c>
      <c r="E282" s="18">
        <f>IF(ISNUMBER(Volcanic!B282),Volcanic!B282,"")</f>
        <v>0.32999999999999652</v>
      </c>
      <c r="F282" s="18">
        <f>IF(ISNUMBER(Volcanic!C282),Volcanic!C282,"")</f>
        <v>0.28358317111122905</v>
      </c>
      <c r="G282" s="18">
        <f>IF(ISNUMBER(Volcanic!E282),Volcanic!E282,"")</f>
        <v>8.8699999999999994E-3</v>
      </c>
      <c r="H282" s="18">
        <f>IF(ISNUMBER(Volcanic!D282),Volcanic!D282,"")</f>
        <v>-0.27</v>
      </c>
      <c r="I282" s="18">
        <f t="shared" si="46"/>
        <v>0.28358317111122905</v>
      </c>
      <c r="J282" s="18">
        <f t="shared" si="47"/>
        <v>8.8699999999999994E-3</v>
      </c>
      <c r="K282" s="18">
        <f t="shared" si="48"/>
        <v>-0.34</v>
      </c>
      <c r="L282" s="18">
        <f t="shared" si="49"/>
        <v>0.28358317111122905</v>
      </c>
      <c r="M282" s="18">
        <f t="shared" si="50"/>
        <v>8.8699999999999994E-3</v>
      </c>
      <c r="N282" s="18">
        <f t="shared" si="51"/>
        <v>-0.44026256513993206</v>
      </c>
      <c r="AK282" s="18">
        <f>IF(AND(ISNUMBER(C282),ISNUMBER(ENSO!F282)),C282-ENSO!F282,"")</f>
        <v>2.0000000000000018E-2</v>
      </c>
      <c r="AL282" s="18">
        <f t="shared" si="53"/>
        <v>1981.5416666666667</v>
      </c>
      <c r="AM282" s="18">
        <f t="shared" si="54"/>
        <v>0.32999999999999652</v>
      </c>
    </row>
    <row r="283" spans="1:39">
      <c r="A283" s="18" t="str">
        <f>IF(Volcanic!A283="","",Volcanic!A283)</f>
        <v>8/1981</v>
      </c>
      <c r="B283" s="18">
        <f>IF(ISNUMBER(Volcanic!L283),Volcanic!L283,"")</f>
        <v>1981.625</v>
      </c>
      <c r="C283" s="21">
        <v>-0.18</v>
      </c>
      <c r="D283" s="18">
        <f t="shared" si="52"/>
        <v>-0.26</v>
      </c>
      <c r="E283" s="18">
        <f>IF(ISNUMBER(Volcanic!B283),Volcanic!B283,"")</f>
        <v>0.34999999999999787</v>
      </c>
      <c r="F283" s="18">
        <f>IF(ISNUMBER(Volcanic!C283),Volcanic!C283,"")</f>
        <v>0.27364376363665927</v>
      </c>
      <c r="G283" s="18">
        <f>IF(ISNUMBER(Volcanic!E283),Volcanic!E283,"")</f>
        <v>9.2899999999999996E-3</v>
      </c>
      <c r="H283" s="18">
        <f>IF(ISNUMBER(Volcanic!D283),Volcanic!D283,"")</f>
        <v>-0.28000000000000003</v>
      </c>
      <c r="I283" s="18">
        <f t="shared" si="46"/>
        <v>0.27364376363665927</v>
      </c>
      <c r="J283" s="18">
        <f t="shared" si="47"/>
        <v>9.2899999999999996E-3</v>
      </c>
      <c r="K283" s="18">
        <f t="shared" si="48"/>
        <v>-0.26</v>
      </c>
      <c r="L283" s="18">
        <f t="shared" si="49"/>
        <v>0.27364376363665927</v>
      </c>
      <c r="M283" s="18">
        <f t="shared" si="50"/>
        <v>9.2899999999999996E-3</v>
      </c>
      <c r="N283" s="18">
        <f t="shared" si="51"/>
        <v>-0.35957254564933394</v>
      </c>
      <c r="AK283" s="18">
        <f>IF(AND(ISNUMBER(C283),ISNUMBER(ENSO!F283)),C283-ENSO!F283,"")</f>
        <v>5.0000000000000017E-2</v>
      </c>
      <c r="AL283" s="18">
        <f t="shared" si="53"/>
        <v>1981.625</v>
      </c>
      <c r="AM283" s="18">
        <f t="shared" si="54"/>
        <v>0.34999999999999787</v>
      </c>
    </row>
    <row r="284" spans="1:39">
      <c r="A284" s="18" t="str">
        <f>IF(Volcanic!A284="","",Volcanic!A284)</f>
        <v>9/1981</v>
      </c>
      <c r="B284" s="18">
        <f>IF(ISNUMBER(Volcanic!L284),Volcanic!L284,"")</f>
        <v>1981.7083333333333</v>
      </c>
      <c r="C284" s="21">
        <v>-0.12</v>
      </c>
      <c r="D284" s="18">
        <f t="shared" si="52"/>
        <v>-0.3</v>
      </c>
      <c r="E284" s="18">
        <f>IF(ISNUMBER(Volcanic!B284),Volcanic!B284,"")</f>
        <v>0.14999999999999858</v>
      </c>
      <c r="F284" s="18">
        <f>IF(ISNUMBER(Volcanic!C284),Volcanic!C284,"")</f>
        <v>0.26710769864693196</v>
      </c>
      <c r="G284" s="18">
        <f>IF(ISNUMBER(Volcanic!E284),Volcanic!E284,"")</f>
        <v>9.3500000000000007E-3</v>
      </c>
      <c r="H284" s="18">
        <f>IF(ISNUMBER(Volcanic!D284),Volcanic!D284,"")</f>
        <v>-0.27</v>
      </c>
      <c r="I284" s="18">
        <f t="shared" si="46"/>
        <v>0.26710769864693196</v>
      </c>
      <c r="J284" s="18">
        <f t="shared" si="47"/>
        <v>9.3500000000000007E-3</v>
      </c>
      <c r="K284" s="18">
        <f t="shared" si="48"/>
        <v>-0.3</v>
      </c>
      <c r="L284" s="18">
        <f t="shared" si="49"/>
        <v>0.26710769864693196</v>
      </c>
      <c r="M284" s="18">
        <f t="shared" si="50"/>
        <v>9.3500000000000007E-3</v>
      </c>
      <c r="N284" s="18">
        <f t="shared" si="51"/>
        <v>-0.39888252615873582</v>
      </c>
      <c r="AK284" s="18">
        <f>IF(AND(ISNUMBER(C284),ISNUMBER(ENSO!F284)),C284-ENSO!F284,"")</f>
        <v>-3.9999999999999994E-2</v>
      </c>
      <c r="AL284" s="18">
        <f t="shared" si="53"/>
        <v>1981.7083333333333</v>
      </c>
      <c r="AM284" s="18">
        <f t="shared" si="54"/>
        <v>0.14999999999999858</v>
      </c>
    </row>
    <row r="285" spans="1:39">
      <c r="A285" s="18" t="str">
        <f>IF(Volcanic!A285="","",Volcanic!A285)</f>
        <v>10/1981</v>
      </c>
      <c r="B285" s="18">
        <f>IF(ISNUMBER(Volcanic!L285),Volcanic!L285,"")</f>
        <v>1981.7916666666667</v>
      </c>
      <c r="C285" s="21">
        <v>-0.16</v>
      </c>
      <c r="D285" s="18">
        <f t="shared" si="52"/>
        <v>-0.26</v>
      </c>
      <c r="E285" s="18">
        <f>IF(ISNUMBER(Volcanic!B285),Volcanic!B285,"")</f>
        <v>0.11999999999999744</v>
      </c>
      <c r="F285" s="18">
        <f>IF(ISNUMBER(Volcanic!C285),Volcanic!C285,"")</f>
        <v>0.26753579806873473</v>
      </c>
      <c r="G285" s="18">
        <f>IF(ISNUMBER(Volcanic!E285),Volcanic!E285,"")</f>
        <v>9.2200000000000008E-3</v>
      </c>
      <c r="H285" s="18">
        <f>IF(ISNUMBER(Volcanic!D285),Volcanic!D285,"")</f>
        <v>-0.28000000000000003</v>
      </c>
      <c r="I285" s="18">
        <f t="shared" si="46"/>
        <v>0.26753579806873473</v>
      </c>
      <c r="J285" s="18">
        <f t="shared" si="47"/>
        <v>9.2200000000000008E-3</v>
      </c>
      <c r="K285" s="18">
        <f t="shared" si="48"/>
        <v>-0.26</v>
      </c>
      <c r="L285" s="18">
        <f t="shared" si="49"/>
        <v>0.26753579806873473</v>
      </c>
      <c r="M285" s="18">
        <f t="shared" si="50"/>
        <v>9.2200000000000008E-3</v>
      </c>
      <c r="N285" s="18">
        <f t="shared" si="51"/>
        <v>-0.35819250666813418</v>
      </c>
      <c r="AK285" s="18">
        <f>IF(AND(ISNUMBER(C285),ISNUMBER(ENSO!F285)),C285-ENSO!F285,"")</f>
        <v>0</v>
      </c>
      <c r="AL285" s="18">
        <f t="shared" si="53"/>
        <v>1981.7916666666667</v>
      </c>
      <c r="AM285" s="18">
        <f t="shared" si="54"/>
        <v>0.11999999999999744</v>
      </c>
    </row>
    <row r="286" spans="1:39">
      <c r="A286" s="18" t="str">
        <f>IF(Volcanic!A286="","",Volcanic!A286)</f>
        <v>11/1981</v>
      </c>
      <c r="B286" s="18">
        <f>IF(ISNUMBER(Volcanic!L286),Volcanic!L286,"")</f>
        <v>1981.875</v>
      </c>
      <c r="C286" s="21">
        <v>-0.19</v>
      </c>
      <c r="D286" s="18">
        <f t="shared" si="52"/>
        <v>-0.18</v>
      </c>
      <c r="E286" s="18">
        <f>IF(ISNUMBER(Volcanic!B286),Volcanic!B286,"")</f>
        <v>0.2300000000000022</v>
      </c>
      <c r="F286" s="18">
        <f>IF(ISNUMBER(Volcanic!C286),Volcanic!C286,"")</f>
        <v>0.27406992824581616</v>
      </c>
      <c r="G286" s="18">
        <f>IF(ISNUMBER(Volcanic!E286),Volcanic!E286,"")</f>
        <v>9.0200000000000002E-3</v>
      </c>
      <c r="H286" s="18">
        <f>IF(ISNUMBER(Volcanic!D286),Volcanic!D286,"")</f>
        <v>-0.23</v>
      </c>
      <c r="I286" s="18">
        <f t="shared" si="46"/>
        <v>0.27406992824581616</v>
      </c>
      <c r="J286" s="18">
        <f t="shared" si="47"/>
        <v>9.0200000000000002E-3</v>
      </c>
      <c r="K286" s="18">
        <f t="shared" si="48"/>
        <v>-0.18</v>
      </c>
      <c r="L286" s="18">
        <f t="shared" si="49"/>
        <v>0.27406992824581616</v>
      </c>
      <c r="M286" s="18">
        <f t="shared" si="50"/>
        <v>9.0200000000000002E-3</v>
      </c>
      <c r="N286" s="18">
        <f t="shared" si="51"/>
        <v>-0.27750248717753606</v>
      </c>
      <c r="AK286" s="18">
        <f>IF(AND(ISNUMBER(C286),ISNUMBER(ENSO!F286)),C286-ENSO!F286,"")</f>
        <v>0</v>
      </c>
      <c r="AL286" s="18">
        <f t="shared" si="53"/>
        <v>1981.875</v>
      </c>
      <c r="AM286" s="18">
        <f t="shared" si="54"/>
        <v>0.2300000000000022</v>
      </c>
    </row>
    <row r="287" spans="1:39">
      <c r="A287" s="18" t="str">
        <f>IF(Volcanic!A287="","",Volcanic!A287)</f>
        <v>12/1981</v>
      </c>
      <c r="B287" s="18">
        <f>IF(ISNUMBER(Volcanic!L287),Volcanic!L287,"")</f>
        <v>1981.9583333333333</v>
      </c>
      <c r="C287" s="21">
        <v>0.01</v>
      </c>
      <c r="D287" s="18">
        <f t="shared" si="52"/>
        <v>-0.12</v>
      </c>
      <c r="E287" s="18">
        <f>IF(ISNUMBER(Volcanic!B287),Volcanic!B287,"")</f>
        <v>0.41000000000000014</v>
      </c>
      <c r="F287" s="18">
        <f>IF(ISNUMBER(Volcanic!C287),Volcanic!C287,"")</f>
        <v>0.27972597877580269</v>
      </c>
      <c r="G287" s="18">
        <f>IF(ISNUMBER(Volcanic!E287),Volcanic!E287,"")</f>
        <v>8.8999999999999999E-3</v>
      </c>
      <c r="H287" s="18">
        <f>IF(ISNUMBER(Volcanic!D287),Volcanic!D287,"")</f>
        <v>-0.08</v>
      </c>
      <c r="I287" s="18">
        <f t="shared" si="46"/>
        <v>0.27972597877580269</v>
      </c>
      <c r="J287" s="18">
        <f t="shared" si="47"/>
        <v>8.8999999999999999E-3</v>
      </c>
      <c r="K287" s="18">
        <f t="shared" si="48"/>
        <v>-0.12</v>
      </c>
      <c r="L287" s="18">
        <f t="shared" si="49"/>
        <v>0.27972597877580269</v>
      </c>
      <c r="M287" s="18">
        <f t="shared" si="50"/>
        <v>8.8999999999999999E-3</v>
      </c>
      <c r="N287" s="18">
        <f t="shared" si="51"/>
        <v>-0.21681246768693796</v>
      </c>
      <c r="AK287" s="18">
        <f>IF(AND(ISNUMBER(C287),ISNUMBER(ENSO!F287)),C287-ENSO!F287,"")</f>
        <v>0.15000000000000002</v>
      </c>
      <c r="AL287" s="18">
        <f t="shared" si="53"/>
        <v>1981.9583333333333</v>
      </c>
      <c r="AM287" s="18">
        <f t="shared" si="54"/>
        <v>0.41000000000000014</v>
      </c>
    </row>
    <row r="288" spans="1:39">
      <c r="A288" s="18" t="str">
        <f>IF(Volcanic!A288="","",Volcanic!A288)</f>
        <v>1/1982</v>
      </c>
      <c r="B288" s="18">
        <f>IF(ISNUMBER(Volcanic!L288),Volcanic!L288,"")</f>
        <v>1982.0416666666667</v>
      </c>
      <c r="C288" s="21">
        <v>0.14000000000000001</v>
      </c>
      <c r="D288" s="18">
        <f t="shared" si="52"/>
        <v>-0.16</v>
      </c>
      <c r="E288" s="18">
        <f>IF(ISNUMBER(Volcanic!B288),Volcanic!B288,"")</f>
        <v>5.0000000000004263E-2</v>
      </c>
      <c r="F288" s="18">
        <f>IF(ISNUMBER(Volcanic!C288),Volcanic!C288,"")</f>
        <v>0.28404872727074498</v>
      </c>
      <c r="G288" s="18">
        <f>IF(ISNUMBER(Volcanic!E288),Volcanic!E288,"")</f>
        <v>9.2499999999999995E-3</v>
      </c>
      <c r="H288" s="18">
        <f>IF(ISNUMBER(Volcanic!D288),Volcanic!D288,"")</f>
        <v>-0.16</v>
      </c>
      <c r="I288" s="18">
        <f t="shared" si="46"/>
        <v>0.28404872727074498</v>
      </c>
      <c r="J288" s="18">
        <f t="shared" si="47"/>
        <v>9.2499999999999995E-3</v>
      </c>
      <c r="K288" s="18">
        <f t="shared" si="48"/>
        <v>-0.16</v>
      </c>
      <c r="L288" s="18">
        <f t="shared" si="49"/>
        <v>0.28404872727074498</v>
      </c>
      <c r="M288" s="18">
        <f t="shared" si="50"/>
        <v>9.2499999999999995E-3</v>
      </c>
      <c r="N288" s="18">
        <f t="shared" si="51"/>
        <v>-0.25612244819633634</v>
      </c>
      <c r="AK288" s="18">
        <f>IF(AND(ISNUMBER(C288),ISNUMBER(ENSO!F288)),C288-ENSO!F288,"")</f>
        <v>0.19</v>
      </c>
      <c r="AL288" s="18">
        <f t="shared" si="53"/>
        <v>1982.0416666666667</v>
      </c>
      <c r="AM288" s="18">
        <f t="shared" si="54"/>
        <v>5.0000000000004263E-2</v>
      </c>
    </row>
    <row r="289" spans="1:39">
      <c r="A289" s="18" t="str">
        <f>IF(Volcanic!A289="","",Volcanic!A289)</f>
        <v>2/1982</v>
      </c>
      <c r="B289" s="18">
        <f>IF(ISNUMBER(Volcanic!L289),Volcanic!L289,"")</f>
        <v>1982.125</v>
      </c>
      <c r="C289" s="21">
        <v>0.33</v>
      </c>
      <c r="D289" s="18">
        <f t="shared" si="52"/>
        <v>-0.19</v>
      </c>
      <c r="E289" s="18">
        <f>IF(ISNUMBER(Volcanic!B289),Volcanic!B289,"")</f>
        <v>0.14999999999999858</v>
      </c>
      <c r="F289" s="18">
        <f>IF(ISNUMBER(Volcanic!C289),Volcanic!C289,"")</f>
        <v>0.28755672496786289</v>
      </c>
      <c r="G289" s="18">
        <f>IF(ISNUMBER(Volcanic!E289),Volcanic!E289,"")</f>
        <v>9.6600000000000002E-3</v>
      </c>
      <c r="H289" s="18">
        <f>IF(ISNUMBER(Volcanic!D289),Volcanic!D289,"")</f>
        <v>-0.19</v>
      </c>
      <c r="I289" s="18">
        <f t="shared" si="46"/>
        <v>0.28755672496786289</v>
      </c>
      <c r="J289" s="18">
        <f t="shared" si="47"/>
        <v>9.6600000000000002E-3</v>
      </c>
      <c r="K289" s="18">
        <f t="shared" si="48"/>
        <v>-0.19</v>
      </c>
      <c r="L289" s="18">
        <f t="shared" si="49"/>
        <v>0.28755672496786289</v>
      </c>
      <c r="M289" s="18">
        <f t="shared" si="50"/>
        <v>9.6600000000000002E-3</v>
      </c>
      <c r="N289" s="18">
        <f t="shared" si="51"/>
        <v>-0.28543242870573821</v>
      </c>
      <c r="AK289" s="18">
        <f>IF(AND(ISNUMBER(C289),ISNUMBER(ENSO!F289)),C289-ENSO!F289,"")</f>
        <v>0.31</v>
      </c>
      <c r="AL289" s="18">
        <f t="shared" si="53"/>
        <v>1982.125</v>
      </c>
      <c r="AM289" s="18">
        <f t="shared" si="54"/>
        <v>0.14999999999999858</v>
      </c>
    </row>
    <row r="290" spans="1:39">
      <c r="A290" s="18" t="str">
        <f>IF(Volcanic!A290="","",Volcanic!A290)</f>
        <v>3/1982</v>
      </c>
      <c r="B290" s="18">
        <f>IF(ISNUMBER(Volcanic!L290),Volcanic!L290,"")</f>
        <v>1982.2083333333333</v>
      </c>
      <c r="C290" s="21">
        <v>0.4</v>
      </c>
      <c r="D290" s="18">
        <f t="shared" si="52"/>
        <v>0.01</v>
      </c>
      <c r="E290" s="18">
        <f>IF(ISNUMBER(Volcanic!B290),Volcanic!B290,"")</f>
        <v>2.9999999999997584E-2</v>
      </c>
      <c r="F290" s="18">
        <f>IF(ISNUMBER(Volcanic!C290),Volcanic!C290,"")</f>
        <v>0.29185610858541344</v>
      </c>
      <c r="G290" s="18">
        <f>IF(ISNUMBER(Volcanic!E290),Volcanic!E290,"")</f>
        <v>9.9600000000000001E-3</v>
      </c>
      <c r="H290" s="18">
        <f>IF(ISNUMBER(Volcanic!D290),Volcanic!D290,"")</f>
        <v>-0.14000000000000001</v>
      </c>
      <c r="I290" s="18">
        <f t="shared" si="46"/>
        <v>0.29185610858541344</v>
      </c>
      <c r="J290" s="18">
        <f t="shared" si="47"/>
        <v>9.9600000000000001E-3</v>
      </c>
      <c r="K290" s="18">
        <f t="shared" si="48"/>
        <v>0.01</v>
      </c>
      <c r="L290" s="18">
        <f t="shared" si="49"/>
        <v>0.29185610858541344</v>
      </c>
      <c r="M290" s="18">
        <f t="shared" si="50"/>
        <v>9.9600000000000001E-3</v>
      </c>
      <c r="N290" s="18">
        <f t="shared" si="51"/>
        <v>-8.4742409215140105E-2</v>
      </c>
      <c r="AK290" s="18">
        <f>IF(AND(ISNUMBER(C290),ISNUMBER(ENSO!F290)),C290-ENSO!F290,"")</f>
        <v>0.33</v>
      </c>
      <c r="AL290" s="18">
        <f t="shared" si="53"/>
        <v>1982.2083333333333</v>
      </c>
      <c r="AM290" s="18">
        <f t="shared" si="54"/>
        <v>2.9999999999997584E-2</v>
      </c>
    </row>
    <row r="291" spans="1:39">
      <c r="A291" s="18" t="str">
        <f>IF(Volcanic!A291="","",Volcanic!A291)</f>
        <v>4/1982</v>
      </c>
      <c r="B291" s="18">
        <f>IF(ISNUMBER(Volcanic!L291),Volcanic!L291,"")</f>
        <v>1982.2916666666667</v>
      </c>
      <c r="C291" s="21">
        <v>0.64</v>
      </c>
      <c r="D291" s="18">
        <f t="shared" si="52"/>
        <v>0.14000000000000001</v>
      </c>
      <c r="E291" s="18">
        <f>IF(ISNUMBER(Volcanic!B291),Volcanic!B291,"")</f>
        <v>0.14999999999999858</v>
      </c>
      <c r="F291" s="18">
        <f>IF(ISNUMBER(Volcanic!C291),Volcanic!C291,"")</f>
        <v>0.2968139727658512</v>
      </c>
      <c r="G291" s="18">
        <f>IF(ISNUMBER(Volcanic!E291),Volcanic!E291,"")</f>
        <v>9.6900000000000007E-3</v>
      </c>
      <c r="H291" s="18">
        <f>IF(ISNUMBER(Volcanic!D291),Volcanic!D291,"")</f>
        <v>-0.05</v>
      </c>
      <c r="I291" s="18">
        <f t="shared" si="46"/>
        <v>0.2968139727658512</v>
      </c>
      <c r="J291" s="18">
        <f t="shared" si="47"/>
        <v>9.6900000000000007E-3</v>
      </c>
      <c r="K291" s="18">
        <f t="shared" si="48"/>
        <v>0.14000000000000001</v>
      </c>
      <c r="L291" s="18">
        <f t="shared" si="49"/>
        <v>0.2968139727658512</v>
      </c>
      <c r="M291" s="18">
        <f t="shared" si="50"/>
        <v>9.6900000000000007E-3</v>
      </c>
      <c r="N291" s="18">
        <f t="shared" si="51"/>
        <v>4.5947610275458017E-2</v>
      </c>
      <c r="AK291" s="18">
        <f>IF(AND(ISNUMBER(C291),ISNUMBER(ENSO!F291)),C291-ENSO!F291,"")</f>
        <v>0.3</v>
      </c>
      <c r="AL291" s="18">
        <f t="shared" si="53"/>
        <v>1982.2916666666667</v>
      </c>
      <c r="AM291" s="18">
        <f t="shared" si="54"/>
        <v>0.14999999999999858</v>
      </c>
    </row>
    <row r="292" spans="1:39">
      <c r="A292" s="18" t="str">
        <f>IF(Volcanic!A292="","",Volcanic!A292)</f>
        <v>5/1982</v>
      </c>
      <c r="B292" s="18">
        <f>IF(ISNUMBER(Volcanic!L292),Volcanic!L292,"")</f>
        <v>1982.375</v>
      </c>
      <c r="C292" s="21">
        <v>0.77</v>
      </c>
      <c r="D292" s="18">
        <f t="shared" si="52"/>
        <v>0.33</v>
      </c>
      <c r="E292" s="18">
        <f>IF(ISNUMBER(Volcanic!B292),Volcanic!B292,"")</f>
        <v>0.17999999999999972</v>
      </c>
      <c r="F292" s="18">
        <f>IF(ISNUMBER(Volcanic!C292),Volcanic!C292,"")</f>
        <v>0.30020741728518119</v>
      </c>
      <c r="G292" s="18">
        <f>IF(ISNUMBER(Volcanic!E292),Volcanic!E292,"")</f>
        <v>9.4999999999999998E-3</v>
      </c>
      <c r="H292" s="18">
        <f>IF(ISNUMBER(Volcanic!D292),Volcanic!D292,"")</f>
        <v>0.02</v>
      </c>
      <c r="I292" s="18">
        <f t="shared" si="46"/>
        <v>0.30020741728518119</v>
      </c>
      <c r="J292" s="18">
        <f t="shared" si="47"/>
        <v>9.4999999999999998E-3</v>
      </c>
      <c r="K292" s="18">
        <f t="shared" si="48"/>
        <v>0.33</v>
      </c>
      <c r="L292" s="18">
        <f t="shared" si="49"/>
        <v>0.30020741728518119</v>
      </c>
      <c r="M292" s="18">
        <f t="shared" si="50"/>
        <v>9.4999999999999998E-3</v>
      </c>
      <c r="N292" s="18">
        <f t="shared" si="51"/>
        <v>0.23663762976605612</v>
      </c>
      <c r="AK292" s="18">
        <f>IF(AND(ISNUMBER(C292),ISNUMBER(ENSO!F292)),C292-ENSO!F292,"")</f>
        <v>0.12</v>
      </c>
      <c r="AL292" s="18">
        <f t="shared" si="53"/>
        <v>1982.375</v>
      </c>
      <c r="AM292" s="18">
        <f t="shared" si="54"/>
        <v>0.17999999999999972</v>
      </c>
    </row>
    <row r="293" spans="1:39">
      <c r="A293" s="18" t="str">
        <f>IF(Volcanic!A293="","",Volcanic!A293)</f>
        <v>6/1982</v>
      </c>
      <c r="B293" s="18">
        <f>IF(ISNUMBER(Volcanic!L293),Volcanic!L293,"")</f>
        <v>1982.4583333333333</v>
      </c>
      <c r="C293" s="21">
        <v>0.82</v>
      </c>
      <c r="D293" s="18">
        <f t="shared" si="52"/>
        <v>0.4</v>
      </c>
      <c r="E293" s="18">
        <f>IF(ISNUMBER(Volcanic!B293),Volcanic!B293,"")</f>
        <v>5.9999999999998721E-2</v>
      </c>
      <c r="F293" s="18">
        <f>IF(ISNUMBER(Volcanic!C293),Volcanic!C293,"")</f>
        <v>0.29647838424587125</v>
      </c>
      <c r="G293" s="18">
        <f>IF(ISNUMBER(Volcanic!E293),Volcanic!E293,"")</f>
        <v>9.3299999999999998E-3</v>
      </c>
      <c r="H293" s="18">
        <f>IF(ISNUMBER(Volcanic!D293),Volcanic!D293,"")</f>
        <v>7.0000000000000007E-2</v>
      </c>
      <c r="I293" s="18">
        <f t="shared" si="46"/>
        <v>0.29647838424587125</v>
      </c>
      <c r="J293" s="18">
        <f t="shared" si="47"/>
        <v>9.3299999999999998E-3</v>
      </c>
      <c r="K293" s="18">
        <f t="shared" si="48"/>
        <v>0.4</v>
      </c>
      <c r="L293" s="18">
        <f t="shared" si="49"/>
        <v>0.29647838424587125</v>
      </c>
      <c r="M293" s="18">
        <f t="shared" si="50"/>
        <v>9.3299999999999998E-3</v>
      </c>
      <c r="N293" s="18">
        <f t="shared" si="51"/>
        <v>0.30732764925665423</v>
      </c>
      <c r="AK293" s="18">
        <f>IF(AND(ISNUMBER(C293),ISNUMBER(ENSO!F293)),C293-ENSO!F293,"")</f>
        <v>8.9999999999999969E-2</v>
      </c>
      <c r="AL293" s="18">
        <f t="shared" si="53"/>
        <v>1982.4583333333333</v>
      </c>
      <c r="AM293" s="18">
        <f t="shared" si="54"/>
        <v>5.9999999999998721E-2</v>
      </c>
    </row>
    <row r="294" spans="1:39">
      <c r="A294" s="18" t="str">
        <f>IF(Volcanic!A294="","",Volcanic!A294)</f>
        <v>7/1982</v>
      </c>
      <c r="B294" s="18">
        <f>IF(ISNUMBER(Volcanic!L294),Volcanic!L294,"")</f>
        <v>1982.5416666666667</v>
      </c>
      <c r="C294" s="21">
        <v>0.92</v>
      </c>
      <c r="D294" s="18">
        <f t="shared" si="52"/>
        <v>0.64</v>
      </c>
      <c r="E294" s="18">
        <f>IF(ISNUMBER(Volcanic!B294),Volcanic!B294,"")</f>
        <v>0.13999999999999879</v>
      </c>
      <c r="F294" s="18">
        <f>IF(ISNUMBER(Volcanic!C294),Volcanic!C294,"")</f>
        <v>0.29034014167791555</v>
      </c>
      <c r="G294" s="18">
        <f>IF(ISNUMBER(Volcanic!E294),Volcanic!E294,"")</f>
        <v>8.3300000000000006E-3</v>
      </c>
      <c r="H294" s="18">
        <f>IF(ISNUMBER(Volcanic!D294),Volcanic!D294,"")</f>
        <v>0.34</v>
      </c>
      <c r="I294" s="18">
        <f t="shared" si="46"/>
        <v>0.29034014167791555</v>
      </c>
      <c r="J294" s="18">
        <f t="shared" si="47"/>
        <v>8.3300000000000006E-3</v>
      </c>
      <c r="K294" s="18">
        <f t="shared" si="48"/>
        <v>0.64</v>
      </c>
      <c r="L294" s="18">
        <f t="shared" si="49"/>
        <v>0.29034014167791555</v>
      </c>
      <c r="M294" s="18">
        <f t="shared" si="50"/>
        <v>8.3300000000000006E-3</v>
      </c>
      <c r="N294" s="18">
        <f t="shared" si="51"/>
        <v>0.54801766874725588</v>
      </c>
      <c r="AK294" s="18">
        <f>IF(AND(ISNUMBER(C294),ISNUMBER(ENSO!F294)),C294-ENSO!F294,"")</f>
        <v>0.14000000000000001</v>
      </c>
      <c r="AL294" s="18">
        <f t="shared" si="53"/>
        <v>1982.5416666666667</v>
      </c>
      <c r="AM294" s="18">
        <f t="shared" si="54"/>
        <v>0.13999999999999879</v>
      </c>
    </row>
    <row r="295" spans="1:39">
      <c r="A295" s="18" t="str">
        <f>IF(Volcanic!A295="","",Volcanic!A295)</f>
        <v>8/1982</v>
      </c>
      <c r="B295" s="18">
        <f>IF(ISNUMBER(Volcanic!L295),Volcanic!L295,"")</f>
        <v>1982.625</v>
      </c>
      <c r="C295" s="21">
        <v>1.25</v>
      </c>
      <c r="D295" s="18">
        <f t="shared" si="52"/>
        <v>0.77</v>
      </c>
      <c r="E295" s="18">
        <f>IF(ISNUMBER(Volcanic!B295),Volcanic!B295,"")</f>
        <v>2.9999999999997584E-2</v>
      </c>
      <c r="F295" s="18">
        <f>IF(ISNUMBER(Volcanic!C295),Volcanic!C295,"")</f>
        <v>0.28112593290607241</v>
      </c>
      <c r="G295" s="18">
        <f>IF(ISNUMBER(Volcanic!E295),Volcanic!E295,"")</f>
        <v>7.4599999999999996E-3</v>
      </c>
      <c r="H295" s="18">
        <f>IF(ISNUMBER(Volcanic!D295),Volcanic!D295,"")</f>
        <v>0.65</v>
      </c>
      <c r="I295" s="18">
        <f t="shared" si="46"/>
        <v>0.28112593290607241</v>
      </c>
      <c r="J295" s="18">
        <f t="shared" si="47"/>
        <v>7.4599999999999996E-3</v>
      </c>
      <c r="K295" s="18">
        <f t="shared" si="48"/>
        <v>0.77</v>
      </c>
      <c r="L295" s="18">
        <f t="shared" si="49"/>
        <v>0.28112593290607241</v>
      </c>
      <c r="M295" s="18">
        <f t="shared" si="50"/>
        <v>7.4599999999999996E-3</v>
      </c>
      <c r="N295" s="18">
        <f t="shared" si="51"/>
        <v>0.67870768823785399</v>
      </c>
      <c r="AK295" s="18">
        <f>IF(AND(ISNUMBER(C295),ISNUMBER(ENSO!F295)),C295-ENSO!F295,"")</f>
        <v>0.26</v>
      </c>
      <c r="AL295" s="18">
        <f t="shared" si="53"/>
        <v>1982.625</v>
      </c>
      <c r="AM295" s="18">
        <f t="shared" si="54"/>
        <v>2.9999999999997584E-2</v>
      </c>
    </row>
    <row r="296" spans="1:39">
      <c r="A296" s="18" t="str">
        <f>IF(Volcanic!A296="","",Volcanic!A296)</f>
        <v>9/1982</v>
      </c>
      <c r="B296" s="18">
        <f>IF(ISNUMBER(Volcanic!L296),Volcanic!L296,"")</f>
        <v>1982.7083333333333</v>
      </c>
      <c r="C296" s="21">
        <v>1.81</v>
      </c>
      <c r="D296" s="18">
        <f t="shared" si="52"/>
        <v>0.82</v>
      </c>
      <c r="E296" s="18">
        <f>IF(ISNUMBER(Volcanic!B296),Volcanic!B296,"")</f>
        <v>0.13999999999999879</v>
      </c>
      <c r="F296" s="18">
        <f>IF(ISNUMBER(Volcanic!C296),Volcanic!C296,"")</f>
        <v>0.2731748371214936</v>
      </c>
      <c r="G296" s="18">
        <f>IF(ISNUMBER(Volcanic!E296),Volcanic!E296,"")</f>
        <v>7.3299999999999997E-3</v>
      </c>
      <c r="H296" s="18">
        <f>IF(ISNUMBER(Volcanic!D296),Volcanic!D296,"")</f>
        <v>0.73</v>
      </c>
      <c r="I296" s="18">
        <f t="shared" si="46"/>
        <v>0.2731748371214936</v>
      </c>
      <c r="J296" s="18">
        <f t="shared" si="47"/>
        <v>7.3299999999999997E-3</v>
      </c>
      <c r="K296" s="18">
        <f t="shared" si="48"/>
        <v>0.82</v>
      </c>
      <c r="L296" s="18">
        <f t="shared" si="49"/>
        <v>0.2731748371214936</v>
      </c>
      <c r="M296" s="18">
        <f t="shared" si="50"/>
        <v>7.3299999999999997E-3</v>
      </c>
      <c r="N296" s="18">
        <f t="shared" si="51"/>
        <v>0.72939770772845203</v>
      </c>
      <c r="AK296" s="18">
        <f>IF(AND(ISNUMBER(C296),ISNUMBER(ENSO!F296)),C296-ENSO!F296,"")</f>
        <v>0.3600000000000001</v>
      </c>
      <c r="AL296" s="18">
        <f t="shared" si="53"/>
        <v>1982.7083333333333</v>
      </c>
      <c r="AM296" s="18">
        <f t="shared" si="54"/>
        <v>0.13999999999999879</v>
      </c>
    </row>
    <row r="297" spans="1:39">
      <c r="A297" s="18" t="str">
        <f>IF(Volcanic!A297="","",Volcanic!A297)</f>
        <v>10/1982</v>
      </c>
      <c r="B297" s="18">
        <f>IF(ISNUMBER(Volcanic!L297),Volcanic!L297,"")</f>
        <v>1982.7916666666667</v>
      </c>
      <c r="C297" s="21">
        <v>2.21</v>
      </c>
      <c r="D297" s="18">
        <f t="shared" si="52"/>
        <v>0.92</v>
      </c>
      <c r="E297" s="18">
        <f>IF(ISNUMBER(Volcanic!B297),Volcanic!B297,"")</f>
        <v>0.12999999999999901</v>
      </c>
      <c r="F297" s="18">
        <f>IF(ISNUMBER(Volcanic!C297),Volcanic!C297,"")</f>
        <v>0.27334537348989335</v>
      </c>
      <c r="G297" s="18">
        <f>IF(ISNUMBER(Volcanic!E297),Volcanic!E297,"")</f>
        <v>7.6699999999999997E-3</v>
      </c>
      <c r="H297" s="18">
        <f>IF(ISNUMBER(Volcanic!D297),Volcanic!D297,"")</f>
        <v>0.78</v>
      </c>
      <c r="I297" s="18">
        <f t="shared" si="46"/>
        <v>0.27334537348989335</v>
      </c>
      <c r="J297" s="18">
        <f t="shared" si="47"/>
        <v>7.6699999999999997E-3</v>
      </c>
      <c r="K297" s="18">
        <f t="shared" si="48"/>
        <v>0.92</v>
      </c>
      <c r="L297" s="18">
        <f t="shared" si="49"/>
        <v>0.27334537348989335</v>
      </c>
      <c r="M297" s="18">
        <f t="shared" si="50"/>
        <v>7.6699999999999997E-3</v>
      </c>
      <c r="N297" s="18">
        <f t="shared" si="51"/>
        <v>0.83008772721905377</v>
      </c>
      <c r="AK297" s="18">
        <f>IF(AND(ISNUMBER(C297),ISNUMBER(ENSO!F297)),C297-ENSO!F297,"")</f>
        <v>0.3899999999999999</v>
      </c>
      <c r="AL297" s="18">
        <f t="shared" si="53"/>
        <v>1982.7916666666667</v>
      </c>
      <c r="AM297" s="18">
        <f t="shared" si="54"/>
        <v>0.12999999999999901</v>
      </c>
    </row>
    <row r="298" spans="1:39">
      <c r="A298" s="18" t="str">
        <f>IF(Volcanic!A298="","",Volcanic!A298)</f>
        <v>11/1982</v>
      </c>
      <c r="B298" s="18">
        <f>IF(ISNUMBER(Volcanic!L298),Volcanic!L298,"")</f>
        <v>1982.875</v>
      </c>
      <c r="C298" s="21">
        <v>2.4300000000000002</v>
      </c>
      <c r="D298" s="18">
        <f t="shared" si="52"/>
        <v>1.25</v>
      </c>
      <c r="E298" s="18">
        <f>IF(ISNUMBER(Volcanic!B298),Volcanic!B298,"")</f>
        <v>0.17999999999999972</v>
      </c>
      <c r="F298" s="18">
        <f>IF(ISNUMBER(Volcanic!C298),Volcanic!C298,"")</f>
        <v>0.27772975657104493</v>
      </c>
      <c r="G298" s="18">
        <f>IF(ISNUMBER(Volcanic!E298),Volcanic!E298,"")</f>
        <v>2.0670000000000001E-2</v>
      </c>
      <c r="H298" s="18">
        <f>IF(ISNUMBER(Volcanic!D298),Volcanic!D298,"")</f>
        <v>0.99</v>
      </c>
      <c r="I298" s="18">
        <f t="shared" si="46"/>
        <v>0.27772975657104493</v>
      </c>
      <c r="J298" s="18">
        <f t="shared" si="47"/>
        <v>2.0670000000000001E-2</v>
      </c>
      <c r="K298" s="18">
        <f t="shared" si="48"/>
        <v>1.25</v>
      </c>
      <c r="L298" s="18">
        <f t="shared" si="49"/>
        <v>0.27772975657104493</v>
      </c>
      <c r="M298" s="18">
        <f t="shared" si="50"/>
        <v>2.0670000000000001E-2</v>
      </c>
      <c r="N298" s="18">
        <f t="shared" si="51"/>
        <v>1.1607777467096518</v>
      </c>
      <c r="AK298" s="18">
        <f>IF(AND(ISNUMBER(C298),ISNUMBER(ENSO!F298)),C298-ENSO!F298,"")</f>
        <v>0.40000000000000036</v>
      </c>
      <c r="AL298" s="18">
        <f t="shared" si="53"/>
        <v>1982.875</v>
      </c>
      <c r="AM298" s="18">
        <f t="shared" si="54"/>
        <v>0.17999999999999972</v>
      </c>
    </row>
    <row r="299" spans="1:39">
      <c r="A299" s="18" t="str">
        <f>IF(Volcanic!A299="","",Volcanic!A299)</f>
        <v>12/1982</v>
      </c>
      <c r="B299" s="18">
        <f>IF(ISNUMBER(Volcanic!L299),Volcanic!L299,"")</f>
        <v>1982.9583333333333</v>
      </c>
      <c r="C299" s="21">
        <v>2.52</v>
      </c>
      <c r="D299" s="18">
        <f t="shared" si="52"/>
        <v>1.81</v>
      </c>
      <c r="E299" s="18">
        <f>IF(ISNUMBER(Volcanic!B299),Volcanic!B299,"")</f>
        <v>0.42999999999999972</v>
      </c>
      <c r="F299" s="18">
        <f>IF(ISNUMBER(Volcanic!C299),Volcanic!C299,"")</f>
        <v>0.28341384070717457</v>
      </c>
      <c r="G299" s="18">
        <f>IF(ISNUMBER(Volcanic!E299),Volcanic!E299,"")</f>
        <v>2.3220000000000001E-2</v>
      </c>
      <c r="H299" s="18">
        <f>IF(ISNUMBER(Volcanic!D299),Volcanic!D299,"")</f>
        <v>1.45</v>
      </c>
      <c r="I299" s="18">
        <f t="shared" si="46"/>
        <v>0.28341384070717457</v>
      </c>
      <c r="J299" s="18">
        <f t="shared" si="47"/>
        <v>2.3220000000000001E-2</v>
      </c>
      <c r="K299" s="18">
        <f t="shared" si="48"/>
        <v>1.81</v>
      </c>
      <c r="L299" s="18">
        <f t="shared" si="49"/>
        <v>0.28341384070717457</v>
      </c>
      <c r="M299" s="18">
        <f t="shared" si="50"/>
        <v>2.3220000000000001E-2</v>
      </c>
      <c r="N299" s="18">
        <f t="shared" si="51"/>
        <v>1.72146776620025</v>
      </c>
      <c r="AK299" s="18">
        <f>IF(AND(ISNUMBER(C299),ISNUMBER(ENSO!F299)),C299-ENSO!F299,"")</f>
        <v>0.39999999999999991</v>
      </c>
      <c r="AL299" s="18">
        <f t="shared" si="53"/>
        <v>1982.9583333333333</v>
      </c>
      <c r="AM299" s="18">
        <f t="shared" si="54"/>
        <v>0.42999999999999972</v>
      </c>
    </row>
    <row r="300" spans="1:39">
      <c r="A300" s="18" t="str">
        <f>IF(Volcanic!A300="","",Volcanic!A300)</f>
        <v>1/1983</v>
      </c>
      <c r="B300" s="18">
        <f>IF(ISNUMBER(Volcanic!L300),Volcanic!L300,"")</f>
        <v>1983.0416666666667</v>
      </c>
      <c r="C300" s="21">
        <v>2.4900000000000002</v>
      </c>
      <c r="D300" s="18">
        <f t="shared" si="52"/>
        <v>2.21</v>
      </c>
      <c r="E300" s="18">
        <f>IF(ISNUMBER(Volcanic!B300),Volcanic!B300,"")</f>
        <v>0.52999999999999758</v>
      </c>
      <c r="F300" s="18">
        <f>IF(ISNUMBER(Volcanic!C300),Volcanic!C300,"")</f>
        <v>0.28675444184014132</v>
      </c>
      <c r="G300" s="18">
        <f>IF(ISNUMBER(Volcanic!E300),Volcanic!E300,"")</f>
        <v>2.6190000000000001E-2</v>
      </c>
      <c r="H300" s="18">
        <f>IF(ISNUMBER(Volcanic!D300),Volcanic!D300,"")</f>
        <v>1.82</v>
      </c>
      <c r="I300" s="18">
        <f t="shared" si="46"/>
        <v>0.28675444184014132</v>
      </c>
      <c r="J300" s="18">
        <f t="shared" si="47"/>
        <v>2.6190000000000001E-2</v>
      </c>
      <c r="K300" s="18">
        <f t="shared" si="48"/>
        <v>2.21</v>
      </c>
      <c r="L300" s="18">
        <f t="shared" si="49"/>
        <v>0.28675444184014132</v>
      </c>
      <c r="M300" s="18">
        <f t="shared" si="50"/>
        <v>2.6190000000000001E-2</v>
      </c>
      <c r="N300" s="18">
        <f t="shared" si="51"/>
        <v>2.1221577856908516</v>
      </c>
      <c r="AK300" s="18">
        <f>IF(AND(ISNUMBER(C300),ISNUMBER(ENSO!F300)),C300-ENSO!F300,"")</f>
        <v>0.35000000000000009</v>
      </c>
      <c r="AL300" s="18">
        <f t="shared" si="53"/>
        <v>1983.0416666666667</v>
      </c>
      <c r="AM300" s="18">
        <f t="shared" si="54"/>
        <v>0.52999999999999758</v>
      </c>
    </row>
    <row r="301" spans="1:39">
      <c r="A301" s="18" t="str">
        <f>IF(Volcanic!A301="","",Volcanic!A301)</f>
        <v>2/1983</v>
      </c>
      <c r="B301" s="18">
        <f>IF(ISNUMBER(Volcanic!L301),Volcanic!L301,"")</f>
        <v>1983.125</v>
      </c>
      <c r="C301" s="21">
        <v>2.2000000000000002</v>
      </c>
      <c r="D301" s="18">
        <f t="shared" si="52"/>
        <v>2.4300000000000002</v>
      </c>
      <c r="E301" s="18">
        <f>IF(ISNUMBER(Volcanic!B301),Volcanic!B301,"")</f>
        <v>0.42999999999999972</v>
      </c>
      <c r="F301" s="18">
        <f>IF(ISNUMBER(Volcanic!C301),Volcanic!C301,"")</f>
        <v>0.29185610858541344</v>
      </c>
      <c r="G301" s="18">
        <f>IF(ISNUMBER(Volcanic!E301),Volcanic!E301,"")</f>
        <v>2.7179999999999999E-2</v>
      </c>
      <c r="H301" s="18">
        <f>IF(ISNUMBER(Volcanic!D301),Volcanic!D301,"")</f>
        <v>2.0299999999999998</v>
      </c>
      <c r="I301" s="18">
        <f t="shared" si="46"/>
        <v>0.29185610858541344</v>
      </c>
      <c r="J301" s="18">
        <f t="shared" si="47"/>
        <v>2.7179999999999999E-2</v>
      </c>
      <c r="K301" s="18">
        <f t="shared" si="48"/>
        <v>2.4300000000000002</v>
      </c>
      <c r="L301" s="18">
        <f t="shared" si="49"/>
        <v>0.29185610858541344</v>
      </c>
      <c r="M301" s="18">
        <f t="shared" si="50"/>
        <v>2.7179999999999999E-2</v>
      </c>
      <c r="N301" s="18">
        <f t="shared" si="51"/>
        <v>2.3428478051814499</v>
      </c>
      <c r="AK301" s="18">
        <f>IF(AND(ISNUMBER(C301),ISNUMBER(ENSO!F301)),C301-ENSO!F301,"")</f>
        <v>0.29000000000000026</v>
      </c>
      <c r="AL301" s="18">
        <f t="shared" si="53"/>
        <v>1983.125</v>
      </c>
      <c r="AM301" s="18">
        <f t="shared" si="54"/>
        <v>0.42999999999999972</v>
      </c>
    </row>
    <row r="302" spans="1:39">
      <c r="A302" s="18" t="str">
        <f>IF(Volcanic!A302="","",Volcanic!A302)</f>
        <v>3/1983</v>
      </c>
      <c r="B302" s="18">
        <f>IF(ISNUMBER(Volcanic!L302),Volcanic!L302,"")</f>
        <v>1983.2083333333333</v>
      </c>
      <c r="C302" s="21">
        <v>1.71</v>
      </c>
      <c r="D302" s="18">
        <f t="shared" si="52"/>
        <v>2.52</v>
      </c>
      <c r="E302" s="18">
        <f>IF(ISNUMBER(Volcanic!B302),Volcanic!B302,"")</f>
        <v>0.42000000000000348</v>
      </c>
      <c r="F302" s="18">
        <f>IF(ISNUMBER(Volcanic!C302),Volcanic!C302,"")</f>
        <v>0.29433717040544699</v>
      </c>
      <c r="G302" s="18">
        <f>IF(ISNUMBER(Volcanic!E302),Volcanic!E302,"")</f>
        <v>2.86E-2</v>
      </c>
      <c r="H302" s="18">
        <f>IF(ISNUMBER(Volcanic!D302),Volcanic!D302,"")</f>
        <v>2.12</v>
      </c>
      <c r="I302" s="18">
        <f t="shared" si="46"/>
        <v>0.29433717040544699</v>
      </c>
      <c r="J302" s="18">
        <f t="shared" si="47"/>
        <v>2.86E-2</v>
      </c>
      <c r="K302" s="18">
        <f t="shared" si="48"/>
        <v>2.52</v>
      </c>
      <c r="L302" s="18">
        <f t="shared" si="49"/>
        <v>0.29433717040544699</v>
      </c>
      <c r="M302" s="18">
        <f t="shared" si="50"/>
        <v>2.86E-2</v>
      </c>
      <c r="N302" s="18">
        <f t="shared" si="51"/>
        <v>2.4335378246720478</v>
      </c>
      <c r="AK302" s="18">
        <f>IF(AND(ISNUMBER(C302),ISNUMBER(ENSO!F302)),C302-ENSO!F302,"")</f>
        <v>0.18999999999999995</v>
      </c>
      <c r="AL302" s="18">
        <f t="shared" si="53"/>
        <v>1983.2083333333333</v>
      </c>
      <c r="AM302" s="18">
        <f t="shared" si="54"/>
        <v>0.42000000000000348</v>
      </c>
    </row>
    <row r="303" spans="1:39">
      <c r="A303" s="18" t="str">
        <f>IF(Volcanic!A303="","",Volcanic!A303)</f>
        <v>4/1983</v>
      </c>
      <c r="B303" s="18">
        <f>IF(ISNUMBER(Volcanic!L303),Volcanic!L303,"")</f>
        <v>1983.2916666666667</v>
      </c>
      <c r="C303" s="21">
        <v>1.37</v>
      </c>
      <c r="D303" s="18">
        <f t="shared" si="52"/>
        <v>2.4900000000000002</v>
      </c>
      <c r="E303" s="18">
        <f>IF(ISNUMBER(Volcanic!B303),Volcanic!B303,"")</f>
        <v>0.28000000000000114</v>
      </c>
      <c r="F303" s="18">
        <f>IF(ISNUMBER(Volcanic!C303),Volcanic!C303,"")</f>
        <v>0.30284125569659542</v>
      </c>
      <c r="G303" s="18">
        <f>IF(ISNUMBER(Volcanic!E303),Volcanic!E303,"")</f>
        <v>2.9919999999999999E-2</v>
      </c>
      <c r="H303" s="18">
        <f>IF(ISNUMBER(Volcanic!D303),Volcanic!D303,"")</f>
        <v>2.14</v>
      </c>
      <c r="I303" s="18">
        <f t="shared" si="46"/>
        <v>0.30284125569659542</v>
      </c>
      <c r="J303" s="18">
        <f t="shared" si="47"/>
        <v>2.9919999999999999E-2</v>
      </c>
      <c r="K303" s="18">
        <f t="shared" si="48"/>
        <v>2.4900000000000002</v>
      </c>
      <c r="L303" s="18">
        <f t="shared" si="49"/>
        <v>0.30284125569659542</v>
      </c>
      <c r="M303" s="18">
        <f t="shared" si="50"/>
        <v>2.9919999999999999E-2</v>
      </c>
      <c r="N303" s="18">
        <f t="shared" si="51"/>
        <v>2.4042278441626461</v>
      </c>
      <c r="AK303" s="18">
        <f>IF(AND(ISNUMBER(C303),ISNUMBER(ENSO!F303)),C303-ENSO!F303,"")</f>
        <v>0.14000000000000012</v>
      </c>
      <c r="AL303" s="18">
        <f t="shared" si="53"/>
        <v>1983.2916666666667</v>
      </c>
      <c r="AM303" s="18">
        <f t="shared" si="54"/>
        <v>0.28000000000000114</v>
      </c>
    </row>
    <row r="304" spans="1:39">
      <c r="A304" s="18" t="str">
        <f>IF(Volcanic!A304="","",Volcanic!A304)</f>
        <v>5/1983</v>
      </c>
      <c r="B304" s="18">
        <f>IF(ISNUMBER(Volcanic!L304),Volcanic!L304,"")</f>
        <v>1983.375</v>
      </c>
      <c r="C304" s="21">
        <v>1</v>
      </c>
      <c r="D304" s="18">
        <f t="shared" si="52"/>
        <v>2.2000000000000002</v>
      </c>
      <c r="E304" s="18">
        <f>IF(ISNUMBER(Volcanic!B304),Volcanic!B304,"")</f>
        <v>0.33999999999999986</v>
      </c>
      <c r="F304" s="18">
        <f>IF(ISNUMBER(Volcanic!C304),Volcanic!C304,"")</f>
        <v>0.30592884206251841</v>
      </c>
      <c r="G304" s="18">
        <f>IF(ISNUMBER(Volcanic!E304),Volcanic!E304,"")</f>
        <v>3.2079999999999997E-2</v>
      </c>
      <c r="H304" s="18">
        <f>IF(ISNUMBER(Volcanic!D304),Volcanic!D304,"")</f>
        <v>1.91</v>
      </c>
      <c r="I304" s="18">
        <f t="shared" si="46"/>
        <v>0.30592884206251841</v>
      </c>
      <c r="J304" s="18">
        <f t="shared" si="47"/>
        <v>3.2079999999999997E-2</v>
      </c>
      <c r="K304" s="18">
        <f t="shared" si="48"/>
        <v>2.2000000000000002</v>
      </c>
      <c r="L304" s="18">
        <f t="shared" si="49"/>
        <v>0.30592884206251841</v>
      </c>
      <c r="M304" s="18">
        <f t="shared" si="50"/>
        <v>3.2079999999999997E-2</v>
      </c>
      <c r="N304" s="18">
        <f t="shared" si="51"/>
        <v>2.1149178636532477</v>
      </c>
      <c r="AK304" s="18">
        <f>IF(AND(ISNUMBER(C304),ISNUMBER(ENSO!F304)),C304-ENSO!F304,"")</f>
        <v>5.0000000000000044E-2</v>
      </c>
      <c r="AL304" s="18">
        <f t="shared" si="53"/>
        <v>1983.375</v>
      </c>
      <c r="AM304" s="18">
        <f t="shared" si="54"/>
        <v>0.33999999999999986</v>
      </c>
    </row>
    <row r="305" spans="1:39">
      <c r="A305" s="18" t="str">
        <f>IF(Volcanic!A305="","",Volcanic!A305)</f>
        <v>6/1983</v>
      </c>
      <c r="B305" s="18">
        <f>IF(ISNUMBER(Volcanic!L305),Volcanic!L305,"")</f>
        <v>1983.4583333333333</v>
      </c>
      <c r="C305" s="21">
        <v>0.56999999999999995</v>
      </c>
      <c r="D305" s="18">
        <f t="shared" si="52"/>
        <v>1.71</v>
      </c>
      <c r="E305" s="18">
        <f>IF(ISNUMBER(Volcanic!B305),Volcanic!B305,"")</f>
        <v>0.2300000000000022</v>
      </c>
      <c r="F305" s="18">
        <f>IF(ISNUMBER(Volcanic!C305),Volcanic!C305,"")</f>
        <v>0.30434415013981614</v>
      </c>
      <c r="G305" s="18">
        <f>IF(ISNUMBER(Volcanic!E305),Volcanic!E305,"")</f>
        <v>3.771E-2</v>
      </c>
      <c r="H305" s="18">
        <f>IF(ISNUMBER(Volcanic!D305),Volcanic!D305,"")</f>
        <v>1.52</v>
      </c>
      <c r="I305" s="18">
        <f t="shared" si="46"/>
        <v>0.30434415013981614</v>
      </c>
      <c r="J305" s="18">
        <f t="shared" si="47"/>
        <v>3.771E-2</v>
      </c>
      <c r="K305" s="18">
        <f t="shared" si="48"/>
        <v>1.71</v>
      </c>
      <c r="L305" s="18">
        <f t="shared" si="49"/>
        <v>0.30434415013981614</v>
      </c>
      <c r="M305" s="18">
        <f t="shared" si="50"/>
        <v>3.771E-2</v>
      </c>
      <c r="N305" s="18">
        <f t="shared" si="51"/>
        <v>1.6256078831438456</v>
      </c>
      <c r="AK305" s="18">
        <f>IF(AND(ISNUMBER(C305),ISNUMBER(ENSO!F305)),C305-ENSO!F305,"")</f>
        <v>-5.0000000000000044E-2</v>
      </c>
      <c r="AL305" s="18">
        <f t="shared" si="53"/>
        <v>1983.4583333333333</v>
      </c>
      <c r="AM305" s="18">
        <f t="shared" si="54"/>
        <v>0.2300000000000022</v>
      </c>
    </row>
    <row r="306" spans="1:39">
      <c r="A306" s="18" t="str">
        <f>IF(Volcanic!A306="","",Volcanic!A306)</f>
        <v>7/1983</v>
      </c>
      <c r="B306" s="18">
        <f>IF(ISNUMBER(Volcanic!L306),Volcanic!L306,"")</f>
        <v>1983.5416666666667</v>
      </c>
      <c r="C306" s="21">
        <v>0.1</v>
      </c>
      <c r="D306" s="18">
        <f t="shared" si="52"/>
        <v>1.37</v>
      </c>
      <c r="E306" s="18">
        <f>IF(ISNUMBER(Volcanic!B306),Volcanic!B306,"")</f>
        <v>0.17999999999999972</v>
      </c>
      <c r="F306" s="18">
        <f>IF(ISNUMBER(Volcanic!C306),Volcanic!C306,"")</f>
        <v>0.29832315583693308</v>
      </c>
      <c r="G306" s="18">
        <f>IF(ISNUMBER(Volcanic!E306),Volcanic!E306,"")</f>
        <v>5.3809999999999997E-2</v>
      </c>
      <c r="H306" s="18">
        <f>IF(ISNUMBER(Volcanic!D306),Volcanic!D306,"")</f>
        <v>1.23</v>
      </c>
      <c r="I306" s="18">
        <f t="shared" si="46"/>
        <v>0.29832315583693308</v>
      </c>
      <c r="J306" s="18">
        <f t="shared" si="47"/>
        <v>5.3809999999999997E-2</v>
      </c>
      <c r="K306" s="18">
        <f t="shared" si="48"/>
        <v>1.37</v>
      </c>
      <c r="L306" s="18">
        <f t="shared" si="49"/>
        <v>0.29832315583693308</v>
      </c>
      <c r="M306" s="18">
        <f t="shared" si="50"/>
        <v>5.3809999999999997E-2</v>
      </c>
      <c r="N306" s="18">
        <f t="shared" si="51"/>
        <v>1.2862979026344439</v>
      </c>
      <c r="AK306" s="18">
        <f>IF(AND(ISNUMBER(C306),ISNUMBER(ENSO!F306)),C306-ENSO!F306,"")</f>
        <v>-0.15</v>
      </c>
      <c r="AL306" s="18">
        <f t="shared" si="53"/>
        <v>1983.5416666666667</v>
      </c>
      <c r="AM306" s="18">
        <f t="shared" si="54"/>
        <v>0.17999999999999972</v>
      </c>
    </row>
    <row r="307" spans="1:39">
      <c r="A307" s="18" t="str">
        <f>IF(Volcanic!A307="","",Volcanic!A307)</f>
        <v>8/1983</v>
      </c>
      <c r="B307" s="18">
        <f>IF(ISNUMBER(Volcanic!L307),Volcanic!L307,"")</f>
        <v>1983.625</v>
      </c>
      <c r="C307" s="21">
        <v>-0.24</v>
      </c>
      <c r="D307" s="18">
        <f t="shared" si="52"/>
        <v>1</v>
      </c>
      <c r="E307" s="18">
        <f>IF(ISNUMBER(Volcanic!B307),Volcanic!B307,"")</f>
        <v>0.36000000000000121</v>
      </c>
      <c r="F307" s="18">
        <f>IF(ISNUMBER(Volcanic!C307),Volcanic!C307,"")</f>
        <v>0.29071928277095344</v>
      </c>
      <c r="G307" s="18">
        <f>IF(ISNUMBER(Volcanic!E307),Volcanic!E307,"")</f>
        <v>5.7509999999999999E-2</v>
      </c>
      <c r="H307" s="18">
        <f>IF(ISNUMBER(Volcanic!D307),Volcanic!D307,"")</f>
        <v>0.95</v>
      </c>
      <c r="I307" s="18">
        <f t="shared" si="46"/>
        <v>0.29071928277095344</v>
      </c>
      <c r="J307" s="18">
        <f t="shared" si="47"/>
        <v>5.7509999999999999E-2</v>
      </c>
      <c r="K307" s="18">
        <f t="shared" si="48"/>
        <v>1</v>
      </c>
      <c r="L307" s="18">
        <f t="shared" si="49"/>
        <v>0.29071928277095344</v>
      </c>
      <c r="M307" s="18">
        <f t="shared" si="50"/>
        <v>5.7509999999999999E-2</v>
      </c>
      <c r="N307" s="18">
        <f t="shared" si="51"/>
        <v>0.91698792212504188</v>
      </c>
      <c r="AK307" s="18">
        <f>IF(AND(ISNUMBER(C307),ISNUMBER(ENSO!F307)),C307-ENSO!F307,"")</f>
        <v>-0.18</v>
      </c>
      <c r="AL307" s="18">
        <f t="shared" si="53"/>
        <v>1983.625</v>
      </c>
      <c r="AM307" s="18">
        <f t="shared" si="54"/>
        <v>0.36000000000000121</v>
      </c>
    </row>
    <row r="308" spans="1:39">
      <c r="A308" s="18" t="str">
        <f>IF(Volcanic!A308="","",Volcanic!A308)</f>
        <v>9/1983</v>
      </c>
      <c r="B308" s="18">
        <f>IF(ISNUMBER(Volcanic!L308),Volcanic!L308,"")</f>
        <v>1983.7083333333333</v>
      </c>
      <c r="C308" s="21">
        <v>-0.59</v>
      </c>
      <c r="D308" s="18">
        <f t="shared" si="52"/>
        <v>0.56999999999999995</v>
      </c>
      <c r="E308" s="18">
        <f>IF(ISNUMBER(Volcanic!B308),Volcanic!B308,"")</f>
        <v>0.36999999999999744</v>
      </c>
      <c r="F308" s="18">
        <f>IF(ISNUMBER(Volcanic!C308),Volcanic!C308,"")</f>
        <v>0.28205848151793295</v>
      </c>
      <c r="G308" s="18">
        <f>IF(ISNUMBER(Volcanic!E308),Volcanic!E308,"")</f>
        <v>5.6910000000000002E-2</v>
      </c>
      <c r="H308" s="18">
        <f>IF(ISNUMBER(Volcanic!D308),Volcanic!D308,"")</f>
        <v>0.62</v>
      </c>
      <c r="I308" s="18">
        <f t="shared" si="46"/>
        <v>0.28205848151793295</v>
      </c>
      <c r="J308" s="18">
        <f t="shared" si="47"/>
        <v>5.6910000000000002E-2</v>
      </c>
      <c r="K308" s="18">
        <f t="shared" si="48"/>
        <v>0.56999999999999995</v>
      </c>
      <c r="L308" s="18">
        <f t="shared" si="49"/>
        <v>0.28205848151793295</v>
      </c>
      <c r="M308" s="18">
        <f t="shared" si="50"/>
        <v>5.6910000000000002E-2</v>
      </c>
      <c r="N308" s="18">
        <f t="shared" si="51"/>
        <v>0.48767794161563993</v>
      </c>
      <c r="AK308" s="18">
        <f>IF(AND(ISNUMBER(C308),ISNUMBER(ENSO!F308)),C308-ENSO!F308,"")</f>
        <v>-0.15999999999999998</v>
      </c>
      <c r="AL308" s="18">
        <f t="shared" si="53"/>
        <v>1983.7083333333333</v>
      </c>
      <c r="AM308" s="18">
        <f t="shared" si="54"/>
        <v>0.36999999999999744</v>
      </c>
    </row>
    <row r="309" spans="1:39">
      <c r="A309" s="18" t="str">
        <f>IF(Volcanic!A309="","",Volcanic!A309)</f>
        <v>10/1983</v>
      </c>
      <c r="B309" s="18">
        <f>IF(ISNUMBER(Volcanic!L309),Volcanic!L309,"")</f>
        <v>1983.7916666666667</v>
      </c>
      <c r="C309" s="21">
        <v>-0.94</v>
      </c>
      <c r="D309" s="18">
        <f t="shared" si="52"/>
        <v>0.1</v>
      </c>
      <c r="E309" s="18">
        <f>IF(ISNUMBER(Volcanic!B309),Volcanic!B309,"")</f>
        <v>0.16999999999999993</v>
      </c>
      <c r="F309" s="18">
        <f>IF(ISNUMBER(Volcanic!C309),Volcanic!C309,"")</f>
        <v>0.28235507516311997</v>
      </c>
      <c r="G309" s="18">
        <f>IF(ISNUMBER(Volcanic!E309),Volcanic!E309,"")</f>
        <v>5.6890000000000003E-2</v>
      </c>
      <c r="H309" s="18">
        <f>IF(ISNUMBER(Volcanic!D309),Volcanic!D309,"")</f>
        <v>0.25</v>
      </c>
      <c r="I309" s="18">
        <f t="shared" si="46"/>
        <v>0.28235507516311997</v>
      </c>
      <c r="J309" s="18">
        <f t="shared" si="47"/>
        <v>5.6890000000000003E-2</v>
      </c>
      <c r="K309" s="18">
        <f t="shared" si="48"/>
        <v>0.1</v>
      </c>
      <c r="L309" s="18">
        <f t="shared" si="49"/>
        <v>0.28235507516311997</v>
      </c>
      <c r="M309" s="18">
        <f t="shared" si="50"/>
        <v>5.6890000000000003E-2</v>
      </c>
      <c r="N309" s="18">
        <f t="shared" si="51"/>
        <v>1.8367961106241643E-2</v>
      </c>
      <c r="AK309" s="18">
        <f>IF(AND(ISNUMBER(C309),ISNUMBER(ENSO!F309)),C309-ENSO!F309,"")</f>
        <v>-0.17999999999999994</v>
      </c>
      <c r="AL309" s="18">
        <f t="shared" si="53"/>
        <v>1983.7916666666667</v>
      </c>
      <c r="AM309" s="18">
        <f t="shared" si="54"/>
        <v>0.16999999999999993</v>
      </c>
    </row>
    <row r="310" spans="1:39">
      <c r="A310" s="18" t="str">
        <f>IF(Volcanic!A310="","",Volcanic!A310)</f>
        <v>11/1983</v>
      </c>
      <c r="B310" s="18">
        <f>IF(ISNUMBER(Volcanic!L310),Volcanic!L310,"")</f>
        <v>1983.875</v>
      </c>
      <c r="C310" s="21">
        <v>-1.1399999999999999</v>
      </c>
      <c r="D310" s="18">
        <f t="shared" si="52"/>
        <v>-0.24</v>
      </c>
      <c r="E310" s="18">
        <f>IF(ISNUMBER(Volcanic!B310),Volcanic!B310,"")</f>
        <v>0.30000000000000249</v>
      </c>
      <c r="F310" s="18">
        <f>IF(ISNUMBER(Volcanic!C310),Volcanic!C310,"")</f>
        <v>0.28768336047734855</v>
      </c>
      <c r="G310" s="18">
        <f>IF(ISNUMBER(Volcanic!E310),Volcanic!E310,"")</f>
        <v>5.74E-2</v>
      </c>
      <c r="H310" s="18">
        <f>IF(ISNUMBER(Volcanic!D310),Volcanic!D310,"")</f>
        <v>-0.06</v>
      </c>
      <c r="I310" s="18">
        <f t="shared" si="46"/>
        <v>0.28768336047734855</v>
      </c>
      <c r="J310" s="18">
        <f t="shared" si="47"/>
        <v>5.74E-2</v>
      </c>
      <c r="K310" s="18">
        <f t="shared" si="48"/>
        <v>-0.24</v>
      </c>
      <c r="L310" s="18">
        <f t="shared" si="49"/>
        <v>0.28768336047734855</v>
      </c>
      <c r="M310" s="18">
        <f t="shared" si="50"/>
        <v>5.74E-2</v>
      </c>
      <c r="N310" s="18">
        <f t="shared" si="51"/>
        <v>-0.32094201940316025</v>
      </c>
      <c r="AK310" s="18">
        <f>IF(AND(ISNUMBER(C310),ISNUMBER(ENSO!F310)),C310-ENSO!F310,"")</f>
        <v>-0.17999999999999994</v>
      </c>
      <c r="AL310" s="18">
        <f t="shared" si="53"/>
        <v>1983.875</v>
      </c>
      <c r="AM310" s="18">
        <f t="shared" si="54"/>
        <v>0.30000000000000249</v>
      </c>
    </row>
    <row r="311" spans="1:39">
      <c r="A311" s="18" t="str">
        <f>IF(Volcanic!A311="","",Volcanic!A311)</f>
        <v>12/1983</v>
      </c>
      <c r="B311" s="18">
        <f>IF(ISNUMBER(Volcanic!L311),Volcanic!L311,"")</f>
        <v>1983.9583333333333</v>
      </c>
      <c r="C311" s="21">
        <v>-0.96</v>
      </c>
      <c r="D311" s="18">
        <f t="shared" si="52"/>
        <v>-0.59</v>
      </c>
      <c r="E311" s="18">
        <f>IF(ISNUMBER(Volcanic!B311),Volcanic!B311,"")</f>
        <v>0.16999999999999993</v>
      </c>
      <c r="F311" s="18">
        <f>IF(ISNUMBER(Volcanic!C311),Volcanic!C311,"")</f>
        <v>0.29362272566721687</v>
      </c>
      <c r="G311" s="18">
        <f>IF(ISNUMBER(Volcanic!E311),Volcanic!E311,"")</f>
        <v>5.4690000000000003E-2</v>
      </c>
      <c r="H311" s="18">
        <f>IF(ISNUMBER(Volcanic!D311),Volcanic!D311,"")</f>
        <v>-0.43</v>
      </c>
      <c r="I311" s="18">
        <f t="shared" si="46"/>
        <v>0.29362272566721687</v>
      </c>
      <c r="J311" s="18">
        <f t="shared" si="47"/>
        <v>5.4690000000000003E-2</v>
      </c>
      <c r="K311" s="18">
        <f t="shared" si="48"/>
        <v>-0.59</v>
      </c>
      <c r="L311" s="18">
        <f t="shared" si="49"/>
        <v>0.29362272566721687</v>
      </c>
      <c r="M311" s="18">
        <f t="shared" si="50"/>
        <v>5.4690000000000003E-2</v>
      </c>
      <c r="N311" s="18">
        <f t="shared" si="51"/>
        <v>-0.67025199991256212</v>
      </c>
      <c r="AK311" s="18">
        <f>IF(AND(ISNUMBER(C311),ISNUMBER(ENSO!F311)),C311-ENSO!F311,"")</f>
        <v>-6.9999999999999951E-2</v>
      </c>
      <c r="AL311" s="18">
        <f t="shared" si="53"/>
        <v>1983.9583333333333</v>
      </c>
      <c r="AM311" s="18">
        <f t="shared" si="54"/>
        <v>0.16999999999999993</v>
      </c>
    </row>
    <row r="312" spans="1:39">
      <c r="A312" s="18" t="str">
        <f>IF(Volcanic!A312="","",Volcanic!A312)</f>
        <v>1/1984</v>
      </c>
      <c r="B312" s="18">
        <f>IF(ISNUMBER(Volcanic!L312),Volcanic!L312,"")</f>
        <v>1984.0416666666667</v>
      </c>
      <c r="C312" s="21">
        <v>-0.54</v>
      </c>
      <c r="D312" s="18">
        <f t="shared" si="52"/>
        <v>-0.94</v>
      </c>
      <c r="E312" s="18">
        <f>IF(ISNUMBER(Volcanic!B312),Volcanic!B312,"")</f>
        <v>0.31000000000000227</v>
      </c>
      <c r="F312" s="18">
        <f>IF(ISNUMBER(Volcanic!C312),Volcanic!C312,"")</f>
        <v>0.29786218403948628</v>
      </c>
      <c r="G312" s="18">
        <f>IF(ISNUMBER(Volcanic!E312),Volcanic!E312,"")</f>
        <v>5.2319999999999998E-2</v>
      </c>
      <c r="H312" s="18">
        <f>IF(ISNUMBER(Volcanic!D312),Volcanic!D312,"")</f>
        <v>-0.76</v>
      </c>
      <c r="I312" s="18">
        <f t="shared" si="46"/>
        <v>0.29786218403948628</v>
      </c>
      <c r="J312" s="18">
        <f t="shared" si="47"/>
        <v>5.2319999999999998E-2</v>
      </c>
      <c r="K312" s="18">
        <f t="shared" si="48"/>
        <v>-0.94</v>
      </c>
      <c r="L312" s="18">
        <f t="shared" si="49"/>
        <v>0.29786218403948628</v>
      </c>
      <c r="M312" s="18">
        <f t="shared" si="50"/>
        <v>5.2319999999999998E-2</v>
      </c>
      <c r="N312" s="18">
        <f t="shared" si="51"/>
        <v>-1.0195619804219604</v>
      </c>
      <c r="AK312" s="18">
        <f>IF(AND(ISNUMBER(C312),ISNUMBER(ENSO!F312)),C312-ENSO!F312,"")</f>
        <v>8.9999999999999969E-2</v>
      </c>
      <c r="AL312" s="18">
        <f t="shared" si="53"/>
        <v>1984.0416666666667</v>
      </c>
      <c r="AM312" s="18">
        <f t="shared" si="54"/>
        <v>0.31000000000000227</v>
      </c>
    </row>
    <row r="313" spans="1:39">
      <c r="A313" s="18" t="str">
        <f>IF(Volcanic!A313="","",Volcanic!A313)</f>
        <v>2/1984</v>
      </c>
      <c r="B313" s="18">
        <f>IF(ISNUMBER(Volcanic!L313),Volcanic!L313,"")</f>
        <v>1984.125</v>
      </c>
      <c r="C313" s="21">
        <v>-0.35</v>
      </c>
      <c r="D313" s="18">
        <f t="shared" si="52"/>
        <v>-1.1399999999999999</v>
      </c>
      <c r="E313" s="18">
        <f>IF(ISNUMBER(Volcanic!B313),Volcanic!B313,"")</f>
        <v>0.13999999999999879</v>
      </c>
      <c r="F313" s="18">
        <f>IF(ISNUMBER(Volcanic!C313),Volcanic!C313,"")</f>
        <v>0.30083495794705978</v>
      </c>
      <c r="G313" s="18">
        <f>IF(ISNUMBER(Volcanic!E313),Volcanic!E313,"")</f>
        <v>4.7759999999999997E-2</v>
      </c>
      <c r="H313" s="18">
        <f>IF(ISNUMBER(Volcanic!D313),Volcanic!D313,"")</f>
        <v>-0.96</v>
      </c>
      <c r="I313" s="18">
        <f t="shared" si="46"/>
        <v>0.30083495794705978</v>
      </c>
      <c r="J313" s="18">
        <f t="shared" si="47"/>
        <v>4.7759999999999997E-2</v>
      </c>
      <c r="K313" s="18">
        <f t="shared" si="48"/>
        <v>-1.1399999999999999</v>
      </c>
      <c r="L313" s="18">
        <f t="shared" si="49"/>
        <v>0.30083495794705978</v>
      </c>
      <c r="M313" s="18">
        <f t="shared" si="50"/>
        <v>4.7759999999999997E-2</v>
      </c>
      <c r="N313" s="18">
        <f t="shared" si="51"/>
        <v>-1.2188719609313623</v>
      </c>
      <c r="AK313" s="18">
        <f>IF(AND(ISNUMBER(C313),ISNUMBER(ENSO!F313)),C313-ENSO!F313,"")</f>
        <v>0.16000000000000003</v>
      </c>
      <c r="AL313" s="18">
        <f t="shared" si="53"/>
        <v>1984.125</v>
      </c>
      <c r="AM313" s="18">
        <f t="shared" si="54"/>
        <v>0.13999999999999879</v>
      </c>
    </row>
    <row r="314" spans="1:39">
      <c r="A314" s="18" t="str">
        <f>IF(Volcanic!A314="","",Volcanic!A314)</f>
        <v>3/1984</v>
      </c>
      <c r="B314" s="18">
        <f>IF(ISNUMBER(Volcanic!L314),Volcanic!L314,"")</f>
        <v>1984.2083333333333</v>
      </c>
      <c r="C314" s="21">
        <v>-0.35</v>
      </c>
      <c r="D314" s="18">
        <f t="shared" si="52"/>
        <v>-0.96</v>
      </c>
      <c r="E314" s="18">
        <f>IF(ISNUMBER(Volcanic!B314),Volcanic!B314,"")</f>
        <v>0.25999999999999979</v>
      </c>
      <c r="F314" s="18">
        <f>IF(ISNUMBER(Volcanic!C314),Volcanic!C314,"")</f>
        <v>0.30401030887004266</v>
      </c>
      <c r="G314" s="18">
        <f>IF(ISNUMBER(Volcanic!E314),Volcanic!E314,"")</f>
        <v>4.1610000000000001E-2</v>
      </c>
      <c r="H314" s="18">
        <f>IF(ISNUMBER(Volcanic!D314),Volcanic!D314,"")</f>
        <v>-0.89</v>
      </c>
      <c r="I314" s="18">
        <f t="shared" si="46"/>
        <v>0.30401030887004266</v>
      </c>
      <c r="J314" s="18">
        <f t="shared" si="47"/>
        <v>4.1610000000000001E-2</v>
      </c>
      <c r="K314" s="18">
        <f t="shared" si="48"/>
        <v>-0.96</v>
      </c>
      <c r="L314" s="18">
        <f t="shared" si="49"/>
        <v>0.30401030887004266</v>
      </c>
      <c r="M314" s="18">
        <f t="shared" si="50"/>
        <v>4.1610000000000001E-2</v>
      </c>
      <c r="N314" s="18">
        <f t="shared" si="51"/>
        <v>-1.0381819414407643</v>
      </c>
      <c r="AK314" s="18">
        <f>IF(AND(ISNUMBER(C314),ISNUMBER(ENSO!F314)),C314-ENSO!F314,"")</f>
        <v>3.0000000000000027E-2</v>
      </c>
      <c r="AL314" s="18">
        <f t="shared" si="53"/>
        <v>1984.2083333333333</v>
      </c>
      <c r="AM314" s="18">
        <f t="shared" si="54"/>
        <v>0.25999999999999979</v>
      </c>
    </row>
    <row r="315" spans="1:39">
      <c r="A315" s="18" t="str">
        <f>IF(Volcanic!A315="","",Volcanic!A315)</f>
        <v>4/1984</v>
      </c>
      <c r="B315" s="18">
        <f>IF(ISNUMBER(Volcanic!L315),Volcanic!L315,"")</f>
        <v>1984.2916666666667</v>
      </c>
      <c r="C315" s="21">
        <v>-0.52</v>
      </c>
      <c r="D315" s="18">
        <f t="shared" si="52"/>
        <v>-0.54</v>
      </c>
      <c r="E315" s="18">
        <f>IF(ISNUMBER(Volcanic!B315),Volcanic!B315,"")</f>
        <v>5.9999999999998721E-2</v>
      </c>
      <c r="F315" s="18">
        <f>IF(ISNUMBER(Volcanic!C315),Volcanic!C315,"")</f>
        <v>0.31104633643445362</v>
      </c>
      <c r="G315" s="18">
        <f>IF(ISNUMBER(Volcanic!E315),Volcanic!E315,"")</f>
        <v>3.857E-2</v>
      </c>
      <c r="H315" s="18">
        <f>IF(ISNUMBER(Volcanic!D315),Volcanic!D315,"")</f>
        <v>-0.63</v>
      </c>
      <c r="I315" s="18">
        <f t="shared" si="46"/>
        <v>0.31104633643445362</v>
      </c>
      <c r="J315" s="18">
        <f t="shared" si="47"/>
        <v>3.857E-2</v>
      </c>
      <c r="K315" s="18">
        <f t="shared" si="48"/>
        <v>-0.54</v>
      </c>
      <c r="L315" s="18">
        <f t="shared" si="49"/>
        <v>0.31104633643445362</v>
      </c>
      <c r="M315" s="18">
        <f t="shared" si="50"/>
        <v>3.857E-2</v>
      </c>
      <c r="N315" s="18">
        <f t="shared" si="51"/>
        <v>-0.61749192195016267</v>
      </c>
      <c r="AK315" s="18">
        <f>IF(AND(ISNUMBER(C315),ISNUMBER(ENSO!F315)),C315-ENSO!F315,"")</f>
        <v>-5.0000000000000044E-2</v>
      </c>
      <c r="AL315" s="18">
        <f t="shared" si="53"/>
        <v>1984.2916666666667</v>
      </c>
      <c r="AM315" s="18">
        <f t="shared" si="54"/>
        <v>5.9999999999998721E-2</v>
      </c>
    </row>
    <row r="316" spans="1:39">
      <c r="A316" s="18" t="str">
        <f>IF(Volcanic!A316="","",Volcanic!A316)</f>
        <v>5/1984</v>
      </c>
      <c r="B316" s="18">
        <f>IF(ISNUMBER(Volcanic!L316),Volcanic!L316,"")</f>
        <v>1984.375</v>
      </c>
      <c r="C316" s="21">
        <v>-0.56999999999999995</v>
      </c>
      <c r="D316" s="18">
        <f t="shared" si="52"/>
        <v>-0.35</v>
      </c>
      <c r="E316" s="18">
        <f>IF(ISNUMBER(Volcanic!B316),Volcanic!B316,"")</f>
        <v>0.32999999999999652</v>
      </c>
      <c r="F316" s="18">
        <f>IF(ISNUMBER(Volcanic!C316),Volcanic!C316,"")</f>
        <v>0.31270665832658501</v>
      </c>
      <c r="G316" s="18">
        <f>IF(ISNUMBER(Volcanic!E316),Volcanic!E316,"")</f>
        <v>3.4639999999999997E-2</v>
      </c>
      <c r="H316" s="18">
        <f>IF(ISNUMBER(Volcanic!D316),Volcanic!D316,"")</f>
        <v>-0.51</v>
      </c>
      <c r="I316" s="18">
        <f t="shared" si="46"/>
        <v>0.31270665832658501</v>
      </c>
      <c r="J316" s="18">
        <f t="shared" si="47"/>
        <v>3.4639999999999997E-2</v>
      </c>
      <c r="K316" s="18">
        <f t="shared" si="48"/>
        <v>-0.35</v>
      </c>
      <c r="L316" s="18">
        <f t="shared" si="49"/>
        <v>0.31270665832658501</v>
      </c>
      <c r="M316" s="18">
        <f t="shared" si="50"/>
        <v>3.4639999999999997E-2</v>
      </c>
      <c r="N316" s="18">
        <f t="shared" si="51"/>
        <v>-0.42680190245956451</v>
      </c>
      <c r="AK316" s="18">
        <f>IF(AND(ISNUMBER(C316),ISNUMBER(ENSO!F316)),C316-ENSO!F316,"")</f>
        <v>-1.9999999999999907E-2</v>
      </c>
      <c r="AL316" s="18">
        <f t="shared" si="53"/>
        <v>1984.375</v>
      </c>
      <c r="AM316" s="18">
        <f t="shared" si="54"/>
        <v>0.32999999999999652</v>
      </c>
    </row>
    <row r="317" spans="1:39">
      <c r="A317" s="18" t="str">
        <f>IF(Volcanic!A317="","",Volcanic!A317)</f>
        <v>6/1984</v>
      </c>
      <c r="B317" s="18">
        <f>IF(ISNUMBER(Volcanic!L317),Volcanic!L317,"")</f>
        <v>1984.4583333333333</v>
      </c>
      <c r="C317" s="21">
        <v>-0.43</v>
      </c>
      <c r="D317" s="18">
        <f t="shared" si="52"/>
        <v>-0.35</v>
      </c>
      <c r="E317" s="18">
        <f>IF(ISNUMBER(Volcanic!B317),Volcanic!B317,"")</f>
        <v>2.0000000000003126E-2</v>
      </c>
      <c r="F317" s="18">
        <f>IF(ISNUMBER(Volcanic!C317),Volcanic!C317,"")</f>
        <v>0.31017390193106481</v>
      </c>
      <c r="G317" s="18">
        <f>IF(ISNUMBER(Volcanic!E317),Volcanic!E317,"")</f>
        <v>3.4439999999999998E-2</v>
      </c>
      <c r="H317" s="18">
        <f>IF(ISNUMBER(Volcanic!D317),Volcanic!D317,"")</f>
        <v>-0.38</v>
      </c>
      <c r="I317" s="18">
        <f t="shared" si="46"/>
        <v>0.31017390193106481</v>
      </c>
      <c r="J317" s="18">
        <f t="shared" si="47"/>
        <v>3.4439999999999998E-2</v>
      </c>
      <c r="K317" s="18">
        <f t="shared" si="48"/>
        <v>-0.35</v>
      </c>
      <c r="L317" s="18">
        <f t="shared" si="49"/>
        <v>0.31017390193106481</v>
      </c>
      <c r="M317" s="18">
        <f t="shared" si="50"/>
        <v>3.4439999999999998E-2</v>
      </c>
      <c r="N317" s="18">
        <f t="shared" si="51"/>
        <v>-0.4261118829689664</v>
      </c>
      <c r="AK317" s="18">
        <f>IF(AND(ISNUMBER(C317),ISNUMBER(ENSO!F317)),C317-ENSO!F317,"")</f>
        <v>9.0000000000000024E-2</v>
      </c>
      <c r="AL317" s="18">
        <f t="shared" si="53"/>
        <v>1984.4583333333333</v>
      </c>
      <c r="AM317" s="18">
        <f t="shared" si="54"/>
        <v>2.0000000000003126E-2</v>
      </c>
    </row>
    <row r="318" spans="1:39">
      <c r="A318" s="18" t="str">
        <f>IF(Volcanic!A318="","",Volcanic!A318)</f>
        <v>7/1984</v>
      </c>
      <c r="B318" s="18">
        <f>IF(ISNUMBER(Volcanic!L318),Volcanic!L318,"")</f>
        <v>1984.5416666666667</v>
      </c>
      <c r="C318" s="21">
        <v>-0.23</v>
      </c>
      <c r="D318" s="18">
        <f t="shared" si="52"/>
        <v>-0.52</v>
      </c>
      <c r="E318" s="18">
        <f>IF(ISNUMBER(Volcanic!B318),Volcanic!B318,"")</f>
        <v>0.19000000000000128</v>
      </c>
      <c r="F318" s="18">
        <f>IF(ISNUMBER(Volcanic!C318),Volcanic!C318,"")</f>
        <v>0.30446932070233174</v>
      </c>
      <c r="G318" s="18">
        <f>IF(ISNUMBER(Volcanic!E318),Volcanic!E318,"")</f>
        <v>3.7019999999999997E-2</v>
      </c>
      <c r="H318" s="18">
        <f>IF(ISNUMBER(Volcanic!D318),Volcanic!D318,"")</f>
        <v>-0.47</v>
      </c>
      <c r="I318" s="18">
        <f t="shared" si="46"/>
        <v>0.30446932070233174</v>
      </c>
      <c r="J318" s="18">
        <f t="shared" si="47"/>
        <v>3.7019999999999997E-2</v>
      </c>
      <c r="K318" s="18">
        <f t="shared" si="48"/>
        <v>-0.52</v>
      </c>
      <c r="L318" s="18">
        <f t="shared" si="49"/>
        <v>0.30446932070233174</v>
      </c>
      <c r="M318" s="18">
        <f t="shared" si="50"/>
        <v>3.7019999999999997E-2</v>
      </c>
      <c r="N318" s="18">
        <f t="shared" si="51"/>
        <v>-0.59542186347836834</v>
      </c>
      <c r="AK318" s="18">
        <f>IF(AND(ISNUMBER(C318),ISNUMBER(ENSO!F318)),C318-ENSO!F318,"")</f>
        <v>0.16</v>
      </c>
      <c r="AL318" s="18">
        <f t="shared" si="53"/>
        <v>1984.5416666666667</v>
      </c>
      <c r="AM318" s="18">
        <f t="shared" si="54"/>
        <v>0.19000000000000128</v>
      </c>
    </row>
    <row r="319" spans="1:39">
      <c r="A319" s="18" t="str">
        <f>IF(Volcanic!A319="","",Volcanic!A319)</f>
        <v>8/1984</v>
      </c>
      <c r="B319" s="18">
        <f>IF(ISNUMBER(Volcanic!L319),Volcanic!L319,"")</f>
        <v>1984.625</v>
      </c>
      <c r="C319" s="21">
        <v>-7.0000000000000007E-2</v>
      </c>
      <c r="D319" s="18">
        <f t="shared" si="52"/>
        <v>-0.56999999999999995</v>
      </c>
      <c r="E319" s="18">
        <f>IF(ISNUMBER(Volcanic!B319),Volcanic!B319,"")</f>
        <v>0.19000000000000128</v>
      </c>
      <c r="F319" s="18">
        <f>IF(ISNUMBER(Volcanic!C319),Volcanic!C319,"")</f>
        <v>0.29589091643366305</v>
      </c>
      <c r="G319" s="18">
        <f>IF(ISNUMBER(Volcanic!E319),Volcanic!E319,"")</f>
        <v>3.5860000000000003E-2</v>
      </c>
      <c r="H319" s="18">
        <f>IF(ISNUMBER(Volcanic!D319),Volcanic!D319,"")</f>
        <v>-0.55000000000000004</v>
      </c>
      <c r="I319" s="18">
        <f t="shared" si="46"/>
        <v>0.29589091643366305</v>
      </c>
      <c r="J319" s="18">
        <f t="shared" si="47"/>
        <v>3.5860000000000003E-2</v>
      </c>
      <c r="K319" s="18">
        <f t="shared" si="48"/>
        <v>-0.56999999999999995</v>
      </c>
      <c r="L319" s="18">
        <f t="shared" si="49"/>
        <v>0.29589091643366305</v>
      </c>
      <c r="M319" s="18">
        <f t="shared" si="50"/>
        <v>3.5860000000000003E-2</v>
      </c>
      <c r="N319" s="18">
        <f t="shared" si="51"/>
        <v>-0.64473184398777017</v>
      </c>
      <c r="AK319" s="18">
        <f>IF(AND(ISNUMBER(C319),ISNUMBER(ENSO!F319)),C319-ENSO!F319,"")</f>
        <v>0.15</v>
      </c>
      <c r="AL319" s="18">
        <f t="shared" si="53"/>
        <v>1984.625</v>
      </c>
      <c r="AM319" s="18">
        <f t="shared" si="54"/>
        <v>0.19000000000000128</v>
      </c>
    </row>
    <row r="320" spans="1:39">
      <c r="A320" s="18" t="str">
        <f>IF(Volcanic!A320="","",Volcanic!A320)</f>
        <v>9/1984</v>
      </c>
      <c r="B320" s="18">
        <f>IF(ISNUMBER(Volcanic!L320),Volcanic!L320,"")</f>
        <v>1984.7083333333333</v>
      </c>
      <c r="C320" s="21">
        <v>-0.15</v>
      </c>
      <c r="D320" s="18">
        <f t="shared" si="52"/>
        <v>-0.43</v>
      </c>
      <c r="E320" s="18">
        <f>IF(ISNUMBER(Volcanic!B320),Volcanic!B320,"")</f>
        <v>0.21000000000000085</v>
      </c>
      <c r="F320" s="18">
        <f>IF(ISNUMBER(Volcanic!C320),Volcanic!C320,"")</f>
        <v>0.28683891370859382</v>
      </c>
      <c r="G320" s="18">
        <f>IF(ISNUMBER(Volcanic!E320),Volcanic!E320,"")</f>
        <v>3.3930000000000002E-2</v>
      </c>
      <c r="H320" s="18">
        <f>IF(ISNUMBER(Volcanic!D320),Volcanic!D320,"")</f>
        <v>-0.52</v>
      </c>
      <c r="I320" s="18">
        <f t="shared" si="46"/>
        <v>0.28683891370859382</v>
      </c>
      <c r="J320" s="18">
        <f t="shared" si="47"/>
        <v>3.3930000000000002E-2</v>
      </c>
      <c r="K320" s="18">
        <f t="shared" si="48"/>
        <v>-0.43</v>
      </c>
      <c r="L320" s="18">
        <f t="shared" si="49"/>
        <v>0.28683891370859382</v>
      </c>
      <c r="M320" s="18">
        <f t="shared" si="50"/>
        <v>3.3930000000000002E-2</v>
      </c>
      <c r="N320" s="18">
        <f t="shared" si="51"/>
        <v>-0.5040418244971685</v>
      </c>
      <c r="AK320" s="18">
        <f>IF(AND(ISNUMBER(C320),ISNUMBER(ENSO!F320)),C320-ENSO!F320,"")</f>
        <v>0.17</v>
      </c>
      <c r="AL320" s="18">
        <f t="shared" si="53"/>
        <v>1984.7083333333333</v>
      </c>
      <c r="AM320" s="18">
        <f t="shared" si="54"/>
        <v>0.21000000000000085</v>
      </c>
    </row>
    <row r="321" spans="1:39">
      <c r="A321" s="18" t="str">
        <f>IF(Volcanic!A321="","",Volcanic!A321)</f>
        <v>10/1984</v>
      </c>
      <c r="B321" s="18">
        <f>IF(ISNUMBER(Volcanic!L321),Volcanic!L321,"")</f>
        <v>1984.7916666666667</v>
      </c>
      <c r="C321" s="21">
        <v>-0.51</v>
      </c>
      <c r="D321" s="18">
        <f t="shared" si="52"/>
        <v>-0.23</v>
      </c>
      <c r="E321" s="18">
        <f>IF(ISNUMBER(Volcanic!B321),Volcanic!B321,"")</f>
        <v>0.12999999999999901</v>
      </c>
      <c r="F321" s="18">
        <f>IF(ISNUMBER(Volcanic!C321),Volcanic!C321,"")</f>
        <v>0.28797880011229388</v>
      </c>
      <c r="G321" s="18">
        <f>IF(ISNUMBER(Volcanic!E321),Volcanic!E321,"")</f>
        <v>3.1789999999999999E-2</v>
      </c>
      <c r="H321" s="18">
        <f>IF(ISNUMBER(Volcanic!D321),Volcanic!D321,"")</f>
        <v>-0.39</v>
      </c>
      <c r="I321" s="18">
        <f t="shared" si="46"/>
        <v>0.28797880011229388</v>
      </c>
      <c r="J321" s="18">
        <f t="shared" si="47"/>
        <v>3.1789999999999999E-2</v>
      </c>
      <c r="K321" s="18">
        <f t="shared" si="48"/>
        <v>-0.23</v>
      </c>
      <c r="L321" s="18">
        <f t="shared" si="49"/>
        <v>0.28797880011229388</v>
      </c>
      <c r="M321" s="18">
        <f t="shared" si="50"/>
        <v>3.1789999999999999E-2</v>
      </c>
      <c r="N321" s="18">
        <f t="shared" si="51"/>
        <v>-0.30335180500657044</v>
      </c>
      <c r="AK321" s="18">
        <f>IF(AND(ISNUMBER(C321),ISNUMBER(ENSO!F321)),C321-ENSO!F321,"")</f>
        <v>0.10999999999999999</v>
      </c>
      <c r="AL321" s="18">
        <f t="shared" si="53"/>
        <v>1984.7916666666667</v>
      </c>
      <c r="AM321" s="18">
        <f t="shared" si="54"/>
        <v>0.12999999999999901</v>
      </c>
    </row>
    <row r="322" spans="1:39">
      <c r="A322" s="18" t="str">
        <f>IF(Volcanic!A322="","",Volcanic!A322)</f>
        <v>11/1984</v>
      </c>
      <c r="B322" s="18">
        <f>IF(ISNUMBER(Volcanic!L322),Volcanic!L322,"")</f>
        <v>1984.875</v>
      </c>
      <c r="C322" s="21">
        <v>-0.83</v>
      </c>
      <c r="D322" s="18">
        <f t="shared" si="52"/>
        <v>-7.0000000000000007E-2</v>
      </c>
      <c r="E322" s="18">
        <f>IF(ISNUMBER(Volcanic!B322),Volcanic!B322,"")</f>
        <v>5.9999999999998721E-2</v>
      </c>
      <c r="F322" s="18">
        <f>IF(ISNUMBER(Volcanic!C322),Volcanic!C322,"")</f>
        <v>0.29408505383681638</v>
      </c>
      <c r="G322" s="18">
        <f>IF(ISNUMBER(Volcanic!E322),Volcanic!E322,"")</f>
        <v>3.0419999999999999E-2</v>
      </c>
      <c r="H322" s="18">
        <f>IF(ISNUMBER(Volcanic!D322),Volcanic!D322,"")</f>
        <v>-0.22</v>
      </c>
      <c r="I322" s="18">
        <f t="shared" ref="I322:I385" si="55">F322</f>
        <v>0.29408505383681638</v>
      </c>
      <c r="J322" s="18">
        <f t="shared" ref="J322:J385" si="56">G322</f>
        <v>3.0419999999999999E-2</v>
      </c>
      <c r="K322" s="18">
        <f t="shared" ref="K322:K385" si="57">IF(ISNUMBER(D322),D322,"")</f>
        <v>-7.0000000000000007E-2</v>
      </c>
      <c r="L322" s="18">
        <f t="shared" ref="L322:L385" si="58">F322</f>
        <v>0.29408505383681638</v>
      </c>
      <c r="M322" s="18">
        <f t="shared" ref="M322:M385" si="59">G322</f>
        <v>3.0419999999999999E-2</v>
      </c>
      <c r="N322" s="18">
        <f t="shared" ref="N322:N385" si="60">IF(ISNUMBER(D322),D322-($AB$8*B322+$AB$9),"")</f>
        <v>-0.14266178551597236</v>
      </c>
      <c r="AK322" s="18">
        <f>IF(AND(ISNUMBER(C322),ISNUMBER(ENSO!F322)),C322-ENSO!F322,"")</f>
        <v>0.12</v>
      </c>
      <c r="AL322" s="18">
        <f t="shared" si="53"/>
        <v>1984.875</v>
      </c>
      <c r="AM322" s="18">
        <f t="shared" si="54"/>
        <v>5.9999999999998721E-2</v>
      </c>
    </row>
    <row r="323" spans="1:39">
      <c r="A323" s="18" t="str">
        <f>IF(Volcanic!A323="","",Volcanic!A323)</f>
        <v>12/1984</v>
      </c>
      <c r="B323" s="18">
        <f>IF(ISNUMBER(Volcanic!L323),Volcanic!L323,"")</f>
        <v>1984.9583333333333</v>
      </c>
      <c r="C323" s="21">
        <v>-1</v>
      </c>
      <c r="D323" s="18">
        <f t="shared" si="52"/>
        <v>-0.15</v>
      </c>
      <c r="E323" s="18">
        <f>IF(ISNUMBER(Volcanic!B323),Volcanic!B323,"")</f>
        <v>-3.9999999999999147E-2</v>
      </c>
      <c r="F323" s="18">
        <f>IF(ISNUMBER(Volcanic!C323),Volcanic!C323,"")</f>
        <v>0.30116953472056501</v>
      </c>
      <c r="G323" s="18">
        <f>IF(ISNUMBER(Volcanic!E323),Volcanic!E323,"")</f>
        <v>2.904E-2</v>
      </c>
      <c r="H323" s="18">
        <f>IF(ISNUMBER(Volcanic!D323),Volcanic!D323,"")</f>
        <v>-0.32</v>
      </c>
      <c r="I323" s="18">
        <f t="shared" si="55"/>
        <v>0.30116953472056501</v>
      </c>
      <c r="J323" s="18">
        <f t="shared" si="56"/>
        <v>2.904E-2</v>
      </c>
      <c r="K323" s="18">
        <f t="shared" si="57"/>
        <v>-0.15</v>
      </c>
      <c r="L323" s="18">
        <f t="shared" si="58"/>
        <v>0.30116953472056501</v>
      </c>
      <c r="M323" s="18">
        <f t="shared" si="59"/>
        <v>2.904E-2</v>
      </c>
      <c r="N323" s="18">
        <f t="shared" si="60"/>
        <v>-0.22197176602537425</v>
      </c>
      <c r="AK323" s="18">
        <f>IF(AND(ISNUMBER(C323),ISNUMBER(ENSO!F323)),C323-ENSO!F323,"")</f>
        <v>6.0000000000000053E-2</v>
      </c>
      <c r="AL323" s="18">
        <f t="shared" si="53"/>
        <v>1984.9583333333333</v>
      </c>
      <c r="AM323" s="18">
        <f t="shared" si="54"/>
        <v>-3.9999999999999147E-2</v>
      </c>
    </row>
    <row r="324" spans="1:39">
      <c r="A324" s="18" t="str">
        <f>IF(Volcanic!A324="","",Volcanic!A324)</f>
        <v>1/1985</v>
      </c>
      <c r="B324" s="18">
        <f>IF(ISNUMBER(Volcanic!L324),Volcanic!L324,"")</f>
        <v>1985.0416666666667</v>
      </c>
      <c r="C324" s="21">
        <v>-0.82</v>
      </c>
      <c r="D324" s="18">
        <f t="shared" si="52"/>
        <v>-0.51</v>
      </c>
      <c r="E324" s="18">
        <f>IF(ISNUMBER(Volcanic!B324),Volcanic!B324,"")</f>
        <v>0.22000000000000242</v>
      </c>
      <c r="F324" s="18">
        <f>IF(ISNUMBER(Volcanic!C324),Volcanic!C324,"")</f>
        <v>0.30317536756489971</v>
      </c>
      <c r="G324" s="18">
        <f>IF(ISNUMBER(Volcanic!E324),Volcanic!E324,"")</f>
        <v>2.8459999999999999E-2</v>
      </c>
      <c r="H324" s="18">
        <f>IF(ISNUMBER(Volcanic!D324),Volcanic!D324,"")</f>
        <v>-0.62</v>
      </c>
      <c r="I324" s="18">
        <f t="shared" si="55"/>
        <v>0.30317536756489971</v>
      </c>
      <c r="J324" s="18">
        <f t="shared" si="56"/>
        <v>2.8459999999999999E-2</v>
      </c>
      <c r="K324" s="18">
        <f t="shared" si="57"/>
        <v>-0.51</v>
      </c>
      <c r="L324" s="18">
        <f t="shared" si="58"/>
        <v>0.30317536756489971</v>
      </c>
      <c r="M324" s="18">
        <f t="shared" si="59"/>
        <v>2.8459999999999999E-2</v>
      </c>
      <c r="N324" s="18">
        <f t="shared" si="60"/>
        <v>-0.5812817465347726</v>
      </c>
      <c r="AK324" s="18">
        <f>IF(AND(ISNUMBER(C324),ISNUMBER(ENSO!F324)),C324-ENSO!F324,"")</f>
        <v>0.19000000000000006</v>
      </c>
      <c r="AL324" s="18">
        <f t="shared" si="53"/>
        <v>1985.0416666666667</v>
      </c>
      <c r="AM324" s="18">
        <f t="shared" si="54"/>
        <v>0.22000000000000242</v>
      </c>
    </row>
    <row r="325" spans="1:39">
      <c r="A325" s="18" t="str">
        <f>IF(Volcanic!A325="","",Volcanic!A325)</f>
        <v>2/1985</v>
      </c>
      <c r="B325" s="18">
        <f>IF(ISNUMBER(Volcanic!L325),Volcanic!L325,"")</f>
        <v>1985.125</v>
      </c>
      <c r="C325" s="21">
        <v>-0.6</v>
      </c>
      <c r="D325" s="18">
        <f t="shared" ref="D325:D388" si="61">IF(C322="","",C322)</f>
        <v>-0.83</v>
      </c>
      <c r="E325" s="18">
        <f>IF(ISNUMBER(Volcanic!B325),Volcanic!B325,"")</f>
        <v>-3.9999999999999147E-2</v>
      </c>
      <c r="F325" s="18">
        <f>IF(ISNUMBER(Volcanic!C325),Volcanic!C325,"")</f>
        <v>0.30705375053345996</v>
      </c>
      <c r="G325" s="18">
        <f>IF(ISNUMBER(Volcanic!E325),Volcanic!E325,"")</f>
        <v>2.6579999999999999E-2</v>
      </c>
      <c r="H325" s="18">
        <f>IF(ISNUMBER(Volcanic!D325),Volcanic!D325,"")</f>
        <v>-0.95</v>
      </c>
      <c r="I325" s="18">
        <f t="shared" si="55"/>
        <v>0.30705375053345996</v>
      </c>
      <c r="J325" s="18">
        <f t="shared" si="56"/>
        <v>2.6579999999999999E-2</v>
      </c>
      <c r="K325" s="18">
        <f t="shared" si="57"/>
        <v>-0.83</v>
      </c>
      <c r="L325" s="18">
        <f t="shared" si="58"/>
        <v>0.30705375053345996</v>
      </c>
      <c r="M325" s="18">
        <f t="shared" si="59"/>
        <v>2.6579999999999999E-2</v>
      </c>
      <c r="N325" s="18">
        <f t="shared" si="60"/>
        <v>-0.90059172704417445</v>
      </c>
      <c r="AK325" s="18">
        <f>IF(AND(ISNUMBER(C325),ISNUMBER(ENSO!F325)),C325-ENSO!F325,"")</f>
        <v>0.26</v>
      </c>
      <c r="AL325" s="18">
        <f t="shared" si="53"/>
        <v>1985.125</v>
      </c>
      <c r="AM325" s="18">
        <f t="shared" si="54"/>
        <v>-3.9999999999999147E-2</v>
      </c>
    </row>
    <row r="326" spans="1:39">
      <c r="A326" s="18" t="str">
        <f>IF(Volcanic!A326="","",Volcanic!A326)</f>
        <v>3/1985</v>
      </c>
      <c r="B326" s="18">
        <f>IF(ISNUMBER(Volcanic!L326),Volcanic!L326,"")</f>
        <v>1985.2083333333333</v>
      </c>
      <c r="C326" s="21">
        <v>-0.61</v>
      </c>
      <c r="D326" s="18">
        <f t="shared" si="61"/>
        <v>-1</v>
      </c>
      <c r="E326" s="18">
        <f>IF(ISNUMBER(Volcanic!B326),Volcanic!B326,"")</f>
        <v>0.16999999999999993</v>
      </c>
      <c r="F326" s="18">
        <f>IF(ISNUMBER(Volcanic!C326),Volcanic!C326,"")</f>
        <v>0.31328731986192054</v>
      </c>
      <c r="G326" s="18">
        <f>IF(ISNUMBER(Volcanic!E326),Volcanic!E326,"")</f>
        <v>2.4930000000000001E-2</v>
      </c>
      <c r="H326" s="18">
        <f>IF(ISNUMBER(Volcanic!D326),Volcanic!D326,"")</f>
        <v>-1.06</v>
      </c>
      <c r="I326" s="18">
        <f t="shared" si="55"/>
        <v>0.31328731986192054</v>
      </c>
      <c r="J326" s="18">
        <f t="shared" si="56"/>
        <v>2.4930000000000001E-2</v>
      </c>
      <c r="K326" s="18">
        <f t="shared" si="57"/>
        <v>-1</v>
      </c>
      <c r="L326" s="18">
        <f t="shared" si="58"/>
        <v>0.31328731986192054</v>
      </c>
      <c r="M326" s="18">
        <f t="shared" si="59"/>
        <v>2.4930000000000001E-2</v>
      </c>
      <c r="N326" s="18">
        <f t="shared" si="60"/>
        <v>-1.0699017075535764</v>
      </c>
      <c r="AK326" s="18">
        <f>IF(AND(ISNUMBER(C326),ISNUMBER(ENSO!F326)),C326-ENSO!F326,"")</f>
        <v>0.24</v>
      </c>
      <c r="AL326" s="18">
        <f t="shared" si="53"/>
        <v>1985.2083333333333</v>
      </c>
      <c r="AM326" s="18">
        <f t="shared" si="54"/>
        <v>0.16999999999999993</v>
      </c>
    </row>
    <row r="327" spans="1:39">
      <c r="A327" s="18" t="str">
        <f>IF(Volcanic!A327="","",Volcanic!A327)</f>
        <v>4/1985</v>
      </c>
      <c r="B327" s="18">
        <f>IF(ISNUMBER(Volcanic!L327),Volcanic!L327,"")</f>
        <v>1985.2916666666667</v>
      </c>
      <c r="C327" s="21">
        <v>-0.69</v>
      </c>
      <c r="D327" s="18">
        <f t="shared" si="61"/>
        <v>-0.82</v>
      </c>
      <c r="E327" s="18">
        <f>IF(ISNUMBER(Volcanic!B327),Volcanic!B327,"")</f>
        <v>0.11999999999999744</v>
      </c>
      <c r="F327" s="18">
        <f>IF(ISNUMBER(Volcanic!C327),Volcanic!C327,"")</f>
        <v>0.31639403332587512</v>
      </c>
      <c r="G327" s="18">
        <f>IF(ISNUMBER(Volcanic!E327),Volcanic!E327,"")</f>
        <v>2.4070000000000001E-2</v>
      </c>
      <c r="H327" s="18">
        <f>IF(ISNUMBER(Volcanic!D327),Volcanic!D327,"")</f>
        <v>-1.01</v>
      </c>
      <c r="I327" s="18">
        <f t="shared" si="55"/>
        <v>0.31639403332587512</v>
      </c>
      <c r="J327" s="18">
        <f t="shared" si="56"/>
        <v>2.4070000000000001E-2</v>
      </c>
      <c r="K327" s="18">
        <f t="shared" si="57"/>
        <v>-0.82</v>
      </c>
      <c r="L327" s="18">
        <f t="shared" si="58"/>
        <v>0.31639403332587512</v>
      </c>
      <c r="M327" s="18">
        <f t="shared" si="59"/>
        <v>2.4070000000000001E-2</v>
      </c>
      <c r="N327" s="18">
        <f t="shared" si="60"/>
        <v>-0.88921168806297468</v>
      </c>
      <c r="AK327" s="18">
        <f>IF(AND(ISNUMBER(C327),ISNUMBER(ENSO!F327)),C327-ENSO!F327,"")</f>
        <v>0.1100000000000001</v>
      </c>
      <c r="AL327" s="18">
        <f t="shared" si="53"/>
        <v>1985.2916666666667</v>
      </c>
      <c r="AM327" s="18">
        <f t="shared" si="54"/>
        <v>0.11999999999999744</v>
      </c>
    </row>
    <row r="328" spans="1:39">
      <c r="A328" s="18" t="str">
        <f>IF(Volcanic!A328="","",Volcanic!A328)</f>
        <v>5/1985</v>
      </c>
      <c r="B328" s="18">
        <f>IF(ISNUMBER(Volcanic!L328),Volcanic!L328,"")</f>
        <v>1985.375</v>
      </c>
      <c r="C328" s="21">
        <v>-0.72</v>
      </c>
      <c r="D328" s="18">
        <f t="shared" si="61"/>
        <v>-0.6</v>
      </c>
      <c r="E328" s="18">
        <f>IF(ISNUMBER(Volcanic!B328),Volcanic!B328,"")</f>
        <v>0.14999999999999858</v>
      </c>
      <c r="F328" s="18">
        <f>IF(ISNUMBER(Volcanic!C328),Volcanic!C328,"")</f>
        <v>0.3189572082710998</v>
      </c>
      <c r="G328" s="18">
        <f>IF(ISNUMBER(Volcanic!E328),Volcanic!E328,"")</f>
        <v>2.2290000000000001E-2</v>
      </c>
      <c r="H328" s="18">
        <f>IF(ISNUMBER(Volcanic!D328),Volcanic!D328,"")</f>
        <v>-0.86</v>
      </c>
      <c r="I328" s="18">
        <f t="shared" si="55"/>
        <v>0.3189572082710998</v>
      </c>
      <c r="J328" s="18">
        <f t="shared" si="56"/>
        <v>2.2290000000000001E-2</v>
      </c>
      <c r="K328" s="18">
        <f t="shared" si="57"/>
        <v>-0.6</v>
      </c>
      <c r="L328" s="18">
        <f t="shared" si="58"/>
        <v>0.3189572082710998</v>
      </c>
      <c r="M328" s="18">
        <f t="shared" si="59"/>
        <v>2.2290000000000001E-2</v>
      </c>
      <c r="N328" s="18">
        <f t="shared" si="60"/>
        <v>-0.6685216685723766</v>
      </c>
      <c r="AK328" s="18">
        <f>IF(AND(ISNUMBER(C328),ISNUMBER(ENSO!F328)),C328-ENSO!F328,"")</f>
        <v>7.0000000000000062E-2</v>
      </c>
      <c r="AL328" s="18">
        <f t="shared" si="53"/>
        <v>1985.375</v>
      </c>
      <c r="AM328" s="18">
        <f t="shared" si="54"/>
        <v>0.14999999999999858</v>
      </c>
    </row>
    <row r="329" spans="1:39">
      <c r="A329" s="18" t="str">
        <f>IF(Volcanic!A329="","",Volcanic!A329)</f>
        <v>6/1985</v>
      </c>
      <c r="B329" s="18">
        <f>IF(ISNUMBER(Volcanic!L329),Volcanic!L329,"")</f>
        <v>1985.4583333333333</v>
      </c>
      <c r="C329" s="21">
        <v>-0.54</v>
      </c>
      <c r="D329" s="18">
        <f t="shared" si="61"/>
        <v>-0.61</v>
      </c>
      <c r="E329" s="18">
        <f>IF(ISNUMBER(Volcanic!B329),Volcanic!B329,"")</f>
        <v>0.14999999999999858</v>
      </c>
      <c r="F329" s="18">
        <f>IF(ISNUMBER(Volcanic!C329),Volcanic!C329,"")</f>
        <v>0.31635265445446925</v>
      </c>
      <c r="G329" s="18">
        <f>IF(ISNUMBER(Volcanic!E329),Volcanic!E329,"")</f>
        <v>2.12E-2</v>
      </c>
      <c r="H329" s="18">
        <f>IF(ISNUMBER(Volcanic!D329),Volcanic!D329,"")</f>
        <v>-0.85</v>
      </c>
      <c r="I329" s="18">
        <f t="shared" si="55"/>
        <v>0.31635265445446925</v>
      </c>
      <c r="J329" s="18">
        <f t="shared" si="56"/>
        <v>2.12E-2</v>
      </c>
      <c r="K329" s="18">
        <f t="shared" si="57"/>
        <v>-0.61</v>
      </c>
      <c r="L329" s="18">
        <f t="shared" si="58"/>
        <v>0.31635265445446925</v>
      </c>
      <c r="M329" s="18">
        <f t="shared" si="59"/>
        <v>2.12E-2</v>
      </c>
      <c r="N329" s="18">
        <f t="shared" si="60"/>
        <v>-0.67783164908177851</v>
      </c>
      <c r="AK329" s="18">
        <f>IF(AND(ISNUMBER(C329),ISNUMBER(ENSO!F329)),C329-ENSO!F329,"")</f>
        <v>5.9999999999999942E-2</v>
      </c>
      <c r="AL329" s="18">
        <f t="shared" ref="AL329:AL392" si="62">B329</f>
        <v>1985.4583333333333</v>
      </c>
      <c r="AM329" s="18">
        <f t="shared" ref="AM329:AM392" si="63">E329</f>
        <v>0.14999999999999858</v>
      </c>
    </row>
    <row r="330" spans="1:39">
      <c r="A330" s="18" t="str">
        <f>IF(Volcanic!A330="","",Volcanic!A330)</f>
        <v>7/1985</v>
      </c>
      <c r="B330" s="18">
        <f>IF(ISNUMBER(Volcanic!L330),Volcanic!L330,"")</f>
        <v>1985.5416666666667</v>
      </c>
      <c r="C330" s="21">
        <v>-0.36</v>
      </c>
      <c r="D330" s="18">
        <f t="shared" si="61"/>
        <v>-0.69</v>
      </c>
      <c r="E330" s="18">
        <f>IF(ISNUMBER(Volcanic!B330),Volcanic!B330,"")</f>
        <v>3.9999999999999147E-2</v>
      </c>
      <c r="F330" s="18">
        <f>IF(ISNUMBER(Volcanic!C330),Volcanic!C330,"")</f>
        <v>0.30909301345405343</v>
      </c>
      <c r="G330" s="18">
        <f>IF(ISNUMBER(Volcanic!E330),Volcanic!E330,"")</f>
        <v>1.9550000000000001E-2</v>
      </c>
      <c r="H330" s="18">
        <f>IF(ISNUMBER(Volcanic!D330),Volcanic!D330,"")</f>
        <v>-0.8</v>
      </c>
      <c r="I330" s="18">
        <f t="shared" si="55"/>
        <v>0.30909301345405343</v>
      </c>
      <c r="J330" s="18">
        <f t="shared" si="56"/>
        <v>1.9550000000000001E-2</v>
      </c>
      <c r="K330" s="18">
        <f t="shared" si="57"/>
        <v>-0.69</v>
      </c>
      <c r="L330" s="18">
        <f t="shared" si="58"/>
        <v>0.30909301345405343</v>
      </c>
      <c r="M330" s="18">
        <f t="shared" si="59"/>
        <v>1.9550000000000001E-2</v>
      </c>
      <c r="N330" s="18">
        <f t="shared" si="60"/>
        <v>-0.75714162959117681</v>
      </c>
      <c r="AK330" s="18">
        <f>IF(AND(ISNUMBER(C330),ISNUMBER(ENSO!F330)),C330-ENSO!F330,"")</f>
        <v>8.0000000000000016E-2</v>
      </c>
      <c r="AL330" s="18">
        <f t="shared" si="62"/>
        <v>1985.5416666666667</v>
      </c>
      <c r="AM330" s="18">
        <f t="shared" si="63"/>
        <v>3.9999999999999147E-2</v>
      </c>
    </row>
    <row r="331" spans="1:39">
      <c r="A331" s="18" t="str">
        <f>IF(Volcanic!A331="","",Volcanic!A331)</f>
        <v>8/1985</v>
      </c>
      <c r="B331" s="18">
        <f>IF(ISNUMBER(Volcanic!L331),Volcanic!L331,"")</f>
        <v>1985.625</v>
      </c>
      <c r="C331" s="21">
        <v>-0.31</v>
      </c>
      <c r="D331" s="18">
        <f t="shared" si="61"/>
        <v>-0.72</v>
      </c>
      <c r="E331" s="18">
        <f>IF(ISNUMBER(Volcanic!B331),Volcanic!B331,"")</f>
        <v>0.16999999999999993</v>
      </c>
      <c r="F331" s="18">
        <f>IF(ISNUMBER(Volcanic!C331),Volcanic!C331,"")</f>
        <v>0.30225637367507746</v>
      </c>
      <c r="G331" s="18">
        <f>IF(ISNUMBER(Volcanic!E331),Volcanic!E331,"")</f>
        <v>1.8599999999999998E-2</v>
      </c>
      <c r="H331" s="18">
        <f>IF(ISNUMBER(Volcanic!D331),Volcanic!D331,"")</f>
        <v>-0.79</v>
      </c>
      <c r="I331" s="18">
        <f t="shared" si="55"/>
        <v>0.30225637367507746</v>
      </c>
      <c r="J331" s="18">
        <f t="shared" si="56"/>
        <v>1.8599999999999998E-2</v>
      </c>
      <c r="K331" s="18">
        <f t="shared" si="57"/>
        <v>-0.72</v>
      </c>
      <c r="L331" s="18">
        <f t="shared" si="58"/>
        <v>0.30225637367507746</v>
      </c>
      <c r="M331" s="18">
        <f t="shared" si="59"/>
        <v>1.8599999999999998E-2</v>
      </c>
      <c r="N331" s="18">
        <f t="shared" si="60"/>
        <v>-0.78645161010057874</v>
      </c>
      <c r="AK331" s="18">
        <f>IF(AND(ISNUMBER(C331),ISNUMBER(ENSO!F331)),C331-ENSO!F331,"")</f>
        <v>2.0000000000000018E-2</v>
      </c>
      <c r="AL331" s="18">
        <f t="shared" si="62"/>
        <v>1985.625</v>
      </c>
      <c r="AM331" s="18">
        <f t="shared" si="63"/>
        <v>0.16999999999999993</v>
      </c>
    </row>
    <row r="332" spans="1:39">
      <c r="A332" s="18" t="str">
        <f>IF(Volcanic!A332="","",Volcanic!A332)</f>
        <v>9/1985</v>
      </c>
      <c r="B332" s="18">
        <f>IF(ISNUMBER(Volcanic!L332),Volcanic!L332,"")</f>
        <v>1985.7083333333333</v>
      </c>
      <c r="C332" s="21">
        <v>-0.22</v>
      </c>
      <c r="D332" s="18">
        <f t="shared" si="61"/>
        <v>-0.54</v>
      </c>
      <c r="E332" s="18">
        <f>IF(ISNUMBER(Volcanic!B332),Volcanic!B332,"")</f>
        <v>0.12999999999999901</v>
      </c>
      <c r="F332" s="18">
        <f>IF(ISNUMBER(Volcanic!C332),Volcanic!C332,"")</f>
        <v>0.29475726680375902</v>
      </c>
      <c r="G332" s="18">
        <f>IF(ISNUMBER(Volcanic!E332),Volcanic!E332,"")</f>
        <v>1.737E-2</v>
      </c>
      <c r="H332" s="18">
        <f>IF(ISNUMBER(Volcanic!D332),Volcanic!D332,"")</f>
        <v>-0.6</v>
      </c>
      <c r="I332" s="18">
        <f t="shared" si="55"/>
        <v>0.29475726680375902</v>
      </c>
      <c r="J332" s="18">
        <f t="shared" si="56"/>
        <v>1.737E-2</v>
      </c>
      <c r="K332" s="18">
        <f t="shared" si="57"/>
        <v>-0.54</v>
      </c>
      <c r="L332" s="18">
        <f t="shared" si="58"/>
        <v>0.29475726680375902</v>
      </c>
      <c r="M332" s="18">
        <f t="shared" si="59"/>
        <v>1.737E-2</v>
      </c>
      <c r="N332" s="18">
        <f t="shared" si="60"/>
        <v>-0.60576159060998069</v>
      </c>
      <c r="AK332" s="18">
        <f>IF(AND(ISNUMBER(C332),ISNUMBER(ENSO!F332)),C332-ENSO!F332,"")</f>
        <v>0.09</v>
      </c>
      <c r="AL332" s="18">
        <f t="shared" si="62"/>
        <v>1985.7083333333333</v>
      </c>
      <c r="AM332" s="18">
        <f t="shared" si="63"/>
        <v>0.12999999999999901</v>
      </c>
    </row>
    <row r="333" spans="1:39">
      <c r="A333" s="18" t="str">
        <f>IF(Volcanic!A333="","",Volcanic!A333)</f>
        <v>10/1985</v>
      </c>
      <c r="B333" s="18">
        <f>IF(ISNUMBER(Volcanic!L333),Volcanic!L333,"")</f>
        <v>1985.7916666666667</v>
      </c>
      <c r="C333" s="21">
        <v>-0.18</v>
      </c>
      <c r="D333" s="18">
        <f t="shared" si="61"/>
        <v>-0.36</v>
      </c>
      <c r="E333" s="18">
        <f>IF(ISNUMBER(Volcanic!B333),Volcanic!B333,"")</f>
        <v>0.11999999999999744</v>
      </c>
      <c r="F333" s="18">
        <f>IF(ISNUMBER(Volcanic!C333),Volcanic!C333,"")</f>
        <v>0.29425313644451412</v>
      </c>
      <c r="G333" s="18">
        <f>IF(ISNUMBER(Volcanic!E333),Volcanic!E333,"")</f>
        <v>1.609E-2</v>
      </c>
      <c r="H333" s="18">
        <f>IF(ISNUMBER(Volcanic!D333),Volcanic!D333,"")</f>
        <v>-0.44</v>
      </c>
      <c r="I333" s="18">
        <f t="shared" si="55"/>
        <v>0.29425313644451412</v>
      </c>
      <c r="J333" s="18">
        <f t="shared" si="56"/>
        <v>1.609E-2</v>
      </c>
      <c r="K333" s="18">
        <f t="shared" si="57"/>
        <v>-0.36</v>
      </c>
      <c r="L333" s="18">
        <f t="shared" si="58"/>
        <v>0.29425313644451412</v>
      </c>
      <c r="M333" s="18">
        <f t="shared" si="59"/>
        <v>1.609E-2</v>
      </c>
      <c r="N333" s="18">
        <f t="shared" si="60"/>
        <v>-0.42507157111938254</v>
      </c>
      <c r="AK333" s="18">
        <f>IF(AND(ISNUMBER(C333),ISNUMBER(ENSO!F333)),C333-ENSO!F333,"")</f>
        <v>0.12</v>
      </c>
      <c r="AL333" s="18">
        <f t="shared" si="62"/>
        <v>1985.7916666666667</v>
      </c>
      <c r="AM333" s="18">
        <f t="shared" si="63"/>
        <v>0.11999999999999744</v>
      </c>
    </row>
    <row r="334" spans="1:39">
      <c r="A334" s="18" t="str">
        <f>IF(Volcanic!A334="","",Volcanic!A334)</f>
        <v>11/1985</v>
      </c>
      <c r="B334" s="18">
        <f>IF(ISNUMBER(Volcanic!L334),Volcanic!L334,"")</f>
        <v>1985.875</v>
      </c>
      <c r="C334" s="21">
        <v>-0.09</v>
      </c>
      <c r="D334" s="18">
        <f t="shared" si="61"/>
        <v>-0.31</v>
      </c>
      <c r="E334" s="18">
        <f>IF(ISNUMBER(Volcanic!B334),Volcanic!B334,"")</f>
        <v>5.0000000000004263E-2</v>
      </c>
      <c r="F334" s="18">
        <f>IF(ISNUMBER(Volcanic!C334),Volcanic!C334,"")</f>
        <v>0.30004002699743576</v>
      </c>
      <c r="G334" s="18">
        <f>IF(ISNUMBER(Volcanic!E334),Volcanic!E334,"")</f>
        <v>1.4970000000000001E-2</v>
      </c>
      <c r="H334" s="18">
        <f>IF(ISNUMBER(Volcanic!D334),Volcanic!D334,"")</f>
        <v>-0.33</v>
      </c>
      <c r="I334" s="18">
        <f t="shared" si="55"/>
        <v>0.30004002699743576</v>
      </c>
      <c r="J334" s="18">
        <f t="shared" si="56"/>
        <v>1.4970000000000001E-2</v>
      </c>
      <c r="K334" s="18">
        <f t="shared" si="57"/>
        <v>-0.31</v>
      </c>
      <c r="L334" s="18">
        <f t="shared" si="58"/>
        <v>0.30004002699743576</v>
      </c>
      <c r="M334" s="18">
        <f t="shared" si="59"/>
        <v>1.4970000000000001E-2</v>
      </c>
      <c r="N334" s="18">
        <f t="shared" si="60"/>
        <v>-0.37438155162878445</v>
      </c>
      <c r="AK334" s="18">
        <f>IF(AND(ISNUMBER(C334),ISNUMBER(ENSO!F334)),C334-ENSO!F334,"")</f>
        <v>0.19000000000000003</v>
      </c>
      <c r="AL334" s="18">
        <f t="shared" si="62"/>
        <v>1985.875</v>
      </c>
      <c r="AM334" s="18">
        <f t="shared" si="63"/>
        <v>5.0000000000004263E-2</v>
      </c>
    </row>
    <row r="335" spans="1:39">
      <c r="A335" s="18" t="str">
        <f>IF(Volcanic!A335="","",Volcanic!A335)</f>
        <v>12/1985</v>
      </c>
      <c r="B335" s="18">
        <f>IF(ISNUMBER(Volcanic!L335),Volcanic!L335,"")</f>
        <v>1985.9583333333333</v>
      </c>
      <c r="C335" s="21">
        <v>-0.17</v>
      </c>
      <c r="D335" s="18">
        <f t="shared" si="61"/>
        <v>-0.22</v>
      </c>
      <c r="E335" s="18">
        <f>IF(ISNUMBER(Volcanic!B335),Volcanic!B335,"")</f>
        <v>0.13999999999999879</v>
      </c>
      <c r="F335" s="18">
        <f>IF(ISNUMBER(Volcanic!C335),Volcanic!C335,"")</f>
        <v>0.30584548060634364</v>
      </c>
      <c r="G335" s="18">
        <f>IF(ISNUMBER(Volcanic!E335),Volcanic!E335,"")</f>
        <v>1.376E-2</v>
      </c>
      <c r="H335" s="18">
        <f>IF(ISNUMBER(Volcanic!D335),Volcanic!D335,"")</f>
        <v>-0.31</v>
      </c>
      <c r="I335" s="18">
        <f t="shared" si="55"/>
        <v>0.30584548060634364</v>
      </c>
      <c r="J335" s="18">
        <f t="shared" si="56"/>
        <v>1.376E-2</v>
      </c>
      <c r="K335" s="18">
        <f t="shared" si="57"/>
        <v>-0.22</v>
      </c>
      <c r="L335" s="18">
        <f t="shared" si="58"/>
        <v>0.30584548060634364</v>
      </c>
      <c r="M335" s="18">
        <f t="shared" si="59"/>
        <v>1.376E-2</v>
      </c>
      <c r="N335" s="18">
        <f t="shared" si="60"/>
        <v>-0.28369153213818632</v>
      </c>
      <c r="AK335" s="18">
        <f>IF(AND(ISNUMBER(C335),ISNUMBER(ENSO!F335)),C335-ENSO!F335,"")</f>
        <v>0.18999999999999997</v>
      </c>
      <c r="AL335" s="18">
        <f t="shared" si="62"/>
        <v>1985.9583333333333</v>
      </c>
      <c r="AM335" s="18">
        <f t="shared" si="63"/>
        <v>0.13999999999999879</v>
      </c>
    </row>
    <row r="336" spans="1:39">
      <c r="A336" s="18" t="str">
        <f>IF(Volcanic!A336="","",Volcanic!A336)</f>
        <v>1/1986</v>
      </c>
      <c r="B336" s="18">
        <f>IF(ISNUMBER(Volcanic!L336),Volcanic!L336,"")</f>
        <v>1986.0416666666667</v>
      </c>
      <c r="C336" s="21">
        <v>-0.34</v>
      </c>
      <c r="D336" s="18">
        <f t="shared" si="61"/>
        <v>-0.18</v>
      </c>
      <c r="E336" s="18">
        <f>IF(ISNUMBER(Volcanic!B336),Volcanic!B336,"")</f>
        <v>0.25999999999999979</v>
      </c>
      <c r="F336" s="18">
        <f>IF(ISNUMBER(Volcanic!C336),Volcanic!C336,"")</f>
        <v>0.30859386858427595</v>
      </c>
      <c r="G336" s="18">
        <f>IF(ISNUMBER(Volcanic!E336),Volcanic!E336,"")</f>
        <v>1.3259999999999999E-2</v>
      </c>
      <c r="H336" s="18">
        <f>IF(ISNUMBER(Volcanic!D336),Volcanic!D336,"")</f>
        <v>-0.3</v>
      </c>
      <c r="I336" s="18">
        <f t="shared" si="55"/>
        <v>0.30859386858427595</v>
      </c>
      <c r="J336" s="18">
        <f t="shared" si="56"/>
        <v>1.3259999999999999E-2</v>
      </c>
      <c r="K336" s="18">
        <f t="shared" si="57"/>
        <v>-0.18</v>
      </c>
      <c r="L336" s="18">
        <f t="shared" si="58"/>
        <v>0.30859386858427595</v>
      </c>
      <c r="M336" s="18">
        <f t="shared" si="59"/>
        <v>1.3259999999999999E-2</v>
      </c>
      <c r="N336" s="18">
        <f t="shared" si="60"/>
        <v>-0.24300151264758468</v>
      </c>
      <c r="AK336" s="18">
        <f>IF(AND(ISNUMBER(C336),ISNUMBER(ENSO!F336)),C336-ENSO!F336,"")</f>
        <v>0.06</v>
      </c>
      <c r="AL336" s="18">
        <f t="shared" si="62"/>
        <v>1986.0416666666667</v>
      </c>
      <c r="AM336" s="18">
        <f t="shared" si="63"/>
        <v>0.25999999999999979</v>
      </c>
    </row>
    <row r="337" spans="1:39">
      <c r="A337" s="18" t="str">
        <f>IF(Volcanic!A337="","",Volcanic!A337)</f>
        <v>2/1986</v>
      </c>
      <c r="B337" s="18">
        <f>IF(ISNUMBER(Volcanic!L337),Volcanic!L337,"")</f>
        <v>1986.125</v>
      </c>
      <c r="C337" s="21">
        <v>-0.33</v>
      </c>
      <c r="D337" s="18">
        <f t="shared" si="61"/>
        <v>-0.09</v>
      </c>
      <c r="E337" s="18">
        <f>IF(ISNUMBER(Volcanic!B337),Volcanic!B337,"")</f>
        <v>0.36999999999999744</v>
      </c>
      <c r="F337" s="18">
        <f>IF(ISNUMBER(Volcanic!C337),Volcanic!C337,"")</f>
        <v>0.31150311546826975</v>
      </c>
      <c r="G337" s="18">
        <f>IF(ISNUMBER(Volcanic!E337),Volcanic!E337,"")</f>
        <v>1.264E-2</v>
      </c>
      <c r="H337" s="18">
        <f>IF(ISNUMBER(Volcanic!D337),Volcanic!D337,"")</f>
        <v>-0.28000000000000003</v>
      </c>
      <c r="I337" s="18">
        <f t="shared" si="55"/>
        <v>0.31150311546826975</v>
      </c>
      <c r="J337" s="18">
        <f t="shared" si="56"/>
        <v>1.264E-2</v>
      </c>
      <c r="K337" s="18">
        <f t="shared" si="57"/>
        <v>-0.09</v>
      </c>
      <c r="L337" s="18">
        <f t="shared" si="58"/>
        <v>0.31150311546826975</v>
      </c>
      <c r="M337" s="18">
        <f t="shared" si="59"/>
        <v>1.264E-2</v>
      </c>
      <c r="N337" s="18">
        <f t="shared" si="60"/>
        <v>-0.15231149315698658</v>
      </c>
      <c r="AK337" s="18">
        <f>IF(AND(ISNUMBER(C337),ISNUMBER(ENSO!F337)),C337-ENSO!F337,"")</f>
        <v>4.9999999999999989E-2</v>
      </c>
      <c r="AL337" s="18">
        <f t="shared" si="62"/>
        <v>1986.125</v>
      </c>
      <c r="AM337" s="18">
        <f t="shared" si="63"/>
        <v>0.36999999999999744</v>
      </c>
    </row>
    <row r="338" spans="1:39">
      <c r="A338" s="18" t="str">
        <f>IF(Volcanic!A338="","",Volcanic!A338)</f>
        <v>3/1986</v>
      </c>
      <c r="B338" s="18">
        <f>IF(ISNUMBER(Volcanic!L338),Volcanic!L338,"")</f>
        <v>1986.2083333333333</v>
      </c>
      <c r="C338" s="21">
        <v>-0.21</v>
      </c>
      <c r="D338" s="18">
        <f t="shared" si="61"/>
        <v>-0.17</v>
      </c>
      <c r="E338" s="18">
        <f>IF(ISNUMBER(Volcanic!B338),Volcanic!B338,"")</f>
        <v>0.30000000000000249</v>
      </c>
      <c r="F338" s="18">
        <f>IF(ISNUMBER(Volcanic!C338),Volcanic!C338,"")</f>
        <v>0.31469652565628642</v>
      </c>
      <c r="G338" s="18">
        <f>IF(ISNUMBER(Volcanic!E338),Volcanic!E338,"")</f>
        <v>1.2370000000000001E-2</v>
      </c>
      <c r="H338" s="18">
        <f>IF(ISNUMBER(Volcanic!D338),Volcanic!D338,"")</f>
        <v>-0.36</v>
      </c>
      <c r="I338" s="18">
        <f t="shared" si="55"/>
        <v>0.31469652565628642</v>
      </c>
      <c r="J338" s="18">
        <f t="shared" si="56"/>
        <v>1.2370000000000001E-2</v>
      </c>
      <c r="K338" s="18">
        <f t="shared" si="57"/>
        <v>-0.17</v>
      </c>
      <c r="L338" s="18">
        <f t="shared" si="58"/>
        <v>0.31469652565628642</v>
      </c>
      <c r="M338" s="18">
        <f t="shared" si="59"/>
        <v>1.2370000000000001E-2</v>
      </c>
      <c r="N338" s="18">
        <f t="shared" si="60"/>
        <v>-0.23162147366638849</v>
      </c>
      <c r="AK338" s="18">
        <f>IF(AND(ISNUMBER(C338),ISNUMBER(ENSO!F338)),C338-ENSO!F338,"")</f>
        <v>4.0000000000000008E-2</v>
      </c>
      <c r="AL338" s="18">
        <f t="shared" si="62"/>
        <v>1986.2083333333333</v>
      </c>
      <c r="AM338" s="18">
        <f t="shared" si="63"/>
        <v>0.30000000000000249</v>
      </c>
    </row>
    <row r="339" spans="1:39">
      <c r="A339" s="18" t="str">
        <f>IF(Volcanic!A339="","",Volcanic!A339)</f>
        <v>4/1986</v>
      </c>
      <c r="B339" s="18">
        <f>IF(ISNUMBER(Volcanic!L339),Volcanic!L339,"")</f>
        <v>1986.2916666666667</v>
      </c>
      <c r="C339" s="21">
        <v>-0.12</v>
      </c>
      <c r="D339" s="18">
        <f t="shared" si="61"/>
        <v>-0.34</v>
      </c>
      <c r="E339" s="18">
        <f>IF(ISNUMBER(Volcanic!B339),Volcanic!B339,"")</f>
        <v>0.22000000000000242</v>
      </c>
      <c r="F339" s="18">
        <f>IF(ISNUMBER(Volcanic!C339),Volcanic!C339,"")</f>
        <v>0.32135090142461681</v>
      </c>
      <c r="G339" s="18">
        <f>IF(ISNUMBER(Volcanic!E339),Volcanic!E339,"")</f>
        <v>1.179E-2</v>
      </c>
      <c r="H339" s="18">
        <f>IF(ISNUMBER(Volcanic!D339),Volcanic!D339,"")</f>
        <v>-0.4</v>
      </c>
      <c r="I339" s="18">
        <f t="shared" si="55"/>
        <v>0.32135090142461681</v>
      </c>
      <c r="J339" s="18">
        <f t="shared" si="56"/>
        <v>1.179E-2</v>
      </c>
      <c r="K339" s="18">
        <f t="shared" si="57"/>
        <v>-0.34</v>
      </c>
      <c r="L339" s="18">
        <f t="shared" si="58"/>
        <v>0.32135090142461681</v>
      </c>
      <c r="M339" s="18">
        <f t="shared" si="59"/>
        <v>1.179E-2</v>
      </c>
      <c r="N339" s="18">
        <f t="shared" si="60"/>
        <v>-0.40093145417578685</v>
      </c>
      <c r="AK339" s="18">
        <f>IF(AND(ISNUMBER(C339),ISNUMBER(ENSO!F339)),C339-ENSO!F339,"")</f>
        <v>5.0000000000000017E-2</v>
      </c>
      <c r="AL339" s="18">
        <f t="shared" si="62"/>
        <v>1986.2916666666667</v>
      </c>
      <c r="AM339" s="18">
        <f t="shared" si="63"/>
        <v>0.22000000000000242</v>
      </c>
    </row>
    <row r="340" spans="1:39">
      <c r="A340" s="18" t="str">
        <f>IF(Volcanic!A340="","",Volcanic!A340)</f>
        <v>5/1986</v>
      </c>
      <c r="B340" s="18">
        <f>IF(ISNUMBER(Volcanic!L340),Volcanic!L340,"")</f>
        <v>1986.375</v>
      </c>
      <c r="C340" s="21">
        <v>-0.1</v>
      </c>
      <c r="D340" s="18">
        <f t="shared" si="61"/>
        <v>-0.33</v>
      </c>
      <c r="E340" s="18">
        <f>IF(ISNUMBER(Volcanic!B340),Volcanic!B340,"")</f>
        <v>0.21000000000000085</v>
      </c>
      <c r="F340" s="18">
        <f>IF(ISNUMBER(Volcanic!C340),Volcanic!C340,"")</f>
        <v>0.32406993683064367</v>
      </c>
      <c r="G340" s="18">
        <f>IF(ISNUMBER(Volcanic!E340),Volcanic!E340,"")</f>
        <v>1.15E-2</v>
      </c>
      <c r="H340" s="18">
        <f>IF(ISNUMBER(Volcanic!D340),Volcanic!D340,"")</f>
        <v>-0.38</v>
      </c>
      <c r="I340" s="18">
        <f t="shared" si="55"/>
        <v>0.32406993683064367</v>
      </c>
      <c r="J340" s="18">
        <f t="shared" si="56"/>
        <v>1.15E-2</v>
      </c>
      <c r="K340" s="18">
        <f t="shared" si="57"/>
        <v>-0.33</v>
      </c>
      <c r="L340" s="18">
        <f t="shared" si="58"/>
        <v>0.32406993683064367</v>
      </c>
      <c r="M340" s="18">
        <f t="shared" si="59"/>
        <v>1.15E-2</v>
      </c>
      <c r="N340" s="18">
        <f t="shared" si="60"/>
        <v>-0.39024143468518874</v>
      </c>
      <c r="AK340" s="18">
        <f>IF(AND(ISNUMBER(C340),ISNUMBER(ENSO!F340)),C340-ENSO!F340,"")</f>
        <v>-1.0000000000000009E-2</v>
      </c>
      <c r="AL340" s="18">
        <f t="shared" si="62"/>
        <v>1986.375</v>
      </c>
      <c r="AM340" s="18">
        <f t="shared" si="63"/>
        <v>0.21000000000000085</v>
      </c>
    </row>
    <row r="341" spans="1:39">
      <c r="A341" s="18" t="str">
        <f>IF(Volcanic!A341="","",Volcanic!A341)</f>
        <v>6/1986</v>
      </c>
      <c r="B341" s="18">
        <f>IF(ISNUMBER(Volcanic!L341),Volcanic!L341,"")</f>
        <v>1986.4583333333333</v>
      </c>
      <c r="C341" s="21">
        <v>-0.06</v>
      </c>
      <c r="D341" s="18">
        <f t="shared" si="61"/>
        <v>-0.21</v>
      </c>
      <c r="E341" s="18">
        <f>IF(ISNUMBER(Volcanic!B341),Volcanic!B341,"")</f>
        <v>0.11999999999999744</v>
      </c>
      <c r="F341" s="18">
        <f>IF(ISNUMBER(Volcanic!C341),Volcanic!C341,"")</f>
        <v>0.32184565281522998</v>
      </c>
      <c r="G341" s="18">
        <f>IF(ISNUMBER(Volcanic!E341),Volcanic!E341,"")</f>
        <v>1.103E-2</v>
      </c>
      <c r="H341" s="18">
        <f>IF(ISNUMBER(Volcanic!D341),Volcanic!D341,"")</f>
        <v>-0.25</v>
      </c>
      <c r="I341" s="18">
        <f t="shared" si="55"/>
        <v>0.32184565281522998</v>
      </c>
      <c r="J341" s="18">
        <f t="shared" si="56"/>
        <v>1.103E-2</v>
      </c>
      <c r="K341" s="18">
        <f t="shared" si="57"/>
        <v>-0.21</v>
      </c>
      <c r="L341" s="18">
        <f t="shared" si="58"/>
        <v>0.32184565281522998</v>
      </c>
      <c r="M341" s="18">
        <f t="shared" si="59"/>
        <v>1.103E-2</v>
      </c>
      <c r="N341" s="18">
        <f t="shared" si="60"/>
        <v>-0.26955141519459058</v>
      </c>
      <c r="AK341" s="18">
        <f>IF(AND(ISNUMBER(C341),ISNUMBER(ENSO!F341)),C341-ENSO!F341,"")</f>
        <v>-0.08</v>
      </c>
      <c r="AL341" s="18">
        <f t="shared" si="62"/>
        <v>1986.4583333333333</v>
      </c>
      <c r="AM341" s="18">
        <f t="shared" si="63"/>
        <v>0.11999999999999744</v>
      </c>
    </row>
    <row r="342" spans="1:39">
      <c r="A342" s="18" t="str">
        <f>IF(Volcanic!A342="","",Volcanic!A342)</f>
        <v>7/1986</v>
      </c>
      <c r="B342" s="18">
        <f>IF(ISNUMBER(Volcanic!L342),Volcanic!L342,"")</f>
        <v>1986.5416666666667</v>
      </c>
      <c r="C342" s="21">
        <v>0.26</v>
      </c>
      <c r="D342" s="18">
        <f t="shared" si="61"/>
        <v>-0.12</v>
      </c>
      <c r="E342" s="18">
        <f>IF(ISNUMBER(Volcanic!B342),Volcanic!B342,"")</f>
        <v>0.10999999999999766</v>
      </c>
      <c r="F342" s="18">
        <f>IF(ISNUMBER(Volcanic!C342),Volcanic!C342,"")</f>
        <v>0.31469652565628642</v>
      </c>
      <c r="G342" s="18">
        <f>IF(ISNUMBER(Volcanic!E342),Volcanic!E342,"")</f>
        <v>1.2829999999999999E-2</v>
      </c>
      <c r="H342" s="18">
        <f>IF(ISNUMBER(Volcanic!D342),Volcanic!D342,"")</f>
        <v>-0.17</v>
      </c>
      <c r="I342" s="18">
        <f t="shared" si="55"/>
        <v>0.31469652565628642</v>
      </c>
      <c r="J342" s="18">
        <f t="shared" si="56"/>
        <v>1.2829999999999999E-2</v>
      </c>
      <c r="K342" s="18">
        <f t="shared" si="57"/>
        <v>-0.12</v>
      </c>
      <c r="L342" s="18">
        <f t="shared" si="58"/>
        <v>0.31469652565628642</v>
      </c>
      <c r="M342" s="18">
        <f t="shared" si="59"/>
        <v>1.2829999999999999E-2</v>
      </c>
      <c r="N342" s="18">
        <f t="shared" si="60"/>
        <v>-0.17886139570398896</v>
      </c>
      <c r="AK342" s="18">
        <f>IF(AND(ISNUMBER(C342),ISNUMBER(ENSO!F342)),C342-ENSO!F342,"")</f>
        <v>2.0000000000000018E-2</v>
      </c>
      <c r="AL342" s="18">
        <f t="shared" si="62"/>
        <v>1986.5416666666667</v>
      </c>
      <c r="AM342" s="18">
        <f t="shared" si="63"/>
        <v>0.10999999999999766</v>
      </c>
    </row>
    <row r="343" spans="1:39">
      <c r="A343" s="18" t="str">
        <f>IF(Volcanic!A343="","",Volcanic!A343)</f>
        <v>8/1986</v>
      </c>
      <c r="B343" s="18">
        <f>IF(ISNUMBER(Volcanic!L343),Volcanic!L343,"")</f>
        <v>1986.625</v>
      </c>
      <c r="C343" s="21">
        <v>0.57999999999999996</v>
      </c>
      <c r="D343" s="18">
        <f t="shared" si="61"/>
        <v>-0.1</v>
      </c>
      <c r="E343" s="18">
        <f>IF(ISNUMBER(Volcanic!B343),Volcanic!B343,"")</f>
        <v>0.16000000000000014</v>
      </c>
      <c r="F343" s="18">
        <f>IF(ISNUMBER(Volcanic!C343),Volcanic!C343,"")</f>
        <v>0.30605387521602989</v>
      </c>
      <c r="G343" s="18">
        <f>IF(ISNUMBER(Volcanic!E343),Volcanic!E343,"")</f>
        <v>1.519E-2</v>
      </c>
      <c r="H343" s="18">
        <f>IF(ISNUMBER(Volcanic!D343),Volcanic!D343,"")</f>
        <v>-0.09</v>
      </c>
      <c r="I343" s="18">
        <f t="shared" si="55"/>
        <v>0.30605387521602989</v>
      </c>
      <c r="J343" s="18">
        <f t="shared" si="56"/>
        <v>1.519E-2</v>
      </c>
      <c r="K343" s="18">
        <f t="shared" si="57"/>
        <v>-0.1</v>
      </c>
      <c r="L343" s="18">
        <f t="shared" si="58"/>
        <v>0.30605387521602989</v>
      </c>
      <c r="M343" s="18">
        <f t="shared" si="59"/>
        <v>1.519E-2</v>
      </c>
      <c r="N343" s="18">
        <f t="shared" si="60"/>
        <v>-0.15817137621339086</v>
      </c>
      <c r="AK343" s="18">
        <f>IF(AND(ISNUMBER(C343),ISNUMBER(ENSO!F343)),C343-ENSO!F343,"")</f>
        <v>0.11999999999999994</v>
      </c>
      <c r="AL343" s="18">
        <f t="shared" si="62"/>
        <v>1986.625</v>
      </c>
      <c r="AM343" s="18">
        <f t="shared" si="63"/>
        <v>0.16000000000000014</v>
      </c>
    </row>
    <row r="344" spans="1:39">
      <c r="A344" s="18" t="str">
        <f>IF(Volcanic!A344="","",Volcanic!A344)</f>
        <v>9/1986</v>
      </c>
      <c r="B344" s="18">
        <f>IF(ISNUMBER(Volcanic!L344),Volcanic!L344,"")</f>
        <v>1986.7083333333333</v>
      </c>
      <c r="C344" s="21">
        <v>0.91</v>
      </c>
      <c r="D344" s="18">
        <f t="shared" si="61"/>
        <v>-0.06</v>
      </c>
      <c r="E344" s="18">
        <f>IF(ISNUMBER(Volcanic!B344),Volcanic!B344,"")</f>
        <v>2.9999999999997584E-2</v>
      </c>
      <c r="F344" s="18">
        <f>IF(ISNUMBER(Volcanic!C344),Volcanic!C344,"")</f>
        <v>0.30317536756489971</v>
      </c>
      <c r="G344" s="18">
        <f>IF(ISNUMBER(Volcanic!E344),Volcanic!E344,"")</f>
        <v>1.5959999999999998E-2</v>
      </c>
      <c r="H344" s="18">
        <f>IF(ISNUMBER(Volcanic!D344),Volcanic!D344,"")</f>
        <v>0.02</v>
      </c>
      <c r="I344" s="18">
        <f t="shared" si="55"/>
        <v>0.30317536756489971</v>
      </c>
      <c r="J344" s="18">
        <f t="shared" si="56"/>
        <v>1.5959999999999998E-2</v>
      </c>
      <c r="K344" s="18">
        <f t="shared" si="57"/>
        <v>-0.06</v>
      </c>
      <c r="L344" s="18">
        <f t="shared" si="58"/>
        <v>0.30317536756489971</v>
      </c>
      <c r="M344" s="18">
        <f t="shared" si="59"/>
        <v>1.5959999999999998E-2</v>
      </c>
      <c r="N344" s="18">
        <f t="shared" si="60"/>
        <v>-0.11748135672279275</v>
      </c>
      <c r="AK344" s="18">
        <f>IF(AND(ISNUMBER(C344),ISNUMBER(ENSO!F344)),C344-ENSO!F344,"")</f>
        <v>0.27</v>
      </c>
      <c r="AL344" s="18">
        <f t="shared" si="62"/>
        <v>1986.7083333333333</v>
      </c>
      <c r="AM344" s="18">
        <f t="shared" si="63"/>
        <v>2.9999999999997584E-2</v>
      </c>
    </row>
    <row r="345" spans="1:39">
      <c r="A345" s="18" t="str">
        <f>IF(Volcanic!A345="","",Volcanic!A345)</f>
        <v>10/1986</v>
      </c>
      <c r="B345" s="18">
        <f>IF(ISNUMBER(Volcanic!L345),Volcanic!L345,"")</f>
        <v>1986.7916666666667</v>
      </c>
      <c r="C345" s="21">
        <v>1.1499999999999999</v>
      </c>
      <c r="D345" s="18">
        <f t="shared" si="61"/>
        <v>0.26</v>
      </c>
      <c r="E345" s="18">
        <f>IF(ISNUMBER(Volcanic!B345),Volcanic!B345,"")</f>
        <v>0.14999999999999858</v>
      </c>
      <c r="F345" s="18">
        <f>IF(ISNUMBER(Volcanic!C345),Volcanic!C345,"")</f>
        <v>0.30041662783687401</v>
      </c>
      <c r="G345" s="18">
        <f>IF(ISNUMBER(Volcanic!E345),Volcanic!E345,"")</f>
        <v>1.5440000000000001E-2</v>
      </c>
      <c r="H345" s="18">
        <f>IF(ISNUMBER(Volcanic!D345),Volcanic!D345,"")</f>
        <v>0.24</v>
      </c>
      <c r="I345" s="18">
        <f t="shared" si="55"/>
        <v>0.30041662783687401</v>
      </c>
      <c r="J345" s="18">
        <f t="shared" si="56"/>
        <v>1.5440000000000001E-2</v>
      </c>
      <c r="K345" s="18">
        <f t="shared" si="57"/>
        <v>0.26</v>
      </c>
      <c r="L345" s="18">
        <f t="shared" si="58"/>
        <v>0.30041662783687401</v>
      </c>
      <c r="M345" s="18">
        <f t="shared" si="59"/>
        <v>1.5440000000000001E-2</v>
      </c>
      <c r="N345" s="18">
        <f t="shared" si="60"/>
        <v>0.20320866276780536</v>
      </c>
      <c r="AK345" s="18">
        <f>IF(AND(ISNUMBER(C345),ISNUMBER(ENSO!F345)),C345-ENSO!F345,"")</f>
        <v>0.28999999999999992</v>
      </c>
      <c r="AL345" s="18">
        <f t="shared" si="62"/>
        <v>1986.7916666666667</v>
      </c>
      <c r="AM345" s="18">
        <f t="shared" si="63"/>
        <v>0.14999999999999858</v>
      </c>
    </row>
    <row r="346" spans="1:39">
      <c r="A346" s="18" t="str">
        <f>IF(Volcanic!A346="","",Volcanic!A346)</f>
        <v>11/1986</v>
      </c>
      <c r="B346" s="18">
        <f>IF(ISNUMBER(Volcanic!L346),Volcanic!L346,"")</f>
        <v>1986.875</v>
      </c>
      <c r="C346" s="21">
        <v>1.36</v>
      </c>
      <c r="D346" s="18">
        <f t="shared" si="61"/>
        <v>0.57999999999999996</v>
      </c>
      <c r="E346" s="18">
        <f>IF(ISNUMBER(Volcanic!B346),Volcanic!B346,"")</f>
        <v>9.9999999999997868E-2</v>
      </c>
      <c r="F346" s="18">
        <f>IF(ISNUMBER(Volcanic!C346),Volcanic!C346,"")</f>
        <v>0.30626223972785099</v>
      </c>
      <c r="G346" s="18">
        <f>IF(ISNUMBER(Volcanic!E346),Volcanic!E346,"")</f>
        <v>1.507E-2</v>
      </c>
      <c r="H346" s="18">
        <f>IF(ISNUMBER(Volcanic!D346),Volcanic!D346,"")</f>
        <v>0.46</v>
      </c>
      <c r="I346" s="18">
        <f t="shared" si="55"/>
        <v>0.30626223972785099</v>
      </c>
      <c r="J346" s="18">
        <f t="shared" si="56"/>
        <v>1.507E-2</v>
      </c>
      <c r="K346" s="18">
        <f t="shared" si="57"/>
        <v>0.57999999999999996</v>
      </c>
      <c r="L346" s="18">
        <f t="shared" si="58"/>
        <v>0.30626223972785099</v>
      </c>
      <c r="M346" s="18">
        <f t="shared" si="59"/>
        <v>1.507E-2</v>
      </c>
      <c r="N346" s="18">
        <f t="shared" si="60"/>
        <v>0.52389868225840697</v>
      </c>
      <c r="AK346" s="18">
        <f>IF(AND(ISNUMBER(C346),ISNUMBER(ENSO!F346)),C346-ENSO!F346,"")</f>
        <v>0.30000000000000004</v>
      </c>
      <c r="AL346" s="18">
        <f t="shared" si="62"/>
        <v>1986.875</v>
      </c>
      <c r="AM346" s="18">
        <f t="shared" si="63"/>
        <v>9.9999999999997868E-2</v>
      </c>
    </row>
    <row r="347" spans="1:39">
      <c r="A347" s="18" t="str">
        <f>IF(Volcanic!A347="","",Volcanic!A347)</f>
        <v>12/1986</v>
      </c>
      <c r="B347" s="18">
        <f>IF(ISNUMBER(Volcanic!L347),Volcanic!L347,"")</f>
        <v>1986.9583333333333</v>
      </c>
      <c r="C347" s="21">
        <v>1.49</v>
      </c>
      <c r="D347" s="18">
        <f t="shared" si="61"/>
        <v>0.91</v>
      </c>
      <c r="E347" s="18">
        <f>IF(ISNUMBER(Volcanic!B347),Volcanic!B347,"")</f>
        <v>0.12999999999999901</v>
      </c>
      <c r="F347" s="18">
        <f>IF(ISNUMBER(Volcanic!C347),Volcanic!C347,"")</f>
        <v>0.31150311546826975</v>
      </c>
      <c r="G347" s="18">
        <f>IF(ISNUMBER(Volcanic!E347),Volcanic!E347,"")</f>
        <v>1.4999999999999999E-2</v>
      </c>
      <c r="H347" s="18">
        <f>IF(ISNUMBER(Volcanic!D347),Volcanic!D347,"")</f>
        <v>0.64</v>
      </c>
      <c r="I347" s="18">
        <f t="shared" si="55"/>
        <v>0.31150311546826975</v>
      </c>
      <c r="J347" s="18">
        <f t="shared" si="56"/>
        <v>1.4999999999999999E-2</v>
      </c>
      <c r="K347" s="18">
        <f t="shared" si="57"/>
        <v>0.91</v>
      </c>
      <c r="L347" s="18">
        <f t="shared" si="58"/>
        <v>0.31150311546826975</v>
      </c>
      <c r="M347" s="18">
        <f t="shared" si="59"/>
        <v>1.4999999999999999E-2</v>
      </c>
      <c r="N347" s="18">
        <f t="shared" si="60"/>
        <v>0.85458870174900514</v>
      </c>
      <c r="AK347" s="18">
        <f>IF(AND(ISNUMBER(C347),ISNUMBER(ENSO!F347)),C347-ENSO!F347,"")</f>
        <v>0.28000000000000003</v>
      </c>
      <c r="AL347" s="18">
        <f t="shared" si="62"/>
        <v>1986.9583333333333</v>
      </c>
      <c r="AM347" s="18">
        <f t="shared" si="63"/>
        <v>0.12999999999999901</v>
      </c>
    </row>
    <row r="348" spans="1:39">
      <c r="A348" s="18" t="str">
        <f>IF(Volcanic!A348="","",Volcanic!A348)</f>
        <v>1/1987</v>
      </c>
      <c r="B348" s="18">
        <f>IF(ISNUMBER(Volcanic!L348),Volcanic!L348,"")</f>
        <v>1987.0416666666667</v>
      </c>
      <c r="C348" s="21">
        <v>1.56</v>
      </c>
      <c r="D348" s="18">
        <f t="shared" si="61"/>
        <v>1.1499999999999999</v>
      </c>
      <c r="E348" s="18">
        <f>IF(ISNUMBER(Volcanic!B348),Volcanic!B348,"")</f>
        <v>0.32000000000000028</v>
      </c>
      <c r="F348" s="18">
        <f>IF(ISNUMBER(Volcanic!C348),Volcanic!C348,"")</f>
        <v>0.31668365219967981</v>
      </c>
      <c r="G348" s="18">
        <f>IF(ISNUMBER(Volcanic!E348),Volcanic!E348,"")</f>
        <v>1.4019999999999999E-2</v>
      </c>
      <c r="H348" s="18">
        <f>IF(ISNUMBER(Volcanic!D348),Volcanic!D348,"")</f>
        <v>0.86</v>
      </c>
      <c r="I348" s="18">
        <f t="shared" si="55"/>
        <v>0.31668365219967981</v>
      </c>
      <c r="J348" s="18">
        <f t="shared" si="56"/>
        <v>1.4019999999999999E-2</v>
      </c>
      <c r="K348" s="18">
        <f t="shared" si="57"/>
        <v>1.1499999999999999</v>
      </c>
      <c r="L348" s="18">
        <f t="shared" si="58"/>
        <v>0.31668365219967981</v>
      </c>
      <c r="M348" s="18">
        <f t="shared" si="59"/>
        <v>1.4019999999999999E-2</v>
      </c>
      <c r="N348" s="18">
        <f t="shared" si="60"/>
        <v>1.0952787212396031</v>
      </c>
      <c r="AK348" s="18">
        <f>IF(AND(ISNUMBER(C348),ISNUMBER(ENSO!F348)),C348-ENSO!F348,"")</f>
        <v>0.38000000000000012</v>
      </c>
      <c r="AL348" s="18">
        <f t="shared" si="62"/>
        <v>1987.0416666666667</v>
      </c>
      <c r="AM348" s="18">
        <f t="shared" si="63"/>
        <v>0.32000000000000028</v>
      </c>
    </row>
    <row r="349" spans="1:39">
      <c r="A349" s="18" t="str">
        <f>IF(Volcanic!A349="","",Volcanic!A349)</f>
        <v>2/1987</v>
      </c>
      <c r="B349" s="18">
        <f>IF(ISNUMBER(Volcanic!L349),Volcanic!L349,"")</f>
        <v>1987.125</v>
      </c>
      <c r="C349" s="21">
        <v>1.48</v>
      </c>
      <c r="D349" s="18">
        <f t="shared" si="61"/>
        <v>1.36</v>
      </c>
      <c r="E349" s="18">
        <f>IF(ISNUMBER(Volcanic!B349),Volcanic!B349,"")</f>
        <v>0.42999999999999972</v>
      </c>
      <c r="F349" s="18">
        <f>IF(ISNUMBER(Volcanic!C349),Volcanic!C349,"")</f>
        <v>0.31746946762158468</v>
      </c>
      <c r="G349" s="18">
        <f>IF(ISNUMBER(Volcanic!E349),Volcanic!E349,"")</f>
        <v>1.3820000000000001E-2</v>
      </c>
      <c r="H349" s="18">
        <f>IF(ISNUMBER(Volcanic!D349),Volcanic!D349,"")</f>
        <v>1.06</v>
      </c>
      <c r="I349" s="18">
        <f t="shared" si="55"/>
        <v>0.31746946762158468</v>
      </c>
      <c r="J349" s="18">
        <f t="shared" si="56"/>
        <v>1.3820000000000001E-2</v>
      </c>
      <c r="K349" s="18">
        <f t="shared" si="57"/>
        <v>1.36</v>
      </c>
      <c r="L349" s="18">
        <f t="shared" si="58"/>
        <v>0.31746946762158468</v>
      </c>
      <c r="M349" s="18">
        <f t="shared" si="59"/>
        <v>1.3820000000000001E-2</v>
      </c>
      <c r="N349" s="18">
        <f t="shared" si="60"/>
        <v>1.3059687407302014</v>
      </c>
      <c r="AK349" s="18">
        <f>IF(AND(ISNUMBER(C349),ISNUMBER(ENSO!F349)),C349-ENSO!F349,"")</f>
        <v>0.35000000000000009</v>
      </c>
      <c r="AL349" s="18">
        <f t="shared" si="62"/>
        <v>1987.125</v>
      </c>
      <c r="AM349" s="18">
        <f t="shared" si="63"/>
        <v>0.42999999999999972</v>
      </c>
    </row>
    <row r="350" spans="1:39">
      <c r="A350" s="18" t="str">
        <f>IF(Volcanic!A350="","",Volcanic!A350)</f>
        <v>3/1987</v>
      </c>
      <c r="B350" s="18">
        <f>IF(ISNUMBER(Volcanic!L350),Volcanic!L350,"")</f>
        <v>1987.2083333333333</v>
      </c>
      <c r="C350" s="21">
        <v>1.26</v>
      </c>
      <c r="D350" s="18">
        <f t="shared" si="61"/>
        <v>1.49</v>
      </c>
      <c r="E350" s="18">
        <f>IF(ISNUMBER(Volcanic!B350),Volcanic!B350,"")</f>
        <v>0.17999999999999972</v>
      </c>
      <c r="F350" s="18">
        <f>IF(ISNUMBER(Volcanic!C350),Volcanic!C350,"")</f>
        <v>0.32114470492578934</v>
      </c>
      <c r="G350" s="18">
        <f>IF(ISNUMBER(Volcanic!E350),Volcanic!E350,"")</f>
        <v>1.3639999999999999E-2</v>
      </c>
      <c r="H350" s="18">
        <f>IF(ISNUMBER(Volcanic!D350),Volcanic!D350,"")</f>
        <v>1.21</v>
      </c>
      <c r="I350" s="18">
        <f t="shared" si="55"/>
        <v>0.32114470492578934</v>
      </c>
      <c r="J350" s="18">
        <f t="shared" si="56"/>
        <v>1.3639999999999999E-2</v>
      </c>
      <c r="K350" s="18">
        <f t="shared" si="57"/>
        <v>1.49</v>
      </c>
      <c r="L350" s="18">
        <f t="shared" si="58"/>
        <v>0.32114470492578934</v>
      </c>
      <c r="M350" s="18">
        <f t="shared" si="59"/>
        <v>1.3639999999999999E-2</v>
      </c>
      <c r="N350" s="18">
        <f t="shared" si="60"/>
        <v>1.4366587602207994</v>
      </c>
      <c r="AK350" s="18">
        <f>IF(AND(ISNUMBER(C350),ISNUMBER(ENSO!F350)),C350-ENSO!F350,"")</f>
        <v>0.24</v>
      </c>
      <c r="AL350" s="18">
        <f t="shared" si="62"/>
        <v>1987.2083333333333</v>
      </c>
      <c r="AM350" s="18">
        <f t="shared" si="63"/>
        <v>0.17999999999999972</v>
      </c>
    </row>
    <row r="351" spans="1:39">
      <c r="A351" s="18" t="str">
        <f>IF(Volcanic!A351="","",Volcanic!A351)</f>
        <v>4/1987</v>
      </c>
      <c r="B351" s="18">
        <f>IF(ISNUMBER(Volcanic!L351),Volcanic!L351,"")</f>
        <v>1987.2916666666667</v>
      </c>
      <c r="C351" s="21">
        <v>0.97</v>
      </c>
      <c r="D351" s="18">
        <f t="shared" si="61"/>
        <v>1.56</v>
      </c>
      <c r="E351" s="18">
        <f>IF(ISNUMBER(Volcanic!B351),Volcanic!B351,"")</f>
        <v>0.24000000000000199</v>
      </c>
      <c r="F351" s="18">
        <f>IF(ISNUMBER(Volcanic!C351),Volcanic!C351,"")</f>
        <v>0.32768736417604716</v>
      </c>
      <c r="G351" s="18">
        <f>IF(ISNUMBER(Volcanic!E351),Volcanic!E351,"")</f>
        <v>1.3050000000000001E-2</v>
      </c>
      <c r="H351" s="18">
        <f>IF(ISNUMBER(Volcanic!D351),Volcanic!D351,"")</f>
        <v>1.18</v>
      </c>
      <c r="I351" s="18">
        <f t="shared" si="55"/>
        <v>0.32768736417604716</v>
      </c>
      <c r="J351" s="18">
        <f t="shared" si="56"/>
        <v>1.3050000000000001E-2</v>
      </c>
      <c r="K351" s="18">
        <f t="shared" si="57"/>
        <v>1.56</v>
      </c>
      <c r="L351" s="18">
        <f t="shared" si="58"/>
        <v>0.32768736417604716</v>
      </c>
      <c r="M351" s="18">
        <f t="shared" si="59"/>
        <v>1.3050000000000001E-2</v>
      </c>
      <c r="N351" s="18">
        <f t="shared" si="60"/>
        <v>1.5073487797114011</v>
      </c>
      <c r="AK351" s="18">
        <f>IF(AND(ISNUMBER(C351),ISNUMBER(ENSO!F351)),C351-ENSO!F351,"")</f>
        <v>3.0000000000000027E-2</v>
      </c>
      <c r="AL351" s="18">
        <f t="shared" si="62"/>
        <v>1987.2916666666667</v>
      </c>
      <c r="AM351" s="18">
        <f t="shared" si="63"/>
        <v>0.24000000000000199</v>
      </c>
    </row>
    <row r="352" spans="1:39">
      <c r="A352" s="18" t="str">
        <f>IF(Volcanic!A352="","",Volcanic!A352)</f>
        <v>5/1987</v>
      </c>
      <c r="B352" s="18">
        <f>IF(ISNUMBER(Volcanic!L352),Volcanic!L352,"")</f>
        <v>1987.375</v>
      </c>
      <c r="C352" s="21">
        <v>0.89</v>
      </c>
      <c r="D352" s="18">
        <f t="shared" si="61"/>
        <v>1.48</v>
      </c>
      <c r="E352" s="18">
        <f>IF(ISNUMBER(Volcanic!B352),Volcanic!B352,"")</f>
        <v>0.25999999999999979</v>
      </c>
      <c r="F352" s="18">
        <f>IF(ISNUMBER(Volcanic!C352),Volcanic!C352,"")</f>
        <v>0.33076325555700942</v>
      </c>
      <c r="G352" s="18">
        <f>IF(ISNUMBER(Volcanic!E352),Volcanic!E352,"")</f>
        <v>1.2919999999999999E-2</v>
      </c>
      <c r="H352" s="18">
        <f>IF(ISNUMBER(Volcanic!D352),Volcanic!D352,"")</f>
        <v>1.1299999999999999</v>
      </c>
      <c r="I352" s="18">
        <f t="shared" si="55"/>
        <v>0.33076325555700942</v>
      </c>
      <c r="J352" s="18">
        <f t="shared" si="56"/>
        <v>1.2919999999999999E-2</v>
      </c>
      <c r="K352" s="18">
        <f t="shared" si="57"/>
        <v>1.48</v>
      </c>
      <c r="L352" s="18">
        <f t="shared" si="58"/>
        <v>0.33076325555700942</v>
      </c>
      <c r="M352" s="18">
        <f t="shared" si="59"/>
        <v>1.2919999999999999E-2</v>
      </c>
      <c r="N352" s="18">
        <f t="shared" si="60"/>
        <v>1.4280387992019992</v>
      </c>
      <c r="AK352" s="18">
        <f>IF(AND(ISNUMBER(C352),ISNUMBER(ENSO!F352)),C352-ENSO!F352,"")</f>
        <v>-5.9999999999999942E-2</v>
      </c>
      <c r="AL352" s="18">
        <f t="shared" si="62"/>
        <v>1987.375</v>
      </c>
      <c r="AM352" s="18">
        <f t="shared" si="63"/>
        <v>0.25999999999999979</v>
      </c>
    </row>
    <row r="353" spans="1:39">
      <c r="A353" s="18" t="str">
        <f>IF(Volcanic!A353="","",Volcanic!A353)</f>
        <v>6/1987</v>
      </c>
      <c r="B353" s="18">
        <f>IF(ISNUMBER(Volcanic!L353),Volcanic!L353,"")</f>
        <v>1987.4583333333333</v>
      </c>
      <c r="C353" s="21">
        <v>1.05</v>
      </c>
      <c r="D353" s="18">
        <f t="shared" si="61"/>
        <v>1.26</v>
      </c>
      <c r="E353" s="18">
        <f>IF(ISNUMBER(Volcanic!B353),Volcanic!B353,"")</f>
        <v>0.34999999999999787</v>
      </c>
      <c r="F353" s="18">
        <f>IF(ISNUMBER(Volcanic!C353),Volcanic!C353,"")</f>
        <v>0.32842617641262656</v>
      </c>
      <c r="G353" s="18">
        <f>IF(ISNUMBER(Volcanic!E353),Volcanic!E353,"")</f>
        <v>1.264E-2</v>
      </c>
      <c r="H353" s="18">
        <f>IF(ISNUMBER(Volcanic!D353),Volcanic!D353,"")</f>
        <v>1.02</v>
      </c>
      <c r="I353" s="18">
        <f t="shared" si="55"/>
        <v>0.32842617641262656</v>
      </c>
      <c r="J353" s="18">
        <f t="shared" si="56"/>
        <v>1.264E-2</v>
      </c>
      <c r="K353" s="18">
        <f t="shared" si="57"/>
        <v>1.26</v>
      </c>
      <c r="L353" s="18">
        <f t="shared" si="58"/>
        <v>0.32842617641262656</v>
      </c>
      <c r="M353" s="18">
        <f t="shared" si="59"/>
        <v>1.264E-2</v>
      </c>
      <c r="N353" s="18">
        <f t="shared" si="60"/>
        <v>1.2087288186925973</v>
      </c>
      <c r="AK353" s="18">
        <f>IF(AND(ISNUMBER(C353),ISNUMBER(ENSO!F353)),C353-ENSO!F353,"")</f>
        <v>-6.0000000000000053E-2</v>
      </c>
      <c r="AL353" s="18">
        <f t="shared" si="62"/>
        <v>1987.4583333333333</v>
      </c>
      <c r="AM353" s="18">
        <f t="shared" si="63"/>
        <v>0.34999999999999787</v>
      </c>
    </row>
    <row r="354" spans="1:39">
      <c r="A354" s="18" t="str">
        <f>IF(Volcanic!A354="","",Volcanic!A354)</f>
        <v>7/1987</v>
      </c>
      <c r="B354" s="18">
        <f>IF(ISNUMBER(Volcanic!L354),Volcanic!L354,"")</f>
        <v>1987.5416666666667</v>
      </c>
      <c r="C354" s="21">
        <v>1.34</v>
      </c>
      <c r="D354" s="18">
        <f t="shared" si="61"/>
        <v>0.97</v>
      </c>
      <c r="E354" s="18">
        <f>IF(ISNUMBER(Volcanic!B354),Volcanic!B354,"")</f>
        <v>0.40000000000000213</v>
      </c>
      <c r="F354" s="18">
        <f>IF(ISNUMBER(Volcanic!C354),Volcanic!C354,"")</f>
        <v>0.32279345233061574</v>
      </c>
      <c r="G354" s="18">
        <f>IF(ISNUMBER(Volcanic!E354),Volcanic!E354,"")</f>
        <v>1.243E-2</v>
      </c>
      <c r="H354" s="18">
        <f>IF(ISNUMBER(Volcanic!D354),Volcanic!D354,"")</f>
        <v>0.94</v>
      </c>
      <c r="I354" s="18">
        <f t="shared" si="55"/>
        <v>0.32279345233061574</v>
      </c>
      <c r="J354" s="18">
        <f t="shared" si="56"/>
        <v>1.243E-2</v>
      </c>
      <c r="K354" s="18">
        <f t="shared" si="57"/>
        <v>0.97</v>
      </c>
      <c r="L354" s="18">
        <f t="shared" si="58"/>
        <v>0.32279345233061574</v>
      </c>
      <c r="M354" s="18">
        <f t="shared" si="59"/>
        <v>1.243E-2</v>
      </c>
      <c r="N354" s="18">
        <f t="shared" si="60"/>
        <v>0.91941883818319892</v>
      </c>
      <c r="AK354" s="18">
        <f>IF(AND(ISNUMBER(C354),ISNUMBER(ENSO!F354)),C354-ENSO!F354,"")</f>
        <v>4.0000000000000036E-2</v>
      </c>
      <c r="AL354" s="18">
        <f t="shared" si="62"/>
        <v>1987.5416666666667</v>
      </c>
      <c r="AM354" s="18">
        <f t="shared" si="63"/>
        <v>0.40000000000000213</v>
      </c>
    </row>
    <row r="355" spans="1:39">
      <c r="A355" s="18" t="str">
        <f>IF(Volcanic!A355="","",Volcanic!A355)</f>
        <v>8/1987</v>
      </c>
      <c r="B355" s="18">
        <f>IF(ISNUMBER(Volcanic!L355),Volcanic!L355,"")</f>
        <v>1987.625</v>
      </c>
      <c r="C355" s="21">
        <v>1.55</v>
      </c>
      <c r="D355" s="18">
        <f t="shared" si="61"/>
        <v>0.89</v>
      </c>
      <c r="E355" s="18">
        <f>IF(ISNUMBER(Volcanic!B355),Volcanic!B355,"")</f>
        <v>0.25000000000000355</v>
      </c>
      <c r="F355" s="18">
        <f>IF(ISNUMBER(Volcanic!C355),Volcanic!C355,"")</f>
        <v>0.31448937581877229</v>
      </c>
      <c r="G355" s="18">
        <f>IF(ISNUMBER(Volcanic!E355),Volcanic!E355,"")</f>
        <v>1.2070000000000001E-2</v>
      </c>
      <c r="H355" s="18">
        <f>IF(ISNUMBER(Volcanic!D355),Volcanic!D355,"")</f>
        <v>0.95</v>
      </c>
      <c r="I355" s="18">
        <f t="shared" si="55"/>
        <v>0.31448937581877229</v>
      </c>
      <c r="J355" s="18">
        <f t="shared" si="56"/>
        <v>1.2070000000000001E-2</v>
      </c>
      <c r="K355" s="18">
        <f t="shared" si="57"/>
        <v>0.89</v>
      </c>
      <c r="L355" s="18">
        <f t="shared" si="58"/>
        <v>0.31448937581877229</v>
      </c>
      <c r="M355" s="18">
        <f t="shared" si="59"/>
        <v>1.2070000000000001E-2</v>
      </c>
      <c r="N355" s="18">
        <f t="shared" si="60"/>
        <v>0.84010885767379706</v>
      </c>
      <c r="AK355" s="18">
        <f>IF(AND(ISNUMBER(C355),ISNUMBER(ENSO!F355)),C355-ENSO!F355,"")</f>
        <v>9.000000000000008E-2</v>
      </c>
      <c r="AL355" s="18">
        <f t="shared" si="62"/>
        <v>1987.625</v>
      </c>
      <c r="AM355" s="18">
        <f t="shared" si="63"/>
        <v>0.25000000000000355</v>
      </c>
    </row>
    <row r="356" spans="1:39">
      <c r="A356" s="18" t="str">
        <f>IF(Volcanic!A356="","",Volcanic!A356)</f>
        <v>9/1987</v>
      </c>
      <c r="B356" s="18">
        <f>IF(ISNUMBER(Volcanic!L356),Volcanic!L356,"")</f>
        <v>1987.7083333333333</v>
      </c>
      <c r="C356" s="21">
        <v>1.48</v>
      </c>
      <c r="D356" s="18">
        <f t="shared" si="61"/>
        <v>1.05</v>
      </c>
      <c r="E356" s="18">
        <f>IF(ISNUMBER(Volcanic!B356),Volcanic!B356,"")</f>
        <v>0.34999999999999787</v>
      </c>
      <c r="F356" s="18">
        <f>IF(ISNUMBER(Volcanic!C356),Volcanic!C356,"")</f>
        <v>0.30809455096015637</v>
      </c>
      <c r="G356" s="18">
        <f>IF(ISNUMBER(Volcanic!E356),Volcanic!E356,"")</f>
        <v>1.136E-2</v>
      </c>
      <c r="H356" s="18">
        <f>IF(ISNUMBER(Volcanic!D356),Volcanic!D356,"")</f>
        <v>1.1100000000000001</v>
      </c>
      <c r="I356" s="18">
        <f t="shared" si="55"/>
        <v>0.30809455096015637</v>
      </c>
      <c r="J356" s="18">
        <f t="shared" si="56"/>
        <v>1.136E-2</v>
      </c>
      <c r="K356" s="18">
        <f t="shared" si="57"/>
        <v>1.05</v>
      </c>
      <c r="L356" s="18">
        <f t="shared" si="58"/>
        <v>0.30809455096015637</v>
      </c>
      <c r="M356" s="18">
        <f t="shared" si="59"/>
        <v>1.136E-2</v>
      </c>
      <c r="N356" s="18">
        <f t="shared" si="60"/>
        <v>1.0007988771643952</v>
      </c>
      <c r="AK356" s="18">
        <f>IF(AND(ISNUMBER(C356),ISNUMBER(ENSO!F356)),C356-ENSO!F356,"")</f>
        <v>-1.0000000000000009E-2</v>
      </c>
      <c r="AL356" s="18">
        <f t="shared" si="62"/>
        <v>1987.7083333333333</v>
      </c>
      <c r="AM356" s="18">
        <f t="shared" si="63"/>
        <v>0.34999999999999787</v>
      </c>
    </row>
    <row r="357" spans="1:39">
      <c r="A357" s="18" t="str">
        <f>IF(Volcanic!A357="","",Volcanic!A357)</f>
        <v>10/1987</v>
      </c>
      <c r="B357" s="18">
        <f>IF(ISNUMBER(Volcanic!L357),Volcanic!L357,"")</f>
        <v>1987.7916666666667</v>
      </c>
      <c r="C357" s="21">
        <v>1.27</v>
      </c>
      <c r="D357" s="18">
        <f t="shared" si="61"/>
        <v>1.34</v>
      </c>
      <c r="E357" s="18">
        <f>IF(ISNUMBER(Volcanic!B357),Volcanic!B357,"")</f>
        <v>0.32999999999999652</v>
      </c>
      <c r="F357" s="18">
        <f>IF(ISNUMBER(Volcanic!C357),Volcanic!C357,"")</f>
        <v>0.30834423137398254</v>
      </c>
      <c r="G357" s="18">
        <f>IF(ISNUMBER(Volcanic!E357),Volcanic!E357,"")</f>
        <v>1.09E-2</v>
      </c>
      <c r="H357" s="18">
        <f>IF(ISNUMBER(Volcanic!D357),Volcanic!D357,"")</f>
        <v>1.3</v>
      </c>
      <c r="I357" s="18">
        <f t="shared" si="55"/>
        <v>0.30834423137398254</v>
      </c>
      <c r="J357" s="18">
        <f t="shared" si="56"/>
        <v>1.09E-2</v>
      </c>
      <c r="K357" s="18">
        <f t="shared" si="57"/>
        <v>1.34</v>
      </c>
      <c r="L357" s="18">
        <f t="shared" si="58"/>
        <v>0.30834423137398254</v>
      </c>
      <c r="M357" s="18">
        <f t="shared" si="59"/>
        <v>1.09E-2</v>
      </c>
      <c r="N357" s="18">
        <f t="shared" si="60"/>
        <v>1.2914888966549969</v>
      </c>
      <c r="AK357" s="18">
        <f>IF(AND(ISNUMBER(C357),ISNUMBER(ENSO!F357)),C357-ENSO!F357,"")</f>
        <v>-0.1399999999999999</v>
      </c>
      <c r="AL357" s="18">
        <f t="shared" si="62"/>
        <v>1987.7916666666667</v>
      </c>
      <c r="AM357" s="18">
        <f t="shared" si="63"/>
        <v>0.32999999999999652</v>
      </c>
    </row>
    <row r="358" spans="1:39">
      <c r="A358" s="18" t="str">
        <f>IF(Volcanic!A358="","",Volcanic!A358)</f>
        <v>11/1987</v>
      </c>
      <c r="B358" s="18">
        <f>IF(ISNUMBER(Volcanic!L358),Volcanic!L358,"")</f>
        <v>1987.875</v>
      </c>
      <c r="C358" s="21">
        <v>1.02</v>
      </c>
      <c r="D358" s="18">
        <f t="shared" si="61"/>
        <v>1.55</v>
      </c>
      <c r="E358" s="18">
        <f>IF(ISNUMBER(Volcanic!B358),Volcanic!B358,"")</f>
        <v>0.28999999999999559</v>
      </c>
      <c r="F358" s="18">
        <f>IF(ISNUMBER(Volcanic!C358),Volcanic!C358,"")</f>
        <v>0.31399209482083829</v>
      </c>
      <c r="G358" s="18">
        <f>IF(ISNUMBER(Volcanic!E358),Volcanic!E358,"")</f>
        <v>1.0619999999999999E-2</v>
      </c>
      <c r="H358" s="18">
        <f>IF(ISNUMBER(Volcanic!D358),Volcanic!D358,"")</f>
        <v>1.46</v>
      </c>
      <c r="I358" s="18">
        <f t="shared" si="55"/>
        <v>0.31399209482083829</v>
      </c>
      <c r="J358" s="18">
        <f t="shared" si="56"/>
        <v>1.0619999999999999E-2</v>
      </c>
      <c r="K358" s="18">
        <f t="shared" si="57"/>
        <v>1.55</v>
      </c>
      <c r="L358" s="18">
        <f t="shared" si="58"/>
        <v>0.31399209482083829</v>
      </c>
      <c r="M358" s="18">
        <f t="shared" si="59"/>
        <v>1.0619999999999999E-2</v>
      </c>
      <c r="N358" s="18">
        <f t="shared" si="60"/>
        <v>1.502178916145595</v>
      </c>
      <c r="AK358" s="18">
        <f>IF(AND(ISNUMBER(C358),ISNUMBER(ENSO!F358)),C358-ENSO!F358,"")</f>
        <v>-0.17999999999999994</v>
      </c>
      <c r="AL358" s="18">
        <f t="shared" si="62"/>
        <v>1987.875</v>
      </c>
      <c r="AM358" s="18">
        <f t="shared" si="63"/>
        <v>0.28999999999999559</v>
      </c>
    </row>
    <row r="359" spans="1:39">
      <c r="A359" s="18" t="str">
        <f>IF(Volcanic!A359="","",Volcanic!A359)</f>
        <v>12/1987</v>
      </c>
      <c r="B359" s="18">
        <f>IF(ISNUMBER(Volcanic!L359),Volcanic!L359,"")</f>
        <v>1987.9583333333333</v>
      </c>
      <c r="C359" s="21">
        <v>0.92</v>
      </c>
      <c r="D359" s="18">
        <f t="shared" si="61"/>
        <v>1.48</v>
      </c>
      <c r="E359" s="18">
        <f>IF(ISNUMBER(Volcanic!B359),Volcanic!B359,"")</f>
        <v>0.46000000000000441</v>
      </c>
      <c r="F359" s="18">
        <f>IF(ISNUMBER(Volcanic!C359),Volcanic!C359,"")</f>
        <v>0.3189572082710998</v>
      </c>
      <c r="G359" s="18">
        <f>IF(ISNUMBER(Volcanic!E359),Volcanic!E359,"")</f>
        <v>1.072E-2</v>
      </c>
      <c r="H359" s="18">
        <f>IF(ISNUMBER(Volcanic!D359),Volcanic!D359,"")</f>
        <v>1.49</v>
      </c>
      <c r="I359" s="18">
        <f t="shared" si="55"/>
        <v>0.3189572082710998</v>
      </c>
      <c r="J359" s="18">
        <f t="shared" si="56"/>
        <v>1.072E-2</v>
      </c>
      <c r="K359" s="18">
        <f t="shared" si="57"/>
        <v>1.48</v>
      </c>
      <c r="L359" s="18">
        <f t="shared" si="58"/>
        <v>0.3189572082710998</v>
      </c>
      <c r="M359" s="18">
        <f t="shared" si="59"/>
        <v>1.072E-2</v>
      </c>
      <c r="N359" s="18">
        <f t="shared" si="60"/>
        <v>1.432868935636193</v>
      </c>
      <c r="AK359" s="18">
        <f>IF(AND(ISNUMBER(C359),ISNUMBER(ENSO!F359)),C359-ENSO!F359,"")</f>
        <v>-7.999999999999996E-2</v>
      </c>
      <c r="AL359" s="18">
        <f t="shared" si="62"/>
        <v>1987.9583333333333</v>
      </c>
      <c r="AM359" s="18">
        <f t="shared" si="63"/>
        <v>0.46000000000000441</v>
      </c>
    </row>
    <row r="360" spans="1:39">
      <c r="A360" s="18" t="str">
        <f>IF(Volcanic!A360="","",Volcanic!A360)</f>
        <v>1/1988</v>
      </c>
      <c r="B360" s="18">
        <f>IF(ISNUMBER(Volcanic!L360),Volcanic!L360,"")</f>
        <v>1988.0416666666667</v>
      </c>
      <c r="C360" s="21">
        <v>0.65</v>
      </c>
      <c r="D360" s="18">
        <f t="shared" si="61"/>
        <v>1.27</v>
      </c>
      <c r="E360" s="18">
        <f>IF(ISNUMBER(Volcanic!B360),Volcanic!B360,"")</f>
        <v>0.57000000000000028</v>
      </c>
      <c r="F360" s="18">
        <f>IF(ISNUMBER(Volcanic!C360),Volcanic!C360,"")</f>
        <v>0.32402877753529308</v>
      </c>
      <c r="G360" s="18">
        <f>IF(ISNUMBER(Volcanic!E360),Volcanic!E360,"")</f>
        <v>1.061E-2</v>
      </c>
      <c r="H360" s="18">
        <f>IF(ISNUMBER(Volcanic!D360),Volcanic!D360,"")</f>
        <v>1.41</v>
      </c>
      <c r="I360" s="18">
        <f t="shared" si="55"/>
        <v>0.32402877753529308</v>
      </c>
      <c r="J360" s="18">
        <f t="shared" si="56"/>
        <v>1.061E-2</v>
      </c>
      <c r="K360" s="18">
        <f t="shared" si="57"/>
        <v>1.27</v>
      </c>
      <c r="L360" s="18">
        <f t="shared" si="58"/>
        <v>0.32402877753529308</v>
      </c>
      <c r="M360" s="18">
        <f t="shared" si="59"/>
        <v>1.061E-2</v>
      </c>
      <c r="N360" s="18">
        <f t="shared" si="60"/>
        <v>1.2235589551267911</v>
      </c>
      <c r="AK360" s="18">
        <f>IF(AND(ISNUMBER(C360),ISNUMBER(ENSO!F360)),C360-ENSO!F360,"")</f>
        <v>2.0000000000000018E-2</v>
      </c>
      <c r="AL360" s="18">
        <f t="shared" si="62"/>
        <v>1988.0416666666667</v>
      </c>
      <c r="AM360" s="18">
        <f t="shared" si="63"/>
        <v>0.57000000000000028</v>
      </c>
    </row>
    <row r="361" spans="1:39">
      <c r="A361" s="18" t="str">
        <f>IF(Volcanic!A361="","",Volcanic!A361)</f>
        <v>2/1988</v>
      </c>
      <c r="B361" s="18">
        <f>IF(ISNUMBER(Volcanic!L361),Volcanic!L361,"")</f>
        <v>1988.125</v>
      </c>
      <c r="C361" s="21">
        <v>0.3</v>
      </c>
      <c r="D361" s="18">
        <f t="shared" si="61"/>
        <v>1.02</v>
      </c>
      <c r="E361" s="18">
        <f>IF(ISNUMBER(Volcanic!B361),Volcanic!B361,"")</f>
        <v>0.44000000000000483</v>
      </c>
      <c r="F361" s="18">
        <f>IF(ISNUMBER(Volcanic!C361),Volcanic!C361,"")</f>
        <v>0.32891850779297804</v>
      </c>
      <c r="G361" s="18">
        <f>IF(ISNUMBER(Volcanic!E361),Volcanic!E361,"")</f>
        <v>1.0160000000000001E-2</v>
      </c>
      <c r="H361" s="18">
        <f>IF(ISNUMBER(Volcanic!D361),Volcanic!D361,"")</f>
        <v>1.2</v>
      </c>
      <c r="I361" s="18">
        <f t="shared" si="55"/>
        <v>0.32891850779297804</v>
      </c>
      <c r="J361" s="18">
        <f t="shared" si="56"/>
        <v>1.0160000000000001E-2</v>
      </c>
      <c r="K361" s="18">
        <f t="shared" si="57"/>
        <v>1.02</v>
      </c>
      <c r="L361" s="18">
        <f t="shared" si="58"/>
        <v>0.32891850779297804</v>
      </c>
      <c r="M361" s="18">
        <f t="shared" si="59"/>
        <v>1.0160000000000001E-2</v>
      </c>
      <c r="N361" s="18">
        <f t="shared" si="60"/>
        <v>0.97424897461738924</v>
      </c>
      <c r="AK361" s="18">
        <f>IF(AND(ISNUMBER(C361),ISNUMBER(ENSO!F361)),C361-ENSO!F361,"")</f>
        <v>-7.0000000000000007E-2</v>
      </c>
      <c r="AL361" s="18">
        <f t="shared" si="62"/>
        <v>1988.125</v>
      </c>
      <c r="AM361" s="18">
        <f t="shared" si="63"/>
        <v>0.44000000000000483</v>
      </c>
    </row>
    <row r="362" spans="1:39">
      <c r="A362" s="18" t="str">
        <f>IF(Volcanic!A362="","",Volcanic!A362)</f>
        <v>3/1988</v>
      </c>
      <c r="B362" s="18">
        <f>IF(ISNUMBER(Volcanic!L362),Volcanic!L362,"")</f>
        <v>1988.2083333333333</v>
      </c>
      <c r="C362" s="21">
        <v>-0.21</v>
      </c>
      <c r="D362" s="18">
        <f t="shared" si="61"/>
        <v>0.92</v>
      </c>
      <c r="E362" s="18">
        <f>IF(ISNUMBER(Volcanic!B362),Volcanic!B362,"")</f>
        <v>0.5199999999999978</v>
      </c>
      <c r="F362" s="18">
        <f>IF(ISNUMBER(Volcanic!C362),Volcanic!C362,"")</f>
        <v>0.3321964303411894</v>
      </c>
      <c r="G362" s="18">
        <f>IF(ISNUMBER(Volcanic!E362),Volcanic!E362,"")</f>
        <v>9.9299999999999996E-3</v>
      </c>
      <c r="H362" s="18">
        <f>IF(ISNUMBER(Volcanic!D362),Volcanic!D362,"")</f>
        <v>1</v>
      </c>
      <c r="I362" s="18">
        <f t="shared" si="55"/>
        <v>0.3321964303411894</v>
      </c>
      <c r="J362" s="18">
        <f t="shared" si="56"/>
        <v>9.9299999999999996E-3</v>
      </c>
      <c r="K362" s="18">
        <f t="shared" si="57"/>
        <v>0.92</v>
      </c>
      <c r="L362" s="18">
        <f t="shared" si="58"/>
        <v>0.3321964303411894</v>
      </c>
      <c r="M362" s="18">
        <f t="shared" si="59"/>
        <v>9.9299999999999996E-3</v>
      </c>
      <c r="N362" s="18">
        <f t="shared" si="60"/>
        <v>0.87493899410799092</v>
      </c>
      <c r="AK362" s="18">
        <f>IF(AND(ISNUMBER(C362),ISNUMBER(ENSO!F362)),C362-ENSO!F362,"")</f>
        <v>-0.18</v>
      </c>
      <c r="AL362" s="18">
        <f t="shared" si="62"/>
        <v>1988.2083333333333</v>
      </c>
      <c r="AM362" s="18">
        <f t="shared" si="63"/>
        <v>0.5199999999999978</v>
      </c>
    </row>
    <row r="363" spans="1:39">
      <c r="A363" s="18" t="str">
        <f>IF(Volcanic!A363="","",Volcanic!A363)</f>
        <v>4/1988</v>
      </c>
      <c r="B363" s="18">
        <f>IF(ISNUMBER(Volcanic!L363),Volcanic!L363,"")</f>
        <v>1988.2916666666667</v>
      </c>
      <c r="C363" s="21">
        <v>-0.75</v>
      </c>
      <c r="D363" s="18">
        <f t="shared" si="61"/>
        <v>0.65</v>
      </c>
      <c r="E363" s="18">
        <f>IF(ISNUMBER(Volcanic!B363),Volcanic!B363,"")</f>
        <v>0.42999999999999972</v>
      </c>
      <c r="F363" s="18">
        <f>IF(ISNUMBER(Volcanic!C363),Volcanic!C363,"")</f>
        <v>0.33697702068730562</v>
      </c>
      <c r="G363" s="18">
        <f>IF(ISNUMBER(Volcanic!E363),Volcanic!E363,"")</f>
        <v>9.6500000000000006E-3</v>
      </c>
      <c r="H363" s="18">
        <f>IF(ISNUMBER(Volcanic!D363),Volcanic!D363,"")</f>
        <v>0.63</v>
      </c>
      <c r="I363" s="18">
        <f t="shared" si="55"/>
        <v>0.33697702068730562</v>
      </c>
      <c r="J363" s="18">
        <f t="shared" si="56"/>
        <v>9.6500000000000006E-3</v>
      </c>
      <c r="K363" s="18">
        <f t="shared" si="57"/>
        <v>0.65</v>
      </c>
      <c r="L363" s="18">
        <f t="shared" si="58"/>
        <v>0.33697702068730562</v>
      </c>
      <c r="M363" s="18">
        <f t="shared" si="59"/>
        <v>9.6500000000000006E-3</v>
      </c>
      <c r="N363" s="18">
        <f t="shared" si="60"/>
        <v>0.60562901359858901</v>
      </c>
      <c r="AK363" s="18">
        <f>IF(AND(ISNUMBER(C363),ISNUMBER(ENSO!F363)),C363-ENSO!F363,"")</f>
        <v>-0.3</v>
      </c>
      <c r="AL363" s="18">
        <f t="shared" si="62"/>
        <v>1988.2916666666667</v>
      </c>
      <c r="AM363" s="18">
        <f t="shared" si="63"/>
        <v>0.42999999999999972</v>
      </c>
    </row>
    <row r="364" spans="1:39">
      <c r="A364" s="18" t="str">
        <f>IF(Volcanic!A364="","",Volcanic!A364)</f>
        <v>5/1988</v>
      </c>
      <c r="B364" s="18">
        <f>IF(ISNUMBER(Volcanic!L364),Volcanic!L364,"")</f>
        <v>1988.375</v>
      </c>
      <c r="C364" s="21">
        <v>-1.37</v>
      </c>
      <c r="D364" s="18">
        <f t="shared" si="61"/>
        <v>0.3</v>
      </c>
      <c r="E364" s="18">
        <f>IF(ISNUMBER(Volcanic!B364),Volcanic!B364,"")</f>
        <v>0.44000000000000483</v>
      </c>
      <c r="F364" s="18">
        <f>IF(ISNUMBER(Volcanic!C364),Volcanic!C364,"")</f>
        <v>0.33974822186649467</v>
      </c>
      <c r="G364" s="18">
        <f>IF(ISNUMBER(Volcanic!E364),Volcanic!E364,"")</f>
        <v>9.5499999999999995E-3</v>
      </c>
      <c r="H364" s="18">
        <f>IF(ISNUMBER(Volcanic!D364),Volcanic!D364,"")</f>
        <v>0.37</v>
      </c>
      <c r="I364" s="18">
        <f t="shared" si="55"/>
        <v>0.33974822186649467</v>
      </c>
      <c r="J364" s="18">
        <f t="shared" si="56"/>
        <v>9.5499999999999995E-3</v>
      </c>
      <c r="K364" s="18">
        <f t="shared" si="57"/>
        <v>0.3</v>
      </c>
      <c r="L364" s="18">
        <f t="shared" si="58"/>
        <v>0.33974822186649467</v>
      </c>
      <c r="M364" s="18">
        <f t="shared" si="59"/>
        <v>9.5499999999999995E-3</v>
      </c>
      <c r="N364" s="18">
        <f t="shared" si="60"/>
        <v>0.25631903308918708</v>
      </c>
      <c r="AK364" s="18">
        <f>IF(AND(ISNUMBER(C364),ISNUMBER(ENSO!F364)),C364-ENSO!F364,"")</f>
        <v>-0.38000000000000012</v>
      </c>
      <c r="AL364" s="18">
        <f t="shared" si="62"/>
        <v>1988.375</v>
      </c>
      <c r="AM364" s="18">
        <f t="shared" si="63"/>
        <v>0.44000000000000483</v>
      </c>
    </row>
    <row r="365" spans="1:39">
      <c r="A365" s="18" t="str">
        <f>IF(Volcanic!A365="","",Volcanic!A365)</f>
        <v>6/1988</v>
      </c>
      <c r="B365" s="18">
        <f>IF(ISNUMBER(Volcanic!L365),Volcanic!L365,"")</f>
        <v>1988.4583333333333</v>
      </c>
      <c r="C365" s="21">
        <v>-1.75</v>
      </c>
      <c r="D365" s="18">
        <f t="shared" si="61"/>
        <v>-0.21</v>
      </c>
      <c r="E365" s="18">
        <f>IF(ISNUMBER(Volcanic!B365),Volcanic!B365,"")</f>
        <v>0.40000000000000213</v>
      </c>
      <c r="F365" s="18">
        <f>IF(ISNUMBER(Volcanic!C365),Volcanic!C365,"")</f>
        <v>0.33783340106320175</v>
      </c>
      <c r="G365" s="18">
        <f>IF(ISNUMBER(Volcanic!E365),Volcanic!E365,"")</f>
        <v>9.2300000000000004E-3</v>
      </c>
      <c r="H365" s="18">
        <f>IF(ISNUMBER(Volcanic!D365),Volcanic!D365,"")</f>
        <v>-0.03</v>
      </c>
      <c r="I365" s="18">
        <f t="shared" si="55"/>
        <v>0.33783340106320175</v>
      </c>
      <c r="J365" s="18">
        <f t="shared" si="56"/>
        <v>9.2300000000000004E-3</v>
      </c>
      <c r="K365" s="18">
        <f t="shared" si="57"/>
        <v>-0.21</v>
      </c>
      <c r="L365" s="18">
        <f t="shared" si="58"/>
        <v>0.33783340106320175</v>
      </c>
      <c r="M365" s="18">
        <f t="shared" si="59"/>
        <v>9.2300000000000004E-3</v>
      </c>
      <c r="N365" s="18">
        <f t="shared" si="60"/>
        <v>-0.25299094742021477</v>
      </c>
      <c r="AK365" s="18">
        <f>IF(AND(ISNUMBER(C365),ISNUMBER(ENSO!F365)),C365-ENSO!F365,"")</f>
        <v>-0.44999999999999996</v>
      </c>
      <c r="AL365" s="18">
        <f t="shared" si="62"/>
        <v>1988.4583333333333</v>
      </c>
      <c r="AM365" s="18">
        <f t="shared" si="63"/>
        <v>0.40000000000000213</v>
      </c>
    </row>
    <row r="366" spans="1:39">
      <c r="A366" s="18" t="str">
        <f>IF(Volcanic!A366="","",Volcanic!A366)</f>
        <v>7/1988</v>
      </c>
      <c r="B366" s="18">
        <f>IF(ISNUMBER(Volcanic!L366),Volcanic!L366,"")</f>
        <v>1988.5416666666667</v>
      </c>
      <c r="C366" s="21">
        <v>-1.64</v>
      </c>
      <c r="D366" s="18">
        <f t="shared" si="61"/>
        <v>-0.75</v>
      </c>
      <c r="E366" s="18">
        <f>IF(ISNUMBER(Volcanic!B366),Volcanic!B366,"")</f>
        <v>0.32999999999999652</v>
      </c>
      <c r="F366" s="18">
        <f>IF(ISNUMBER(Volcanic!C366),Volcanic!C366,"")</f>
        <v>0.3334237337251918</v>
      </c>
      <c r="G366" s="18">
        <f>IF(ISNUMBER(Volcanic!E366),Volcanic!E366,"")</f>
        <v>8.9499999999999996E-3</v>
      </c>
      <c r="H366" s="18">
        <f>IF(ISNUMBER(Volcanic!D366),Volcanic!D366,"")</f>
        <v>-0.45</v>
      </c>
      <c r="I366" s="18">
        <f t="shared" si="55"/>
        <v>0.3334237337251918</v>
      </c>
      <c r="J366" s="18">
        <f t="shared" si="56"/>
        <v>8.9499999999999996E-3</v>
      </c>
      <c r="K366" s="18">
        <f t="shared" si="57"/>
        <v>-0.75</v>
      </c>
      <c r="L366" s="18">
        <f t="shared" si="58"/>
        <v>0.3334237337251918</v>
      </c>
      <c r="M366" s="18">
        <f t="shared" si="59"/>
        <v>8.9499999999999996E-3</v>
      </c>
      <c r="N366" s="18">
        <f t="shared" si="60"/>
        <v>-0.79230092792961315</v>
      </c>
      <c r="AK366" s="18">
        <f>IF(AND(ISNUMBER(C366),ISNUMBER(ENSO!F366)),C366-ENSO!F366,"")</f>
        <v>-0.33999999999999986</v>
      </c>
      <c r="AL366" s="18">
        <f t="shared" si="62"/>
        <v>1988.5416666666667</v>
      </c>
      <c r="AM366" s="18">
        <f t="shared" si="63"/>
        <v>0.32999999999999652</v>
      </c>
    </row>
    <row r="367" spans="1:39">
      <c r="A367" s="18" t="str">
        <f>IF(Volcanic!A367="","",Volcanic!A367)</f>
        <v>8/1988</v>
      </c>
      <c r="B367" s="18">
        <f>IF(ISNUMBER(Volcanic!L367),Volcanic!L367,"")</f>
        <v>1988.625</v>
      </c>
      <c r="C367" s="21">
        <v>-1.32</v>
      </c>
      <c r="D367" s="18">
        <f t="shared" si="61"/>
        <v>-1.37</v>
      </c>
      <c r="E367" s="18">
        <f>IF(ISNUMBER(Volcanic!B367),Volcanic!B367,"")</f>
        <v>0.38999999999999879</v>
      </c>
      <c r="F367" s="18">
        <f>IF(ISNUMBER(Volcanic!C367),Volcanic!C367,"")</f>
        <v>0.32394645542166806</v>
      </c>
      <c r="G367" s="18">
        <f>IF(ISNUMBER(Volcanic!E367),Volcanic!E367,"")</f>
        <v>8.6199999999999992E-3</v>
      </c>
      <c r="H367" s="18">
        <f>IF(ISNUMBER(Volcanic!D367),Volcanic!D367,"")</f>
        <v>-0.99</v>
      </c>
      <c r="I367" s="18">
        <f t="shared" si="55"/>
        <v>0.32394645542166806</v>
      </c>
      <c r="J367" s="18">
        <f t="shared" si="56"/>
        <v>8.6199999999999992E-3</v>
      </c>
      <c r="K367" s="18">
        <f t="shared" si="57"/>
        <v>-1.37</v>
      </c>
      <c r="L367" s="18">
        <f t="shared" si="58"/>
        <v>0.32394645542166806</v>
      </c>
      <c r="M367" s="18">
        <f t="shared" si="59"/>
        <v>8.6199999999999992E-3</v>
      </c>
      <c r="N367" s="18">
        <f t="shared" si="60"/>
        <v>-1.4116109084390152</v>
      </c>
      <c r="AK367" s="18">
        <f>IF(AND(ISNUMBER(C367),ISNUMBER(ENSO!F367)),C367-ENSO!F367,"")</f>
        <v>-0.18000000000000016</v>
      </c>
      <c r="AL367" s="18">
        <f t="shared" si="62"/>
        <v>1988.625</v>
      </c>
      <c r="AM367" s="18">
        <f t="shared" si="63"/>
        <v>0.38999999999999879</v>
      </c>
    </row>
    <row r="368" spans="1:39">
      <c r="A368" s="18" t="str">
        <f>IF(Volcanic!A368="","",Volcanic!A368)</f>
        <v>9/1988</v>
      </c>
      <c r="B368" s="18">
        <f>IF(ISNUMBER(Volcanic!L368),Volcanic!L368,"")</f>
        <v>1988.7083333333333</v>
      </c>
      <c r="C368" s="21">
        <v>-1.36</v>
      </c>
      <c r="D368" s="18">
        <f t="shared" si="61"/>
        <v>-1.75</v>
      </c>
      <c r="E368" s="18">
        <f>IF(ISNUMBER(Volcanic!B368),Volcanic!B368,"")</f>
        <v>0.36999999999999744</v>
      </c>
      <c r="F368" s="18">
        <f>IF(ISNUMBER(Volcanic!C368),Volcanic!C368,"")</f>
        <v>0.31767619003390707</v>
      </c>
      <c r="G368" s="18">
        <f>IF(ISNUMBER(Volcanic!E368),Volcanic!E368,"")</f>
        <v>8.4200000000000004E-3</v>
      </c>
      <c r="H368" s="18">
        <f>IF(ISNUMBER(Volcanic!D368),Volcanic!D368,"")</f>
        <v>-1.3</v>
      </c>
      <c r="I368" s="18">
        <f t="shared" si="55"/>
        <v>0.31767619003390707</v>
      </c>
      <c r="J368" s="18">
        <f t="shared" si="56"/>
        <v>8.4200000000000004E-3</v>
      </c>
      <c r="K368" s="18">
        <f t="shared" si="57"/>
        <v>-1.75</v>
      </c>
      <c r="L368" s="18">
        <f t="shared" si="58"/>
        <v>0.31767619003390707</v>
      </c>
      <c r="M368" s="18">
        <f t="shared" si="59"/>
        <v>8.4200000000000004E-3</v>
      </c>
      <c r="N368" s="18">
        <f t="shared" si="60"/>
        <v>-1.7909208889484169</v>
      </c>
      <c r="AK368" s="18">
        <f>IF(AND(ISNUMBER(C368),ISNUMBER(ENSO!F368)),C368-ENSO!F368,"")</f>
        <v>-9.000000000000008E-2</v>
      </c>
      <c r="AL368" s="18">
        <f t="shared" si="62"/>
        <v>1988.7083333333333</v>
      </c>
      <c r="AM368" s="18">
        <f t="shared" si="63"/>
        <v>0.36999999999999744</v>
      </c>
    </row>
    <row r="369" spans="1:39">
      <c r="A369" s="18" t="str">
        <f>IF(Volcanic!A369="","",Volcanic!A369)</f>
        <v>10/1988</v>
      </c>
      <c r="B369" s="18">
        <f>IF(ISNUMBER(Volcanic!L369),Volcanic!L369,"")</f>
        <v>1988.7916666666667</v>
      </c>
      <c r="C369" s="21">
        <v>-1.63</v>
      </c>
      <c r="D369" s="18">
        <f t="shared" si="61"/>
        <v>-1.64</v>
      </c>
      <c r="E369" s="18">
        <f>IF(ISNUMBER(Volcanic!B369),Volcanic!B369,"")</f>
        <v>0.38000000000000256</v>
      </c>
      <c r="F369" s="18">
        <f>IF(ISNUMBER(Volcanic!C369),Volcanic!C369,"")</f>
        <v>0.3193289038394051</v>
      </c>
      <c r="G369" s="18">
        <f>IF(ISNUMBER(Volcanic!E369),Volcanic!E369,"")</f>
        <v>8.0599999999999995E-3</v>
      </c>
      <c r="H369" s="18">
        <f>IF(ISNUMBER(Volcanic!D369),Volcanic!D369,"")</f>
        <v>-1.3</v>
      </c>
      <c r="I369" s="18">
        <f t="shared" si="55"/>
        <v>0.3193289038394051</v>
      </c>
      <c r="J369" s="18">
        <f t="shared" si="56"/>
        <v>8.0599999999999995E-3</v>
      </c>
      <c r="K369" s="18">
        <f t="shared" si="57"/>
        <v>-1.64</v>
      </c>
      <c r="L369" s="18">
        <f t="shared" si="58"/>
        <v>0.3193289038394051</v>
      </c>
      <c r="M369" s="18">
        <f t="shared" si="59"/>
        <v>8.0599999999999995E-3</v>
      </c>
      <c r="N369" s="18">
        <f t="shared" si="60"/>
        <v>-1.6802308694578152</v>
      </c>
      <c r="AK369" s="18">
        <f>IF(AND(ISNUMBER(C369),ISNUMBER(ENSO!F369)),C369-ENSO!F369,"")</f>
        <v>-8.9999999999999858E-2</v>
      </c>
      <c r="AL369" s="18">
        <f t="shared" si="62"/>
        <v>1988.7916666666667</v>
      </c>
      <c r="AM369" s="18">
        <f t="shared" si="63"/>
        <v>0.38000000000000256</v>
      </c>
    </row>
    <row r="370" spans="1:39">
      <c r="A370" s="18" t="str">
        <f>IF(Volcanic!A370="","",Volcanic!A370)</f>
        <v>11/1988</v>
      </c>
      <c r="B370" s="18">
        <f>IF(ISNUMBER(Volcanic!L370),Volcanic!L370,"")</f>
        <v>1988.875</v>
      </c>
      <c r="C370" s="21">
        <v>-1.94</v>
      </c>
      <c r="D370" s="18">
        <f t="shared" si="61"/>
        <v>-1.32</v>
      </c>
      <c r="E370" s="18">
        <f>IF(ISNUMBER(Volcanic!B370),Volcanic!B370,"")</f>
        <v>0.11999999999999744</v>
      </c>
      <c r="F370" s="18">
        <f>IF(ISNUMBER(Volcanic!C370),Volcanic!C370,"")</f>
        <v>0.32365829102624488</v>
      </c>
      <c r="G370" s="18">
        <f>IF(ISNUMBER(Volcanic!E370),Volcanic!E370,"")</f>
        <v>7.8200000000000006E-3</v>
      </c>
      <c r="H370" s="18">
        <f>IF(ISNUMBER(Volcanic!D370),Volcanic!D370,"")</f>
        <v>-1.1399999999999999</v>
      </c>
      <c r="I370" s="18">
        <f t="shared" si="55"/>
        <v>0.32365829102624488</v>
      </c>
      <c r="J370" s="18">
        <f t="shared" si="56"/>
        <v>7.8200000000000006E-3</v>
      </c>
      <c r="K370" s="18">
        <f t="shared" si="57"/>
        <v>-1.32</v>
      </c>
      <c r="L370" s="18">
        <f t="shared" si="58"/>
        <v>0.32365829102624488</v>
      </c>
      <c r="M370" s="18">
        <f t="shared" si="59"/>
        <v>7.8200000000000006E-3</v>
      </c>
      <c r="N370" s="18">
        <f t="shared" si="60"/>
        <v>-1.3595408499672172</v>
      </c>
      <c r="AK370" s="18">
        <f>IF(AND(ISNUMBER(C370),ISNUMBER(ENSO!F370)),C370-ENSO!F370,"")</f>
        <v>-0.12999999999999989</v>
      </c>
      <c r="AL370" s="18">
        <f t="shared" si="62"/>
        <v>1988.875</v>
      </c>
      <c r="AM370" s="18">
        <f t="shared" si="63"/>
        <v>0.11999999999999744</v>
      </c>
    </row>
    <row r="371" spans="1:39">
      <c r="A371" s="18" t="str">
        <f>IF(Volcanic!A371="","",Volcanic!A371)</f>
        <v>12/1988</v>
      </c>
      <c r="B371" s="18">
        <f>IF(ISNUMBER(Volcanic!L371),Volcanic!L371,"")</f>
        <v>1988.9583333333333</v>
      </c>
      <c r="C371" s="21">
        <v>-1.92</v>
      </c>
      <c r="D371" s="18">
        <f t="shared" si="61"/>
        <v>-1.36</v>
      </c>
      <c r="E371" s="18">
        <f>IF(ISNUMBER(Volcanic!B371),Volcanic!B371,"")</f>
        <v>0.28999999999999559</v>
      </c>
      <c r="F371" s="18">
        <f>IF(ISNUMBER(Volcanic!C371),Volcanic!C371,"")</f>
        <v>0.32859030554145996</v>
      </c>
      <c r="G371" s="18">
        <f>IF(ISNUMBER(Volcanic!E371),Volcanic!E371,"")</f>
        <v>7.4900000000000001E-3</v>
      </c>
      <c r="H371" s="18">
        <f>IF(ISNUMBER(Volcanic!D371),Volcanic!D371,"")</f>
        <v>-1.27</v>
      </c>
      <c r="I371" s="18">
        <f t="shared" si="55"/>
        <v>0.32859030554145996</v>
      </c>
      <c r="J371" s="18">
        <f t="shared" si="56"/>
        <v>7.4900000000000001E-3</v>
      </c>
      <c r="K371" s="18">
        <f t="shared" si="57"/>
        <v>-1.36</v>
      </c>
      <c r="L371" s="18">
        <f t="shared" si="58"/>
        <v>0.32859030554145996</v>
      </c>
      <c r="M371" s="18">
        <f t="shared" si="59"/>
        <v>7.4900000000000001E-3</v>
      </c>
      <c r="N371" s="18">
        <f t="shared" si="60"/>
        <v>-1.3988508304766192</v>
      </c>
      <c r="AK371" s="18">
        <f>IF(AND(ISNUMBER(C371),ISNUMBER(ENSO!F371)),C371-ENSO!F371,"")</f>
        <v>-6.999999999999984E-2</v>
      </c>
      <c r="AL371" s="18">
        <f t="shared" si="62"/>
        <v>1988.9583333333333</v>
      </c>
      <c r="AM371" s="18">
        <f t="shared" si="63"/>
        <v>0.28999999999999559</v>
      </c>
    </row>
    <row r="372" spans="1:39">
      <c r="A372" s="18" t="str">
        <f>IF(Volcanic!A372="","",Volcanic!A372)</f>
        <v>1/1989</v>
      </c>
      <c r="B372" s="18">
        <f>IF(ISNUMBER(Volcanic!L372),Volcanic!L372,"")</f>
        <v>1989.0416666666667</v>
      </c>
      <c r="C372" s="21">
        <v>-1.7</v>
      </c>
      <c r="D372" s="18">
        <f t="shared" si="61"/>
        <v>-1.63</v>
      </c>
      <c r="E372" s="18">
        <f>IF(ISNUMBER(Volcanic!B372),Volcanic!B372,"")</f>
        <v>0.11999999999999744</v>
      </c>
      <c r="F372" s="18">
        <f>IF(ISNUMBER(Volcanic!C372),Volcanic!C372,"")</f>
        <v>0.33452741479971682</v>
      </c>
      <c r="G372" s="18">
        <f>IF(ISNUMBER(Volcanic!E372),Volcanic!E372,"")</f>
        <v>7.4200000000000004E-3</v>
      </c>
      <c r="H372" s="18">
        <f>IF(ISNUMBER(Volcanic!D372),Volcanic!D372,"")</f>
        <v>-1.54</v>
      </c>
      <c r="I372" s="18">
        <f t="shared" si="55"/>
        <v>0.33452741479971682</v>
      </c>
      <c r="J372" s="18">
        <f t="shared" si="56"/>
        <v>7.4200000000000004E-3</v>
      </c>
      <c r="K372" s="18">
        <f t="shared" si="57"/>
        <v>-1.63</v>
      </c>
      <c r="L372" s="18">
        <f t="shared" si="58"/>
        <v>0.33452741479971682</v>
      </c>
      <c r="M372" s="18">
        <f t="shared" si="59"/>
        <v>7.4200000000000004E-3</v>
      </c>
      <c r="N372" s="18">
        <f t="shared" si="60"/>
        <v>-1.6681608109860209</v>
      </c>
      <c r="AK372" s="18">
        <f>IF(AND(ISNUMBER(C372),ISNUMBER(ENSO!F372)),C372-ENSO!F372,"")</f>
        <v>-6.0000000000000053E-2</v>
      </c>
      <c r="AL372" s="18">
        <f t="shared" si="62"/>
        <v>1989.0416666666667</v>
      </c>
      <c r="AM372" s="18">
        <f t="shared" si="63"/>
        <v>0.11999999999999744</v>
      </c>
    </row>
    <row r="373" spans="1:39">
      <c r="A373" s="18" t="str">
        <f>IF(Volcanic!A373="","",Volcanic!A373)</f>
        <v>2/1989</v>
      </c>
      <c r="B373" s="18">
        <f>IF(ISNUMBER(Volcanic!L373),Volcanic!L373,"")</f>
        <v>1989.125</v>
      </c>
      <c r="C373" s="21">
        <v>-1.42</v>
      </c>
      <c r="D373" s="18">
        <f t="shared" si="61"/>
        <v>-1.94</v>
      </c>
      <c r="E373" s="18">
        <f>IF(ISNUMBER(Volcanic!B373),Volcanic!B373,"")</f>
        <v>0.30000000000000249</v>
      </c>
      <c r="F373" s="18">
        <f>IF(ISNUMBER(Volcanic!C373),Volcanic!C373,"")</f>
        <v>0.33599767738901826</v>
      </c>
      <c r="G373" s="18">
        <f>IF(ISNUMBER(Volcanic!E373),Volcanic!E373,"")</f>
        <v>7.3800000000000003E-3</v>
      </c>
      <c r="H373" s="18">
        <f>IF(ISNUMBER(Volcanic!D373),Volcanic!D373,"")</f>
        <v>-1.81</v>
      </c>
      <c r="I373" s="18">
        <f t="shared" si="55"/>
        <v>0.33599767738901826</v>
      </c>
      <c r="J373" s="18">
        <f t="shared" si="56"/>
        <v>7.3800000000000003E-3</v>
      </c>
      <c r="K373" s="18">
        <f t="shared" si="57"/>
        <v>-1.94</v>
      </c>
      <c r="L373" s="18">
        <f t="shared" si="58"/>
        <v>0.33599767738901826</v>
      </c>
      <c r="M373" s="18">
        <f t="shared" si="59"/>
        <v>7.3800000000000003E-3</v>
      </c>
      <c r="N373" s="18">
        <f t="shared" si="60"/>
        <v>-1.9774707914954193</v>
      </c>
      <c r="AK373" s="18">
        <f>IF(AND(ISNUMBER(C373),ISNUMBER(ENSO!F373)),C373-ENSO!F373,"")</f>
        <v>-4.0000000000000036E-2</v>
      </c>
      <c r="AL373" s="18">
        <f t="shared" si="62"/>
        <v>1989.125</v>
      </c>
      <c r="AM373" s="18">
        <f t="shared" si="63"/>
        <v>0.30000000000000249</v>
      </c>
    </row>
    <row r="374" spans="1:39">
      <c r="A374" s="18" t="str">
        <f>IF(Volcanic!A374="","",Volcanic!A374)</f>
        <v>3/1989</v>
      </c>
      <c r="B374" s="18">
        <f>IF(ISNUMBER(Volcanic!L374),Volcanic!L374,"")</f>
        <v>1989.2083333333333</v>
      </c>
      <c r="C374" s="21">
        <v>-1.1000000000000001</v>
      </c>
      <c r="D374" s="18">
        <f t="shared" si="61"/>
        <v>-1.92</v>
      </c>
      <c r="E374" s="18">
        <f>IF(ISNUMBER(Volcanic!B374),Volcanic!B374,"")</f>
        <v>0.36000000000000121</v>
      </c>
      <c r="F374" s="18">
        <f>IF(ISNUMBER(Volcanic!C374),Volcanic!C374,"")</f>
        <v>0.33864852908132032</v>
      </c>
      <c r="G374" s="18">
        <f>IF(ISNUMBER(Volcanic!E374),Volcanic!E374,"")</f>
        <v>7.62E-3</v>
      </c>
      <c r="H374" s="18">
        <f>IF(ISNUMBER(Volcanic!D374),Volcanic!D374,"")</f>
        <v>-1.85</v>
      </c>
      <c r="I374" s="18">
        <f t="shared" si="55"/>
        <v>0.33864852908132032</v>
      </c>
      <c r="J374" s="18">
        <f t="shared" si="56"/>
        <v>7.62E-3</v>
      </c>
      <c r="K374" s="18">
        <f t="shared" si="57"/>
        <v>-1.92</v>
      </c>
      <c r="L374" s="18">
        <f t="shared" si="58"/>
        <v>0.33864852908132032</v>
      </c>
      <c r="M374" s="18">
        <f t="shared" si="59"/>
        <v>7.62E-3</v>
      </c>
      <c r="N374" s="18">
        <f t="shared" si="60"/>
        <v>-1.9567807720048211</v>
      </c>
      <c r="AK374" s="18">
        <f>IF(AND(ISNUMBER(C374),ISNUMBER(ENSO!F374)),C374-ENSO!F374,"")</f>
        <v>-1.0000000000000009E-2</v>
      </c>
      <c r="AL374" s="18">
        <f t="shared" si="62"/>
        <v>1989.2083333333333</v>
      </c>
      <c r="AM374" s="18">
        <f t="shared" si="63"/>
        <v>0.36000000000000121</v>
      </c>
    </row>
    <row r="375" spans="1:39">
      <c r="A375" s="18" t="str">
        <f>IF(Volcanic!A375="","",Volcanic!A375)</f>
        <v>4/1989</v>
      </c>
      <c r="B375" s="18">
        <f>IF(ISNUMBER(Volcanic!L375),Volcanic!L375,"")</f>
        <v>1989.2916666666667</v>
      </c>
      <c r="C375" s="21">
        <v>-0.85</v>
      </c>
      <c r="D375" s="18">
        <f t="shared" si="61"/>
        <v>-1.7</v>
      </c>
      <c r="E375" s="18">
        <f>IF(ISNUMBER(Volcanic!B375),Volcanic!B375,"")</f>
        <v>0.28999999999999559</v>
      </c>
      <c r="F375" s="18">
        <f>IF(ISNUMBER(Volcanic!C375),Volcanic!C375,"")</f>
        <v>0.3453152635906736</v>
      </c>
      <c r="G375" s="18">
        <f>IF(ISNUMBER(Volcanic!E375),Volcanic!E375,"")</f>
        <v>7.7200000000000003E-3</v>
      </c>
      <c r="H375" s="18">
        <f>IF(ISNUMBER(Volcanic!D375),Volcanic!D375,"")</f>
        <v>-1.64</v>
      </c>
      <c r="I375" s="18">
        <f t="shared" si="55"/>
        <v>0.3453152635906736</v>
      </c>
      <c r="J375" s="18">
        <f t="shared" si="56"/>
        <v>7.7200000000000003E-3</v>
      </c>
      <c r="K375" s="18">
        <f t="shared" si="57"/>
        <v>-1.7</v>
      </c>
      <c r="L375" s="18">
        <f t="shared" si="58"/>
        <v>0.3453152635906736</v>
      </c>
      <c r="M375" s="18">
        <f t="shared" si="59"/>
        <v>7.7200000000000003E-3</v>
      </c>
      <c r="N375" s="18">
        <f t="shared" si="60"/>
        <v>-1.7360907525142231</v>
      </c>
      <c r="AK375" s="18">
        <f>IF(AND(ISNUMBER(C375),ISNUMBER(ENSO!F375)),C375-ENSO!F375,"")</f>
        <v>0</v>
      </c>
      <c r="AL375" s="18">
        <f t="shared" si="62"/>
        <v>1989.2916666666667</v>
      </c>
      <c r="AM375" s="18">
        <f t="shared" si="63"/>
        <v>0.28999999999999559</v>
      </c>
    </row>
    <row r="376" spans="1:39">
      <c r="A376" s="18" t="str">
        <f>IF(Volcanic!A376="","",Volcanic!A376)</f>
        <v>5/1989</v>
      </c>
      <c r="B376" s="18">
        <f>IF(ISNUMBER(Volcanic!L376),Volcanic!L376,"")</f>
        <v>1989.375</v>
      </c>
      <c r="C376" s="21">
        <v>-0.6</v>
      </c>
      <c r="D376" s="18">
        <f t="shared" si="61"/>
        <v>-1.42</v>
      </c>
      <c r="E376" s="18">
        <f>IF(ISNUMBER(Volcanic!B376),Volcanic!B376,"")</f>
        <v>0.17999999999999972</v>
      </c>
      <c r="F376" s="18">
        <f>IF(ISNUMBER(Volcanic!C376),Volcanic!C376,"")</f>
        <v>0.34624777408277535</v>
      </c>
      <c r="G376" s="18">
        <f>IF(ISNUMBER(Volcanic!E376),Volcanic!E376,"")</f>
        <v>7.4200000000000004E-3</v>
      </c>
      <c r="H376" s="18">
        <f>IF(ISNUMBER(Volcanic!D376),Volcanic!D376,"")</f>
        <v>-1.38</v>
      </c>
      <c r="I376" s="18">
        <f t="shared" si="55"/>
        <v>0.34624777408277535</v>
      </c>
      <c r="J376" s="18">
        <f t="shared" si="56"/>
        <v>7.4200000000000004E-3</v>
      </c>
      <c r="K376" s="18">
        <f t="shared" si="57"/>
        <v>-1.42</v>
      </c>
      <c r="L376" s="18">
        <f t="shared" si="58"/>
        <v>0.34624777408277535</v>
      </c>
      <c r="M376" s="18">
        <f t="shared" si="59"/>
        <v>7.4200000000000004E-3</v>
      </c>
      <c r="N376" s="18">
        <f t="shared" si="60"/>
        <v>-1.4554007330236249</v>
      </c>
      <c r="AK376" s="18">
        <f>IF(AND(ISNUMBER(C376),ISNUMBER(ENSO!F376)),C376-ENSO!F376,"")</f>
        <v>1.0000000000000009E-2</v>
      </c>
      <c r="AL376" s="18">
        <f t="shared" si="62"/>
        <v>1989.375</v>
      </c>
      <c r="AM376" s="18">
        <f t="shared" si="63"/>
        <v>0.17999999999999972</v>
      </c>
    </row>
    <row r="377" spans="1:39">
      <c r="A377" s="18" t="str">
        <f>IF(Volcanic!A377="","",Volcanic!A377)</f>
        <v>6/1989</v>
      </c>
      <c r="B377" s="18">
        <f>IF(ISNUMBER(Volcanic!L377),Volcanic!L377,"")</f>
        <v>1989.4583333333333</v>
      </c>
      <c r="C377" s="21">
        <v>-0.43</v>
      </c>
      <c r="D377" s="18">
        <f t="shared" si="61"/>
        <v>-1.1000000000000001</v>
      </c>
      <c r="E377" s="18">
        <f>IF(ISNUMBER(Volcanic!B377),Volcanic!B377,"")</f>
        <v>0.14999999999999858</v>
      </c>
      <c r="F377" s="18">
        <f>IF(ISNUMBER(Volcanic!C377),Volcanic!C377,"")</f>
        <v>0.3441792192903127</v>
      </c>
      <c r="G377" s="18">
        <f>IF(ISNUMBER(Volcanic!E377),Volcanic!E377,"")</f>
        <v>7.1900000000000002E-3</v>
      </c>
      <c r="H377" s="18">
        <f>IF(ISNUMBER(Volcanic!D377),Volcanic!D377,"")</f>
        <v>-1.0900000000000001</v>
      </c>
      <c r="I377" s="18">
        <f t="shared" si="55"/>
        <v>0.3441792192903127</v>
      </c>
      <c r="J377" s="18">
        <f t="shared" si="56"/>
        <v>7.1900000000000002E-3</v>
      </c>
      <c r="K377" s="18">
        <f t="shared" si="57"/>
        <v>-1.1000000000000001</v>
      </c>
      <c r="L377" s="18">
        <f t="shared" si="58"/>
        <v>0.3441792192903127</v>
      </c>
      <c r="M377" s="18">
        <f t="shared" si="59"/>
        <v>7.1900000000000002E-3</v>
      </c>
      <c r="N377" s="18">
        <f t="shared" si="60"/>
        <v>-1.134710713533027</v>
      </c>
      <c r="AK377" s="18">
        <f>IF(AND(ISNUMBER(C377),ISNUMBER(ENSO!F377)),C377-ENSO!F377,"")</f>
        <v>-2.9999999999999971E-2</v>
      </c>
      <c r="AL377" s="18">
        <f t="shared" si="62"/>
        <v>1989.4583333333333</v>
      </c>
      <c r="AM377" s="18">
        <f t="shared" si="63"/>
        <v>0.14999999999999858</v>
      </c>
    </row>
    <row r="378" spans="1:39">
      <c r="A378" s="18" t="str">
        <f>IF(Volcanic!A378="","",Volcanic!A378)</f>
        <v>7/1989</v>
      </c>
      <c r="B378" s="18">
        <f>IF(ISNUMBER(Volcanic!L378),Volcanic!L378,"")</f>
        <v>1989.5416666666667</v>
      </c>
      <c r="C378" s="21">
        <v>-0.35</v>
      </c>
      <c r="D378" s="18">
        <f t="shared" si="61"/>
        <v>-0.85</v>
      </c>
      <c r="E378" s="18">
        <f>IF(ISNUMBER(Volcanic!B378),Volcanic!B378,"")</f>
        <v>0.34999999999999787</v>
      </c>
      <c r="F378" s="18">
        <f>IF(ISNUMBER(Volcanic!C378),Volcanic!C378,"")</f>
        <v>0.33852628923481626</v>
      </c>
      <c r="G378" s="18">
        <f>IF(ISNUMBER(Volcanic!E378),Volcanic!E378,"")</f>
        <v>6.8199999999999997E-3</v>
      </c>
      <c r="H378" s="18">
        <f>IF(ISNUMBER(Volcanic!D378),Volcanic!D378,"")</f>
        <v>-0.85</v>
      </c>
      <c r="I378" s="18">
        <f t="shared" si="55"/>
        <v>0.33852628923481626</v>
      </c>
      <c r="J378" s="18">
        <f t="shared" si="56"/>
        <v>6.8199999999999997E-3</v>
      </c>
      <c r="K378" s="18">
        <f t="shared" si="57"/>
        <v>-0.85</v>
      </c>
      <c r="L378" s="18">
        <f t="shared" si="58"/>
        <v>0.33852628923481626</v>
      </c>
      <c r="M378" s="18">
        <f t="shared" si="59"/>
        <v>6.8199999999999997E-3</v>
      </c>
      <c r="N378" s="18">
        <f t="shared" si="60"/>
        <v>-0.88402069404242523</v>
      </c>
      <c r="AK378" s="18">
        <f>IF(AND(ISNUMBER(C378),ISNUMBER(ENSO!F378)),C378-ENSO!F378,"")</f>
        <v>2.0000000000000018E-2</v>
      </c>
      <c r="AL378" s="18">
        <f t="shared" si="62"/>
        <v>1989.5416666666667</v>
      </c>
      <c r="AM378" s="18">
        <f t="shared" si="63"/>
        <v>0.34999999999999787</v>
      </c>
    </row>
    <row r="379" spans="1:39">
      <c r="A379" s="18" t="str">
        <f>IF(Volcanic!A379="","",Volcanic!A379)</f>
        <v>8/1989</v>
      </c>
      <c r="B379" s="18">
        <f>IF(ISNUMBER(Volcanic!L379),Volcanic!L379,"")</f>
        <v>1989.625</v>
      </c>
      <c r="C379" s="21">
        <v>-0.3</v>
      </c>
      <c r="D379" s="18">
        <f t="shared" si="61"/>
        <v>-0.6</v>
      </c>
      <c r="E379" s="18">
        <f>IF(ISNUMBER(Volcanic!B379),Volcanic!B379,"")</f>
        <v>0.32999999999999652</v>
      </c>
      <c r="F379" s="18">
        <f>IF(ISNUMBER(Volcanic!C379),Volcanic!C379,"")</f>
        <v>0.32949268213527677</v>
      </c>
      <c r="G379" s="18">
        <f>IF(ISNUMBER(Volcanic!E379),Volcanic!E379,"")</f>
        <v>6.5199999999999998E-3</v>
      </c>
      <c r="H379" s="18">
        <f>IF(ISNUMBER(Volcanic!D379),Volcanic!D379,"")</f>
        <v>-0.61</v>
      </c>
      <c r="I379" s="18">
        <f t="shared" si="55"/>
        <v>0.32949268213527677</v>
      </c>
      <c r="J379" s="18">
        <f t="shared" si="56"/>
        <v>6.5199999999999998E-3</v>
      </c>
      <c r="K379" s="18">
        <f t="shared" si="57"/>
        <v>-0.6</v>
      </c>
      <c r="L379" s="18">
        <f t="shared" si="58"/>
        <v>0.32949268213527677</v>
      </c>
      <c r="M379" s="18">
        <f t="shared" si="59"/>
        <v>6.5199999999999998E-3</v>
      </c>
      <c r="N379" s="18">
        <f t="shared" si="60"/>
        <v>-0.63333067455182712</v>
      </c>
      <c r="AK379" s="18">
        <f>IF(AND(ISNUMBER(C379),ISNUMBER(ENSO!F379)),C379-ENSO!F379,"")</f>
        <v>0.06</v>
      </c>
      <c r="AL379" s="18">
        <f t="shared" si="62"/>
        <v>1989.625</v>
      </c>
      <c r="AM379" s="18">
        <f t="shared" si="63"/>
        <v>0.32999999999999652</v>
      </c>
    </row>
    <row r="380" spans="1:39">
      <c r="A380" s="18" t="str">
        <f>IF(Volcanic!A380="","",Volcanic!A380)</f>
        <v>9/1989</v>
      </c>
      <c r="B380" s="18">
        <f>IF(ISNUMBER(Volcanic!L380),Volcanic!L380,"")</f>
        <v>1989.7083333333333</v>
      </c>
      <c r="C380" s="21">
        <v>-0.24</v>
      </c>
      <c r="D380" s="18">
        <f t="shared" si="61"/>
        <v>-0.43</v>
      </c>
      <c r="E380" s="18">
        <f>IF(ISNUMBER(Volcanic!B380),Volcanic!B380,"")</f>
        <v>0.34999999999999787</v>
      </c>
      <c r="F380" s="18">
        <f>IF(ISNUMBER(Volcanic!C380),Volcanic!C380,"")</f>
        <v>0.32229902592307286</v>
      </c>
      <c r="G380" s="18">
        <f>IF(ISNUMBER(Volcanic!E380),Volcanic!E380,"")</f>
        <v>6.3600000000000002E-3</v>
      </c>
      <c r="H380" s="18">
        <f>IF(ISNUMBER(Volcanic!D380),Volcanic!D380,"")</f>
        <v>-0.4</v>
      </c>
      <c r="I380" s="18">
        <f t="shared" si="55"/>
        <v>0.32229902592307286</v>
      </c>
      <c r="J380" s="18">
        <f t="shared" si="56"/>
        <v>6.3600000000000002E-3</v>
      </c>
      <c r="K380" s="18">
        <f t="shared" si="57"/>
        <v>-0.43</v>
      </c>
      <c r="L380" s="18">
        <f t="shared" si="58"/>
        <v>0.32229902592307286</v>
      </c>
      <c r="M380" s="18">
        <f t="shared" si="59"/>
        <v>6.3600000000000002E-3</v>
      </c>
      <c r="N380" s="18">
        <f t="shared" si="60"/>
        <v>-0.46264065506122903</v>
      </c>
      <c r="AK380" s="18">
        <f>IF(AND(ISNUMBER(C380),ISNUMBER(ENSO!F380)),C380-ENSO!F380,"")</f>
        <v>9.0000000000000024E-2</v>
      </c>
      <c r="AL380" s="18">
        <f t="shared" si="62"/>
        <v>1989.7083333333333</v>
      </c>
      <c r="AM380" s="18">
        <f t="shared" si="63"/>
        <v>0.34999999999999787</v>
      </c>
    </row>
    <row r="381" spans="1:39">
      <c r="A381" s="18" t="str">
        <f>IF(Volcanic!A381="","",Volcanic!A381)</f>
        <v>10/1989</v>
      </c>
      <c r="B381" s="18">
        <f>IF(ISNUMBER(Volcanic!L381),Volcanic!L381,"")</f>
        <v>1989.7916666666667</v>
      </c>
      <c r="C381" s="21">
        <v>-0.22</v>
      </c>
      <c r="D381" s="18">
        <f t="shared" si="61"/>
        <v>-0.35</v>
      </c>
      <c r="E381" s="18">
        <f>IF(ISNUMBER(Volcanic!B381),Volcanic!B381,"")</f>
        <v>0.28999999999999559</v>
      </c>
      <c r="F381" s="18">
        <f>IF(ISNUMBER(Volcanic!C381),Volcanic!C381,"")</f>
        <v>0.32328770935119977</v>
      </c>
      <c r="G381" s="18">
        <f>IF(ISNUMBER(Volcanic!E381),Volcanic!E381,"")</f>
        <v>5.9699999999999996E-3</v>
      </c>
      <c r="H381" s="18">
        <f>IF(ISNUMBER(Volcanic!D381),Volcanic!D381,"")</f>
        <v>-0.37</v>
      </c>
      <c r="I381" s="18">
        <f t="shared" si="55"/>
        <v>0.32328770935119977</v>
      </c>
      <c r="J381" s="18">
        <f t="shared" si="56"/>
        <v>5.9699999999999996E-3</v>
      </c>
      <c r="K381" s="18">
        <f t="shared" si="57"/>
        <v>-0.35</v>
      </c>
      <c r="L381" s="18">
        <f t="shared" si="58"/>
        <v>0.32328770935119977</v>
      </c>
      <c r="M381" s="18">
        <f t="shared" si="59"/>
        <v>5.9699999999999996E-3</v>
      </c>
      <c r="N381" s="18">
        <f t="shared" si="60"/>
        <v>-0.38195063557062736</v>
      </c>
      <c r="AK381" s="18">
        <f>IF(AND(ISNUMBER(C381),ISNUMBER(ENSO!F381)),C381-ENSO!F381,"")</f>
        <v>0.03</v>
      </c>
      <c r="AL381" s="18">
        <f t="shared" si="62"/>
        <v>1989.7916666666667</v>
      </c>
      <c r="AM381" s="18">
        <f t="shared" si="63"/>
        <v>0.28999999999999559</v>
      </c>
    </row>
    <row r="382" spans="1:39">
      <c r="A382" s="18" t="str">
        <f>IF(Volcanic!A382="","",Volcanic!A382)</f>
        <v>11/1989</v>
      </c>
      <c r="B382" s="18">
        <f>IF(ISNUMBER(Volcanic!L382),Volcanic!L382,"")</f>
        <v>1989.875</v>
      </c>
      <c r="C382" s="21">
        <v>-0.15</v>
      </c>
      <c r="D382" s="18">
        <f t="shared" si="61"/>
        <v>-0.3</v>
      </c>
      <c r="E382" s="18">
        <f>IF(ISNUMBER(Volcanic!B382),Volcanic!B382,"")</f>
        <v>0.20000000000000107</v>
      </c>
      <c r="F382" s="18">
        <f>IF(ISNUMBER(Volcanic!C382),Volcanic!C382,"")</f>
        <v>0.32830306731117204</v>
      </c>
      <c r="G382" s="18">
        <f>IF(ISNUMBER(Volcanic!E382),Volcanic!E382,"")</f>
        <v>5.8799999999999998E-3</v>
      </c>
      <c r="H382" s="18">
        <f>IF(ISNUMBER(Volcanic!D382),Volcanic!D382,"")</f>
        <v>-0.36</v>
      </c>
      <c r="I382" s="18">
        <f t="shared" si="55"/>
        <v>0.32830306731117204</v>
      </c>
      <c r="J382" s="18">
        <f t="shared" si="56"/>
        <v>5.8799999999999998E-3</v>
      </c>
      <c r="K382" s="18">
        <f t="shared" si="57"/>
        <v>-0.3</v>
      </c>
      <c r="L382" s="18">
        <f t="shared" si="58"/>
        <v>0.32830306731117204</v>
      </c>
      <c r="M382" s="18">
        <f t="shared" si="59"/>
        <v>5.8799999999999998E-3</v>
      </c>
      <c r="N382" s="18">
        <f t="shared" si="60"/>
        <v>-0.33126061608002927</v>
      </c>
      <c r="AK382" s="18">
        <f>IF(AND(ISNUMBER(C382),ISNUMBER(ENSO!F382)),C382-ENSO!F382,"")</f>
        <v>-0.03</v>
      </c>
      <c r="AL382" s="18">
        <f t="shared" si="62"/>
        <v>1989.875</v>
      </c>
      <c r="AM382" s="18">
        <f t="shared" si="63"/>
        <v>0.20000000000000107</v>
      </c>
    </row>
    <row r="383" spans="1:39">
      <c r="A383" s="18" t="str">
        <f>IF(Volcanic!A383="","",Volcanic!A383)</f>
        <v>12/1989</v>
      </c>
      <c r="B383" s="18">
        <f>IF(ISNUMBER(Volcanic!L383),Volcanic!L383,"")</f>
        <v>1989.9583333333333</v>
      </c>
      <c r="C383" s="21">
        <v>0.03</v>
      </c>
      <c r="D383" s="18">
        <f t="shared" si="61"/>
        <v>-0.24</v>
      </c>
      <c r="E383" s="18">
        <f>IF(ISNUMBER(Volcanic!B383),Volcanic!B383,"")</f>
        <v>0.36999999999999744</v>
      </c>
      <c r="F383" s="18">
        <f>IF(ISNUMBER(Volcanic!C383),Volcanic!C383,"")</f>
        <v>0.33387348349714652</v>
      </c>
      <c r="G383" s="18">
        <f>IF(ISNUMBER(Volcanic!E383),Volcanic!E383,"")</f>
        <v>5.7999999999999996E-3</v>
      </c>
      <c r="H383" s="18">
        <f>IF(ISNUMBER(Volcanic!D383),Volcanic!D383,"")</f>
        <v>-0.33</v>
      </c>
      <c r="I383" s="18">
        <f t="shared" si="55"/>
        <v>0.33387348349714652</v>
      </c>
      <c r="J383" s="18">
        <f t="shared" si="56"/>
        <v>5.7999999999999996E-3</v>
      </c>
      <c r="K383" s="18">
        <f t="shared" si="57"/>
        <v>-0.24</v>
      </c>
      <c r="L383" s="18">
        <f t="shared" si="58"/>
        <v>0.33387348349714652</v>
      </c>
      <c r="M383" s="18">
        <f t="shared" si="59"/>
        <v>5.7999999999999996E-3</v>
      </c>
      <c r="N383" s="18">
        <f t="shared" si="60"/>
        <v>-0.27057059658943117</v>
      </c>
      <c r="AK383" s="18">
        <f>IF(AND(ISNUMBER(C383),ISNUMBER(ENSO!F383)),C383-ENSO!F383,"")</f>
        <v>7.0000000000000007E-2</v>
      </c>
      <c r="AL383" s="18">
        <f t="shared" si="62"/>
        <v>1989.9583333333333</v>
      </c>
      <c r="AM383" s="18">
        <f t="shared" si="63"/>
        <v>0.36999999999999744</v>
      </c>
    </row>
    <row r="384" spans="1:39">
      <c r="A384" s="18" t="str">
        <f>IF(Volcanic!A384="","",Volcanic!A384)</f>
        <v>1/1990</v>
      </c>
      <c r="B384" s="18">
        <f>IF(ISNUMBER(Volcanic!L384),Volcanic!L384,"")</f>
        <v>1990.0416666666667</v>
      </c>
      <c r="C384" s="21">
        <v>0.24</v>
      </c>
      <c r="D384" s="18">
        <f t="shared" si="61"/>
        <v>-0.22</v>
      </c>
      <c r="E384" s="18">
        <f>IF(ISNUMBER(Volcanic!B384),Volcanic!B384,"")</f>
        <v>0.42000000000000348</v>
      </c>
      <c r="F384" s="18">
        <f>IF(ISNUMBER(Volcanic!C384),Volcanic!C384,"")</f>
        <v>0.33775186292539572</v>
      </c>
      <c r="G384" s="18">
        <f>IF(ISNUMBER(Volcanic!E384),Volcanic!E384,"")</f>
        <v>5.7400000000000003E-3</v>
      </c>
      <c r="H384" s="18">
        <f>IF(ISNUMBER(Volcanic!D384),Volcanic!D384,"")</f>
        <v>-0.25</v>
      </c>
      <c r="I384" s="18">
        <f t="shared" si="55"/>
        <v>0.33775186292539572</v>
      </c>
      <c r="J384" s="18">
        <f t="shared" si="56"/>
        <v>5.7400000000000003E-3</v>
      </c>
      <c r="K384" s="18">
        <f t="shared" si="57"/>
        <v>-0.22</v>
      </c>
      <c r="L384" s="18">
        <f t="shared" si="58"/>
        <v>0.33775186292539572</v>
      </c>
      <c r="M384" s="18">
        <f t="shared" si="59"/>
        <v>5.7400000000000003E-3</v>
      </c>
      <c r="N384" s="18">
        <f t="shared" si="60"/>
        <v>-0.24988057709882952</v>
      </c>
      <c r="AK384" s="18">
        <f>IF(AND(ISNUMBER(C384),ISNUMBER(ENSO!F384)),C384-ENSO!F384,"")</f>
        <v>0.06</v>
      </c>
      <c r="AL384" s="18">
        <f t="shared" si="62"/>
        <v>1990.0416666666667</v>
      </c>
      <c r="AM384" s="18">
        <f t="shared" si="63"/>
        <v>0.42000000000000348</v>
      </c>
    </row>
    <row r="385" spans="1:39">
      <c r="A385" s="18" t="str">
        <f>IF(Volcanic!A385="","",Volcanic!A385)</f>
        <v>2/1990</v>
      </c>
      <c r="B385" s="18">
        <f>IF(ISNUMBER(Volcanic!L385),Volcanic!L385,"")</f>
        <v>1990.125</v>
      </c>
      <c r="C385" s="21">
        <v>0.28999999999999998</v>
      </c>
      <c r="D385" s="18">
        <f t="shared" si="61"/>
        <v>-0.15</v>
      </c>
      <c r="E385" s="18">
        <f>IF(ISNUMBER(Volcanic!B385),Volcanic!B385,"")</f>
        <v>0.44000000000000483</v>
      </c>
      <c r="F385" s="18">
        <f>IF(ISNUMBER(Volcanic!C385),Volcanic!C385,"")</f>
        <v>0.34279853318864284</v>
      </c>
      <c r="G385" s="18">
        <f>IF(ISNUMBER(Volcanic!E385),Volcanic!E385,"")</f>
        <v>5.64E-3</v>
      </c>
      <c r="H385" s="18">
        <f>IF(ISNUMBER(Volcanic!D385),Volcanic!D385,"")</f>
        <v>-0.12</v>
      </c>
      <c r="I385" s="18">
        <f t="shared" si="55"/>
        <v>0.34279853318864284</v>
      </c>
      <c r="J385" s="18">
        <f t="shared" si="56"/>
        <v>5.64E-3</v>
      </c>
      <c r="K385" s="18">
        <f t="shared" si="57"/>
        <v>-0.15</v>
      </c>
      <c r="L385" s="18">
        <f t="shared" si="58"/>
        <v>0.34279853318864284</v>
      </c>
      <c r="M385" s="18">
        <f t="shared" si="59"/>
        <v>5.64E-3</v>
      </c>
      <c r="N385" s="18">
        <f t="shared" si="60"/>
        <v>-0.17919055760823141</v>
      </c>
      <c r="AK385" s="18">
        <f>IF(AND(ISNUMBER(C385),ISNUMBER(ENSO!F385)),C385-ENSO!F385,"")</f>
        <v>9.9999999999999978E-2</v>
      </c>
      <c r="AL385" s="18">
        <f t="shared" si="62"/>
        <v>1990.125</v>
      </c>
      <c r="AM385" s="18">
        <f t="shared" si="63"/>
        <v>0.44000000000000483</v>
      </c>
    </row>
    <row r="386" spans="1:39">
      <c r="A386" s="18" t="str">
        <f>IF(Volcanic!A386="","",Volcanic!A386)</f>
        <v>3/1990</v>
      </c>
      <c r="B386" s="18">
        <f>IF(ISNUMBER(Volcanic!L386),Volcanic!L386,"")</f>
        <v>1990.2083333333333</v>
      </c>
      <c r="C386" s="21">
        <v>0.27</v>
      </c>
      <c r="D386" s="18">
        <f t="shared" si="61"/>
        <v>0.03</v>
      </c>
      <c r="E386" s="18">
        <f>IF(ISNUMBER(Volcanic!B386),Volcanic!B386,"")</f>
        <v>0.79999999999999893</v>
      </c>
      <c r="F386" s="18">
        <f>IF(ISNUMBER(Volcanic!C386),Volcanic!C386,"")</f>
        <v>0.34543692958151601</v>
      </c>
      <c r="G386" s="18">
        <f>IF(ISNUMBER(Volcanic!E386),Volcanic!E386,"")</f>
        <v>5.7000000000000002E-3</v>
      </c>
      <c r="H386" s="18">
        <f>IF(ISNUMBER(Volcanic!D386),Volcanic!D386,"")</f>
        <v>-0.04</v>
      </c>
      <c r="I386" s="18">
        <f t="shared" ref="I386:I449" si="64">F386</f>
        <v>0.34543692958151601</v>
      </c>
      <c r="J386" s="18">
        <f t="shared" ref="J386:J449" si="65">G386</f>
        <v>5.7000000000000002E-3</v>
      </c>
      <c r="K386" s="18">
        <f t="shared" ref="K386:K449" si="66">IF(ISNUMBER(D386),D386,"")</f>
        <v>0.03</v>
      </c>
      <c r="L386" s="18">
        <f t="shared" ref="L386:L449" si="67">F386</f>
        <v>0.34543692958151601</v>
      </c>
      <c r="M386" s="18">
        <f t="shared" ref="M386:M449" si="68">G386</f>
        <v>5.7000000000000002E-3</v>
      </c>
      <c r="N386" s="18">
        <f t="shared" ref="N386:N449" si="69">IF(ISNUMBER(D386),D386-($AB$8*B386+$AB$9),"")</f>
        <v>1.4994618823666872E-3</v>
      </c>
      <c r="AK386" s="18">
        <f>IF(AND(ISNUMBER(C386),ISNUMBER(ENSO!F386)),C386-ENSO!F386,"")</f>
        <v>-2.9999999999999971E-2</v>
      </c>
      <c r="AL386" s="18">
        <f t="shared" si="62"/>
        <v>1990.2083333333333</v>
      </c>
      <c r="AM386" s="18">
        <f t="shared" si="63"/>
        <v>0.79999999999999893</v>
      </c>
    </row>
    <row r="387" spans="1:39">
      <c r="A387" s="18" t="str">
        <f>IF(Volcanic!A387="","",Volcanic!A387)</f>
        <v>4/1990</v>
      </c>
      <c r="B387" s="18">
        <f>IF(ISNUMBER(Volcanic!L387),Volcanic!L387,"")</f>
        <v>1990.2916666666667</v>
      </c>
      <c r="C387" s="21">
        <v>0.25</v>
      </c>
      <c r="D387" s="18">
        <f t="shared" si="61"/>
        <v>0.24</v>
      </c>
      <c r="E387" s="18">
        <f>IF(ISNUMBER(Volcanic!B387),Volcanic!B387,"")</f>
        <v>0.55999999999999872</v>
      </c>
      <c r="F387" s="18">
        <f>IF(ISNUMBER(Volcanic!C387),Volcanic!C387,"")</f>
        <v>0.34798954810025179</v>
      </c>
      <c r="G387" s="18">
        <f>IF(ISNUMBER(Volcanic!E387),Volcanic!E387,"")</f>
        <v>5.79E-3</v>
      </c>
      <c r="H387" s="18">
        <f>IF(ISNUMBER(Volcanic!D387),Volcanic!D387,"")</f>
        <v>0.18</v>
      </c>
      <c r="I387" s="18">
        <f t="shared" si="64"/>
        <v>0.34798954810025179</v>
      </c>
      <c r="J387" s="18">
        <f t="shared" si="65"/>
        <v>5.79E-3</v>
      </c>
      <c r="K387" s="18">
        <f t="shared" si="66"/>
        <v>0.24</v>
      </c>
      <c r="L387" s="18">
        <f t="shared" si="67"/>
        <v>0.34798954810025179</v>
      </c>
      <c r="M387" s="18">
        <f t="shared" si="68"/>
        <v>5.79E-3</v>
      </c>
      <c r="N387" s="18">
        <f t="shared" si="69"/>
        <v>0.21218948137296478</v>
      </c>
      <c r="AK387" s="18">
        <f>IF(AND(ISNUMBER(C387),ISNUMBER(ENSO!F387)),C387-ENSO!F387,"")</f>
        <v>-2.0000000000000018E-2</v>
      </c>
      <c r="AL387" s="18">
        <f t="shared" si="62"/>
        <v>1990.2916666666667</v>
      </c>
      <c r="AM387" s="18">
        <f t="shared" si="63"/>
        <v>0.55999999999999872</v>
      </c>
    </row>
    <row r="388" spans="1:39">
      <c r="A388" s="18" t="str">
        <f>IF(Volcanic!A388="","",Volcanic!A388)</f>
        <v>5/1990</v>
      </c>
      <c r="B388" s="18">
        <f>IF(ISNUMBER(Volcanic!L388),Volcanic!L388,"")</f>
        <v>1990.375</v>
      </c>
      <c r="C388" s="21">
        <v>0.21</v>
      </c>
      <c r="D388" s="18">
        <f t="shared" si="61"/>
        <v>0.28999999999999998</v>
      </c>
      <c r="E388" s="18">
        <f>IF(ISNUMBER(Volcanic!B388),Volcanic!B388,"")</f>
        <v>0.46000000000000441</v>
      </c>
      <c r="F388" s="18">
        <f>IF(ISNUMBER(Volcanic!C388),Volcanic!C388,"")</f>
        <v>0.35203207215550791</v>
      </c>
      <c r="G388" s="18">
        <f>IF(ISNUMBER(Volcanic!E388),Volcanic!E388,"")</f>
        <v>5.6899999999999997E-3</v>
      </c>
      <c r="H388" s="18">
        <f>IF(ISNUMBER(Volcanic!D388),Volcanic!D388,"")</f>
        <v>0.19</v>
      </c>
      <c r="I388" s="18">
        <f t="shared" si="64"/>
        <v>0.35203207215550791</v>
      </c>
      <c r="J388" s="18">
        <f t="shared" si="65"/>
        <v>5.6899999999999997E-3</v>
      </c>
      <c r="K388" s="18">
        <f t="shared" si="66"/>
        <v>0.28999999999999998</v>
      </c>
      <c r="L388" s="18">
        <f t="shared" si="67"/>
        <v>0.35203207215550791</v>
      </c>
      <c r="M388" s="18">
        <f t="shared" si="68"/>
        <v>5.6899999999999997E-3</v>
      </c>
      <c r="N388" s="18">
        <f t="shared" si="69"/>
        <v>0.26287950086356288</v>
      </c>
      <c r="AK388" s="18">
        <f>IF(AND(ISNUMBER(C388),ISNUMBER(ENSO!F388)),C388-ENSO!F388,"")</f>
        <v>-4.0000000000000008E-2</v>
      </c>
      <c r="AL388" s="18">
        <f t="shared" si="62"/>
        <v>1990.375</v>
      </c>
      <c r="AM388" s="18">
        <f t="shared" si="63"/>
        <v>0.46000000000000441</v>
      </c>
    </row>
    <row r="389" spans="1:39">
      <c r="A389" s="18" t="str">
        <f>IF(Volcanic!A389="","",Volcanic!A389)</f>
        <v>6/1990</v>
      </c>
      <c r="B389" s="18">
        <f>IF(ISNUMBER(Volcanic!L389),Volcanic!L389,"")</f>
        <v>1990.4583333333333</v>
      </c>
      <c r="C389" s="21">
        <v>0.22</v>
      </c>
      <c r="D389" s="18">
        <f t="shared" ref="D389:D452" si="70">IF(C386="","",C386)</f>
        <v>0.27</v>
      </c>
      <c r="E389" s="18">
        <f>IF(ISNUMBER(Volcanic!B389),Volcanic!B389,"")</f>
        <v>0.36999999999999744</v>
      </c>
      <c r="F389" s="18">
        <f>IF(ISNUMBER(Volcanic!C389),Volcanic!C389,"")</f>
        <v>0.34803002946285083</v>
      </c>
      <c r="G389" s="18">
        <f>IF(ISNUMBER(Volcanic!E389),Volcanic!E389,"")</f>
        <v>5.4999999999999997E-3</v>
      </c>
      <c r="H389" s="18">
        <f>IF(ISNUMBER(Volcanic!D389),Volcanic!D389,"")</f>
        <v>0.3</v>
      </c>
      <c r="I389" s="18">
        <f t="shared" si="64"/>
        <v>0.34803002946285083</v>
      </c>
      <c r="J389" s="18">
        <f t="shared" si="65"/>
        <v>5.4999999999999997E-3</v>
      </c>
      <c r="K389" s="18">
        <f t="shared" si="66"/>
        <v>0.27</v>
      </c>
      <c r="L389" s="18">
        <f t="shared" si="67"/>
        <v>0.34803002946285083</v>
      </c>
      <c r="M389" s="18">
        <f t="shared" si="68"/>
        <v>5.4999999999999997E-3</v>
      </c>
      <c r="N389" s="18">
        <f t="shared" si="69"/>
        <v>0.24356952035416457</v>
      </c>
      <c r="AK389" s="18">
        <f>IF(AND(ISNUMBER(C389),ISNUMBER(ENSO!F389)),C389-ENSO!F389,"")</f>
        <v>-0.03</v>
      </c>
      <c r="AL389" s="18">
        <f t="shared" si="62"/>
        <v>1990.4583333333333</v>
      </c>
      <c r="AM389" s="18">
        <f t="shared" si="63"/>
        <v>0.36999999999999744</v>
      </c>
    </row>
    <row r="390" spans="1:39">
      <c r="A390" s="18" t="str">
        <f>IF(Volcanic!A390="","",Volcanic!A390)</f>
        <v>7/1990</v>
      </c>
      <c r="B390" s="18">
        <f>IF(ISNUMBER(Volcanic!L390),Volcanic!L390,"")</f>
        <v>1990.5416666666667</v>
      </c>
      <c r="C390" s="21">
        <v>0.27</v>
      </c>
      <c r="D390" s="18">
        <f t="shared" si="70"/>
        <v>0.25</v>
      </c>
      <c r="E390" s="18">
        <f>IF(ISNUMBER(Volcanic!B390),Volcanic!B390,"")</f>
        <v>0.46000000000000441</v>
      </c>
      <c r="F390" s="18">
        <f>IF(ISNUMBER(Volcanic!C390),Volcanic!C390,"")</f>
        <v>0.34194509590805666</v>
      </c>
      <c r="G390" s="18">
        <f>IF(ISNUMBER(Volcanic!E390),Volcanic!E390,"")</f>
        <v>5.3899999999999998E-3</v>
      </c>
      <c r="H390" s="18">
        <f>IF(ISNUMBER(Volcanic!D390),Volcanic!D390,"")</f>
        <v>0.27</v>
      </c>
      <c r="I390" s="18">
        <f t="shared" si="64"/>
        <v>0.34194509590805666</v>
      </c>
      <c r="J390" s="18">
        <f t="shared" si="65"/>
        <v>5.3899999999999998E-3</v>
      </c>
      <c r="K390" s="18">
        <f t="shared" si="66"/>
        <v>0.25</v>
      </c>
      <c r="L390" s="18">
        <f t="shared" si="67"/>
        <v>0.34194509590805666</v>
      </c>
      <c r="M390" s="18">
        <f t="shared" si="68"/>
        <v>5.3899999999999998E-3</v>
      </c>
      <c r="N390" s="18">
        <f t="shared" si="69"/>
        <v>0.22425953984476266</v>
      </c>
      <c r="AK390" s="18">
        <f>IF(AND(ISNUMBER(C390),ISNUMBER(ENSO!F390)),C390-ENSO!F390,"")</f>
        <v>1.0000000000000009E-2</v>
      </c>
      <c r="AL390" s="18">
        <f t="shared" si="62"/>
        <v>1990.5416666666667</v>
      </c>
      <c r="AM390" s="18">
        <f t="shared" si="63"/>
        <v>0.46000000000000441</v>
      </c>
    </row>
    <row r="391" spans="1:39">
      <c r="A391" s="18" t="str">
        <f>IF(Volcanic!A391="","",Volcanic!A391)</f>
        <v>8/1990</v>
      </c>
      <c r="B391" s="18">
        <f>IF(ISNUMBER(Volcanic!L391),Volcanic!L391,"")</f>
        <v>1990.625</v>
      </c>
      <c r="C391" s="21">
        <v>0.37</v>
      </c>
      <c r="D391" s="18">
        <f t="shared" si="70"/>
        <v>0.21</v>
      </c>
      <c r="E391" s="18">
        <f>IF(ISNUMBER(Volcanic!B391),Volcanic!B391,"")</f>
        <v>0.33999999999999986</v>
      </c>
      <c r="F391" s="18">
        <f>IF(ISNUMBER(Volcanic!C391),Volcanic!C391,"")</f>
        <v>0.3344865527759821</v>
      </c>
      <c r="G391" s="18">
        <f>IF(ISNUMBER(Volcanic!E391),Volcanic!E391,"")</f>
        <v>5.2399999999999999E-3</v>
      </c>
      <c r="H391" s="18">
        <f>IF(ISNUMBER(Volcanic!D391),Volcanic!D391,"")</f>
        <v>0.25</v>
      </c>
      <c r="I391" s="18">
        <f t="shared" si="64"/>
        <v>0.3344865527759821</v>
      </c>
      <c r="J391" s="18">
        <f t="shared" si="65"/>
        <v>5.2399999999999999E-3</v>
      </c>
      <c r="K391" s="18">
        <f t="shared" si="66"/>
        <v>0.21</v>
      </c>
      <c r="L391" s="18">
        <f t="shared" si="67"/>
        <v>0.3344865527759821</v>
      </c>
      <c r="M391" s="18">
        <f t="shared" si="68"/>
        <v>5.2399999999999999E-3</v>
      </c>
      <c r="N391" s="18">
        <f t="shared" si="69"/>
        <v>0.18494955933536075</v>
      </c>
      <c r="AK391" s="18">
        <f>IF(AND(ISNUMBER(C391),ISNUMBER(ENSO!F391)),C391-ENSO!F391,"")</f>
        <v>4.9999999999999989E-2</v>
      </c>
      <c r="AL391" s="18">
        <f t="shared" si="62"/>
        <v>1990.625</v>
      </c>
      <c r="AM391" s="18">
        <f t="shared" si="63"/>
        <v>0.33999999999999986</v>
      </c>
    </row>
    <row r="392" spans="1:39">
      <c r="A392" s="18" t="str">
        <f>IF(Volcanic!A392="","",Volcanic!A392)</f>
        <v>9/1990</v>
      </c>
      <c r="B392" s="18">
        <f>IF(ISNUMBER(Volcanic!L392),Volcanic!L392,"")</f>
        <v>1990.7083333333333</v>
      </c>
      <c r="C392" s="21">
        <v>0.4</v>
      </c>
      <c r="D392" s="18">
        <f t="shared" si="70"/>
        <v>0.22</v>
      </c>
      <c r="E392" s="18">
        <f>IF(ISNUMBER(Volcanic!B392),Volcanic!B392,"")</f>
        <v>0.2300000000000022</v>
      </c>
      <c r="F392" s="18">
        <f>IF(ISNUMBER(Volcanic!C392),Volcanic!C392,"")</f>
        <v>0.32760525056773293</v>
      </c>
      <c r="G392" s="18">
        <f>IF(ISNUMBER(Volcanic!E392),Volcanic!E392,"")</f>
        <v>5.2900000000000004E-3</v>
      </c>
      <c r="H392" s="18">
        <f>IF(ISNUMBER(Volcanic!D392),Volcanic!D392,"")</f>
        <v>0.25</v>
      </c>
      <c r="I392" s="18">
        <f t="shared" si="64"/>
        <v>0.32760525056773293</v>
      </c>
      <c r="J392" s="18">
        <f t="shared" si="65"/>
        <v>5.2900000000000004E-3</v>
      </c>
      <c r="K392" s="18">
        <f t="shared" si="66"/>
        <v>0.22</v>
      </c>
      <c r="L392" s="18">
        <f t="shared" si="67"/>
        <v>0.32760525056773293</v>
      </c>
      <c r="M392" s="18">
        <f t="shared" si="68"/>
        <v>5.2900000000000004E-3</v>
      </c>
      <c r="N392" s="18">
        <f t="shared" si="69"/>
        <v>0.19563957882595887</v>
      </c>
      <c r="AK392" s="18">
        <f>IF(AND(ISNUMBER(C392),ISNUMBER(ENSO!F392)),C392-ENSO!F392,"")</f>
        <v>9.0000000000000024E-2</v>
      </c>
      <c r="AL392" s="18">
        <f t="shared" si="62"/>
        <v>1990.7083333333333</v>
      </c>
      <c r="AM392" s="18">
        <f t="shared" si="63"/>
        <v>0.2300000000000022</v>
      </c>
    </row>
    <row r="393" spans="1:39">
      <c r="A393" s="18" t="str">
        <f>IF(Volcanic!A393="","",Volcanic!A393)</f>
        <v>10/1990</v>
      </c>
      <c r="B393" s="18">
        <f>IF(ISNUMBER(Volcanic!L393),Volcanic!L393,"")</f>
        <v>1990.7916666666667</v>
      </c>
      <c r="C393" s="21">
        <v>0.35</v>
      </c>
      <c r="D393" s="18">
        <f t="shared" si="70"/>
        <v>0.27</v>
      </c>
      <c r="E393" s="18">
        <f>IF(ISNUMBER(Volcanic!B393),Volcanic!B393,"")</f>
        <v>0.44999999999999751</v>
      </c>
      <c r="F393" s="18">
        <f>IF(ISNUMBER(Volcanic!C393),Volcanic!C393,"")</f>
        <v>0.32887748659446853</v>
      </c>
      <c r="G393" s="18">
        <f>IF(ISNUMBER(Volcanic!E393),Volcanic!E393,"")</f>
        <v>5.7999999999999996E-3</v>
      </c>
      <c r="H393" s="18">
        <f>IF(ISNUMBER(Volcanic!D393),Volcanic!D393,"")</f>
        <v>0.26</v>
      </c>
      <c r="I393" s="18">
        <f t="shared" si="64"/>
        <v>0.32887748659446853</v>
      </c>
      <c r="J393" s="18">
        <f t="shared" si="65"/>
        <v>5.7999999999999996E-3</v>
      </c>
      <c r="K393" s="18">
        <f t="shared" si="66"/>
        <v>0.27</v>
      </c>
      <c r="L393" s="18">
        <f t="shared" si="67"/>
        <v>0.32887748659446853</v>
      </c>
      <c r="M393" s="18">
        <f t="shared" si="68"/>
        <v>5.7999999999999996E-3</v>
      </c>
      <c r="N393" s="18">
        <f t="shared" si="69"/>
        <v>0.24632959831656054</v>
      </c>
      <c r="AK393" s="18">
        <f>IF(AND(ISNUMBER(C393),ISNUMBER(ENSO!F393)),C393-ENSO!F393,"")</f>
        <v>7.999999999999996E-2</v>
      </c>
      <c r="AL393" s="18">
        <f t="shared" ref="AL393:AL456" si="71">B393</f>
        <v>1990.7916666666667</v>
      </c>
      <c r="AM393" s="18">
        <f t="shared" ref="AM393:AM456" si="72">E393</f>
        <v>0.44999999999999751</v>
      </c>
    </row>
    <row r="394" spans="1:39">
      <c r="A394" s="18" t="str">
        <f>IF(Volcanic!A394="","",Volcanic!A394)</f>
        <v>11/1990</v>
      </c>
      <c r="B394" s="18">
        <f>IF(ISNUMBER(Volcanic!L394),Volcanic!L394,"")</f>
        <v>1990.875</v>
      </c>
      <c r="C394" s="21">
        <v>0.39</v>
      </c>
      <c r="D394" s="18">
        <f t="shared" si="70"/>
        <v>0.37</v>
      </c>
      <c r="E394" s="18">
        <f>IF(ISNUMBER(Volcanic!B394),Volcanic!B394,"")</f>
        <v>0.46000000000000441</v>
      </c>
      <c r="F394" s="18">
        <f>IF(ISNUMBER(Volcanic!C394),Volcanic!C394,"")</f>
        <v>0.33481341656461083</v>
      </c>
      <c r="G394" s="18">
        <f>IF(ISNUMBER(Volcanic!E394),Volcanic!E394,"")</f>
        <v>5.9899999999999997E-3</v>
      </c>
      <c r="H394" s="18">
        <f>IF(ISNUMBER(Volcanic!D394),Volcanic!D394,"")</f>
        <v>0.32</v>
      </c>
      <c r="I394" s="18">
        <f t="shared" si="64"/>
        <v>0.33481341656461083</v>
      </c>
      <c r="J394" s="18">
        <f t="shared" si="65"/>
        <v>5.9899999999999997E-3</v>
      </c>
      <c r="K394" s="18">
        <f t="shared" si="66"/>
        <v>0.37</v>
      </c>
      <c r="L394" s="18">
        <f t="shared" si="67"/>
        <v>0.33481341656461083</v>
      </c>
      <c r="M394" s="18">
        <f t="shared" si="68"/>
        <v>5.9899999999999997E-3</v>
      </c>
      <c r="N394" s="18">
        <f t="shared" si="69"/>
        <v>0.34701961780715862</v>
      </c>
      <c r="AK394" s="18">
        <f>IF(AND(ISNUMBER(C394),ISNUMBER(ENSO!F394)),C394-ENSO!F394,"")</f>
        <v>8.0000000000000016E-2</v>
      </c>
      <c r="AL394" s="18">
        <f t="shared" si="71"/>
        <v>1990.875</v>
      </c>
      <c r="AM394" s="18">
        <f t="shared" si="72"/>
        <v>0.46000000000000441</v>
      </c>
    </row>
    <row r="395" spans="1:39">
      <c r="A395" s="18" t="str">
        <f>IF(Volcanic!A395="","",Volcanic!A395)</f>
        <v>12/1990</v>
      </c>
      <c r="B395" s="18">
        <f>IF(ISNUMBER(Volcanic!L395),Volcanic!L395,"")</f>
        <v>1990.9583333333333</v>
      </c>
      <c r="C395" s="21">
        <v>0.5</v>
      </c>
      <c r="D395" s="18">
        <f t="shared" si="70"/>
        <v>0.4</v>
      </c>
      <c r="E395" s="18">
        <f>IF(ISNUMBER(Volcanic!B395),Volcanic!B395,"")</f>
        <v>0.40000000000000213</v>
      </c>
      <c r="F395" s="18">
        <f>IF(ISNUMBER(Volcanic!C395),Volcanic!C395,"")</f>
        <v>0.33999248424772416</v>
      </c>
      <c r="G395" s="18">
        <f>IF(ISNUMBER(Volcanic!E395),Volcanic!E395,"")</f>
        <v>6.1999999999999998E-3</v>
      </c>
      <c r="H395" s="18">
        <f>IF(ISNUMBER(Volcanic!D395),Volcanic!D395,"")</f>
        <v>0.31</v>
      </c>
      <c r="I395" s="18">
        <f t="shared" si="64"/>
        <v>0.33999248424772416</v>
      </c>
      <c r="J395" s="18">
        <f t="shared" si="65"/>
        <v>6.1999999999999998E-3</v>
      </c>
      <c r="K395" s="18">
        <f t="shared" si="66"/>
        <v>0.4</v>
      </c>
      <c r="L395" s="18">
        <f t="shared" si="67"/>
        <v>0.33999248424772416</v>
      </c>
      <c r="M395" s="18">
        <f t="shared" si="68"/>
        <v>6.1999999999999998E-3</v>
      </c>
      <c r="N395" s="18">
        <f t="shared" si="69"/>
        <v>0.37770963729775675</v>
      </c>
      <c r="AK395" s="18">
        <f>IF(AND(ISNUMBER(C395),ISNUMBER(ENSO!F395)),C395-ENSO!F395,"")</f>
        <v>0.15999999999999998</v>
      </c>
      <c r="AL395" s="18">
        <f t="shared" si="71"/>
        <v>1990.9583333333333</v>
      </c>
      <c r="AM395" s="18">
        <f t="shared" si="72"/>
        <v>0.40000000000000213</v>
      </c>
    </row>
    <row r="396" spans="1:39">
      <c r="A396" s="18" t="str">
        <f>IF(Volcanic!A396="","",Volcanic!A396)</f>
        <v>1/1991</v>
      </c>
      <c r="B396" s="18">
        <f>IF(ISNUMBER(Volcanic!L396),Volcanic!L396,"")</f>
        <v>1991.0416666666667</v>
      </c>
      <c r="C396" s="21">
        <v>0.6</v>
      </c>
      <c r="D396" s="18">
        <f t="shared" si="70"/>
        <v>0.35</v>
      </c>
      <c r="E396" s="18">
        <f>IF(ISNUMBER(Volcanic!B396),Volcanic!B396,"")</f>
        <v>0.42999999999999972</v>
      </c>
      <c r="F396" s="18">
        <f>IF(ISNUMBER(Volcanic!C396),Volcanic!C396,"")</f>
        <v>0.3421076943180667</v>
      </c>
      <c r="G396" s="18">
        <f>IF(ISNUMBER(Volcanic!E396),Volcanic!E396,"")</f>
        <v>6.2599999999999999E-3</v>
      </c>
      <c r="H396" s="18">
        <f>IF(ISNUMBER(Volcanic!D396),Volcanic!D396,"")</f>
        <v>0.27</v>
      </c>
      <c r="I396" s="18">
        <f t="shared" si="64"/>
        <v>0.3421076943180667</v>
      </c>
      <c r="J396" s="18">
        <f t="shared" si="65"/>
        <v>6.2599999999999999E-3</v>
      </c>
      <c r="K396" s="18">
        <f t="shared" si="66"/>
        <v>0.35</v>
      </c>
      <c r="L396" s="18">
        <f t="shared" si="67"/>
        <v>0.3421076943180667</v>
      </c>
      <c r="M396" s="18">
        <f t="shared" si="68"/>
        <v>6.2599999999999999E-3</v>
      </c>
      <c r="N396" s="18">
        <f t="shared" si="69"/>
        <v>0.32839965678835836</v>
      </c>
      <c r="AK396" s="18">
        <f>IF(AND(ISNUMBER(C396),ISNUMBER(ENSO!F396)),C396-ENSO!F396,"")</f>
        <v>0.25</v>
      </c>
      <c r="AL396" s="18">
        <f t="shared" si="71"/>
        <v>1991.0416666666667</v>
      </c>
      <c r="AM396" s="18">
        <f t="shared" si="72"/>
        <v>0.42999999999999972</v>
      </c>
    </row>
    <row r="397" spans="1:39">
      <c r="A397" s="18" t="str">
        <f>IF(Volcanic!A397="","",Volcanic!A397)</f>
        <v>2/1991</v>
      </c>
      <c r="B397" s="18">
        <f>IF(ISNUMBER(Volcanic!L397),Volcanic!L397,"")</f>
        <v>1991.125</v>
      </c>
      <c r="C397" s="21">
        <v>0.5</v>
      </c>
      <c r="D397" s="18">
        <f t="shared" si="70"/>
        <v>0.39</v>
      </c>
      <c r="E397" s="18">
        <f>IF(ISNUMBER(Volcanic!B397),Volcanic!B397,"")</f>
        <v>0.5</v>
      </c>
      <c r="F397" s="18">
        <f>IF(ISNUMBER(Volcanic!C397),Volcanic!C397,"")</f>
        <v>0.34572077699832093</v>
      </c>
      <c r="G397" s="18">
        <f>IF(ISNUMBER(Volcanic!E397),Volcanic!E397,"")</f>
        <v>6.3E-3</v>
      </c>
      <c r="H397" s="18">
        <f>IF(ISNUMBER(Volcanic!D397),Volcanic!D397,"")</f>
        <v>0.31</v>
      </c>
      <c r="I397" s="18">
        <f t="shared" si="64"/>
        <v>0.34572077699832093</v>
      </c>
      <c r="J397" s="18">
        <f t="shared" si="65"/>
        <v>6.3E-3</v>
      </c>
      <c r="K397" s="18">
        <f t="shared" si="66"/>
        <v>0.39</v>
      </c>
      <c r="L397" s="18">
        <f t="shared" si="67"/>
        <v>0.34572077699832093</v>
      </c>
      <c r="M397" s="18">
        <f t="shared" si="68"/>
        <v>6.3E-3</v>
      </c>
      <c r="N397" s="18">
        <f t="shared" si="69"/>
        <v>0.3690896762789565</v>
      </c>
      <c r="AK397" s="18">
        <f>IF(AND(ISNUMBER(C397),ISNUMBER(ENSO!F397)),C397-ENSO!F397,"")</f>
        <v>0.24</v>
      </c>
      <c r="AL397" s="18">
        <f t="shared" si="71"/>
        <v>1991.125</v>
      </c>
      <c r="AM397" s="18">
        <f t="shared" si="72"/>
        <v>0.5</v>
      </c>
    </row>
    <row r="398" spans="1:39">
      <c r="A398" s="18" t="str">
        <f>IF(Volcanic!A398="","",Volcanic!A398)</f>
        <v>3/1991</v>
      </c>
      <c r="B398" s="18">
        <f>IF(ISNUMBER(Volcanic!L398),Volcanic!L398,"")</f>
        <v>1991.2083333333333</v>
      </c>
      <c r="C398" s="21">
        <v>0.4</v>
      </c>
      <c r="D398" s="18">
        <f t="shared" si="70"/>
        <v>0.5</v>
      </c>
      <c r="E398" s="18">
        <f>IF(ISNUMBER(Volcanic!B398),Volcanic!B398,"")</f>
        <v>0.36000000000000121</v>
      </c>
      <c r="F398" s="18">
        <f>IF(ISNUMBER(Volcanic!C398),Volcanic!C398,"")</f>
        <v>0.35183021475275128</v>
      </c>
      <c r="G398" s="18">
        <f>IF(ISNUMBER(Volcanic!E398),Volcanic!E398,"")</f>
        <v>6.5799999999999999E-3</v>
      </c>
      <c r="H398" s="18">
        <f>IF(ISNUMBER(Volcanic!D398),Volcanic!D398,"")</f>
        <v>0.34</v>
      </c>
      <c r="I398" s="18">
        <f t="shared" si="64"/>
        <v>0.35183021475275128</v>
      </c>
      <c r="J398" s="18">
        <f t="shared" si="65"/>
        <v>6.5799999999999999E-3</v>
      </c>
      <c r="K398" s="18">
        <f t="shared" si="66"/>
        <v>0.5</v>
      </c>
      <c r="L398" s="18">
        <f t="shared" si="67"/>
        <v>0.35183021475275128</v>
      </c>
      <c r="M398" s="18">
        <f t="shared" si="68"/>
        <v>6.5799999999999999E-3</v>
      </c>
      <c r="N398" s="18">
        <f t="shared" si="69"/>
        <v>0.47977969576955459</v>
      </c>
      <c r="AK398" s="18">
        <f>IF(AND(ISNUMBER(C398),ISNUMBER(ENSO!F398)),C398-ENSO!F398,"")</f>
        <v>0.17</v>
      </c>
      <c r="AL398" s="18">
        <f t="shared" si="71"/>
        <v>1991.2083333333333</v>
      </c>
      <c r="AM398" s="18">
        <f t="shared" si="72"/>
        <v>0.36000000000000121</v>
      </c>
    </row>
    <row r="399" spans="1:39">
      <c r="A399" s="18" t="str">
        <f>IF(Volcanic!A399="","",Volcanic!A399)</f>
        <v>4/1991</v>
      </c>
      <c r="B399" s="18">
        <f>IF(ISNUMBER(Volcanic!L399),Volcanic!L399,"")</f>
        <v>1991.2916666666667</v>
      </c>
      <c r="C399" s="21">
        <v>0.35</v>
      </c>
      <c r="D399" s="18">
        <f t="shared" si="70"/>
        <v>0.6</v>
      </c>
      <c r="E399" s="18">
        <f>IF(ISNUMBER(Volcanic!B399),Volcanic!B399,"")</f>
        <v>0.50999999999999801</v>
      </c>
      <c r="F399" s="18">
        <f>IF(ISNUMBER(Volcanic!C399),Volcanic!C399,"")</f>
        <v>0.35763243136807038</v>
      </c>
      <c r="G399" s="18">
        <f>IF(ISNUMBER(Volcanic!E399),Volcanic!E399,"")</f>
        <v>6.6E-3</v>
      </c>
      <c r="H399" s="18">
        <f>IF(ISNUMBER(Volcanic!D399),Volcanic!D399,"")</f>
        <v>0.35</v>
      </c>
      <c r="I399" s="18">
        <f t="shared" si="64"/>
        <v>0.35763243136807038</v>
      </c>
      <c r="J399" s="18">
        <f t="shared" si="65"/>
        <v>6.6E-3</v>
      </c>
      <c r="K399" s="18">
        <f t="shared" si="66"/>
        <v>0.6</v>
      </c>
      <c r="L399" s="18">
        <f t="shared" si="67"/>
        <v>0.35763243136807038</v>
      </c>
      <c r="M399" s="18">
        <f t="shared" si="68"/>
        <v>6.6E-3</v>
      </c>
      <c r="N399" s="18">
        <f t="shared" si="69"/>
        <v>0.58046971526015623</v>
      </c>
      <c r="AK399" s="18">
        <f>IF(AND(ISNUMBER(C399),ISNUMBER(ENSO!F399)),C399-ENSO!F399,"")</f>
        <v>0.06</v>
      </c>
      <c r="AL399" s="18">
        <f t="shared" si="71"/>
        <v>1991.2916666666667</v>
      </c>
      <c r="AM399" s="18">
        <f t="shared" si="72"/>
        <v>0.50999999999999801</v>
      </c>
    </row>
    <row r="400" spans="1:39">
      <c r="A400" s="18" t="str">
        <f>IF(Volcanic!A400="","",Volcanic!A400)</f>
        <v>5/1991</v>
      </c>
      <c r="B400" s="18">
        <f>IF(ISNUMBER(Volcanic!L400),Volcanic!L400,"")</f>
        <v>1991.375</v>
      </c>
      <c r="C400" s="21">
        <v>0.5</v>
      </c>
      <c r="D400" s="18">
        <f t="shared" si="70"/>
        <v>0.5</v>
      </c>
      <c r="E400" s="18">
        <f>IF(ISNUMBER(Volcanic!B400),Volcanic!B400,"")</f>
        <v>0.33999999999999986</v>
      </c>
      <c r="F400" s="18">
        <f>IF(ISNUMBER(Volcanic!C400),Volcanic!C400,"")</f>
        <v>0.3594810102249153</v>
      </c>
      <c r="G400" s="18">
        <f>IF(ISNUMBER(Volcanic!E400),Volcanic!E400,"")</f>
        <v>6.2500000000000003E-3</v>
      </c>
      <c r="H400" s="18">
        <f>IF(ISNUMBER(Volcanic!D400),Volcanic!D400,"")</f>
        <v>0.26</v>
      </c>
      <c r="I400" s="18">
        <f t="shared" si="64"/>
        <v>0.3594810102249153</v>
      </c>
      <c r="J400" s="18">
        <f t="shared" si="65"/>
        <v>6.2500000000000003E-3</v>
      </c>
      <c r="K400" s="18">
        <f t="shared" si="66"/>
        <v>0.5</v>
      </c>
      <c r="L400" s="18">
        <f t="shared" si="67"/>
        <v>0.3594810102249153</v>
      </c>
      <c r="M400" s="18">
        <f t="shared" si="68"/>
        <v>6.2500000000000003E-3</v>
      </c>
      <c r="N400" s="18">
        <f t="shared" si="69"/>
        <v>0.48115973475075435</v>
      </c>
      <c r="AK400" s="18">
        <f>IF(AND(ISNUMBER(C400),ISNUMBER(ENSO!F400)),C400-ENSO!F400,"")</f>
        <v>1.0000000000000009E-2</v>
      </c>
      <c r="AL400" s="18">
        <f t="shared" si="71"/>
        <v>1991.375</v>
      </c>
      <c r="AM400" s="18">
        <f t="shared" si="72"/>
        <v>0.33999999999999986</v>
      </c>
    </row>
    <row r="401" spans="1:39">
      <c r="A401" s="18" t="str">
        <f>IF(Volcanic!A401="","",Volcanic!A401)</f>
        <v>6/1991</v>
      </c>
      <c r="B401" s="18">
        <f>IF(ISNUMBER(Volcanic!L401),Volcanic!L401,"")</f>
        <v>1991.4583333333333</v>
      </c>
      <c r="C401" s="21">
        <v>0.67</v>
      </c>
      <c r="D401" s="18">
        <f t="shared" si="70"/>
        <v>0.4</v>
      </c>
      <c r="E401" s="18">
        <f>IF(ISNUMBER(Volcanic!B401),Volcanic!B401,"")</f>
        <v>0.52999999999999758</v>
      </c>
      <c r="F401" s="18">
        <f>IF(ISNUMBER(Volcanic!C401),Volcanic!C401,"")</f>
        <v>0.35545933382447809</v>
      </c>
      <c r="G401" s="18">
        <f>IF(ISNUMBER(Volcanic!E401),Volcanic!E401,"")</f>
        <v>6.1599999999999997E-3</v>
      </c>
      <c r="H401" s="18">
        <f>IF(ISNUMBER(Volcanic!D401),Volcanic!D401,"")</f>
        <v>0.23</v>
      </c>
      <c r="I401" s="18">
        <f t="shared" si="64"/>
        <v>0.35545933382447809</v>
      </c>
      <c r="J401" s="18">
        <f t="shared" si="65"/>
        <v>6.1599999999999997E-3</v>
      </c>
      <c r="K401" s="18">
        <f t="shared" si="66"/>
        <v>0.4</v>
      </c>
      <c r="L401" s="18">
        <f t="shared" si="67"/>
        <v>0.35545933382447809</v>
      </c>
      <c r="M401" s="18">
        <f t="shared" si="68"/>
        <v>6.1599999999999997E-3</v>
      </c>
      <c r="N401" s="18">
        <f t="shared" si="69"/>
        <v>0.38184975424135248</v>
      </c>
      <c r="AK401" s="18">
        <f>IF(AND(ISNUMBER(C401),ISNUMBER(ENSO!F401)),C401-ENSO!F401,"")</f>
        <v>4.0000000000000036E-2</v>
      </c>
      <c r="AL401" s="18">
        <f t="shared" si="71"/>
        <v>1991.4583333333333</v>
      </c>
      <c r="AM401" s="18">
        <f t="shared" si="72"/>
        <v>0.52999999999999758</v>
      </c>
    </row>
    <row r="402" spans="1:39">
      <c r="A402" s="18" t="str">
        <f>IF(Volcanic!A402="","",Volcanic!A402)</f>
        <v>7/1991</v>
      </c>
      <c r="B402" s="18">
        <f>IF(ISNUMBER(Volcanic!L402),Volcanic!L402,"")</f>
        <v>1991.5416666666667</v>
      </c>
      <c r="C402" s="21">
        <v>0.81</v>
      </c>
      <c r="D402" s="18">
        <f t="shared" si="70"/>
        <v>0.35</v>
      </c>
      <c r="E402" s="18">
        <f>IF(ISNUMBER(Volcanic!B402),Volcanic!B402,"")</f>
        <v>0.47999999999999865</v>
      </c>
      <c r="F402" s="18">
        <f>IF(ISNUMBER(Volcanic!C402),Volcanic!C402,"")</f>
        <v>0.34766565630097057</v>
      </c>
      <c r="G402" s="18">
        <f>IF(ISNUMBER(Volcanic!E402),Volcanic!E402,"")</f>
        <v>5.8900000000000003E-3</v>
      </c>
      <c r="H402" s="18">
        <f>IF(ISNUMBER(Volcanic!D402),Volcanic!D402,"")</f>
        <v>0.28999999999999998</v>
      </c>
      <c r="I402" s="18">
        <f t="shared" si="64"/>
        <v>0.34766565630097057</v>
      </c>
      <c r="J402" s="18">
        <f t="shared" si="65"/>
        <v>5.8900000000000003E-3</v>
      </c>
      <c r="K402" s="18">
        <f t="shared" si="66"/>
        <v>0.35</v>
      </c>
      <c r="L402" s="18">
        <f t="shared" si="67"/>
        <v>0.34766565630097057</v>
      </c>
      <c r="M402" s="18">
        <f t="shared" si="68"/>
        <v>5.8900000000000003E-3</v>
      </c>
      <c r="N402" s="18">
        <f t="shared" si="69"/>
        <v>0.33253977373195054</v>
      </c>
      <c r="AK402" s="18">
        <f>IF(AND(ISNUMBER(C402),ISNUMBER(ENSO!F402)),C402-ENSO!F402,"")</f>
        <v>4.0000000000000036E-2</v>
      </c>
      <c r="AL402" s="18">
        <f t="shared" si="71"/>
        <v>1991.5416666666667</v>
      </c>
      <c r="AM402" s="18">
        <f t="shared" si="72"/>
        <v>0.47999999999999865</v>
      </c>
    </row>
    <row r="403" spans="1:39">
      <c r="A403" s="18" t="str">
        <f>IF(Volcanic!A403="","",Volcanic!A403)</f>
        <v>8/1991</v>
      </c>
      <c r="B403" s="18">
        <f>IF(ISNUMBER(Volcanic!L403),Volcanic!L403,"")</f>
        <v>1991.625</v>
      </c>
      <c r="C403" s="21">
        <v>0.8</v>
      </c>
      <c r="D403" s="18">
        <f t="shared" si="70"/>
        <v>0.5</v>
      </c>
      <c r="E403" s="18">
        <f>IF(ISNUMBER(Volcanic!B403),Volcanic!B403,"")</f>
        <v>0.38999999999999879</v>
      </c>
      <c r="F403" s="18">
        <f>IF(ISNUMBER(Volcanic!C403),Volcanic!C403,"")</f>
        <v>0.33820026566553218</v>
      </c>
      <c r="G403" s="18">
        <f>IF(ISNUMBER(Volcanic!E403),Volcanic!E403,"")</f>
        <v>5.7800000000000004E-3</v>
      </c>
      <c r="H403" s="18">
        <f>IF(ISNUMBER(Volcanic!D403),Volcanic!D403,"")</f>
        <v>0.49</v>
      </c>
      <c r="I403" s="18">
        <f t="shared" si="64"/>
        <v>0.33820026566553218</v>
      </c>
      <c r="J403" s="18">
        <f t="shared" si="65"/>
        <v>5.7800000000000004E-3</v>
      </c>
      <c r="K403" s="18">
        <f t="shared" si="66"/>
        <v>0.5</v>
      </c>
      <c r="L403" s="18">
        <f t="shared" si="67"/>
        <v>0.33820026566553218</v>
      </c>
      <c r="M403" s="18">
        <f t="shared" si="68"/>
        <v>5.7800000000000004E-3</v>
      </c>
      <c r="N403" s="18">
        <f t="shared" si="69"/>
        <v>0.48322979322254866</v>
      </c>
      <c r="AK403" s="18">
        <f>IF(AND(ISNUMBER(C403),ISNUMBER(ENSO!F403)),C403-ENSO!F403,"")</f>
        <v>0.13</v>
      </c>
      <c r="AL403" s="18">
        <f t="shared" si="71"/>
        <v>1991.625</v>
      </c>
      <c r="AM403" s="18">
        <f t="shared" si="72"/>
        <v>0.38999999999999879</v>
      </c>
    </row>
    <row r="404" spans="1:39">
      <c r="A404" s="18" t="str">
        <f>IF(Volcanic!A404="","",Volcanic!A404)</f>
        <v>9/1991</v>
      </c>
      <c r="B404" s="18">
        <f>IF(ISNUMBER(Volcanic!L404),Volcanic!L404,"")</f>
        <v>1991.7083333333333</v>
      </c>
      <c r="C404" s="21">
        <v>0.91</v>
      </c>
      <c r="D404" s="18">
        <f t="shared" si="70"/>
        <v>0.67</v>
      </c>
      <c r="E404" s="18">
        <f>IF(ISNUMBER(Volcanic!B404),Volcanic!B404,"")</f>
        <v>0.44000000000000483</v>
      </c>
      <c r="F404" s="18">
        <f>IF(ISNUMBER(Volcanic!C404),Volcanic!C404,"")</f>
        <v>0.33154144137771635</v>
      </c>
      <c r="G404" s="18">
        <f>IF(ISNUMBER(Volcanic!E404),Volcanic!E404,"")</f>
        <v>5.7499999999999999E-3</v>
      </c>
      <c r="H404" s="18">
        <f>IF(ISNUMBER(Volcanic!D404),Volcanic!D404,"")</f>
        <v>0.63</v>
      </c>
      <c r="I404" s="18">
        <f t="shared" si="64"/>
        <v>0.33154144137771635</v>
      </c>
      <c r="J404" s="18">
        <f t="shared" si="65"/>
        <v>5.7499999999999999E-3</v>
      </c>
      <c r="K404" s="18">
        <f t="shared" si="66"/>
        <v>0.67</v>
      </c>
      <c r="L404" s="18">
        <f t="shared" si="67"/>
        <v>0.33154144137771635</v>
      </c>
      <c r="M404" s="18">
        <f t="shared" si="68"/>
        <v>5.7499999999999999E-3</v>
      </c>
      <c r="N404" s="18">
        <f t="shared" si="69"/>
        <v>0.65391981271314681</v>
      </c>
      <c r="AK404" s="18">
        <f>IF(AND(ISNUMBER(C404),ISNUMBER(ENSO!F404)),C404-ENSO!F404,"")</f>
        <v>0.19000000000000006</v>
      </c>
      <c r="AL404" s="18">
        <f t="shared" si="71"/>
        <v>1991.7083333333333</v>
      </c>
      <c r="AM404" s="18">
        <f t="shared" si="72"/>
        <v>0.44000000000000483</v>
      </c>
    </row>
    <row r="405" spans="1:39">
      <c r="A405" s="18" t="str">
        <f>IF(Volcanic!A405="","",Volcanic!A405)</f>
        <v>10/1991</v>
      </c>
      <c r="B405" s="18">
        <f>IF(ISNUMBER(Volcanic!L405),Volcanic!L405,"")</f>
        <v>1991.7916666666667</v>
      </c>
      <c r="C405" s="21">
        <v>1.17</v>
      </c>
      <c r="D405" s="18">
        <f t="shared" si="70"/>
        <v>0.81</v>
      </c>
      <c r="E405" s="18">
        <f>IF(ISNUMBER(Volcanic!B405),Volcanic!B405,"")</f>
        <v>0.28999999999999559</v>
      </c>
      <c r="F405" s="18">
        <f>IF(ISNUMBER(Volcanic!C405),Volcanic!C405,"")</f>
        <v>0.3319099092591129</v>
      </c>
      <c r="G405" s="18">
        <f>IF(ISNUMBER(Volcanic!E405),Volcanic!E405,"")</f>
        <v>5.6299999999999996E-3</v>
      </c>
      <c r="H405" s="18">
        <f>IF(ISNUMBER(Volcanic!D405),Volcanic!D405,"")</f>
        <v>0.77</v>
      </c>
      <c r="I405" s="18">
        <f t="shared" si="64"/>
        <v>0.3319099092591129</v>
      </c>
      <c r="J405" s="18">
        <f t="shared" si="65"/>
        <v>5.6299999999999996E-3</v>
      </c>
      <c r="K405" s="18">
        <f t="shared" si="66"/>
        <v>0.81</v>
      </c>
      <c r="L405" s="18">
        <f t="shared" si="67"/>
        <v>0.3319099092591129</v>
      </c>
      <c r="M405" s="18">
        <f t="shared" si="68"/>
        <v>5.6299999999999996E-3</v>
      </c>
      <c r="N405" s="18">
        <f t="shared" si="69"/>
        <v>0.79460983220374848</v>
      </c>
      <c r="AK405" s="18">
        <f>IF(AND(ISNUMBER(C405),ISNUMBER(ENSO!F405)),C405-ENSO!F405,"")</f>
        <v>0.33999999999999997</v>
      </c>
      <c r="AL405" s="18">
        <f t="shared" si="71"/>
        <v>1991.7916666666667</v>
      </c>
      <c r="AM405" s="18">
        <f t="shared" si="72"/>
        <v>0.28999999999999559</v>
      </c>
    </row>
    <row r="406" spans="1:39">
      <c r="A406" s="18" t="str">
        <f>IF(Volcanic!A406="","",Volcanic!A406)</f>
        <v>11/1991</v>
      </c>
      <c r="B406" s="18">
        <f>IF(ISNUMBER(Volcanic!L406),Volcanic!L406,"")</f>
        <v>1991.875</v>
      </c>
      <c r="C406" s="21">
        <v>1.7</v>
      </c>
      <c r="D406" s="18">
        <f t="shared" si="70"/>
        <v>0.8</v>
      </c>
      <c r="E406" s="18">
        <f>IF(ISNUMBER(Volcanic!B406),Volcanic!B406,"")</f>
        <v>0.30000000000000249</v>
      </c>
      <c r="F406" s="18">
        <f>IF(ISNUMBER(Volcanic!C406),Volcanic!C406,"")</f>
        <v>0.3378741684040325</v>
      </c>
      <c r="G406" s="18">
        <f>IF(ISNUMBER(Volcanic!E406),Volcanic!E406,"")</f>
        <v>5.5700000000000003E-3</v>
      </c>
      <c r="H406" s="18">
        <f>IF(ISNUMBER(Volcanic!D406),Volcanic!D406,"")</f>
        <v>0.67</v>
      </c>
      <c r="I406" s="18">
        <f t="shared" si="64"/>
        <v>0.3378741684040325</v>
      </c>
      <c r="J406" s="18">
        <f t="shared" si="65"/>
        <v>5.5700000000000003E-3</v>
      </c>
      <c r="K406" s="18">
        <f t="shared" si="66"/>
        <v>0.8</v>
      </c>
      <c r="L406" s="18">
        <f t="shared" si="67"/>
        <v>0.3378741684040325</v>
      </c>
      <c r="M406" s="18">
        <f t="shared" si="68"/>
        <v>5.5700000000000003E-3</v>
      </c>
      <c r="N406" s="18">
        <f t="shared" si="69"/>
        <v>0.78529985169434657</v>
      </c>
      <c r="AK406" s="18">
        <f>IF(AND(ISNUMBER(C406),ISNUMBER(ENSO!F406)),C406-ENSO!F406,"")</f>
        <v>0.52</v>
      </c>
      <c r="AL406" s="18">
        <f t="shared" si="71"/>
        <v>1991.875</v>
      </c>
      <c r="AM406" s="18">
        <f t="shared" si="72"/>
        <v>0.30000000000000249</v>
      </c>
    </row>
    <row r="407" spans="1:39">
      <c r="A407" s="18" t="str">
        <f>IF(Volcanic!A407="","",Volcanic!A407)</f>
        <v>12/1991</v>
      </c>
      <c r="B407" s="18">
        <f>IF(ISNUMBER(Volcanic!L407),Volcanic!L407,"")</f>
        <v>1991.9583333333333</v>
      </c>
      <c r="C407" s="21">
        <v>2.08</v>
      </c>
      <c r="D407" s="18">
        <f t="shared" si="70"/>
        <v>0.91</v>
      </c>
      <c r="E407" s="18">
        <f>IF(ISNUMBER(Volcanic!B407),Volcanic!B407,"")</f>
        <v>0.32000000000000028</v>
      </c>
      <c r="F407" s="18">
        <f>IF(ISNUMBER(Volcanic!C407),Volcanic!C407,"")</f>
        <v>0.34324537036048725</v>
      </c>
      <c r="G407" s="18">
        <f>IF(ISNUMBER(Volcanic!E407),Volcanic!E407,"")</f>
        <v>5.5500000000000002E-3</v>
      </c>
      <c r="H407" s="18">
        <f>IF(ISNUMBER(Volcanic!D407),Volcanic!D407,"")</f>
        <v>0.72</v>
      </c>
      <c r="I407" s="18">
        <f t="shared" si="64"/>
        <v>0.34324537036048725</v>
      </c>
      <c r="J407" s="18">
        <f t="shared" si="65"/>
        <v>5.5500000000000002E-3</v>
      </c>
      <c r="K407" s="18">
        <f t="shared" si="66"/>
        <v>0.91</v>
      </c>
      <c r="L407" s="18">
        <f t="shared" si="67"/>
        <v>0.34324537036048725</v>
      </c>
      <c r="M407" s="18">
        <f t="shared" si="68"/>
        <v>5.5500000000000002E-3</v>
      </c>
      <c r="N407" s="18">
        <f t="shared" si="69"/>
        <v>0.89598987118494466</v>
      </c>
      <c r="AK407" s="18">
        <f>IF(AND(ISNUMBER(C407),ISNUMBER(ENSO!F407)),C407-ENSO!F407,"")</f>
        <v>0.65000000000000013</v>
      </c>
      <c r="AL407" s="18">
        <f t="shared" si="71"/>
        <v>1991.9583333333333</v>
      </c>
      <c r="AM407" s="18">
        <f t="shared" si="72"/>
        <v>0.32000000000000028</v>
      </c>
    </row>
    <row r="408" spans="1:39">
      <c r="A408" s="18" t="str">
        <f>IF(Volcanic!A408="","",Volcanic!A408)</f>
        <v>1/1992</v>
      </c>
      <c r="B408" s="18">
        <f>IF(ISNUMBER(Volcanic!L408),Volcanic!L408,"")</f>
        <v>1992.0416666666667</v>
      </c>
      <c r="C408" s="21">
        <v>2.3199999999999998</v>
      </c>
      <c r="D408" s="18">
        <f t="shared" si="70"/>
        <v>1.17</v>
      </c>
      <c r="E408" s="18">
        <f>IF(ISNUMBER(Volcanic!B408),Volcanic!B408,"")</f>
        <v>0.47999999999999865</v>
      </c>
      <c r="F408" s="18">
        <f>IF(ISNUMBER(Volcanic!C408),Volcanic!C408,"")</f>
        <v>0.34782761129001444</v>
      </c>
      <c r="G408" s="18">
        <f>IF(ISNUMBER(Volcanic!E408),Volcanic!E408,"")</f>
        <v>6.0099999999999997E-3</v>
      </c>
      <c r="H408" s="18">
        <f>IF(ISNUMBER(Volcanic!D408),Volcanic!D408,"")</f>
        <v>0.83</v>
      </c>
      <c r="I408" s="18">
        <f t="shared" si="64"/>
        <v>0.34782761129001444</v>
      </c>
      <c r="J408" s="18">
        <f t="shared" si="65"/>
        <v>6.0099999999999997E-3</v>
      </c>
      <c r="K408" s="18">
        <f t="shared" si="66"/>
        <v>1.17</v>
      </c>
      <c r="L408" s="18">
        <f t="shared" si="67"/>
        <v>0.34782761129001444</v>
      </c>
      <c r="M408" s="18">
        <f t="shared" si="68"/>
        <v>6.0099999999999997E-3</v>
      </c>
      <c r="N408" s="18">
        <f t="shared" si="69"/>
        <v>1.1566798906755462</v>
      </c>
      <c r="AK408" s="18">
        <f>IF(AND(ISNUMBER(C408),ISNUMBER(ENSO!F408)),C408-ENSO!F408,"")</f>
        <v>0.7799999999999998</v>
      </c>
      <c r="AL408" s="18">
        <f t="shared" si="71"/>
        <v>1992.0416666666667</v>
      </c>
      <c r="AM408" s="18">
        <f t="shared" si="72"/>
        <v>0.47999999999999865</v>
      </c>
    </row>
    <row r="409" spans="1:39">
      <c r="A409" s="18" t="str">
        <f>IF(Volcanic!A409="","",Volcanic!A409)</f>
        <v>2/1992</v>
      </c>
      <c r="B409" s="18">
        <f>IF(ISNUMBER(Volcanic!L409),Volcanic!L409,"")</f>
        <v>1992.125</v>
      </c>
      <c r="C409" s="21">
        <v>2.2400000000000002</v>
      </c>
      <c r="D409" s="18">
        <f t="shared" si="70"/>
        <v>1.7</v>
      </c>
      <c r="E409" s="18">
        <f>IF(ISNUMBER(Volcanic!B409),Volcanic!B409,"")</f>
        <v>0.40000000000000213</v>
      </c>
      <c r="F409" s="18">
        <f>IF(ISNUMBER(Volcanic!C409),Volcanic!C409,"")</f>
        <v>0.35134564172245408</v>
      </c>
      <c r="G409" s="18">
        <f>IF(ISNUMBER(Volcanic!E409),Volcanic!E409,"")</f>
        <v>2.5409999999999999E-2</v>
      </c>
      <c r="H409" s="18">
        <f>IF(ISNUMBER(Volcanic!D409),Volcanic!D409,"")</f>
        <v>1.18</v>
      </c>
      <c r="I409" s="18">
        <f t="shared" si="64"/>
        <v>0.35134564172245408</v>
      </c>
      <c r="J409" s="18">
        <f t="shared" si="65"/>
        <v>2.5409999999999999E-2</v>
      </c>
      <c r="K409" s="18">
        <f t="shared" si="66"/>
        <v>1.7</v>
      </c>
      <c r="L409" s="18">
        <f t="shared" si="67"/>
        <v>0.35134564172245408</v>
      </c>
      <c r="M409" s="18">
        <f t="shared" si="68"/>
        <v>2.5409999999999999E-2</v>
      </c>
      <c r="N409" s="18">
        <f t="shared" si="69"/>
        <v>1.6873699101661443</v>
      </c>
      <c r="AK409" s="18">
        <f>IF(AND(ISNUMBER(C409),ISNUMBER(ENSO!F409)),C409-ENSO!F409,"")</f>
        <v>0.74000000000000021</v>
      </c>
      <c r="AL409" s="18">
        <f t="shared" si="71"/>
        <v>1992.125</v>
      </c>
      <c r="AM409" s="18">
        <f t="shared" si="72"/>
        <v>0.40000000000000213</v>
      </c>
    </row>
    <row r="410" spans="1:39">
      <c r="A410" s="18" t="str">
        <f>IF(Volcanic!A410="","",Volcanic!A410)</f>
        <v>3/1992</v>
      </c>
      <c r="B410" s="18">
        <f>IF(ISNUMBER(Volcanic!L410),Volcanic!L410,"")</f>
        <v>1992.2083333333333</v>
      </c>
      <c r="C410" s="21">
        <v>2.04</v>
      </c>
      <c r="D410" s="18">
        <f t="shared" si="70"/>
        <v>2.08</v>
      </c>
      <c r="E410" s="18">
        <f>IF(ISNUMBER(Volcanic!B410),Volcanic!B410,"")</f>
        <v>0.47999999999999865</v>
      </c>
      <c r="F410" s="18">
        <f>IF(ISNUMBER(Volcanic!C410),Volcanic!C410,"")</f>
        <v>0.35441185902104577</v>
      </c>
      <c r="G410" s="18">
        <f>IF(ISNUMBER(Volcanic!E410),Volcanic!E410,"")</f>
        <v>4.9849999999999998E-2</v>
      </c>
      <c r="H410" s="18">
        <f>IF(ISNUMBER(Volcanic!D410),Volcanic!D410,"")</f>
        <v>1.43</v>
      </c>
      <c r="I410" s="18">
        <f t="shared" si="64"/>
        <v>0.35441185902104577</v>
      </c>
      <c r="J410" s="18">
        <f t="shared" si="65"/>
        <v>4.9849999999999998E-2</v>
      </c>
      <c r="K410" s="18">
        <f t="shared" si="66"/>
        <v>2.08</v>
      </c>
      <c r="L410" s="18">
        <f t="shared" si="67"/>
        <v>0.35441185902104577</v>
      </c>
      <c r="M410" s="18">
        <f t="shared" si="68"/>
        <v>4.9849999999999998E-2</v>
      </c>
      <c r="N410" s="18">
        <f t="shared" si="69"/>
        <v>2.0680599296567426</v>
      </c>
      <c r="AK410" s="18">
        <f>IF(AND(ISNUMBER(C410),ISNUMBER(ENSO!F410)),C410-ENSO!F410,"")</f>
        <v>0.64000000000000012</v>
      </c>
      <c r="AL410" s="18">
        <f t="shared" si="71"/>
        <v>1992.2083333333333</v>
      </c>
      <c r="AM410" s="18">
        <f t="shared" si="72"/>
        <v>0.47999999999999865</v>
      </c>
    </row>
    <row r="411" spans="1:39">
      <c r="A411" s="18" t="str">
        <f>IF(Volcanic!A411="","",Volcanic!A411)</f>
        <v>4/1992</v>
      </c>
      <c r="B411" s="18">
        <f>IF(ISNUMBER(Volcanic!L411),Volcanic!L411,"")</f>
        <v>1992.2916666666667</v>
      </c>
      <c r="C411" s="21">
        <v>1.73</v>
      </c>
      <c r="D411" s="18">
        <f t="shared" si="70"/>
        <v>2.3199999999999998</v>
      </c>
      <c r="E411" s="18">
        <f>IF(ISNUMBER(Volcanic!B411),Volcanic!B411,"")</f>
        <v>0.28000000000000114</v>
      </c>
      <c r="F411" s="18">
        <f>IF(ISNUMBER(Volcanic!C411),Volcanic!C411,"")</f>
        <v>0.35944084890426714</v>
      </c>
      <c r="G411" s="18">
        <f>IF(ISNUMBER(Volcanic!E411),Volcanic!E411,"")</f>
        <v>7.442E-2</v>
      </c>
      <c r="H411" s="18">
        <f>IF(ISNUMBER(Volcanic!D411),Volcanic!D411,"")</f>
        <v>1.54</v>
      </c>
      <c r="I411" s="18">
        <f t="shared" si="64"/>
        <v>0.35944084890426714</v>
      </c>
      <c r="J411" s="18">
        <f t="shared" si="65"/>
        <v>7.442E-2</v>
      </c>
      <c r="K411" s="18">
        <f t="shared" si="66"/>
        <v>2.3199999999999998</v>
      </c>
      <c r="L411" s="18">
        <f t="shared" si="67"/>
        <v>0.35944084890426714</v>
      </c>
      <c r="M411" s="18">
        <f t="shared" si="68"/>
        <v>7.442E-2</v>
      </c>
      <c r="N411" s="18">
        <f t="shared" si="69"/>
        <v>2.308749949147344</v>
      </c>
      <c r="AK411" s="18">
        <f>IF(AND(ISNUMBER(C411),ISNUMBER(ENSO!F411)),C411-ENSO!F411,"")</f>
        <v>0.42999999999999994</v>
      </c>
      <c r="AL411" s="18">
        <f t="shared" si="71"/>
        <v>1992.2916666666667</v>
      </c>
      <c r="AM411" s="18">
        <f t="shared" si="72"/>
        <v>0.28000000000000114</v>
      </c>
    </row>
    <row r="412" spans="1:39">
      <c r="A412" s="18" t="str">
        <f>IF(Volcanic!A412="","",Volcanic!A412)</f>
        <v>5/1992</v>
      </c>
      <c r="B412" s="18">
        <f>IF(ISNUMBER(Volcanic!L412),Volcanic!L412,"")</f>
        <v>1992.375</v>
      </c>
      <c r="C412" s="21">
        <v>1.35</v>
      </c>
      <c r="D412" s="18">
        <f t="shared" si="70"/>
        <v>2.2400000000000002</v>
      </c>
      <c r="E412" s="18">
        <f>IF(ISNUMBER(Volcanic!B412),Volcanic!B412,"")</f>
        <v>0.31000000000000227</v>
      </c>
      <c r="F412" s="18">
        <f>IF(ISNUMBER(Volcanic!C412),Volcanic!C412,"")</f>
        <v>0.36140744003135555</v>
      </c>
      <c r="G412" s="18">
        <f>IF(ISNUMBER(Volcanic!E412),Volcanic!E412,"")</f>
        <v>9.9510000000000001E-2</v>
      </c>
      <c r="H412" s="18">
        <f>IF(ISNUMBER(Volcanic!D412),Volcanic!D412,"")</f>
        <v>1.5</v>
      </c>
      <c r="I412" s="18">
        <f t="shared" si="64"/>
        <v>0.36140744003135555</v>
      </c>
      <c r="J412" s="18">
        <f t="shared" si="65"/>
        <v>9.9510000000000001E-2</v>
      </c>
      <c r="K412" s="18">
        <f t="shared" si="66"/>
        <v>2.2400000000000002</v>
      </c>
      <c r="L412" s="18">
        <f t="shared" si="67"/>
        <v>0.36140744003135555</v>
      </c>
      <c r="M412" s="18">
        <f t="shared" si="68"/>
        <v>9.9510000000000001E-2</v>
      </c>
      <c r="N412" s="18">
        <f t="shared" si="69"/>
        <v>2.2294399686379425</v>
      </c>
      <c r="AK412" s="18">
        <f>IF(AND(ISNUMBER(C412),ISNUMBER(ENSO!F412)),C412-ENSO!F412,"")</f>
        <v>0.27</v>
      </c>
      <c r="AL412" s="18">
        <f t="shared" si="71"/>
        <v>1992.375</v>
      </c>
      <c r="AM412" s="18">
        <f t="shared" si="72"/>
        <v>0.31000000000000227</v>
      </c>
    </row>
    <row r="413" spans="1:39">
      <c r="A413" s="18" t="str">
        <f>IF(Volcanic!A413="","",Volcanic!A413)</f>
        <v>6/1992</v>
      </c>
      <c r="B413" s="18">
        <f>IF(ISNUMBER(Volcanic!L413),Volcanic!L413,"")</f>
        <v>1992.4583333333333</v>
      </c>
      <c r="C413" s="21">
        <v>0.9</v>
      </c>
      <c r="D413" s="18">
        <f t="shared" si="70"/>
        <v>2.04</v>
      </c>
      <c r="E413" s="18">
        <f>IF(ISNUMBER(Volcanic!B413),Volcanic!B413,"")</f>
        <v>0.25999999999999979</v>
      </c>
      <c r="F413" s="18">
        <f>IF(ISNUMBER(Volcanic!C413),Volcanic!C413,"")</f>
        <v>0.36032413980374728</v>
      </c>
      <c r="G413" s="18">
        <f>IF(ISNUMBER(Volcanic!E413),Volcanic!E413,"")</f>
        <v>0.10833</v>
      </c>
      <c r="H413" s="18">
        <f>IF(ISNUMBER(Volcanic!D413),Volcanic!D413,"")</f>
        <v>1.4</v>
      </c>
      <c r="I413" s="18">
        <f t="shared" si="64"/>
        <v>0.36032413980374728</v>
      </c>
      <c r="J413" s="18">
        <f t="shared" si="65"/>
        <v>0.10833</v>
      </c>
      <c r="K413" s="18">
        <f t="shared" si="66"/>
        <v>2.04</v>
      </c>
      <c r="L413" s="18">
        <f t="shared" si="67"/>
        <v>0.36032413980374728</v>
      </c>
      <c r="M413" s="18">
        <f t="shared" si="68"/>
        <v>0.10833</v>
      </c>
      <c r="N413" s="18">
        <f t="shared" si="69"/>
        <v>2.0301299881285404</v>
      </c>
      <c r="AK413" s="18">
        <f>IF(AND(ISNUMBER(C413),ISNUMBER(ENSO!F413)),C413-ENSO!F413,"")</f>
        <v>0.18000000000000005</v>
      </c>
      <c r="AL413" s="18">
        <f t="shared" si="71"/>
        <v>1992.4583333333333</v>
      </c>
      <c r="AM413" s="18">
        <f t="shared" si="72"/>
        <v>0.25999999999999979</v>
      </c>
    </row>
    <row r="414" spans="1:39">
      <c r="A414" s="18" t="str">
        <f>IF(Volcanic!A414="","",Volcanic!A414)</f>
        <v>7/1992</v>
      </c>
      <c r="B414" s="18">
        <f>IF(ISNUMBER(Volcanic!L414),Volcanic!L414,"")</f>
        <v>1992.5416666666667</v>
      </c>
      <c r="C414" s="21">
        <v>0.54</v>
      </c>
      <c r="D414" s="18">
        <f t="shared" si="70"/>
        <v>1.73</v>
      </c>
      <c r="E414" s="18">
        <f>IF(ISNUMBER(Volcanic!B414),Volcanic!B414,"")</f>
        <v>8.9999999999999858E-2</v>
      </c>
      <c r="F414" s="18">
        <f>IF(ISNUMBER(Volcanic!C414),Volcanic!C414,"")</f>
        <v>0.35110329415916136</v>
      </c>
      <c r="G414" s="18">
        <f>IF(ISNUMBER(Volcanic!E414),Volcanic!E414,"")</f>
        <v>0.10814</v>
      </c>
      <c r="H414" s="18">
        <f>IF(ISNUMBER(Volcanic!D414),Volcanic!D414,"")</f>
        <v>1.3</v>
      </c>
      <c r="I414" s="18">
        <f t="shared" si="64"/>
        <v>0.35110329415916136</v>
      </c>
      <c r="J414" s="18">
        <f t="shared" si="65"/>
        <v>0.10814</v>
      </c>
      <c r="K414" s="18">
        <f t="shared" si="66"/>
        <v>1.73</v>
      </c>
      <c r="L414" s="18">
        <f t="shared" si="67"/>
        <v>0.35110329415916136</v>
      </c>
      <c r="M414" s="18">
        <f t="shared" si="68"/>
        <v>0.10814</v>
      </c>
      <c r="N414" s="18">
        <f t="shared" si="69"/>
        <v>1.7208200076191384</v>
      </c>
      <c r="AK414" s="18">
        <f>IF(AND(ISNUMBER(C414),ISNUMBER(ENSO!F414)),C414-ENSO!F414,"")</f>
        <v>0.19000000000000006</v>
      </c>
      <c r="AL414" s="18">
        <f t="shared" si="71"/>
        <v>1992.5416666666667</v>
      </c>
      <c r="AM414" s="18">
        <f t="shared" si="72"/>
        <v>8.9999999999999858E-2</v>
      </c>
    </row>
    <row r="415" spans="1:39">
      <c r="A415" s="18" t="str">
        <f>IF(Volcanic!A415="","",Volcanic!A415)</f>
        <v>8/1992</v>
      </c>
      <c r="B415" s="18">
        <f>IF(ISNUMBER(Volcanic!L415),Volcanic!L415,"")</f>
        <v>1992.625</v>
      </c>
      <c r="C415" s="21">
        <v>0.32</v>
      </c>
      <c r="D415" s="18">
        <f t="shared" si="70"/>
        <v>1.35</v>
      </c>
      <c r="E415" s="18">
        <f>IF(ISNUMBER(Volcanic!B415),Volcanic!B415,"")</f>
        <v>8.0000000000000071E-2</v>
      </c>
      <c r="F415" s="18">
        <f>IF(ISNUMBER(Volcanic!C415),Volcanic!C415,"")</f>
        <v>0.34235155757775643</v>
      </c>
      <c r="G415" s="18">
        <f>IF(ISNUMBER(Volcanic!E415),Volcanic!E415,"")</f>
        <v>0.10936</v>
      </c>
      <c r="H415" s="18">
        <f>IF(ISNUMBER(Volcanic!D415),Volcanic!D415,"")</f>
        <v>1.08</v>
      </c>
      <c r="I415" s="18">
        <f t="shared" si="64"/>
        <v>0.34235155757775643</v>
      </c>
      <c r="J415" s="18">
        <f t="shared" si="65"/>
        <v>0.10936</v>
      </c>
      <c r="K415" s="18">
        <f t="shared" si="66"/>
        <v>1.35</v>
      </c>
      <c r="L415" s="18">
        <f t="shared" si="67"/>
        <v>0.34235155757775643</v>
      </c>
      <c r="M415" s="18">
        <f t="shared" si="68"/>
        <v>0.10936</v>
      </c>
      <c r="N415" s="18">
        <f t="shared" si="69"/>
        <v>1.3415100271097402</v>
      </c>
      <c r="AK415" s="18">
        <f>IF(AND(ISNUMBER(C415),ISNUMBER(ENSO!F415)),C415-ENSO!F415,"")</f>
        <v>0.24</v>
      </c>
      <c r="AL415" s="18">
        <f t="shared" si="71"/>
        <v>1992.625</v>
      </c>
      <c r="AM415" s="18">
        <f t="shared" si="72"/>
        <v>8.0000000000000071E-2</v>
      </c>
    </row>
    <row r="416" spans="1:39">
      <c r="A416" s="18" t="str">
        <f>IF(Volcanic!A416="","",Volcanic!A416)</f>
        <v>9/1992</v>
      </c>
      <c r="B416" s="18">
        <f>IF(ISNUMBER(Volcanic!L416),Volcanic!L416,"")</f>
        <v>1992.7083333333333</v>
      </c>
      <c r="C416" s="21">
        <v>0.15</v>
      </c>
      <c r="D416" s="18">
        <f t="shared" si="70"/>
        <v>0.9</v>
      </c>
      <c r="E416" s="18">
        <f>IF(ISNUMBER(Volcanic!B416),Volcanic!B416,"")</f>
        <v>-9.9999999999980105E-3</v>
      </c>
      <c r="F416" s="18">
        <f>IF(ISNUMBER(Volcanic!C416),Volcanic!C416,"")</f>
        <v>0.3342822252952366</v>
      </c>
      <c r="G416" s="18">
        <f>IF(ISNUMBER(Volcanic!E416),Volcanic!E416,"")</f>
        <v>0.11007</v>
      </c>
      <c r="H416" s="18">
        <f>IF(ISNUMBER(Volcanic!D416),Volcanic!D416,"")</f>
        <v>0.72</v>
      </c>
      <c r="I416" s="18">
        <f t="shared" si="64"/>
        <v>0.3342822252952366</v>
      </c>
      <c r="J416" s="18">
        <f t="shared" si="65"/>
        <v>0.11007</v>
      </c>
      <c r="K416" s="18">
        <f t="shared" si="66"/>
        <v>0.9</v>
      </c>
      <c r="L416" s="18">
        <f t="shared" si="67"/>
        <v>0.3342822252952366</v>
      </c>
      <c r="M416" s="18">
        <f t="shared" si="68"/>
        <v>0.11007</v>
      </c>
      <c r="N416" s="18">
        <f t="shared" si="69"/>
        <v>0.89220004660033825</v>
      </c>
      <c r="AK416" s="18">
        <f>IF(AND(ISNUMBER(C416),ISNUMBER(ENSO!F416)),C416-ENSO!F416,"")</f>
        <v>0.3</v>
      </c>
      <c r="AL416" s="18">
        <f t="shared" si="71"/>
        <v>1992.7083333333333</v>
      </c>
      <c r="AM416" s="18">
        <f t="shared" si="72"/>
        <v>-9.9999999999980105E-3</v>
      </c>
    </row>
    <row r="417" spans="1:39">
      <c r="A417" s="18" t="str">
        <f>IF(Volcanic!A417="","",Volcanic!A417)</f>
        <v>10/1992</v>
      </c>
      <c r="B417" s="18">
        <f>IF(ISNUMBER(Volcanic!L417),Volcanic!L417,"")</f>
        <v>1992.7916666666667</v>
      </c>
      <c r="C417" s="21">
        <v>7.0000000000000007E-2</v>
      </c>
      <c r="D417" s="18">
        <f t="shared" si="70"/>
        <v>0.54</v>
      </c>
      <c r="E417" s="18">
        <f>IF(ISNUMBER(Volcanic!B417),Volcanic!B417,"")</f>
        <v>7.0000000000000284E-2</v>
      </c>
      <c r="F417" s="18">
        <f>IF(ISNUMBER(Volcanic!C417),Volcanic!C417,"")</f>
        <v>0.33587521271928794</v>
      </c>
      <c r="G417" s="18">
        <f>IF(ISNUMBER(Volcanic!E417),Volcanic!E417,"")</f>
        <v>0.10983</v>
      </c>
      <c r="H417" s="18">
        <f>IF(ISNUMBER(Volcanic!D417),Volcanic!D417,"")</f>
        <v>0.35</v>
      </c>
      <c r="I417" s="18">
        <f t="shared" si="64"/>
        <v>0.33587521271928794</v>
      </c>
      <c r="J417" s="18">
        <f t="shared" si="65"/>
        <v>0.10983</v>
      </c>
      <c r="K417" s="18">
        <f t="shared" si="66"/>
        <v>0.54</v>
      </c>
      <c r="L417" s="18">
        <f t="shared" si="67"/>
        <v>0.33587521271928794</v>
      </c>
      <c r="M417" s="18">
        <f t="shared" si="68"/>
        <v>0.10983</v>
      </c>
      <c r="N417" s="18">
        <f t="shared" si="69"/>
        <v>0.53289006609093637</v>
      </c>
      <c r="AK417" s="18">
        <f>IF(AND(ISNUMBER(C417),ISNUMBER(ENSO!F417)),C417-ENSO!F417,"")</f>
        <v>0.29000000000000004</v>
      </c>
      <c r="AL417" s="18">
        <f t="shared" si="71"/>
        <v>1992.7916666666667</v>
      </c>
      <c r="AM417" s="18">
        <f t="shared" si="72"/>
        <v>7.0000000000000284E-2</v>
      </c>
    </row>
    <row r="418" spans="1:39">
      <c r="A418" s="18" t="str">
        <f>IF(Volcanic!A418="","",Volcanic!A418)</f>
        <v>11/1992</v>
      </c>
      <c r="B418" s="18">
        <f>IF(ISNUMBER(Volcanic!L418),Volcanic!L418,"")</f>
        <v>1992.875</v>
      </c>
      <c r="C418" s="21">
        <v>0.08</v>
      </c>
      <c r="D418" s="18">
        <f t="shared" si="70"/>
        <v>0.32</v>
      </c>
      <c r="E418" s="18">
        <f>IF(ISNUMBER(Volcanic!B418),Volcanic!B418,"")</f>
        <v>2.9999999999997584E-2</v>
      </c>
      <c r="F418" s="18">
        <f>IF(ISNUMBER(Volcanic!C418),Volcanic!C418,"")</f>
        <v>0.34003319062417492</v>
      </c>
      <c r="G418" s="18">
        <f>IF(ISNUMBER(Volcanic!E418),Volcanic!E418,"")</f>
        <v>0.10781</v>
      </c>
      <c r="H418" s="18">
        <f>IF(ISNUMBER(Volcanic!D418),Volcanic!D418,"")</f>
        <v>0.08</v>
      </c>
      <c r="I418" s="18">
        <f t="shared" si="64"/>
        <v>0.34003319062417492</v>
      </c>
      <c r="J418" s="18">
        <f t="shared" si="65"/>
        <v>0.10781</v>
      </c>
      <c r="K418" s="18">
        <f t="shared" si="66"/>
        <v>0.32</v>
      </c>
      <c r="L418" s="18">
        <f t="shared" si="67"/>
        <v>0.34003319062417492</v>
      </c>
      <c r="M418" s="18">
        <f t="shared" si="68"/>
        <v>0.10781</v>
      </c>
      <c r="N418" s="18">
        <f t="shared" si="69"/>
        <v>0.31358008558153444</v>
      </c>
      <c r="AK418" s="18">
        <f>IF(AND(ISNUMBER(C418),ISNUMBER(ENSO!F418)),C418-ENSO!F418,"")</f>
        <v>0.32</v>
      </c>
      <c r="AL418" s="18">
        <f t="shared" si="71"/>
        <v>1992.875</v>
      </c>
      <c r="AM418" s="18">
        <f t="shared" si="72"/>
        <v>2.9999999999997584E-2</v>
      </c>
    </row>
    <row r="419" spans="1:39">
      <c r="A419" s="18" t="str">
        <f>IF(Volcanic!A419="","",Volcanic!A419)</f>
        <v>12/1992</v>
      </c>
      <c r="B419" s="18">
        <f>IF(ISNUMBER(Volcanic!L419),Volcanic!L419,"")</f>
        <v>1992.9583333333333</v>
      </c>
      <c r="C419" s="21">
        <v>0.26</v>
      </c>
      <c r="D419" s="18">
        <f t="shared" si="70"/>
        <v>0.15</v>
      </c>
      <c r="E419" s="18">
        <f>IF(ISNUMBER(Volcanic!B419),Volcanic!B419,"")</f>
        <v>0.22000000000000242</v>
      </c>
      <c r="F419" s="18">
        <f>IF(ISNUMBER(Volcanic!C419),Volcanic!C419,"")</f>
        <v>0.34515302630729883</v>
      </c>
      <c r="G419" s="18">
        <f>IF(ISNUMBER(Volcanic!E419),Volcanic!E419,"")</f>
        <v>0.11117</v>
      </c>
      <c r="H419" s="18">
        <f>IF(ISNUMBER(Volcanic!D419),Volcanic!D419,"")</f>
        <v>-0.15</v>
      </c>
      <c r="I419" s="18">
        <f t="shared" si="64"/>
        <v>0.34515302630729883</v>
      </c>
      <c r="J419" s="18">
        <f t="shared" si="65"/>
        <v>0.11117</v>
      </c>
      <c r="K419" s="18">
        <f t="shared" si="66"/>
        <v>0.15</v>
      </c>
      <c r="L419" s="18">
        <f t="shared" si="67"/>
        <v>0.34515302630729883</v>
      </c>
      <c r="M419" s="18">
        <f t="shared" si="68"/>
        <v>0.11117</v>
      </c>
      <c r="N419" s="18">
        <f t="shared" si="69"/>
        <v>0.14427010507213253</v>
      </c>
      <c r="AK419" s="18">
        <f>IF(AND(ISNUMBER(C419),ISNUMBER(ENSO!F419)),C419-ENSO!F419,"")</f>
        <v>0.31</v>
      </c>
      <c r="AL419" s="18">
        <f t="shared" si="71"/>
        <v>1992.9583333333333</v>
      </c>
      <c r="AM419" s="18">
        <f t="shared" si="72"/>
        <v>0.22000000000000242</v>
      </c>
    </row>
    <row r="420" spans="1:39">
      <c r="A420" s="18" t="str">
        <f>IF(Volcanic!A420="","",Volcanic!A420)</f>
        <v>1/1993</v>
      </c>
      <c r="B420" s="18">
        <f>IF(ISNUMBER(Volcanic!L420),Volcanic!L420,"")</f>
        <v>1993.0416666666667</v>
      </c>
      <c r="C420" s="21">
        <v>0.5</v>
      </c>
      <c r="D420" s="18">
        <f t="shared" si="70"/>
        <v>7.0000000000000007E-2</v>
      </c>
      <c r="E420" s="18">
        <f>IF(ISNUMBER(Volcanic!B420),Volcanic!B420,"")</f>
        <v>0.34999999999999787</v>
      </c>
      <c r="F420" s="18">
        <f>IF(ISNUMBER(Volcanic!C420),Volcanic!C420,"")</f>
        <v>0.35090130675373682</v>
      </c>
      <c r="G420" s="18">
        <f>IF(ISNUMBER(Volcanic!E420),Volcanic!E420,"")</f>
        <v>0.11448</v>
      </c>
      <c r="H420" s="18">
        <f>IF(ISNUMBER(Volcanic!D420),Volcanic!D420,"")</f>
        <v>-0.22</v>
      </c>
      <c r="I420" s="18">
        <f t="shared" si="64"/>
        <v>0.35090130675373682</v>
      </c>
      <c r="J420" s="18">
        <f t="shared" si="65"/>
        <v>0.11448</v>
      </c>
      <c r="K420" s="18">
        <f t="shared" si="66"/>
        <v>7.0000000000000007E-2</v>
      </c>
      <c r="L420" s="18">
        <f t="shared" si="67"/>
        <v>0.35090130675373682</v>
      </c>
      <c r="M420" s="18">
        <f t="shared" si="68"/>
        <v>0.11448</v>
      </c>
      <c r="N420" s="18">
        <f t="shared" si="69"/>
        <v>6.4960124562734201E-2</v>
      </c>
      <c r="AK420" s="18">
        <f>IF(AND(ISNUMBER(C420),ISNUMBER(ENSO!F420)),C420-ENSO!F420,"")</f>
        <v>0.37</v>
      </c>
      <c r="AL420" s="18">
        <f t="shared" si="71"/>
        <v>1993.0416666666667</v>
      </c>
      <c r="AM420" s="18">
        <f t="shared" si="72"/>
        <v>0.34999999999999787</v>
      </c>
    </row>
    <row r="421" spans="1:39">
      <c r="A421" s="18" t="str">
        <f>IF(Volcanic!A421="","",Volcanic!A421)</f>
        <v>2/1993</v>
      </c>
      <c r="B421" s="18">
        <f>IF(ISNUMBER(Volcanic!L421),Volcanic!L421,"")</f>
        <v>1993.125</v>
      </c>
      <c r="C421" s="21">
        <v>0.69</v>
      </c>
      <c r="D421" s="18">
        <f t="shared" si="70"/>
        <v>0.08</v>
      </c>
      <c r="E421" s="18">
        <f>IF(ISNUMBER(Volcanic!B421),Volcanic!B421,"")</f>
        <v>0.36999999999999744</v>
      </c>
      <c r="F421" s="18">
        <f>IF(ISNUMBER(Volcanic!C421),Volcanic!C421,"")</f>
        <v>0.35219353774503176</v>
      </c>
      <c r="G421" s="18">
        <f>IF(ISNUMBER(Volcanic!E421),Volcanic!E421,"")</f>
        <v>0.10786999999999999</v>
      </c>
      <c r="H421" s="18">
        <f>IF(ISNUMBER(Volcanic!D421),Volcanic!D421,"")</f>
        <v>-0.24</v>
      </c>
      <c r="I421" s="18">
        <f t="shared" si="64"/>
        <v>0.35219353774503176</v>
      </c>
      <c r="J421" s="18">
        <f t="shared" si="65"/>
        <v>0.10786999999999999</v>
      </c>
      <c r="K421" s="18">
        <f t="shared" si="66"/>
        <v>0.08</v>
      </c>
      <c r="L421" s="18">
        <f t="shared" si="67"/>
        <v>0.35219353774503176</v>
      </c>
      <c r="M421" s="18">
        <f t="shared" si="68"/>
        <v>0.10786999999999999</v>
      </c>
      <c r="N421" s="18">
        <f t="shared" si="69"/>
        <v>7.5650144053332299E-2</v>
      </c>
      <c r="AK421" s="18">
        <f>IF(AND(ISNUMBER(C421),ISNUMBER(ENSO!F421)),C421-ENSO!F421,"")</f>
        <v>0.37999999999999995</v>
      </c>
      <c r="AL421" s="18">
        <f t="shared" si="71"/>
        <v>1993.125</v>
      </c>
      <c r="AM421" s="18">
        <f t="shared" si="72"/>
        <v>0.36999999999999744</v>
      </c>
    </row>
    <row r="422" spans="1:39">
      <c r="A422" s="18" t="str">
        <f>IF(Volcanic!A422="","",Volcanic!A422)</f>
        <v>3/1993</v>
      </c>
      <c r="B422" s="18">
        <f>IF(ISNUMBER(Volcanic!L422),Volcanic!L422,"")</f>
        <v>1993.2083333333333</v>
      </c>
      <c r="C422" s="21">
        <v>0.87</v>
      </c>
      <c r="D422" s="18">
        <f t="shared" si="70"/>
        <v>0.26</v>
      </c>
      <c r="E422" s="18">
        <f>IF(ISNUMBER(Volcanic!B422),Volcanic!B422,"")</f>
        <v>0.36000000000000121</v>
      </c>
      <c r="F422" s="18">
        <f>IF(ISNUMBER(Volcanic!C422),Volcanic!C422,"")</f>
        <v>0.3569084291577157</v>
      </c>
      <c r="G422" s="18">
        <f>IF(ISNUMBER(Volcanic!E422),Volcanic!E422,"")</f>
        <v>0.10366</v>
      </c>
      <c r="H422" s="18">
        <f>IF(ISNUMBER(Volcanic!D422),Volcanic!D422,"")</f>
        <v>-0.05</v>
      </c>
      <c r="I422" s="18">
        <f t="shared" si="64"/>
        <v>0.3569084291577157</v>
      </c>
      <c r="J422" s="18">
        <f t="shared" si="65"/>
        <v>0.10366</v>
      </c>
      <c r="K422" s="18">
        <f t="shared" si="66"/>
        <v>0.26</v>
      </c>
      <c r="L422" s="18">
        <f t="shared" si="67"/>
        <v>0.3569084291577157</v>
      </c>
      <c r="M422" s="18">
        <f t="shared" si="68"/>
        <v>0.10366</v>
      </c>
      <c r="N422" s="18">
        <f t="shared" si="69"/>
        <v>0.25634016354393041</v>
      </c>
      <c r="AK422" s="18">
        <f>IF(AND(ISNUMBER(C422),ISNUMBER(ENSO!F422)),C422-ENSO!F422,"")</f>
        <v>0.37</v>
      </c>
      <c r="AL422" s="18">
        <f t="shared" si="71"/>
        <v>1993.2083333333333</v>
      </c>
      <c r="AM422" s="18">
        <f t="shared" si="72"/>
        <v>0.36000000000000121</v>
      </c>
    </row>
    <row r="423" spans="1:39">
      <c r="A423" s="18" t="str">
        <f>IF(Volcanic!A423="","",Volcanic!A423)</f>
        <v>4/1993</v>
      </c>
      <c r="B423" s="18">
        <f>IF(ISNUMBER(Volcanic!L423),Volcanic!L423,"")</f>
        <v>1993.2916666666667</v>
      </c>
      <c r="C423" s="21">
        <v>0.97</v>
      </c>
      <c r="D423" s="18">
        <f t="shared" si="70"/>
        <v>0.5</v>
      </c>
      <c r="E423" s="18">
        <f>IF(ISNUMBER(Volcanic!B423),Volcanic!B423,"")</f>
        <v>0.28000000000000114</v>
      </c>
      <c r="F423" s="18">
        <f>IF(ISNUMBER(Volcanic!C423),Volcanic!C423,"")</f>
        <v>0.36012343935395846</v>
      </c>
      <c r="G423" s="18">
        <f>IF(ISNUMBER(Volcanic!E423),Volcanic!E423,"")</f>
        <v>9.9900000000000003E-2</v>
      </c>
      <c r="H423" s="18">
        <f>IF(ISNUMBER(Volcanic!D423),Volcanic!D423,"")</f>
        <v>0.13</v>
      </c>
      <c r="I423" s="18">
        <f t="shared" si="64"/>
        <v>0.36012343935395846</v>
      </c>
      <c r="J423" s="18">
        <f t="shared" si="65"/>
        <v>9.9900000000000003E-2</v>
      </c>
      <c r="K423" s="18">
        <f t="shared" si="66"/>
        <v>0.5</v>
      </c>
      <c r="L423" s="18">
        <f t="shared" si="67"/>
        <v>0.36012343935395846</v>
      </c>
      <c r="M423" s="18">
        <f t="shared" si="68"/>
        <v>9.9900000000000003E-2</v>
      </c>
      <c r="N423" s="18">
        <f t="shared" si="69"/>
        <v>0.49703018303453206</v>
      </c>
      <c r="AK423" s="18">
        <f>IF(AND(ISNUMBER(C423),ISNUMBER(ENSO!F423)),C423-ENSO!F423,"")</f>
        <v>0.24</v>
      </c>
      <c r="AL423" s="18">
        <f t="shared" si="71"/>
        <v>1993.2916666666667</v>
      </c>
      <c r="AM423" s="18">
        <f t="shared" si="72"/>
        <v>0.28000000000000114</v>
      </c>
    </row>
    <row r="424" spans="1:39">
      <c r="A424" s="18" t="str">
        <f>IF(Volcanic!A424="","",Volcanic!A424)</f>
        <v>5/1993</v>
      </c>
      <c r="B424" s="18">
        <f>IF(ISNUMBER(Volcanic!L424),Volcanic!L424,"")</f>
        <v>1993.375</v>
      </c>
      <c r="C424" s="21">
        <v>0.9</v>
      </c>
      <c r="D424" s="18">
        <f t="shared" si="70"/>
        <v>0.69</v>
      </c>
      <c r="E424" s="18">
        <f>IF(ISNUMBER(Volcanic!B424),Volcanic!B424,"")</f>
        <v>0.28000000000000114</v>
      </c>
      <c r="F424" s="18">
        <f>IF(ISNUMBER(Volcanic!C424),Volcanic!C424,"")</f>
        <v>0.36377182459446167</v>
      </c>
      <c r="G424" s="18">
        <f>IF(ISNUMBER(Volcanic!E424),Volcanic!E424,"")</f>
        <v>9.0620000000000006E-2</v>
      </c>
      <c r="H424" s="18">
        <f>IF(ISNUMBER(Volcanic!D424),Volcanic!D424,"")</f>
        <v>0.31</v>
      </c>
      <c r="I424" s="18">
        <f t="shared" si="64"/>
        <v>0.36377182459446167</v>
      </c>
      <c r="J424" s="18">
        <f t="shared" si="65"/>
        <v>9.0620000000000006E-2</v>
      </c>
      <c r="K424" s="18">
        <f t="shared" si="66"/>
        <v>0.69</v>
      </c>
      <c r="L424" s="18">
        <f t="shared" si="67"/>
        <v>0.36377182459446167</v>
      </c>
      <c r="M424" s="18">
        <f t="shared" si="68"/>
        <v>9.0620000000000006E-2</v>
      </c>
      <c r="N424" s="18">
        <f t="shared" si="69"/>
        <v>0.68772020252513011</v>
      </c>
      <c r="AK424" s="18">
        <f>IF(AND(ISNUMBER(C424),ISNUMBER(ENSO!F424)),C424-ENSO!F424,"")</f>
        <v>0.14000000000000001</v>
      </c>
      <c r="AL424" s="18">
        <f t="shared" si="71"/>
        <v>1993.375</v>
      </c>
      <c r="AM424" s="18">
        <f t="shared" si="72"/>
        <v>0.28000000000000114</v>
      </c>
    </row>
    <row r="425" spans="1:39">
      <c r="A425" s="18" t="str">
        <f>IF(Volcanic!A425="","",Volcanic!A425)</f>
        <v>6/1993</v>
      </c>
      <c r="B425" s="18">
        <f>IF(ISNUMBER(Volcanic!L425),Volcanic!L425,"")</f>
        <v>1993.4583333333333</v>
      </c>
      <c r="C425" s="21">
        <v>0.72</v>
      </c>
      <c r="D425" s="18">
        <f t="shared" si="70"/>
        <v>0.87</v>
      </c>
      <c r="E425" s="18">
        <f>IF(ISNUMBER(Volcanic!B425),Volcanic!B425,"")</f>
        <v>0.2300000000000022</v>
      </c>
      <c r="F425" s="18">
        <f>IF(ISNUMBER(Volcanic!C425),Volcanic!C425,"")</f>
        <v>0.36112666251503961</v>
      </c>
      <c r="G425" s="18">
        <f>IF(ISNUMBER(Volcanic!E425),Volcanic!E425,"")</f>
        <v>8.3360000000000004E-2</v>
      </c>
      <c r="H425" s="18">
        <f>IF(ISNUMBER(Volcanic!D425),Volcanic!D425,"")</f>
        <v>0.5</v>
      </c>
      <c r="I425" s="18">
        <f t="shared" si="64"/>
        <v>0.36112666251503961</v>
      </c>
      <c r="J425" s="18">
        <f t="shared" si="65"/>
        <v>8.3360000000000004E-2</v>
      </c>
      <c r="K425" s="18">
        <f t="shared" si="66"/>
        <v>0.87</v>
      </c>
      <c r="L425" s="18">
        <f t="shared" si="67"/>
        <v>0.36112666251503961</v>
      </c>
      <c r="M425" s="18">
        <f t="shared" si="68"/>
        <v>8.3360000000000004E-2</v>
      </c>
      <c r="N425" s="18">
        <f t="shared" si="69"/>
        <v>0.86841022201572826</v>
      </c>
      <c r="AK425" s="18">
        <f>IF(AND(ISNUMBER(C425),ISNUMBER(ENSO!F425)),C425-ENSO!F425,"")</f>
        <v>0.15999999999999992</v>
      </c>
      <c r="AL425" s="18">
        <f t="shared" si="71"/>
        <v>1993.4583333333333</v>
      </c>
      <c r="AM425" s="18">
        <f t="shared" si="72"/>
        <v>0.2300000000000022</v>
      </c>
    </row>
    <row r="426" spans="1:39">
      <c r="A426" s="18" t="str">
        <f>IF(Volcanic!A426="","",Volcanic!A426)</f>
        <v>7/1993</v>
      </c>
      <c r="B426" s="18">
        <f>IF(ISNUMBER(Volcanic!L426),Volcanic!L426,"")</f>
        <v>1993.5416666666667</v>
      </c>
      <c r="C426" s="21">
        <v>0.49</v>
      </c>
      <c r="D426" s="18">
        <f t="shared" si="70"/>
        <v>0.97</v>
      </c>
      <c r="E426" s="18">
        <f>IF(ISNUMBER(Volcanic!B426),Volcanic!B426,"")</f>
        <v>0.25000000000000355</v>
      </c>
      <c r="F426" s="18">
        <f>IF(ISNUMBER(Volcanic!C426),Volcanic!C426,"")</f>
        <v>0.35231462507909828</v>
      </c>
      <c r="G426" s="18">
        <f>IF(ISNUMBER(Volcanic!E426),Volcanic!E426,"")</f>
        <v>7.9369999999999996E-2</v>
      </c>
      <c r="H426" s="18">
        <f>IF(ISNUMBER(Volcanic!D426),Volcanic!D426,"")</f>
        <v>0.73</v>
      </c>
      <c r="I426" s="18">
        <f t="shared" si="64"/>
        <v>0.35231462507909828</v>
      </c>
      <c r="J426" s="18">
        <f t="shared" si="65"/>
        <v>7.9369999999999996E-2</v>
      </c>
      <c r="K426" s="18">
        <f t="shared" si="66"/>
        <v>0.97</v>
      </c>
      <c r="L426" s="18">
        <f t="shared" si="67"/>
        <v>0.35231462507909828</v>
      </c>
      <c r="M426" s="18">
        <f t="shared" si="68"/>
        <v>7.9369999999999996E-2</v>
      </c>
      <c r="N426" s="18">
        <f t="shared" si="69"/>
        <v>0.9691002415063299</v>
      </c>
      <c r="AK426" s="18">
        <f>IF(AND(ISNUMBER(C426),ISNUMBER(ENSO!F426)),C426-ENSO!F426,"")</f>
        <v>0.20999999999999996</v>
      </c>
      <c r="AL426" s="18">
        <f t="shared" si="71"/>
        <v>1993.5416666666667</v>
      </c>
      <c r="AM426" s="18">
        <f t="shared" si="72"/>
        <v>0.25000000000000355</v>
      </c>
    </row>
    <row r="427" spans="1:39">
      <c r="A427" s="18" t="str">
        <f>IF(Volcanic!A427="","",Volcanic!A427)</f>
        <v>8/1993</v>
      </c>
      <c r="B427" s="18">
        <f>IF(ISNUMBER(Volcanic!L427),Volcanic!L427,"")</f>
        <v>1993.625</v>
      </c>
      <c r="C427" s="21">
        <v>0.51</v>
      </c>
      <c r="D427" s="18">
        <f t="shared" si="70"/>
        <v>0.9</v>
      </c>
      <c r="E427" s="18">
        <f>IF(ISNUMBER(Volcanic!B427),Volcanic!B427,"")</f>
        <v>0.10999999999999766</v>
      </c>
      <c r="F427" s="18">
        <f>IF(ISNUMBER(Volcanic!C427),Volcanic!C427,"")</f>
        <v>0.34547748263181688</v>
      </c>
      <c r="G427" s="18">
        <f>IF(ISNUMBER(Volcanic!E427),Volcanic!E427,"")</f>
        <v>7.0660000000000001E-2</v>
      </c>
      <c r="H427" s="18">
        <f>IF(ISNUMBER(Volcanic!D427),Volcanic!D427,"")</f>
        <v>0.76</v>
      </c>
      <c r="I427" s="18">
        <f t="shared" si="64"/>
        <v>0.34547748263181688</v>
      </c>
      <c r="J427" s="18">
        <f t="shared" si="65"/>
        <v>7.0660000000000001E-2</v>
      </c>
      <c r="K427" s="18">
        <f t="shared" si="66"/>
        <v>0.9</v>
      </c>
      <c r="L427" s="18">
        <f t="shared" si="67"/>
        <v>0.34547748263181688</v>
      </c>
      <c r="M427" s="18">
        <f t="shared" si="68"/>
        <v>7.0660000000000001E-2</v>
      </c>
      <c r="N427" s="18">
        <f t="shared" si="69"/>
        <v>0.89979026099692805</v>
      </c>
      <c r="AK427" s="18">
        <f>IF(AND(ISNUMBER(C427),ISNUMBER(ENSO!F427)),C427-ENSO!F427,"")</f>
        <v>0.29000000000000004</v>
      </c>
      <c r="AL427" s="18">
        <f t="shared" si="71"/>
        <v>1993.625</v>
      </c>
      <c r="AM427" s="18">
        <f t="shared" si="72"/>
        <v>0.10999999999999766</v>
      </c>
    </row>
    <row r="428" spans="1:39">
      <c r="A428" s="18" t="str">
        <f>IF(Volcanic!A428="","",Volcanic!A428)</f>
        <v>9/1993</v>
      </c>
      <c r="B428" s="18">
        <f>IF(ISNUMBER(Volcanic!L428),Volcanic!L428,"")</f>
        <v>1993.7083333333333</v>
      </c>
      <c r="C428" s="21">
        <v>0.46</v>
      </c>
      <c r="D428" s="18">
        <f t="shared" si="70"/>
        <v>0.72</v>
      </c>
      <c r="E428" s="18">
        <f>IF(ISNUMBER(Volcanic!B428),Volcanic!B428,"")</f>
        <v>0.10999999999999766</v>
      </c>
      <c r="F428" s="18">
        <f>IF(ISNUMBER(Volcanic!C428),Volcanic!C428,"")</f>
        <v>0.33889297770649457</v>
      </c>
      <c r="G428" s="18">
        <f>IF(ISNUMBER(Volcanic!E428),Volcanic!E428,"")</f>
        <v>6.9159999999999999E-2</v>
      </c>
      <c r="H428" s="18">
        <f>IF(ISNUMBER(Volcanic!D428),Volcanic!D428,"")</f>
        <v>0.56000000000000005</v>
      </c>
      <c r="I428" s="18">
        <f t="shared" si="64"/>
        <v>0.33889297770649457</v>
      </c>
      <c r="J428" s="18">
        <f t="shared" si="65"/>
        <v>6.9159999999999999E-2</v>
      </c>
      <c r="K428" s="18">
        <f t="shared" si="66"/>
        <v>0.72</v>
      </c>
      <c r="L428" s="18">
        <f t="shared" si="67"/>
        <v>0.33889297770649457</v>
      </c>
      <c r="M428" s="18">
        <f t="shared" si="68"/>
        <v>6.9159999999999999E-2</v>
      </c>
      <c r="N428" s="18">
        <f t="shared" si="69"/>
        <v>0.7204802804875261</v>
      </c>
      <c r="AK428" s="18">
        <f>IF(AND(ISNUMBER(C428),ISNUMBER(ENSO!F428)),C428-ENSO!F428,"")</f>
        <v>0.26</v>
      </c>
      <c r="AL428" s="18">
        <f t="shared" si="71"/>
        <v>1993.7083333333333</v>
      </c>
      <c r="AM428" s="18">
        <f t="shared" si="72"/>
        <v>0.10999999999999766</v>
      </c>
    </row>
    <row r="429" spans="1:39">
      <c r="A429" s="18" t="str">
        <f>IF(Volcanic!A429="","",Volcanic!A429)</f>
        <v>10/1993</v>
      </c>
      <c r="B429" s="18">
        <f>IF(ISNUMBER(Volcanic!L429),Volcanic!L429,"")</f>
        <v>1993.7916666666667</v>
      </c>
      <c r="C429" s="21">
        <v>0.36</v>
      </c>
      <c r="D429" s="18">
        <f t="shared" si="70"/>
        <v>0.49</v>
      </c>
      <c r="E429" s="18">
        <f>IF(ISNUMBER(Volcanic!B429),Volcanic!B429,"")</f>
        <v>0.24000000000000199</v>
      </c>
      <c r="F429" s="18">
        <f>IF(ISNUMBER(Volcanic!C429),Volcanic!C429,"")</f>
        <v>0.33925957300098403</v>
      </c>
      <c r="G429" s="18">
        <f>IF(ISNUMBER(Volcanic!E429),Volcanic!E429,"")</f>
        <v>6.4710000000000004E-2</v>
      </c>
      <c r="H429" s="18">
        <f>IF(ISNUMBER(Volcanic!D429),Volcanic!D429,"")</f>
        <v>0.28000000000000003</v>
      </c>
      <c r="I429" s="18">
        <f t="shared" si="64"/>
        <v>0.33925957300098403</v>
      </c>
      <c r="J429" s="18">
        <f t="shared" si="65"/>
        <v>6.4710000000000004E-2</v>
      </c>
      <c r="K429" s="18">
        <f t="shared" si="66"/>
        <v>0.49</v>
      </c>
      <c r="L429" s="18">
        <f t="shared" si="67"/>
        <v>0.33925957300098403</v>
      </c>
      <c r="M429" s="18">
        <f t="shared" si="68"/>
        <v>6.4710000000000004E-2</v>
      </c>
      <c r="N429" s="18">
        <f t="shared" si="69"/>
        <v>0.49117029997812423</v>
      </c>
      <c r="AK429" s="18">
        <f>IF(AND(ISNUMBER(C429),ISNUMBER(ENSO!F429)),C429-ENSO!F429,"")</f>
        <v>0.15999999999999998</v>
      </c>
      <c r="AL429" s="18">
        <f t="shared" si="71"/>
        <v>1993.7916666666667</v>
      </c>
      <c r="AM429" s="18">
        <f t="shared" si="72"/>
        <v>0.24000000000000199</v>
      </c>
    </row>
    <row r="430" spans="1:39">
      <c r="A430" s="18" t="str">
        <f>IF(Volcanic!A430="","",Volcanic!A430)</f>
        <v>11/1993</v>
      </c>
      <c r="B430" s="18">
        <f>IF(ISNUMBER(Volcanic!L430),Volcanic!L430,"")</f>
        <v>1993.875</v>
      </c>
      <c r="C430" s="21">
        <v>0.28000000000000003</v>
      </c>
      <c r="D430" s="18">
        <f t="shared" si="70"/>
        <v>0.51</v>
      </c>
      <c r="E430" s="18">
        <f>IF(ISNUMBER(Volcanic!B430),Volcanic!B430,"")</f>
        <v>3.9999999999999147E-2</v>
      </c>
      <c r="F430" s="18">
        <f>IF(ISNUMBER(Volcanic!C430),Volcanic!C430,"")</f>
        <v>0.34454447395471077</v>
      </c>
      <c r="G430" s="18">
        <f>IF(ISNUMBER(Volcanic!E430),Volcanic!E430,"")</f>
        <v>6.4380000000000007E-2</v>
      </c>
      <c r="H430" s="18">
        <f>IF(ISNUMBER(Volcanic!D430),Volcanic!D430,"")</f>
        <v>0.22</v>
      </c>
      <c r="I430" s="18">
        <f t="shared" si="64"/>
        <v>0.34454447395471077</v>
      </c>
      <c r="J430" s="18">
        <f t="shared" si="65"/>
        <v>6.4380000000000007E-2</v>
      </c>
      <c r="K430" s="18">
        <f t="shared" si="66"/>
        <v>0.51</v>
      </c>
      <c r="L430" s="18">
        <f t="shared" si="67"/>
        <v>0.34454447395471077</v>
      </c>
      <c r="M430" s="18">
        <f t="shared" si="68"/>
        <v>6.4380000000000007E-2</v>
      </c>
      <c r="N430" s="18">
        <f t="shared" si="69"/>
        <v>0.51186031946872235</v>
      </c>
      <c r="AK430" s="18">
        <f>IF(AND(ISNUMBER(C430),ISNUMBER(ENSO!F430)),C430-ENSO!F430,"")</f>
        <v>8.0000000000000016E-2</v>
      </c>
      <c r="AL430" s="18">
        <f t="shared" si="71"/>
        <v>1993.875</v>
      </c>
      <c r="AM430" s="18">
        <f t="shared" si="72"/>
        <v>3.9999999999999147E-2</v>
      </c>
    </row>
    <row r="431" spans="1:39">
      <c r="A431" s="18" t="str">
        <f>IF(Volcanic!A431="","",Volcanic!A431)</f>
        <v>12/1993</v>
      </c>
      <c r="B431" s="18">
        <f>IF(ISNUMBER(Volcanic!L431),Volcanic!L431,"")</f>
        <v>1993.9583333333333</v>
      </c>
      <c r="C431" s="21">
        <v>0.27</v>
      </c>
      <c r="D431" s="18">
        <f t="shared" si="70"/>
        <v>0.46</v>
      </c>
      <c r="E431" s="18">
        <f>IF(ISNUMBER(Volcanic!B431),Volcanic!B431,"")</f>
        <v>0.17999999999999972</v>
      </c>
      <c r="F431" s="18">
        <f>IF(ISNUMBER(Volcanic!C431),Volcanic!C431,"")</f>
        <v>0.35061847686790176</v>
      </c>
      <c r="G431" s="18">
        <f>IF(ISNUMBER(Volcanic!E431),Volcanic!E431,"")</f>
        <v>5.951E-2</v>
      </c>
      <c r="H431" s="18">
        <f>IF(ISNUMBER(Volcanic!D431),Volcanic!D431,"")</f>
        <v>0.2</v>
      </c>
      <c r="I431" s="18">
        <f t="shared" si="64"/>
        <v>0.35061847686790176</v>
      </c>
      <c r="J431" s="18">
        <f t="shared" si="65"/>
        <v>5.951E-2</v>
      </c>
      <c r="K431" s="18">
        <f t="shared" si="66"/>
        <v>0.46</v>
      </c>
      <c r="L431" s="18">
        <f t="shared" si="67"/>
        <v>0.35061847686790176</v>
      </c>
      <c r="M431" s="18">
        <f t="shared" si="68"/>
        <v>5.951E-2</v>
      </c>
      <c r="N431" s="18">
        <f t="shared" si="69"/>
        <v>0.46255033895932401</v>
      </c>
      <c r="AK431" s="18">
        <f>IF(AND(ISNUMBER(C431),ISNUMBER(ENSO!F431)),C431-ENSO!F431,"")</f>
        <v>8.0000000000000016E-2</v>
      </c>
      <c r="AL431" s="18">
        <f t="shared" si="71"/>
        <v>1993.9583333333333</v>
      </c>
      <c r="AM431" s="18">
        <f t="shared" si="72"/>
        <v>0.17999999999999972</v>
      </c>
    </row>
    <row r="432" spans="1:39">
      <c r="A432" s="18" t="str">
        <f>IF(Volcanic!A432="","",Volcanic!A432)</f>
        <v>1/1994</v>
      </c>
      <c r="B432" s="18">
        <f>IF(ISNUMBER(Volcanic!L432),Volcanic!L432,"")</f>
        <v>1994.0416666666667</v>
      </c>
      <c r="C432" s="21">
        <v>0.32</v>
      </c>
      <c r="D432" s="18">
        <f t="shared" si="70"/>
        <v>0.36</v>
      </c>
      <c r="E432" s="18">
        <f>IF(ISNUMBER(Volcanic!B432),Volcanic!B432,"")</f>
        <v>0.25999999999999979</v>
      </c>
      <c r="F432" s="18">
        <f>IF(ISNUMBER(Volcanic!C432),Volcanic!C432,"")</f>
        <v>0.35598278616786283</v>
      </c>
      <c r="G432" s="18">
        <f>IF(ISNUMBER(Volcanic!E432),Volcanic!E432,"")</f>
        <v>5.4960000000000002E-2</v>
      </c>
      <c r="H432" s="18">
        <f>IF(ISNUMBER(Volcanic!D432),Volcanic!D432,"")</f>
        <v>0.2</v>
      </c>
      <c r="I432" s="18">
        <f t="shared" si="64"/>
        <v>0.35598278616786283</v>
      </c>
      <c r="J432" s="18">
        <f t="shared" si="65"/>
        <v>5.4960000000000002E-2</v>
      </c>
      <c r="K432" s="18">
        <f t="shared" si="66"/>
        <v>0.36</v>
      </c>
      <c r="L432" s="18">
        <f t="shared" si="67"/>
        <v>0.35598278616786283</v>
      </c>
      <c r="M432" s="18">
        <f t="shared" si="68"/>
        <v>5.4960000000000002E-2</v>
      </c>
      <c r="N432" s="18">
        <f t="shared" si="69"/>
        <v>0.36324035844992208</v>
      </c>
      <c r="AK432" s="18">
        <f>IF(AND(ISNUMBER(C432),ISNUMBER(ENSO!F432)),C432-ENSO!F432,"")</f>
        <v>0.25</v>
      </c>
      <c r="AL432" s="18">
        <f t="shared" si="71"/>
        <v>1994.0416666666667</v>
      </c>
      <c r="AM432" s="18">
        <f t="shared" si="72"/>
        <v>0.25999999999999979</v>
      </c>
    </row>
    <row r="433" spans="1:39">
      <c r="A433" s="18" t="str">
        <f>IF(Volcanic!A433="","",Volcanic!A433)</f>
        <v>2/1994</v>
      </c>
      <c r="B433" s="18">
        <f>IF(ISNUMBER(Volcanic!L433),Volcanic!L433,"")</f>
        <v>1994.125</v>
      </c>
      <c r="C433" s="21">
        <v>0.33</v>
      </c>
      <c r="D433" s="18">
        <f t="shared" si="70"/>
        <v>0.28000000000000003</v>
      </c>
      <c r="E433" s="18">
        <f>IF(ISNUMBER(Volcanic!B433),Volcanic!B433,"")</f>
        <v>2.0000000000003126E-2</v>
      </c>
      <c r="F433" s="18">
        <f>IF(ISNUMBER(Volcanic!C433),Volcanic!C433,"")</f>
        <v>0.35871775388910165</v>
      </c>
      <c r="G433" s="18">
        <f>IF(ISNUMBER(Volcanic!E433),Volcanic!E433,"")</f>
        <v>5.0900000000000001E-2</v>
      </c>
      <c r="H433" s="18">
        <f>IF(ISNUMBER(Volcanic!D433),Volcanic!D433,"")</f>
        <v>0.2</v>
      </c>
      <c r="I433" s="18">
        <f t="shared" si="64"/>
        <v>0.35871775388910165</v>
      </c>
      <c r="J433" s="18">
        <f t="shared" si="65"/>
        <v>5.0900000000000001E-2</v>
      </c>
      <c r="K433" s="18">
        <f t="shared" si="66"/>
        <v>0.28000000000000003</v>
      </c>
      <c r="L433" s="18">
        <f t="shared" si="67"/>
        <v>0.35871775388910165</v>
      </c>
      <c r="M433" s="18">
        <f t="shared" si="68"/>
        <v>5.0900000000000001E-2</v>
      </c>
      <c r="N433" s="18">
        <f t="shared" si="69"/>
        <v>0.28393037794052023</v>
      </c>
      <c r="AK433" s="18">
        <f>IF(AND(ISNUMBER(C433),ISNUMBER(ENSO!F433)),C433-ENSO!F433,"")</f>
        <v>0.33</v>
      </c>
      <c r="AL433" s="18">
        <f t="shared" si="71"/>
        <v>1994.125</v>
      </c>
      <c r="AM433" s="18">
        <f t="shared" si="72"/>
        <v>2.0000000000003126E-2</v>
      </c>
    </row>
    <row r="434" spans="1:39">
      <c r="A434" s="18" t="str">
        <f>IF(Volcanic!A434="","",Volcanic!A434)</f>
        <v>3/1994</v>
      </c>
      <c r="B434" s="18">
        <f>IF(ISNUMBER(Volcanic!L434),Volcanic!L434,"")</f>
        <v>1994.2083333333333</v>
      </c>
      <c r="C434" s="21">
        <v>0.43</v>
      </c>
      <c r="D434" s="18">
        <f t="shared" si="70"/>
        <v>0.27</v>
      </c>
      <c r="E434" s="18">
        <f>IF(ISNUMBER(Volcanic!B434),Volcanic!B434,"")</f>
        <v>0.28999999999999559</v>
      </c>
      <c r="F434" s="18">
        <f>IF(ISNUMBER(Volcanic!C434),Volcanic!C434,"")</f>
        <v>0.36301083553510793</v>
      </c>
      <c r="G434" s="18">
        <f>IF(ISNUMBER(Volcanic!E434),Volcanic!E434,"")</f>
        <v>4.6559999999999997E-2</v>
      </c>
      <c r="H434" s="18">
        <f>IF(ISNUMBER(Volcanic!D434),Volcanic!D434,"")</f>
        <v>0.19</v>
      </c>
      <c r="I434" s="18">
        <f t="shared" si="64"/>
        <v>0.36301083553510793</v>
      </c>
      <c r="J434" s="18">
        <f t="shared" si="65"/>
        <v>4.6559999999999997E-2</v>
      </c>
      <c r="K434" s="18">
        <f t="shared" si="66"/>
        <v>0.27</v>
      </c>
      <c r="L434" s="18">
        <f t="shared" si="67"/>
        <v>0.36301083553510793</v>
      </c>
      <c r="M434" s="18">
        <f t="shared" si="68"/>
        <v>4.6559999999999997E-2</v>
      </c>
      <c r="N434" s="18">
        <f t="shared" si="69"/>
        <v>0.27462039743111832</v>
      </c>
      <c r="AK434" s="18">
        <f>IF(AND(ISNUMBER(C434),ISNUMBER(ENSO!F434)),C434-ENSO!F434,"")</f>
        <v>0.39</v>
      </c>
      <c r="AL434" s="18">
        <f t="shared" si="71"/>
        <v>1994.2083333333333</v>
      </c>
      <c r="AM434" s="18">
        <f t="shared" si="72"/>
        <v>0.28999999999999559</v>
      </c>
    </row>
    <row r="435" spans="1:39">
      <c r="A435" s="18" t="str">
        <f>IF(Volcanic!A435="","",Volcanic!A435)</f>
        <v>4/1994</v>
      </c>
      <c r="B435" s="18">
        <f>IF(ISNUMBER(Volcanic!L435),Volcanic!L435,"")</f>
        <v>1994.2916666666667</v>
      </c>
      <c r="C435" s="21">
        <v>0.54</v>
      </c>
      <c r="D435" s="18">
        <f t="shared" si="70"/>
        <v>0.32</v>
      </c>
      <c r="E435" s="18">
        <f>IF(ISNUMBER(Volcanic!B435),Volcanic!B435,"")</f>
        <v>0.41000000000000014</v>
      </c>
      <c r="F435" s="18">
        <f>IF(ISNUMBER(Volcanic!C435),Volcanic!C435,"")</f>
        <v>0.36800999171782506</v>
      </c>
      <c r="G435" s="18">
        <f>IF(ISNUMBER(Volcanic!E435),Volcanic!E435,"")</f>
        <v>4.249E-2</v>
      </c>
      <c r="H435" s="18">
        <f>IF(ISNUMBER(Volcanic!D435),Volcanic!D435,"")</f>
        <v>7.0000000000000007E-2</v>
      </c>
      <c r="I435" s="18">
        <f t="shared" si="64"/>
        <v>0.36800999171782506</v>
      </c>
      <c r="J435" s="18">
        <f t="shared" si="65"/>
        <v>4.249E-2</v>
      </c>
      <c r="K435" s="18">
        <f t="shared" si="66"/>
        <v>0.32</v>
      </c>
      <c r="L435" s="18">
        <f t="shared" si="67"/>
        <v>0.36800999171782506</v>
      </c>
      <c r="M435" s="18">
        <f t="shared" si="68"/>
        <v>4.249E-2</v>
      </c>
      <c r="N435" s="18">
        <f t="shared" si="69"/>
        <v>0.32531041692171997</v>
      </c>
      <c r="AK435" s="18">
        <f>IF(AND(ISNUMBER(C435),ISNUMBER(ENSO!F435)),C435-ENSO!F435,"")</f>
        <v>0.37</v>
      </c>
      <c r="AL435" s="18">
        <f t="shared" si="71"/>
        <v>1994.2916666666667</v>
      </c>
      <c r="AM435" s="18">
        <f t="shared" si="72"/>
        <v>0.41000000000000014</v>
      </c>
    </row>
    <row r="436" spans="1:39">
      <c r="A436" s="18" t="str">
        <f>IF(Volcanic!A436="","",Volcanic!A436)</f>
        <v>5/1994</v>
      </c>
      <c r="B436" s="18">
        <f>IF(ISNUMBER(Volcanic!L436),Volcanic!L436,"")</f>
        <v>1994.375</v>
      </c>
      <c r="C436" s="21">
        <v>0.64</v>
      </c>
      <c r="D436" s="18">
        <f t="shared" si="70"/>
        <v>0.33</v>
      </c>
      <c r="E436" s="18">
        <f>IF(ISNUMBER(Volcanic!B436),Volcanic!B436,"")</f>
        <v>0.28000000000000114</v>
      </c>
      <c r="F436" s="18">
        <f>IF(ISNUMBER(Volcanic!C436),Volcanic!C436,"")</f>
        <v>0.36968582761490204</v>
      </c>
      <c r="G436" s="18">
        <f>IF(ISNUMBER(Volcanic!E436),Volcanic!E436,"")</f>
        <v>3.9300000000000002E-2</v>
      </c>
      <c r="H436" s="18">
        <f>IF(ISNUMBER(Volcanic!D436),Volcanic!D436,"")</f>
        <v>0</v>
      </c>
      <c r="I436" s="18">
        <f t="shared" si="64"/>
        <v>0.36968582761490204</v>
      </c>
      <c r="J436" s="18">
        <f t="shared" si="65"/>
        <v>3.9300000000000002E-2</v>
      </c>
      <c r="K436" s="18">
        <f t="shared" si="66"/>
        <v>0.33</v>
      </c>
      <c r="L436" s="18">
        <f t="shared" si="67"/>
        <v>0.36968582761490204</v>
      </c>
      <c r="M436" s="18">
        <f t="shared" si="68"/>
        <v>3.9300000000000002E-2</v>
      </c>
      <c r="N436" s="18">
        <f t="shared" si="69"/>
        <v>0.33600043641231808</v>
      </c>
      <c r="AK436" s="18">
        <f>IF(AND(ISNUMBER(C436),ISNUMBER(ENSO!F436)),C436-ENSO!F436,"")</f>
        <v>0.39</v>
      </c>
      <c r="AL436" s="18">
        <f t="shared" si="71"/>
        <v>1994.375</v>
      </c>
      <c r="AM436" s="18">
        <f t="shared" si="72"/>
        <v>0.28000000000000114</v>
      </c>
    </row>
    <row r="437" spans="1:39">
      <c r="A437" s="18" t="str">
        <f>IF(Volcanic!A437="","",Volcanic!A437)</f>
        <v>6/1994</v>
      </c>
      <c r="B437" s="18">
        <f>IF(ISNUMBER(Volcanic!L437),Volcanic!L437,"")</f>
        <v>1994.4583333333333</v>
      </c>
      <c r="C437" s="21">
        <v>0.64</v>
      </c>
      <c r="D437" s="18">
        <f t="shared" si="70"/>
        <v>0.43</v>
      </c>
      <c r="E437" s="18">
        <f>IF(ISNUMBER(Volcanic!B437),Volcanic!B437,"")</f>
        <v>0.42999999999999972</v>
      </c>
      <c r="F437" s="18">
        <f>IF(ISNUMBER(Volcanic!C437),Volcanic!C437,"")</f>
        <v>0.36633220690413326</v>
      </c>
      <c r="G437" s="18">
        <f>IF(ISNUMBER(Volcanic!E437),Volcanic!E437,"")</f>
        <v>3.5959999999999999E-2</v>
      </c>
      <c r="H437" s="18">
        <f>IF(ISNUMBER(Volcanic!D437),Volcanic!D437,"")</f>
        <v>0.04</v>
      </c>
      <c r="I437" s="18">
        <f t="shared" si="64"/>
        <v>0.36633220690413326</v>
      </c>
      <c r="J437" s="18">
        <f t="shared" si="65"/>
        <v>3.5959999999999999E-2</v>
      </c>
      <c r="K437" s="18">
        <f t="shared" si="66"/>
        <v>0.43</v>
      </c>
      <c r="L437" s="18">
        <f t="shared" si="67"/>
        <v>0.36633220690413326</v>
      </c>
      <c r="M437" s="18">
        <f t="shared" si="68"/>
        <v>3.5959999999999999E-2</v>
      </c>
      <c r="N437" s="18">
        <f t="shared" si="69"/>
        <v>0.43669045590291616</v>
      </c>
      <c r="AK437" s="18">
        <f>IF(AND(ISNUMBER(C437),ISNUMBER(ENSO!F437)),C437-ENSO!F437,"")</f>
        <v>0.41000000000000003</v>
      </c>
      <c r="AL437" s="18">
        <f t="shared" si="71"/>
        <v>1994.4583333333333</v>
      </c>
      <c r="AM437" s="18">
        <f t="shared" si="72"/>
        <v>0.42999999999999972</v>
      </c>
    </row>
    <row r="438" spans="1:39">
      <c r="A438" s="18" t="str">
        <f>IF(Volcanic!A438="","",Volcanic!A438)</f>
        <v>7/1994</v>
      </c>
      <c r="B438" s="18">
        <f>IF(ISNUMBER(Volcanic!L438),Volcanic!L438,"")</f>
        <v>1994.5416666666667</v>
      </c>
      <c r="C438" s="21">
        <v>0.74</v>
      </c>
      <c r="D438" s="18">
        <f t="shared" si="70"/>
        <v>0.54</v>
      </c>
      <c r="E438" s="18">
        <f>IF(ISNUMBER(Volcanic!B438),Volcanic!B438,"")</f>
        <v>0.30000000000000249</v>
      </c>
      <c r="F438" s="18">
        <f>IF(ISNUMBER(Volcanic!C438),Volcanic!C438,"")</f>
        <v>0.36060507353538723</v>
      </c>
      <c r="G438" s="18">
        <f>IF(ISNUMBER(Volcanic!E438),Volcanic!E438,"")</f>
        <v>3.2710000000000003E-2</v>
      </c>
      <c r="H438" s="18">
        <f>IF(ISNUMBER(Volcanic!D438),Volcanic!D438,"")</f>
        <v>0.17</v>
      </c>
      <c r="I438" s="18">
        <f t="shared" si="64"/>
        <v>0.36060507353538723</v>
      </c>
      <c r="J438" s="18">
        <f t="shared" si="65"/>
        <v>3.2710000000000003E-2</v>
      </c>
      <c r="K438" s="18">
        <f t="shared" si="66"/>
        <v>0.54</v>
      </c>
      <c r="L438" s="18">
        <f t="shared" si="67"/>
        <v>0.36060507353538723</v>
      </c>
      <c r="M438" s="18">
        <f t="shared" si="68"/>
        <v>3.2710000000000003E-2</v>
      </c>
      <c r="N438" s="18">
        <f t="shared" si="69"/>
        <v>0.54738047539351786</v>
      </c>
      <c r="AK438" s="18">
        <f>IF(AND(ISNUMBER(C438),ISNUMBER(ENSO!F438)),C438-ENSO!F438,"")</f>
        <v>0.44</v>
      </c>
      <c r="AL438" s="18">
        <f t="shared" si="71"/>
        <v>1994.5416666666667</v>
      </c>
      <c r="AM438" s="18">
        <f t="shared" si="72"/>
        <v>0.30000000000000249</v>
      </c>
    </row>
    <row r="439" spans="1:39">
      <c r="A439" s="18" t="str">
        <f>IF(Volcanic!A439="","",Volcanic!A439)</f>
        <v>8/1994</v>
      </c>
      <c r="B439" s="18">
        <f>IF(ISNUMBER(Volcanic!L439),Volcanic!L439,"")</f>
        <v>1994.625</v>
      </c>
      <c r="C439" s="21">
        <v>0.81</v>
      </c>
      <c r="D439" s="18">
        <f t="shared" si="70"/>
        <v>0.64</v>
      </c>
      <c r="E439" s="18">
        <f>IF(ISNUMBER(Volcanic!B439),Volcanic!B439,"")</f>
        <v>0.22000000000000242</v>
      </c>
      <c r="F439" s="18">
        <f>IF(ISNUMBER(Volcanic!C439),Volcanic!C439,"")</f>
        <v>0.35287956496583295</v>
      </c>
      <c r="G439" s="18">
        <f>IF(ISNUMBER(Volcanic!E439),Volcanic!E439,"")</f>
        <v>2.9739999999999999E-2</v>
      </c>
      <c r="H439" s="18">
        <f>IF(ISNUMBER(Volcanic!D439),Volcanic!D439,"")</f>
        <v>0.25</v>
      </c>
      <c r="I439" s="18">
        <f t="shared" si="64"/>
        <v>0.35287956496583295</v>
      </c>
      <c r="J439" s="18">
        <f t="shared" si="65"/>
        <v>2.9739999999999999E-2</v>
      </c>
      <c r="K439" s="18">
        <f t="shared" si="66"/>
        <v>0.64</v>
      </c>
      <c r="L439" s="18">
        <f t="shared" si="67"/>
        <v>0.35287956496583295</v>
      </c>
      <c r="M439" s="18">
        <f t="shared" si="68"/>
        <v>2.9739999999999999E-2</v>
      </c>
      <c r="N439" s="18">
        <f t="shared" si="69"/>
        <v>0.64807049488411594</v>
      </c>
      <c r="AK439" s="18">
        <f>IF(AND(ISNUMBER(C439),ISNUMBER(ENSO!F439)),C439-ENSO!F439,"")</f>
        <v>0.51</v>
      </c>
      <c r="AL439" s="18">
        <f t="shared" si="71"/>
        <v>1994.625</v>
      </c>
      <c r="AM439" s="18">
        <f t="shared" si="72"/>
        <v>0.22000000000000242</v>
      </c>
    </row>
    <row r="440" spans="1:39">
      <c r="A440" s="18" t="str">
        <f>IF(Volcanic!A440="","",Volcanic!A440)</f>
        <v>9/1994</v>
      </c>
      <c r="B440" s="18">
        <f>IF(ISNUMBER(Volcanic!L440),Volcanic!L440,"")</f>
        <v>1994.7083333333333</v>
      </c>
      <c r="C440" s="21">
        <v>0.95</v>
      </c>
      <c r="D440" s="18">
        <f t="shared" si="70"/>
        <v>0.64</v>
      </c>
      <c r="E440" s="18">
        <f>IF(ISNUMBER(Volcanic!B440),Volcanic!B440,"")</f>
        <v>0.31000000000000227</v>
      </c>
      <c r="F440" s="18">
        <f>IF(ISNUMBER(Volcanic!C440),Volcanic!C440,"")</f>
        <v>0.34588295045182915</v>
      </c>
      <c r="G440" s="18">
        <f>IF(ISNUMBER(Volcanic!E440),Volcanic!E440,"")</f>
        <v>2.4920000000000001E-2</v>
      </c>
      <c r="H440" s="18">
        <f>IF(ISNUMBER(Volcanic!D440),Volcanic!D440,"")</f>
        <v>0.23</v>
      </c>
      <c r="I440" s="18">
        <f t="shared" si="64"/>
        <v>0.34588295045182915</v>
      </c>
      <c r="J440" s="18">
        <f t="shared" si="65"/>
        <v>2.4920000000000001E-2</v>
      </c>
      <c r="K440" s="18">
        <f t="shared" si="66"/>
        <v>0.64</v>
      </c>
      <c r="L440" s="18">
        <f t="shared" si="67"/>
        <v>0.34588295045182915</v>
      </c>
      <c r="M440" s="18">
        <f t="shared" si="68"/>
        <v>2.4920000000000001E-2</v>
      </c>
      <c r="N440" s="18">
        <f t="shared" si="69"/>
        <v>0.64876051437471405</v>
      </c>
      <c r="AK440" s="18">
        <f>IF(AND(ISNUMBER(C440),ISNUMBER(ENSO!F440)),C440-ENSO!F440,"")</f>
        <v>0.48</v>
      </c>
      <c r="AL440" s="18">
        <f t="shared" si="71"/>
        <v>1994.7083333333333</v>
      </c>
      <c r="AM440" s="18">
        <f t="shared" si="72"/>
        <v>0.31000000000000227</v>
      </c>
    </row>
    <row r="441" spans="1:39">
      <c r="A441" s="18" t="str">
        <f>IF(Volcanic!A441="","",Volcanic!A441)</f>
        <v>10/1994</v>
      </c>
      <c r="B441" s="18">
        <f>IF(ISNUMBER(Volcanic!L441),Volcanic!L441,"")</f>
        <v>1994.7916666666667</v>
      </c>
      <c r="C441" s="21">
        <v>1.1100000000000001</v>
      </c>
      <c r="D441" s="18">
        <f t="shared" si="70"/>
        <v>0.74</v>
      </c>
      <c r="E441" s="18">
        <f>IF(ISNUMBER(Volcanic!B441),Volcanic!B441,"")</f>
        <v>0.42999999999999972</v>
      </c>
      <c r="F441" s="18">
        <f>IF(ISNUMBER(Volcanic!C441),Volcanic!C441,"")</f>
        <v>0.34730119108821406</v>
      </c>
      <c r="G441" s="18">
        <f>IF(ISNUMBER(Volcanic!E441),Volcanic!E441,"")</f>
        <v>2.1430000000000001E-2</v>
      </c>
      <c r="H441" s="18">
        <f>IF(ISNUMBER(Volcanic!D441),Volcanic!D441,"")</f>
        <v>0.3</v>
      </c>
      <c r="I441" s="18">
        <f t="shared" si="64"/>
        <v>0.34730119108821406</v>
      </c>
      <c r="J441" s="18">
        <f t="shared" si="65"/>
        <v>2.1430000000000001E-2</v>
      </c>
      <c r="K441" s="18">
        <f t="shared" si="66"/>
        <v>0.74</v>
      </c>
      <c r="L441" s="18">
        <f t="shared" si="67"/>
        <v>0.34730119108821406</v>
      </c>
      <c r="M441" s="18">
        <f t="shared" si="68"/>
        <v>2.1430000000000001E-2</v>
      </c>
      <c r="N441" s="18">
        <f t="shared" si="69"/>
        <v>0.74945053386531213</v>
      </c>
      <c r="AK441" s="18">
        <f>IF(AND(ISNUMBER(C441),ISNUMBER(ENSO!F441)),C441-ENSO!F441,"")</f>
        <v>0.45000000000000007</v>
      </c>
      <c r="AL441" s="18">
        <f t="shared" si="71"/>
        <v>1994.7916666666667</v>
      </c>
      <c r="AM441" s="18">
        <f t="shared" si="72"/>
        <v>0.42999999999999972</v>
      </c>
    </row>
    <row r="442" spans="1:39">
      <c r="A442" s="18" t="str">
        <f>IF(Volcanic!A442="","",Volcanic!A442)</f>
        <v>11/1994</v>
      </c>
      <c r="B442" s="18">
        <f>IF(ISNUMBER(Volcanic!L442),Volcanic!L442,"")</f>
        <v>1994.875</v>
      </c>
      <c r="C442" s="21">
        <v>1.34</v>
      </c>
      <c r="D442" s="18">
        <f t="shared" si="70"/>
        <v>0.81</v>
      </c>
      <c r="E442" s="18">
        <f>IF(ISNUMBER(Volcanic!B442),Volcanic!B442,"")</f>
        <v>0.44999999999999751</v>
      </c>
      <c r="F442" s="18">
        <f>IF(ISNUMBER(Volcanic!C442),Volcanic!C442,"")</f>
        <v>0.35312161435528655</v>
      </c>
      <c r="G442" s="18">
        <f>IF(ISNUMBER(Volcanic!E442),Volcanic!E442,"")</f>
        <v>1.8630000000000001E-2</v>
      </c>
      <c r="H442" s="18">
        <f>IF(ISNUMBER(Volcanic!D442),Volcanic!D442,"")</f>
        <v>0.3</v>
      </c>
      <c r="I442" s="18">
        <f t="shared" si="64"/>
        <v>0.35312161435528655</v>
      </c>
      <c r="J442" s="18">
        <f t="shared" si="65"/>
        <v>1.8630000000000001E-2</v>
      </c>
      <c r="K442" s="18">
        <f t="shared" si="66"/>
        <v>0.81</v>
      </c>
      <c r="L442" s="18">
        <f t="shared" si="67"/>
        <v>0.35312161435528655</v>
      </c>
      <c r="M442" s="18">
        <f t="shared" si="68"/>
        <v>1.8630000000000001E-2</v>
      </c>
      <c r="N442" s="18">
        <f t="shared" si="69"/>
        <v>0.82014055335591385</v>
      </c>
      <c r="AK442" s="18">
        <f>IF(AND(ISNUMBER(C442),ISNUMBER(ENSO!F442)),C442-ENSO!F442,"")</f>
        <v>0.41000000000000003</v>
      </c>
      <c r="AL442" s="18">
        <f t="shared" si="71"/>
        <v>1994.875</v>
      </c>
      <c r="AM442" s="18">
        <f t="shared" si="72"/>
        <v>0.44999999999999751</v>
      </c>
    </row>
    <row r="443" spans="1:39">
      <c r="A443" s="18" t="str">
        <f>IF(Volcanic!A443="","",Volcanic!A443)</f>
        <v>12/1994</v>
      </c>
      <c r="B443" s="18">
        <f>IF(ISNUMBER(Volcanic!L443),Volcanic!L443,"")</f>
        <v>1994.9583333333333</v>
      </c>
      <c r="C443" s="21">
        <v>1.43</v>
      </c>
      <c r="D443" s="18">
        <f t="shared" si="70"/>
        <v>0.95</v>
      </c>
      <c r="E443" s="18">
        <f>IF(ISNUMBER(Volcanic!B443),Volcanic!B443,"")</f>
        <v>0.38999999999999879</v>
      </c>
      <c r="F443" s="18">
        <f>IF(ISNUMBER(Volcanic!C443),Volcanic!C443,"")</f>
        <v>0.35895882583232935</v>
      </c>
      <c r="G443" s="18">
        <f>IF(ISNUMBER(Volcanic!E443),Volcanic!E443,"")</f>
        <v>1.685E-2</v>
      </c>
      <c r="H443" s="18">
        <f>IF(ISNUMBER(Volcanic!D443),Volcanic!D443,"")</f>
        <v>0.47</v>
      </c>
      <c r="I443" s="18">
        <f t="shared" si="64"/>
        <v>0.35895882583232935</v>
      </c>
      <c r="J443" s="18">
        <f t="shared" si="65"/>
        <v>1.685E-2</v>
      </c>
      <c r="K443" s="18">
        <f t="shared" si="66"/>
        <v>0.95</v>
      </c>
      <c r="L443" s="18">
        <f t="shared" si="67"/>
        <v>0.35895882583232935</v>
      </c>
      <c r="M443" s="18">
        <f t="shared" si="68"/>
        <v>1.685E-2</v>
      </c>
      <c r="N443" s="18">
        <f t="shared" si="69"/>
        <v>0.96083057284651185</v>
      </c>
      <c r="AK443" s="18">
        <f>IF(AND(ISNUMBER(C443),ISNUMBER(ENSO!F443)),C443-ENSO!F443,"")</f>
        <v>0.45999999999999996</v>
      </c>
      <c r="AL443" s="18">
        <f t="shared" si="71"/>
        <v>1994.9583333333333</v>
      </c>
      <c r="AM443" s="18">
        <f t="shared" si="72"/>
        <v>0.38999999999999879</v>
      </c>
    </row>
    <row r="444" spans="1:39">
      <c r="A444" s="18" t="str">
        <f>IF(Volcanic!A444="","",Volcanic!A444)</f>
        <v>1/1995</v>
      </c>
      <c r="B444" s="18">
        <f>IF(ISNUMBER(Volcanic!L444),Volcanic!L444,"")</f>
        <v>1995.0416666666667</v>
      </c>
      <c r="C444" s="21">
        <v>1.27</v>
      </c>
      <c r="D444" s="18">
        <f t="shared" si="70"/>
        <v>1.1100000000000001</v>
      </c>
      <c r="E444" s="18">
        <f>IF(ISNUMBER(Volcanic!B444),Volcanic!B444,"")</f>
        <v>0.52999999999999758</v>
      </c>
      <c r="F444" s="18">
        <f>IF(ISNUMBER(Volcanic!C444),Volcanic!C444,"")</f>
        <v>0.36273036992883079</v>
      </c>
      <c r="G444" s="18">
        <f>IF(ISNUMBER(Volcanic!E444),Volcanic!E444,"")</f>
        <v>1.5699999999999999E-2</v>
      </c>
      <c r="H444" s="18">
        <f>IF(ISNUMBER(Volcanic!D444),Volcanic!D444,"")</f>
        <v>0.66</v>
      </c>
      <c r="I444" s="18">
        <f t="shared" si="64"/>
        <v>0.36273036992883079</v>
      </c>
      <c r="J444" s="18">
        <f t="shared" si="65"/>
        <v>1.5699999999999999E-2</v>
      </c>
      <c r="K444" s="18">
        <f t="shared" si="66"/>
        <v>1.1100000000000001</v>
      </c>
      <c r="L444" s="18">
        <f t="shared" si="67"/>
        <v>0.36273036992883079</v>
      </c>
      <c r="M444" s="18">
        <f t="shared" si="68"/>
        <v>1.5699999999999999E-2</v>
      </c>
      <c r="N444" s="18">
        <f t="shared" si="69"/>
        <v>1.1215205923371101</v>
      </c>
      <c r="AK444" s="18">
        <f>IF(AND(ISNUMBER(C444),ISNUMBER(ENSO!F444)),C444-ENSO!F444,"")</f>
        <v>0.39</v>
      </c>
      <c r="AL444" s="18">
        <f t="shared" si="71"/>
        <v>1995.0416666666667</v>
      </c>
      <c r="AM444" s="18">
        <f t="shared" si="72"/>
        <v>0.52999999999999758</v>
      </c>
    </row>
    <row r="445" spans="1:39">
      <c r="A445" s="18" t="str">
        <f>IF(Volcanic!A445="","",Volcanic!A445)</f>
        <v>2/1995</v>
      </c>
      <c r="B445" s="18">
        <f>IF(ISNUMBER(Volcanic!L445),Volcanic!L445,"")</f>
        <v>1995.125</v>
      </c>
      <c r="C445" s="21">
        <v>0.95</v>
      </c>
      <c r="D445" s="18">
        <f t="shared" si="70"/>
        <v>1.34</v>
      </c>
      <c r="E445" s="18">
        <f>IF(ISNUMBER(Volcanic!B445),Volcanic!B445,"")</f>
        <v>0.79000000000000092</v>
      </c>
      <c r="F445" s="18">
        <f>IF(ISNUMBER(Volcanic!C445),Volcanic!C445,"")</f>
        <v>0.36657200994220462</v>
      </c>
      <c r="G445" s="18">
        <f>IF(ISNUMBER(Volcanic!E445),Volcanic!E445,"")</f>
        <v>1.482E-2</v>
      </c>
      <c r="H445" s="18">
        <f>IF(ISNUMBER(Volcanic!D445),Volcanic!D445,"")</f>
        <v>0.93</v>
      </c>
      <c r="I445" s="18">
        <f t="shared" si="64"/>
        <v>0.36657200994220462</v>
      </c>
      <c r="J445" s="18">
        <f t="shared" si="65"/>
        <v>1.482E-2</v>
      </c>
      <c r="K445" s="18">
        <f t="shared" si="66"/>
        <v>1.34</v>
      </c>
      <c r="L445" s="18">
        <f t="shared" si="67"/>
        <v>0.36657200994220462</v>
      </c>
      <c r="M445" s="18">
        <f t="shared" si="68"/>
        <v>1.482E-2</v>
      </c>
      <c r="N445" s="18">
        <f t="shared" si="69"/>
        <v>1.3522106118277082</v>
      </c>
      <c r="AK445" s="18">
        <f>IF(AND(ISNUMBER(C445),ISNUMBER(ENSO!F445)),C445-ENSO!F445,"")</f>
        <v>0.29999999999999993</v>
      </c>
      <c r="AL445" s="18">
        <f t="shared" si="71"/>
        <v>1995.125</v>
      </c>
      <c r="AM445" s="18">
        <f t="shared" si="72"/>
        <v>0.79000000000000092</v>
      </c>
    </row>
    <row r="446" spans="1:39">
      <c r="A446" s="18" t="str">
        <f>IF(Volcanic!A446="","",Volcanic!A446)</f>
        <v>3/1995</v>
      </c>
      <c r="B446" s="18">
        <f>IF(ISNUMBER(Volcanic!L446),Volcanic!L446,"")</f>
        <v>1995.2083333333333</v>
      </c>
      <c r="C446" s="21">
        <v>0.68</v>
      </c>
      <c r="D446" s="18">
        <f t="shared" si="70"/>
        <v>1.43</v>
      </c>
      <c r="E446" s="18">
        <f>IF(ISNUMBER(Volcanic!B446),Volcanic!B446,"")</f>
        <v>0.47000000000000242</v>
      </c>
      <c r="F446" s="18">
        <f>IF(ISNUMBER(Volcanic!C446),Volcanic!C446,"")</f>
        <v>0.3704831610279733</v>
      </c>
      <c r="G446" s="18">
        <f>IF(ISNUMBER(Volcanic!E446),Volcanic!E446,"")</f>
        <v>1.4149999999999999E-2</v>
      </c>
      <c r="H446" s="18">
        <f>IF(ISNUMBER(Volcanic!D446),Volcanic!D446,"")</f>
        <v>0.97</v>
      </c>
      <c r="I446" s="18">
        <f t="shared" si="64"/>
        <v>0.3704831610279733</v>
      </c>
      <c r="J446" s="18">
        <f t="shared" si="65"/>
        <v>1.4149999999999999E-2</v>
      </c>
      <c r="K446" s="18">
        <f t="shared" si="66"/>
        <v>1.43</v>
      </c>
      <c r="L446" s="18">
        <f t="shared" si="67"/>
        <v>0.3704831610279733</v>
      </c>
      <c r="M446" s="18">
        <f t="shared" si="68"/>
        <v>1.4149999999999999E-2</v>
      </c>
      <c r="N446" s="18">
        <f t="shared" si="69"/>
        <v>1.4429006313183061</v>
      </c>
      <c r="AK446" s="18">
        <f>IF(AND(ISNUMBER(C446),ISNUMBER(ENSO!F446)),C446-ENSO!F446,"")</f>
        <v>0.22000000000000003</v>
      </c>
      <c r="AL446" s="18">
        <f t="shared" si="71"/>
        <v>1995.2083333333333</v>
      </c>
      <c r="AM446" s="18">
        <f t="shared" si="72"/>
        <v>0.47000000000000242</v>
      </c>
    </row>
    <row r="447" spans="1:39">
      <c r="A447" s="18" t="str">
        <f>IF(Volcanic!A447="","",Volcanic!A447)</f>
        <v>4/1995</v>
      </c>
      <c r="B447" s="18">
        <f>IF(ISNUMBER(Volcanic!L447),Volcanic!L447,"")</f>
        <v>1995.2916666666667</v>
      </c>
      <c r="C447" s="21">
        <v>0.37</v>
      </c>
      <c r="D447" s="18">
        <f t="shared" si="70"/>
        <v>1.27</v>
      </c>
      <c r="E447" s="18">
        <f>IF(ISNUMBER(Volcanic!B447),Volcanic!B447,"")</f>
        <v>0.47000000000000242</v>
      </c>
      <c r="F447" s="18">
        <f>IF(ISNUMBER(Volcanic!C447),Volcanic!C447,"")</f>
        <v>0.37629038333705156</v>
      </c>
      <c r="G447" s="18">
        <f>IF(ISNUMBER(Volcanic!E447),Volcanic!E447,"")</f>
        <v>1.3639999999999999E-2</v>
      </c>
      <c r="H447" s="18">
        <f>IF(ISNUMBER(Volcanic!D447),Volcanic!D447,"")</f>
        <v>0.88</v>
      </c>
      <c r="I447" s="18">
        <f t="shared" si="64"/>
        <v>0.37629038333705156</v>
      </c>
      <c r="J447" s="18">
        <f t="shared" si="65"/>
        <v>1.3639999999999999E-2</v>
      </c>
      <c r="K447" s="18">
        <f t="shared" si="66"/>
        <v>1.27</v>
      </c>
      <c r="L447" s="18">
        <f t="shared" si="67"/>
        <v>0.37629038333705156</v>
      </c>
      <c r="M447" s="18">
        <f t="shared" si="68"/>
        <v>1.3639999999999999E-2</v>
      </c>
      <c r="N447" s="18">
        <f t="shared" si="69"/>
        <v>1.2835906508089079</v>
      </c>
      <c r="AK447" s="18">
        <f>IF(AND(ISNUMBER(C447),ISNUMBER(ENSO!F447)),C447-ENSO!F447,"")</f>
        <v>0.18</v>
      </c>
      <c r="AL447" s="18">
        <f t="shared" si="71"/>
        <v>1995.2916666666667</v>
      </c>
      <c r="AM447" s="18">
        <f t="shared" si="72"/>
        <v>0.47000000000000242</v>
      </c>
    </row>
    <row r="448" spans="1:39">
      <c r="A448" s="18" t="str">
        <f>IF(Volcanic!A448="","",Volcanic!A448)</f>
        <v>5/1995</v>
      </c>
      <c r="B448" s="18">
        <f>IF(ISNUMBER(Volcanic!L448),Volcanic!L448,"")</f>
        <v>1995.375</v>
      </c>
      <c r="C448" s="21">
        <v>0.1</v>
      </c>
      <c r="D448" s="18">
        <f t="shared" si="70"/>
        <v>0.95</v>
      </c>
      <c r="E448" s="18">
        <f>IF(ISNUMBER(Volcanic!B448),Volcanic!B448,"")</f>
        <v>0.27000000000000135</v>
      </c>
      <c r="F448" s="18">
        <f>IF(ISNUMBER(Volcanic!C448),Volcanic!C448,"")</f>
        <v>0.37783767971908239</v>
      </c>
      <c r="G448" s="18">
        <f>IF(ISNUMBER(Volcanic!E448),Volcanic!E448,"")</f>
        <v>1.328E-2</v>
      </c>
      <c r="H448" s="18">
        <f>IF(ISNUMBER(Volcanic!D448),Volcanic!D448,"")</f>
        <v>0.65</v>
      </c>
      <c r="I448" s="18">
        <f t="shared" si="64"/>
        <v>0.37783767971908239</v>
      </c>
      <c r="J448" s="18">
        <f t="shared" si="65"/>
        <v>1.328E-2</v>
      </c>
      <c r="K448" s="18">
        <f t="shared" si="66"/>
        <v>0.95</v>
      </c>
      <c r="L448" s="18">
        <f t="shared" si="67"/>
        <v>0.37783767971908239</v>
      </c>
      <c r="M448" s="18">
        <f t="shared" si="68"/>
        <v>1.328E-2</v>
      </c>
      <c r="N448" s="18">
        <f t="shared" si="69"/>
        <v>0.96428067029950593</v>
      </c>
      <c r="AK448" s="18">
        <f>IF(AND(ISNUMBER(C448),ISNUMBER(ENSO!F448)),C448-ENSO!F448,"")</f>
        <v>7.0000000000000007E-2</v>
      </c>
      <c r="AL448" s="18">
        <f t="shared" si="71"/>
        <v>1995.375</v>
      </c>
      <c r="AM448" s="18">
        <f t="shared" si="72"/>
        <v>0.27000000000000135</v>
      </c>
    </row>
    <row r="449" spans="1:39">
      <c r="A449" s="18" t="str">
        <f>IF(Volcanic!A449="","",Volcanic!A449)</f>
        <v>6/1995</v>
      </c>
      <c r="B449" s="18">
        <f>IF(ISNUMBER(Volcanic!L449),Volcanic!L449,"")</f>
        <v>1995.4583333333333</v>
      </c>
      <c r="C449" s="21">
        <v>-0.13</v>
      </c>
      <c r="D449" s="18">
        <f t="shared" si="70"/>
        <v>0.68</v>
      </c>
      <c r="E449" s="18">
        <f>IF(ISNUMBER(Volcanic!B449),Volcanic!B449,"")</f>
        <v>0.42999999999999972</v>
      </c>
      <c r="F449" s="18">
        <f>IF(ISNUMBER(Volcanic!C449),Volcanic!C449,"")</f>
        <v>0.37585366620313115</v>
      </c>
      <c r="G449" s="18">
        <f>IF(ISNUMBER(Volcanic!E449),Volcanic!E449,"")</f>
        <v>1.247E-2</v>
      </c>
      <c r="H449" s="18">
        <f>IF(ISNUMBER(Volcanic!D449),Volcanic!D449,"")</f>
        <v>0.46</v>
      </c>
      <c r="I449" s="18">
        <f t="shared" si="64"/>
        <v>0.37585366620313115</v>
      </c>
      <c r="J449" s="18">
        <f t="shared" si="65"/>
        <v>1.247E-2</v>
      </c>
      <c r="K449" s="18">
        <f t="shared" si="66"/>
        <v>0.68</v>
      </c>
      <c r="L449" s="18">
        <f t="shared" si="67"/>
        <v>0.37585366620313115</v>
      </c>
      <c r="M449" s="18">
        <f t="shared" si="68"/>
        <v>1.247E-2</v>
      </c>
      <c r="N449" s="18">
        <f t="shared" si="69"/>
        <v>0.69497068979010412</v>
      </c>
      <c r="AK449" s="18">
        <f>IF(AND(ISNUMBER(C449),ISNUMBER(ENSO!F449)),C449-ENSO!F449,"")</f>
        <v>-2.0000000000000004E-2</v>
      </c>
      <c r="AL449" s="18">
        <f t="shared" si="71"/>
        <v>1995.4583333333333</v>
      </c>
      <c r="AM449" s="18">
        <f t="shared" si="72"/>
        <v>0.42999999999999972</v>
      </c>
    </row>
    <row r="450" spans="1:39">
      <c r="A450" s="18" t="str">
        <f>IF(Volcanic!A450="","",Volcanic!A450)</f>
        <v>7/1995</v>
      </c>
      <c r="B450" s="18">
        <f>IF(ISNUMBER(Volcanic!L450),Volcanic!L450,"")</f>
        <v>1995.5416666666667</v>
      </c>
      <c r="C450" s="21">
        <v>-0.32</v>
      </c>
      <c r="D450" s="18">
        <f t="shared" si="70"/>
        <v>0.37</v>
      </c>
      <c r="E450" s="18">
        <f>IF(ISNUMBER(Volcanic!B450),Volcanic!B450,"")</f>
        <v>0.46000000000000441</v>
      </c>
      <c r="F450" s="18">
        <f>IF(ISNUMBER(Volcanic!C450),Volcanic!C450,"")</f>
        <v>0.36968582761490204</v>
      </c>
      <c r="G450" s="18">
        <f>IF(ISNUMBER(Volcanic!E450),Volcanic!E450,"")</f>
        <v>1.176E-2</v>
      </c>
      <c r="H450" s="18">
        <f>IF(ISNUMBER(Volcanic!D450),Volcanic!D450,"")</f>
        <v>0.19</v>
      </c>
      <c r="I450" s="18">
        <f t="shared" ref="I450:I513" si="73">F450</f>
        <v>0.36968582761490204</v>
      </c>
      <c r="J450" s="18">
        <f t="shared" ref="J450:J513" si="74">G450</f>
        <v>1.176E-2</v>
      </c>
      <c r="K450" s="18">
        <f t="shared" ref="K450:K513" si="75">IF(ISNUMBER(D450),D450,"")</f>
        <v>0.37</v>
      </c>
      <c r="L450" s="18">
        <f t="shared" ref="L450:L513" si="76">F450</f>
        <v>0.36968582761490204</v>
      </c>
      <c r="M450" s="18">
        <f t="shared" ref="M450:M513" si="77">G450</f>
        <v>1.176E-2</v>
      </c>
      <c r="N450" s="18">
        <f t="shared" ref="N450:N513" si="78">IF(ISNUMBER(D450),D450-($AB$8*B450+$AB$9),"")</f>
        <v>0.38566070928070573</v>
      </c>
      <c r="AK450" s="18">
        <f>IF(AND(ISNUMBER(C450),ISNUMBER(ENSO!F450)),C450-ENSO!F450,"")</f>
        <v>-2.0000000000000018E-2</v>
      </c>
      <c r="AL450" s="18">
        <f t="shared" si="71"/>
        <v>1995.5416666666667</v>
      </c>
      <c r="AM450" s="18">
        <f t="shared" si="72"/>
        <v>0.46000000000000441</v>
      </c>
    </row>
    <row r="451" spans="1:39">
      <c r="A451" s="18" t="str">
        <f>IF(Volcanic!A451="","",Volcanic!A451)</f>
        <v>8/1995</v>
      </c>
      <c r="B451" s="18">
        <f>IF(ISNUMBER(Volcanic!L451),Volcanic!L451,"")</f>
        <v>1995.625</v>
      </c>
      <c r="C451" s="21">
        <v>-0.53</v>
      </c>
      <c r="D451" s="18">
        <f t="shared" si="70"/>
        <v>0.1</v>
      </c>
      <c r="E451" s="18">
        <f>IF(ISNUMBER(Volcanic!B451),Volcanic!B451,"")</f>
        <v>0.44999999999999751</v>
      </c>
      <c r="F451" s="18">
        <f>IF(ISNUMBER(Volcanic!C451),Volcanic!C451,"")</f>
        <v>0.35988256195342855</v>
      </c>
      <c r="G451" s="18">
        <f>IF(ISNUMBER(Volcanic!E451),Volcanic!E451,"")</f>
        <v>1.1270000000000001E-2</v>
      </c>
      <c r="H451" s="18">
        <f>IF(ISNUMBER(Volcanic!D451),Volcanic!D451,"")</f>
        <v>0.03</v>
      </c>
      <c r="I451" s="18">
        <f t="shared" si="73"/>
        <v>0.35988256195342855</v>
      </c>
      <c r="J451" s="18">
        <f t="shared" si="74"/>
        <v>1.1270000000000001E-2</v>
      </c>
      <c r="K451" s="18">
        <f t="shared" si="75"/>
        <v>0.1</v>
      </c>
      <c r="L451" s="18">
        <f t="shared" si="76"/>
        <v>0.35988256195342855</v>
      </c>
      <c r="M451" s="18">
        <f t="shared" si="77"/>
        <v>1.1270000000000001E-2</v>
      </c>
      <c r="N451" s="18">
        <f t="shared" si="78"/>
        <v>0.11635072877130384</v>
      </c>
      <c r="AK451" s="18">
        <f>IF(AND(ISNUMBER(C451),ISNUMBER(ENSO!F451)),C451-ENSO!F451,"")</f>
        <v>2.0000000000000018E-2</v>
      </c>
      <c r="AL451" s="18">
        <f t="shared" si="71"/>
        <v>1995.625</v>
      </c>
      <c r="AM451" s="18">
        <f t="shared" si="72"/>
        <v>0.44999999999999751</v>
      </c>
    </row>
    <row r="452" spans="1:39">
      <c r="A452" s="18" t="str">
        <f>IF(Volcanic!A452="","",Volcanic!A452)</f>
        <v>9/1995</v>
      </c>
      <c r="B452" s="18">
        <f>IF(ISNUMBER(Volcanic!L452),Volcanic!L452,"")</f>
        <v>1995.7083333333333</v>
      </c>
      <c r="C452" s="21">
        <v>-0.74</v>
      </c>
      <c r="D452" s="18">
        <f t="shared" si="70"/>
        <v>-0.13</v>
      </c>
      <c r="E452" s="18">
        <f>IF(ISNUMBER(Volcanic!B452),Volcanic!B452,"")</f>
        <v>0.32999999999999652</v>
      </c>
      <c r="F452" s="18">
        <f>IF(ISNUMBER(Volcanic!C452),Volcanic!C452,"")</f>
        <v>0.35582174413600615</v>
      </c>
      <c r="G452" s="18">
        <f>IF(ISNUMBER(Volcanic!E452),Volcanic!E452,"")</f>
        <v>1.0330000000000001E-2</v>
      </c>
      <c r="H452" s="18">
        <f>IF(ISNUMBER(Volcanic!D452),Volcanic!D452,"")</f>
        <v>-0.11</v>
      </c>
      <c r="I452" s="18">
        <f t="shared" si="73"/>
        <v>0.35582174413600615</v>
      </c>
      <c r="J452" s="18">
        <f t="shared" si="74"/>
        <v>1.0330000000000001E-2</v>
      </c>
      <c r="K452" s="18">
        <f t="shared" si="75"/>
        <v>-0.13</v>
      </c>
      <c r="L452" s="18">
        <f t="shared" si="76"/>
        <v>0.35582174413600615</v>
      </c>
      <c r="M452" s="18">
        <f t="shared" si="77"/>
        <v>1.0330000000000001E-2</v>
      </c>
      <c r="N452" s="18">
        <f t="shared" si="78"/>
        <v>-0.11295925173809807</v>
      </c>
      <c r="AK452" s="18">
        <f>IF(AND(ISNUMBER(C452),ISNUMBER(ENSO!F452)),C452-ENSO!F452,"")</f>
        <v>7.0000000000000062E-2</v>
      </c>
      <c r="AL452" s="18">
        <f t="shared" si="71"/>
        <v>1995.7083333333333</v>
      </c>
      <c r="AM452" s="18">
        <f t="shared" si="72"/>
        <v>0.32999999999999652</v>
      </c>
    </row>
    <row r="453" spans="1:39">
      <c r="A453" s="18" t="str">
        <f>IF(Volcanic!A453="","",Volcanic!A453)</f>
        <v>10/1995</v>
      </c>
      <c r="B453" s="18">
        <f>IF(ISNUMBER(Volcanic!L453),Volcanic!L453,"")</f>
        <v>1995.7916666666667</v>
      </c>
      <c r="C453" s="21">
        <v>-0.91</v>
      </c>
      <c r="D453" s="18">
        <f t="shared" ref="D453:D516" si="79">IF(C450="","",C450)</f>
        <v>-0.32</v>
      </c>
      <c r="E453" s="18">
        <f>IF(ISNUMBER(Volcanic!B453),Volcanic!B453,"")</f>
        <v>0.46000000000000441</v>
      </c>
      <c r="F453" s="18">
        <f>IF(ISNUMBER(Volcanic!C453),Volcanic!C453,"")</f>
        <v>0.35509683245126811</v>
      </c>
      <c r="G453" s="18">
        <f>IF(ISNUMBER(Volcanic!E453),Volcanic!E453,"")</f>
        <v>9.8200000000000006E-3</v>
      </c>
      <c r="H453" s="18">
        <f>IF(ISNUMBER(Volcanic!D453),Volcanic!D453,"")</f>
        <v>-0.3</v>
      </c>
      <c r="I453" s="18">
        <f t="shared" si="73"/>
        <v>0.35509683245126811</v>
      </c>
      <c r="J453" s="18">
        <f t="shared" si="74"/>
        <v>9.8200000000000006E-3</v>
      </c>
      <c r="K453" s="18">
        <f t="shared" si="75"/>
        <v>-0.32</v>
      </c>
      <c r="L453" s="18">
        <f t="shared" si="76"/>
        <v>0.35509683245126811</v>
      </c>
      <c r="M453" s="18">
        <f t="shared" si="77"/>
        <v>9.8200000000000006E-3</v>
      </c>
      <c r="N453" s="18">
        <f t="shared" si="78"/>
        <v>-0.30226923224749641</v>
      </c>
      <c r="AK453" s="18">
        <f>IF(AND(ISNUMBER(C453),ISNUMBER(ENSO!F453)),C453-ENSO!F453,"")</f>
        <v>5.9999999999999942E-2</v>
      </c>
      <c r="AL453" s="18">
        <f t="shared" si="71"/>
        <v>1995.7916666666667</v>
      </c>
      <c r="AM453" s="18">
        <f t="shared" si="72"/>
        <v>0.46000000000000441</v>
      </c>
    </row>
    <row r="454" spans="1:39">
      <c r="A454" s="18" t="str">
        <f>IF(Volcanic!A454="","",Volcanic!A454)</f>
        <v>11/1995</v>
      </c>
      <c r="B454" s="18">
        <f>IF(ISNUMBER(Volcanic!L454),Volcanic!L454,"")</f>
        <v>1995.875</v>
      </c>
      <c r="C454" s="21">
        <v>-0.95</v>
      </c>
      <c r="D454" s="18">
        <f t="shared" si="79"/>
        <v>-0.53</v>
      </c>
      <c r="E454" s="18">
        <f>IF(ISNUMBER(Volcanic!B454),Volcanic!B454,"")</f>
        <v>0.44999999999999751</v>
      </c>
      <c r="F454" s="18">
        <f>IF(ISNUMBER(Volcanic!C454),Volcanic!C454,"")</f>
        <v>0.36100631256369653</v>
      </c>
      <c r="G454" s="18">
        <f>IF(ISNUMBER(Volcanic!E454),Volcanic!E454,"")</f>
        <v>9.3399999999999993E-3</v>
      </c>
      <c r="H454" s="18">
        <f>IF(ISNUMBER(Volcanic!D454),Volcanic!D454,"")</f>
        <v>-0.55000000000000004</v>
      </c>
      <c r="I454" s="18">
        <f t="shared" si="73"/>
        <v>0.36100631256369653</v>
      </c>
      <c r="J454" s="18">
        <f t="shared" si="74"/>
        <v>9.3399999999999993E-3</v>
      </c>
      <c r="K454" s="18">
        <f t="shared" si="75"/>
        <v>-0.53</v>
      </c>
      <c r="L454" s="18">
        <f t="shared" si="76"/>
        <v>0.36100631256369653</v>
      </c>
      <c r="M454" s="18">
        <f t="shared" si="77"/>
        <v>9.3399999999999993E-3</v>
      </c>
      <c r="N454" s="18">
        <f t="shared" si="78"/>
        <v>-0.51157921275689833</v>
      </c>
      <c r="AK454" s="18">
        <f>IF(AND(ISNUMBER(C454),ISNUMBER(ENSO!F454)),C454-ENSO!F454,"")</f>
        <v>0.10000000000000009</v>
      </c>
      <c r="AL454" s="18">
        <f t="shared" si="71"/>
        <v>1995.875</v>
      </c>
      <c r="AM454" s="18">
        <f t="shared" si="72"/>
        <v>0.44999999999999751</v>
      </c>
    </row>
    <row r="455" spans="1:39">
      <c r="A455" s="18" t="str">
        <f>IF(Volcanic!A455="","",Volcanic!A455)</f>
        <v>12/1995</v>
      </c>
      <c r="B455" s="18">
        <f>IF(ISNUMBER(Volcanic!L455),Volcanic!L455,"")</f>
        <v>1995.9583333333333</v>
      </c>
      <c r="C455" s="21">
        <v>-0.94</v>
      </c>
      <c r="D455" s="18">
        <f t="shared" si="79"/>
        <v>-0.74</v>
      </c>
      <c r="E455" s="18">
        <f>IF(ISNUMBER(Volcanic!B455),Volcanic!B455,"")</f>
        <v>0.25999999999999979</v>
      </c>
      <c r="F455" s="18">
        <f>IF(ISNUMBER(Volcanic!C455),Volcanic!C455,"")</f>
        <v>0.36585248121553354</v>
      </c>
      <c r="G455" s="18">
        <f>IF(ISNUMBER(Volcanic!E455),Volcanic!E455,"")</f>
        <v>8.7799999999999996E-3</v>
      </c>
      <c r="H455" s="18">
        <f>IF(ISNUMBER(Volcanic!D455),Volcanic!D455,"")</f>
        <v>-0.81</v>
      </c>
      <c r="I455" s="18">
        <f t="shared" si="73"/>
        <v>0.36585248121553354</v>
      </c>
      <c r="J455" s="18">
        <f t="shared" si="74"/>
        <v>8.7799999999999996E-3</v>
      </c>
      <c r="K455" s="18">
        <f t="shared" si="75"/>
        <v>-0.74</v>
      </c>
      <c r="L455" s="18">
        <f t="shared" si="76"/>
        <v>0.36585248121553354</v>
      </c>
      <c r="M455" s="18">
        <f t="shared" si="77"/>
        <v>8.7799999999999996E-3</v>
      </c>
      <c r="N455" s="18">
        <f t="shared" si="78"/>
        <v>-0.72088919326630019</v>
      </c>
      <c r="AK455" s="18">
        <f>IF(AND(ISNUMBER(C455),ISNUMBER(ENSO!F455)),C455-ENSO!F455,"")</f>
        <v>7.0000000000000062E-2</v>
      </c>
      <c r="AL455" s="18">
        <f t="shared" si="71"/>
        <v>1995.9583333333333</v>
      </c>
      <c r="AM455" s="18">
        <f t="shared" si="72"/>
        <v>0.25999999999999979</v>
      </c>
    </row>
    <row r="456" spans="1:39">
      <c r="A456" s="18" t="str">
        <f>IF(Volcanic!A456="","",Volcanic!A456)</f>
        <v>1/1996</v>
      </c>
      <c r="B456" s="18">
        <f>IF(ISNUMBER(Volcanic!L456),Volcanic!L456,"")</f>
        <v>1996.0416666666667</v>
      </c>
      <c r="C456" s="21">
        <v>-0.87</v>
      </c>
      <c r="D456" s="18">
        <f t="shared" si="79"/>
        <v>-0.91</v>
      </c>
      <c r="E456" s="18">
        <f>IF(ISNUMBER(Volcanic!B456),Volcanic!B456,"")</f>
        <v>0.24000000000000199</v>
      </c>
      <c r="F456" s="18">
        <f>IF(ISNUMBER(Volcanic!C456),Volcanic!C456,"")</f>
        <v>0.37135971911783916</v>
      </c>
      <c r="G456" s="18">
        <f>IF(ISNUMBER(Volcanic!E456),Volcanic!E456,"")</f>
        <v>8.4200000000000004E-3</v>
      </c>
      <c r="H456" s="18">
        <f>IF(ISNUMBER(Volcanic!D456),Volcanic!D456,"")</f>
        <v>-0.97</v>
      </c>
      <c r="I456" s="18">
        <f t="shared" si="73"/>
        <v>0.37135971911783916</v>
      </c>
      <c r="J456" s="18">
        <f t="shared" si="74"/>
        <v>8.4200000000000004E-3</v>
      </c>
      <c r="K456" s="18">
        <f t="shared" si="75"/>
        <v>-0.91</v>
      </c>
      <c r="L456" s="18">
        <f t="shared" si="76"/>
        <v>0.37135971911783916</v>
      </c>
      <c r="M456" s="18">
        <f t="shared" si="77"/>
        <v>8.4200000000000004E-3</v>
      </c>
      <c r="N456" s="18">
        <f t="shared" si="78"/>
        <v>-0.89019917377570212</v>
      </c>
      <c r="AK456" s="18">
        <f>IF(AND(ISNUMBER(C456),ISNUMBER(ENSO!F456)),C456-ENSO!F456,"")</f>
        <v>1.0000000000000009E-2</v>
      </c>
      <c r="AL456" s="18">
        <f t="shared" si="71"/>
        <v>1996.0416666666667</v>
      </c>
      <c r="AM456" s="18">
        <f t="shared" si="72"/>
        <v>0.24000000000000199</v>
      </c>
    </row>
    <row r="457" spans="1:39">
      <c r="A457" s="18" t="str">
        <f>IF(Volcanic!A457="","",Volcanic!A457)</f>
        <v>2/1996</v>
      </c>
      <c r="B457" s="18">
        <f>IF(ISNUMBER(Volcanic!L457),Volcanic!L457,"")</f>
        <v>1996.125</v>
      </c>
      <c r="C457" s="21">
        <v>-0.77</v>
      </c>
      <c r="D457" s="18">
        <f t="shared" si="79"/>
        <v>-0.95</v>
      </c>
      <c r="E457" s="18">
        <f>IF(ISNUMBER(Volcanic!B457),Volcanic!B457,"")</f>
        <v>0.46000000000000441</v>
      </c>
      <c r="F457" s="18">
        <f>IF(ISNUMBER(Volcanic!C457),Volcanic!C457,"")</f>
        <v>0.37597278398719675</v>
      </c>
      <c r="G457" s="18">
        <f>IF(ISNUMBER(Volcanic!E457),Volcanic!E457,"")</f>
        <v>8.3599999999999994E-3</v>
      </c>
      <c r="H457" s="18">
        <f>IF(ISNUMBER(Volcanic!D457),Volcanic!D457,"")</f>
        <v>-1.05</v>
      </c>
      <c r="I457" s="18">
        <f t="shared" si="73"/>
        <v>0.37597278398719675</v>
      </c>
      <c r="J457" s="18">
        <f t="shared" si="74"/>
        <v>8.3599999999999994E-3</v>
      </c>
      <c r="K457" s="18">
        <f t="shared" si="75"/>
        <v>-0.95</v>
      </c>
      <c r="L457" s="18">
        <f t="shared" si="76"/>
        <v>0.37597278398719675</v>
      </c>
      <c r="M457" s="18">
        <f t="shared" si="77"/>
        <v>8.3599999999999994E-3</v>
      </c>
      <c r="N457" s="18">
        <f t="shared" si="78"/>
        <v>-0.92950915428510394</v>
      </c>
      <c r="AK457" s="18">
        <f>IF(AND(ISNUMBER(C457),ISNUMBER(ENSO!F457)),C457-ENSO!F457,"")</f>
        <v>-7.0000000000000062E-2</v>
      </c>
      <c r="AL457" s="18">
        <f t="shared" ref="AL457:AL520" si="80">B457</f>
        <v>1996.125</v>
      </c>
      <c r="AM457" s="18">
        <f t="shared" ref="AM457:AM520" si="81">E457</f>
        <v>0.46000000000000441</v>
      </c>
    </row>
    <row r="458" spans="1:39">
      <c r="A458" s="18" t="str">
        <f>IF(Volcanic!A458="","",Volcanic!A458)</f>
        <v>3/1996</v>
      </c>
      <c r="B458" s="18">
        <f>IF(ISNUMBER(Volcanic!L458),Volcanic!L458,"")</f>
        <v>1996.2083333333333</v>
      </c>
      <c r="C458" s="21">
        <v>-0.62</v>
      </c>
      <c r="D458" s="18">
        <f t="shared" si="79"/>
        <v>-0.94</v>
      </c>
      <c r="E458" s="18">
        <f>IF(ISNUMBER(Volcanic!B458),Volcanic!B458,"")</f>
        <v>0.32999999999999652</v>
      </c>
      <c r="F458" s="18">
        <f>IF(ISNUMBER(Volcanic!C458),Volcanic!C458,"")</f>
        <v>0.37962096205570828</v>
      </c>
      <c r="G458" s="18">
        <f>IF(ISNUMBER(Volcanic!E458),Volcanic!E458,"")</f>
        <v>7.9799999999999992E-3</v>
      </c>
      <c r="H458" s="18">
        <f>IF(ISNUMBER(Volcanic!D458),Volcanic!D458,"")</f>
        <v>-1.01</v>
      </c>
      <c r="I458" s="18">
        <f t="shared" si="73"/>
        <v>0.37962096205570828</v>
      </c>
      <c r="J458" s="18">
        <f t="shared" si="74"/>
        <v>7.9799999999999992E-3</v>
      </c>
      <c r="K458" s="18">
        <f t="shared" si="75"/>
        <v>-0.94</v>
      </c>
      <c r="L458" s="18">
        <f t="shared" si="76"/>
        <v>0.37962096205570828</v>
      </c>
      <c r="M458" s="18">
        <f t="shared" si="77"/>
        <v>7.9799999999999992E-3</v>
      </c>
      <c r="N458" s="18">
        <f t="shared" si="78"/>
        <v>-0.91881913479450228</v>
      </c>
      <c r="AK458" s="18">
        <f>IF(AND(ISNUMBER(C458),ISNUMBER(ENSO!F458)),C458-ENSO!F458,"")</f>
        <v>-9.9999999999999978E-2</v>
      </c>
      <c r="AL458" s="18">
        <f t="shared" si="80"/>
        <v>1996.2083333333333</v>
      </c>
      <c r="AM458" s="18">
        <f t="shared" si="81"/>
        <v>0.32999999999999652</v>
      </c>
    </row>
    <row r="459" spans="1:39">
      <c r="A459" s="18" t="str">
        <f>IF(Volcanic!A459="","",Volcanic!A459)</f>
        <v>4/1996</v>
      </c>
      <c r="B459" s="18">
        <f>IF(ISNUMBER(Volcanic!L459),Volcanic!L459,"")</f>
        <v>1996.2916666666667</v>
      </c>
      <c r="C459" s="21">
        <v>-0.39</v>
      </c>
      <c r="D459" s="18">
        <f t="shared" si="79"/>
        <v>-0.87</v>
      </c>
      <c r="E459" s="18">
        <f>IF(ISNUMBER(Volcanic!B459),Volcanic!B459,"")</f>
        <v>0.32999999999999652</v>
      </c>
      <c r="F459" s="18">
        <f>IF(ISNUMBER(Volcanic!C459),Volcanic!C459,"")</f>
        <v>0.3812438135561429</v>
      </c>
      <c r="G459" s="18">
        <f>IF(ISNUMBER(Volcanic!E459),Volcanic!E459,"")</f>
        <v>7.6600000000000001E-3</v>
      </c>
      <c r="H459" s="18">
        <f>IF(ISNUMBER(Volcanic!D459),Volcanic!D459,"")</f>
        <v>-0.88</v>
      </c>
      <c r="I459" s="18">
        <f t="shared" si="73"/>
        <v>0.3812438135561429</v>
      </c>
      <c r="J459" s="18">
        <f t="shared" si="74"/>
        <v>7.6600000000000001E-3</v>
      </c>
      <c r="K459" s="18">
        <f t="shared" si="75"/>
        <v>-0.87</v>
      </c>
      <c r="L459" s="18">
        <f t="shared" si="76"/>
        <v>0.3812438135561429</v>
      </c>
      <c r="M459" s="18">
        <f t="shared" si="77"/>
        <v>7.6600000000000001E-3</v>
      </c>
      <c r="N459" s="18">
        <f t="shared" si="78"/>
        <v>-0.84812911530390422</v>
      </c>
      <c r="AK459" s="18">
        <f>IF(AND(ISNUMBER(C459),ISNUMBER(ENSO!F459)),C459-ENSO!F459,"")</f>
        <v>-3.0000000000000027E-2</v>
      </c>
      <c r="AL459" s="18">
        <f t="shared" si="80"/>
        <v>1996.2916666666667</v>
      </c>
      <c r="AM459" s="18">
        <f t="shared" si="81"/>
        <v>0.32999999999999652</v>
      </c>
    </row>
    <row r="460" spans="1:39">
      <c r="A460" s="18" t="str">
        <f>IF(Volcanic!A460="","",Volcanic!A460)</f>
        <v>5/1996</v>
      </c>
      <c r="B460" s="18">
        <f>IF(ISNUMBER(Volcanic!L460),Volcanic!L460,"")</f>
        <v>1996.375</v>
      </c>
      <c r="C460" s="21">
        <v>-0.3</v>
      </c>
      <c r="D460" s="18">
        <f t="shared" si="79"/>
        <v>-0.77</v>
      </c>
      <c r="E460" s="18">
        <f>IF(ISNUMBER(Volcanic!B460),Volcanic!B460,"")</f>
        <v>0.27000000000000135</v>
      </c>
      <c r="F460" s="18">
        <f>IF(ISNUMBER(Volcanic!C460),Volcanic!C460,"")</f>
        <v>0.38345744585853175</v>
      </c>
      <c r="G460" s="18">
        <f>IF(ISNUMBER(Volcanic!E460),Volcanic!E460,"")</f>
        <v>7.3899999999999999E-3</v>
      </c>
      <c r="H460" s="18">
        <f>IF(ISNUMBER(Volcanic!D460),Volcanic!D460,"")</f>
        <v>-0.7</v>
      </c>
      <c r="I460" s="18">
        <f t="shared" si="73"/>
        <v>0.38345744585853175</v>
      </c>
      <c r="J460" s="18">
        <f t="shared" si="74"/>
        <v>7.3899999999999999E-3</v>
      </c>
      <c r="K460" s="18">
        <f t="shared" si="75"/>
        <v>-0.77</v>
      </c>
      <c r="L460" s="18">
        <f t="shared" si="76"/>
        <v>0.38345744585853175</v>
      </c>
      <c r="M460" s="18">
        <f t="shared" si="77"/>
        <v>7.3899999999999999E-3</v>
      </c>
      <c r="N460" s="18">
        <f t="shared" si="78"/>
        <v>-0.74743909581330614</v>
      </c>
      <c r="AK460" s="18">
        <f>IF(AND(ISNUMBER(C460),ISNUMBER(ENSO!F460)),C460-ENSO!F460,"")</f>
        <v>-4.9999999999999989E-2</v>
      </c>
      <c r="AL460" s="18">
        <f t="shared" si="80"/>
        <v>1996.375</v>
      </c>
      <c r="AM460" s="18">
        <f t="shared" si="81"/>
        <v>0.27000000000000135</v>
      </c>
    </row>
    <row r="461" spans="1:39">
      <c r="A461" s="18" t="str">
        <f>IF(Volcanic!A461="","",Volcanic!A461)</f>
        <v>6/1996</v>
      </c>
      <c r="B461" s="18">
        <f>IF(ISNUMBER(Volcanic!L461),Volcanic!L461,"")</f>
        <v>1996.4583333333333</v>
      </c>
      <c r="C461" s="21">
        <v>-0.28999999999999998</v>
      </c>
      <c r="D461" s="18">
        <f t="shared" si="79"/>
        <v>-0.62</v>
      </c>
      <c r="E461" s="18">
        <f>IF(ISNUMBER(Volcanic!B461),Volcanic!B461,"")</f>
        <v>0.25999999999999979</v>
      </c>
      <c r="F461" s="18">
        <f>IF(ISNUMBER(Volcanic!C461),Volcanic!C461,"")</f>
        <v>0.38270677268151582</v>
      </c>
      <c r="G461" s="18">
        <f>IF(ISNUMBER(Volcanic!E461),Volcanic!E461,"")</f>
        <v>7.1799999999999998E-3</v>
      </c>
      <c r="H461" s="18">
        <f>IF(ISNUMBER(Volcanic!D461),Volcanic!D461,"")</f>
        <v>-0.52</v>
      </c>
      <c r="I461" s="18">
        <f t="shared" si="73"/>
        <v>0.38270677268151582</v>
      </c>
      <c r="J461" s="18">
        <f t="shared" si="74"/>
        <v>7.1799999999999998E-3</v>
      </c>
      <c r="K461" s="18">
        <f t="shared" si="75"/>
        <v>-0.62</v>
      </c>
      <c r="L461" s="18">
        <f t="shared" si="76"/>
        <v>0.38270677268151582</v>
      </c>
      <c r="M461" s="18">
        <f t="shared" si="77"/>
        <v>7.1799999999999998E-3</v>
      </c>
      <c r="N461" s="18">
        <f t="shared" si="78"/>
        <v>-0.59674907632270802</v>
      </c>
      <c r="AK461" s="18">
        <f>IF(AND(ISNUMBER(C461),ISNUMBER(ENSO!F461)),C461-ENSO!F461,"")</f>
        <v>-4.9999999999999989E-2</v>
      </c>
      <c r="AL461" s="18">
        <f t="shared" si="80"/>
        <v>1996.4583333333333</v>
      </c>
      <c r="AM461" s="18">
        <f t="shared" si="81"/>
        <v>0.25999999999999979</v>
      </c>
    </row>
    <row r="462" spans="1:39">
      <c r="A462" s="18" t="str">
        <f>IF(Volcanic!A462="","",Volcanic!A462)</f>
        <v>7/1996</v>
      </c>
      <c r="B462" s="18">
        <f>IF(ISNUMBER(Volcanic!L462),Volcanic!L462,"")</f>
        <v>1996.5416666666667</v>
      </c>
      <c r="C462" s="21">
        <v>-0.24</v>
      </c>
      <c r="D462" s="18">
        <f t="shared" si="79"/>
        <v>-0.39</v>
      </c>
      <c r="E462" s="18">
        <f>IF(ISNUMBER(Volcanic!B462),Volcanic!B462,"")</f>
        <v>0.36999999999999744</v>
      </c>
      <c r="F462" s="18">
        <f>IF(ISNUMBER(Volcanic!C462),Volcanic!C462,"")</f>
        <v>0.37728243090608043</v>
      </c>
      <c r="G462" s="18">
        <f>IF(ISNUMBER(Volcanic!E462),Volcanic!E462,"")</f>
        <v>6.8399999999999997E-3</v>
      </c>
      <c r="H462" s="18">
        <f>IF(ISNUMBER(Volcanic!D462),Volcanic!D462,"")</f>
        <v>-0.36</v>
      </c>
      <c r="I462" s="18">
        <f t="shared" si="73"/>
        <v>0.37728243090608043</v>
      </c>
      <c r="J462" s="18">
        <f t="shared" si="74"/>
        <v>6.8399999999999997E-3</v>
      </c>
      <c r="K462" s="18">
        <f t="shared" si="75"/>
        <v>-0.39</v>
      </c>
      <c r="L462" s="18">
        <f t="shared" si="76"/>
        <v>0.37728243090608043</v>
      </c>
      <c r="M462" s="18">
        <f t="shared" si="77"/>
        <v>6.8399999999999997E-3</v>
      </c>
      <c r="N462" s="18">
        <f t="shared" si="78"/>
        <v>-0.36605905683210638</v>
      </c>
      <c r="AK462" s="18">
        <f>IF(AND(ISNUMBER(C462),ISNUMBER(ENSO!F462)),C462-ENSO!F462,"")</f>
        <v>-1.999999999999999E-2</v>
      </c>
      <c r="AL462" s="18">
        <f t="shared" si="80"/>
        <v>1996.5416666666667</v>
      </c>
      <c r="AM462" s="18">
        <f t="shared" si="81"/>
        <v>0.36999999999999744</v>
      </c>
    </row>
    <row r="463" spans="1:39">
      <c r="A463" s="18" t="str">
        <f>IF(Volcanic!A463="","",Volcanic!A463)</f>
        <v>8/1996</v>
      </c>
      <c r="B463" s="18">
        <f>IF(ISNUMBER(Volcanic!L463),Volcanic!L463,"")</f>
        <v>1996.625</v>
      </c>
      <c r="C463" s="21">
        <v>-0.24</v>
      </c>
      <c r="D463" s="18">
        <f t="shared" si="79"/>
        <v>-0.3</v>
      </c>
      <c r="E463" s="18">
        <f>IF(ISNUMBER(Volcanic!B463),Volcanic!B463,"")</f>
        <v>0.47999999999999865</v>
      </c>
      <c r="F463" s="18">
        <f>IF(ISNUMBER(Volcanic!C463),Volcanic!C463,"")</f>
        <v>0.36876834909033485</v>
      </c>
      <c r="G463" s="18">
        <f>IF(ISNUMBER(Volcanic!E463),Volcanic!E463,"")</f>
        <v>6.45E-3</v>
      </c>
      <c r="H463" s="18">
        <f>IF(ISNUMBER(Volcanic!D463),Volcanic!D463,"")</f>
        <v>-0.25</v>
      </c>
      <c r="I463" s="18">
        <f t="shared" si="73"/>
        <v>0.36876834909033485</v>
      </c>
      <c r="J463" s="18">
        <f t="shared" si="74"/>
        <v>6.45E-3</v>
      </c>
      <c r="K463" s="18">
        <f t="shared" si="75"/>
        <v>-0.3</v>
      </c>
      <c r="L463" s="18">
        <f t="shared" si="76"/>
        <v>0.36876834909033485</v>
      </c>
      <c r="M463" s="18">
        <f t="shared" si="77"/>
        <v>6.45E-3</v>
      </c>
      <c r="N463" s="18">
        <f t="shared" si="78"/>
        <v>-0.27536903734150825</v>
      </c>
      <c r="AK463" s="18">
        <f>IF(AND(ISNUMBER(C463),ISNUMBER(ENSO!F463)),C463-ENSO!F463,"")</f>
        <v>3.0000000000000027E-2</v>
      </c>
      <c r="AL463" s="18">
        <f t="shared" si="80"/>
        <v>1996.625</v>
      </c>
      <c r="AM463" s="18">
        <f t="shared" si="81"/>
        <v>0.47999999999999865</v>
      </c>
    </row>
    <row r="464" spans="1:39">
      <c r="A464" s="18" t="str">
        <f>IF(Volcanic!A464="","",Volcanic!A464)</f>
        <v>9/1996</v>
      </c>
      <c r="B464" s="18">
        <f>IF(ISNUMBER(Volcanic!L464),Volcanic!L464,"")</f>
        <v>1996.7083333333333</v>
      </c>
      <c r="C464" s="21">
        <v>-0.23</v>
      </c>
      <c r="D464" s="18">
        <f t="shared" si="79"/>
        <v>-0.28999999999999998</v>
      </c>
      <c r="E464" s="18">
        <f>IF(ISNUMBER(Volcanic!B464),Volcanic!B464,"")</f>
        <v>0.25999999999999979</v>
      </c>
      <c r="F464" s="18">
        <f>IF(ISNUMBER(Volcanic!C464),Volcanic!C464,"")</f>
        <v>0.36132722345969809</v>
      </c>
      <c r="G464" s="18">
        <f>IF(ISNUMBER(Volcanic!E464),Volcanic!E464,"")</f>
        <v>6.0600000000000003E-3</v>
      </c>
      <c r="H464" s="18">
        <f>IF(ISNUMBER(Volcanic!D464),Volcanic!D464,"")</f>
        <v>-0.24</v>
      </c>
      <c r="I464" s="18">
        <f t="shared" si="73"/>
        <v>0.36132722345969809</v>
      </c>
      <c r="J464" s="18">
        <f t="shared" si="74"/>
        <v>6.0600000000000003E-3</v>
      </c>
      <c r="K464" s="18">
        <f t="shared" si="75"/>
        <v>-0.28999999999999998</v>
      </c>
      <c r="L464" s="18">
        <f t="shared" si="76"/>
        <v>0.36132722345969809</v>
      </c>
      <c r="M464" s="18">
        <f t="shared" si="77"/>
        <v>6.0600000000000003E-3</v>
      </c>
      <c r="N464" s="18">
        <f t="shared" si="78"/>
        <v>-0.26467901785091014</v>
      </c>
      <c r="AK464" s="18">
        <f>IF(AND(ISNUMBER(C464),ISNUMBER(ENSO!F464)),C464-ENSO!F464,"")</f>
        <v>6.9999999999999979E-2</v>
      </c>
      <c r="AL464" s="18">
        <f t="shared" si="80"/>
        <v>1996.7083333333333</v>
      </c>
      <c r="AM464" s="18">
        <f t="shared" si="81"/>
        <v>0.25999999999999979</v>
      </c>
    </row>
    <row r="465" spans="1:39">
      <c r="A465" s="18" t="str">
        <f>IF(Volcanic!A465="","",Volcanic!A465)</f>
        <v>10/1996</v>
      </c>
      <c r="B465" s="18">
        <f>IF(ISNUMBER(Volcanic!L465),Volcanic!L465,"")</f>
        <v>1996.7916666666667</v>
      </c>
      <c r="C465" s="21">
        <v>-0.27</v>
      </c>
      <c r="D465" s="18">
        <f t="shared" si="79"/>
        <v>-0.24</v>
      </c>
      <c r="E465" s="18">
        <f>IF(ISNUMBER(Volcanic!B465),Volcanic!B465,"")</f>
        <v>0.22000000000000242</v>
      </c>
      <c r="F465" s="18">
        <f>IF(ISNUMBER(Volcanic!C465),Volcanic!C465,"")</f>
        <v>0.36144754664467421</v>
      </c>
      <c r="G465" s="18">
        <f>IF(ISNUMBER(Volcanic!E465),Volcanic!E465,"")</f>
        <v>5.7499999999999999E-3</v>
      </c>
      <c r="H465" s="18">
        <f>IF(ISNUMBER(Volcanic!D465),Volcanic!D465,"")</f>
        <v>-0.22</v>
      </c>
      <c r="I465" s="18">
        <f t="shared" si="73"/>
        <v>0.36144754664467421</v>
      </c>
      <c r="J465" s="18">
        <f t="shared" si="74"/>
        <v>5.7499999999999999E-3</v>
      </c>
      <c r="K465" s="18">
        <f t="shared" si="75"/>
        <v>-0.24</v>
      </c>
      <c r="L465" s="18">
        <f t="shared" si="76"/>
        <v>0.36144754664467421</v>
      </c>
      <c r="M465" s="18">
        <f t="shared" si="77"/>
        <v>5.7499999999999999E-3</v>
      </c>
      <c r="N465" s="18">
        <f t="shared" si="78"/>
        <v>-0.21398899836030849</v>
      </c>
      <c r="AK465" s="18">
        <f>IF(AND(ISNUMBER(C465),ISNUMBER(ENSO!F465)),C465-ENSO!F465,"")</f>
        <v>0.06</v>
      </c>
      <c r="AL465" s="18">
        <f t="shared" si="80"/>
        <v>1996.7916666666667</v>
      </c>
      <c r="AM465" s="18">
        <f t="shared" si="81"/>
        <v>0.22000000000000242</v>
      </c>
    </row>
    <row r="466" spans="1:39">
      <c r="A466" s="18" t="str">
        <f>IF(Volcanic!A466="","",Volcanic!A466)</f>
        <v>11/1996</v>
      </c>
      <c r="B466" s="18">
        <f>IF(ISNUMBER(Volcanic!L466),Volcanic!L466,"")</f>
        <v>1996.875</v>
      </c>
      <c r="C466" s="21">
        <v>-0.3</v>
      </c>
      <c r="D466" s="18">
        <f t="shared" si="79"/>
        <v>-0.24</v>
      </c>
      <c r="E466" s="18">
        <f>IF(ISNUMBER(Volcanic!B466),Volcanic!B466,"")</f>
        <v>0.42000000000000348</v>
      </c>
      <c r="F466" s="18">
        <f>IF(ISNUMBER(Volcanic!C466),Volcanic!C466,"")</f>
        <v>0.36673185649279633</v>
      </c>
      <c r="G466" s="18">
        <f>IF(ISNUMBER(Volcanic!E466),Volcanic!E466,"")</f>
        <v>5.5700000000000003E-3</v>
      </c>
      <c r="H466" s="18">
        <f>IF(ISNUMBER(Volcanic!D466),Volcanic!D466,"")</f>
        <v>-0.27</v>
      </c>
      <c r="I466" s="18">
        <f t="shared" si="73"/>
        <v>0.36673185649279633</v>
      </c>
      <c r="J466" s="18">
        <f t="shared" si="74"/>
        <v>5.5700000000000003E-3</v>
      </c>
      <c r="K466" s="18">
        <f t="shared" si="75"/>
        <v>-0.24</v>
      </c>
      <c r="L466" s="18">
        <f t="shared" si="76"/>
        <v>0.36673185649279633</v>
      </c>
      <c r="M466" s="18">
        <f t="shared" si="77"/>
        <v>5.5700000000000003E-3</v>
      </c>
      <c r="N466" s="18">
        <f t="shared" si="78"/>
        <v>-0.21329897886971039</v>
      </c>
      <c r="AK466" s="18">
        <f>IF(AND(ISNUMBER(C466),ISNUMBER(ENSO!F466)),C466-ENSO!F466,"")</f>
        <v>9.0000000000000024E-2</v>
      </c>
      <c r="AL466" s="18">
        <f t="shared" si="80"/>
        <v>1996.875</v>
      </c>
      <c r="AM466" s="18">
        <f t="shared" si="81"/>
        <v>0.42000000000000348</v>
      </c>
    </row>
    <row r="467" spans="1:39">
      <c r="A467" s="18" t="str">
        <f>IF(Volcanic!A467="","",Volcanic!A467)</f>
        <v>12/1996</v>
      </c>
      <c r="B467" s="18">
        <f>IF(ISNUMBER(Volcanic!L467),Volcanic!L467,"")</f>
        <v>1996.9583333333333</v>
      </c>
      <c r="C467" s="21">
        <v>-0.28999999999999998</v>
      </c>
      <c r="D467" s="18">
        <f t="shared" si="79"/>
        <v>-0.23</v>
      </c>
      <c r="E467" s="18">
        <f>IF(ISNUMBER(Volcanic!B467),Volcanic!B467,"")</f>
        <v>0.36999999999999744</v>
      </c>
      <c r="F467" s="18">
        <f>IF(ISNUMBER(Volcanic!C467),Volcanic!C467,"")</f>
        <v>0.37211631819884028</v>
      </c>
      <c r="G467" s="18">
        <f>IF(ISNUMBER(Volcanic!E467),Volcanic!E467,"")</f>
        <v>5.47E-3</v>
      </c>
      <c r="H467" s="18">
        <f>IF(ISNUMBER(Volcanic!D467),Volcanic!D467,"")</f>
        <v>-0.3</v>
      </c>
      <c r="I467" s="18">
        <f t="shared" si="73"/>
        <v>0.37211631819884028</v>
      </c>
      <c r="J467" s="18">
        <f t="shared" si="74"/>
        <v>5.47E-3</v>
      </c>
      <c r="K467" s="18">
        <f t="shared" si="75"/>
        <v>-0.23</v>
      </c>
      <c r="L467" s="18">
        <f t="shared" si="76"/>
        <v>0.37211631819884028</v>
      </c>
      <c r="M467" s="18">
        <f t="shared" si="77"/>
        <v>5.47E-3</v>
      </c>
      <c r="N467" s="18">
        <f t="shared" si="78"/>
        <v>-0.2026089593791123</v>
      </c>
      <c r="AK467" s="18">
        <f>IF(AND(ISNUMBER(C467),ISNUMBER(ENSO!F467)),C467-ENSO!F467,"")</f>
        <v>0.12</v>
      </c>
      <c r="AL467" s="18">
        <f t="shared" si="80"/>
        <v>1996.9583333333333</v>
      </c>
      <c r="AM467" s="18">
        <f t="shared" si="81"/>
        <v>0.36999999999999744</v>
      </c>
    </row>
    <row r="468" spans="1:39">
      <c r="A468" s="18" t="str">
        <f>IF(Volcanic!A468="","",Volcanic!A468)</f>
        <v>1/1997</v>
      </c>
      <c r="B468" s="18">
        <f>IF(ISNUMBER(Volcanic!L468),Volcanic!L468,"")</f>
        <v>1997.0416666666667</v>
      </c>
      <c r="C468" s="21">
        <v>-0.25</v>
      </c>
      <c r="D468" s="18">
        <f t="shared" si="79"/>
        <v>-0.27</v>
      </c>
      <c r="E468" s="18">
        <f>IF(ISNUMBER(Volcanic!B468),Volcanic!B468,"")</f>
        <v>0.32000000000000028</v>
      </c>
      <c r="F468" s="18">
        <f>IF(ISNUMBER(Volcanic!C468),Volcanic!C468,"")</f>
        <v>0.37549625382897855</v>
      </c>
      <c r="G468" s="18">
        <f>IF(ISNUMBER(Volcanic!E468),Volcanic!E468,"")</f>
        <v>5.79E-3</v>
      </c>
      <c r="H468" s="18">
        <f>IF(ISNUMBER(Volcanic!D468),Volcanic!D468,"")</f>
        <v>-0.33</v>
      </c>
      <c r="I468" s="18">
        <f t="shared" si="73"/>
        <v>0.37549625382897855</v>
      </c>
      <c r="J468" s="18">
        <f t="shared" si="74"/>
        <v>5.79E-3</v>
      </c>
      <c r="K468" s="18">
        <f t="shared" si="75"/>
        <v>-0.27</v>
      </c>
      <c r="L468" s="18">
        <f t="shared" si="76"/>
        <v>0.37549625382897855</v>
      </c>
      <c r="M468" s="18">
        <f t="shared" si="77"/>
        <v>5.79E-3</v>
      </c>
      <c r="N468" s="18">
        <f t="shared" si="78"/>
        <v>-0.24191893988851065</v>
      </c>
      <c r="AK468" s="18">
        <f>IF(AND(ISNUMBER(C468),ISNUMBER(ENSO!F468)),C468-ENSO!F468,"")</f>
        <v>0.15999999999999998</v>
      </c>
      <c r="AL468" s="18">
        <f t="shared" si="80"/>
        <v>1997.0416666666667</v>
      </c>
      <c r="AM468" s="18">
        <f t="shared" si="81"/>
        <v>0.32000000000000028</v>
      </c>
    </row>
    <row r="469" spans="1:39">
      <c r="A469" s="18" t="str">
        <f>IF(Volcanic!A469="","",Volcanic!A469)</f>
        <v>2/1997</v>
      </c>
      <c r="B469" s="18">
        <f>IF(ISNUMBER(Volcanic!L469),Volcanic!L469,"")</f>
        <v>1997.125</v>
      </c>
      <c r="C469" s="21">
        <v>-0.1</v>
      </c>
      <c r="D469" s="18">
        <f t="shared" si="79"/>
        <v>-0.3</v>
      </c>
      <c r="E469" s="18">
        <f>IF(ISNUMBER(Volcanic!B469),Volcanic!B469,"")</f>
        <v>0.41000000000000014</v>
      </c>
      <c r="F469" s="18">
        <f>IF(ISNUMBER(Volcanic!C469),Volcanic!C469,"")</f>
        <v>0.37934370731460526</v>
      </c>
      <c r="G469" s="18">
        <f>IF(ISNUMBER(Volcanic!E469),Volcanic!E469,"")</f>
        <v>5.2100000000000002E-3</v>
      </c>
      <c r="H469" s="18">
        <f>IF(ISNUMBER(Volcanic!D469),Volcanic!D469,"")</f>
        <v>-0.39</v>
      </c>
      <c r="I469" s="18">
        <f t="shared" si="73"/>
        <v>0.37934370731460526</v>
      </c>
      <c r="J469" s="18">
        <f t="shared" si="74"/>
        <v>5.2100000000000002E-3</v>
      </c>
      <c r="K469" s="18">
        <f t="shared" si="75"/>
        <v>-0.3</v>
      </c>
      <c r="L469" s="18">
        <f t="shared" si="76"/>
        <v>0.37934370731460526</v>
      </c>
      <c r="M469" s="18">
        <f t="shared" si="77"/>
        <v>5.2100000000000002E-3</v>
      </c>
      <c r="N469" s="18">
        <f t="shared" si="78"/>
        <v>-0.27122892039791252</v>
      </c>
      <c r="AK469" s="18">
        <f>IF(AND(ISNUMBER(C469),ISNUMBER(ENSO!F469)),C469-ENSO!F469,"")</f>
        <v>0.16</v>
      </c>
      <c r="AL469" s="18">
        <f t="shared" si="80"/>
        <v>1997.125</v>
      </c>
      <c r="AM469" s="18">
        <f t="shared" si="81"/>
        <v>0.41000000000000014</v>
      </c>
    </row>
    <row r="470" spans="1:39">
      <c r="A470" s="18" t="str">
        <f>IF(Volcanic!A470="","",Volcanic!A470)</f>
        <v>3/1997</v>
      </c>
      <c r="B470" s="18">
        <f>IF(ISNUMBER(Volcanic!L470),Volcanic!L470,"")</f>
        <v>1997.2083333333333</v>
      </c>
      <c r="C470" s="21">
        <v>0.17</v>
      </c>
      <c r="D470" s="18">
        <f t="shared" si="79"/>
        <v>-0.28999999999999998</v>
      </c>
      <c r="E470" s="18">
        <f>IF(ISNUMBER(Volcanic!B470),Volcanic!B470,"")</f>
        <v>0.5199999999999978</v>
      </c>
      <c r="F470" s="18">
        <f>IF(ISNUMBER(Volcanic!C470),Volcanic!C470,"")</f>
        <v>0.38108556691755607</v>
      </c>
      <c r="G470" s="18">
        <f>IF(ISNUMBER(Volcanic!E470),Volcanic!E470,"")</f>
        <v>5.2300000000000003E-3</v>
      </c>
      <c r="H470" s="18">
        <f>IF(ISNUMBER(Volcanic!D470),Volcanic!D470,"")</f>
        <v>-0.41</v>
      </c>
      <c r="I470" s="18">
        <f t="shared" si="73"/>
        <v>0.38108556691755607</v>
      </c>
      <c r="J470" s="18">
        <f t="shared" si="74"/>
        <v>5.2300000000000003E-3</v>
      </c>
      <c r="K470" s="18">
        <f t="shared" si="75"/>
        <v>-0.28999999999999998</v>
      </c>
      <c r="L470" s="18">
        <f t="shared" si="76"/>
        <v>0.38108556691755607</v>
      </c>
      <c r="M470" s="18">
        <f t="shared" si="77"/>
        <v>5.2300000000000003E-3</v>
      </c>
      <c r="N470" s="18">
        <f t="shared" si="78"/>
        <v>-0.26053890090731441</v>
      </c>
      <c r="AK470" s="18">
        <f>IF(AND(ISNUMBER(C470),ISNUMBER(ENSO!F470)),C470-ENSO!F470,"")</f>
        <v>0.2</v>
      </c>
      <c r="AL470" s="18">
        <f t="shared" si="80"/>
        <v>1997.2083333333333</v>
      </c>
      <c r="AM470" s="18">
        <f t="shared" si="81"/>
        <v>0.5199999999999978</v>
      </c>
    </row>
    <row r="471" spans="1:39">
      <c r="A471" s="18" t="str">
        <f>IF(Volcanic!A471="","",Volcanic!A471)</f>
        <v>4/1997</v>
      </c>
      <c r="B471" s="18">
        <f>IF(ISNUMBER(Volcanic!L471),Volcanic!L471,"")</f>
        <v>1997.2916666666667</v>
      </c>
      <c r="C471" s="21">
        <v>0.52</v>
      </c>
      <c r="D471" s="18">
        <f t="shared" si="79"/>
        <v>-0.25</v>
      </c>
      <c r="E471" s="18">
        <f>IF(ISNUMBER(Volcanic!B471),Volcanic!B471,"")</f>
        <v>0.33999999999999986</v>
      </c>
      <c r="F471" s="18">
        <f>IF(ISNUMBER(Volcanic!C471),Volcanic!C471,"")</f>
        <v>0.38834700653063781</v>
      </c>
      <c r="G471" s="18">
        <f>IF(ISNUMBER(Volcanic!E471),Volcanic!E471,"")</f>
        <v>5.1799999999999997E-3</v>
      </c>
      <c r="H471" s="18">
        <f>IF(ISNUMBER(Volcanic!D471),Volcanic!D471,"")</f>
        <v>-0.41</v>
      </c>
      <c r="I471" s="18">
        <f t="shared" si="73"/>
        <v>0.38834700653063781</v>
      </c>
      <c r="J471" s="18">
        <f t="shared" si="74"/>
        <v>5.1799999999999997E-3</v>
      </c>
      <c r="K471" s="18">
        <f t="shared" si="75"/>
        <v>-0.25</v>
      </c>
      <c r="L471" s="18">
        <f t="shared" si="76"/>
        <v>0.38834700653063781</v>
      </c>
      <c r="M471" s="18">
        <f t="shared" si="77"/>
        <v>5.1799999999999997E-3</v>
      </c>
      <c r="N471" s="18">
        <f t="shared" si="78"/>
        <v>-0.21984888141671632</v>
      </c>
      <c r="AK471" s="18">
        <f>IF(AND(ISNUMBER(C471),ISNUMBER(ENSO!F471)),C471-ENSO!F471,"")</f>
        <v>0.22000000000000003</v>
      </c>
      <c r="AL471" s="18">
        <f t="shared" si="80"/>
        <v>1997.2916666666667</v>
      </c>
      <c r="AM471" s="18">
        <f t="shared" si="81"/>
        <v>0.33999999999999986</v>
      </c>
    </row>
    <row r="472" spans="1:39">
      <c r="A472" s="18" t="str">
        <f>IF(Volcanic!A472="","",Volcanic!A472)</f>
        <v>5/1997</v>
      </c>
      <c r="B472" s="18">
        <f>IF(ISNUMBER(Volcanic!L472),Volcanic!L472,"")</f>
        <v>1997.375</v>
      </c>
      <c r="C472" s="21">
        <v>0.95</v>
      </c>
      <c r="D472" s="18">
        <f t="shared" si="79"/>
        <v>-0.1</v>
      </c>
      <c r="E472" s="18">
        <f>IF(ISNUMBER(Volcanic!B472),Volcanic!B472,"")</f>
        <v>0.34999999999999787</v>
      </c>
      <c r="F472" s="18">
        <f>IF(ISNUMBER(Volcanic!C472),Volcanic!C472,"")</f>
        <v>0.3894488111595088</v>
      </c>
      <c r="G472" s="18">
        <f>IF(ISNUMBER(Volcanic!E472),Volcanic!E472,"")</f>
        <v>5.0800000000000003E-3</v>
      </c>
      <c r="H472" s="18">
        <f>IF(ISNUMBER(Volcanic!D472),Volcanic!D472,"")</f>
        <v>-0.26</v>
      </c>
      <c r="I472" s="18">
        <f t="shared" si="73"/>
        <v>0.3894488111595088</v>
      </c>
      <c r="J472" s="18">
        <f t="shared" si="74"/>
        <v>5.0800000000000003E-3</v>
      </c>
      <c r="K472" s="18">
        <f t="shared" si="75"/>
        <v>-0.1</v>
      </c>
      <c r="L472" s="18">
        <f t="shared" si="76"/>
        <v>0.3894488111595088</v>
      </c>
      <c r="M472" s="18">
        <f t="shared" si="77"/>
        <v>5.0800000000000003E-3</v>
      </c>
      <c r="N472" s="18">
        <f t="shared" si="78"/>
        <v>-6.9158861926118226E-2</v>
      </c>
      <c r="AK472" s="18">
        <f>IF(AND(ISNUMBER(C472),ISNUMBER(ENSO!F472)),C472-ENSO!F472,"")</f>
        <v>0.24</v>
      </c>
      <c r="AL472" s="18">
        <f t="shared" si="80"/>
        <v>1997.375</v>
      </c>
      <c r="AM472" s="18">
        <f t="shared" si="81"/>
        <v>0.34999999999999787</v>
      </c>
    </row>
    <row r="473" spans="1:39">
      <c r="A473" s="18" t="str">
        <f>IF(Volcanic!A473="","",Volcanic!A473)</f>
        <v>6/1997</v>
      </c>
      <c r="B473" s="18">
        <f>IF(ISNUMBER(Volcanic!L473),Volcanic!L473,"")</f>
        <v>1997.4583333333333</v>
      </c>
      <c r="C473" s="21">
        <v>1.34</v>
      </c>
      <c r="D473" s="18">
        <f t="shared" si="79"/>
        <v>0.17</v>
      </c>
      <c r="E473" s="18">
        <f>IF(ISNUMBER(Volcanic!B473),Volcanic!B473,"")</f>
        <v>0.54999999999999893</v>
      </c>
      <c r="F473" s="18">
        <f>IF(ISNUMBER(Volcanic!C473),Volcanic!C473,"")</f>
        <v>0.38535214535553447</v>
      </c>
      <c r="G473" s="18">
        <f>IF(ISNUMBER(Volcanic!E473),Volcanic!E473,"")</f>
        <v>5.0200000000000002E-3</v>
      </c>
      <c r="H473" s="18">
        <f>IF(ISNUMBER(Volcanic!D473),Volcanic!D473,"")</f>
        <v>-0.03</v>
      </c>
      <c r="I473" s="18">
        <f t="shared" si="73"/>
        <v>0.38535214535553447</v>
      </c>
      <c r="J473" s="18">
        <f t="shared" si="74"/>
        <v>5.0200000000000002E-3</v>
      </c>
      <c r="K473" s="18">
        <f t="shared" si="75"/>
        <v>0.17</v>
      </c>
      <c r="L473" s="18">
        <f t="shared" si="76"/>
        <v>0.38535214535553447</v>
      </c>
      <c r="M473" s="18">
        <f t="shared" si="77"/>
        <v>5.0200000000000002E-3</v>
      </c>
      <c r="N473" s="18">
        <f t="shared" si="78"/>
        <v>0.2015311575644799</v>
      </c>
      <c r="AK473" s="18">
        <f>IF(AND(ISNUMBER(C473),ISNUMBER(ENSO!F473)),C473-ENSO!F473,"")</f>
        <v>0.21000000000000019</v>
      </c>
      <c r="AL473" s="18">
        <f t="shared" si="80"/>
        <v>1997.4583333333333</v>
      </c>
      <c r="AM473" s="18">
        <f t="shared" si="81"/>
        <v>0.54999999999999893</v>
      </c>
    </row>
    <row r="474" spans="1:39">
      <c r="A474" s="18" t="str">
        <f>IF(Volcanic!A474="","",Volcanic!A474)</f>
        <v>7/1997</v>
      </c>
      <c r="B474" s="18">
        <f>IF(ISNUMBER(Volcanic!L474),Volcanic!L474,"")</f>
        <v>1997.5416666666667</v>
      </c>
      <c r="C474" s="21">
        <v>1.69</v>
      </c>
      <c r="D474" s="18">
        <f t="shared" si="79"/>
        <v>0.52</v>
      </c>
      <c r="E474" s="18">
        <f>IF(ISNUMBER(Volcanic!B474),Volcanic!B474,"")</f>
        <v>0.33999999999999986</v>
      </c>
      <c r="F474" s="18">
        <f>IF(ISNUMBER(Volcanic!C474),Volcanic!C474,"")</f>
        <v>0.38033365825089765</v>
      </c>
      <c r="G474" s="18">
        <f>IF(ISNUMBER(Volcanic!E474),Volcanic!E474,"")</f>
        <v>4.8599999999999997E-3</v>
      </c>
      <c r="H474" s="18">
        <f>IF(ISNUMBER(Volcanic!D474),Volcanic!D474,"")</f>
        <v>0.3</v>
      </c>
      <c r="I474" s="18">
        <f t="shared" si="73"/>
        <v>0.38033365825089765</v>
      </c>
      <c r="J474" s="18">
        <f t="shared" si="74"/>
        <v>4.8599999999999997E-3</v>
      </c>
      <c r="K474" s="18">
        <f t="shared" si="75"/>
        <v>0.52</v>
      </c>
      <c r="L474" s="18">
        <f t="shared" si="76"/>
        <v>0.38033365825089765</v>
      </c>
      <c r="M474" s="18">
        <f t="shared" si="77"/>
        <v>4.8599999999999997E-3</v>
      </c>
      <c r="N474" s="18">
        <f t="shared" si="78"/>
        <v>0.55222117705508156</v>
      </c>
      <c r="AK474" s="18">
        <f>IF(AND(ISNUMBER(C474),ISNUMBER(ENSO!F474)),C474-ENSO!F474,"")</f>
        <v>0.20999999999999996</v>
      </c>
      <c r="AL474" s="18">
        <f t="shared" si="80"/>
        <v>1997.5416666666667</v>
      </c>
      <c r="AM474" s="18">
        <f t="shared" si="81"/>
        <v>0.33999999999999986</v>
      </c>
    </row>
    <row r="475" spans="1:39">
      <c r="A475" s="18" t="str">
        <f>IF(Volcanic!A475="","",Volcanic!A475)</f>
        <v>8/1997</v>
      </c>
      <c r="B475" s="18">
        <f>IF(ISNUMBER(Volcanic!L475),Volcanic!L475,"")</f>
        <v>1997.625</v>
      </c>
      <c r="C475" s="21">
        <v>2.0099999999999998</v>
      </c>
      <c r="D475" s="18">
        <f t="shared" si="79"/>
        <v>0.95</v>
      </c>
      <c r="E475" s="18">
        <f>IF(ISNUMBER(Volcanic!B475),Volcanic!B475,"")</f>
        <v>0.41000000000000014</v>
      </c>
      <c r="F475" s="18">
        <f>IF(ISNUMBER(Volcanic!C475),Volcanic!C475,"")</f>
        <v>0.37215612821390631</v>
      </c>
      <c r="G475" s="18">
        <f>IF(ISNUMBER(Volcanic!E475),Volcanic!E475,"")</f>
        <v>4.7299999999999998E-3</v>
      </c>
      <c r="H475" s="18">
        <f>IF(ISNUMBER(Volcanic!D475),Volcanic!D475,"")</f>
        <v>0.71</v>
      </c>
      <c r="I475" s="18">
        <f t="shared" si="73"/>
        <v>0.37215612821390631</v>
      </c>
      <c r="J475" s="18">
        <f t="shared" si="74"/>
        <v>4.7299999999999998E-3</v>
      </c>
      <c r="K475" s="18">
        <f t="shared" si="75"/>
        <v>0.95</v>
      </c>
      <c r="L475" s="18">
        <f t="shared" si="76"/>
        <v>0.37215612821390631</v>
      </c>
      <c r="M475" s="18">
        <f t="shared" si="77"/>
        <v>4.7299999999999998E-3</v>
      </c>
      <c r="N475" s="18">
        <f t="shared" si="78"/>
        <v>0.9829111965456796</v>
      </c>
      <c r="AK475" s="18">
        <f>IF(AND(ISNUMBER(C475),ISNUMBER(ENSO!F475)),C475-ENSO!F475,"")</f>
        <v>0.21999999999999975</v>
      </c>
      <c r="AL475" s="18">
        <f t="shared" si="80"/>
        <v>1997.625</v>
      </c>
      <c r="AM475" s="18">
        <f t="shared" si="81"/>
        <v>0.41000000000000014</v>
      </c>
    </row>
    <row r="476" spans="1:39">
      <c r="A476" s="18" t="str">
        <f>IF(Volcanic!A476="","",Volcanic!A476)</f>
        <v>9/1997</v>
      </c>
      <c r="B476" s="18">
        <f>IF(ISNUMBER(Volcanic!L476),Volcanic!L476,"")</f>
        <v>1997.7083333333333</v>
      </c>
      <c r="C476" s="21">
        <v>2.25</v>
      </c>
      <c r="D476" s="18">
        <f t="shared" si="79"/>
        <v>1.34</v>
      </c>
      <c r="E476" s="18">
        <f>IF(ISNUMBER(Volcanic!B476),Volcanic!B476,"")</f>
        <v>0.5199999999999978</v>
      </c>
      <c r="F476" s="18">
        <f>IF(ISNUMBER(Volcanic!C476),Volcanic!C476,"")</f>
        <v>0.36433229663226918</v>
      </c>
      <c r="G476" s="18">
        <f>IF(ISNUMBER(Volcanic!E476),Volcanic!E476,"")</f>
        <v>4.5999999999999999E-3</v>
      </c>
      <c r="H476" s="18">
        <f>IF(ISNUMBER(Volcanic!D476),Volcanic!D476,"")</f>
        <v>1.1299999999999999</v>
      </c>
      <c r="I476" s="18">
        <f t="shared" si="73"/>
        <v>0.36433229663226918</v>
      </c>
      <c r="J476" s="18">
        <f t="shared" si="74"/>
        <v>4.5999999999999999E-3</v>
      </c>
      <c r="K476" s="18">
        <f t="shared" si="75"/>
        <v>1.34</v>
      </c>
      <c r="L476" s="18">
        <f t="shared" si="76"/>
        <v>0.36433229663226918</v>
      </c>
      <c r="M476" s="18">
        <f t="shared" si="77"/>
        <v>4.5999999999999999E-3</v>
      </c>
      <c r="N476" s="18">
        <f t="shared" si="78"/>
        <v>1.3736012160362778</v>
      </c>
      <c r="AK476" s="18">
        <f>IF(AND(ISNUMBER(C476),ISNUMBER(ENSO!F476)),C476-ENSO!F476,"")</f>
        <v>0.20999999999999996</v>
      </c>
      <c r="AL476" s="18">
        <f t="shared" si="80"/>
        <v>1997.7083333333333</v>
      </c>
      <c r="AM476" s="18">
        <f t="shared" si="81"/>
        <v>0.5199999999999978</v>
      </c>
    </row>
    <row r="477" spans="1:39">
      <c r="A477" s="18" t="str">
        <f>IF(Volcanic!A477="","",Volcanic!A477)</f>
        <v>10/1997</v>
      </c>
      <c r="B477" s="18">
        <f>IF(ISNUMBER(Volcanic!L477),Volcanic!L477,"")</f>
        <v>1997.7916666666667</v>
      </c>
      <c r="C477" s="21">
        <v>2.38</v>
      </c>
      <c r="D477" s="18">
        <f t="shared" si="79"/>
        <v>1.69</v>
      </c>
      <c r="E477" s="18">
        <f>IF(ISNUMBER(Volcanic!B477),Volcanic!B477,"")</f>
        <v>0.61000000000000121</v>
      </c>
      <c r="F477" s="18">
        <f>IF(ISNUMBER(Volcanic!C477),Volcanic!C477,"")</f>
        <v>0.36645211340564054</v>
      </c>
      <c r="G477" s="18">
        <f>IF(ISNUMBER(Volcanic!E477),Volcanic!E477,"")</f>
        <v>4.4900000000000001E-3</v>
      </c>
      <c r="H477" s="18">
        <f>IF(ISNUMBER(Volcanic!D477),Volcanic!D477,"")</f>
        <v>1.48</v>
      </c>
      <c r="I477" s="18">
        <f t="shared" si="73"/>
        <v>0.36645211340564054</v>
      </c>
      <c r="J477" s="18">
        <f t="shared" si="74"/>
        <v>4.4900000000000001E-3</v>
      </c>
      <c r="K477" s="18">
        <f t="shared" si="75"/>
        <v>1.69</v>
      </c>
      <c r="L477" s="18">
        <f t="shared" si="76"/>
        <v>0.36645211340564054</v>
      </c>
      <c r="M477" s="18">
        <f t="shared" si="77"/>
        <v>4.4900000000000001E-3</v>
      </c>
      <c r="N477" s="18">
        <f t="shared" si="78"/>
        <v>1.7242912355268794</v>
      </c>
      <c r="AK477" s="18">
        <f>IF(AND(ISNUMBER(C477),ISNUMBER(ENSO!F477)),C477-ENSO!F477,"")</f>
        <v>0.13999999999999968</v>
      </c>
      <c r="AL477" s="18">
        <f t="shared" si="80"/>
        <v>1997.7916666666667</v>
      </c>
      <c r="AM477" s="18">
        <f t="shared" si="81"/>
        <v>0.61000000000000121</v>
      </c>
    </row>
    <row r="478" spans="1:39">
      <c r="A478" s="18" t="str">
        <f>IF(Volcanic!A478="","",Volcanic!A478)</f>
        <v>11/1997</v>
      </c>
      <c r="B478" s="18">
        <f>IF(ISNUMBER(Volcanic!L478),Volcanic!L478,"")</f>
        <v>1997.875</v>
      </c>
      <c r="C478" s="21">
        <v>2.36</v>
      </c>
      <c r="D478" s="18">
        <f t="shared" si="79"/>
        <v>2.0099999999999998</v>
      </c>
      <c r="E478" s="18">
        <f>IF(ISNUMBER(Volcanic!B478),Volcanic!B478,"")</f>
        <v>0.65000000000000213</v>
      </c>
      <c r="F478" s="18">
        <f>IF(ISNUMBER(Volcanic!C478),Volcanic!C478,"")</f>
        <v>0.37315102173715475</v>
      </c>
      <c r="G478" s="18">
        <f>IF(ISNUMBER(Volcanic!E478),Volcanic!E478,"")</f>
        <v>4.45E-3</v>
      </c>
      <c r="H478" s="18">
        <f>IF(ISNUMBER(Volcanic!D478),Volcanic!D478,"")</f>
        <v>1.79</v>
      </c>
      <c r="I478" s="18">
        <f t="shared" si="73"/>
        <v>0.37315102173715475</v>
      </c>
      <c r="J478" s="18">
        <f t="shared" si="74"/>
        <v>4.45E-3</v>
      </c>
      <c r="K478" s="18">
        <f t="shared" si="75"/>
        <v>2.0099999999999998</v>
      </c>
      <c r="L478" s="18">
        <f t="shared" si="76"/>
        <v>0.37315102173715475</v>
      </c>
      <c r="M478" s="18">
        <f t="shared" si="77"/>
        <v>4.45E-3</v>
      </c>
      <c r="N478" s="18">
        <f t="shared" si="78"/>
        <v>2.0449812550174773</v>
      </c>
      <c r="AK478" s="18">
        <f>IF(AND(ISNUMBER(C478),ISNUMBER(ENSO!F478)),C478-ENSO!F478,"")</f>
        <v>2.0000000000000018E-2</v>
      </c>
      <c r="AL478" s="18">
        <f t="shared" si="80"/>
        <v>1997.875</v>
      </c>
      <c r="AM478" s="18">
        <f t="shared" si="81"/>
        <v>0.65000000000000213</v>
      </c>
    </row>
    <row r="479" spans="1:39">
      <c r="A479" s="18" t="str">
        <f>IF(Volcanic!A479="","",Volcanic!A479)</f>
        <v>12/1997</v>
      </c>
      <c r="B479" s="18">
        <f>IF(ISNUMBER(Volcanic!L479),Volcanic!L479,"")</f>
        <v>1997.9583333333333</v>
      </c>
      <c r="C479" s="21">
        <v>2.34</v>
      </c>
      <c r="D479" s="18">
        <f t="shared" si="79"/>
        <v>2.25</v>
      </c>
      <c r="E479" s="18">
        <f>IF(ISNUMBER(Volcanic!B479),Volcanic!B479,"")</f>
        <v>0.58999999999999986</v>
      </c>
      <c r="F479" s="18">
        <f>IF(ISNUMBER(Volcanic!C479),Volcanic!C479,"")</f>
        <v>0.38053156694990453</v>
      </c>
      <c r="G479" s="18">
        <f>IF(ISNUMBER(Volcanic!E479),Volcanic!E479,"")</f>
        <v>4.4400000000000004E-3</v>
      </c>
      <c r="H479" s="18">
        <f>IF(ISNUMBER(Volcanic!D479),Volcanic!D479,"")</f>
        <v>2.04</v>
      </c>
      <c r="I479" s="18">
        <f t="shared" si="73"/>
        <v>0.38053156694990453</v>
      </c>
      <c r="J479" s="18">
        <f t="shared" si="74"/>
        <v>4.4400000000000004E-3</v>
      </c>
      <c r="K479" s="18">
        <f t="shared" si="75"/>
        <v>2.25</v>
      </c>
      <c r="L479" s="18">
        <f t="shared" si="76"/>
        <v>0.38053156694990453</v>
      </c>
      <c r="M479" s="18">
        <f t="shared" si="77"/>
        <v>4.4400000000000004E-3</v>
      </c>
      <c r="N479" s="18">
        <f t="shared" si="78"/>
        <v>2.2856712745080756</v>
      </c>
      <c r="AK479" s="18">
        <f>IF(AND(ISNUMBER(C479),ISNUMBER(ENSO!F479)),C479-ENSO!F479,"")</f>
        <v>-3.0000000000000249E-2</v>
      </c>
      <c r="AL479" s="18">
        <f t="shared" si="80"/>
        <v>1997.9583333333333</v>
      </c>
      <c r="AM479" s="18">
        <f t="shared" si="81"/>
        <v>0.58999999999999986</v>
      </c>
    </row>
    <row r="480" spans="1:39">
      <c r="A480" s="18" t="str">
        <f>IF(Volcanic!A480="","",Volcanic!A480)</f>
        <v>1/1998</v>
      </c>
      <c r="B480" s="18">
        <f>IF(ISNUMBER(Volcanic!L480),Volcanic!L480,"")</f>
        <v>1998.0416666666667</v>
      </c>
      <c r="C480" s="21">
        <v>2.16</v>
      </c>
      <c r="D480" s="18">
        <f t="shared" si="79"/>
        <v>2.38</v>
      </c>
      <c r="E480" s="18">
        <f>IF(ISNUMBER(Volcanic!B480),Volcanic!B480,"")</f>
        <v>0.58000000000000007</v>
      </c>
      <c r="F480" s="18">
        <f>IF(ISNUMBER(Volcanic!C480),Volcanic!C480,"")</f>
        <v>0.38401032363198068</v>
      </c>
      <c r="G480" s="18">
        <f>IF(ISNUMBER(Volcanic!E480),Volcanic!E480,"")</f>
        <v>4.3699999999999998E-3</v>
      </c>
      <c r="H480" s="18">
        <f>IF(ISNUMBER(Volcanic!D480),Volcanic!D480,"")</f>
        <v>2.2400000000000002</v>
      </c>
      <c r="I480" s="18">
        <f t="shared" si="73"/>
        <v>0.38401032363198068</v>
      </c>
      <c r="J480" s="18">
        <f t="shared" si="74"/>
        <v>4.3699999999999998E-3</v>
      </c>
      <c r="K480" s="18">
        <f t="shared" si="75"/>
        <v>2.38</v>
      </c>
      <c r="L480" s="18">
        <f t="shared" si="76"/>
        <v>0.38401032363198068</v>
      </c>
      <c r="M480" s="18">
        <f t="shared" si="77"/>
        <v>4.3699999999999998E-3</v>
      </c>
      <c r="N480" s="18">
        <f t="shared" si="78"/>
        <v>2.4163612939986772</v>
      </c>
      <c r="AK480" s="18">
        <f>IF(AND(ISNUMBER(C480),ISNUMBER(ENSO!F480)),C480-ENSO!F480,"")</f>
        <v>-6.0000000000000053E-2</v>
      </c>
      <c r="AL480" s="18">
        <f t="shared" si="80"/>
        <v>1998.0416666666667</v>
      </c>
      <c r="AM480" s="18">
        <f t="shared" si="81"/>
        <v>0.58000000000000007</v>
      </c>
    </row>
    <row r="481" spans="1:39">
      <c r="A481" s="18" t="str">
        <f>IF(Volcanic!A481="","",Volcanic!A481)</f>
        <v>2/1998</v>
      </c>
      <c r="B481" s="18">
        <f>IF(ISNUMBER(Volcanic!L481),Volcanic!L481,"")</f>
        <v>1998.125</v>
      </c>
      <c r="C481" s="21">
        <v>1.82</v>
      </c>
      <c r="D481" s="18">
        <f t="shared" si="79"/>
        <v>2.36</v>
      </c>
      <c r="E481" s="18">
        <f>IF(ISNUMBER(Volcanic!B481),Volcanic!B481,"")</f>
        <v>0.88000000000000256</v>
      </c>
      <c r="F481" s="18">
        <f>IF(ISNUMBER(Volcanic!C481),Volcanic!C481,"")</f>
        <v>0.38681094647221681</v>
      </c>
      <c r="G481" s="18">
        <f>IF(ISNUMBER(Volcanic!E481),Volcanic!E481,"")</f>
        <v>4.3299999999999996E-3</v>
      </c>
      <c r="H481" s="18">
        <f>IF(ISNUMBER(Volcanic!D481),Volcanic!D481,"")</f>
        <v>2.34</v>
      </c>
      <c r="I481" s="18">
        <f t="shared" si="73"/>
        <v>0.38681094647221681</v>
      </c>
      <c r="J481" s="18">
        <f t="shared" si="74"/>
        <v>4.3299999999999996E-3</v>
      </c>
      <c r="K481" s="18">
        <f t="shared" si="75"/>
        <v>2.36</v>
      </c>
      <c r="L481" s="18">
        <f t="shared" si="76"/>
        <v>0.38681094647221681</v>
      </c>
      <c r="M481" s="18">
        <f t="shared" si="77"/>
        <v>4.3299999999999996E-3</v>
      </c>
      <c r="N481" s="18">
        <f t="shared" si="78"/>
        <v>2.3970513134892752</v>
      </c>
      <c r="AK481" s="18">
        <f>IF(AND(ISNUMBER(C481),ISNUMBER(ENSO!F481)),C481-ENSO!F481,"")</f>
        <v>-8.9999999999999858E-2</v>
      </c>
      <c r="AL481" s="18">
        <f t="shared" si="80"/>
        <v>1998.125</v>
      </c>
      <c r="AM481" s="18">
        <f t="shared" si="81"/>
        <v>0.88000000000000256</v>
      </c>
    </row>
    <row r="482" spans="1:39">
      <c r="A482" s="18" t="str">
        <f>IF(Volcanic!A482="","",Volcanic!A482)</f>
        <v>3/1998</v>
      </c>
      <c r="B482" s="18">
        <f>IF(ISNUMBER(Volcanic!L482),Volcanic!L482,"")</f>
        <v>1998.2083333333333</v>
      </c>
      <c r="C482" s="21">
        <v>1.25</v>
      </c>
      <c r="D482" s="18">
        <f t="shared" si="79"/>
        <v>2.34</v>
      </c>
      <c r="E482" s="18">
        <f>IF(ISNUMBER(Volcanic!B482),Volcanic!B482,"")</f>
        <v>0.63000000000000256</v>
      </c>
      <c r="F482" s="18">
        <f>IF(ISNUMBER(Volcanic!C482),Volcanic!C482,"")</f>
        <v>0.39176771995599674</v>
      </c>
      <c r="G482" s="18">
        <f>IF(ISNUMBER(Volcanic!E482),Volcanic!E482,"")</f>
        <v>4.3600000000000002E-3</v>
      </c>
      <c r="H482" s="18">
        <f>IF(ISNUMBER(Volcanic!D482),Volcanic!D482,"")</f>
        <v>2.37</v>
      </c>
      <c r="I482" s="18">
        <f t="shared" si="73"/>
        <v>0.39176771995599674</v>
      </c>
      <c r="J482" s="18">
        <f t="shared" si="74"/>
        <v>4.3600000000000002E-3</v>
      </c>
      <c r="K482" s="18">
        <f t="shared" si="75"/>
        <v>2.34</v>
      </c>
      <c r="L482" s="18">
        <f t="shared" si="76"/>
        <v>0.39176771995599674</v>
      </c>
      <c r="M482" s="18">
        <f t="shared" si="77"/>
        <v>4.3600000000000002E-3</v>
      </c>
      <c r="N482" s="18">
        <f t="shared" si="78"/>
        <v>2.3777413329798733</v>
      </c>
      <c r="AK482" s="18">
        <f>IF(AND(ISNUMBER(C482),ISNUMBER(ENSO!F482)),C482-ENSO!F482,"")</f>
        <v>-0.14999999999999991</v>
      </c>
      <c r="AL482" s="18">
        <f t="shared" si="80"/>
        <v>1998.2083333333333</v>
      </c>
      <c r="AM482" s="18">
        <f t="shared" si="81"/>
        <v>0.63000000000000256</v>
      </c>
    </row>
    <row r="483" spans="1:39">
      <c r="A483" s="18" t="str">
        <f>IF(Volcanic!A483="","",Volcanic!A483)</f>
        <v>4/1998</v>
      </c>
      <c r="B483" s="18">
        <f>IF(ISNUMBER(Volcanic!L483),Volcanic!L483,"")</f>
        <v>1998.2916666666667</v>
      </c>
      <c r="C483" s="21">
        <v>0.77</v>
      </c>
      <c r="D483" s="18">
        <f t="shared" si="79"/>
        <v>2.16</v>
      </c>
      <c r="E483" s="18">
        <f>IF(ISNUMBER(Volcanic!B483),Volcanic!B483,"")</f>
        <v>0.64000000000000234</v>
      </c>
      <c r="F483" s="18">
        <f>IF(ISNUMBER(Volcanic!C483),Volcanic!C483,"")</f>
        <v>0.39737270943755826</v>
      </c>
      <c r="G483" s="18">
        <f>IF(ISNUMBER(Volcanic!E483),Volcanic!E483,"")</f>
        <v>4.4000000000000003E-3</v>
      </c>
      <c r="H483" s="18">
        <f>IF(ISNUMBER(Volcanic!D483),Volcanic!D483,"")</f>
        <v>2.2200000000000002</v>
      </c>
      <c r="I483" s="18">
        <f t="shared" si="73"/>
        <v>0.39737270943755826</v>
      </c>
      <c r="J483" s="18">
        <f t="shared" si="74"/>
        <v>4.4000000000000003E-3</v>
      </c>
      <c r="K483" s="18">
        <f t="shared" si="75"/>
        <v>2.16</v>
      </c>
      <c r="L483" s="18">
        <f t="shared" si="76"/>
        <v>0.39737270943755826</v>
      </c>
      <c r="M483" s="18">
        <f t="shared" si="77"/>
        <v>4.4000000000000003E-3</v>
      </c>
      <c r="N483" s="18">
        <f t="shared" si="78"/>
        <v>2.1984313524704717</v>
      </c>
      <c r="AK483" s="18">
        <f>IF(AND(ISNUMBER(C483),ISNUMBER(ENSO!F483)),C483-ENSO!F483,"")</f>
        <v>-0.26</v>
      </c>
      <c r="AL483" s="18">
        <f t="shared" si="80"/>
        <v>1998.2916666666667</v>
      </c>
      <c r="AM483" s="18">
        <f t="shared" si="81"/>
        <v>0.64000000000000234</v>
      </c>
    </row>
    <row r="484" spans="1:39">
      <c r="A484" s="18" t="str">
        <f>IF(Volcanic!A484="","",Volcanic!A484)</f>
        <v>5/1998</v>
      </c>
      <c r="B484" s="18">
        <f>IF(ISNUMBER(Volcanic!L484),Volcanic!L484,"")</f>
        <v>1998.375</v>
      </c>
      <c r="C484" s="21">
        <v>0.14000000000000001</v>
      </c>
      <c r="D484" s="18">
        <f t="shared" si="79"/>
        <v>1.82</v>
      </c>
      <c r="E484" s="18">
        <f>IF(ISNUMBER(Volcanic!B484),Volcanic!B484,"")</f>
        <v>0.67999999999999972</v>
      </c>
      <c r="F484" s="18">
        <f>IF(ISNUMBER(Volcanic!C484),Volcanic!C484,"")</f>
        <v>0.40038178530727464</v>
      </c>
      <c r="G484" s="18">
        <f>IF(ISNUMBER(Volcanic!E484),Volcanic!E484,"")</f>
        <v>4.3600000000000002E-3</v>
      </c>
      <c r="H484" s="18">
        <f>IF(ISNUMBER(Volcanic!D484),Volcanic!D484,"")</f>
        <v>1.91</v>
      </c>
      <c r="I484" s="18">
        <f t="shared" si="73"/>
        <v>0.40038178530727464</v>
      </c>
      <c r="J484" s="18">
        <f t="shared" si="74"/>
        <v>4.3600000000000002E-3</v>
      </c>
      <c r="K484" s="18">
        <f t="shared" si="75"/>
        <v>1.82</v>
      </c>
      <c r="L484" s="18">
        <f t="shared" si="76"/>
        <v>0.40038178530727464</v>
      </c>
      <c r="M484" s="18">
        <f t="shared" si="77"/>
        <v>4.3600000000000002E-3</v>
      </c>
      <c r="N484" s="18">
        <f t="shared" si="78"/>
        <v>1.8591213719610733</v>
      </c>
      <c r="AK484" s="18">
        <f>IF(AND(ISNUMBER(C484),ISNUMBER(ENSO!F484)),C484-ENSO!F484,"")</f>
        <v>-0.26</v>
      </c>
      <c r="AL484" s="18">
        <f t="shared" si="80"/>
        <v>1998.375</v>
      </c>
      <c r="AM484" s="18">
        <f t="shared" si="81"/>
        <v>0.67999999999999972</v>
      </c>
    </row>
    <row r="485" spans="1:39">
      <c r="A485" s="18" t="str">
        <f>IF(Volcanic!A485="","",Volcanic!A485)</f>
        <v>6/1998</v>
      </c>
      <c r="B485" s="18">
        <f>IF(ISNUMBER(Volcanic!L485),Volcanic!L485,"")</f>
        <v>1998.4583333333333</v>
      </c>
      <c r="C485" s="21">
        <v>-0.5</v>
      </c>
      <c r="D485" s="18">
        <f t="shared" si="79"/>
        <v>1.25</v>
      </c>
      <c r="E485" s="18">
        <f>IF(ISNUMBER(Volcanic!B485),Volcanic!B485,"")</f>
        <v>0.77000000000000135</v>
      </c>
      <c r="F485" s="18">
        <f>IF(ISNUMBER(Volcanic!C485),Volcanic!C485,"")</f>
        <v>0.39870216614997578</v>
      </c>
      <c r="G485" s="18">
        <f>IF(ISNUMBER(Volcanic!E485),Volcanic!E485,"")</f>
        <v>4.3899999999999998E-3</v>
      </c>
      <c r="H485" s="18">
        <f>IF(ISNUMBER(Volcanic!D485),Volcanic!D485,"")</f>
        <v>1.4</v>
      </c>
      <c r="I485" s="18">
        <f t="shared" si="73"/>
        <v>0.39870216614997578</v>
      </c>
      <c r="J485" s="18">
        <f t="shared" si="74"/>
        <v>4.3899999999999998E-3</v>
      </c>
      <c r="K485" s="18">
        <f t="shared" si="75"/>
        <v>1.25</v>
      </c>
      <c r="L485" s="18">
        <f t="shared" si="76"/>
        <v>0.39870216614997578</v>
      </c>
      <c r="M485" s="18">
        <f t="shared" si="77"/>
        <v>4.3899999999999998E-3</v>
      </c>
      <c r="N485" s="18">
        <f t="shared" si="78"/>
        <v>1.2898113914516713</v>
      </c>
      <c r="AK485" s="18">
        <f>IF(AND(ISNUMBER(C485),ISNUMBER(ENSO!F485)),C485-ENSO!F485,"")</f>
        <v>-0.42</v>
      </c>
      <c r="AL485" s="18">
        <f t="shared" si="80"/>
        <v>1998.4583333333333</v>
      </c>
      <c r="AM485" s="18">
        <f t="shared" si="81"/>
        <v>0.77000000000000135</v>
      </c>
    </row>
    <row r="486" spans="1:39">
      <c r="A486" s="18" t="str">
        <f>IF(Volcanic!A486="","",Volcanic!A486)</f>
        <v>7/1998</v>
      </c>
      <c r="B486" s="18">
        <f>IF(ISNUMBER(Volcanic!L486),Volcanic!L486,"")</f>
        <v>1998.5416666666667</v>
      </c>
      <c r="C486" s="21">
        <v>-1.17</v>
      </c>
      <c r="D486" s="18">
        <f t="shared" si="79"/>
        <v>0.77</v>
      </c>
      <c r="E486" s="18">
        <f>IF(ISNUMBER(Volcanic!B486),Volcanic!B486,"")</f>
        <v>0.66000000000000369</v>
      </c>
      <c r="F486" s="18">
        <f>IF(ISNUMBER(Volcanic!C486),Volcanic!C486,"")</f>
        <v>0.39420052964215635</v>
      </c>
      <c r="G486" s="18">
        <f>IF(ISNUMBER(Volcanic!E486),Volcanic!E486,"")</f>
        <v>4.3899999999999998E-3</v>
      </c>
      <c r="H486" s="18">
        <f>IF(ISNUMBER(Volcanic!D486),Volcanic!D486,"")</f>
        <v>1.03</v>
      </c>
      <c r="I486" s="18">
        <f t="shared" si="73"/>
        <v>0.39420052964215635</v>
      </c>
      <c r="J486" s="18">
        <f t="shared" si="74"/>
        <v>4.3899999999999998E-3</v>
      </c>
      <c r="K486" s="18">
        <f t="shared" si="75"/>
        <v>0.77</v>
      </c>
      <c r="L486" s="18">
        <f t="shared" si="76"/>
        <v>0.39420052964215635</v>
      </c>
      <c r="M486" s="18">
        <f t="shared" si="77"/>
        <v>4.3899999999999998E-3</v>
      </c>
      <c r="N486" s="18">
        <f t="shared" si="78"/>
        <v>0.81050141094226946</v>
      </c>
      <c r="AK486" s="18">
        <f>IF(AND(ISNUMBER(C486),ISNUMBER(ENSO!F486)),C486-ENSO!F486,"")</f>
        <v>-0.53999999999999992</v>
      </c>
      <c r="AL486" s="18">
        <f t="shared" si="80"/>
        <v>1998.5416666666667</v>
      </c>
      <c r="AM486" s="18">
        <f t="shared" si="81"/>
        <v>0.66000000000000369</v>
      </c>
    </row>
    <row r="487" spans="1:39">
      <c r="A487" s="18" t="str">
        <f>IF(Volcanic!A487="","",Volcanic!A487)</f>
        <v>8/1998</v>
      </c>
      <c r="B487" s="18">
        <f>IF(ISNUMBER(Volcanic!L487),Volcanic!L487,"")</f>
        <v>1998.625</v>
      </c>
      <c r="C487" s="21">
        <v>-1.41</v>
      </c>
      <c r="D487" s="18">
        <f t="shared" si="79"/>
        <v>0.14000000000000001</v>
      </c>
      <c r="E487" s="18">
        <f>IF(ISNUMBER(Volcanic!B487),Volcanic!B487,"")</f>
        <v>0.65000000000000213</v>
      </c>
      <c r="F487" s="18">
        <f>IF(ISNUMBER(Volcanic!C487),Volcanic!C487,"")</f>
        <v>0.38681094647221681</v>
      </c>
      <c r="G487" s="18">
        <f>IF(ISNUMBER(Volcanic!E487),Volcanic!E487,"")</f>
        <v>4.3400000000000001E-3</v>
      </c>
      <c r="H487" s="18">
        <f>IF(ISNUMBER(Volcanic!D487),Volcanic!D487,"")</f>
        <v>0.4</v>
      </c>
      <c r="I487" s="18">
        <f t="shared" si="73"/>
        <v>0.38681094647221681</v>
      </c>
      <c r="J487" s="18">
        <f t="shared" si="74"/>
        <v>4.3400000000000001E-3</v>
      </c>
      <c r="K487" s="18">
        <f t="shared" si="75"/>
        <v>0.14000000000000001</v>
      </c>
      <c r="L487" s="18">
        <f t="shared" si="76"/>
        <v>0.38681094647221681</v>
      </c>
      <c r="M487" s="18">
        <f t="shared" si="77"/>
        <v>4.3400000000000001E-3</v>
      </c>
      <c r="N487" s="18">
        <f t="shared" si="78"/>
        <v>0.18119143043286756</v>
      </c>
      <c r="AK487" s="18">
        <f>IF(AND(ISNUMBER(C487),ISNUMBER(ENSO!F487)),C487-ENSO!F487,"")</f>
        <v>-0.57999999999999996</v>
      </c>
      <c r="AL487" s="18">
        <f t="shared" si="80"/>
        <v>1998.625</v>
      </c>
      <c r="AM487" s="18">
        <f t="shared" si="81"/>
        <v>0.65000000000000213</v>
      </c>
    </row>
    <row r="488" spans="1:39">
      <c r="A488" s="18" t="str">
        <f>IF(Volcanic!A488="","",Volcanic!A488)</f>
        <v>9/1998</v>
      </c>
      <c r="B488" s="18">
        <f>IF(ISNUMBER(Volcanic!L488),Volcanic!L488,"")</f>
        <v>1998.7083333333333</v>
      </c>
      <c r="C488" s="21">
        <v>-1.52</v>
      </c>
      <c r="D488" s="18">
        <f t="shared" si="79"/>
        <v>-0.5</v>
      </c>
      <c r="E488" s="18">
        <f>IF(ISNUMBER(Volcanic!B488),Volcanic!B488,"")</f>
        <v>0.42000000000000348</v>
      </c>
      <c r="F488" s="18">
        <f>IF(ISNUMBER(Volcanic!C488),Volcanic!C488,"")</f>
        <v>0.37914563558689091</v>
      </c>
      <c r="G488" s="18">
        <f>IF(ISNUMBER(Volcanic!E488),Volcanic!E488,"")</f>
        <v>4.2599999999999999E-3</v>
      </c>
      <c r="H488" s="18">
        <f>IF(ISNUMBER(Volcanic!D488),Volcanic!D488,"")</f>
        <v>-0.08</v>
      </c>
      <c r="I488" s="18">
        <f t="shared" si="73"/>
        <v>0.37914563558689091</v>
      </c>
      <c r="J488" s="18">
        <f t="shared" si="74"/>
        <v>4.2599999999999999E-3</v>
      </c>
      <c r="K488" s="18">
        <f t="shared" si="75"/>
        <v>-0.5</v>
      </c>
      <c r="L488" s="18">
        <f t="shared" si="76"/>
        <v>0.37914563558689091</v>
      </c>
      <c r="M488" s="18">
        <f t="shared" si="77"/>
        <v>4.2599999999999999E-3</v>
      </c>
      <c r="N488" s="18">
        <f t="shared" si="78"/>
        <v>-0.45811855007653435</v>
      </c>
      <c r="AK488" s="18">
        <f>IF(AND(ISNUMBER(C488),ISNUMBER(ENSO!F488)),C488-ENSO!F488,"")</f>
        <v>-0.5</v>
      </c>
      <c r="AL488" s="18">
        <f t="shared" si="80"/>
        <v>1998.7083333333333</v>
      </c>
      <c r="AM488" s="18">
        <f t="shared" si="81"/>
        <v>0.42000000000000348</v>
      </c>
    </row>
    <row r="489" spans="1:39">
      <c r="A489" s="18" t="str">
        <f>IF(Volcanic!A489="","",Volcanic!A489)</f>
        <v>10/1998</v>
      </c>
      <c r="B489" s="18">
        <f>IF(ISNUMBER(Volcanic!L489),Volcanic!L489,"")</f>
        <v>1998.7916666666667</v>
      </c>
      <c r="C489" s="21">
        <v>-1.52</v>
      </c>
      <c r="D489" s="18">
        <f t="shared" si="79"/>
        <v>-1.17</v>
      </c>
      <c r="E489" s="18">
        <f>IF(ISNUMBER(Volcanic!B489),Volcanic!B489,"")</f>
        <v>0.42000000000000348</v>
      </c>
      <c r="F489" s="18">
        <f>IF(ISNUMBER(Volcanic!C489),Volcanic!C489,"")</f>
        <v>0.38065029913905807</v>
      </c>
      <c r="G489" s="18">
        <f>IF(ISNUMBER(Volcanic!E489),Volcanic!E489,"")</f>
        <v>4.1900000000000001E-3</v>
      </c>
      <c r="H489" s="18">
        <f>IF(ISNUMBER(Volcanic!D489),Volcanic!D489,"")</f>
        <v>-0.63</v>
      </c>
      <c r="I489" s="18">
        <f t="shared" si="73"/>
        <v>0.38065029913905807</v>
      </c>
      <c r="J489" s="18">
        <f t="shared" si="74"/>
        <v>4.1900000000000001E-3</v>
      </c>
      <c r="K489" s="18">
        <f t="shared" si="75"/>
        <v>-1.17</v>
      </c>
      <c r="L489" s="18">
        <f t="shared" si="76"/>
        <v>0.38065029913905807</v>
      </c>
      <c r="M489" s="18">
        <f t="shared" si="77"/>
        <v>4.1900000000000001E-3</v>
      </c>
      <c r="N489" s="18">
        <f t="shared" si="78"/>
        <v>-1.1274285305859326</v>
      </c>
      <c r="AK489" s="18">
        <f>IF(AND(ISNUMBER(C489),ISNUMBER(ENSO!F489)),C489-ENSO!F489,"")</f>
        <v>-0.39999999999999991</v>
      </c>
      <c r="AL489" s="18">
        <f t="shared" si="80"/>
        <v>1998.7916666666667</v>
      </c>
      <c r="AM489" s="18">
        <f t="shared" si="81"/>
        <v>0.42000000000000348</v>
      </c>
    </row>
    <row r="490" spans="1:39">
      <c r="A490" s="18" t="str">
        <f>IF(Volcanic!A490="","",Volcanic!A490)</f>
        <v>11/1998</v>
      </c>
      <c r="B490" s="18">
        <f>IF(ISNUMBER(Volcanic!L490),Volcanic!L490,"")</f>
        <v>1998.875</v>
      </c>
      <c r="C490" s="21">
        <v>-1.63</v>
      </c>
      <c r="D490" s="18">
        <f t="shared" si="79"/>
        <v>-1.41</v>
      </c>
      <c r="E490" s="18">
        <f>IF(ISNUMBER(Volcanic!B490),Volcanic!B490,"")</f>
        <v>0.42999999999999972</v>
      </c>
      <c r="F490" s="18">
        <f>IF(ISNUMBER(Volcanic!C490),Volcanic!C490,"")</f>
        <v>0.38511544395370917</v>
      </c>
      <c r="G490" s="18">
        <f>IF(ISNUMBER(Volcanic!E490),Volcanic!E490,"")</f>
        <v>4.1700000000000001E-3</v>
      </c>
      <c r="H490" s="18">
        <f>IF(ISNUMBER(Volcanic!D490),Volcanic!D490,"")</f>
        <v>-0.83</v>
      </c>
      <c r="I490" s="18">
        <f t="shared" si="73"/>
        <v>0.38511544395370917</v>
      </c>
      <c r="J490" s="18">
        <f t="shared" si="74"/>
        <v>4.1700000000000001E-3</v>
      </c>
      <c r="K490" s="18">
        <f t="shared" si="75"/>
        <v>-1.41</v>
      </c>
      <c r="L490" s="18">
        <f t="shared" si="76"/>
        <v>0.38511544395370917</v>
      </c>
      <c r="M490" s="18">
        <f t="shared" si="77"/>
        <v>4.1700000000000001E-3</v>
      </c>
      <c r="N490" s="18">
        <f t="shared" si="78"/>
        <v>-1.3667385110953345</v>
      </c>
      <c r="AK490" s="18">
        <f>IF(AND(ISNUMBER(C490),ISNUMBER(ENSO!F490)),C490-ENSO!F490,"")</f>
        <v>-0.31999999999999984</v>
      </c>
      <c r="AL490" s="18">
        <f t="shared" si="80"/>
        <v>1998.875</v>
      </c>
      <c r="AM490" s="18">
        <f t="shared" si="81"/>
        <v>0.42999999999999972</v>
      </c>
    </row>
    <row r="491" spans="1:39">
      <c r="A491" s="18" t="str">
        <f>IF(Volcanic!A491="","",Volcanic!A491)</f>
        <v>12/1998</v>
      </c>
      <c r="B491" s="18">
        <f>IF(ISNUMBER(Volcanic!L491),Volcanic!L491,"")</f>
        <v>1998.9583333333333</v>
      </c>
      <c r="C491" s="21">
        <v>-1.65</v>
      </c>
      <c r="D491" s="18">
        <f t="shared" si="79"/>
        <v>-1.52</v>
      </c>
      <c r="E491" s="18">
        <f>IF(ISNUMBER(Volcanic!B491),Volcanic!B491,"")</f>
        <v>0.54999999999999893</v>
      </c>
      <c r="F491" s="18">
        <f>IF(ISNUMBER(Volcanic!C491),Volcanic!C491,"")</f>
        <v>0.3915320688993289</v>
      </c>
      <c r="G491" s="18">
        <f>IF(ISNUMBER(Volcanic!E491),Volcanic!E491,"")</f>
        <v>4.2399999999999998E-3</v>
      </c>
      <c r="H491" s="18">
        <f>IF(ISNUMBER(Volcanic!D491),Volcanic!D491,"")</f>
        <v>-1.02</v>
      </c>
      <c r="I491" s="18">
        <f t="shared" si="73"/>
        <v>0.3915320688993289</v>
      </c>
      <c r="J491" s="18">
        <f t="shared" si="74"/>
        <v>4.2399999999999998E-3</v>
      </c>
      <c r="K491" s="18">
        <f t="shared" si="75"/>
        <v>-1.52</v>
      </c>
      <c r="L491" s="18">
        <f t="shared" si="76"/>
        <v>0.3915320688993289</v>
      </c>
      <c r="M491" s="18">
        <f t="shared" si="77"/>
        <v>4.2399999999999998E-3</v>
      </c>
      <c r="N491" s="18">
        <f t="shared" si="78"/>
        <v>-1.4760484916047365</v>
      </c>
      <c r="AK491" s="18">
        <f>IF(AND(ISNUMBER(C491),ISNUMBER(ENSO!F491)),C491-ENSO!F491,"")</f>
        <v>-0.17999999999999994</v>
      </c>
      <c r="AL491" s="18">
        <f t="shared" si="80"/>
        <v>1998.9583333333333</v>
      </c>
      <c r="AM491" s="18">
        <f t="shared" si="81"/>
        <v>0.54999999999999893</v>
      </c>
    </row>
    <row r="492" spans="1:39">
      <c r="A492" s="18" t="str">
        <f>IF(Volcanic!A492="","",Volcanic!A492)</f>
        <v>1/1999</v>
      </c>
      <c r="B492" s="18">
        <f>IF(ISNUMBER(Volcanic!L492),Volcanic!L492,"")</f>
        <v>1999.0416666666667</v>
      </c>
      <c r="C492" s="21">
        <v>-1.55</v>
      </c>
      <c r="D492" s="18">
        <f t="shared" si="79"/>
        <v>-1.52</v>
      </c>
      <c r="E492" s="18">
        <f>IF(ISNUMBER(Volcanic!B492),Volcanic!B492,"")</f>
        <v>0.47999999999999865</v>
      </c>
      <c r="F492" s="18">
        <f>IF(ISNUMBER(Volcanic!C492),Volcanic!C492,"")</f>
        <v>0.39565041545437801</v>
      </c>
      <c r="G492" s="18">
        <f>IF(ISNUMBER(Volcanic!E492),Volcanic!E492,"")</f>
        <v>4.1700000000000001E-3</v>
      </c>
      <c r="H492" s="18">
        <f>IF(ISNUMBER(Volcanic!D492),Volcanic!D492,"")</f>
        <v>-1.1200000000000001</v>
      </c>
      <c r="I492" s="18">
        <f t="shared" si="73"/>
        <v>0.39565041545437801</v>
      </c>
      <c r="J492" s="18">
        <f t="shared" si="74"/>
        <v>4.1700000000000001E-3</v>
      </c>
      <c r="K492" s="18">
        <f t="shared" si="75"/>
        <v>-1.52</v>
      </c>
      <c r="L492" s="18">
        <f t="shared" si="76"/>
        <v>0.39565041545437801</v>
      </c>
      <c r="M492" s="18">
        <f t="shared" si="77"/>
        <v>4.1700000000000001E-3</v>
      </c>
      <c r="N492" s="18">
        <f t="shared" si="78"/>
        <v>-1.4753584721141348</v>
      </c>
      <c r="AK492" s="18">
        <f>IF(AND(ISNUMBER(C492),ISNUMBER(ENSO!F492)),C492-ENSO!F492,"")</f>
        <v>-4.0000000000000036E-2</v>
      </c>
      <c r="AL492" s="18">
        <f t="shared" si="80"/>
        <v>1999.0416666666667</v>
      </c>
      <c r="AM492" s="18">
        <f t="shared" si="81"/>
        <v>0.47999999999999865</v>
      </c>
    </row>
    <row r="493" spans="1:39">
      <c r="A493" s="18" t="str">
        <f>IF(Volcanic!A493="","",Volcanic!A493)</f>
        <v>2/1999</v>
      </c>
      <c r="B493" s="18">
        <f>IF(ISNUMBER(Volcanic!L493),Volcanic!L493,"")</f>
        <v>1999.125</v>
      </c>
      <c r="C493" s="21">
        <v>-1.28</v>
      </c>
      <c r="D493" s="18">
        <f t="shared" si="79"/>
        <v>-1.63</v>
      </c>
      <c r="E493" s="18">
        <f>IF(ISNUMBER(Volcanic!B493),Volcanic!B493,"")</f>
        <v>0.64000000000000234</v>
      </c>
      <c r="F493" s="18">
        <f>IF(ISNUMBER(Volcanic!C493),Volcanic!C493,"")</f>
        <v>0.39928830192579123</v>
      </c>
      <c r="G493" s="18">
        <f>IF(ISNUMBER(Volcanic!E493),Volcanic!E493,"")</f>
        <v>4.1900000000000001E-3</v>
      </c>
      <c r="H493" s="18">
        <f>IF(ISNUMBER(Volcanic!D493),Volcanic!D493,"")</f>
        <v>-1.31</v>
      </c>
      <c r="I493" s="18">
        <f t="shared" si="73"/>
        <v>0.39928830192579123</v>
      </c>
      <c r="J493" s="18">
        <f t="shared" si="74"/>
        <v>4.1900000000000001E-3</v>
      </c>
      <c r="K493" s="18">
        <f t="shared" si="75"/>
        <v>-1.63</v>
      </c>
      <c r="L493" s="18">
        <f t="shared" si="76"/>
        <v>0.39928830192579123</v>
      </c>
      <c r="M493" s="18">
        <f t="shared" si="77"/>
        <v>4.1900000000000001E-3</v>
      </c>
      <c r="N493" s="18">
        <f t="shared" si="78"/>
        <v>-1.5846684526235366</v>
      </c>
      <c r="AK493" s="18">
        <f>IF(AND(ISNUMBER(C493),ISNUMBER(ENSO!F493)),C493-ENSO!F493,"")</f>
        <v>-3.0000000000000027E-2</v>
      </c>
      <c r="AL493" s="18">
        <f t="shared" si="80"/>
        <v>1999.125</v>
      </c>
      <c r="AM493" s="18">
        <f t="shared" si="81"/>
        <v>0.64000000000000234</v>
      </c>
    </row>
    <row r="494" spans="1:39">
      <c r="A494" s="18" t="str">
        <f>IF(Volcanic!A494="","",Volcanic!A494)</f>
        <v>3/1999</v>
      </c>
      <c r="B494" s="18">
        <f>IF(ISNUMBER(Volcanic!L494),Volcanic!L494,"")</f>
        <v>1999.2083333333333</v>
      </c>
      <c r="C494" s="21">
        <v>-1.0900000000000001</v>
      </c>
      <c r="D494" s="18">
        <f t="shared" si="79"/>
        <v>-1.65</v>
      </c>
      <c r="E494" s="18">
        <f>IF(ISNUMBER(Volcanic!B494),Volcanic!B494,"")</f>
        <v>0.32999999999999652</v>
      </c>
      <c r="F494" s="18">
        <f>IF(ISNUMBER(Volcanic!C494),Volcanic!C494,"")</f>
        <v>0.40147444051625025</v>
      </c>
      <c r="G494" s="18">
        <f>IF(ISNUMBER(Volcanic!E494),Volcanic!E494,"")</f>
        <v>4.3899999999999998E-3</v>
      </c>
      <c r="H494" s="18">
        <f>IF(ISNUMBER(Volcanic!D494),Volcanic!D494,"")</f>
        <v>-1.47</v>
      </c>
      <c r="I494" s="18">
        <f t="shared" si="73"/>
        <v>0.40147444051625025</v>
      </c>
      <c r="J494" s="18">
        <f t="shared" si="74"/>
        <v>4.3899999999999998E-3</v>
      </c>
      <c r="K494" s="18">
        <f t="shared" si="75"/>
        <v>-1.65</v>
      </c>
      <c r="L494" s="18">
        <f t="shared" si="76"/>
        <v>0.40147444051625025</v>
      </c>
      <c r="M494" s="18">
        <f t="shared" si="77"/>
        <v>4.3899999999999998E-3</v>
      </c>
      <c r="N494" s="18">
        <f t="shared" si="78"/>
        <v>-1.6039784331329385</v>
      </c>
      <c r="AK494" s="18">
        <f>IF(AND(ISNUMBER(C494),ISNUMBER(ENSO!F494)),C494-ENSO!F494,"")</f>
        <v>-0.16000000000000003</v>
      </c>
      <c r="AL494" s="18">
        <f t="shared" si="80"/>
        <v>1999.2083333333333</v>
      </c>
      <c r="AM494" s="18">
        <f t="shared" si="81"/>
        <v>0.32999999999999652</v>
      </c>
    </row>
    <row r="495" spans="1:39">
      <c r="A495" s="18" t="str">
        <f>IF(Volcanic!A495="","",Volcanic!A495)</f>
        <v>4/1999</v>
      </c>
      <c r="B495" s="18">
        <f>IF(ISNUMBER(Volcanic!L495),Volcanic!L495,"")</f>
        <v>1999.2916666666667</v>
      </c>
      <c r="C495" s="21">
        <v>-1</v>
      </c>
      <c r="D495" s="18">
        <f t="shared" si="79"/>
        <v>-1.55</v>
      </c>
      <c r="E495" s="18">
        <f>IF(ISNUMBER(Volcanic!B495),Volcanic!B495,"")</f>
        <v>0.32000000000000028</v>
      </c>
      <c r="F495" s="18">
        <f>IF(ISNUMBER(Volcanic!C495),Volcanic!C495,"")</f>
        <v>0.40657554167160614</v>
      </c>
      <c r="G495" s="18">
        <f>IF(ISNUMBER(Volcanic!E495),Volcanic!E495,"")</f>
        <v>4.7000000000000002E-3</v>
      </c>
      <c r="H495" s="18">
        <f>IF(ISNUMBER(Volcanic!D495),Volcanic!D495,"")</f>
        <v>-1.51</v>
      </c>
      <c r="I495" s="18">
        <f t="shared" si="73"/>
        <v>0.40657554167160614</v>
      </c>
      <c r="J495" s="18">
        <f t="shared" si="74"/>
        <v>4.7000000000000002E-3</v>
      </c>
      <c r="K495" s="18">
        <f t="shared" si="75"/>
        <v>-1.55</v>
      </c>
      <c r="L495" s="18">
        <f t="shared" si="76"/>
        <v>0.40657554167160614</v>
      </c>
      <c r="M495" s="18">
        <f t="shared" si="77"/>
        <v>4.7000000000000002E-3</v>
      </c>
      <c r="N495" s="18">
        <f t="shared" si="78"/>
        <v>-1.503288413642337</v>
      </c>
      <c r="AK495" s="18">
        <f>IF(AND(ISNUMBER(C495),ISNUMBER(ENSO!F495)),C495-ENSO!F495,"")</f>
        <v>-0.19999999999999996</v>
      </c>
      <c r="AL495" s="18">
        <f t="shared" si="80"/>
        <v>1999.2916666666667</v>
      </c>
      <c r="AM495" s="18">
        <f t="shared" si="81"/>
        <v>0.32000000000000028</v>
      </c>
    </row>
    <row r="496" spans="1:39">
      <c r="A496" s="18" t="str">
        <f>IF(Volcanic!A496="","",Volcanic!A496)</f>
        <v>5/1999</v>
      </c>
      <c r="B496" s="18">
        <f>IF(ISNUMBER(Volcanic!L496),Volcanic!L496,"")</f>
        <v>1999.375</v>
      </c>
      <c r="C496" s="21">
        <v>-1.01</v>
      </c>
      <c r="D496" s="18">
        <f t="shared" si="79"/>
        <v>-1.28</v>
      </c>
      <c r="E496" s="18">
        <f>IF(ISNUMBER(Volcanic!B496),Volcanic!B496,"")</f>
        <v>0.25999999999999979</v>
      </c>
      <c r="F496" s="18">
        <f>IF(ISNUMBER(Volcanic!C496),Volcanic!C496,"")</f>
        <v>0.40645892413014484</v>
      </c>
      <c r="G496" s="18">
        <f>IF(ISNUMBER(Volcanic!E496),Volcanic!E496,"")</f>
        <v>4.7600000000000003E-3</v>
      </c>
      <c r="H496" s="18">
        <f>IF(ISNUMBER(Volcanic!D496),Volcanic!D496,"")</f>
        <v>-1.25</v>
      </c>
      <c r="I496" s="18">
        <f t="shared" si="73"/>
        <v>0.40645892413014484</v>
      </c>
      <c r="J496" s="18">
        <f t="shared" si="74"/>
        <v>4.7600000000000003E-3</v>
      </c>
      <c r="K496" s="18">
        <f t="shared" si="75"/>
        <v>-1.28</v>
      </c>
      <c r="L496" s="18">
        <f t="shared" si="76"/>
        <v>0.40645892413014484</v>
      </c>
      <c r="M496" s="18">
        <f t="shared" si="77"/>
        <v>4.7600000000000003E-3</v>
      </c>
      <c r="N496" s="18">
        <f t="shared" si="78"/>
        <v>-1.2325983941517389</v>
      </c>
      <c r="AK496" s="18">
        <f>IF(AND(ISNUMBER(C496),ISNUMBER(ENSO!F496)),C496-ENSO!F496,"")</f>
        <v>-0.21999999999999997</v>
      </c>
      <c r="AL496" s="18">
        <f t="shared" si="80"/>
        <v>1999.375</v>
      </c>
      <c r="AM496" s="18">
        <f t="shared" si="81"/>
        <v>0.25999999999999979</v>
      </c>
    </row>
    <row r="497" spans="1:39">
      <c r="A497" s="18" t="str">
        <f>IF(Volcanic!A497="","",Volcanic!A497)</f>
        <v>6/1999</v>
      </c>
      <c r="B497" s="18">
        <f>IF(ISNUMBER(Volcanic!L497),Volcanic!L497,"")</f>
        <v>1999.4583333333333</v>
      </c>
      <c r="C497" s="21">
        <v>-0.99</v>
      </c>
      <c r="D497" s="18">
        <f t="shared" si="79"/>
        <v>-1.0900000000000001</v>
      </c>
      <c r="E497" s="18">
        <f>IF(ISNUMBER(Volcanic!B497),Volcanic!B497,"")</f>
        <v>0.36000000000000121</v>
      </c>
      <c r="F497" s="18">
        <f>IF(ISNUMBER(Volcanic!C497),Volcanic!C497,"")</f>
        <v>0.40389095040272749</v>
      </c>
      <c r="G497" s="18">
        <f>IF(ISNUMBER(Volcanic!E497),Volcanic!E497,"")</f>
        <v>4.5500000000000002E-3</v>
      </c>
      <c r="H497" s="18">
        <f>IF(ISNUMBER(Volcanic!D497),Volcanic!D497,"")</f>
        <v>-0.93</v>
      </c>
      <c r="I497" s="18">
        <f t="shared" si="73"/>
        <v>0.40389095040272749</v>
      </c>
      <c r="J497" s="18">
        <f t="shared" si="74"/>
        <v>4.5500000000000002E-3</v>
      </c>
      <c r="K497" s="18">
        <f t="shared" si="75"/>
        <v>-1.0900000000000001</v>
      </c>
      <c r="L497" s="18">
        <f t="shared" si="76"/>
        <v>0.40389095040272749</v>
      </c>
      <c r="M497" s="18">
        <f t="shared" si="77"/>
        <v>4.5500000000000002E-3</v>
      </c>
      <c r="N497" s="18">
        <f t="shared" si="78"/>
        <v>-1.0419083746611408</v>
      </c>
      <c r="AK497" s="18">
        <f>IF(AND(ISNUMBER(C497),ISNUMBER(ENSO!F497)),C497-ENSO!F497,"")</f>
        <v>-0.15000000000000002</v>
      </c>
      <c r="AL497" s="18">
        <f t="shared" si="80"/>
        <v>1999.4583333333333</v>
      </c>
      <c r="AM497" s="18">
        <f t="shared" si="81"/>
        <v>0.36000000000000121</v>
      </c>
    </row>
    <row r="498" spans="1:39">
      <c r="A498" s="18" t="str">
        <f>IF(Volcanic!A498="","",Volcanic!A498)</f>
        <v>7/1999</v>
      </c>
      <c r="B498" s="18">
        <f>IF(ISNUMBER(Volcanic!L498),Volcanic!L498,"")</f>
        <v>1999.5416666666667</v>
      </c>
      <c r="C498" s="21">
        <v>-0.99</v>
      </c>
      <c r="D498" s="18">
        <f t="shared" si="79"/>
        <v>-1</v>
      </c>
      <c r="E498" s="18">
        <f>IF(ISNUMBER(Volcanic!B498),Volcanic!B498,"")</f>
        <v>0.38999999999999879</v>
      </c>
      <c r="F498" s="18">
        <f>IF(ISNUMBER(Volcanic!C498),Volcanic!C498,"")</f>
        <v>0.40057696301241569</v>
      </c>
      <c r="G498" s="18">
        <f>IF(ISNUMBER(Volcanic!E498),Volcanic!E498,"")</f>
        <v>4.3699999999999998E-3</v>
      </c>
      <c r="H498" s="18">
        <f>IF(ISNUMBER(Volcanic!D498),Volcanic!D498,"")</f>
        <v>-0.8</v>
      </c>
      <c r="I498" s="18">
        <f t="shared" si="73"/>
        <v>0.40057696301241569</v>
      </c>
      <c r="J498" s="18">
        <f t="shared" si="74"/>
        <v>4.3699999999999998E-3</v>
      </c>
      <c r="K498" s="18">
        <f t="shared" si="75"/>
        <v>-1</v>
      </c>
      <c r="L498" s="18">
        <f t="shared" si="76"/>
        <v>0.40057696301241569</v>
      </c>
      <c r="M498" s="18">
        <f t="shared" si="77"/>
        <v>4.3699999999999998E-3</v>
      </c>
      <c r="N498" s="18">
        <f t="shared" si="78"/>
        <v>-0.95121835517054265</v>
      </c>
      <c r="AK498" s="18">
        <f>IF(AND(ISNUMBER(C498),ISNUMBER(ENSO!F498)),C498-ENSO!F498,"")</f>
        <v>-8.9999999999999969E-2</v>
      </c>
      <c r="AL498" s="18">
        <f t="shared" si="80"/>
        <v>1999.5416666666667</v>
      </c>
      <c r="AM498" s="18">
        <f t="shared" si="81"/>
        <v>0.38999999999999879</v>
      </c>
    </row>
    <row r="499" spans="1:39">
      <c r="A499" s="18" t="str">
        <f>IF(Volcanic!A499="","",Volcanic!A499)</f>
        <v>8/1999</v>
      </c>
      <c r="B499" s="18">
        <f>IF(ISNUMBER(Volcanic!L499),Volcanic!L499,"")</f>
        <v>1999.625</v>
      </c>
      <c r="C499" s="21">
        <v>-0.96</v>
      </c>
      <c r="D499" s="18">
        <f t="shared" si="79"/>
        <v>-1.01</v>
      </c>
      <c r="E499" s="18">
        <f>IF(ISNUMBER(Volcanic!B499),Volcanic!B499,"")</f>
        <v>0.31000000000000227</v>
      </c>
      <c r="F499" s="18">
        <f>IF(ISNUMBER(Volcanic!C499),Volcanic!C499,"")</f>
        <v>0.39058907956946148</v>
      </c>
      <c r="G499" s="18">
        <f>IF(ISNUMBER(Volcanic!E499),Volcanic!E499,"")</f>
        <v>4.2399999999999998E-3</v>
      </c>
      <c r="H499" s="18">
        <f>IF(ISNUMBER(Volcanic!D499),Volcanic!D499,"")</f>
        <v>-0.79</v>
      </c>
      <c r="I499" s="18">
        <f t="shared" si="73"/>
        <v>0.39058907956946148</v>
      </c>
      <c r="J499" s="18">
        <f t="shared" si="74"/>
        <v>4.2399999999999998E-3</v>
      </c>
      <c r="K499" s="18">
        <f t="shared" si="75"/>
        <v>-1.01</v>
      </c>
      <c r="L499" s="18">
        <f t="shared" si="76"/>
        <v>0.39058907956946148</v>
      </c>
      <c r="M499" s="18">
        <f t="shared" si="77"/>
        <v>4.2399999999999998E-3</v>
      </c>
      <c r="N499" s="18">
        <f t="shared" si="78"/>
        <v>-0.96052833567994456</v>
      </c>
      <c r="AK499" s="18">
        <f>IF(AND(ISNUMBER(C499),ISNUMBER(ENSO!F499)),C499-ENSO!F499,"")</f>
        <v>-2.0000000000000018E-2</v>
      </c>
      <c r="AL499" s="18">
        <f t="shared" si="80"/>
        <v>1999.625</v>
      </c>
      <c r="AM499" s="18">
        <f t="shared" si="81"/>
        <v>0.31000000000000227</v>
      </c>
    </row>
    <row r="500" spans="1:39">
      <c r="A500" s="18" t="str">
        <f>IF(Volcanic!A500="","",Volcanic!A500)</f>
        <v>9/1999</v>
      </c>
      <c r="B500" s="18">
        <f>IF(ISNUMBER(Volcanic!L500),Volcanic!L500,"")</f>
        <v>1999.7083333333333</v>
      </c>
      <c r="C500" s="21">
        <v>-0.97</v>
      </c>
      <c r="D500" s="18">
        <f t="shared" si="79"/>
        <v>-0.99</v>
      </c>
      <c r="E500" s="18">
        <f>IF(ISNUMBER(Volcanic!B500),Volcanic!B500,"")</f>
        <v>0.38999999999999879</v>
      </c>
      <c r="F500" s="18">
        <f>IF(ISNUMBER(Volcanic!C500),Volcanic!C500,"")</f>
        <v>0.38227199382725641</v>
      </c>
      <c r="G500" s="18">
        <f>IF(ISNUMBER(Volcanic!E500),Volcanic!E500,"")</f>
        <v>4.0400000000000002E-3</v>
      </c>
      <c r="H500" s="18">
        <f>IF(ISNUMBER(Volcanic!D500),Volcanic!D500,"")</f>
        <v>-0.84</v>
      </c>
      <c r="I500" s="18">
        <f t="shared" si="73"/>
        <v>0.38227199382725641</v>
      </c>
      <c r="J500" s="18">
        <f t="shared" si="74"/>
        <v>4.0400000000000002E-3</v>
      </c>
      <c r="K500" s="18">
        <f t="shared" si="75"/>
        <v>-0.99</v>
      </c>
      <c r="L500" s="18">
        <f t="shared" si="76"/>
        <v>0.38227199382725641</v>
      </c>
      <c r="M500" s="18">
        <f t="shared" si="77"/>
        <v>4.0400000000000002E-3</v>
      </c>
      <c r="N500" s="18">
        <f t="shared" si="78"/>
        <v>-0.93983831618934288</v>
      </c>
      <c r="AK500" s="18">
        <f>IF(AND(ISNUMBER(C500),ISNUMBER(ENSO!F500)),C500-ENSO!F500,"")</f>
        <v>3.0000000000000027E-2</v>
      </c>
      <c r="AL500" s="18">
        <f t="shared" si="80"/>
        <v>1999.7083333333333</v>
      </c>
      <c r="AM500" s="18">
        <f t="shared" si="81"/>
        <v>0.38999999999999879</v>
      </c>
    </row>
    <row r="501" spans="1:39">
      <c r="A501" s="18" t="str">
        <f>IF(Volcanic!A501="","",Volcanic!A501)</f>
        <v>10/1999</v>
      </c>
      <c r="B501" s="18">
        <f>IF(ISNUMBER(Volcanic!L501),Volcanic!L501,"")</f>
        <v>1999.7916666666667</v>
      </c>
      <c r="C501" s="21">
        <v>-1.1100000000000001</v>
      </c>
      <c r="D501" s="18">
        <f t="shared" si="79"/>
        <v>-0.99</v>
      </c>
      <c r="E501" s="18">
        <f>IF(ISNUMBER(Volcanic!B501),Volcanic!B501,"")</f>
        <v>0.33999999999999986</v>
      </c>
      <c r="F501" s="18">
        <f>IF(ISNUMBER(Volcanic!C501),Volcanic!C501,"")</f>
        <v>0.38452352048875721</v>
      </c>
      <c r="G501" s="18">
        <f>IF(ISNUMBER(Volcanic!E501),Volcanic!E501,"")</f>
        <v>3.8800000000000002E-3</v>
      </c>
      <c r="H501" s="18">
        <f>IF(ISNUMBER(Volcanic!D501),Volcanic!D501,"")</f>
        <v>-0.9</v>
      </c>
      <c r="I501" s="18">
        <f t="shared" si="73"/>
        <v>0.38452352048875721</v>
      </c>
      <c r="J501" s="18">
        <f t="shared" si="74"/>
        <v>3.8800000000000002E-3</v>
      </c>
      <c r="K501" s="18">
        <f t="shared" si="75"/>
        <v>-0.99</v>
      </c>
      <c r="L501" s="18">
        <f t="shared" si="76"/>
        <v>0.38452352048875721</v>
      </c>
      <c r="M501" s="18">
        <f t="shared" si="77"/>
        <v>3.8800000000000002E-3</v>
      </c>
      <c r="N501" s="18">
        <f t="shared" si="78"/>
        <v>-0.93914829669874478</v>
      </c>
      <c r="AK501" s="18">
        <f>IF(AND(ISNUMBER(C501),ISNUMBER(ENSO!F501)),C501-ENSO!F501,"")</f>
        <v>1.9999999999999796E-2</v>
      </c>
      <c r="AL501" s="18">
        <f t="shared" si="80"/>
        <v>1999.7916666666667</v>
      </c>
      <c r="AM501" s="18">
        <f t="shared" si="81"/>
        <v>0.33999999999999986</v>
      </c>
    </row>
    <row r="502" spans="1:39">
      <c r="A502" s="18" t="str">
        <f>IF(Volcanic!A502="","",Volcanic!A502)</f>
        <v>11/1999</v>
      </c>
      <c r="B502" s="18">
        <f>IF(ISNUMBER(Volcanic!L502),Volcanic!L502,"")</f>
        <v>1999.875</v>
      </c>
      <c r="C502" s="21">
        <v>-1.38</v>
      </c>
      <c r="D502" s="18">
        <f t="shared" si="79"/>
        <v>-0.96</v>
      </c>
      <c r="E502" s="18">
        <f>IF(ISNUMBER(Volcanic!B502),Volcanic!B502,"")</f>
        <v>0.36999999999999744</v>
      </c>
      <c r="F502" s="18">
        <f>IF(ISNUMBER(Volcanic!C502),Volcanic!C502,"")</f>
        <v>0.38988143286110233</v>
      </c>
      <c r="G502" s="18">
        <f>IF(ISNUMBER(Volcanic!E502),Volcanic!E502,"")</f>
        <v>3.8500000000000001E-3</v>
      </c>
      <c r="H502" s="18">
        <f>IF(ISNUMBER(Volcanic!D502),Volcanic!D502,"")</f>
        <v>-0.94</v>
      </c>
      <c r="I502" s="18">
        <f t="shared" si="73"/>
        <v>0.38988143286110233</v>
      </c>
      <c r="J502" s="18">
        <f t="shared" si="74"/>
        <v>3.8500000000000001E-3</v>
      </c>
      <c r="K502" s="18">
        <f t="shared" si="75"/>
        <v>-0.96</v>
      </c>
      <c r="L502" s="18">
        <f t="shared" si="76"/>
        <v>0.38988143286110233</v>
      </c>
      <c r="M502" s="18">
        <f t="shared" si="77"/>
        <v>3.8500000000000001E-3</v>
      </c>
      <c r="N502" s="18">
        <f t="shared" si="78"/>
        <v>-0.90845827720814665</v>
      </c>
      <c r="AK502" s="18">
        <f>IF(AND(ISNUMBER(C502),ISNUMBER(ENSO!F502)),C502-ENSO!F502,"")</f>
        <v>-2.9999999999999805E-2</v>
      </c>
      <c r="AL502" s="18">
        <f t="shared" si="80"/>
        <v>1999.875</v>
      </c>
      <c r="AM502" s="18">
        <f t="shared" si="81"/>
        <v>0.36999999999999744</v>
      </c>
    </row>
    <row r="503" spans="1:39">
      <c r="A503" s="18" t="str">
        <f>IF(Volcanic!A503="","",Volcanic!A503)</f>
        <v>12/1999</v>
      </c>
      <c r="B503" s="18">
        <f>IF(ISNUMBER(Volcanic!L503),Volcanic!L503,"")</f>
        <v>1999.9583333333333</v>
      </c>
      <c r="C503" s="21">
        <v>-1.62</v>
      </c>
      <c r="D503" s="18">
        <f t="shared" si="79"/>
        <v>-0.97</v>
      </c>
      <c r="E503" s="18">
        <f>IF(ISNUMBER(Volcanic!B503),Volcanic!B503,"")</f>
        <v>0.40000000000000213</v>
      </c>
      <c r="F503" s="18">
        <f>IF(ISNUMBER(Volcanic!C503),Volcanic!C503,"")</f>
        <v>0.3952978746136992</v>
      </c>
      <c r="G503" s="18">
        <f>IF(ISNUMBER(Volcanic!E503),Volcanic!E503,"")</f>
        <v>4.0000000000000001E-3</v>
      </c>
      <c r="H503" s="18">
        <f>IF(ISNUMBER(Volcanic!D503),Volcanic!D503,"")</f>
        <v>-1</v>
      </c>
      <c r="I503" s="18">
        <f t="shared" si="73"/>
        <v>0.3952978746136992</v>
      </c>
      <c r="J503" s="18">
        <f t="shared" si="74"/>
        <v>4.0000000000000001E-3</v>
      </c>
      <c r="K503" s="18">
        <f t="shared" si="75"/>
        <v>-0.97</v>
      </c>
      <c r="L503" s="18">
        <f t="shared" si="76"/>
        <v>0.3952978746136992</v>
      </c>
      <c r="M503" s="18">
        <f t="shared" si="77"/>
        <v>4.0000000000000001E-3</v>
      </c>
      <c r="N503" s="18">
        <f t="shared" si="78"/>
        <v>-0.91776825771754855</v>
      </c>
      <c r="AK503" s="18">
        <f>IF(AND(ISNUMBER(C503),ISNUMBER(ENSO!F503)),C503-ENSO!F503,"")</f>
        <v>-9.000000000000008E-2</v>
      </c>
      <c r="AL503" s="18">
        <f t="shared" si="80"/>
        <v>1999.9583333333333</v>
      </c>
      <c r="AM503" s="18">
        <f t="shared" si="81"/>
        <v>0.40000000000000213</v>
      </c>
    </row>
    <row r="504" spans="1:39">
      <c r="A504" s="18" t="str">
        <f>IF(Volcanic!A504="","",Volcanic!A504)</f>
        <v>1/2000</v>
      </c>
      <c r="B504" s="18">
        <f>IF(ISNUMBER(Volcanic!L504),Volcanic!L504,"")</f>
        <v>2000.0416666666667</v>
      </c>
      <c r="C504" s="21">
        <v>-1.67</v>
      </c>
      <c r="D504" s="18">
        <f t="shared" si="79"/>
        <v>-1.1100000000000001</v>
      </c>
      <c r="E504" s="18">
        <f>IF(ISNUMBER(Volcanic!B504),Volcanic!B504,"")</f>
        <v>0.25000000000000355</v>
      </c>
      <c r="F504" s="18">
        <f>IF(ISNUMBER(Volcanic!C504),Volcanic!C504,"")</f>
        <v>0.39995230138778842</v>
      </c>
      <c r="G504" s="18">
        <f>IF(ISNUMBER(Volcanic!E504),Volcanic!E504,"")</f>
        <v>4.1999999999999997E-3</v>
      </c>
      <c r="H504" s="18">
        <f>IF(ISNUMBER(Volcanic!D504),Volcanic!D504,"")</f>
        <v>-1.1299999999999999</v>
      </c>
      <c r="I504" s="18">
        <f t="shared" si="73"/>
        <v>0.39995230138778842</v>
      </c>
      <c r="J504" s="18">
        <f t="shared" si="74"/>
        <v>4.1999999999999997E-3</v>
      </c>
      <c r="K504" s="18">
        <f t="shared" si="75"/>
        <v>-1.1100000000000001</v>
      </c>
      <c r="L504" s="18">
        <f t="shared" si="76"/>
        <v>0.39995230138778842</v>
      </c>
      <c r="M504" s="18">
        <f t="shared" si="77"/>
        <v>4.1999999999999997E-3</v>
      </c>
      <c r="N504" s="18">
        <f t="shared" si="78"/>
        <v>-1.057078238226947</v>
      </c>
      <c r="AK504" s="18">
        <f>IF(AND(ISNUMBER(C504),ISNUMBER(ENSO!F504)),C504-ENSO!F504,"")</f>
        <v>-0.19999999999999996</v>
      </c>
      <c r="AL504" s="18">
        <f t="shared" si="80"/>
        <v>2000.0416666666667</v>
      </c>
      <c r="AM504" s="18">
        <f t="shared" si="81"/>
        <v>0.25000000000000355</v>
      </c>
    </row>
    <row r="505" spans="1:39">
      <c r="A505" s="18" t="str">
        <f>IF(Volcanic!A505="","",Volcanic!A505)</f>
        <v>2/2000</v>
      </c>
      <c r="B505" s="18">
        <f>IF(ISNUMBER(Volcanic!L505),Volcanic!L505,"")</f>
        <v>2000.125</v>
      </c>
      <c r="C505" s="21">
        <v>-1.4</v>
      </c>
      <c r="D505" s="18">
        <f t="shared" si="79"/>
        <v>-1.38</v>
      </c>
      <c r="E505" s="18">
        <f>IF(ISNUMBER(Volcanic!B505),Volcanic!B505,"")</f>
        <v>0.55999999999999872</v>
      </c>
      <c r="F505" s="18">
        <f>IF(ISNUMBER(Volcanic!C505),Volcanic!C505,"")</f>
        <v>0.40096723922560795</v>
      </c>
      <c r="G505" s="18">
        <f>IF(ISNUMBER(Volcanic!E505),Volcanic!E505,"")</f>
        <v>4.1999999999999997E-3</v>
      </c>
      <c r="H505" s="18">
        <f>IF(ISNUMBER(Volcanic!D505),Volcanic!D505,"")</f>
        <v>-1.35</v>
      </c>
      <c r="I505" s="18">
        <f t="shared" si="73"/>
        <v>0.40096723922560795</v>
      </c>
      <c r="J505" s="18">
        <f t="shared" si="74"/>
        <v>4.1999999999999997E-3</v>
      </c>
      <c r="K505" s="18">
        <f t="shared" si="75"/>
        <v>-1.38</v>
      </c>
      <c r="L505" s="18">
        <f t="shared" si="76"/>
        <v>0.40096723922560795</v>
      </c>
      <c r="M505" s="18">
        <f t="shared" si="77"/>
        <v>4.1999999999999997E-3</v>
      </c>
      <c r="N505" s="18">
        <f t="shared" si="78"/>
        <v>-1.3263882187363487</v>
      </c>
      <c r="AK505" s="18">
        <f>IF(AND(ISNUMBER(C505),ISNUMBER(ENSO!F505)),C505-ENSO!F505,"")</f>
        <v>-0.1399999999999999</v>
      </c>
      <c r="AL505" s="18">
        <f t="shared" si="80"/>
        <v>2000.125</v>
      </c>
      <c r="AM505" s="18">
        <f t="shared" si="81"/>
        <v>0.55999999999999872</v>
      </c>
    </row>
    <row r="506" spans="1:39">
      <c r="A506" s="18" t="str">
        <f>IF(Volcanic!A506="","",Volcanic!A506)</f>
        <v>3/2000</v>
      </c>
      <c r="B506" s="18">
        <f>IF(ISNUMBER(Volcanic!L506),Volcanic!L506,"")</f>
        <v>2000.2083333333333</v>
      </c>
      <c r="C506" s="21">
        <v>-1.0900000000000001</v>
      </c>
      <c r="D506" s="18">
        <f t="shared" si="79"/>
        <v>-1.62</v>
      </c>
      <c r="E506" s="18">
        <f>IF(ISNUMBER(Volcanic!B506),Volcanic!B506,"")</f>
        <v>0.54999999999999893</v>
      </c>
      <c r="F506" s="18">
        <f>IF(ISNUMBER(Volcanic!C506),Volcanic!C506,"")</f>
        <v>0.40501986550966412</v>
      </c>
      <c r="G506" s="18">
        <f>IF(ISNUMBER(Volcanic!E506),Volcanic!E506,"")</f>
        <v>4.3200000000000001E-3</v>
      </c>
      <c r="H506" s="18">
        <f>IF(ISNUMBER(Volcanic!D506),Volcanic!D506,"")</f>
        <v>-1.53</v>
      </c>
      <c r="I506" s="18">
        <f t="shared" si="73"/>
        <v>0.40501986550966412</v>
      </c>
      <c r="J506" s="18">
        <f t="shared" si="74"/>
        <v>4.3200000000000001E-3</v>
      </c>
      <c r="K506" s="18">
        <f t="shared" si="75"/>
        <v>-1.62</v>
      </c>
      <c r="L506" s="18">
        <f t="shared" si="76"/>
        <v>0.40501986550966412</v>
      </c>
      <c r="M506" s="18">
        <f t="shared" si="77"/>
        <v>4.3200000000000001E-3</v>
      </c>
      <c r="N506" s="18">
        <f t="shared" si="78"/>
        <v>-1.5656981992457508</v>
      </c>
      <c r="AK506" s="18">
        <f>IF(AND(ISNUMBER(C506),ISNUMBER(ENSO!F506)),C506-ENSO!F506,"")</f>
        <v>-0.1100000000000001</v>
      </c>
      <c r="AL506" s="18">
        <f t="shared" si="80"/>
        <v>2000.2083333333333</v>
      </c>
      <c r="AM506" s="18">
        <f t="shared" si="81"/>
        <v>0.54999999999999893</v>
      </c>
    </row>
    <row r="507" spans="1:39">
      <c r="A507" s="18" t="str">
        <f>IF(Volcanic!A507="","",Volcanic!A507)</f>
        <v>4/2000</v>
      </c>
      <c r="B507" s="18">
        <f>IF(ISNUMBER(Volcanic!L507),Volcanic!L507,"")</f>
        <v>2000.2916666666667</v>
      </c>
      <c r="C507" s="21">
        <v>-0.78</v>
      </c>
      <c r="D507" s="18">
        <f t="shared" si="79"/>
        <v>-1.67</v>
      </c>
      <c r="E507" s="18">
        <f>IF(ISNUMBER(Volcanic!B507),Volcanic!B507,"")</f>
        <v>0.55999999999999872</v>
      </c>
      <c r="F507" s="18">
        <f>IF(ISNUMBER(Volcanic!C507),Volcanic!C507,"")</f>
        <v>0.40979822782841963</v>
      </c>
      <c r="G507" s="18">
        <f>IF(ISNUMBER(Volcanic!E507),Volcanic!E507,"")</f>
        <v>4.4000000000000003E-3</v>
      </c>
      <c r="H507" s="18">
        <f>IF(ISNUMBER(Volcanic!D507),Volcanic!D507,"")</f>
        <v>-1.47</v>
      </c>
      <c r="I507" s="18">
        <f t="shared" si="73"/>
        <v>0.40979822782841963</v>
      </c>
      <c r="J507" s="18">
        <f t="shared" si="74"/>
        <v>4.4000000000000003E-3</v>
      </c>
      <c r="K507" s="18">
        <f t="shared" si="75"/>
        <v>-1.67</v>
      </c>
      <c r="L507" s="18">
        <f t="shared" si="76"/>
        <v>0.40979822782841963</v>
      </c>
      <c r="M507" s="18">
        <f t="shared" si="77"/>
        <v>4.4000000000000003E-3</v>
      </c>
      <c r="N507" s="18">
        <f t="shared" si="78"/>
        <v>-1.615008179755149</v>
      </c>
      <c r="AK507" s="18">
        <f>IF(AND(ISNUMBER(C507),ISNUMBER(ENSO!F507)),C507-ENSO!F507,"")</f>
        <v>3.0000000000000027E-2</v>
      </c>
      <c r="AL507" s="18">
        <f t="shared" si="80"/>
        <v>2000.2916666666667</v>
      </c>
      <c r="AM507" s="18">
        <f t="shared" si="81"/>
        <v>0.55999999999999872</v>
      </c>
    </row>
    <row r="508" spans="1:39">
      <c r="A508" s="18" t="str">
        <f>IF(Volcanic!A508="","",Volcanic!A508)</f>
        <v>5/2000</v>
      </c>
      <c r="B508" s="18">
        <f>IF(ISNUMBER(Volcanic!L508),Volcanic!L508,"")</f>
        <v>2000.375</v>
      </c>
      <c r="C508" s="21">
        <v>-0.63</v>
      </c>
      <c r="D508" s="18">
        <f t="shared" si="79"/>
        <v>-1.4</v>
      </c>
      <c r="E508" s="18">
        <f>IF(ISNUMBER(Volcanic!B508),Volcanic!B508,"")</f>
        <v>0.34999999999999787</v>
      </c>
      <c r="F508" s="18">
        <f>IF(ISNUMBER(Volcanic!C508),Volcanic!C508,"")</f>
        <v>0.40890591510745228</v>
      </c>
      <c r="G508" s="18">
        <f>IF(ISNUMBER(Volcanic!E508),Volcanic!E508,"")</f>
        <v>4.45E-3</v>
      </c>
      <c r="H508" s="18">
        <f>IF(ISNUMBER(Volcanic!D508),Volcanic!D508,"")</f>
        <v>-1.26</v>
      </c>
      <c r="I508" s="18">
        <f t="shared" si="73"/>
        <v>0.40890591510745228</v>
      </c>
      <c r="J508" s="18">
        <f t="shared" si="74"/>
        <v>4.45E-3</v>
      </c>
      <c r="K508" s="18">
        <f t="shared" si="75"/>
        <v>-1.4</v>
      </c>
      <c r="L508" s="18">
        <f t="shared" si="76"/>
        <v>0.40890591510745228</v>
      </c>
      <c r="M508" s="18">
        <f t="shared" si="77"/>
        <v>4.45E-3</v>
      </c>
      <c r="N508" s="18">
        <f t="shared" si="78"/>
        <v>-1.3443181602645509</v>
      </c>
      <c r="AK508" s="18">
        <f>IF(AND(ISNUMBER(C508),ISNUMBER(ENSO!F508)),C508-ENSO!F508,"")</f>
        <v>4.0000000000000036E-2</v>
      </c>
      <c r="AL508" s="18">
        <f t="shared" si="80"/>
        <v>2000.375</v>
      </c>
      <c r="AM508" s="18">
        <f t="shared" si="81"/>
        <v>0.34999999999999787</v>
      </c>
    </row>
    <row r="509" spans="1:39">
      <c r="A509" s="18" t="str">
        <f>IF(Volcanic!A509="","",Volcanic!A509)</f>
        <v>6/2000</v>
      </c>
      <c r="B509" s="18">
        <f>IF(ISNUMBER(Volcanic!L509),Volcanic!L509,"")</f>
        <v>2000.4583333333333</v>
      </c>
      <c r="C509" s="21">
        <v>-0.5</v>
      </c>
      <c r="D509" s="18">
        <f t="shared" si="79"/>
        <v>-1.0900000000000001</v>
      </c>
      <c r="E509" s="18">
        <f>IF(ISNUMBER(Volcanic!B509),Volcanic!B509,"")</f>
        <v>0.40000000000000213</v>
      </c>
      <c r="F509" s="18">
        <f>IF(ISNUMBER(Volcanic!C509),Volcanic!C509,"")</f>
        <v>0.40937153842691504</v>
      </c>
      <c r="G509" s="18">
        <f>IF(ISNUMBER(Volcanic!E509),Volcanic!E509,"")</f>
        <v>4.4400000000000004E-3</v>
      </c>
      <c r="H509" s="18">
        <f>IF(ISNUMBER(Volcanic!D509),Volcanic!D509,"")</f>
        <v>-0.98</v>
      </c>
      <c r="I509" s="18">
        <f t="shared" si="73"/>
        <v>0.40937153842691504</v>
      </c>
      <c r="J509" s="18">
        <f t="shared" si="74"/>
        <v>4.4400000000000004E-3</v>
      </c>
      <c r="K509" s="18">
        <f t="shared" si="75"/>
        <v>-1.0900000000000001</v>
      </c>
      <c r="L509" s="18">
        <f t="shared" si="76"/>
        <v>0.40937153842691504</v>
      </c>
      <c r="M509" s="18">
        <f t="shared" si="77"/>
        <v>4.4400000000000004E-3</v>
      </c>
      <c r="N509" s="18">
        <f t="shared" si="78"/>
        <v>-1.0336281407739529</v>
      </c>
      <c r="AK509" s="18">
        <f>IF(AND(ISNUMBER(C509),ISNUMBER(ENSO!F509)),C509-ENSO!F509,"")</f>
        <v>0.12</v>
      </c>
      <c r="AL509" s="18">
        <f t="shared" si="80"/>
        <v>2000.4583333333333</v>
      </c>
      <c r="AM509" s="18">
        <f t="shared" si="81"/>
        <v>0.40000000000000213</v>
      </c>
    </row>
    <row r="510" spans="1:39">
      <c r="A510" s="18" t="str">
        <f>IF(Volcanic!A510="","",Volcanic!A510)</f>
        <v>7/2000</v>
      </c>
      <c r="B510" s="18">
        <f>IF(ISNUMBER(Volcanic!L510),Volcanic!L510,"")</f>
        <v>2000.5416666666667</v>
      </c>
      <c r="C510" s="21">
        <v>-0.38</v>
      </c>
      <c r="D510" s="18">
        <f t="shared" si="79"/>
        <v>-0.78</v>
      </c>
      <c r="E510" s="18">
        <f>IF(ISNUMBER(Volcanic!B510),Volcanic!B510,"")</f>
        <v>0.38999999999999879</v>
      </c>
      <c r="F510" s="18">
        <f>IF(ISNUMBER(Volcanic!C510),Volcanic!C510,"")</f>
        <v>0.40217642497948264</v>
      </c>
      <c r="G510" s="18">
        <f>IF(ISNUMBER(Volcanic!E510),Volcanic!E510,"")</f>
        <v>4.2500000000000003E-3</v>
      </c>
      <c r="H510" s="18">
        <f>IF(ISNUMBER(Volcanic!D510),Volcanic!D510,"")</f>
        <v>-0.81</v>
      </c>
      <c r="I510" s="18">
        <f t="shared" si="73"/>
        <v>0.40217642497948264</v>
      </c>
      <c r="J510" s="18">
        <f t="shared" si="74"/>
        <v>4.2500000000000003E-3</v>
      </c>
      <c r="K510" s="18">
        <f t="shared" si="75"/>
        <v>-0.78</v>
      </c>
      <c r="L510" s="18">
        <f t="shared" si="76"/>
        <v>0.40217642497948264</v>
      </c>
      <c r="M510" s="18">
        <f t="shared" si="77"/>
        <v>4.2500000000000003E-3</v>
      </c>
      <c r="N510" s="18">
        <f t="shared" si="78"/>
        <v>-0.72293812128335477</v>
      </c>
      <c r="AK510" s="18">
        <f>IF(AND(ISNUMBER(C510),ISNUMBER(ENSO!F510)),C510-ENSO!F510,"")</f>
        <v>9.9999999999999978E-2</v>
      </c>
      <c r="AL510" s="18">
        <f t="shared" si="80"/>
        <v>2000.5416666666667</v>
      </c>
      <c r="AM510" s="18">
        <f t="shared" si="81"/>
        <v>0.38999999999999879</v>
      </c>
    </row>
    <row r="511" spans="1:39">
      <c r="A511" s="18" t="str">
        <f>IF(Volcanic!A511="","",Volcanic!A511)</f>
        <v>8/2000</v>
      </c>
      <c r="B511" s="18">
        <f>IF(ISNUMBER(Volcanic!L511),Volcanic!L511,"")</f>
        <v>2000.625</v>
      </c>
      <c r="C511" s="21">
        <v>-0.37</v>
      </c>
      <c r="D511" s="18">
        <f t="shared" si="79"/>
        <v>-0.63</v>
      </c>
      <c r="E511" s="18">
        <f>IF(ISNUMBER(Volcanic!B511),Volcanic!B511,"")</f>
        <v>0.42000000000000348</v>
      </c>
      <c r="F511" s="18">
        <f>IF(ISNUMBER(Volcanic!C511),Volcanic!C511,"")</f>
        <v>0.39533705007270242</v>
      </c>
      <c r="G511" s="18">
        <f>IF(ISNUMBER(Volcanic!E511),Volcanic!E511,"")</f>
        <v>4.1799999999999997E-3</v>
      </c>
      <c r="H511" s="18">
        <f>IF(ISNUMBER(Volcanic!D511),Volcanic!D511,"")</f>
        <v>-0.67</v>
      </c>
      <c r="I511" s="18">
        <f t="shared" si="73"/>
        <v>0.39533705007270242</v>
      </c>
      <c r="J511" s="18">
        <f t="shared" si="74"/>
        <v>4.1799999999999997E-3</v>
      </c>
      <c r="K511" s="18">
        <f t="shared" si="75"/>
        <v>-0.63</v>
      </c>
      <c r="L511" s="18">
        <f t="shared" si="76"/>
        <v>0.39533705007270242</v>
      </c>
      <c r="M511" s="18">
        <f t="shared" si="77"/>
        <v>4.1799999999999997E-3</v>
      </c>
      <c r="N511" s="18">
        <f t="shared" si="78"/>
        <v>-0.57224810179275309</v>
      </c>
      <c r="AK511" s="18">
        <f>IF(AND(ISNUMBER(C511),ISNUMBER(ENSO!F511)),C511-ENSO!F511,"")</f>
        <v>3.0000000000000027E-2</v>
      </c>
      <c r="AL511" s="18">
        <f t="shared" si="80"/>
        <v>2000.625</v>
      </c>
      <c r="AM511" s="18">
        <f t="shared" si="81"/>
        <v>0.42000000000000348</v>
      </c>
    </row>
    <row r="512" spans="1:39">
      <c r="A512" s="18" t="str">
        <f>IF(Volcanic!A512="","",Volcanic!A512)</f>
        <v>9/2000</v>
      </c>
      <c r="B512" s="18">
        <f>IF(ISNUMBER(Volcanic!L512),Volcanic!L512,"")</f>
        <v>2000.7083333333333</v>
      </c>
      <c r="C512" s="21">
        <v>-0.45</v>
      </c>
      <c r="D512" s="18">
        <f t="shared" si="79"/>
        <v>-0.5</v>
      </c>
      <c r="E512" s="18">
        <f>IF(ISNUMBER(Volcanic!B512),Volcanic!B512,"")</f>
        <v>0.38999999999999879</v>
      </c>
      <c r="F512" s="18">
        <f>IF(ISNUMBER(Volcanic!C512),Volcanic!C512,"")</f>
        <v>0.39094277280254291</v>
      </c>
      <c r="G512" s="18">
        <f>IF(ISNUMBER(Volcanic!E512),Volcanic!E512,"")</f>
        <v>4.0600000000000002E-3</v>
      </c>
      <c r="H512" s="18">
        <f>IF(ISNUMBER(Volcanic!D512),Volcanic!D512,"")</f>
        <v>-0.62</v>
      </c>
      <c r="I512" s="18">
        <f t="shared" si="73"/>
        <v>0.39094277280254291</v>
      </c>
      <c r="J512" s="18">
        <f t="shared" si="74"/>
        <v>4.0600000000000002E-3</v>
      </c>
      <c r="K512" s="18">
        <f t="shared" si="75"/>
        <v>-0.5</v>
      </c>
      <c r="L512" s="18">
        <f t="shared" si="76"/>
        <v>0.39094277280254291</v>
      </c>
      <c r="M512" s="18">
        <f t="shared" si="77"/>
        <v>4.0600000000000002E-3</v>
      </c>
      <c r="N512" s="18">
        <f t="shared" si="78"/>
        <v>-0.44155808230215499</v>
      </c>
      <c r="AK512" s="18">
        <f>IF(AND(ISNUMBER(C512),ISNUMBER(ENSO!F512)),C512-ENSO!F512,"")</f>
        <v>-3.0000000000000027E-2</v>
      </c>
      <c r="AL512" s="18">
        <f t="shared" si="80"/>
        <v>2000.7083333333333</v>
      </c>
      <c r="AM512" s="18">
        <f t="shared" si="81"/>
        <v>0.38999999999999879</v>
      </c>
    </row>
    <row r="513" spans="1:39">
      <c r="A513" s="18" t="str">
        <f>IF(Volcanic!A513="","",Volcanic!A513)</f>
        <v>10/2000</v>
      </c>
      <c r="B513" s="18">
        <f>IF(ISNUMBER(Volcanic!L513),Volcanic!L513,"")</f>
        <v>2000.7916666666667</v>
      </c>
      <c r="C513" s="21">
        <v>-0.57999999999999996</v>
      </c>
      <c r="D513" s="18">
        <f t="shared" si="79"/>
        <v>-0.38</v>
      </c>
      <c r="E513" s="18">
        <f>IF(ISNUMBER(Volcanic!B513),Volcanic!B513,"")</f>
        <v>0.27000000000000135</v>
      </c>
      <c r="F513" s="18">
        <f>IF(ISNUMBER(Volcanic!C513),Volcanic!C513,"")</f>
        <v>0.39106065128020484</v>
      </c>
      <c r="G513" s="18">
        <f>IF(ISNUMBER(Volcanic!E513),Volcanic!E513,"")</f>
        <v>3.96E-3</v>
      </c>
      <c r="H513" s="18">
        <f>IF(ISNUMBER(Volcanic!D513),Volcanic!D513,"")</f>
        <v>-0.48</v>
      </c>
      <c r="I513" s="18">
        <f t="shared" si="73"/>
        <v>0.39106065128020484</v>
      </c>
      <c r="J513" s="18">
        <f t="shared" si="74"/>
        <v>3.96E-3</v>
      </c>
      <c r="K513" s="18">
        <f t="shared" si="75"/>
        <v>-0.38</v>
      </c>
      <c r="L513" s="18">
        <f t="shared" si="76"/>
        <v>0.39106065128020484</v>
      </c>
      <c r="M513" s="18">
        <f t="shared" si="77"/>
        <v>3.96E-3</v>
      </c>
      <c r="N513" s="18">
        <f t="shared" si="78"/>
        <v>-0.32086806281155689</v>
      </c>
      <c r="AK513" s="18">
        <f>IF(AND(ISNUMBER(C513),ISNUMBER(ENSO!F513)),C513-ENSO!F513,"")</f>
        <v>-3.9999999999999925E-2</v>
      </c>
      <c r="AL513" s="18">
        <f t="shared" si="80"/>
        <v>2000.7916666666667</v>
      </c>
      <c r="AM513" s="18">
        <f t="shared" si="81"/>
        <v>0.27000000000000135</v>
      </c>
    </row>
    <row r="514" spans="1:39">
      <c r="A514" s="18" t="str">
        <f>IF(Volcanic!A514="","",Volcanic!A514)</f>
        <v>11/2000</v>
      </c>
      <c r="B514" s="18">
        <f>IF(ISNUMBER(Volcanic!L514),Volcanic!L514,"")</f>
        <v>2000.875</v>
      </c>
      <c r="C514" s="21">
        <v>-0.69</v>
      </c>
      <c r="D514" s="18">
        <f t="shared" si="79"/>
        <v>-0.37</v>
      </c>
      <c r="E514" s="18">
        <f>IF(ISNUMBER(Volcanic!B514),Volcanic!B514,"")</f>
        <v>0.30000000000000249</v>
      </c>
      <c r="F514" s="18">
        <f>IF(ISNUMBER(Volcanic!C514),Volcanic!C514,"")</f>
        <v>0.39635523879745971</v>
      </c>
      <c r="G514" s="18">
        <f>IF(ISNUMBER(Volcanic!E514),Volcanic!E514,"")</f>
        <v>4.0699999999999998E-3</v>
      </c>
      <c r="H514" s="18">
        <f>IF(ISNUMBER(Volcanic!D514),Volcanic!D514,"")</f>
        <v>-0.4</v>
      </c>
      <c r="I514" s="18">
        <f t="shared" ref="I514:I577" si="82">F514</f>
        <v>0.39635523879745971</v>
      </c>
      <c r="J514" s="18">
        <f t="shared" ref="J514:J577" si="83">G514</f>
        <v>4.0699999999999998E-3</v>
      </c>
      <c r="K514" s="18">
        <f t="shared" ref="K514:K577" si="84">IF(ISNUMBER(D514),D514,"")</f>
        <v>-0.37</v>
      </c>
      <c r="L514" s="18">
        <f t="shared" ref="L514:L577" si="85">F514</f>
        <v>0.39635523879745971</v>
      </c>
      <c r="M514" s="18">
        <f t="shared" ref="M514:M577" si="86">G514</f>
        <v>4.0699999999999998E-3</v>
      </c>
      <c r="N514" s="18">
        <f t="shared" ref="N514:N577" si="87">IF(ISNUMBER(D514),D514-($AB$8*B514+$AB$9),"")</f>
        <v>-0.31017804332095877</v>
      </c>
      <c r="AK514" s="18">
        <f>IF(AND(ISNUMBER(C514),ISNUMBER(ENSO!F514)),C514-ENSO!F514,"")</f>
        <v>7.0000000000000062E-2</v>
      </c>
      <c r="AL514" s="18">
        <f t="shared" si="80"/>
        <v>2000.875</v>
      </c>
      <c r="AM514" s="18">
        <f t="shared" si="81"/>
        <v>0.30000000000000249</v>
      </c>
    </row>
    <row r="515" spans="1:39">
      <c r="A515" s="18" t="str">
        <f>IF(Volcanic!A515="","",Volcanic!A515)</f>
        <v>12/2000</v>
      </c>
      <c r="B515" s="18">
        <f>IF(ISNUMBER(Volcanic!L515),Volcanic!L515,"")</f>
        <v>2000.9583333333333</v>
      </c>
      <c r="C515" s="21">
        <v>-0.68</v>
      </c>
      <c r="D515" s="18">
        <f t="shared" si="79"/>
        <v>-0.45</v>
      </c>
      <c r="E515" s="18">
        <f>IF(ISNUMBER(Volcanic!B515),Volcanic!B515,"")</f>
        <v>0.28000000000000114</v>
      </c>
      <c r="F515" s="18">
        <f>IF(ISNUMBER(Volcanic!C515),Volcanic!C515,"")</f>
        <v>0.40143543136241211</v>
      </c>
      <c r="G515" s="18">
        <f>IF(ISNUMBER(Volcanic!E515),Volcanic!E515,"")</f>
        <v>4.0499999999999998E-3</v>
      </c>
      <c r="H515" s="18">
        <f>IF(ISNUMBER(Volcanic!D515),Volcanic!D515,"")</f>
        <v>-0.42</v>
      </c>
      <c r="I515" s="18">
        <f t="shared" si="82"/>
        <v>0.40143543136241211</v>
      </c>
      <c r="J515" s="18">
        <f t="shared" si="83"/>
        <v>4.0499999999999998E-3</v>
      </c>
      <c r="K515" s="18">
        <f t="shared" si="84"/>
        <v>-0.45</v>
      </c>
      <c r="L515" s="18">
        <f t="shared" si="85"/>
        <v>0.40143543136241211</v>
      </c>
      <c r="M515" s="18">
        <f t="shared" si="86"/>
        <v>4.0499999999999998E-3</v>
      </c>
      <c r="N515" s="18">
        <f t="shared" si="87"/>
        <v>-0.38948802383036069</v>
      </c>
      <c r="AK515" s="18">
        <f>IF(AND(ISNUMBER(C515),ISNUMBER(ENSO!F515)),C515-ENSO!F515,"")</f>
        <v>9.9999999999999978E-2</v>
      </c>
      <c r="AL515" s="18">
        <f t="shared" si="80"/>
        <v>2000.9583333333333</v>
      </c>
      <c r="AM515" s="18">
        <f t="shared" si="81"/>
        <v>0.28000000000000114</v>
      </c>
    </row>
    <row r="516" spans="1:39">
      <c r="A516" s="18" t="str">
        <f>IF(Volcanic!A516="","",Volcanic!A516)</f>
        <v>1/2001</v>
      </c>
      <c r="B516" s="18">
        <f>IF(ISNUMBER(Volcanic!L516),Volcanic!L516,"")</f>
        <v>2001.0416666666667</v>
      </c>
      <c r="C516" s="21">
        <v>-0.63</v>
      </c>
      <c r="D516" s="18">
        <f t="shared" si="79"/>
        <v>-0.57999999999999996</v>
      </c>
      <c r="E516" s="18">
        <f>IF(ISNUMBER(Volcanic!B516),Volcanic!B516,"")</f>
        <v>0.44999999999999751</v>
      </c>
      <c r="F516" s="18">
        <f>IF(ISNUMBER(Volcanic!C516),Volcanic!C516,"")</f>
        <v>0.40505877786528899</v>
      </c>
      <c r="G516" s="18">
        <f>IF(ISNUMBER(Volcanic!E516),Volcanic!E516,"")</f>
        <v>4.0400000000000002E-3</v>
      </c>
      <c r="H516" s="18">
        <f>IF(ISNUMBER(Volcanic!D516),Volcanic!D516,"")</f>
        <v>-0.54</v>
      </c>
      <c r="I516" s="18">
        <f t="shared" si="82"/>
        <v>0.40505877786528899</v>
      </c>
      <c r="J516" s="18">
        <f t="shared" si="83"/>
        <v>4.0400000000000002E-3</v>
      </c>
      <c r="K516" s="18">
        <f t="shared" si="84"/>
        <v>-0.57999999999999996</v>
      </c>
      <c r="L516" s="18">
        <f t="shared" si="85"/>
        <v>0.40505877786528899</v>
      </c>
      <c r="M516" s="18">
        <f t="shared" si="86"/>
        <v>4.0400000000000002E-3</v>
      </c>
      <c r="N516" s="18">
        <f t="shared" si="87"/>
        <v>-0.51879800433975898</v>
      </c>
      <c r="AK516" s="18">
        <f>IF(AND(ISNUMBER(C516),ISNUMBER(ENSO!F516)),C516-ENSO!F516,"")</f>
        <v>0.13</v>
      </c>
      <c r="AL516" s="18">
        <f t="shared" si="80"/>
        <v>2001.0416666666667</v>
      </c>
      <c r="AM516" s="18">
        <f t="shared" si="81"/>
        <v>0.44999999999999751</v>
      </c>
    </row>
    <row r="517" spans="1:39">
      <c r="A517" s="18" t="str">
        <f>IF(Volcanic!A517="","",Volcanic!A517)</f>
        <v>2/2001</v>
      </c>
      <c r="B517" s="18">
        <f>IF(ISNUMBER(Volcanic!L517),Volcanic!L517,"")</f>
        <v>2001.125</v>
      </c>
      <c r="C517" s="21">
        <v>-0.55000000000000004</v>
      </c>
      <c r="D517" s="18">
        <f t="shared" ref="D517:D580" si="88">IF(C514="","",C514)</f>
        <v>-0.69</v>
      </c>
      <c r="E517" s="18">
        <f>IF(ISNUMBER(Volcanic!B517),Volcanic!B517,"")</f>
        <v>0.44000000000000483</v>
      </c>
      <c r="F517" s="18">
        <f>IF(ISNUMBER(Volcanic!C517),Volcanic!C517,"")</f>
        <v>0.40867304708140773</v>
      </c>
      <c r="G517" s="18">
        <f>IF(ISNUMBER(Volcanic!E517),Volcanic!E517,"")</f>
        <v>4.0299999999999997E-3</v>
      </c>
      <c r="H517" s="18">
        <f>IF(ISNUMBER(Volcanic!D517),Volcanic!D517,"")</f>
        <v>-0.76</v>
      </c>
      <c r="I517" s="18">
        <f t="shared" si="82"/>
        <v>0.40867304708140773</v>
      </c>
      <c r="J517" s="18">
        <f t="shared" si="83"/>
        <v>4.0299999999999997E-3</v>
      </c>
      <c r="K517" s="18">
        <f t="shared" si="84"/>
        <v>-0.69</v>
      </c>
      <c r="L517" s="18">
        <f t="shared" si="85"/>
        <v>0.40867304708140773</v>
      </c>
      <c r="M517" s="18">
        <f t="shared" si="86"/>
        <v>4.0299999999999997E-3</v>
      </c>
      <c r="N517" s="18">
        <f t="shared" si="87"/>
        <v>-0.62810798484916086</v>
      </c>
      <c r="AK517" s="18">
        <f>IF(AND(ISNUMBER(C517),ISNUMBER(ENSO!F517)),C517-ENSO!F517,"")</f>
        <v>-1.0000000000000009E-2</v>
      </c>
      <c r="AL517" s="18">
        <f t="shared" si="80"/>
        <v>2001.125</v>
      </c>
      <c r="AM517" s="18">
        <f t="shared" si="81"/>
        <v>0.44000000000000483</v>
      </c>
    </row>
    <row r="518" spans="1:39">
      <c r="A518" s="18" t="str">
        <f>IF(Volcanic!A518="","",Volcanic!A518)</f>
        <v>3/2001</v>
      </c>
      <c r="B518" s="18">
        <f>IF(ISNUMBER(Volcanic!L518),Volcanic!L518,"")</f>
        <v>2001.2083333333333</v>
      </c>
      <c r="C518" s="21">
        <v>-0.53</v>
      </c>
      <c r="D518" s="18">
        <f t="shared" si="88"/>
        <v>-0.68</v>
      </c>
      <c r="E518" s="18">
        <f>IF(ISNUMBER(Volcanic!B518),Volcanic!B518,"")</f>
        <v>0.54999999999999893</v>
      </c>
      <c r="F518" s="18">
        <f>IF(ISNUMBER(Volcanic!C518),Volcanic!C518,"")</f>
        <v>0.4123170014542763</v>
      </c>
      <c r="G518" s="18">
        <f>IF(ISNUMBER(Volcanic!E518),Volcanic!E518,"")</f>
        <v>4.1399999999999996E-3</v>
      </c>
      <c r="H518" s="18">
        <f>IF(ISNUMBER(Volcanic!D518),Volcanic!D518,"")</f>
        <v>-0.78</v>
      </c>
      <c r="I518" s="18">
        <f t="shared" si="82"/>
        <v>0.4123170014542763</v>
      </c>
      <c r="J518" s="18">
        <f t="shared" si="83"/>
        <v>4.1399999999999996E-3</v>
      </c>
      <c r="K518" s="18">
        <f t="shared" si="84"/>
        <v>-0.68</v>
      </c>
      <c r="L518" s="18">
        <f t="shared" si="85"/>
        <v>0.4123170014542763</v>
      </c>
      <c r="M518" s="18">
        <f t="shared" si="86"/>
        <v>4.1399999999999996E-3</v>
      </c>
      <c r="N518" s="18">
        <f t="shared" si="87"/>
        <v>-0.61741796535856286</v>
      </c>
      <c r="AK518" s="18">
        <f>IF(AND(ISNUMBER(C518),ISNUMBER(ENSO!F518)),C518-ENSO!F518,"")</f>
        <v>-0.10000000000000003</v>
      </c>
      <c r="AL518" s="18">
        <f t="shared" si="80"/>
        <v>2001.2083333333333</v>
      </c>
      <c r="AM518" s="18">
        <f t="shared" si="81"/>
        <v>0.54999999999999893</v>
      </c>
    </row>
    <row r="519" spans="1:39">
      <c r="A519" s="18" t="str">
        <f>IF(Volcanic!A519="","",Volcanic!A519)</f>
        <v>4/2001</v>
      </c>
      <c r="B519" s="18">
        <f>IF(ISNUMBER(Volcanic!L519),Volcanic!L519,"")</f>
        <v>2001.2916666666667</v>
      </c>
      <c r="C519" s="21">
        <v>-0.46</v>
      </c>
      <c r="D519" s="18">
        <f t="shared" si="88"/>
        <v>-0.63</v>
      </c>
      <c r="E519" s="18">
        <f>IF(ISNUMBER(Volcanic!B519),Volcanic!B519,"")</f>
        <v>0.5</v>
      </c>
      <c r="F519" s="18">
        <f>IF(ISNUMBER(Volcanic!C519),Volcanic!C519,"")</f>
        <v>0.41587453478450814</v>
      </c>
      <c r="G519" s="18">
        <f>IF(ISNUMBER(Volcanic!E519),Volcanic!E519,"")</f>
        <v>4.2100000000000002E-3</v>
      </c>
      <c r="H519" s="18">
        <f>IF(ISNUMBER(Volcanic!D519),Volcanic!D519,"")</f>
        <v>-0.76</v>
      </c>
      <c r="I519" s="18">
        <f t="shared" si="82"/>
        <v>0.41587453478450814</v>
      </c>
      <c r="J519" s="18">
        <f t="shared" si="83"/>
        <v>4.2100000000000002E-3</v>
      </c>
      <c r="K519" s="18">
        <f t="shared" si="84"/>
        <v>-0.63</v>
      </c>
      <c r="L519" s="18">
        <f t="shared" si="85"/>
        <v>0.41587453478450814</v>
      </c>
      <c r="M519" s="18">
        <f t="shared" si="86"/>
        <v>4.2100000000000002E-3</v>
      </c>
      <c r="N519" s="18">
        <f t="shared" si="87"/>
        <v>-0.56672794586796116</v>
      </c>
      <c r="AK519" s="18">
        <f>IF(AND(ISNUMBER(C519),ISNUMBER(ENSO!F519)),C519-ENSO!F519,"")</f>
        <v>-0.17000000000000004</v>
      </c>
      <c r="AL519" s="18">
        <f t="shared" si="80"/>
        <v>2001.2916666666667</v>
      </c>
      <c r="AM519" s="18">
        <f t="shared" si="81"/>
        <v>0.5</v>
      </c>
    </row>
    <row r="520" spans="1:39">
      <c r="A520" s="18" t="str">
        <f>IF(Volcanic!A520="","",Volcanic!A520)</f>
        <v>5/2001</v>
      </c>
      <c r="B520" s="18">
        <f>IF(ISNUMBER(Volcanic!L520),Volcanic!L520,"")</f>
        <v>2001.375</v>
      </c>
      <c r="C520" s="21">
        <v>-0.34</v>
      </c>
      <c r="D520" s="18">
        <f t="shared" si="88"/>
        <v>-0.55000000000000004</v>
      </c>
      <c r="E520" s="18">
        <f>IF(ISNUMBER(Volcanic!B520),Volcanic!B520,"")</f>
        <v>0.57000000000000028</v>
      </c>
      <c r="F520" s="18">
        <f>IF(ISNUMBER(Volcanic!C520),Volcanic!C520,"")</f>
        <v>0.41772716250271424</v>
      </c>
      <c r="G520" s="18">
        <f>IF(ISNUMBER(Volcanic!E520),Volcanic!E520,"")</f>
        <v>4.3099999999999996E-3</v>
      </c>
      <c r="H520" s="18">
        <f>IF(ISNUMBER(Volcanic!D520),Volcanic!D520,"")</f>
        <v>-0.54</v>
      </c>
      <c r="I520" s="18">
        <f t="shared" si="82"/>
        <v>0.41772716250271424</v>
      </c>
      <c r="J520" s="18">
        <f t="shared" si="83"/>
        <v>4.3099999999999996E-3</v>
      </c>
      <c r="K520" s="18">
        <f t="shared" si="84"/>
        <v>-0.55000000000000004</v>
      </c>
      <c r="L520" s="18">
        <f t="shared" si="85"/>
        <v>0.41772716250271424</v>
      </c>
      <c r="M520" s="18">
        <f t="shared" si="86"/>
        <v>4.3099999999999996E-3</v>
      </c>
      <c r="N520" s="18">
        <f t="shared" si="87"/>
        <v>-0.48603792637736309</v>
      </c>
      <c r="AK520" s="18">
        <f>IF(AND(ISNUMBER(C520),ISNUMBER(ENSO!F520)),C520-ENSO!F520,"")</f>
        <v>-0.15000000000000002</v>
      </c>
      <c r="AL520" s="18">
        <f t="shared" si="80"/>
        <v>2001.375</v>
      </c>
      <c r="AM520" s="18">
        <f t="shared" si="81"/>
        <v>0.57000000000000028</v>
      </c>
    </row>
    <row r="521" spans="1:39">
      <c r="A521" s="18" t="str">
        <f>IF(Volcanic!A521="","",Volcanic!A521)</f>
        <v>6/2001</v>
      </c>
      <c r="B521" s="18">
        <f>IF(ISNUMBER(Volcanic!L521),Volcanic!L521,"")</f>
        <v>2001.4583333333333</v>
      </c>
      <c r="C521" s="21">
        <v>-0.13</v>
      </c>
      <c r="D521" s="18">
        <f t="shared" si="88"/>
        <v>-0.53</v>
      </c>
      <c r="E521" s="18">
        <f>IF(ISNUMBER(Volcanic!B521),Volcanic!B521,"")</f>
        <v>0.52999999999999758</v>
      </c>
      <c r="F521" s="18">
        <f>IF(ISNUMBER(Volcanic!C521),Volcanic!C521,"")</f>
        <v>0.41529510039387307</v>
      </c>
      <c r="G521" s="18">
        <f>IF(ISNUMBER(Volcanic!E521),Volcanic!E521,"")</f>
        <v>4.4200000000000003E-3</v>
      </c>
      <c r="H521" s="18">
        <f>IF(ISNUMBER(Volcanic!D521),Volcanic!D521,"")</f>
        <v>-0.43</v>
      </c>
      <c r="I521" s="18">
        <f t="shared" si="82"/>
        <v>0.41529510039387307</v>
      </c>
      <c r="J521" s="18">
        <f t="shared" si="83"/>
        <v>4.4200000000000003E-3</v>
      </c>
      <c r="K521" s="18">
        <f t="shared" si="84"/>
        <v>-0.53</v>
      </c>
      <c r="L521" s="18">
        <f t="shared" si="85"/>
        <v>0.41529510039387307</v>
      </c>
      <c r="M521" s="18">
        <f t="shared" si="86"/>
        <v>4.4200000000000003E-3</v>
      </c>
      <c r="N521" s="18">
        <f t="shared" si="87"/>
        <v>-0.46534790688676497</v>
      </c>
      <c r="AK521" s="18">
        <f>IF(AND(ISNUMBER(C521),ISNUMBER(ENSO!F521)),C521-ENSO!F521,"")</f>
        <v>-0.05</v>
      </c>
      <c r="AL521" s="18">
        <f t="shared" ref="AL521:AL584" si="89">B521</f>
        <v>2001.4583333333333</v>
      </c>
      <c r="AM521" s="18">
        <f t="shared" ref="AM521:AM584" si="90">E521</f>
        <v>0.52999999999999758</v>
      </c>
    </row>
    <row r="522" spans="1:39">
      <c r="A522" s="18" t="str">
        <f>IF(Volcanic!A522="","",Volcanic!A522)</f>
        <v>7/2001</v>
      </c>
      <c r="B522" s="18">
        <f>IF(ISNUMBER(Volcanic!L522),Volcanic!L522,"")</f>
        <v>2001.5416666666667</v>
      </c>
      <c r="C522" s="21">
        <v>-0.01</v>
      </c>
      <c r="D522" s="18">
        <f t="shared" si="88"/>
        <v>-0.46</v>
      </c>
      <c r="E522" s="18">
        <f>IF(ISNUMBER(Volcanic!B522),Volcanic!B522,"")</f>
        <v>0.58999999999999986</v>
      </c>
      <c r="F522" s="18">
        <f>IF(ISNUMBER(Volcanic!C522),Volcanic!C522,"")</f>
        <v>0.40863423208911642</v>
      </c>
      <c r="G522" s="18">
        <f>IF(ISNUMBER(Volcanic!E522),Volcanic!E522,"")</f>
        <v>4.3800000000000002E-3</v>
      </c>
      <c r="H522" s="18">
        <f>IF(ISNUMBER(Volcanic!D522),Volcanic!D522,"")</f>
        <v>-0.28999999999999998</v>
      </c>
      <c r="I522" s="18">
        <f t="shared" si="82"/>
        <v>0.40863423208911642</v>
      </c>
      <c r="J522" s="18">
        <f t="shared" si="83"/>
        <v>4.3800000000000002E-3</v>
      </c>
      <c r="K522" s="18">
        <f t="shared" si="84"/>
        <v>-0.46</v>
      </c>
      <c r="L522" s="18">
        <f t="shared" si="85"/>
        <v>0.40863423208911642</v>
      </c>
      <c r="M522" s="18">
        <f t="shared" si="86"/>
        <v>4.3800000000000002E-3</v>
      </c>
      <c r="N522" s="18">
        <f t="shared" si="87"/>
        <v>-0.39465788739616331</v>
      </c>
      <c r="AK522" s="18">
        <f>IF(AND(ISNUMBER(C522),ISNUMBER(ENSO!F522)),C522-ENSO!F522,"")</f>
        <v>0.04</v>
      </c>
      <c r="AL522" s="18">
        <f t="shared" si="89"/>
        <v>2001.5416666666667</v>
      </c>
      <c r="AM522" s="18">
        <f t="shared" si="90"/>
        <v>0.58999999999999986</v>
      </c>
    </row>
    <row r="523" spans="1:39">
      <c r="A523" s="18" t="str">
        <f>IF(Volcanic!A523="","",Volcanic!A523)</f>
        <v>8/2001</v>
      </c>
      <c r="B523" s="18">
        <f>IF(ISNUMBER(Volcanic!L523),Volcanic!L523,"")</f>
        <v>2001.625</v>
      </c>
      <c r="C523" s="21">
        <v>0</v>
      </c>
      <c r="D523" s="18">
        <f t="shared" si="88"/>
        <v>-0.34</v>
      </c>
      <c r="E523" s="18">
        <f>IF(ISNUMBER(Volcanic!B523),Volcanic!B523,"")</f>
        <v>0.47999999999999865</v>
      </c>
      <c r="F523" s="18">
        <f>IF(ISNUMBER(Volcanic!C523),Volcanic!C523,"")</f>
        <v>0.40124036977007455</v>
      </c>
      <c r="G523" s="18">
        <f>IF(ISNUMBER(Volcanic!E523),Volcanic!E523,"")</f>
        <v>4.3099999999999996E-3</v>
      </c>
      <c r="H523" s="18">
        <f>IF(ISNUMBER(Volcanic!D523),Volcanic!D523,"")</f>
        <v>-0.19</v>
      </c>
      <c r="I523" s="18">
        <f t="shared" si="82"/>
        <v>0.40124036977007455</v>
      </c>
      <c r="J523" s="18">
        <f t="shared" si="83"/>
        <v>4.3099999999999996E-3</v>
      </c>
      <c r="K523" s="18">
        <f t="shared" si="84"/>
        <v>-0.34</v>
      </c>
      <c r="L523" s="18">
        <f t="shared" si="85"/>
        <v>0.40124036977007455</v>
      </c>
      <c r="M523" s="18">
        <f t="shared" si="86"/>
        <v>4.3099999999999996E-3</v>
      </c>
      <c r="N523" s="18">
        <f t="shared" si="87"/>
        <v>-0.27396786790556521</v>
      </c>
      <c r="AK523" s="18">
        <f>IF(AND(ISNUMBER(C523),ISNUMBER(ENSO!F523)),C523-ENSO!F523,"")</f>
        <v>0.13</v>
      </c>
      <c r="AL523" s="18">
        <f t="shared" si="89"/>
        <v>2001.625</v>
      </c>
      <c r="AM523" s="18">
        <f t="shared" si="90"/>
        <v>0.47999999999999865</v>
      </c>
    </row>
    <row r="524" spans="1:39">
      <c r="A524" s="18" t="str">
        <f>IF(Volcanic!A524="","",Volcanic!A524)</f>
        <v>9/2001</v>
      </c>
      <c r="B524" s="18">
        <f>IF(ISNUMBER(Volcanic!L524),Volcanic!L524,"")</f>
        <v>2001.7083333333333</v>
      </c>
      <c r="C524" s="21">
        <v>-0.05</v>
      </c>
      <c r="D524" s="18">
        <f t="shared" si="88"/>
        <v>-0.13</v>
      </c>
      <c r="E524" s="18">
        <f>IF(ISNUMBER(Volcanic!B524),Volcanic!B524,"")</f>
        <v>0.5199999999999978</v>
      </c>
      <c r="F524" s="18">
        <f>IF(ISNUMBER(Volcanic!C524),Volcanic!C524,"")</f>
        <v>0.39561124850380214</v>
      </c>
      <c r="G524" s="18">
        <f>IF(ISNUMBER(Volcanic!E524),Volcanic!E524,"")</f>
        <v>4.1900000000000001E-3</v>
      </c>
      <c r="H524" s="18">
        <f>IF(ISNUMBER(Volcanic!D524),Volcanic!D524,"")</f>
        <v>-0.08</v>
      </c>
      <c r="I524" s="18">
        <f t="shared" si="82"/>
        <v>0.39561124850380214</v>
      </c>
      <c r="J524" s="18">
        <f t="shared" si="83"/>
        <v>4.1900000000000001E-3</v>
      </c>
      <c r="K524" s="18">
        <f t="shared" si="84"/>
        <v>-0.13</v>
      </c>
      <c r="L524" s="18">
        <f t="shared" si="85"/>
        <v>0.39561124850380214</v>
      </c>
      <c r="M524" s="18">
        <f t="shared" si="86"/>
        <v>4.1900000000000001E-3</v>
      </c>
      <c r="N524" s="18">
        <f t="shared" si="87"/>
        <v>-6.3277848414967086E-2</v>
      </c>
      <c r="AK524" s="18">
        <f>IF(AND(ISNUMBER(C524),ISNUMBER(ENSO!F524)),C524-ENSO!F524,"")</f>
        <v>9.9999999999999992E-2</v>
      </c>
      <c r="AL524" s="18">
        <f t="shared" si="89"/>
        <v>2001.7083333333333</v>
      </c>
      <c r="AM524" s="18">
        <f t="shared" si="90"/>
        <v>0.5199999999999978</v>
      </c>
    </row>
    <row r="525" spans="1:39">
      <c r="A525" s="18" t="str">
        <f>IF(Volcanic!A525="","",Volcanic!A525)</f>
        <v>10/2001</v>
      </c>
      <c r="B525" s="18">
        <f>IF(ISNUMBER(Volcanic!L525),Volcanic!L525,"")</f>
        <v>2001.7916666666667</v>
      </c>
      <c r="C525" s="21">
        <v>-0.17</v>
      </c>
      <c r="D525" s="18">
        <f t="shared" si="88"/>
        <v>-0.01</v>
      </c>
      <c r="E525" s="18">
        <f>IF(ISNUMBER(Volcanic!B525),Volcanic!B525,"")</f>
        <v>0.5</v>
      </c>
      <c r="F525" s="18">
        <f>IF(ISNUMBER(Volcanic!C525),Volcanic!C525,"")</f>
        <v>0.39666838312207731</v>
      </c>
      <c r="G525" s="18">
        <f>IF(ISNUMBER(Volcanic!E525),Volcanic!E525,"")</f>
        <v>4.1999999999999997E-3</v>
      </c>
      <c r="H525" s="18">
        <f>IF(ISNUMBER(Volcanic!D525),Volcanic!D525,"")</f>
        <v>-0.05</v>
      </c>
      <c r="I525" s="18">
        <f t="shared" si="82"/>
        <v>0.39666838312207731</v>
      </c>
      <c r="J525" s="18">
        <f t="shared" si="83"/>
        <v>4.1999999999999997E-3</v>
      </c>
      <c r="K525" s="18">
        <f t="shared" si="84"/>
        <v>-0.01</v>
      </c>
      <c r="L525" s="18">
        <f t="shared" si="85"/>
        <v>0.39666838312207731</v>
      </c>
      <c r="M525" s="18">
        <f t="shared" si="86"/>
        <v>4.1999999999999997E-3</v>
      </c>
      <c r="N525" s="18">
        <f t="shared" si="87"/>
        <v>5.741217107563102E-2</v>
      </c>
      <c r="AK525" s="18">
        <f>IF(AND(ISNUMBER(C525),ISNUMBER(ENSO!F525)),C525-ENSO!F525,"")</f>
        <v>0.09</v>
      </c>
      <c r="AL525" s="18">
        <f t="shared" si="89"/>
        <v>2001.7916666666667</v>
      </c>
      <c r="AM525" s="18">
        <f t="shared" si="90"/>
        <v>0.5</v>
      </c>
    </row>
    <row r="526" spans="1:39">
      <c r="A526" s="18" t="str">
        <f>IF(Volcanic!A526="","",Volcanic!A526)</f>
        <v>11/2001</v>
      </c>
      <c r="B526" s="18">
        <f>IF(ISNUMBER(Volcanic!L526),Volcanic!L526,"")</f>
        <v>2001.875</v>
      </c>
      <c r="C526" s="21">
        <v>-0.25</v>
      </c>
      <c r="D526" s="18">
        <f t="shared" si="88"/>
        <v>0</v>
      </c>
      <c r="E526" s="18">
        <f>IF(ISNUMBER(Volcanic!B526),Volcanic!B526,"")</f>
        <v>0.72000000000000242</v>
      </c>
      <c r="F526" s="18">
        <f>IF(ISNUMBER(Volcanic!C526),Volcanic!C526,"")</f>
        <v>0.40186447405316023</v>
      </c>
      <c r="G526" s="18">
        <f>IF(ISNUMBER(Volcanic!E526),Volcanic!E526,"")</f>
        <v>4.0699999999999998E-3</v>
      </c>
      <c r="H526" s="18">
        <f>IF(ISNUMBER(Volcanic!D526),Volcanic!D526,"")</f>
        <v>-0.13</v>
      </c>
      <c r="I526" s="18">
        <f t="shared" si="82"/>
        <v>0.40186447405316023</v>
      </c>
      <c r="J526" s="18">
        <f t="shared" si="83"/>
        <v>4.0699999999999998E-3</v>
      </c>
      <c r="K526" s="18">
        <f t="shared" si="84"/>
        <v>0</v>
      </c>
      <c r="L526" s="18">
        <f t="shared" si="85"/>
        <v>0.40186447405316023</v>
      </c>
      <c r="M526" s="18">
        <f t="shared" si="86"/>
        <v>4.0699999999999998E-3</v>
      </c>
      <c r="N526" s="18">
        <f t="shared" si="87"/>
        <v>6.8102190566229126E-2</v>
      </c>
      <c r="AK526" s="18">
        <f>IF(AND(ISNUMBER(C526),ISNUMBER(ENSO!F526)),C526-ENSO!F526,"")</f>
        <v>8.0000000000000016E-2</v>
      </c>
      <c r="AL526" s="18">
        <f t="shared" si="89"/>
        <v>2001.875</v>
      </c>
      <c r="AM526" s="18">
        <f t="shared" si="90"/>
        <v>0.72000000000000242</v>
      </c>
    </row>
    <row r="527" spans="1:39">
      <c r="A527" s="18" t="str">
        <f>IF(Volcanic!A527="","",Volcanic!A527)</f>
        <v>12/2001</v>
      </c>
      <c r="B527" s="18">
        <f>IF(ISNUMBER(Volcanic!L527),Volcanic!L527,"")</f>
        <v>2001.9583333333333</v>
      </c>
      <c r="C527" s="21">
        <v>-0.27</v>
      </c>
      <c r="D527" s="18">
        <f t="shared" si="88"/>
        <v>-0.05</v>
      </c>
      <c r="E527" s="18">
        <f>IF(ISNUMBER(Volcanic!B527),Volcanic!B527,"")</f>
        <v>0.54999999999999893</v>
      </c>
      <c r="F527" s="18">
        <f>IF(ISNUMBER(Volcanic!C527),Volcanic!C527,"")</f>
        <v>0.40762467556660881</v>
      </c>
      <c r="G527" s="18">
        <f>IF(ISNUMBER(Volcanic!E527),Volcanic!E527,"")</f>
        <v>4.0899999999999999E-3</v>
      </c>
      <c r="H527" s="18">
        <f>IF(ISNUMBER(Volcanic!D527),Volcanic!D527,"")</f>
        <v>-0.15</v>
      </c>
      <c r="I527" s="18">
        <f t="shared" si="82"/>
        <v>0.40762467556660881</v>
      </c>
      <c r="J527" s="18">
        <f t="shared" si="83"/>
        <v>4.0899999999999999E-3</v>
      </c>
      <c r="K527" s="18">
        <f t="shared" si="84"/>
        <v>-0.05</v>
      </c>
      <c r="L527" s="18">
        <f t="shared" si="85"/>
        <v>0.40762467556660881</v>
      </c>
      <c r="M527" s="18">
        <f t="shared" si="86"/>
        <v>4.0899999999999999E-3</v>
      </c>
      <c r="N527" s="18">
        <f t="shared" si="87"/>
        <v>1.879221005683078E-2</v>
      </c>
      <c r="AK527" s="18">
        <f>IF(AND(ISNUMBER(C527),ISNUMBER(ENSO!F527)),C527-ENSO!F527,"")</f>
        <v>4.9999999999999989E-2</v>
      </c>
      <c r="AL527" s="18">
        <f t="shared" si="89"/>
        <v>2001.9583333333333</v>
      </c>
      <c r="AM527" s="18">
        <f t="shared" si="90"/>
        <v>0.54999999999999893</v>
      </c>
    </row>
    <row r="528" spans="1:39">
      <c r="A528" s="18" t="str">
        <f>IF(Volcanic!A528="","",Volcanic!A528)</f>
        <v>1/2002</v>
      </c>
      <c r="B528" s="18">
        <f>IF(ISNUMBER(Volcanic!L528),Volcanic!L528,"")</f>
        <v>2002.0416666666667</v>
      </c>
      <c r="C528" s="21">
        <v>-0.14000000000000001</v>
      </c>
      <c r="D528" s="18">
        <f t="shared" si="88"/>
        <v>-0.17</v>
      </c>
      <c r="E528" s="18">
        <f>IF(ISNUMBER(Volcanic!B528),Volcanic!B528,"")</f>
        <v>0.77000000000000135</v>
      </c>
      <c r="F528" s="18">
        <f>IF(ISNUMBER(Volcanic!C528),Volcanic!C528,"")</f>
        <v>0.4125879918965209</v>
      </c>
      <c r="G528" s="18">
        <f>IF(ISNUMBER(Volcanic!E528),Volcanic!E528,"")</f>
        <v>4.3200000000000001E-3</v>
      </c>
      <c r="H528" s="18">
        <f>IF(ISNUMBER(Volcanic!D528),Volcanic!D528,"")</f>
        <v>-0.26</v>
      </c>
      <c r="I528" s="18">
        <f t="shared" si="82"/>
        <v>0.4125879918965209</v>
      </c>
      <c r="J528" s="18">
        <f t="shared" si="83"/>
        <v>4.3200000000000001E-3</v>
      </c>
      <c r="K528" s="18">
        <f t="shared" si="84"/>
        <v>-0.17</v>
      </c>
      <c r="L528" s="18">
        <f t="shared" si="85"/>
        <v>0.4125879918965209</v>
      </c>
      <c r="M528" s="18">
        <f t="shared" si="86"/>
        <v>4.3200000000000001E-3</v>
      </c>
      <c r="N528" s="18">
        <f t="shared" si="87"/>
        <v>-0.10051777045257113</v>
      </c>
      <c r="AK528" s="18">
        <f>IF(AND(ISNUMBER(C528),ISNUMBER(ENSO!F528)),C528-ENSO!F528,"")</f>
        <v>9.9999999999999811E-3</v>
      </c>
      <c r="AL528" s="18">
        <f t="shared" si="89"/>
        <v>2002.0416666666667</v>
      </c>
      <c r="AM528" s="18">
        <f t="shared" si="90"/>
        <v>0.77000000000000135</v>
      </c>
    </row>
    <row r="529" spans="1:39">
      <c r="A529" s="18" t="str">
        <f>IF(Volcanic!A529="","",Volcanic!A529)</f>
        <v>2/2002</v>
      </c>
      <c r="B529" s="18">
        <f>IF(ISNUMBER(Volcanic!L529),Volcanic!L529,"")</f>
        <v>2002.125</v>
      </c>
      <c r="C529" s="21">
        <v>-0.03</v>
      </c>
      <c r="D529" s="18">
        <f t="shared" si="88"/>
        <v>-0.25</v>
      </c>
      <c r="E529" s="18">
        <f>IF(ISNUMBER(Volcanic!B529),Volcanic!B529,"")</f>
        <v>0.77999999999999758</v>
      </c>
      <c r="F529" s="18">
        <f>IF(ISNUMBER(Volcanic!C529),Volcanic!C529,"")</f>
        <v>0.41517918558409256</v>
      </c>
      <c r="G529" s="18">
        <f>IF(ISNUMBER(Volcanic!E529),Volcanic!E529,"")</f>
        <v>4.7099999999999998E-3</v>
      </c>
      <c r="H529" s="18">
        <f>IF(ISNUMBER(Volcanic!D529),Volcanic!D529,"")</f>
        <v>-0.33</v>
      </c>
      <c r="I529" s="18">
        <f t="shared" si="82"/>
        <v>0.41517918558409256</v>
      </c>
      <c r="J529" s="18">
        <f t="shared" si="83"/>
        <v>4.7099999999999998E-3</v>
      </c>
      <c r="K529" s="18">
        <f t="shared" si="84"/>
        <v>-0.25</v>
      </c>
      <c r="L529" s="18">
        <f t="shared" si="85"/>
        <v>0.41517918558409256</v>
      </c>
      <c r="M529" s="18">
        <f t="shared" si="86"/>
        <v>4.7099999999999998E-3</v>
      </c>
      <c r="N529" s="18">
        <f t="shared" si="87"/>
        <v>-0.17982775096197301</v>
      </c>
      <c r="AK529" s="18">
        <f>IF(AND(ISNUMBER(C529),ISNUMBER(ENSO!F529)),C529-ENSO!F529,"")</f>
        <v>-0.1</v>
      </c>
      <c r="AL529" s="18">
        <f t="shared" si="89"/>
        <v>2002.125</v>
      </c>
      <c r="AM529" s="18">
        <f t="shared" si="90"/>
        <v>0.77999999999999758</v>
      </c>
    </row>
    <row r="530" spans="1:39">
      <c r="A530" s="18" t="str">
        <f>IF(Volcanic!A530="","",Volcanic!A530)</f>
        <v>3/2002</v>
      </c>
      <c r="B530" s="18">
        <f>IF(ISNUMBER(Volcanic!L530),Volcanic!L530,"")</f>
        <v>2002.2083333333333</v>
      </c>
      <c r="C530" s="21">
        <v>0.01</v>
      </c>
      <c r="D530" s="18">
        <f t="shared" si="88"/>
        <v>-0.27</v>
      </c>
      <c r="E530" s="18">
        <f>IF(ISNUMBER(Volcanic!B530),Volcanic!B530,"")</f>
        <v>0.88000000000000256</v>
      </c>
      <c r="F530" s="18">
        <f>IF(ISNUMBER(Volcanic!C530),Volcanic!C530,"")</f>
        <v>0.41876822106763295</v>
      </c>
      <c r="G530" s="18">
        <f>IF(ISNUMBER(Volcanic!E530),Volcanic!E530,"")</f>
        <v>4.9100000000000003E-3</v>
      </c>
      <c r="H530" s="18">
        <f>IF(ISNUMBER(Volcanic!D530),Volcanic!D530,"")</f>
        <v>-0.32</v>
      </c>
      <c r="I530" s="18">
        <f t="shared" si="82"/>
        <v>0.41876822106763295</v>
      </c>
      <c r="J530" s="18">
        <f t="shared" si="83"/>
        <v>4.9100000000000003E-3</v>
      </c>
      <c r="K530" s="18">
        <f t="shared" si="84"/>
        <v>-0.27</v>
      </c>
      <c r="L530" s="18">
        <f t="shared" si="85"/>
        <v>0.41876822106763295</v>
      </c>
      <c r="M530" s="18">
        <f t="shared" si="86"/>
        <v>4.9100000000000003E-3</v>
      </c>
      <c r="N530" s="18">
        <f t="shared" si="87"/>
        <v>-0.19913773147137492</v>
      </c>
      <c r="AK530" s="18">
        <f>IF(AND(ISNUMBER(C530),ISNUMBER(ENSO!F530)),C530-ENSO!F530,"")</f>
        <v>-0.1</v>
      </c>
      <c r="AL530" s="18">
        <f t="shared" si="89"/>
        <v>2002.2083333333333</v>
      </c>
      <c r="AM530" s="18">
        <f t="shared" si="90"/>
        <v>0.88000000000000256</v>
      </c>
    </row>
    <row r="531" spans="1:39">
      <c r="A531" s="18" t="str">
        <f>IF(Volcanic!A531="","",Volcanic!A531)</f>
        <v>4/2002</v>
      </c>
      <c r="B531" s="18">
        <f>IF(ISNUMBER(Volcanic!L531),Volcanic!L531,"")</f>
        <v>2002.2916666666667</v>
      </c>
      <c r="C531" s="21">
        <v>0.11</v>
      </c>
      <c r="D531" s="18">
        <f t="shared" si="88"/>
        <v>-0.14000000000000001</v>
      </c>
      <c r="E531" s="18">
        <f>IF(ISNUMBER(Volcanic!B531),Volcanic!B531,"")</f>
        <v>0.58000000000000007</v>
      </c>
      <c r="F531" s="18">
        <f>IF(ISNUMBER(Volcanic!C531),Volcanic!C531,"")</f>
        <v>0.4221945488102623</v>
      </c>
      <c r="G531" s="18">
        <f>IF(ISNUMBER(Volcanic!E531),Volcanic!E531,"")</f>
        <v>4.6800000000000001E-3</v>
      </c>
      <c r="H531" s="18">
        <f>IF(ISNUMBER(Volcanic!D531),Volcanic!D531,"")</f>
        <v>-0.15</v>
      </c>
      <c r="I531" s="18">
        <f t="shared" si="82"/>
        <v>0.4221945488102623</v>
      </c>
      <c r="J531" s="18">
        <f t="shared" si="83"/>
        <v>4.6800000000000001E-3</v>
      </c>
      <c r="K531" s="18">
        <f t="shared" si="84"/>
        <v>-0.14000000000000001</v>
      </c>
      <c r="L531" s="18">
        <f t="shared" si="85"/>
        <v>0.4221945488102623</v>
      </c>
      <c r="M531" s="18">
        <f t="shared" si="86"/>
        <v>4.6800000000000001E-3</v>
      </c>
      <c r="N531" s="18">
        <f t="shared" si="87"/>
        <v>-6.8447711980773263E-2</v>
      </c>
      <c r="AK531" s="18">
        <f>IF(AND(ISNUMBER(C531),ISNUMBER(ENSO!F531)),C531-ENSO!F531,"")</f>
        <v>-3.9999999999999994E-2</v>
      </c>
      <c r="AL531" s="18">
        <f t="shared" si="89"/>
        <v>2002.2916666666667</v>
      </c>
      <c r="AM531" s="18">
        <f t="shared" si="90"/>
        <v>0.58000000000000007</v>
      </c>
    </row>
    <row r="532" spans="1:39">
      <c r="A532" s="18" t="str">
        <f>IF(Volcanic!A532="","",Volcanic!A532)</f>
        <v>5/2002</v>
      </c>
      <c r="B532" s="18">
        <f>IF(ISNUMBER(Volcanic!L532),Volcanic!L532,"")</f>
        <v>2002.375</v>
      </c>
      <c r="C532" s="21">
        <v>0.37</v>
      </c>
      <c r="D532" s="18">
        <f t="shared" si="88"/>
        <v>-0.03</v>
      </c>
      <c r="E532" s="18">
        <f>IF(ISNUMBER(Volcanic!B532),Volcanic!B532,"")</f>
        <v>0.64000000000000234</v>
      </c>
      <c r="F532" s="18">
        <f>IF(ISNUMBER(Volcanic!C532),Volcanic!C532,"")</f>
        <v>0.42503722288541401</v>
      </c>
      <c r="G532" s="18">
        <f>IF(ISNUMBER(Volcanic!E532),Volcanic!E532,"")</f>
        <v>4.7400000000000003E-3</v>
      </c>
      <c r="H532" s="18">
        <f>IF(ISNUMBER(Volcanic!D532),Volcanic!D532,"")</f>
        <v>7.0000000000000007E-2</v>
      </c>
      <c r="I532" s="18">
        <f t="shared" si="82"/>
        <v>0.42503722288541401</v>
      </c>
      <c r="J532" s="18">
        <f t="shared" si="83"/>
        <v>4.7400000000000003E-3</v>
      </c>
      <c r="K532" s="18">
        <f t="shared" si="84"/>
        <v>-0.03</v>
      </c>
      <c r="L532" s="18">
        <f t="shared" si="85"/>
        <v>0.42503722288541401</v>
      </c>
      <c r="M532" s="18">
        <f t="shared" si="86"/>
        <v>4.7400000000000003E-3</v>
      </c>
      <c r="N532" s="18">
        <f t="shared" si="87"/>
        <v>4.2242307509824856E-2</v>
      </c>
      <c r="AK532" s="18">
        <f>IF(AND(ISNUMBER(C532),ISNUMBER(ENSO!F532)),C532-ENSO!F532,"")</f>
        <v>7.0000000000000007E-2</v>
      </c>
      <c r="AL532" s="18">
        <f t="shared" si="89"/>
        <v>2002.375</v>
      </c>
      <c r="AM532" s="18">
        <f t="shared" si="90"/>
        <v>0.64000000000000234</v>
      </c>
    </row>
    <row r="533" spans="1:39">
      <c r="A533" s="18" t="str">
        <f>IF(Volcanic!A533="","",Volcanic!A533)</f>
        <v>6/2002</v>
      </c>
      <c r="B533" s="18">
        <f>IF(ISNUMBER(Volcanic!L533),Volcanic!L533,"")</f>
        <v>2002.4583333333333</v>
      </c>
      <c r="C533" s="21">
        <v>0.66</v>
      </c>
      <c r="D533" s="18">
        <f t="shared" si="88"/>
        <v>0.01</v>
      </c>
      <c r="E533" s="18">
        <f>IF(ISNUMBER(Volcanic!B533),Volcanic!B533,"")</f>
        <v>0.52999999999999758</v>
      </c>
      <c r="F533" s="18">
        <f>IF(ISNUMBER(Volcanic!C533),Volcanic!C533,"")</f>
        <v>0.42411588811097739</v>
      </c>
      <c r="G533" s="18">
        <f>IF(ISNUMBER(Volcanic!E533),Volcanic!E533,"")</f>
        <v>4.4799999999999996E-3</v>
      </c>
      <c r="H533" s="18">
        <f>IF(ISNUMBER(Volcanic!D533),Volcanic!D533,"")</f>
        <v>0.11</v>
      </c>
      <c r="I533" s="18">
        <f t="shared" si="82"/>
        <v>0.42411588811097739</v>
      </c>
      <c r="J533" s="18">
        <f t="shared" si="83"/>
        <v>4.4799999999999996E-3</v>
      </c>
      <c r="K533" s="18">
        <f t="shared" si="84"/>
        <v>0.01</v>
      </c>
      <c r="L533" s="18">
        <f t="shared" si="85"/>
        <v>0.42411588811097739</v>
      </c>
      <c r="M533" s="18">
        <f t="shared" si="86"/>
        <v>4.4799999999999996E-3</v>
      </c>
      <c r="N533" s="18">
        <f t="shared" si="87"/>
        <v>8.2932327000422953E-2</v>
      </c>
      <c r="AK533" s="18">
        <f>IF(AND(ISNUMBER(C533),ISNUMBER(ENSO!F533)),C533-ENSO!F533,"")</f>
        <v>0.21000000000000002</v>
      </c>
      <c r="AL533" s="18">
        <f t="shared" si="89"/>
        <v>2002.4583333333333</v>
      </c>
      <c r="AM533" s="18">
        <f t="shared" si="90"/>
        <v>0.52999999999999758</v>
      </c>
    </row>
    <row r="534" spans="1:39">
      <c r="A534" s="18" t="str">
        <f>IF(Volcanic!A534="","",Volcanic!A534)</f>
        <v>7/2002</v>
      </c>
      <c r="B534" s="18">
        <f>IF(ISNUMBER(Volcanic!L534),Volcanic!L534,"")</f>
        <v>2002.5416666666667</v>
      </c>
      <c r="C534" s="21">
        <v>0.9</v>
      </c>
      <c r="D534" s="18">
        <f t="shared" si="88"/>
        <v>0.11</v>
      </c>
      <c r="E534" s="18">
        <f>IF(ISNUMBER(Volcanic!B534),Volcanic!B534,"")</f>
        <v>0.61000000000000121</v>
      </c>
      <c r="F534" s="18">
        <f>IF(ISNUMBER(Volcanic!C534),Volcanic!C534,"")</f>
        <v>0.41822850669924977</v>
      </c>
      <c r="G534" s="18">
        <f>IF(ISNUMBER(Volcanic!E534),Volcanic!E534,"")</f>
        <v>4.3200000000000001E-3</v>
      </c>
      <c r="H534" s="18">
        <f>IF(ISNUMBER(Volcanic!D534),Volcanic!D534,"")</f>
        <v>0.15</v>
      </c>
      <c r="I534" s="18">
        <f t="shared" si="82"/>
        <v>0.41822850669924977</v>
      </c>
      <c r="J534" s="18">
        <f t="shared" si="83"/>
        <v>4.3200000000000001E-3</v>
      </c>
      <c r="K534" s="18">
        <f t="shared" si="84"/>
        <v>0.11</v>
      </c>
      <c r="L534" s="18">
        <f t="shared" si="85"/>
        <v>0.41822850669924977</v>
      </c>
      <c r="M534" s="18">
        <f t="shared" si="86"/>
        <v>4.3200000000000001E-3</v>
      </c>
      <c r="N534" s="18">
        <f t="shared" si="87"/>
        <v>0.1836223464910246</v>
      </c>
      <c r="AK534" s="18">
        <f>IF(AND(ISNUMBER(C534),ISNUMBER(ENSO!F534)),C534-ENSO!F534,"")</f>
        <v>0.33000000000000007</v>
      </c>
      <c r="AL534" s="18">
        <f t="shared" si="89"/>
        <v>2002.5416666666667</v>
      </c>
      <c r="AM534" s="18">
        <f t="shared" si="90"/>
        <v>0.61000000000000121</v>
      </c>
    </row>
    <row r="535" spans="1:39">
      <c r="A535" s="18" t="str">
        <f>IF(Volcanic!A535="","",Volcanic!A535)</f>
        <v>8/2002</v>
      </c>
      <c r="B535" s="18">
        <f>IF(ISNUMBER(Volcanic!L535),Volcanic!L535,"")</f>
        <v>2002.625</v>
      </c>
      <c r="C535" s="21">
        <v>1.08</v>
      </c>
      <c r="D535" s="18">
        <f t="shared" si="88"/>
        <v>0.37</v>
      </c>
      <c r="E535" s="18">
        <f>IF(ISNUMBER(Volcanic!B535),Volcanic!B535,"")</f>
        <v>0.52999999999999758</v>
      </c>
      <c r="F535" s="18">
        <f>IF(ISNUMBER(Volcanic!C535),Volcanic!C535,"")</f>
        <v>0.40999213584619632</v>
      </c>
      <c r="G535" s="18">
        <f>IF(ISNUMBER(Volcanic!E535),Volcanic!E535,"")</f>
        <v>4.2100000000000002E-3</v>
      </c>
      <c r="H535" s="18">
        <f>IF(ISNUMBER(Volcanic!D535),Volcanic!D535,"")</f>
        <v>0.3</v>
      </c>
      <c r="I535" s="18">
        <f t="shared" si="82"/>
        <v>0.40999213584619632</v>
      </c>
      <c r="J535" s="18">
        <f t="shared" si="83"/>
        <v>4.2100000000000002E-3</v>
      </c>
      <c r="K535" s="18">
        <f t="shared" si="84"/>
        <v>0.37</v>
      </c>
      <c r="L535" s="18">
        <f t="shared" si="85"/>
        <v>0.40999213584619632</v>
      </c>
      <c r="M535" s="18">
        <f t="shared" si="86"/>
        <v>4.2100000000000002E-3</v>
      </c>
      <c r="N535" s="18">
        <f t="shared" si="87"/>
        <v>0.44431236598162271</v>
      </c>
      <c r="AK535" s="18">
        <f>IF(AND(ISNUMBER(C535),ISNUMBER(ENSO!F535)),C535-ENSO!F535,"")</f>
        <v>0.45000000000000007</v>
      </c>
      <c r="AL535" s="18">
        <f t="shared" si="89"/>
        <v>2002.625</v>
      </c>
      <c r="AM535" s="18">
        <f t="shared" si="90"/>
        <v>0.52999999999999758</v>
      </c>
    </row>
    <row r="536" spans="1:39">
      <c r="A536" s="18" t="str">
        <f>IF(Volcanic!A536="","",Volcanic!A536)</f>
        <v>9/2002</v>
      </c>
      <c r="B536" s="18">
        <f>IF(ISNUMBER(Volcanic!L536),Volcanic!L536,"")</f>
        <v>2002.7083333333333</v>
      </c>
      <c r="C536" s="21">
        <v>1.26</v>
      </c>
      <c r="D536" s="18">
        <f t="shared" si="88"/>
        <v>0.66</v>
      </c>
      <c r="E536" s="18">
        <f>IF(ISNUMBER(Volcanic!B536),Volcanic!B536,"")</f>
        <v>0.64000000000000234</v>
      </c>
      <c r="F536" s="18">
        <f>IF(ISNUMBER(Volcanic!C536),Volcanic!C536,"")</f>
        <v>0.40568123285968838</v>
      </c>
      <c r="G536" s="18">
        <f>IF(ISNUMBER(Volcanic!E536),Volcanic!E536,"")</f>
        <v>4.0699999999999998E-3</v>
      </c>
      <c r="H536" s="18">
        <f>IF(ISNUMBER(Volcanic!D536),Volcanic!D536,"")</f>
        <v>0.45</v>
      </c>
      <c r="I536" s="18">
        <f t="shared" si="82"/>
        <v>0.40568123285968838</v>
      </c>
      <c r="J536" s="18">
        <f t="shared" si="83"/>
        <v>4.0699999999999998E-3</v>
      </c>
      <c r="K536" s="18">
        <f t="shared" si="84"/>
        <v>0.66</v>
      </c>
      <c r="L536" s="18">
        <f t="shared" si="85"/>
        <v>0.40568123285968838</v>
      </c>
      <c r="M536" s="18">
        <f t="shared" si="86"/>
        <v>4.0699999999999998E-3</v>
      </c>
      <c r="N536" s="18">
        <f t="shared" si="87"/>
        <v>0.73500238547222085</v>
      </c>
      <c r="AK536" s="18">
        <f>IF(AND(ISNUMBER(C536),ISNUMBER(ENSO!F536)),C536-ENSO!F536,"")</f>
        <v>0.48</v>
      </c>
      <c r="AL536" s="18">
        <f t="shared" si="89"/>
        <v>2002.7083333333333</v>
      </c>
      <c r="AM536" s="18">
        <f t="shared" si="90"/>
        <v>0.64000000000000234</v>
      </c>
    </row>
    <row r="537" spans="1:39">
      <c r="A537" s="18" t="str">
        <f>IF(Volcanic!A537="","",Volcanic!A537)</f>
        <v>10/2002</v>
      </c>
      <c r="B537" s="18">
        <f>IF(ISNUMBER(Volcanic!L537),Volcanic!L537,"")</f>
        <v>2002.7916666666667</v>
      </c>
      <c r="C537" s="21">
        <v>1.44</v>
      </c>
      <c r="D537" s="18">
        <f t="shared" si="88"/>
        <v>0.9</v>
      </c>
      <c r="E537" s="18">
        <f>IF(ISNUMBER(Volcanic!B537),Volcanic!B537,"")</f>
        <v>0.53999999999999915</v>
      </c>
      <c r="F537" s="18">
        <f>IF(ISNUMBER(Volcanic!C537),Volcanic!C537,"")</f>
        <v>0.40494203764964165</v>
      </c>
      <c r="G537" s="18">
        <f>IF(ISNUMBER(Volcanic!E537),Volcanic!E537,"")</f>
        <v>4.0400000000000002E-3</v>
      </c>
      <c r="H537" s="18">
        <f>IF(ISNUMBER(Volcanic!D537),Volcanic!D537,"")</f>
        <v>0.56999999999999995</v>
      </c>
      <c r="I537" s="18">
        <f t="shared" si="82"/>
        <v>0.40494203764964165</v>
      </c>
      <c r="J537" s="18">
        <f t="shared" si="83"/>
        <v>4.0400000000000002E-3</v>
      </c>
      <c r="K537" s="18">
        <f t="shared" si="84"/>
        <v>0.9</v>
      </c>
      <c r="L537" s="18">
        <f t="shared" si="85"/>
        <v>0.40494203764964165</v>
      </c>
      <c r="M537" s="18">
        <f t="shared" si="86"/>
        <v>4.0400000000000002E-3</v>
      </c>
      <c r="N537" s="18">
        <f t="shared" si="87"/>
        <v>0.9756924049628225</v>
      </c>
      <c r="AK537" s="18">
        <f>IF(AND(ISNUMBER(C537),ISNUMBER(ENSO!F537)),C537-ENSO!F537,"")</f>
        <v>0.44999999999999996</v>
      </c>
      <c r="AL537" s="18">
        <f t="shared" si="89"/>
        <v>2002.7916666666667</v>
      </c>
      <c r="AM537" s="18">
        <f t="shared" si="90"/>
        <v>0.53999999999999915</v>
      </c>
    </row>
    <row r="538" spans="1:39">
      <c r="A538" s="18" t="str">
        <f>IF(Volcanic!A538="","",Volcanic!A538)</f>
        <v>11/2002</v>
      </c>
      <c r="B538" s="18">
        <f>IF(ISNUMBER(Volcanic!L538),Volcanic!L538,"")</f>
        <v>2002.875</v>
      </c>
      <c r="C538" s="21">
        <v>1.47</v>
      </c>
      <c r="D538" s="18">
        <f t="shared" si="88"/>
        <v>1.08</v>
      </c>
      <c r="E538" s="18">
        <f>IF(ISNUMBER(Volcanic!B538),Volcanic!B538,"")</f>
        <v>0.58999999999999986</v>
      </c>
      <c r="F538" s="18">
        <f>IF(ISNUMBER(Volcanic!C538),Volcanic!C538,"")</f>
        <v>0.41154246245041559</v>
      </c>
      <c r="G538" s="18">
        <f>IF(ISNUMBER(Volcanic!E538),Volcanic!E538,"")</f>
        <v>3.8600000000000001E-3</v>
      </c>
      <c r="H538" s="18">
        <f>IF(ISNUMBER(Volcanic!D538),Volcanic!D538,"")</f>
        <v>0.63</v>
      </c>
      <c r="I538" s="18">
        <f t="shared" si="82"/>
        <v>0.41154246245041559</v>
      </c>
      <c r="J538" s="18">
        <f t="shared" si="83"/>
        <v>3.8600000000000001E-3</v>
      </c>
      <c r="K538" s="18">
        <f t="shared" si="84"/>
        <v>1.08</v>
      </c>
      <c r="L538" s="18">
        <f t="shared" si="85"/>
        <v>0.41154246245041559</v>
      </c>
      <c r="M538" s="18">
        <f t="shared" si="86"/>
        <v>3.8600000000000001E-3</v>
      </c>
      <c r="N538" s="18">
        <f t="shared" si="87"/>
        <v>1.1563824244534207</v>
      </c>
      <c r="AK538" s="18">
        <f>IF(AND(ISNUMBER(C538),ISNUMBER(ENSO!F538)),C538-ENSO!F538,"")</f>
        <v>0.28000000000000003</v>
      </c>
      <c r="AL538" s="18">
        <f t="shared" si="89"/>
        <v>2002.875</v>
      </c>
      <c r="AM538" s="18">
        <f t="shared" si="90"/>
        <v>0.58999999999999986</v>
      </c>
    </row>
    <row r="539" spans="1:39">
      <c r="A539" s="18" t="str">
        <f>IF(Volcanic!A539="","",Volcanic!A539)</f>
        <v>12/2002</v>
      </c>
      <c r="B539" s="18">
        <f>IF(ISNUMBER(Volcanic!L539),Volcanic!L539,"")</f>
        <v>2002.9583333333333</v>
      </c>
      <c r="C539" s="21">
        <v>1.19</v>
      </c>
      <c r="D539" s="18">
        <f t="shared" si="88"/>
        <v>1.26</v>
      </c>
      <c r="E539" s="18">
        <f>IF(ISNUMBER(Volcanic!B539),Volcanic!B539,"")</f>
        <v>0.44000000000000483</v>
      </c>
      <c r="F539" s="18">
        <f>IF(ISNUMBER(Volcanic!C539),Volcanic!C539,"")</f>
        <v>0.41753429141234943</v>
      </c>
      <c r="G539" s="18">
        <f>IF(ISNUMBER(Volcanic!E539),Volcanic!E539,"")</f>
        <v>3.8999999999999998E-3</v>
      </c>
      <c r="H539" s="18">
        <f>IF(ISNUMBER(Volcanic!D539),Volcanic!D539,"")</f>
        <v>0.78</v>
      </c>
      <c r="I539" s="18">
        <f t="shared" si="82"/>
        <v>0.41753429141234943</v>
      </c>
      <c r="J539" s="18">
        <f t="shared" si="83"/>
        <v>3.8999999999999998E-3</v>
      </c>
      <c r="K539" s="18">
        <f t="shared" si="84"/>
        <v>1.26</v>
      </c>
      <c r="L539" s="18">
        <f t="shared" si="85"/>
        <v>0.41753429141234943</v>
      </c>
      <c r="M539" s="18">
        <f t="shared" si="86"/>
        <v>3.8999999999999998E-3</v>
      </c>
      <c r="N539" s="18">
        <f t="shared" si="87"/>
        <v>1.3370724439440187</v>
      </c>
      <c r="AK539" s="18">
        <f>IF(AND(ISNUMBER(C539),ISNUMBER(ENSO!F539)),C539-ENSO!F539,"")</f>
        <v>0.10999999999999988</v>
      </c>
      <c r="AL539" s="18">
        <f t="shared" si="89"/>
        <v>2002.9583333333333</v>
      </c>
      <c r="AM539" s="18">
        <f t="shared" si="90"/>
        <v>0.44000000000000483</v>
      </c>
    </row>
    <row r="540" spans="1:39">
      <c r="A540" s="18" t="str">
        <f>IF(Volcanic!A540="","",Volcanic!A540)</f>
        <v>1/2003</v>
      </c>
      <c r="B540" s="18">
        <f>IF(ISNUMBER(Volcanic!L540),Volcanic!L540,"")</f>
        <v>2003.0416666666667</v>
      </c>
      <c r="C540" s="21">
        <v>0.85</v>
      </c>
      <c r="D540" s="18">
        <f t="shared" si="88"/>
        <v>1.44</v>
      </c>
      <c r="E540" s="18">
        <f>IF(ISNUMBER(Volcanic!B540),Volcanic!B540,"")</f>
        <v>0.75</v>
      </c>
      <c r="F540" s="18">
        <f>IF(ISNUMBER(Volcanic!C540),Volcanic!C540,"")</f>
        <v>0.42173304638074988</v>
      </c>
      <c r="G540" s="18">
        <f>IF(ISNUMBER(Volcanic!E540),Volcanic!E540,"")</f>
        <v>3.9899999999999996E-3</v>
      </c>
      <c r="H540" s="18">
        <f>IF(ISNUMBER(Volcanic!D540),Volcanic!D540,"")</f>
        <v>0.99</v>
      </c>
      <c r="I540" s="18">
        <f t="shared" si="82"/>
        <v>0.42173304638074988</v>
      </c>
      <c r="J540" s="18">
        <f t="shared" si="83"/>
        <v>3.9899999999999996E-3</v>
      </c>
      <c r="K540" s="18">
        <f t="shared" si="84"/>
        <v>1.44</v>
      </c>
      <c r="L540" s="18">
        <f t="shared" si="85"/>
        <v>0.42173304638074988</v>
      </c>
      <c r="M540" s="18">
        <f t="shared" si="86"/>
        <v>3.9899999999999996E-3</v>
      </c>
      <c r="N540" s="18">
        <f t="shared" si="87"/>
        <v>1.5177624634346167</v>
      </c>
      <c r="AK540" s="18">
        <f>IF(AND(ISNUMBER(C540),ISNUMBER(ENSO!F540)),C540-ENSO!F540,"")</f>
        <v>-5.0000000000000044E-2</v>
      </c>
      <c r="AL540" s="18">
        <f t="shared" si="89"/>
        <v>2003.0416666666667</v>
      </c>
      <c r="AM540" s="18">
        <f t="shared" si="90"/>
        <v>0.75</v>
      </c>
    </row>
    <row r="541" spans="1:39">
      <c r="A541" s="18" t="str">
        <f>IF(Volcanic!A541="","",Volcanic!A541)</f>
        <v>2/2003</v>
      </c>
      <c r="B541" s="18">
        <f>IF(ISNUMBER(Volcanic!L541),Volcanic!L541,"")</f>
        <v>2003.125</v>
      </c>
      <c r="C541" s="21">
        <v>0.49</v>
      </c>
      <c r="D541" s="18">
        <f t="shared" si="88"/>
        <v>1.47</v>
      </c>
      <c r="E541" s="18">
        <f>IF(ISNUMBER(Volcanic!B541),Volcanic!B541,"")</f>
        <v>0.58000000000000007</v>
      </c>
      <c r="F541" s="18">
        <f>IF(ISNUMBER(Volcanic!C541),Volcanic!C541,"")</f>
        <v>0.42461501748300506</v>
      </c>
      <c r="G541" s="18">
        <f>IF(ISNUMBER(Volcanic!E541),Volcanic!E541,"")</f>
        <v>4.0200000000000001E-3</v>
      </c>
      <c r="H541" s="18">
        <f>IF(ISNUMBER(Volcanic!D541),Volcanic!D541,"")</f>
        <v>1.19</v>
      </c>
      <c r="I541" s="18">
        <f t="shared" si="82"/>
        <v>0.42461501748300506</v>
      </c>
      <c r="J541" s="18">
        <f t="shared" si="83"/>
        <v>4.0200000000000001E-3</v>
      </c>
      <c r="K541" s="18">
        <f t="shared" si="84"/>
        <v>1.47</v>
      </c>
      <c r="L541" s="18">
        <f t="shared" si="85"/>
        <v>0.42461501748300506</v>
      </c>
      <c r="M541" s="18">
        <f t="shared" si="86"/>
        <v>4.0200000000000001E-3</v>
      </c>
      <c r="N541" s="18">
        <f t="shared" si="87"/>
        <v>1.5484524829252149</v>
      </c>
      <c r="AK541" s="18">
        <f>IF(AND(ISNUMBER(C541),ISNUMBER(ENSO!F541)),C541-ENSO!F541,"")</f>
        <v>-9.9999999999999978E-2</v>
      </c>
      <c r="AL541" s="18">
        <f t="shared" si="89"/>
        <v>2003.125</v>
      </c>
      <c r="AM541" s="18">
        <f t="shared" si="90"/>
        <v>0.58000000000000007</v>
      </c>
    </row>
    <row r="542" spans="1:39">
      <c r="A542" s="18" t="str">
        <f>IF(Volcanic!A542="","",Volcanic!A542)</f>
        <v>3/2003</v>
      </c>
      <c r="B542" s="18">
        <f>IF(ISNUMBER(Volcanic!L542),Volcanic!L542,"")</f>
        <v>2003.2083333333333</v>
      </c>
      <c r="C542" s="21">
        <v>0.22</v>
      </c>
      <c r="D542" s="18">
        <f t="shared" si="88"/>
        <v>1.19</v>
      </c>
      <c r="E542" s="18">
        <f>IF(ISNUMBER(Volcanic!B542),Volcanic!B542,"")</f>
        <v>0.60000000000000142</v>
      </c>
      <c r="F542" s="18">
        <f>IF(ISNUMBER(Volcanic!C542),Volcanic!C542,"")</f>
        <v>0.42775939831875309</v>
      </c>
      <c r="G542" s="18">
        <f>IF(ISNUMBER(Volcanic!E542),Volcanic!E542,"")</f>
        <v>4.0000000000000001E-3</v>
      </c>
      <c r="H542" s="18">
        <f>IF(ISNUMBER(Volcanic!D542),Volcanic!D542,"")</f>
        <v>1.08</v>
      </c>
      <c r="I542" s="18">
        <f t="shared" si="82"/>
        <v>0.42775939831875309</v>
      </c>
      <c r="J542" s="18">
        <f t="shared" si="83"/>
        <v>4.0000000000000001E-3</v>
      </c>
      <c r="K542" s="18">
        <f t="shared" si="84"/>
        <v>1.19</v>
      </c>
      <c r="L542" s="18">
        <f t="shared" si="85"/>
        <v>0.42775939831875309</v>
      </c>
      <c r="M542" s="18">
        <f t="shared" si="86"/>
        <v>4.0000000000000001E-3</v>
      </c>
      <c r="N542" s="18">
        <f t="shared" si="87"/>
        <v>1.2691425024158129</v>
      </c>
      <c r="AK542" s="18">
        <f>IF(AND(ISNUMBER(C542),ISNUMBER(ENSO!F542)),C542-ENSO!F542,"")</f>
        <v>-0.16</v>
      </c>
      <c r="AL542" s="18">
        <f t="shared" si="89"/>
        <v>2003.2083333333333</v>
      </c>
      <c r="AM542" s="18">
        <f t="shared" si="90"/>
        <v>0.60000000000000142</v>
      </c>
    </row>
    <row r="543" spans="1:39">
      <c r="A543" s="18" t="str">
        <f>IF(Volcanic!A543="","",Volcanic!A543)</f>
        <v>4/2003</v>
      </c>
      <c r="B543" s="18">
        <f>IF(ISNUMBER(Volcanic!L543),Volcanic!L543,"")</f>
        <v>2003.2916666666667</v>
      </c>
      <c r="C543" s="21">
        <v>-0.23</v>
      </c>
      <c r="D543" s="18">
        <f t="shared" si="88"/>
        <v>0.85</v>
      </c>
      <c r="E543" s="18">
        <f>IF(ISNUMBER(Volcanic!B543),Volcanic!B543,"")</f>
        <v>0.54999999999999893</v>
      </c>
      <c r="F543" s="18">
        <f>IF(ISNUMBER(Volcanic!C543),Volcanic!C543,"")</f>
        <v>0.43265404267746627</v>
      </c>
      <c r="G543" s="18">
        <f>IF(ISNUMBER(Volcanic!E543),Volcanic!E543,"")</f>
        <v>3.9100000000000003E-3</v>
      </c>
      <c r="H543" s="18">
        <f>IF(ISNUMBER(Volcanic!D543),Volcanic!D543,"")</f>
        <v>0.9</v>
      </c>
      <c r="I543" s="18">
        <f t="shared" si="82"/>
        <v>0.43265404267746627</v>
      </c>
      <c r="J543" s="18">
        <f t="shared" si="83"/>
        <v>3.9100000000000003E-3</v>
      </c>
      <c r="K543" s="18">
        <f t="shared" si="84"/>
        <v>0.85</v>
      </c>
      <c r="L543" s="18">
        <f t="shared" si="85"/>
        <v>0.43265404267746627</v>
      </c>
      <c r="M543" s="18">
        <f t="shared" si="86"/>
        <v>3.9100000000000003E-3</v>
      </c>
      <c r="N543" s="18">
        <f t="shared" si="87"/>
        <v>0.92983252190641463</v>
      </c>
      <c r="AK543" s="18">
        <f>IF(AND(ISNUMBER(C543),ISNUMBER(ENSO!F543)),C543-ENSO!F543,"")</f>
        <v>-0.22</v>
      </c>
      <c r="AL543" s="18">
        <f t="shared" si="89"/>
        <v>2003.2916666666667</v>
      </c>
      <c r="AM543" s="18">
        <f t="shared" si="90"/>
        <v>0.54999999999999893</v>
      </c>
    </row>
    <row r="544" spans="1:39">
      <c r="A544" s="18" t="str">
        <f>IF(Volcanic!A544="","",Volcanic!A544)</f>
        <v>5/2003</v>
      </c>
      <c r="B544" s="18">
        <f>IF(ISNUMBER(Volcanic!L544),Volcanic!L544,"")</f>
        <v>2003.375</v>
      </c>
      <c r="C544" s="21">
        <v>-0.43</v>
      </c>
      <c r="D544" s="18">
        <f t="shared" si="88"/>
        <v>0.49</v>
      </c>
      <c r="E544" s="18">
        <f>IF(ISNUMBER(Volcanic!B544),Volcanic!B544,"")</f>
        <v>0.60000000000000142</v>
      </c>
      <c r="F544" s="18">
        <f>IF(ISNUMBER(Volcanic!C544),Volcanic!C544,"")</f>
        <v>0.43593332976445326</v>
      </c>
      <c r="G544" s="18">
        <f>IF(ISNUMBER(Volcanic!E544),Volcanic!E544,"")</f>
        <v>4.0899999999999999E-3</v>
      </c>
      <c r="H544" s="18">
        <f>IF(ISNUMBER(Volcanic!D544),Volcanic!D544,"")</f>
        <v>0.59</v>
      </c>
      <c r="I544" s="18">
        <f t="shared" si="82"/>
        <v>0.43593332976445326</v>
      </c>
      <c r="J544" s="18">
        <f t="shared" si="83"/>
        <v>4.0899999999999999E-3</v>
      </c>
      <c r="K544" s="18">
        <f t="shared" si="84"/>
        <v>0.49</v>
      </c>
      <c r="L544" s="18">
        <f t="shared" si="85"/>
        <v>0.43593332976445326</v>
      </c>
      <c r="M544" s="18">
        <f t="shared" si="86"/>
        <v>4.0899999999999999E-3</v>
      </c>
      <c r="N544" s="18">
        <f t="shared" si="87"/>
        <v>0.57052254139701275</v>
      </c>
      <c r="AK544" s="18">
        <f>IF(AND(ISNUMBER(C544),ISNUMBER(ENSO!F544)),C544-ENSO!F544,"")</f>
        <v>-0.25</v>
      </c>
      <c r="AL544" s="18">
        <f t="shared" si="89"/>
        <v>2003.375</v>
      </c>
      <c r="AM544" s="18">
        <f t="shared" si="90"/>
        <v>0.60000000000000142</v>
      </c>
    </row>
    <row r="545" spans="1:39">
      <c r="A545" s="18" t="str">
        <f>IF(Volcanic!A545="","",Volcanic!A545)</f>
        <v>6/2003</v>
      </c>
      <c r="B545" s="18">
        <f>IF(ISNUMBER(Volcanic!L545),Volcanic!L545,"")</f>
        <v>2003.4583333333333</v>
      </c>
      <c r="C545" s="21">
        <v>-0.28999999999999998</v>
      </c>
      <c r="D545" s="18">
        <f t="shared" si="88"/>
        <v>0.22</v>
      </c>
      <c r="E545" s="18">
        <f>IF(ISNUMBER(Volcanic!B545),Volcanic!B545,"")</f>
        <v>0.47999999999999865</v>
      </c>
      <c r="F545" s="18">
        <f>IF(ISNUMBER(Volcanic!C545),Volcanic!C545,"")</f>
        <v>0.43471400051463627</v>
      </c>
      <c r="G545" s="18">
        <f>IF(ISNUMBER(Volcanic!E545),Volcanic!E545,"")</f>
        <v>4.3499999999999997E-3</v>
      </c>
      <c r="H545" s="18">
        <f>IF(ISNUMBER(Volcanic!D545),Volcanic!D545,"")</f>
        <v>0.38</v>
      </c>
      <c r="I545" s="18">
        <f t="shared" si="82"/>
        <v>0.43471400051463627</v>
      </c>
      <c r="J545" s="18">
        <f t="shared" si="83"/>
        <v>4.3499999999999997E-3</v>
      </c>
      <c r="K545" s="18">
        <f t="shared" si="84"/>
        <v>0.22</v>
      </c>
      <c r="L545" s="18">
        <f t="shared" si="85"/>
        <v>0.43471400051463627</v>
      </c>
      <c r="M545" s="18">
        <f t="shared" si="86"/>
        <v>4.3499999999999997E-3</v>
      </c>
      <c r="N545" s="18">
        <f t="shared" si="87"/>
        <v>0.30121256088761084</v>
      </c>
      <c r="AK545" s="18">
        <f>IF(AND(ISNUMBER(C545),ISNUMBER(ENSO!F545)),C545-ENSO!F545,"")</f>
        <v>-0.15999999999999998</v>
      </c>
      <c r="AL545" s="18">
        <f t="shared" si="89"/>
        <v>2003.4583333333333</v>
      </c>
      <c r="AM545" s="18">
        <f t="shared" si="90"/>
        <v>0.47999999999999865</v>
      </c>
    </row>
    <row r="546" spans="1:39">
      <c r="A546" s="18" t="str">
        <f>IF(Volcanic!A546="","",Volcanic!A546)</f>
        <v>7/2003</v>
      </c>
      <c r="B546" s="18">
        <f>IF(ISNUMBER(Volcanic!L546),Volcanic!L546,"")</f>
        <v>2003.5416666666667</v>
      </c>
      <c r="C546" s="21">
        <v>0.01</v>
      </c>
      <c r="D546" s="18">
        <f t="shared" si="88"/>
        <v>-0.23</v>
      </c>
      <c r="E546" s="18">
        <f>IF(ISNUMBER(Volcanic!B546),Volcanic!B546,"")</f>
        <v>0.58000000000000007</v>
      </c>
      <c r="F546" s="18">
        <f>IF(ISNUMBER(Volcanic!C546),Volcanic!C546,"")</f>
        <v>0.42867840994823009</v>
      </c>
      <c r="G546" s="18">
        <f>IF(ISNUMBER(Volcanic!E546),Volcanic!E546,"")</f>
        <v>4.4900000000000001E-3</v>
      </c>
      <c r="H546" s="18">
        <f>IF(ISNUMBER(Volcanic!D546),Volcanic!D546,"")</f>
        <v>-0.01</v>
      </c>
      <c r="I546" s="18">
        <f t="shared" si="82"/>
        <v>0.42867840994823009</v>
      </c>
      <c r="J546" s="18">
        <f t="shared" si="83"/>
        <v>4.4900000000000001E-3</v>
      </c>
      <c r="K546" s="18">
        <f t="shared" si="84"/>
        <v>-0.23</v>
      </c>
      <c r="L546" s="18">
        <f t="shared" si="85"/>
        <v>0.42867840994823009</v>
      </c>
      <c r="M546" s="18">
        <f t="shared" si="86"/>
        <v>4.4900000000000001E-3</v>
      </c>
      <c r="N546" s="18">
        <f t="shared" si="87"/>
        <v>-0.14809741962178749</v>
      </c>
      <c r="AK546" s="18">
        <f>IF(AND(ISNUMBER(C546),ISNUMBER(ENSO!F546)),C546-ENSO!F546,"")</f>
        <v>-0.08</v>
      </c>
      <c r="AL546" s="18">
        <f t="shared" si="89"/>
        <v>2003.5416666666667</v>
      </c>
      <c r="AM546" s="18">
        <f t="shared" si="90"/>
        <v>0.58000000000000007</v>
      </c>
    </row>
    <row r="547" spans="1:39">
      <c r="A547" s="18" t="str">
        <f>IF(Volcanic!A547="","",Volcanic!A547)</f>
        <v>8/2003</v>
      </c>
      <c r="B547" s="18">
        <f>IF(ISNUMBER(Volcanic!L547),Volcanic!L547,"")</f>
        <v>2003.625</v>
      </c>
      <c r="C547" s="21">
        <v>0.16</v>
      </c>
      <c r="D547" s="18">
        <f t="shared" si="88"/>
        <v>-0.43</v>
      </c>
      <c r="E547" s="18">
        <f>IF(ISNUMBER(Volcanic!B547),Volcanic!B547,"")</f>
        <v>0.64000000000000234</v>
      </c>
      <c r="F547" s="18">
        <f>IF(ISNUMBER(Volcanic!C547),Volcanic!C547,"")</f>
        <v>0.41980852893927539</v>
      </c>
      <c r="G547" s="18">
        <f>IF(ISNUMBER(Volcanic!E547),Volcanic!E547,"")</f>
        <v>4.81E-3</v>
      </c>
      <c r="H547" s="18">
        <f>IF(ISNUMBER(Volcanic!D547),Volcanic!D547,"")</f>
        <v>-0.18</v>
      </c>
      <c r="I547" s="18">
        <f t="shared" si="82"/>
        <v>0.41980852893927539</v>
      </c>
      <c r="J547" s="18">
        <f t="shared" si="83"/>
        <v>4.81E-3</v>
      </c>
      <c r="K547" s="18">
        <f t="shared" si="84"/>
        <v>-0.43</v>
      </c>
      <c r="L547" s="18">
        <f t="shared" si="85"/>
        <v>0.41980852893927539</v>
      </c>
      <c r="M547" s="18">
        <f t="shared" si="86"/>
        <v>4.81E-3</v>
      </c>
      <c r="N547" s="18">
        <f t="shared" si="87"/>
        <v>-0.34740740013118937</v>
      </c>
      <c r="AK547" s="18">
        <f>IF(AND(ISNUMBER(C547),ISNUMBER(ENSO!F547)),C547-ENSO!F547,"")</f>
        <v>1.999999999999999E-2</v>
      </c>
      <c r="AL547" s="18">
        <f t="shared" si="89"/>
        <v>2003.625</v>
      </c>
      <c r="AM547" s="18">
        <f t="shared" si="90"/>
        <v>0.64000000000000234</v>
      </c>
    </row>
    <row r="548" spans="1:39">
      <c r="A548" s="18" t="str">
        <f>IF(Volcanic!A548="","",Volcanic!A548)</f>
        <v>9/2003</v>
      </c>
      <c r="B548" s="18">
        <f>IF(ISNUMBER(Volcanic!L548),Volcanic!L548,"")</f>
        <v>2003.7083333333333</v>
      </c>
      <c r="C548" s="21">
        <v>0.19</v>
      </c>
      <c r="D548" s="18">
        <f t="shared" si="88"/>
        <v>-0.28999999999999998</v>
      </c>
      <c r="E548" s="18">
        <f>IF(ISNUMBER(Volcanic!B548),Volcanic!B548,"")</f>
        <v>0.62000000000000099</v>
      </c>
      <c r="F548" s="18">
        <f>IF(ISNUMBER(Volcanic!C548),Volcanic!C548,"")</f>
        <v>0.41506326146026928</v>
      </c>
      <c r="G548" s="18">
        <f>IF(ISNUMBER(Volcanic!E548),Volcanic!E548,"")</f>
        <v>4.9300000000000004E-3</v>
      </c>
      <c r="H548" s="18">
        <f>IF(ISNUMBER(Volcanic!D548),Volcanic!D548,"")</f>
        <v>-0.13</v>
      </c>
      <c r="I548" s="18">
        <f t="shared" si="82"/>
        <v>0.41506326146026928</v>
      </c>
      <c r="J548" s="18">
        <f t="shared" si="83"/>
        <v>4.9300000000000004E-3</v>
      </c>
      <c r="K548" s="18">
        <f t="shared" si="84"/>
        <v>-0.28999999999999998</v>
      </c>
      <c r="L548" s="18">
        <f t="shared" si="85"/>
        <v>0.41506326146026928</v>
      </c>
      <c r="M548" s="18">
        <f t="shared" si="86"/>
        <v>4.9300000000000004E-3</v>
      </c>
      <c r="N548" s="18">
        <f t="shared" si="87"/>
        <v>-0.20671738064059125</v>
      </c>
      <c r="AK548" s="18">
        <f>IF(AND(ISNUMBER(C548),ISNUMBER(ENSO!F548)),C548-ENSO!F548,"")</f>
        <v>-4.0000000000000008E-2</v>
      </c>
      <c r="AL548" s="18">
        <f t="shared" si="89"/>
        <v>2003.7083333333333</v>
      </c>
      <c r="AM548" s="18">
        <f t="shared" si="90"/>
        <v>0.62000000000000099</v>
      </c>
    </row>
    <row r="549" spans="1:39">
      <c r="A549" s="18" t="str">
        <f>IF(Volcanic!A549="","",Volcanic!A549)</f>
        <v>10/2003</v>
      </c>
      <c r="B549" s="18">
        <f>IF(ISNUMBER(Volcanic!L549),Volcanic!L549,"")</f>
        <v>2003.7916666666667</v>
      </c>
      <c r="C549" s="21">
        <v>0.22</v>
      </c>
      <c r="D549" s="18">
        <f t="shared" si="88"/>
        <v>0.01</v>
      </c>
      <c r="E549" s="18">
        <f>IF(ISNUMBER(Volcanic!B549),Volcanic!B549,"")</f>
        <v>0.72000000000000242</v>
      </c>
      <c r="F549" s="18">
        <f>IF(ISNUMBER(Volcanic!C549),Volcanic!C549,"")</f>
        <v>0.41494732802090711</v>
      </c>
      <c r="G549" s="18">
        <f>IF(ISNUMBER(Volcanic!E549),Volcanic!E549,"")</f>
        <v>5.0400000000000002E-3</v>
      </c>
      <c r="H549" s="18">
        <f>IF(ISNUMBER(Volcanic!D549),Volcanic!D549,"")</f>
        <v>0.09</v>
      </c>
      <c r="I549" s="18">
        <f t="shared" si="82"/>
        <v>0.41494732802090711</v>
      </c>
      <c r="J549" s="18">
        <f t="shared" si="83"/>
        <v>5.0400000000000002E-3</v>
      </c>
      <c r="K549" s="18">
        <f t="shared" si="84"/>
        <v>0.01</v>
      </c>
      <c r="L549" s="18">
        <f t="shared" si="85"/>
        <v>0.41494732802090711</v>
      </c>
      <c r="M549" s="18">
        <f t="shared" si="86"/>
        <v>5.0400000000000002E-3</v>
      </c>
      <c r="N549" s="18">
        <f t="shared" si="87"/>
        <v>9.3972638850010379E-2</v>
      </c>
      <c r="AK549" s="18">
        <f>IF(AND(ISNUMBER(C549),ISNUMBER(ENSO!F549)),C549-ENSO!F549,"")</f>
        <v>-1.0000000000000009E-2</v>
      </c>
      <c r="AL549" s="18">
        <f t="shared" si="89"/>
        <v>2003.7916666666667</v>
      </c>
      <c r="AM549" s="18">
        <f t="shared" si="90"/>
        <v>0.72000000000000242</v>
      </c>
    </row>
    <row r="550" spans="1:39">
      <c r="A550" s="18" t="str">
        <f>IF(Volcanic!A550="","",Volcanic!A550)</f>
        <v>11/2003</v>
      </c>
      <c r="B550" s="18">
        <f>IF(ISNUMBER(Volcanic!L550),Volcanic!L550,"")</f>
        <v>2003.875</v>
      </c>
      <c r="C550" s="21">
        <v>0.32</v>
      </c>
      <c r="D550" s="18">
        <f t="shared" si="88"/>
        <v>0.16</v>
      </c>
      <c r="E550" s="18">
        <f>IF(ISNUMBER(Volcanic!B550),Volcanic!B550,"")</f>
        <v>0.52999999999999758</v>
      </c>
      <c r="F550" s="18">
        <f>IF(ISNUMBER(Volcanic!C550),Volcanic!C550,"")</f>
        <v>0.42084808719949091</v>
      </c>
      <c r="G550" s="18">
        <f>IF(ISNUMBER(Volcanic!E550),Volcanic!E550,"")</f>
        <v>4.7200000000000002E-3</v>
      </c>
      <c r="H550" s="18">
        <f>IF(ISNUMBER(Volcanic!D550),Volcanic!D550,"")</f>
        <v>0.14000000000000001</v>
      </c>
      <c r="I550" s="18">
        <f t="shared" si="82"/>
        <v>0.42084808719949091</v>
      </c>
      <c r="J550" s="18">
        <f t="shared" si="83"/>
        <v>4.7200000000000002E-3</v>
      </c>
      <c r="K550" s="18">
        <f t="shared" si="84"/>
        <v>0.16</v>
      </c>
      <c r="L550" s="18">
        <f t="shared" si="85"/>
        <v>0.42084808719949091</v>
      </c>
      <c r="M550" s="18">
        <f t="shared" si="86"/>
        <v>4.7200000000000002E-3</v>
      </c>
      <c r="N550" s="18">
        <f t="shared" si="87"/>
        <v>0.24466265834060849</v>
      </c>
      <c r="AK550" s="18">
        <f>IF(AND(ISNUMBER(C550),ISNUMBER(ENSO!F550)),C550-ENSO!F550,"")</f>
        <v>3.0000000000000027E-2</v>
      </c>
      <c r="AL550" s="18">
        <f t="shared" si="89"/>
        <v>2003.875</v>
      </c>
      <c r="AM550" s="18">
        <f t="shared" si="90"/>
        <v>0.52999999999999758</v>
      </c>
    </row>
    <row r="551" spans="1:39">
      <c r="A551" s="18" t="str">
        <f>IF(Volcanic!A551="","",Volcanic!A551)</f>
        <v>12/2003</v>
      </c>
      <c r="B551" s="18">
        <f>IF(ISNUMBER(Volcanic!L551),Volcanic!L551,"")</f>
        <v>2003.9583333333333</v>
      </c>
      <c r="C551" s="21">
        <v>0.28999999999999998</v>
      </c>
      <c r="D551" s="18">
        <f t="shared" si="88"/>
        <v>0.19</v>
      </c>
      <c r="E551" s="18">
        <f>IF(ISNUMBER(Volcanic!B551),Volcanic!B551,"")</f>
        <v>0.75</v>
      </c>
      <c r="F551" s="18">
        <f>IF(ISNUMBER(Volcanic!C551),Volcanic!C551,"")</f>
        <v>0.42595796965197702</v>
      </c>
      <c r="G551" s="18">
        <f>IF(ISNUMBER(Volcanic!E551),Volcanic!E551,"")</f>
        <v>4.5900000000000003E-3</v>
      </c>
      <c r="H551" s="18">
        <f>IF(ISNUMBER(Volcanic!D551),Volcanic!D551,"")</f>
        <v>0.23</v>
      </c>
      <c r="I551" s="18">
        <f t="shared" si="82"/>
        <v>0.42595796965197702</v>
      </c>
      <c r="J551" s="18">
        <f t="shared" si="83"/>
        <v>4.5900000000000003E-3</v>
      </c>
      <c r="K551" s="18">
        <f t="shared" si="84"/>
        <v>0.19</v>
      </c>
      <c r="L551" s="18">
        <f t="shared" si="85"/>
        <v>0.42595796965197702</v>
      </c>
      <c r="M551" s="18">
        <f t="shared" si="86"/>
        <v>4.5900000000000003E-3</v>
      </c>
      <c r="N551" s="18">
        <f t="shared" si="87"/>
        <v>0.27535267783120659</v>
      </c>
      <c r="AK551" s="18">
        <f>IF(AND(ISNUMBER(C551),ISNUMBER(ENSO!F551)),C551-ENSO!F551,"")</f>
        <v>0</v>
      </c>
      <c r="AL551" s="18">
        <f t="shared" si="89"/>
        <v>2003.9583333333333</v>
      </c>
      <c r="AM551" s="18">
        <f t="shared" si="90"/>
        <v>0.75</v>
      </c>
    </row>
    <row r="552" spans="1:39">
      <c r="A552" s="18" t="str">
        <f>IF(Volcanic!A552="","",Volcanic!A552)</f>
        <v>1/2004</v>
      </c>
      <c r="B552" s="18">
        <f>IF(ISNUMBER(Volcanic!L552),Volcanic!L552,"")</f>
        <v>2004.0416666666667</v>
      </c>
      <c r="C552" s="21">
        <v>0.25</v>
      </c>
      <c r="D552" s="18">
        <f t="shared" si="88"/>
        <v>0.22</v>
      </c>
      <c r="E552" s="18">
        <f>IF(ISNUMBER(Volcanic!B552),Volcanic!B552,"")</f>
        <v>0.58000000000000007</v>
      </c>
      <c r="F552" s="18">
        <f>IF(ISNUMBER(Volcanic!C552),Volcanic!C552,"")</f>
        <v>0.42978810183201854</v>
      </c>
      <c r="G552" s="18">
        <f>IF(ISNUMBER(Volcanic!E552),Volcanic!E552,"")</f>
        <v>4.7400000000000003E-3</v>
      </c>
      <c r="H552" s="18">
        <f>IF(ISNUMBER(Volcanic!D552),Volcanic!D552,"")</f>
        <v>0.23</v>
      </c>
      <c r="I552" s="18">
        <f t="shared" si="82"/>
        <v>0.42978810183201854</v>
      </c>
      <c r="J552" s="18">
        <f t="shared" si="83"/>
        <v>4.7400000000000003E-3</v>
      </c>
      <c r="K552" s="18">
        <f t="shared" si="84"/>
        <v>0.22</v>
      </c>
      <c r="L552" s="18">
        <f t="shared" si="85"/>
        <v>0.42978810183201854</v>
      </c>
      <c r="M552" s="18">
        <f t="shared" si="86"/>
        <v>4.7400000000000003E-3</v>
      </c>
      <c r="N552" s="18">
        <f t="shared" si="87"/>
        <v>0.30604269732180467</v>
      </c>
      <c r="AK552" s="18">
        <f>IF(AND(ISNUMBER(C552),ISNUMBER(ENSO!F552)),C552-ENSO!F552,"")</f>
        <v>-9.0000000000000024E-2</v>
      </c>
      <c r="AL552" s="18">
        <f t="shared" si="89"/>
        <v>2004.0416666666667</v>
      </c>
      <c r="AM552" s="18">
        <f t="shared" si="90"/>
        <v>0.58000000000000007</v>
      </c>
    </row>
    <row r="553" spans="1:39">
      <c r="A553" s="18" t="str">
        <f>IF(Volcanic!A553="","",Volcanic!A553)</f>
        <v>2/2004</v>
      </c>
      <c r="B553" s="18">
        <f>IF(ISNUMBER(Volcanic!L553),Volcanic!L553,"")</f>
        <v>2004.125</v>
      </c>
      <c r="C553" s="21">
        <v>0.14000000000000001</v>
      </c>
      <c r="D553" s="18">
        <f t="shared" si="88"/>
        <v>0.32</v>
      </c>
      <c r="E553" s="18">
        <f>IF(ISNUMBER(Volcanic!B553),Volcanic!B553,"")</f>
        <v>0.72000000000000242</v>
      </c>
      <c r="F553" s="18">
        <f>IF(ISNUMBER(Volcanic!C553),Volcanic!C553,"")</f>
        <v>0.43315022733337655</v>
      </c>
      <c r="G553" s="18">
        <f>IF(ISNUMBER(Volcanic!E553),Volcanic!E553,"")</f>
        <v>4.8399999999999997E-3</v>
      </c>
      <c r="H553" s="18">
        <f>IF(ISNUMBER(Volcanic!D553),Volcanic!D553,"")</f>
        <v>0.28999999999999998</v>
      </c>
      <c r="I553" s="18">
        <f t="shared" si="82"/>
        <v>0.43315022733337655</v>
      </c>
      <c r="J553" s="18">
        <f t="shared" si="83"/>
        <v>4.8399999999999997E-3</v>
      </c>
      <c r="K553" s="18">
        <f t="shared" si="84"/>
        <v>0.32</v>
      </c>
      <c r="L553" s="18">
        <f t="shared" si="85"/>
        <v>0.43315022733337655</v>
      </c>
      <c r="M553" s="18">
        <f t="shared" si="86"/>
        <v>4.8399999999999997E-3</v>
      </c>
      <c r="N553" s="18">
        <f t="shared" si="87"/>
        <v>0.40673271681240636</v>
      </c>
      <c r="AK553" s="18">
        <f>IF(AND(ISNUMBER(C553),ISNUMBER(ENSO!F553)),C553-ENSO!F553,"")</f>
        <v>-0.13</v>
      </c>
      <c r="AL553" s="18">
        <f t="shared" si="89"/>
        <v>2004.125</v>
      </c>
      <c r="AM553" s="18">
        <f t="shared" si="90"/>
        <v>0.72000000000000242</v>
      </c>
    </row>
    <row r="554" spans="1:39">
      <c r="A554" s="18" t="str">
        <f>IF(Volcanic!A554="","",Volcanic!A554)</f>
        <v>3/2004</v>
      </c>
      <c r="B554" s="18">
        <f>IF(ISNUMBER(Volcanic!L554),Volcanic!L554,"")</f>
        <v>2004.2083333333333</v>
      </c>
      <c r="C554" s="21">
        <v>0.11</v>
      </c>
      <c r="D554" s="18">
        <f t="shared" si="88"/>
        <v>0.28999999999999998</v>
      </c>
      <c r="E554" s="18">
        <f>IF(ISNUMBER(Volcanic!B554),Volcanic!B554,"")</f>
        <v>0.63000000000000256</v>
      </c>
      <c r="F554" s="18">
        <f>IF(ISNUMBER(Volcanic!C554),Volcanic!C554,"")</f>
        <v>0.4369993981425544</v>
      </c>
      <c r="G554" s="18">
        <f>IF(ISNUMBER(Volcanic!E554),Volcanic!E554,"")</f>
        <v>5.0499999999999998E-3</v>
      </c>
      <c r="H554" s="18">
        <f>IF(ISNUMBER(Volcanic!D554),Volcanic!D554,"")</f>
        <v>0.28999999999999998</v>
      </c>
      <c r="I554" s="18">
        <f t="shared" si="82"/>
        <v>0.4369993981425544</v>
      </c>
      <c r="J554" s="18">
        <f t="shared" si="83"/>
        <v>5.0499999999999998E-3</v>
      </c>
      <c r="K554" s="18">
        <f t="shared" si="84"/>
        <v>0.28999999999999998</v>
      </c>
      <c r="L554" s="18">
        <f t="shared" si="85"/>
        <v>0.4369993981425544</v>
      </c>
      <c r="M554" s="18">
        <f t="shared" si="86"/>
        <v>5.0499999999999998E-3</v>
      </c>
      <c r="N554" s="18">
        <f t="shared" si="87"/>
        <v>0.37742273630300444</v>
      </c>
      <c r="AK554" s="18">
        <f>IF(AND(ISNUMBER(C554),ISNUMBER(ENSO!F554)),C554-ENSO!F554,"")</f>
        <v>-0.08</v>
      </c>
      <c r="AL554" s="18">
        <f t="shared" si="89"/>
        <v>2004.2083333333333</v>
      </c>
      <c r="AM554" s="18">
        <f t="shared" si="90"/>
        <v>0.63000000000000256</v>
      </c>
    </row>
    <row r="555" spans="1:39">
      <c r="A555" s="18" t="str">
        <f>IF(Volcanic!A555="","",Volcanic!A555)</f>
        <v>4/2004</v>
      </c>
      <c r="B555" s="18">
        <f>IF(ISNUMBER(Volcanic!L555),Volcanic!L555,"")</f>
        <v>2004.2916666666667</v>
      </c>
      <c r="C555" s="21">
        <v>0.16</v>
      </c>
      <c r="D555" s="18">
        <f t="shared" si="88"/>
        <v>0.25</v>
      </c>
      <c r="E555" s="18">
        <f>IF(ISNUMBER(Volcanic!B555),Volcanic!B555,"")</f>
        <v>0.61000000000000121</v>
      </c>
      <c r="F555" s="18">
        <f>IF(ISNUMBER(Volcanic!C555),Volcanic!C555,"")</f>
        <v>0.44262128166655951</v>
      </c>
      <c r="G555" s="18">
        <f>IF(ISNUMBER(Volcanic!E555),Volcanic!E555,"")</f>
        <v>5.13E-3</v>
      </c>
      <c r="H555" s="18">
        <f>IF(ISNUMBER(Volcanic!D555),Volcanic!D555,"")</f>
        <v>0.34</v>
      </c>
      <c r="I555" s="18">
        <f t="shared" si="82"/>
        <v>0.44262128166655951</v>
      </c>
      <c r="J555" s="18">
        <f t="shared" si="83"/>
        <v>5.13E-3</v>
      </c>
      <c r="K555" s="18">
        <f t="shared" si="84"/>
        <v>0.25</v>
      </c>
      <c r="L555" s="18">
        <f t="shared" si="85"/>
        <v>0.44262128166655951</v>
      </c>
      <c r="M555" s="18">
        <f t="shared" si="86"/>
        <v>5.13E-3</v>
      </c>
      <c r="N555" s="18">
        <f t="shared" si="87"/>
        <v>0.33811275579360256</v>
      </c>
      <c r="AK555" s="18">
        <f>IF(AND(ISNUMBER(C555),ISNUMBER(ENSO!F555)),C555-ENSO!F555,"")</f>
        <v>0.06</v>
      </c>
      <c r="AL555" s="18">
        <f t="shared" si="89"/>
        <v>2004.2916666666667</v>
      </c>
      <c r="AM555" s="18">
        <f t="shared" si="90"/>
        <v>0.61000000000000121</v>
      </c>
    </row>
    <row r="556" spans="1:39">
      <c r="A556" s="18" t="str">
        <f>IF(Volcanic!A556="","",Volcanic!A556)</f>
        <v>5/2004</v>
      </c>
      <c r="B556" s="18">
        <f>IF(ISNUMBER(Volcanic!L556),Volcanic!L556,"")</f>
        <v>2004.375</v>
      </c>
      <c r="C556" s="21">
        <v>0.25</v>
      </c>
      <c r="D556" s="18">
        <f t="shared" si="88"/>
        <v>0.14000000000000001</v>
      </c>
      <c r="E556" s="18">
        <f>IF(ISNUMBER(Volcanic!B556),Volcanic!B556,"")</f>
        <v>0.36999999999999744</v>
      </c>
      <c r="F556" s="18">
        <f>IF(ISNUMBER(Volcanic!C556),Volcanic!C556,"")</f>
        <v>0.44360665147561484</v>
      </c>
      <c r="G556" s="18">
        <f>IF(ISNUMBER(Volcanic!E556),Volcanic!E556,"")</f>
        <v>5.1599999999999997E-3</v>
      </c>
      <c r="H556" s="18">
        <f>IF(ISNUMBER(Volcanic!D556),Volcanic!D556,"")</f>
        <v>0.27</v>
      </c>
      <c r="I556" s="18">
        <f t="shared" si="82"/>
        <v>0.44360665147561484</v>
      </c>
      <c r="J556" s="18">
        <f t="shared" si="83"/>
        <v>5.1599999999999997E-3</v>
      </c>
      <c r="K556" s="18">
        <f t="shared" si="84"/>
        <v>0.14000000000000001</v>
      </c>
      <c r="L556" s="18">
        <f t="shared" si="85"/>
        <v>0.44360665147561484</v>
      </c>
      <c r="M556" s="18">
        <f t="shared" si="86"/>
        <v>5.1599999999999997E-3</v>
      </c>
      <c r="N556" s="18">
        <f t="shared" si="87"/>
        <v>0.22880277528420068</v>
      </c>
      <c r="AK556" s="18">
        <f>IF(AND(ISNUMBER(C556),ISNUMBER(ENSO!F556)),C556-ENSO!F556,"")</f>
        <v>0.13</v>
      </c>
      <c r="AL556" s="18">
        <f t="shared" si="89"/>
        <v>2004.375</v>
      </c>
      <c r="AM556" s="18">
        <f t="shared" si="90"/>
        <v>0.36999999999999744</v>
      </c>
    </row>
    <row r="557" spans="1:39">
      <c r="A557" s="18" t="str">
        <f>IF(Volcanic!A557="","",Volcanic!A557)</f>
        <v>6/2004</v>
      </c>
      <c r="B557" s="18">
        <f>IF(ISNUMBER(Volcanic!L557),Volcanic!L557,"")</f>
        <v>2004.4583333333333</v>
      </c>
      <c r="C557" s="21">
        <v>0.45</v>
      </c>
      <c r="D557" s="18">
        <f t="shared" si="88"/>
        <v>0.11</v>
      </c>
      <c r="E557" s="18">
        <f>IF(ISNUMBER(Volcanic!B557),Volcanic!B557,"")</f>
        <v>0.44000000000000483</v>
      </c>
      <c r="F557" s="18">
        <f>IF(ISNUMBER(Volcanic!C557),Volcanic!C557,"")</f>
        <v>0.44007895337646558</v>
      </c>
      <c r="G557" s="18">
        <f>IF(ISNUMBER(Volcanic!E557),Volcanic!E557,"")</f>
        <v>5.0000000000000001E-3</v>
      </c>
      <c r="H557" s="18">
        <f>IF(ISNUMBER(Volcanic!D557),Volcanic!D557,"")</f>
        <v>0.19</v>
      </c>
      <c r="I557" s="18">
        <f t="shared" si="82"/>
        <v>0.44007895337646558</v>
      </c>
      <c r="J557" s="18">
        <f t="shared" si="83"/>
        <v>5.0000000000000001E-3</v>
      </c>
      <c r="K557" s="18">
        <f t="shared" si="84"/>
        <v>0.11</v>
      </c>
      <c r="L557" s="18">
        <f t="shared" si="85"/>
        <v>0.44007895337646558</v>
      </c>
      <c r="M557" s="18">
        <f t="shared" si="86"/>
        <v>5.0000000000000001E-3</v>
      </c>
      <c r="N557" s="18">
        <f t="shared" si="87"/>
        <v>0.19949279477479875</v>
      </c>
      <c r="AK557" s="18">
        <f>IF(AND(ISNUMBER(C557),ISNUMBER(ENSO!F557)),C557-ENSO!F557,"")</f>
        <v>0.23</v>
      </c>
      <c r="AL557" s="18">
        <f t="shared" si="89"/>
        <v>2004.4583333333333</v>
      </c>
      <c r="AM557" s="18">
        <f t="shared" si="90"/>
        <v>0.44000000000000483</v>
      </c>
    </row>
    <row r="558" spans="1:39">
      <c r="A558" s="18" t="str">
        <f>IF(Volcanic!A558="","",Volcanic!A558)</f>
        <v>7/2004</v>
      </c>
      <c r="B558" s="18">
        <f>IF(ISNUMBER(Volcanic!L558),Volcanic!L558,"")</f>
        <v>2004.5416666666667</v>
      </c>
      <c r="C558" s="21">
        <v>0.66</v>
      </c>
      <c r="D558" s="18">
        <f t="shared" si="88"/>
        <v>0.16</v>
      </c>
      <c r="E558" s="18">
        <f>IF(ISNUMBER(Volcanic!B558),Volcanic!B558,"")</f>
        <v>0.25999999999999979</v>
      </c>
      <c r="F558" s="18">
        <f>IF(ISNUMBER(Volcanic!C558),Volcanic!C558,"")</f>
        <v>0.43162295971329212</v>
      </c>
      <c r="G558" s="18">
        <f>IF(ISNUMBER(Volcanic!E558),Volcanic!E558,"")</f>
        <v>4.7699999999999999E-3</v>
      </c>
      <c r="H558" s="18">
        <f>IF(ISNUMBER(Volcanic!D558),Volcanic!D558,"")</f>
        <v>0.1</v>
      </c>
      <c r="I558" s="18">
        <f t="shared" si="82"/>
        <v>0.43162295971329212</v>
      </c>
      <c r="J558" s="18">
        <f t="shared" si="83"/>
        <v>4.7699999999999999E-3</v>
      </c>
      <c r="K558" s="18">
        <f t="shared" si="84"/>
        <v>0.16</v>
      </c>
      <c r="L558" s="18">
        <f t="shared" si="85"/>
        <v>0.43162295971329212</v>
      </c>
      <c r="M558" s="18">
        <f t="shared" si="86"/>
        <v>4.7699999999999999E-3</v>
      </c>
      <c r="N558" s="18">
        <f t="shared" si="87"/>
        <v>0.25018281426540045</v>
      </c>
      <c r="AK558" s="18">
        <f>IF(AND(ISNUMBER(C558),ISNUMBER(ENSO!F558)),C558-ENSO!F558,"")</f>
        <v>0.27</v>
      </c>
      <c r="AL558" s="18">
        <f t="shared" si="89"/>
        <v>2004.5416666666667</v>
      </c>
      <c r="AM558" s="18">
        <f t="shared" si="90"/>
        <v>0.25999999999999979</v>
      </c>
    </row>
    <row r="559" spans="1:39">
      <c r="A559" s="18" t="str">
        <f>IF(Volcanic!A559="","",Volcanic!A559)</f>
        <v>8/2004</v>
      </c>
      <c r="B559" s="18">
        <f>IF(ISNUMBER(Volcanic!L559),Volcanic!L559,"")</f>
        <v>2004.625</v>
      </c>
      <c r="C559" s="21">
        <v>0.82</v>
      </c>
      <c r="D559" s="18">
        <f t="shared" si="88"/>
        <v>0.25</v>
      </c>
      <c r="E559" s="18">
        <f>IF(ISNUMBER(Volcanic!B559),Volcanic!B559,"")</f>
        <v>0.44999999999999751</v>
      </c>
      <c r="F559" s="18">
        <f>IF(ISNUMBER(Volcanic!C559),Volcanic!C559,"")</f>
        <v>0.42595796965197702</v>
      </c>
      <c r="G559" s="18">
        <f>IF(ISNUMBER(Volcanic!E559),Volcanic!E559,"")</f>
        <v>4.6600000000000001E-3</v>
      </c>
      <c r="H559" s="18">
        <f>IF(ISNUMBER(Volcanic!D559),Volcanic!D559,"")</f>
        <v>0.12</v>
      </c>
      <c r="I559" s="18">
        <f t="shared" si="82"/>
        <v>0.42595796965197702</v>
      </c>
      <c r="J559" s="18">
        <f t="shared" si="83"/>
        <v>4.6600000000000001E-3</v>
      </c>
      <c r="K559" s="18">
        <f t="shared" si="84"/>
        <v>0.25</v>
      </c>
      <c r="L559" s="18">
        <f t="shared" si="85"/>
        <v>0.42595796965197702</v>
      </c>
      <c r="M559" s="18">
        <f t="shared" si="86"/>
        <v>4.6600000000000001E-3</v>
      </c>
      <c r="N559" s="18">
        <f t="shared" si="87"/>
        <v>0.34087283375599853</v>
      </c>
      <c r="AK559" s="18">
        <f>IF(AND(ISNUMBER(C559),ISNUMBER(ENSO!F559)),C559-ENSO!F559,"")</f>
        <v>0.27999999999999992</v>
      </c>
      <c r="AL559" s="18">
        <f t="shared" si="89"/>
        <v>2004.625</v>
      </c>
      <c r="AM559" s="18">
        <f t="shared" si="90"/>
        <v>0.44999999999999751</v>
      </c>
    </row>
    <row r="560" spans="1:39">
      <c r="A560" s="18" t="str">
        <f>IF(Volcanic!A560="","",Volcanic!A560)</f>
        <v>9/2004</v>
      </c>
      <c r="B560" s="18">
        <f>IF(ISNUMBER(Volcanic!L560),Volcanic!L560,"")</f>
        <v>2004.7083333333333</v>
      </c>
      <c r="C560" s="21">
        <v>0.86</v>
      </c>
      <c r="D560" s="18">
        <f t="shared" si="88"/>
        <v>0.45</v>
      </c>
      <c r="E560" s="18">
        <f>IF(ISNUMBER(Volcanic!B560),Volcanic!B560,"")</f>
        <v>0.5</v>
      </c>
      <c r="F560" s="18">
        <f>IF(ISNUMBER(Volcanic!C560),Volcanic!C560,"")</f>
        <v>0.41926920368406412</v>
      </c>
      <c r="G560" s="18">
        <f>IF(ISNUMBER(Volcanic!E560),Volcanic!E560,"")</f>
        <v>4.4600000000000004E-3</v>
      </c>
      <c r="H560" s="18">
        <f>IF(ISNUMBER(Volcanic!D560),Volcanic!D560,"")</f>
        <v>0.22</v>
      </c>
      <c r="I560" s="18">
        <f t="shared" si="82"/>
        <v>0.41926920368406412</v>
      </c>
      <c r="J560" s="18">
        <f t="shared" si="83"/>
        <v>4.4600000000000004E-3</v>
      </c>
      <c r="K560" s="18">
        <f t="shared" si="84"/>
        <v>0.45</v>
      </c>
      <c r="L560" s="18">
        <f t="shared" si="85"/>
        <v>0.41926920368406412</v>
      </c>
      <c r="M560" s="18">
        <f t="shared" si="86"/>
        <v>4.4600000000000004E-3</v>
      </c>
      <c r="N560" s="18">
        <f t="shared" si="87"/>
        <v>0.54156285324659659</v>
      </c>
      <c r="AK560" s="18">
        <f>IF(AND(ISNUMBER(C560),ISNUMBER(ENSO!F560)),C560-ENSO!F560,"")</f>
        <v>0.28000000000000003</v>
      </c>
      <c r="AL560" s="18">
        <f t="shared" si="89"/>
        <v>2004.7083333333333</v>
      </c>
      <c r="AM560" s="18">
        <f t="shared" si="90"/>
        <v>0.5</v>
      </c>
    </row>
    <row r="561" spans="1:39">
      <c r="A561" s="18" t="str">
        <f>IF(Volcanic!A561="","",Volcanic!A561)</f>
        <v>10/2004</v>
      </c>
      <c r="B561" s="18">
        <f>IF(ISNUMBER(Volcanic!L561),Volcanic!L561,"")</f>
        <v>2004.7916666666667</v>
      </c>
      <c r="C561" s="21">
        <v>0.77</v>
      </c>
      <c r="D561" s="18">
        <f t="shared" si="88"/>
        <v>0.66</v>
      </c>
      <c r="E561" s="18">
        <f>IF(ISNUMBER(Volcanic!B561),Volcanic!B561,"")</f>
        <v>0.61000000000000121</v>
      </c>
      <c r="F561" s="18">
        <f>IF(ISNUMBER(Volcanic!C561),Volcanic!C561,"")</f>
        <v>0.42003960662918038</v>
      </c>
      <c r="G561" s="18">
        <f>IF(ISNUMBER(Volcanic!E561),Volcanic!E561,"")</f>
        <v>4.3200000000000001E-3</v>
      </c>
      <c r="H561" s="18">
        <f>IF(ISNUMBER(Volcanic!D561),Volcanic!D561,"")</f>
        <v>0.39</v>
      </c>
      <c r="I561" s="18">
        <f t="shared" si="82"/>
        <v>0.42003960662918038</v>
      </c>
      <c r="J561" s="18">
        <f t="shared" si="83"/>
        <v>4.3200000000000001E-3</v>
      </c>
      <c r="K561" s="18">
        <f t="shared" si="84"/>
        <v>0.66</v>
      </c>
      <c r="L561" s="18">
        <f t="shared" si="85"/>
        <v>0.42003960662918038</v>
      </c>
      <c r="M561" s="18">
        <f t="shared" si="86"/>
        <v>4.3200000000000001E-3</v>
      </c>
      <c r="N561" s="18">
        <f t="shared" si="87"/>
        <v>0.75225287273719832</v>
      </c>
      <c r="AK561" s="18">
        <f>IF(AND(ISNUMBER(C561),ISNUMBER(ENSO!F561)),C561-ENSO!F561,"")</f>
        <v>0.16000000000000003</v>
      </c>
      <c r="AL561" s="18">
        <f t="shared" si="89"/>
        <v>2004.7916666666667</v>
      </c>
      <c r="AM561" s="18">
        <f t="shared" si="90"/>
        <v>0.61000000000000121</v>
      </c>
    </row>
    <row r="562" spans="1:39">
      <c r="A562" s="18" t="str">
        <f>IF(Volcanic!A562="","",Volcanic!A562)</f>
        <v>11/2004</v>
      </c>
      <c r="B562" s="18">
        <f>IF(ISNUMBER(Volcanic!L562),Volcanic!L562,"")</f>
        <v>2004.875</v>
      </c>
      <c r="C562" s="21">
        <v>0.73</v>
      </c>
      <c r="D562" s="18">
        <f t="shared" si="88"/>
        <v>0.82</v>
      </c>
      <c r="E562" s="18">
        <f>IF(ISNUMBER(Volcanic!B562),Volcanic!B562,"")</f>
        <v>0.7300000000000022</v>
      </c>
      <c r="F562" s="18">
        <f>IF(ISNUMBER(Volcanic!C562),Volcanic!C562,"")</f>
        <v>0.42657147452910854</v>
      </c>
      <c r="G562" s="18">
        <f>IF(ISNUMBER(Volcanic!E562),Volcanic!E562,"")</f>
        <v>4.3E-3</v>
      </c>
      <c r="H562" s="18">
        <f>IF(ISNUMBER(Volcanic!D562),Volcanic!D562,"")</f>
        <v>0.54</v>
      </c>
      <c r="I562" s="18">
        <f t="shared" si="82"/>
        <v>0.42657147452910854</v>
      </c>
      <c r="J562" s="18">
        <f t="shared" si="83"/>
        <v>4.3E-3</v>
      </c>
      <c r="K562" s="18">
        <f t="shared" si="84"/>
        <v>0.82</v>
      </c>
      <c r="L562" s="18">
        <f t="shared" si="85"/>
        <v>0.42657147452910854</v>
      </c>
      <c r="M562" s="18">
        <f t="shared" si="86"/>
        <v>4.3E-3</v>
      </c>
      <c r="N562" s="18">
        <f t="shared" si="87"/>
        <v>0.91294289222779634</v>
      </c>
      <c r="AK562" s="18">
        <f>IF(AND(ISNUMBER(C562),ISNUMBER(ENSO!F562)),C562-ENSO!F562,"")</f>
        <v>8.9999999999999969E-2</v>
      </c>
      <c r="AL562" s="18">
        <f t="shared" si="89"/>
        <v>2004.875</v>
      </c>
      <c r="AM562" s="18">
        <f t="shared" si="90"/>
        <v>0.7300000000000022</v>
      </c>
    </row>
    <row r="563" spans="1:39">
      <c r="A563" s="18" t="str">
        <f>IF(Volcanic!A563="","",Volcanic!A563)</f>
        <v>12/2004</v>
      </c>
      <c r="B563" s="18">
        <f>IF(ISNUMBER(Volcanic!L563),Volcanic!L563,"")</f>
        <v>2004.9583333333333</v>
      </c>
      <c r="C563" s="21">
        <v>0.67</v>
      </c>
      <c r="D563" s="18">
        <f t="shared" si="88"/>
        <v>0.86</v>
      </c>
      <c r="E563" s="18">
        <f>IF(ISNUMBER(Volcanic!B563),Volcanic!B563,"")</f>
        <v>0.50999999999999801</v>
      </c>
      <c r="F563" s="18">
        <f>IF(ISNUMBER(Volcanic!C563),Volcanic!C563,"")</f>
        <v>0.43173756088430215</v>
      </c>
      <c r="G563" s="18">
        <f>IF(ISNUMBER(Volcanic!E563),Volcanic!E563,"")</f>
        <v>4.1999999999999997E-3</v>
      </c>
      <c r="H563" s="18">
        <f>IF(ISNUMBER(Volcanic!D563),Volcanic!D563,"")</f>
        <v>0.57999999999999996</v>
      </c>
      <c r="I563" s="18">
        <f t="shared" si="82"/>
        <v>0.43173756088430215</v>
      </c>
      <c r="J563" s="18">
        <f t="shared" si="83"/>
        <v>4.1999999999999997E-3</v>
      </c>
      <c r="K563" s="18">
        <f t="shared" si="84"/>
        <v>0.86</v>
      </c>
      <c r="L563" s="18">
        <f t="shared" si="85"/>
        <v>0.43173756088430215</v>
      </c>
      <c r="M563" s="18">
        <f t="shared" si="86"/>
        <v>4.1999999999999997E-3</v>
      </c>
      <c r="N563" s="18">
        <f t="shared" si="87"/>
        <v>0.95363291171839448</v>
      </c>
      <c r="AK563" s="18">
        <f>IF(AND(ISNUMBER(C563),ISNUMBER(ENSO!F563)),C563-ENSO!F563,"")</f>
        <v>-3.9999999999999925E-2</v>
      </c>
      <c r="AL563" s="18">
        <f t="shared" si="89"/>
        <v>2004.9583333333333</v>
      </c>
      <c r="AM563" s="18">
        <f t="shared" si="90"/>
        <v>0.50999999999999801</v>
      </c>
    </row>
    <row r="564" spans="1:39">
      <c r="A564" s="18" t="str">
        <f>IF(Volcanic!A564="","",Volcanic!A564)</f>
        <v>1/2005</v>
      </c>
      <c r="B564" s="18">
        <f>IF(ISNUMBER(Volcanic!L564),Volcanic!L564,"")</f>
        <v>2005.0416666666667</v>
      </c>
      <c r="C564" s="21">
        <v>0.55000000000000004</v>
      </c>
      <c r="D564" s="18">
        <f t="shared" si="88"/>
        <v>0.77</v>
      </c>
      <c r="E564" s="18">
        <f>IF(ISNUMBER(Volcanic!B564),Volcanic!B564,"")</f>
        <v>0.75</v>
      </c>
      <c r="F564" s="18">
        <f>IF(ISNUMBER(Volcanic!C564),Volcanic!C564,"")</f>
        <v>0.43536189749141069</v>
      </c>
      <c r="G564" s="18">
        <f>IF(ISNUMBER(Volcanic!E564),Volcanic!E564,"")</f>
        <v>4.1399999999999996E-3</v>
      </c>
      <c r="H564" s="18">
        <f>IF(ISNUMBER(Volcanic!D564),Volcanic!D564,"")</f>
        <v>0.61</v>
      </c>
      <c r="I564" s="18">
        <f t="shared" si="82"/>
        <v>0.43536189749141069</v>
      </c>
      <c r="J564" s="18">
        <f t="shared" si="83"/>
        <v>4.1399999999999996E-3</v>
      </c>
      <c r="K564" s="18">
        <f t="shared" si="84"/>
        <v>0.77</v>
      </c>
      <c r="L564" s="18">
        <f t="shared" si="85"/>
        <v>0.43536189749141069</v>
      </c>
      <c r="M564" s="18">
        <f t="shared" si="86"/>
        <v>4.1399999999999996E-3</v>
      </c>
      <c r="N564" s="18">
        <f t="shared" si="87"/>
        <v>0.86432293120899617</v>
      </c>
      <c r="AK564" s="18">
        <f>IF(AND(ISNUMBER(C564),ISNUMBER(ENSO!F564)),C564-ENSO!F564,"")</f>
        <v>-6.9999999999999951E-2</v>
      </c>
      <c r="AL564" s="18">
        <f t="shared" si="89"/>
        <v>2005.0416666666667</v>
      </c>
      <c r="AM564" s="18">
        <f t="shared" si="90"/>
        <v>0.75</v>
      </c>
    </row>
    <row r="565" spans="1:39">
      <c r="A565" s="18" t="str">
        <f>IF(Volcanic!A565="","",Volcanic!A565)</f>
        <v>2/2005</v>
      </c>
      <c r="B565" s="18">
        <f>IF(ISNUMBER(Volcanic!L565),Volcanic!L565,"")</f>
        <v>2005.125</v>
      </c>
      <c r="C565" s="21">
        <v>0.43</v>
      </c>
      <c r="D565" s="18">
        <f t="shared" si="88"/>
        <v>0.73</v>
      </c>
      <c r="E565" s="18">
        <f>IF(ISNUMBER(Volcanic!B565),Volcanic!B565,"")</f>
        <v>0.60000000000000142</v>
      </c>
      <c r="F565" s="18">
        <f>IF(ISNUMBER(Volcanic!C565),Volcanic!C565,"")</f>
        <v>0.4402308599854548</v>
      </c>
      <c r="G565" s="18">
        <f>IF(ISNUMBER(Volcanic!E565),Volcanic!E565,"")</f>
        <v>4.1799999999999997E-3</v>
      </c>
      <c r="H565" s="18">
        <f>IF(ISNUMBER(Volcanic!D565),Volcanic!D565,"")</f>
        <v>0.64</v>
      </c>
      <c r="I565" s="18">
        <f t="shared" si="82"/>
        <v>0.4402308599854548</v>
      </c>
      <c r="J565" s="18">
        <f t="shared" si="83"/>
        <v>4.1799999999999997E-3</v>
      </c>
      <c r="K565" s="18">
        <f t="shared" si="84"/>
        <v>0.73</v>
      </c>
      <c r="L565" s="18">
        <f t="shared" si="85"/>
        <v>0.4402308599854548</v>
      </c>
      <c r="M565" s="18">
        <f t="shared" si="86"/>
        <v>4.1799999999999997E-3</v>
      </c>
      <c r="N565" s="18">
        <f t="shared" si="87"/>
        <v>0.82501295069959424</v>
      </c>
      <c r="AK565" s="18">
        <f>IF(AND(ISNUMBER(C565),ISNUMBER(ENSO!F565)),C565-ENSO!F565,"")</f>
        <v>-0.12000000000000005</v>
      </c>
      <c r="AL565" s="18">
        <f t="shared" si="89"/>
        <v>2005.125</v>
      </c>
      <c r="AM565" s="18">
        <f t="shared" si="90"/>
        <v>0.60000000000000142</v>
      </c>
    </row>
    <row r="566" spans="1:39">
      <c r="A566" s="18" t="str">
        <f>IF(Volcanic!A566="","",Volcanic!A566)</f>
        <v>3/2005</v>
      </c>
      <c r="B566" s="18">
        <f>IF(ISNUMBER(Volcanic!L566),Volcanic!L566,"")</f>
        <v>2005.2083333333333</v>
      </c>
      <c r="C566" s="21">
        <v>0.31</v>
      </c>
      <c r="D566" s="18">
        <f t="shared" si="88"/>
        <v>0.67</v>
      </c>
      <c r="E566" s="18">
        <f>IF(ISNUMBER(Volcanic!B566),Volcanic!B566,"")</f>
        <v>0.73999999999999666</v>
      </c>
      <c r="F566" s="18">
        <f>IF(ISNUMBER(Volcanic!C566),Volcanic!C566,"")</f>
        <v>0.44417482806617692</v>
      </c>
      <c r="G566" s="18">
        <f>IF(ISNUMBER(Volcanic!E566),Volcanic!E566,"")</f>
        <v>4.2700000000000004E-3</v>
      </c>
      <c r="H566" s="18">
        <f>IF(ISNUMBER(Volcanic!D566),Volcanic!D566,"")</f>
        <v>0.71</v>
      </c>
      <c r="I566" s="18">
        <f t="shared" si="82"/>
        <v>0.44417482806617692</v>
      </c>
      <c r="J566" s="18">
        <f t="shared" si="83"/>
        <v>4.2700000000000004E-3</v>
      </c>
      <c r="K566" s="18">
        <f t="shared" si="84"/>
        <v>0.67</v>
      </c>
      <c r="L566" s="18">
        <f t="shared" si="85"/>
        <v>0.44417482806617692</v>
      </c>
      <c r="M566" s="18">
        <f t="shared" si="86"/>
        <v>4.2700000000000004E-3</v>
      </c>
      <c r="N566" s="18">
        <f t="shared" si="87"/>
        <v>0.7657029701901924</v>
      </c>
      <c r="AK566" s="18">
        <f>IF(AND(ISNUMBER(C566),ISNUMBER(ENSO!F566)),C566-ENSO!F566,"")</f>
        <v>-9.0000000000000024E-2</v>
      </c>
      <c r="AL566" s="18">
        <f t="shared" si="89"/>
        <v>2005.2083333333333</v>
      </c>
      <c r="AM566" s="18">
        <f t="shared" si="90"/>
        <v>0.73999999999999666</v>
      </c>
    </row>
    <row r="567" spans="1:39">
      <c r="A567" s="18" t="str">
        <f>IF(Volcanic!A567="","",Volcanic!A567)</f>
        <v>4/2005</v>
      </c>
      <c r="B567" s="18">
        <f>IF(ISNUMBER(Volcanic!L567),Volcanic!L567,"")</f>
        <v>2005.2916666666667</v>
      </c>
      <c r="C567" s="21">
        <v>0.31</v>
      </c>
      <c r="D567" s="18">
        <f t="shared" si="88"/>
        <v>0.55000000000000004</v>
      </c>
      <c r="E567" s="18">
        <f>IF(ISNUMBER(Volcanic!B567),Volcanic!B567,"")</f>
        <v>0.66999999999999993</v>
      </c>
      <c r="F567" s="18">
        <f>IF(ISNUMBER(Volcanic!C567),Volcanic!C567,"")</f>
        <v>0.44995748362800358</v>
      </c>
      <c r="G567" s="18">
        <f>IF(ISNUMBER(Volcanic!E567),Volcanic!E567,"")</f>
        <v>4.4299999999999999E-3</v>
      </c>
      <c r="H567" s="18">
        <f>IF(ISNUMBER(Volcanic!D567),Volcanic!D567,"")</f>
        <v>0.62</v>
      </c>
      <c r="I567" s="18">
        <f t="shared" si="82"/>
        <v>0.44995748362800358</v>
      </c>
      <c r="J567" s="18">
        <f t="shared" si="83"/>
        <v>4.4299999999999999E-3</v>
      </c>
      <c r="K567" s="18">
        <f t="shared" si="84"/>
        <v>0.55000000000000004</v>
      </c>
      <c r="L567" s="18">
        <f t="shared" si="85"/>
        <v>0.44995748362800358</v>
      </c>
      <c r="M567" s="18">
        <f t="shared" si="86"/>
        <v>4.4299999999999999E-3</v>
      </c>
      <c r="N567" s="18">
        <f t="shared" si="87"/>
        <v>0.64639298968079051</v>
      </c>
      <c r="AK567" s="18">
        <f>IF(AND(ISNUMBER(C567),ISNUMBER(ENSO!F567)),C567-ENSO!F567,"")</f>
        <v>-0.06</v>
      </c>
      <c r="AL567" s="18">
        <f t="shared" si="89"/>
        <v>2005.2916666666667</v>
      </c>
      <c r="AM567" s="18">
        <f t="shared" si="90"/>
        <v>0.66999999999999993</v>
      </c>
    </row>
    <row r="568" spans="1:39">
      <c r="A568" s="18" t="str">
        <f>IF(Volcanic!A568="","",Volcanic!A568)</f>
        <v>5/2005</v>
      </c>
      <c r="B568" s="18">
        <f>IF(ISNUMBER(Volcanic!L568),Volcanic!L568,"")</f>
        <v>2005.375</v>
      </c>
      <c r="C568" s="21">
        <v>0.2</v>
      </c>
      <c r="D568" s="18">
        <f t="shared" si="88"/>
        <v>0.43</v>
      </c>
      <c r="E568" s="18">
        <f>IF(ISNUMBER(Volcanic!B568),Volcanic!B568,"")</f>
        <v>0.63000000000000256</v>
      </c>
      <c r="F568" s="18">
        <f>IF(ISNUMBER(Volcanic!C568),Volcanic!C568,"")</f>
        <v>0.45056086926661437</v>
      </c>
      <c r="G568" s="18">
        <f>IF(ISNUMBER(Volcanic!E568),Volcanic!E568,"")</f>
        <v>4.3099999999999996E-3</v>
      </c>
      <c r="H568" s="18">
        <f>IF(ISNUMBER(Volcanic!D568),Volcanic!D568,"")</f>
        <v>0.55000000000000004</v>
      </c>
      <c r="I568" s="18">
        <f t="shared" si="82"/>
        <v>0.45056086926661437</v>
      </c>
      <c r="J568" s="18">
        <f t="shared" si="83"/>
        <v>4.3099999999999996E-3</v>
      </c>
      <c r="K568" s="18">
        <f t="shared" si="84"/>
        <v>0.43</v>
      </c>
      <c r="L568" s="18">
        <f t="shared" si="85"/>
        <v>0.45056086926661437</v>
      </c>
      <c r="M568" s="18">
        <f t="shared" si="86"/>
        <v>4.3099999999999996E-3</v>
      </c>
      <c r="N568" s="18">
        <f t="shared" si="87"/>
        <v>0.52708300917138851</v>
      </c>
      <c r="AK568" s="18">
        <f>IF(AND(ISNUMBER(C568),ISNUMBER(ENSO!F568)),C568-ENSO!F568,"")</f>
        <v>-7.0000000000000007E-2</v>
      </c>
      <c r="AL568" s="18">
        <f t="shared" si="89"/>
        <v>2005.375</v>
      </c>
      <c r="AM568" s="18">
        <f t="shared" si="90"/>
        <v>0.63000000000000256</v>
      </c>
    </row>
    <row r="569" spans="1:39">
      <c r="A569" s="18" t="str">
        <f>IF(Volcanic!A569="","",Volcanic!A569)</f>
        <v>6/2005</v>
      </c>
      <c r="B569" s="18">
        <f>IF(ISNUMBER(Volcanic!L569),Volcanic!L569,"")</f>
        <v>2005.4583333333333</v>
      </c>
      <c r="C569" s="21">
        <v>0.03</v>
      </c>
      <c r="D569" s="18">
        <f t="shared" si="88"/>
        <v>0.31</v>
      </c>
      <c r="E569" s="18">
        <f>IF(ISNUMBER(Volcanic!B569),Volcanic!B569,"")</f>
        <v>0.65000000000000213</v>
      </c>
      <c r="F569" s="18">
        <f>IF(ISNUMBER(Volcanic!C569),Volcanic!C569,"")</f>
        <v>0.44965569614841971</v>
      </c>
      <c r="G569" s="18">
        <f>IF(ISNUMBER(Volcanic!E569),Volcanic!E569,"")</f>
        <v>4.4000000000000003E-3</v>
      </c>
      <c r="H569" s="18">
        <f>IF(ISNUMBER(Volcanic!D569),Volcanic!D569,"")</f>
        <v>0.4</v>
      </c>
      <c r="I569" s="18">
        <f t="shared" si="82"/>
        <v>0.44965569614841971</v>
      </c>
      <c r="J569" s="18">
        <f t="shared" si="83"/>
        <v>4.4000000000000003E-3</v>
      </c>
      <c r="K569" s="18">
        <f t="shared" si="84"/>
        <v>0.31</v>
      </c>
      <c r="L569" s="18">
        <f t="shared" si="85"/>
        <v>0.44965569614841971</v>
      </c>
      <c r="M569" s="18">
        <f t="shared" si="86"/>
        <v>4.4000000000000003E-3</v>
      </c>
      <c r="N569" s="18">
        <f t="shared" si="87"/>
        <v>0.40777302866199022</v>
      </c>
      <c r="AK569" s="18">
        <f>IF(AND(ISNUMBER(C569),ISNUMBER(ENSO!F569)),C569-ENSO!F569,"")</f>
        <v>-0.06</v>
      </c>
      <c r="AL569" s="18">
        <f t="shared" si="89"/>
        <v>2005.4583333333333</v>
      </c>
      <c r="AM569" s="18">
        <f t="shared" si="90"/>
        <v>0.65000000000000213</v>
      </c>
    </row>
    <row r="570" spans="1:39">
      <c r="A570" s="18" t="str">
        <f>IF(Volcanic!A570="","",Volcanic!A570)</f>
        <v>7/2005</v>
      </c>
      <c r="B570" s="18">
        <f>IF(ISNUMBER(Volcanic!L570),Volcanic!L570,"")</f>
        <v>2005.5416666666667</v>
      </c>
      <c r="C570" s="21">
        <v>-0.1</v>
      </c>
      <c r="D570" s="18">
        <f t="shared" si="88"/>
        <v>0.31</v>
      </c>
      <c r="E570" s="18">
        <f>IF(ISNUMBER(Volcanic!B570),Volcanic!B570,"")</f>
        <v>0.61000000000000121</v>
      </c>
      <c r="F570" s="18">
        <f>IF(ISNUMBER(Volcanic!C570),Volcanic!C570,"")</f>
        <v>0.44409908411483445</v>
      </c>
      <c r="G570" s="18">
        <f>IF(ISNUMBER(Volcanic!E570),Volcanic!E570,"")</f>
        <v>4.5500000000000002E-3</v>
      </c>
      <c r="H570" s="18">
        <f>IF(ISNUMBER(Volcanic!D570),Volcanic!D570,"")</f>
        <v>0.37</v>
      </c>
      <c r="I570" s="18">
        <f t="shared" si="82"/>
        <v>0.44409908411483445</v>
      </c>
      <c r="J570" s="18">
        <f t="shared" si="83"/>
        <v>4.5500000000000002E-3</v>
      </c>
      <c r="K570" s="18">
        <f t="shared" si="84"/>
        <v>0.31</v>
      </c>
      <c r="L570" s="18">
        <f t="shared" si="85"/>
        <v>0.44409908411483445</v>
      </c>
      <c r="M570" s="18">
        <f t="shared" si="86"/>
        <v>4.5500000000000002E-3</v>
      </c>
      <c r="N570" s="18">
        <f t="shared" si="87"/>
        <v>0.40846304815258833</v>
      </c>
      <c r="AK570" s="18">
        <f>IF(AND(ISNUMBER(C570),ISNUMBER(ENSO!F570)),C570-ENSO!F570,"")</f>
        <v>-6.0000000000000005E-2</v>
      </c>
      <c r="AL570" s="18">
        <f t="shared" si="89"/>
        <v>2005.5416666666667</v>
      </c>
      <c r="AM570" s="18">
        <f t="shared" si="90"/>
        <v>0.61000000000000121</v>
      </c>
    </row>
    <row r="571" spans="1:39">
      <c r="A571" s="18" t="str">
        <f>IF(Volcanic!A571="","",Volcanic!A571)</f>
        <v>8/2005</v>
      </c>
      <c r="B571" s="18">
        <f>IF(ISNUMBER(Volcanic!L571),Volcanic!L571,"")</f>
        <v>2005.625</v>
      </c>
      <c r="C571" s="21">
        <v>-0.12</v>
      </c>
      <c r="D571" s="18">
        <f t="shared" si="88"/>
        <v>0.2</v>
      </c>
      <c r="E571" s="18">
        <f>IF(ISNUMBER(Volcanic!B571),Volcanic!B571,"")</f>
        <v>0.60000000000000142</v>
      </c>
      <c r="F571" s="18">
        <f>IF(ISNUMBER(Volcanic!C571),Volcanic!C571,"")</f>
        <v>0.43650453579040066</v>
      </c>
      <c r="G571" s="18">
        <f>IF(ISNUMBER(Volcanic!E571),Volcanic!E571,"")</f>
        <v>4.7099999999999998E-3</v>
      </c>
      <c r="H571" s="18">
        <f>IF(ISNUMBER(Volcanic!D571),Volcanic!D571,"")</f>
        <v>0.27</v>
      </c>
      <c r="I571" s="18">
        <f t="shared" si="82"/>
        <v>0.43650453579040066</v>
      </c>
      <c r="J571" s="18">
        <f t="shared" si="83"/>
        <v>4.7099999999999998E-3</v>
      </c>
      <c r="K571" s="18">
        <f t="shared" si="84"/>
        <v>0.2</v>
      </c>
      <c r="L571" s="18">
        <f t="shared" si="85"/>
        <v>0.43650453579040066</v>
      </c>
      <c r="M571" s="18">
        <f t="shared" si="86"/>
        <v>4.7099999999999998E-3</v>
      </c>
      <c r="N571" s="18">
        <f t="shared" si="87"/>
        <v>0.29915306764318644</v>
      </c>
      <c r="AK571" s="18">
        <f>IF(AND(ISNUMBER(C571),ISNUMBER(ENSO!F571)),C571-ENSO!F571,"")</f>
        <v>2.0000000000000018E-2</v>
      </c>
      <c r="AL571" s="18">
        <f t="shared" si="89"/>
        <v>2005.625</v>
      </c>
      <c r="AM571" s="18">
        <f t="shared" si="90"/>
        <v>0.60000000000000142</v>
      </c>
    </row>
    <row r="572" spans="1:39">
      <c r="A572" s="18" t="str">
        <f>IF(Volcanic!A572="","",Volcanic!A572)</f>
        <v>9/2005</v>
      </c>
      <c r="B572" s="18">
        <f>IF(ISNUMBER(Volcanic!L572),Volcanic!L572,"")</f>
        <v>2005.7083333333333</v>
      </c>
      <c r="C572" s="21">
        <v>-0.02</v>
      </c>
      <c r="D572" s="18">
        <f t="shared" si="88"/>
        <v>0.03</v>
      </c>
      <c r="E572" s="18">
        <f>IF(ISNUMBER(Volcanic!B572),Volcanic!B572,"")</f>
        <v>0.72000000000000242</v>
      </c>
      <c r="F572" s="18">
        <f>IF(ISNUMBER(Volcanic!C572),Volcanic!C572,"")</f>
        <v>0.42871668939795532</v>
      </c>
      <c r="G572" s="18">
        <f>IF(ISNUMBER(Volcanic!E572),Volcanic!E572,"")</f>
        <v>4.8799999999999998E-3</v>
      </c>
      <c r="H572" s="18">
        <f>IF(ISNUMBER(Volcanic!D572),Volcanic!D572,"")</f>
        <v>0.09</v>
      </c>
      <c r="I572" s="18">
        <f t="shared" si="82"/>
        <v>0.42871668939795532</v>
      </c>
      <c r="J572" s="18">
        <f t="shared" si="83"/>
        <v>4.8799999999999998E-3</v>
      </c>
      <c r="K572" s="18">
        <f t="shared" si="84"/>
        <v>0.03</v>
      </c>
      <c r="L572" s="18">
        <f t="shared" si="85"/>
        <v>0.42871668939795532</v>
      </c>
      <c r="M572" s="18">
        <f t="shared" si="86"/>
        <v>4.8799999999999998E-3</v>
      </c>
      <c r="N572" s="18">
        <f t="shared" si="87"/>
        <v>0.12984308713378453</v>
      </c>
      <c r="AK572" s="18">
        <f>IF(AND(ISNUMBER(C572),ISNUMBER(ENSO!F572)),C572-ENSO!F572,"")</f>
        <v>0.09</v>
      </c>
      <c r="AL572" s="18">
        <f t="shared" si="89"/>
        <v>2005.7083333333333</v>
      </c>
      <c r="AM572" s="18">
        <f t="shared" si="90"/>
        <v>0.72000000000000242</v>
      </c>
    </row>
    <row r="573" spans="1:39">
      <c r="A573" s="18" t="str">
        <f>IF(Volcanic!A573="","",Volcanic!A573)</f>
        <v>10/2005</v>
      </c>
      <c r="B573" s="18">
        <f>IF(ISNUMBER(Volcanic!L573),Volcanic!L573,"")</f>
        <v>2005.7916666666667</v>
      </c>
      <c r="C573" s="21">
        <v>-0.18</v>
      </c>
      <c r="D573" s="18">
        <f t="shared" si="88"/>
        <v>-0.1</v>
      </c>
      <c r="E573" s="18">
        <f>IF(ISNUMBER(Volcanic!B573),Volcanic!B573,"")</f>
        <v>0.75999999999999801</v>
      </c>
      <c r="F573" s="18">
        <f>IF(ISNUMBER(Volcanic!C573),Volcanic!C573,"")</f>
        <v>0.42986460085324052</v>
      </c>
      <c r="G573" s="18">
        <f>IF(ISNUMBER(Volcanic!E573),Volcanic!E573,"")</f>
        <v>5.5399999999999998E-3</v>
      </c>
      <c r="H573" s="18">
        <f>IF(ISNUMBER(Volcanic!D573),Volcanic!D573,"")</f>
        <v>-0.04</v>
      </c>
      <c r="I573" s="18">
        <f t="shared" si="82"/>
        <v>0.42986460085324052</v>
      </c>
      <c r="J573" s="18">
        <f t="shared" si="83"/>
        <v>5.5399999999999998E-3</v>
      </c>
      <c r="K573" s="18">
        <f t="shared" si="84"/>
        <v>-0.1</v>
      </c>
      <c r="L573" s="18">
        <f t="shared" si="85"/>
        <v>0.42986460085324052</v>
      </c>
      <c r="M573" s="18">
        <f t="shared" si="86"/>
        <v>5.5399999999999998E-3</v>
      </c>
      <c r="N573" s="18">
        <f t="shared" si="87"/>
        <v>5.3310662438618706E-4</v>
      </c>
      <c r="AK573" s="18">
        <f>IF(AND(ISNUMBER(C573),ISNUMBER(ENSO!F573)),C573-ENSO!F573,"")</f>
        <v>9.0000000000000024E-2</v>
      </c>
      <c r="AL573" s="18">
        <f t="shared" si="89"/>
        <v>2005.7916666666667</v>
      </c>
      <c r="AM573" s="18">
        <f t="shared" si="90"/>
        <v>0.75999999999999801</v>
      </c>
    </row>
    <row r="574" spans="1:39">
      <c r="A574" s="18" t="str">
        <f>IF(Volcanic!A574="","",Volcanic!A574)</f>
        <v>11/2005</v>
      </c>
      <c r="B574" s="18">
        <f>IF(ISNUMBER(Volcanic!L574),Volcanic!L574,"")</f>
        <v>2005.875</v>
      </c>
      <c r="C574" s="21">
        <v>-0.5</v>
      </c>
      <c r="D574" s="18">
        <f t="shared" si="88"/>
        <v>-0.12</v>
      </c>
      <c r="E574" s="18">
        <f>IF(ISNUMBER(Volcanic!B574),Volcanic!B574,"")</f>
        <v>0.73999999999999666</v>
      </c>
      <c r="F574" s="18">
        <f>IF(ISNUMBER(Volcanic!C574),Volcanic!C574,"")</f>
        <v>0.43501892945440074</v>
      </c>
      <c r="G574" s="18">
        <f>IF(ISNUMBER(Volcanic!E574),Volcanic!E574,"")</f>
        <v>5.6699999999999997E-3</v>
      </c>
      <c r="H574" s="18">
        <f>IF(ISNUMBER(Volcanic!D574),Volcanic!D574,"")</f>
        <v>-0.14000000000000001</v>
      </c>
      <c r="I574" s="18">
        <f t="shared" si="82"/>
        <v>0.43501892945440074</v>
      </c>
      <c r="J574" s="18">
        <f t="shared" si="83"/>
        <v>5.6699999999999997E-3</v>
      </c>
      <c r="K574" s="18">
        <f t="shared" si="84"/>
        <v>-0.12</v>
      </c>
      <c r="L574" s="18">
        <f t="shared" si="85"/>
        <v>0.43501892945440074</v>
      </c>
      <c r="M574" s="18">
        <f t="shared" si="86"/>
        <v>5.6699999999999997E-3</v>
      </c>
      <c r="N574" s="18">
        <f t="shared" si="87"/>
        <v>-1.8776873885015699E-2</v>
      </c>
      <c r="AK574" s="18">
        <f>IF(AND(ISNUMBER(C574),ISNUMBER(ENSO!F574)),C574-ENSO!F574,"")</f>
        <v>6.9999999999999951E-2</v>
      </c>
      <c r="AL574" s="18">
        <f t="shared" si="89"/>
        <v>2005.875</v>
      </c>
      <c r="AM574" s="18">
        <f t="shared" si="90"/>
        <v>0.73999999999999666</v>
      </c>
    </row>
    <row r="575" spans="1:39">
      <c r="A575" s="18" t="str">
        <f>IF(Volcanic!A575="","",Volcanic!A575)</f>
        <v>12/2005</v>
      </c>
      <c r="B575" s="18">
        <f>IF(ISNUMBER(Volcanic!L575),Volcanic!L575,"")</f>
        <v>2005.9583333333333</v>
      </c>
      <c r="C575" s="21">
        <v>-0.85</v>
      </c>
      <c r="D575" s="18">
        <f t="shared" si="88"/>
        <v>-0.02</v>
      </c>
      <c r="E575" s="18">
        <f>IF(ISNUMBER(Volcanic!B575),Volcanic!B575,"")</f>
        <v>0.67999999999999972</v>
      </c>
      <c r="F575" s="18">
        <f>IF(ISNUMBER(Volcanic!C575),Volcanic!C575,"")</f>
        <v>0.44174904700923706</v>
      </c>
      <c r="G575" s="18">
        <f>IF(ISNUMBER(Volcanic!E575),Volcanic!E575,"")</f>
        <v>5.7200000000000003E-3</v>
      </c>
      <c r="H575" s="18">
        <f>IF(ISNUMBER(Volcanic!D575),Volcanic!D575,"")</f>
        <v>-0.11</v>
      </c>
      <c r="I575" s="18">
        <f t="shared" si="82"/>
        <v>0.44174904700923706</v>
      </c>
      <c r="J575" s="18">
        <f t="shared" si="83"/>
        <v>5.7200000000000003E-3</v>
      </c>
      <c r="K575" s="18">
        <f t="shared" si="84"/>
        <v>-0.02</v>
      </c>
      <c r="L575" s="18">
        <f t="shared" si="85"/>
        <v>0.44174904700923706</v>
      </c>
      <c r="M575" s="18">
        <f t="shared" si="86"/>
        <v>5.7200000000000003E-3</v>
      </c>
      <c r="N575" s="18">
        <f t="shared" si="87"/>
        <v>8.1913145605582396E-2</v>
      </c>
      <c r="AK575" s="18">
        <f>IF(AND(ISNUMBER(C575),ISNUMBER(ENSO!F575)),C575-ENSO!F575,"")</f>
        <v>-3.0000000000000027E-2</v>
      </c>
      <c r="AL575" s="18">
        <f t="shared" si="89"/>
        <v>2005.9583333333333</v>
      </c>
      <c r="AM575" s="18">
        <f t="shared" si="90"/>
        <v>0.67999999999999972</v>
      </c>
    </row>
    <row r="576" spans="1:39">
      <c r="A576" s="18" t="str">
        <f>IF(Volcanic!A576="","",Volcanic!A576)</f>
        <v>1/2006</v>
      </c>
      <c r="B576" s="18">
        <f>IF(ISNUMBER(Volcanic!L576),Volcanic!L576,"")</f>
        <v>2006.0416666666667</v>
      </c>
      <c r="C576" s="21">
        <v>-0.93</v>
      </c>
      <c r="D576" s="18">
        <f t="shared" si="88"/>
        <v>-0.18</v>
      </c>
      <c r="E576" s="18">
        <f>IF(ISNUMBER(Volcanic!B576),Volcanic!B576,"")</f>
        <v>0.55999999999999872</v>
      </c>
      <c r="F576" s="18">
        <f>IF(ISNUMBER(Volcanic!C576),Volcanic!C576,"")</f>
        <v>0.44655872924400647</v>
      </c>
      <c r="G576" s="18">
        <f>IF(ISNUMBER(Volcanic!E576),Volcanic!E576,"")</f>
        <v>5.7499999999999999E-3</v>
      </c>
      <c r="H576" s="18">
        <f>IF(ISNUMBER(Volcanic!D576),Volcanic!D576,"")</f>
        <v>-0.27</v>
      </c>
      <c r="I576" s="18">
        <f t="shared" si="82"/>
        <v>0.44655872924400647</v>
      </c>
      <c r="J576" s="18">
        <f t="shared" si="83"/>
        <v>5.7499999999999999E-3</v>
      </c>
      <c r="K576" s="18">
        <f t="shared" si="84"/>
        <v>-0.18</v>
      </c>
      <c r="L576" s="18">
        <f t="shared" si="85"/>
        <v>0.44655872924400647</v>
      </c>
      <c r="M576" s="18">
        <f t="shared" si="86"/>
        <v>5.7499999999999999E-3</v>
      </c>
      <c r="N576" s="18">
        <f t="shared" si="87"/>
        <v>-7.7396834903815936E-2</v>
      </c>
      <c r="AK576" s="18">
        <f>IF(AND(ISNUMBER(C576),ISNUMBER(ENSO!F576)),C576-ENSO!F576,"")</f>
        <v>-7.0000000000000062E-2</v>
      </c>
      <c r="AL576" s="18">
        <f t="shared" si="89"/>
        <v>2006.0416666666667</v>
      </c>
      <c r="AM576" s="18">
        <f t="shared" si="90"/>
        <v>0.55999999999999872</v>
      </c>
    </row>
    <row r="577" spans="1:39">
      <c r="A577" s="18" t="str">
        <f>IF(Volcanic!A577="","",Volcanic!A577)</f>
        <v>2/2006</v>
      </c>
      <c r="B577" s="18">
        <f>IF(ISNUMBER(Volcanic!L577),Volcanic!L577,"")</f>
        <v>2006.125</v>
      </c>
      <c r="C577" s="21">
        <v>-0.88</v>
      </c>
      <c r="D577" s="18">
        <f t="shared" si="88"/>
        <v>-0.5</v>
      </c>
      <c r="E577" s="18">
        <f>IF(ISNUMBER(Volcanic!B577),Volcanic!B577,"")</f>
        <v>0.73999999999999666</v>
      </c>
      <c r="F577" s="18">
        <f>IF(ISNUMBER(Volcanic!C577),Volcanic!C577,"")</f>
        <v>0.44965569614841971</v>
      </c>
      <c r="G577" s="18">
        <f>IF(ISNUMBER(Volcanic!E577),Volcanic!E577,"")</f>
        <v>6.0000000000000001E-3</v>
      </c>
      <c r="H577" s="18">
        <f>IF(ISNUMBER(Volcanic!D577),Volcanic!D577,"")</f>
        <v>-0.56999999999999995</v>
      </c>
      <c r="I577" s="18">
        <f t="shared" si="82"/>
        <v>0.44965569614841971</v>
      </c>
      <c r="J577" s="18">
        <f t="shared" si="83"/>
        <v>6.0000000000000001E-3</v>
      </c>
      <c r="K577" s="18">
        <f t="shared" si="84"/>
        <v>-0.5</v>
      </c>
      <c r="L577" s="18">
        <f t="shared" si="85"/>
        <v>0.44965569614841971</v>
      </c>
      <c r="M577" s="18">
        <f t="shared" si="86"/>
        <v>6.0000000000000001E-3</v>
      </c>
      <c r="N577" s="18">
        <f t="shared" si="87"/>
        <v>-0.39670681541321784</v>
      </c>
      <c r="AK577" s="18">
        <f>IF(AND(ISNUMBER(C577),ISNUMBER(ENSO!F577)),C577-ENSO!F577,"")</f>
        <v>-7.999999999999996E-2</v>
      </c>
      <c r="AL577" s="18">
        <f t="shared" si="89"/>
        <v>2006.125</v>
      </c>
      <c r="AM577" s="18">
        <f t="shared" si="90"/>
        <v>0.73999999999999666</v>
      </c>
    </row>
    <row r="578" spans="1:39">
      <c r="A578" s="18" t="str">
        <f>IF(Volcanic!A578="","",Volcanic!A578)</f>
        <v>3/2006</v>
      </c>
      <c r="B578" s="18">
        <f>IF(ISNUMBER(Volcanic!L578),Volcanic!L578,"")</f>
        <v>2006.2083333333333</v>
      </c>
      <c r="C578" s="21">
        <v>-0.65</v>
      </c>
      <c r="D578" s="18">
        <f t="shared" si="88"/>
        <v>-0.85</v>
      </c>
      <c r="E578" s="18">
        <f>IF(ISNUMBER(Volcanic!B578),Volcanic!B578,"")</f>
        <v>0.63000000000000256</v>
      </c>
      <c r="F578" s="18">
        <f>IF(ISNUMBER(Volcanic!C578),Volcanic!C578,"")</f>
        <v>0.4513901126832936</v>
      </c>
      <c r="G578" s="18">
        <f>IF(ISNUMBER(Volcanic!E578),Volcanic!E578,"")</f>
        <v>6.4599999999999996E-3</v>
      </c>
      <c r="H578" s="18">
        <f>IF(ISNUMBER(Volcanic!D578),Volcanic!D578,"")</f>
        <v>-0.82</v>
      </c>
      <c r="I578" s="18">
        <f t="shared" ref="I578:I641" si="91">F578</f>
        <v>0.4513901126832936</v>
      </c>
      <c r="J578" s="18">
        <f t="shared" ref="J578:J641" si="92">G578</f>
        <v>6.4599999999999996E-3</v>
      </c>
      <c r="K578" s="18">
        <f t="shared" ref="K578:K641" si="93">IF(ISNUMBER(D578),D578,"")</f>
        <v>-0.85</v>
      </c>
      <c r="L578" s="18">
        <f t="shared" ref="L578:L641" si="94">F578</f>
        <v>0.4513901126832936</v>
      </c>
      <c r="M578" s="18">
        <f t="shared" ref="M578:M641" si="95">G578</f>
        <v>6.4599999999999996E-3</v>
      </c>
      <c r="N578" s="18">
        <f t="shared" ref="N578:N641" si="96">IF(ISNUMBER(D578),D578-($AB$8*B578+$AB$9),"")</f>
        <v>-0.74601679592261971</v>
      </c>
      <c r="AK578" s="18">
        <f>IF(AND(ISNUMBER(C578),ISNUMBER(ENSO!F578)),C578-ENSO!F578,"")</f>
        <v>-2.0000000000000018E-2</v>
      </c>
      <c r="AL578" s="18">
        <f t="shared" si="89"/>
        <v>2006.2083333333333</v>
      </c>
      <c r="AM578" s="18">
        <f t="shared" si="90"/>
        <v>0.63000000000000256</v>
      </c>
    </row>
    <row r="579" spans="1:39">
      <c r="A579" s="18" t="str">
        <f>IF(Volcanic!A579="","",Volcanic!A579)</f>
        <v>4/2006</v>
      </c>
      <c r="B579" s="18">
        <f>IF(ISNUMBER(Volcanic!L579),Volcanic!L579,"")</f>
        <v>2006.2916666666667</v>
      </c>
      <c r="C579" s="21">
        <v>-0.42</v>
      </c>
      <c r="D579" s="18">
        <f t="shared" si="88"/>
        <v>-0.93</v>
      </c>
      <c r="E579" s="18">
        <f>IF(ISNUMBER(Volcanic!B579),Volcanic!B579,"")</f>
        <v>0.47000000000000242</v>
      </c>
      <c r="F579" s="18">
        <f>IF(ISNUMBER(Volcanic!C579),Volcanic!C579,"")</f>
        <v>0.45868197193771321</v>
      </c>
      <c r="G579" s="18">
        <f>IF(ISNUMBER(Volcanic!E579),Volcanic!E579,"")</f>
        <v>6.5300000000000002E-3</v>
      </c>
      <c r="H579" s="18">
        <f>IF(ISNUMBER(Volcanic!D579),Volcanic!D579,"")</f>
        <v>-0.86</v>
      </c>
      <c r="I579" s="18">
        <f t="shared" si="91"/>
        <v>0.45868197193771321</v>
      </c>
      <c r="J579" s="18">
        <f t="shared" si="92"/>
        <v>6.5300000000000002E-3</v>
      </c>
      <c r="K579" s="18">
        <f t="shared" si="93"/>
        <v>-0.93</v>
      </c>
      <c r="L579" s="18">
        <f t="shared" si="94"/>
        <v>0.45868197193771321</v>
      </c>
      <c r="M579" s="18">
        <f t="shared" si="95"/>
        <v>6.5300000000000002E-3</v>
      </c>
      <c r="N579" s="18">
        <f t="shared" si="96"/>
        <v>-0.82532677643201813</v>
      </c>
      <c r="AK579" s="18">
        <f>IF(AND(ISNUMBER(C579),ISNUMBER(ENSO!F579)),C579-ENSO!F579,"")</f>
        <v>3.0000000000000027E-2</v>
      </c>
      <c r="AL579" s="18">
        <f t="shared" si="89"/>
        <v>2006.2916666666667</v>
      </c>
      <c r="AM579" s="18">
        <f t="shared" si="90"/>
        <v>0.47000000000000242</v>
      </c>
    </row>
    <row r="580" spans="1:39">
      <c r="A580" s="18" t="str">
        <f>IF(Volcanic!A580="","",Volcanic!A580)</f>
        <v>5/2006</v>
      </c>
      <c r="B580" s="18">
        <f>IF(ISNUMBER(Volcanic!L580),Volcanic!L580,"")</f>
        <v>2006.375</v>
      </c>
      <c r="C580" s="21">
        <v>-0.14000000000000001</v>
      </c>
      <c r="D580" s="18">
        <f t="shared" si="88"/>
        <v>-0.88</v>
      </c>
      <c r="E580" s="18">
        <f>IF(ISNUMBER(Volcanic!B580),Volcanic!B580,"")</f>
        <v>0.47999999999999865</v>
      </c>
      <c r="F580" s="18">
        <f>IF(ISNUMBER(Volcanic!C580),Volcanic!C580,"")</f>
        <v>0.46025578035116405</v>
      </c>
      <c r="G580" s="18">
        <f>IF(ISNUMBER(Volcanic!E580),Volcanic!E580,"")</f>
        <v>6.4999999999999997E-3</v>
      </c>
      <c r="H580" s="18">
        <f>IF(ISNUMBER(Volcanic!D580),Volcanic!D580,"")</f>
        <v>-0.8</v>
      </c>
      <c r="I580" s="18">
        <f t="shared" si="91"/>
        <v>0.46025578035116405</v>
      </c>
      <c r="J580" s="18">
        <f t="shared" si="92"/>
        <v>6.4999999999999997E-3</v>
      </c>
      <c r="K580" s="18">
        <f t="shared" si="93"/>
        <v>-0.88</v>
      </c>
      <c r="L580" s="18">
        <f t="shared" si="94"/>
        <v>0.46025578035116405</v>
      </c>
      <c r="M580" s="18">
        <f t="shared" si="95"/>
        <v>6.4999999999999997E-3</v>
      </c>
      <c r="N580" s="18">
        <f t="shared" si="96"/>
        <v>-0.77463675694141998</v>
      </c>
      <c r="AK580" s="18">
        <f>IF(AND(ISNUMBER(C580),ISNUMBER(ENSO!F580)),C580-ENSO!F580,"")</f>
        <v>4.9999999999999989E-2</v>
      </c>
      <c r="AL580" s="18">
        <f t="shared" si="89"/>
        <v>2006.375</v>
      </c>
      <c r="AM580" s="18">
        <f t="shared" si="90"/>
        <v>0.47999999999999865</v>
      </c>
    </row>
    <row r="581" spans="1:39">
      <c r="A581" s="18" t="str">
        <f>IF(Volcanic!A581="","",Volcanic!A581)</f>
        <v>6/2006</v>
      </c>
      <c r="B581" s="18">
        <f>IF(ISNUMBER(Volcanic!L581),Volcanic!L581,"")</f>
        <v>2006.4583333333333</v>
      </c>
      <c r="C581" s="21">
        <v>-0.03</v>
      </c>
      <c r="D581" s="18">
        <f t="shared" ref="D581:D644" si="97">IF(C578="","",C578)</f>
        <v>-0.65</v>
      </c>
      <c r="E581" s="18">
        <f>IF(ISNUMBER(Volcanic!B581),Volcanic!B581,"")</f>
        <v>0.66999999999999993</v>
      </c>
      <c r="F581" s="18">
        <f>IF(ISNUMBER(Volcanic!C581),Volcanic!C581,"")</f>
        <v>0.45658088651772205</v>
      </c>
      <c r="G581" s="18">
        <f>IF(ISNUMBER(Volcanic!E581),Volcanic!E581,"")</f>
        <v>6.3200000000000001E-3</v>
      </c>
      <c r="H581" s="18">
        <f>IF(ISNUMBER(Volcanic!D581),Volcanic!D581,"")</f>
        <v>-0.63</v>
      </c>
      <c r="I581" s="18">
        <f t="shared" si="91"/>
        <v>0.45658088651772205</v>
      </c>
      <c r="J581" s="18">
        <f t="shared" si="92"/>
        <v>6.3200000000000001E-3</v>
      </c>
      <c r="K581" s="18">
        <f t="shared" si="93"/>
        <v>-0.65</v>
      </c>
      <c r="L581" s="18">
        <f t="shared" si="94"/>
        <v>0.45658088651772205</v>
      </c>
      <c r="M581" s="18">
        <f t="shared" si="95"/>
        <v>6.3200000000000001E-3</v>
      </c>
      <c r="N581" s="18">
        <f t="shared" si="96"/>
        <v>-0.54394673745082189</v>
      </c>
      <c r="AK581" s="18">
        <f>IF(AND(ISNUMBER(C581),ISNUMBER(ENSO!F581)),C581-ENSO!F581,"")</f>
        <v>2.0000000000000004E-2</v>
      </c>
      <c r="AL581" s="18">
        <f t="shared" si="89"/>
        <v>2006.4583333333333</v>
      </c>
      <c r="AM581" s="18">
        <f t="shared" si="90"/>
        <v>0.66999999999999993</v>
      </c>
    </row>
    <row r="582" spans="1:39">
      <c r="A582" s="18" t="str">
        <f>IF(Volcanic!A582="","",Volcanic!A582)</f>
        <v>7/2006</v>
      </c>
      <c r="B582" s="18">
        <f>IF(ISNUMBER(Volcanic!L582),Volcanic!L582,"")</f>
        <v>2006.5416666666667</v>
      </c>
      <c r="C582" s="21">
        <v>0.11</v>
      </c>
      <c r="D582" s="18">
        <f t="shared" si="97"/>
        <v>-0.42</v>
      </c>
      <c r="E582" s="18">
        <f>IF(ISNUMBER(Volcanic!B582),Volcanic!B582,"")</f>
        <v>0.53999999999999915</v>
      </c>
      <c r="F582" s="18">
        <f>IF(ISNUMBER(Volcanic!C582),Volcanic!C582,"")</f>
        <v>0.45059857249129948</v>
      </c>
      <c r="G582" s="18">
        <f>IF(ISNUMBER(Volcanic!E582),Volcanic!E582,"")</f>
        <v>5.94E-3</v>
      </c>
      <c r="H582" s="18">
        <f>IF(ISNUMBER(Volcanic!D582),Volcanic!D582,"")</f>
        <v>-0.45</v>
      </c>
      <c r="I582" s="18">
        <f t="shared" si="91"/>
        <v>0.45059857249129948</v>
      </c>
      <c r="J582" s="18">
        <f t="shared" si="92"/>
        <v>5.94E-3</v>
      </c>
      <c r="K582" s="18">
        <f t="shared" si="93"/>
        <v>-0.42</v>
      </c>
      <c r="L582" s="18">
        <f t="shared" si="94"/>
        <v>0.45059857249129948</v>
      </c>
      <c r="M582" s="18">
        <f t="shared" si="95"/>
        <v>5.94E-3</v>
      </c>
      <c r="N582" s="18">
        <f t="shared" si="96"/>
        <v>-0.31325671796022375</v>
      </c>
      <c r="AK582" s="18">
        <f>IF(AND(ISNUMBER(C582),ISNUMBER(ENSO!F582)),C582-ENSO!F582,"")</f>
        <v>-9.999999999999995E-3</v>
      </c>
      <c r="AL582" s="18">
        <f t="shared" si="89"/>
        <v>2006.5416666666667</v>
      </c>
      <c r="AM582" s="18">
        <f t="shared" si="90"/>
        <v>0.53999999999999915</v>
      </c>
    </row>
    <row r="583" spans="1:39">
      <c r="A583" s="18" t="str">
        <f>IF(Volcanic!A583="","",Volcanic!A583)</f>
        <v>8/2006</v>
      </c>
      <c r="B583" s="18">
        <f>IF(ISNUMBER(Volcanic!L583),Volcanic!L583,"")</f>
        <v>2006.625</v>
      </c>
      <c r="C583" s="21">
        <v>0.31</v>
      </c>
      <c r="D583" s="18">
        <f t="shared" si="97"/>
        <v>-0.14000000000000001</v>
      </c>
      <c r="E583" s="18">
        <f>IF(ISNUMBER(Volcanic!B583),Volcanic!B583,"")</f>
        <v>0.71000000000000085</v>
      </c>
      <c r="F583" s="18">
        <f>IF(ISNUMBER(Volcanic!C583),Volcanic!C583,"")</f>
        <v>0.44284873444169331</v>
      </c>
      <c r="G583" s="18">
        <f>IF(ISNUMBER(Volcanic!E583),Volcanic!E583,"")</f>
        <v>6.1000000000000004E-3</v>
      </c>
      <c r="H583" s="18">
        <f>IF(ISNUMBER(Volcanic!D583),Volcanic!D583,"")</f>
        <v>-0.19</v>
      </c>
      <c r="I583" s="18">
        <f t="shared" si="91"/>
        <v>0.44284873444169331</v>
      </c>
      <c r="J583" s="18">
        <f t="shared" si="92"/>
        <v>6.1000000000000004E-3</v>
      </c>
      <c r="K583" s="18">
        <f t="shared" si="93"/>
        <v>-0.14000000000000001</v>
      </c>
      <c r="L583" s="18">
        <f t="shared" si="94"/>
        <v>0.44284873444169331</v>
      </c>
      <c r="M583" s="18">
        <f t="shared" si="95"/>
        <v>6.1000000000000004E-3</v>
      </c>
      <c r="N583" s="18">
        <f t="shared" si="96"/>
        <v>-3.2566698469625677E-2</v>
      </c>
      <c r="AK583" s="18">
        <f>IF(AND(ISNUMBER(C583),ISNUMBER(ENSO!F583)),C583-ENSO!F583,"")</f>
        <v>-2.0000000000000018E-2</v>
      </c>
      <c r="AL583" s="18">
        <f t="shared" si="89"/>
        <v>2006.625</v>
      </c>
      <c r="AM583" s="18">
        <f t="shared" si="90"/>
        <v>0.71000000000000085</v>
      </c>
    </row>
    <row r="584" spans="1:39">
      <c r="A584" s="18" t="str">
        <f>IF(Volcanic!A584="","",Volcanic!A584)</f>
        <v>9/2006</v>
      </c>
      <c r="B584" s="18">
        <f>IF(ISNUMBER(Volcanic!L584),Volcanic!L584,"")</f>
        <v>2006.7083333333333</v>
      </c>
      <c r="C584" s="21">
        <v>0.54</v>
      </c>
      <c r="D584" s="18">
        <f t="shared" si="97"/>
        <v>-0.03</v>
      </c>
      <c r="E584" s="18">
        <f>IF(ISNUMBER(Volcanic!B584),Volcanic!B584,"")</f>
        <v>0.66000000000000369</v>
      </c>
      <c r="F584" s="18">
        <f>IF(ISNUMBER(Volcanic!C584),Volcanic!C584,"")</f>
        <v>0.4369232765205403</v>
      </c>
      <c r="G584" s="18">
        <f>IF(ISNUMBER(Volcanic!E584),Volcanic!E584,"")</f>
        <v>6.0000000000000001E-3</v>
      </c>
      <c r="H584" s="18">
        <f>IF(ISNUMBER(Volcanic!D584),Volcanic!D584,"")</f>
        <v>-0.05</v>
      </c>
      <c r="I584" s="18">
        <f t="shared" si="91"/>
        <v>0.4369232765205403</v>
      </c>
      <c r="J584" s="18">
        <f t="shared" si="92"/>
        <v>6.0000000000000001E-3</v>
      </c>
      <c r="K584" s="18">
        <f t="shared" si="93"/>
        <v>-0.03</v>
      </c>
      <c r="L584" s="18">
        <f t="shared" si="94"/>
        <v>0.4369232765205403</v>
      </c>
      <c r="M584" s="18">
        <f t="shared" si="95"/>
        <v>6.0000000000000001E-3</v>
      </c>
      <c r="N584" s="18">
        <f t="shared" si="96"/>
        <v>7.8123321020972442E-2</v>
      </c>
      <c r="AK584" s="18">
        <f>IF(AND(ISNUMBER(C584),ISNUMBER(ENSO!F584)),C584-ENSO!F584,"")</f>
        <v>0</v>
      </c>
      <c r="AL584" s="18">
        <f t="shared" si="89"/>
        <v>2006.7083333333333</v>
      </c>
      <c r="AM584" s="18">
        <f t="shared" si="90"/>
        <v>0.66000000000000369</v>
      </c>
    </row>
    <row r="585" spans="1:39">
      <c r="A585" s="18" t="str">
        <f>IF(Volcanic!A585="","",Volcanic!A585)</f>
        <v>10/2006</v>
      </c>
      <c r="B585" s="18">
        <f>IF(ISNUMBER(Volcanic!L585),Volcanic!L585,"")</f>
        <v>2006.7916666666667</v>
      </c>
      <c r="C585" s="21">
        <v>0.75</v>
      </c>
      <c r="D585" s="18">
        <f t="shared" si="97"/>
        <v>0.11</v>
      </c>
      <c r="E585" s="18">
        <f>IF(ISNUMBER(Volcanic!B585),Volcanic!B585,"")</f>
        <v>0.71000000000000085</v>
      </c>
      <c r="F585" s="18">
        <f>IF(ISNUMBER(Volcanic!C585),Volcanic!C585,"")</f>
        <v>0.43802664712394201</v>
      </c>
      <c r="G585" s="18">
        <f>IF(ISNUMBER(Volcanic!E585),Volcanic!E585,"")</f>
        <v>5.8199999999999997E-3</v>
      </c>
      <c r="H585" s="18">
        <f>IF(ISNUMBER(Volcanic!D585),Volcanic!D585,"")</f>
        <v>0.12</v>
      </c>
      <c r="I585" s="18">
        <f t="shared" si="91"/>
        <v>0.43802664712394201</v>
      </c>
      <c r="J585" s="18">
        <f t="shared" si="92"/>
        <v>5.8199999999999997E-3</v>
      </c>
      <c r="K585" s="18">
        <f t="shared" si="93"/>
        <v>0.11</v>
      </c>
      <c r="L585" s="18">
        <f t="shared" si="94"/>
        <v>0.43802664712394201</v>
      </c>
      <c r="M585" s="18">
        <f t="shared" si="95"/>
        <v>5.8199999999999997E-3</v>
      </c>
      <c r="N585" s="18">
        <f t="shared" si="96"/>
        <v>0.21881334051157408</v>
      </c>
      <c r="AK585" s="18">
        <f>IF(AND(ISNUMBER(C585),ISNUMBER(ENSO!F585)),C585-ENSO!F585,"")</f>
        <v>4.0000000000000036E-2</v>
      </c>
      <c r="AL585" s="18">
        <f t="shared" ref="AL585:AL648" si="98">B585</f>
        <v>2006.7916666666667</v>
      </c>
      <c r="AM585" s="18">
        <f t="shared" ref="AM585:AM648" si="99">E585</f>
        <v>0.71000000000000085</v>
      </c>
    </row>
    <row r="586" spans="1:39">
      <c r="A586" s="18" t="str">
        <f>IF(Volcanic!A586="","",Volcanic!A586)</f>
        <v>11/2006</v>
      </c>
      <c r="B586" s="18">
        <f>IF(ISNUMBER(Volcanic!L586),Volcanic!L586,"")</f>
        <v>2006.875</v>
      </c>
      <c r="C586" s="21">
        <v>0.94</v>
      </c>
      <c r="D586" s="18">
        <f t="shared" si="97"/>
        <v>0.31</v>
      </c>
      <c r="E586" s="18">
        <f>IF(ISNUMBER(Volcanic!B586),Volcanic!B586,"")</f>
        <v>0.7300000000000022</v>
      </c>
      <c r="F586" s="18">
        <f>IF(ISNUMBER(Volcanic!C586),Volcanic!C586,"")</f>
        <v>0.44190077787897852</v>
      </c>
      <c r="G586" s="18">
        <f>IF(ISNUMBER(Volcanic!E586),Volcanic!E586,"")</f>
        <v>5.8599999999999998E-3</v>
      </c>
      <c r="H586" s="18">
        <f>IF(ISNUMBER(Volcanic!D586),Volcanic!D586,"")</f>
        <v>0.33</v>
      </c>
      <c r="I586" s="18">
        <f t="shared" si="91"/>
        <v>0.44190077787897852</v>
      </c>
      <c r="J586" s="18">
        <f t="shared" si="92"/>
        <v>5.8599999999999998E-3</v>
      </c>
      <c r="K586" s="18">
        <f t="shared" si="93"/>
        <v>0.31</v>
      </c>
      <c r="L586" s="18">
        <f t="shared" si="94"/>
        <v>0.44190077787897852</v>
      </c>
      <c r="M586" s="18">
        <f t="shared" si="95"/>
        <v>5.8599999999999998E-3</v>
      </c>
      <c r="N586" s="18">
        <f t="shared" si="96"/>
        <v>0.4195033600021722</v>
      </c>
      <c r="AK586" s="18">
        <f>IF(AND(ISNUMBER(C586),ISNUMBER(ENSO!F586)),C586-ENSO!F586,"")</f>
        <v>5.9999999999999942E-2</v>
      </c>
      <c r="AL586" s="18">
        <f t="shared" si="98"/>
        <v>2006.875</v>
      </c>
      <c r="AM586" s="18">
        <f t="shared" si="99"/>
        <v>0.7300000000000022</v>
      </c>
    </row>
    <row r="587" spans="1:39">
      <c r="A587" s="18" t="str">
        <f>IF(Volcanic!A587="","",Volcanic!A587)</f>
        <v>12/2006</v>
      </c>
      <c r="B587" s="18">
        <f>IF(ISNUMBER(Volcanic!L587),Volcanic!L587,"")</f>
        <v>2006.9583333333333</v>
      </c>
      <c r="C587" s="21">
        <v>0.92</v>
      </c>
      <c r="D587" s="18">
        <f t="shared" si="97"/>
        <v>0.54</v>
      </c>
      <c r="E587" s="18">
        <f>IF(ISNUMBER(Volcanic!B587),Volcanic!B587,"")</f>
        <v>0.79000000000000092</v>
      </c>
      <c r="F587" s="18">
        <f>IF(ISNUMBER(Volcanic!C587),Volcanic!C587,"")</f>
        <v>0.44822134288530163</v>
      </c>
      <c r="G587" s="18">
        <f>IF(ISNUMBER(Volcanic!E587),Volcanic!E587,"")</f>
        <v>5.8300000000000001E-3</v>
      </c>
      <c r="H587" s="18">
        <f>IF(ISNUMBER(Volcanic!D587),Volcanic!D587,"")</f>
        <v>0.54</v>
      </c>
      <c r="I587" s="18">
        <f t="shared" si="91"/>
        <v>0.44822134288530163</v>
      </c>
      <c r="J587" s="18">
        <f t="shared" si="92"/>
        <v>5.8300000000000001E-3</v>
      </c>
      <c r="K587" s="18">
        <f t="shared" si="93"/>
        <v>0.54</v>
      </c>
      <c r="L587" s="18">
        <f t="shared" si="94"/>
        <v>0.44822134288530163</v>
      </c>
      <c r="M587" s="18">
        <f t="shared" si="95"/>
        <v>5.8300000000000001E-3</v>
      </c>
      <c r="N587" s="18">
        <f t="shared" si="96"/>
        <v>0.65019337949277034</v>
      </c>
      <c r="AK587" s="18">
        <f>IF(AND(ISNUMBER(C587),ISNUMBER(ENSO!F587)),C587-ENSO!F587,"")</f>
        <v>4.0000000000000036E-2</v>
      </c>
      <c r="AL587" s="18">
        <f t="shared" si="98"/>
        <v>2006.9583333333333</v>
      </c>
      <c r="AM587" s="18">
        <f t="shared" si="99"/>
        <v>0.79000000000000092</v>
      </c>
    </row>
    <row r="588" spans="1:39">
      <c r="A588" s="18" t="str">
        <f>IF(Volcanic!A588="","",Volcanic!A588)</f>
        <v>1/2007</v>
      </c>
      <c r="B588" s="18">
        <f>IF(ISNUMBER(Volcanic!L588),Volcanic!L588,"")</f>
        <v>2007.0416666666667</v>
      </c>
      <c r="C588" s="21">
        <v>0.6</v>
      </c>
      <c r="D588" s="18">
        <f t="shared" si="97"/>
        <v>0.75</v>
      </c>
      <c r="E588" s="18">
        <f>IF(ISNUMBER(Volcanic!B588),Volcanic!B588,"")</f>
        <v>1.0099999999999998</v>
      </c>
      <c r="F588" s="18">
        <f>IF(ISNUMBER(Volcanic!C588),Volcanic!C588,"")</f>
        <v>0.45229419859155129</v>
      </c>
      <c r="G588" s="18">
        <f>IF(ISNUMBER(Volcanic!E588),Volcanic!E588,"")</f>
        <v>6.3200000000000001E-3</v>
      </c>
      <c r="H588" s="18">
        <f>IF(ISNUMBER(Volcanic!D588),Volcanic!D588,"")</f>
        <v>0.71</v>
      </c>
      <c r="I588" s="18">
        <f t="shared" si="91"/>
        <v>0.45229419859155129</v>
      </c>
      <c r="J588" s="18">
        <f t="shared" si="92"/>
        <v>6.3200000000000001E-3</v>
      </c>
      <c r="K588" s="18">
        <f t="shared" si="93"/>
        <v>0.75</v>
      </c>
      <c r="L588" s="18">
        <f t="shared" si="94"/>
        <v>0.45229419859155129</v>
      </c>
      <c r="M588" s="18">
        <f t="shared" si="95"/>
        <v>6.3200000000000001E-3</v>
      </c>
      <c r="N588" s="18">
        <f t="shared" si="96"/>
        <v>0.86088339898337196</v>
      </c>
      <c r="AK588" s="18">
        <f>IF(AND(ISNUMBER(C588),ISNUMBER(ENSO!F588)),C588-ENSO!F588,"")</f>
        <v>-2.0000000000000018E-2</v>
      </c>
      <c r="AL588" s="18">
        <f t="shared" si="98"/>
        <v>2007.0416666666667</v>
      </c>
      <c r="AM588" s="18">
        <f t="shared" si="99"/>
        <v>1.0099999999999998</v>
      </c>
    </row>
    <row r="589" spans="1:39">
      <c r="A589" s="18" t="str">
        <f>IF(Volcanic!A589="","",Volcanic!A589)</f>
        <v>2/2007</v>
      </c>
      <c r="B589" s="18">
        <f>IF(ISNUMBER(Volcanic!L589),Volcanic!L589,"")</f>
        <v>2007.125</v>
      </c>
      <c r="C589" s="21">
        <v>0.16</v>
      </c>
      <c r="D589" s="18">
        <f t="shared" si="97"/>
        <v>0.94</v>
      </c>
      <c r="E589" s="18">
        <f>IF(ISNUMBER(Volcanic!B589),Volcanic!B589,"")</f>
        <v>0.70000000000000107</v>
      </c>
      <c r="F589" s="18">
        <f>IF(ISNUMBER(Volcanic!C589),Volcanic!C589,"")</f>
        <v>0.45613025554704617</v>
      </c>
      <c r="G589" s="18">
        <f>IF(ISNUMBER(Volcanic!E589),Volcanic!E589,"")</f>
        <v>6.8300000000000001E-3</v>
      </c>
      <c r="H589" s="18">
        <f>IF(ISNUMBER(Volcanic!D589),Volcanic!D589,"")</f>
        <v>0.88</v>
      </c>
      <c r="I589" s="18">
        <f t="shared" si="91"/>
        <v>0.45613025554704617</v>
      </c>
      <c r="J589" s="18">
        <f t="shared" si="92"/>
        <v>6.8300000000000001E-3</v>
      </c>
      <c r="K589" s="18">
        <f t="shared" si="93"/>
        <v>0.94</v>
      </c>
      <c r="L589" s="18">
        <f t="shared" si="94"/>
        <v>0.45613025554704617</v>
      </c>
      <c r="M589" s="18">
        <f t="shared" si="95"/>
        <v>6.8300000000000001E-3</v>
      </c>
      <c r="N589" s="18">
        <f t="shared" si="96"/>
        <v>1.05157341847397</v>
      </c>
      <c r="AK589" s="18">
        <f>IF(AND(ISNUMBER(C589),ISNUMBER(ENSO!F589)),C589-ENSO!F589,"")</f>
        <v>-0.03</v>
      </c>
      <c r="AL589" s="18">
        <f t="shared" si="98"/>
        <v>2007.125</v>
      </c>
      <c r="AM589" s="18">
        <f t="shared" si="99"/>
        <v>0.70000000000000107</v>
      </c>
    </row>
    <row r="590" spans="1:39">
      <c r="A590" s="18" t="str">
        <f>IF(Volcanic!A590="","",Volcanic!A590)</f>
        <v>3/2007</v>
      </c>
      <c r="B590" s="18">
        <f>IF(ISNUMBER(Volcanic!L590),Volcanic!L590,"")</f>
        <v>2007.2083333333333</v>
      </c>
      <c r="C590" s="21">
        <v>-0.18</v>
      </c>
      <c r="D590" s="18">
        <f t="shared" si="97"/>
        <v>0.92</v>
      </c>
      <c r="E590" s="18">
        <f>IF(ISNUMBER(Volcanic!B590),Volcanic!B590,"")</f>
        <v>0.71000000000000085</v>
      </c>
      <c r="F590" s="18">
        <f>IF(ISNUMBER(Volcanic!C590),Volcanic!C590,"")</f>
        <v>0.45871946352542553</v>
      </c>
      <c r="G590" s="18">
        <f>IF(ISNUMBER(Volcanic!E590),Volcanic!E590,"")</f>
        <v>7.3600000000000002E-3</v>
      </c>
      <c r="H590" s="18">
        <f>IF(ISNUMBER(Volcanic!D590),Volcanic!D590,"")</f>
        <v>0.88</v>
      </c>
      <c r="I590" s="18">
        <f t="shared" si="91"/>
        <v>0.45871946352542553</v>
      </c>
      <c r="J590" s="18">
        <f t="shared" si="92"/>
        <v>7.3600000000000002E-3</v>
      </c>
      <c r="K590" s="18">
        <f t="shared" si="93"/>
        <v>0.92</v>
      </c>
      <c r="L590" s="18">
        <f t="shared" si="94"/>
        <v>0.45871946352542553</v>
      </c>
      <c r="M590" s="18">
        <f t="shared" si="95"/>
        <v>7.3600000000000002E-3</v>
      </c>
      <c r="N590" s="18">
        <f t="shared" si="96"/>
        <v>1.0322634379645681</v>
      </c>
      <c r="AK590" s="18">
        <f>IF(AND(ISNUMBER(C590),ISNUMBER(ENSO!F590)),C590-ENSO!F590,"")</f>
        <v>-0.06</v>
      </c>
      <c r="AL590" s="18">
        <f t="shared" si="98"/>
        <v>2007.2083333333333</v>
      </c>
      <c r="AM590" s="18">
        <f t="shared" si="99"/>
        <v>0.71000000000000085</v>
      </c>
    </row>
    <row r="591" spans="1:39">
      <c r="A591" s="18" t="str">
        <f>IF(Volcanic!A591="","",Volcanic!A591)</f>
        <v>4/2007</v>
      </c>
      <c r="B591" s="18">
        <f>IF(ISNUMBER(Volcanic!L591),Volcanic!L591,"")</f>
        <v>2007.2916666666667</v>
      </c>
      <c r="C591" s="21">
        <v>-0.36</v>
      </c>
      <c r="D591" s="18">
        <f t="shared" si="97"/>
        <v>0.6</v>
      </c>
      <c r="E591" s="18">
        <f>IF(ISNUMBER(Volcanic!B591),Volcanic!B591,"")</f>
        <v>0.77000000000000135</v>
      </c>
      <c r="F591" s="18">
        <f>IF(ISNUMBER(Volcanic!C591),Volcanic!C591,"")</f>
        <v>0.46589985649655991</v>
      </c>
      <c r="G591" s="18">
        <f>IF(ISNUMBER(Volcanic!E591),Volcanic!E591,"")</f>
        <v>7.5700000000000003E-3</v>
      </c>
      <c r="H591" s="18">
        <f>IF(ISNUMBER(Volcanic!D591),Volcanic!D591,"")</f>
        <v>0.62</v>
      </c>
      <c r="I591" s="18">
        <f t="shared" si="91"/>
        <v>0.46589985649655991</v>
      </c>
      <c r="J591" s="18">
        <f t="shared" si="92"/>
        <v>7.5700000000000003E-3</v>
      </c>
      <c r="K591" s="18">
        <f t="shared" si="93"/>
        <v>0.6</v>
      </c>
      <c r="L591" s="18">
        <f t="shared" si="94"/>
        <v>0.46589985649655991</v>
      </c>
      <c r="M591" s="18">
        <f t="shared" si="95"/>
        <v>7.5700000000000003E-3</v>
      </c>
      <c r="N591" s="18">
        <f t="shared" si="96"/>
        <v>0.7129534574551698</v>
      </c>
      <c r="AK591" s="18">
        <f>IF(AND(ISNUMBER(C591),ISNUMBER(ENSO!F591)),C591-ENSO!F591,"")</f>
        <v>-3.999999999999998E-2</v>
      </c>
      <c r="AL591" s="18">
        <f t="shared" si="98"/>
        <v>2007.2916666666667</v>
      </c>
      <c r="AM591" s="18">
        <f t="shared" si="99"/>
        <v>0.77000000000000135</v>
      </c>
    </row>
    <row r="592" spans="1:39">
      <c r="A592" s="18" t="str">
        <f>IF(Volcanic!A592="","",Volcanic!A592)</f>
        <v>5/2007</v>
      </c>
      <c r="B592" s="18">
        <f>IF(ISNUMBER(Volcanic!L592),Volcanic!L592,"")</f>
        <v>2007.375</v>
      </c>
      <c r="C592" s="21">
        <v>-0.44</v>
      </c>
      <c r="D592" s="18">
        <f t="shared" si="97"/>
        <v>0.16</v>
      </c>
      <c r="E592" s="18">
        <f>IF(ISNUMBER(Volcanic!B592),Volcanic!B592,"")</f>
        <v>0.69000000000000128</v>
      </c>
      <c r="F592" s="18">
        <f>IF(ISNUMBER(Volcanic!C592),Volcanic!C592,"")</f>
        <v>0.46608636928151376</v>
      </c>
      <c r="G592" s="18">
        <f>IF(ISNUMBER(Volcanic!E592),Volcanic!E592,"")</f>
        <v>7.4999999999999997E-3</v>
      </c>
      <c r="H592" s="18">
        <f>IF(ISNUMBER(Volcanic!D592),Volcanic!D592,"")</f>
        <v>0.19</v>
      </c>
      <c r="I592" s="18">
        <f t="shared" si="91"/>
        <v>0.46608636928151376</v>
      </c>
      <c r="J592" s="18">
        <f t="shared" si="92"/>
        <v>7.4999999999999997E-3</v>
      </c>
      <c r="K592" s="18">
        <f t="shared" si="93"/>
        <v>0.16</v>
      </c>
      <c r="L592" s="18">
        <f t="shared" si="94"/>
        <v>0.46608636928151376</v>
      </c>
      <c r="M592" s="18">
        <f t="shared" si="95"/>
        <v>7.4999999999999997E-3</v>
      </c>
      <c r="N592" s="18">
        <f t="shared" si="96"/>
        <v>0.27364347694576796</v>
      </c>
      <c r="AK592" s="18">
        <f>IF(AND(ISNUMBER(C592),ISNUMBER(ENSO!F592)),C592-ENSO!F592,"")</f>
        <v>-9.9999999999999978E-2</v>
      </c>
      <c r="AL592" s="18">
        <f t="shared" si="98"/>
        <v>2007.375</v>
      </c>
      <c r="AM592" s="18">
        <f t="shared" si="99"/>
        <v>0.69000000000000128</v>
      </c>
    </row>
    <row r="593" spans="1:39">
      <c r="A593" s="18" t="str">
        <f>IF(Volcanic!A593="","",Volcanic!A593)</f>
        <v>6/2007</v>
      </c>
      <c r="B593" s="18">
        <f>IF(ISNUMBER(Volcanic!L593),Volcanic!L593,"")</f>
        <v>2007.4583333333333</v>
      </c>
      <c r="C593" s="21">
        <v>-0.53</v>
      </c>
      <c r="D593" s="18">
        <f t="shared" si="97"/>
        <v>-0.18</v>
      </c>
      <c r="E593" s="18">
        <f>IF(ISNUMBER(Volcanic!B593),Volcanic!B593,"")</f>
        <v>0.61000000000000121</v>
      </c>
      <c r="F593" s="18">
        <f>IF(ISNUMBER(Volcanic!C593),Volcanic!C593,"")</f>
        <v>0.4644068855296089</v>
      </c>
      <c r="G593" s="18">
        <f>IF(ISNUMBER(Volcanic!E593),Volcanic!E593,"")</f>
        <v>8.3800000000000003E-3</v>
      </c>
      <c r="H593" s="18">
        <f>IF(ISNUMBER(Volcanic!D593),Volcanic!D593,"")</f>
        <v>-0.12</v>
      </c>
      <c r="I593" s="18">
        <f t="shared" si="91"/>
        <v>0.4644068855296089</v>
      </c>
      <c r="J593" s="18">
        <f t="shared" si="92"/>
        <v>8.3800000000000003E-3</v>
      </c>
      <c r="K593" s="18">
        <f t="shared" si="93"/>
        <v>-0.18</v>
      </c>
      <c r="L593" s="18">
        <f t="shared" si="94"/>
        <v>0.4644068855296089</v>
      </c>
      <c r="M593" s="18">
        <f t="shared" si="95"/>
        <v>8.3800000000000003E-3</v>
      </c>
      <c r="N593" s="18">
        <f t="shared" si="96"/>
        <v>-6.566650356363396E-2</v>
      </c>
      <c r="AK593" s="18">
        <f>IF(AND(ISNUMBER(C593),ISNUMBER(ENSO!F593)),C593-ENSO!F593,"")</f>
        <v>-0.12000000000000005</v>
      </c>
      <c r="AL593" s="18">
        <f t="shared" si="98"/>
        <v>2007.4583333333333</v>
      </c>
      <c r="AM593" s="18">
        <f t="shared" si="99"/>
        <v>0.61000000000000121</v>
      </c>
    </row>
    <row r="594" spans="1:39">
      <c r="A594" s="18" t="str">
        <f>IF(Volcanic!A594="","",Volcanic!A594)</f>
        <v>7/2007</v>
      </c>
      <c r="B594" s="18">
        <f>IF(ISNUMBER(Volcanic!L594),Volcanic!L594,"")</f>
        <v>2007.5416666666667</v>
      </c>
      <c r="C594" s="21">
        <v>-0.59</v>
      </c>
      <c r="D594" s="18">
        <f t="shared" si="97"/>
        <v>-0.36</v>
      </c>
      <c r="E594" s="18">
        <f>IF(ISNUMBER(Volcanic!B594),Volcanic!B594,"")</f>
        <v>0.60000000000000142</v>
      </c>
      <c r="F594" s="18">
        <f>IF(ISNUMBER(Volcanic!C594),Volcanic!C594,"")</f>
        <v>0.45841950353975386</v>
      </c>
      <c r="G594" s="18">
        <f>IF(ISNUMBER(Volcanic!E594),Volcanic!E594,"")</f>
        <v>8.8000000000000005E-3</v>
      </c>
      <c r="H594" s="18">
        <f>IF(ISNUMBER(Volcanic!D594),Volcanic!D594,"")</f>
        <v>-0.32</v>
      </c>
      <c r="I594" s="18">
        <f t="shared" si="91"/>
        <v>0.45841950353975386</v>
      </c>
      <c r="J594" s="18">
        <f t="shared" si="92"/>
        <v>8.8000000000000005E-3</v>
      </c>
      <c r="K594" s="18">
        <f t="shared" si="93"/>
        <v>-0.36</v>
      </c>
      <c r="L594" s="18">
        <f t="shared" si="94"/>
        <v>0.45841950353975386</v>
      </c>
      <c r="M594" s="18">
        <f t="shared" si="95"/>
        <v>8.8000000000000005E-3</v>
      </c>
      <c r="N594" s="18">
        <f t="shared" si="96"/>
        <v>-0.24497648407303585</v>
      </c>
      <c r="AK594" s="18">
        <f>IF(AND(ISNUMBER(C594),ISNUMBER(ENSO!F594)),C594-ENSO!F594,"")</f>
        <v>-9.9999999999999978E-2</v>
      </c>
      <c r="AL594" s="18">
        <f t="shared" si="98"/>
        <v>2007.5416666666667</v>
      </c>
      <c r="AM594" s="18">
        <f t="shared" si="99"/>
        <v>0.60000000000000142</v>
      </c>
    </row>
    <row r="595" spans="1:39">
      <c r="A595" s="18" t="str">
        <f>IF(Volcanic!A595="","",Volcanic!A595)</f>
        <v>8/2007</v>
      </c>
      <c r="B595" s="18">
        <f>IF(ISNUMBER(Volcanic!L595),Volcanic!L595,"")</f>
        <v>2007.625</v>
      </c>
      <c r="C595" s="21">
        <v>-0.81</v>
      </c>
      <c r="D595" s="18">
        <f t="shared" si="97"/>
        <v>-0.44</v>
      </c>
      <c r="E595" s="18">
        <f>IF(ISNUMBER(Volcanic!B595),Volcanic!B595,"")</f>
        <v>0.60000000000000142</v>
      </c>
      <c r="F595" s="18">
        <f>IF(ISNUMBER(Volcanic!C595),Volcanic!C595,"")</f>
        <v>0.44905193173664115</v>
      </c>
      <c r="G595" s="18">
        <f>IF(ISNUMBER(Volcanic!E595),Volcanic!E595,"")</f>
        <v>8.9800000000000001E-3</v>
      </c>
      <c r="H595" s="18">
        <f>IF(ISNUMBER(Volcanic!D595),Volcanic!D595,"")</f>
        <v>-0.34</v>
      </c>
      <c r="I595" s="18">
        <f t="shared" si="91"/>
        <v>0.44905193173664115</v>
      </c>
      <c r="J595" s="18">
        <f t="shared" si="92"/>
        <v>8.9800000000000001E-3</v>
      </c>
      <c r="K595" s="18">
        <f t="shared" si="93"/>
        <v>-0.44</v>
      </c>
      <c r="L595" s="18">
        <f t="shared" si="94"/>
        <v>0.44905193173664115</v>
      </c>
      <c r="M595" s="18">
        <f t="shared" si="95"/>
        <v>8.9800000000000001E-3</v>
      </c>
      <c r="N595" s="18">
        <f t="shared" si="96"/>
        <v>-0.32428646458243421</v>
      </c>
      <c r="AK595" s="18">
        <f>IF(AND(ISNUMBER(C595),ISNUMBER(ENSO!F595)),C595-ENSO!F595,"")</f>
        <v>-4.0000000000000036E-2</v>
      </c>
      <c r="AL595" s="18">
        <f t="shared" si="98"/>
        <v>2007.625</v>
      </c>
      <c r="AM595" s="18">
        <f t="shared" si="99"/>
        <v>0.60000000000000142</v>
      </c>
    </row>
    <row r="596" spans="1:39">
      <c r="A596" s="18" t="str">
        <f>IF(Volcanic!A596="","",Volcanic!A596)</f>
        <v>9/2007</v>
      </c>
      <c r="B596" s="18">
        <f>IF(ISNUMBER(Volcanic!L596),Volcanic!L596,"")</f>
        <v>2007.7083333333333</v>
      </c>
      <c r="C596" s="21">
        <v>-1.05</v>
      </c>
      <c r="D596" s="18">
        <f t="shared" si="97"/>
        <v>-0.53</v>
      </c>
      <c r="E596" s="18">
        <f>IF(ISNUMBER(Volcanic!B596),Volcanic!B596,"")</f>
        <v>0.60000000000000142</v>
      </c>
      <c r="F596" s="18">
        <f>IF(ISNUMBER(Volcanic!C596),Volcanic!C596,"")</f>
        <v>0.44512129207761308</v>
      </c>
      <c r="G596" s="18">
        <f>IF(ISNUMBER(Volcanic!E596),Volcanic!E596,"")</f>
        <v>8.9300000000000004E-3</v>
      </c>
      <c r="H596" s="18">
        <f>IF(ISNUMBER(Volcanic!D596),Volcanic!D596,"")</f>
        <v>-0.41</v>
      </c>
      <c r="I596" s="18">
        <f t="shared" si="91"/>
        <v>0.44512129207761308</v>
      </c>
      <c r="J596" s="18">
        <f t="shared" si="92"/>
        <v>8.9300000000000004E-3</v>
      </c>
      <c r="K596" s="18">
        <f t="shared" si="93"/>
        <v>-0.53</v>
      </c>
      <c r="L596" s="18">
        <f t="shared" si="94"/>
        <v>0.44512129207761308</v>
      </c>
      <c r="M596" s="18">
        <f t="shared" si="95"/>
        <v>8.9300000000000004E-3</v>
      </c>
      <c r="N596" s="18">
        <f t="shared" si="96"/>
        <v>-0.41359644509183613</v>
      </c>
      <c r="AK596" s="18">
        <f>IF(AND(ISNUMBER(C596),ISNUMBER(ENSO!F596)),C596-ENSO!F596,"")</f>
        <v>0</v>
      </c>
      <c r="AL596" s="18">
        <f t="shared" si="98"/>
        <v>2007.7083333333333</v>
      </c>
      <c r="AM596" s="18">
        <f t="shared" si="99"/>
        <v>0.60000000000000142</v>
      </c>
    </row>
    <row r="597" spans="1:39">
      <c r="A597" s="18" t="str">
        <f>IF(Volcanic!A597="","",Volcanic!A597)</f>
        <v>10/2007</v>
      </c>
      <c r="B597" s="18">
        <f>IF(ISNUMBER(Volcanic!L597),Volcanic!L597,"")</f>
        <v>2007.7916666666667</v>
      </c>
      <c r="C597" s="21">
        <v>-1.29</v>
      </c>
      <c r="D597" s="18">
        <f t="shared" si="97"/>
        <v>-0.59</v>
      </c>
      <c r="E597" s="18">
        <f>IF(ISNUMBER(Volcanic!B597),Volcanic!B597,"")</f>
        <v>0.58999999999999986</v>
      </c>
      <c r="F597" s="18">
        <f>IF(ISNUMBER(Volcanic!C597),Volcanic!C597,"")</f>
        <v>0.44576453312043945</v>
      </c>
      <c r="G597" s="18">
        <f>IF(ISNUMBER(Volcanic!E597),Volcanic!E597,"")</f>
        <v>8.1600000000000006E-3</v>
      </c>
      <c r="H597" s="18">
        <f>IF(ISNUMBER(Volcanic!D597),Volcanic!D597,"")</f>
        <v>-0.49</v>
      </c>
      <c r="I597" s="18">
        <f t="shared" si="91"/>
        <v>0.44576453312043945</v>
      </c>
      <c r="J597" s="18">
        <f t="shared" si="92"/>
        <v>8.1600000000000006E-3</v>
      </c>
      <c r="K597" s="18">
        <f t="shared" si="93"/>
        <v>-0.59</v>
      </c>
      <c r="L597" s="18">
        <f t="shared" si="94"/>
        <v>0.44576453312043945</v>
      </c>
      <c r="M597" s="18">
        <f t="shared" si="95"/>
        <v>8.1600000000000006E-3</v>
      </c>
      <c r="N597" s="18">
        <f t="shared" si="96"/>
        <v>-0.47290642560123797</v>
      </c>
      <c r="AK597" s="18">
        <f>IF(AND(ISNUMBER(C597),ISNUMBER(ENSO!F597)),C597-ENSO!F597,"")</f>
        <v>8.9999999999999858E-2</v>
      </c>
      <c r="AL597" s="18">
        <f t="shared" si="98"/>
        <v>2007.7916666666667</v>
      </c>
      <c r="AM597" s="18">
        <f t="shared" si="99"/>
        <v>0.58999999999999986</v>
      </c>
    </row>
    <row r="598" spans="1:39">
      <c r="A598" s="18" t="str">
        <f>IF(Volcanic!A598="","",Volcanic!A598)</f>
        <v>11/2007</v>
      </c>
      <c r="B598" s="18">
        <f>IF(ISNUMBER(Volcanic!L598),Volcanic!L598,"")</f>
        <v>2007.875</v>
      </c>
      <c r="C598" s="21">
        <v>-1.41</v>
      </c>
      <c r="D598" s="18">
        <f t="shared" si="97"/>
        <v>-0.81</v>
      </c>
      <c r="E598" s="18">
        <f>IF(ISNUMBER(Volcanic!B598),Volcanic!B598,"")</f>
        <v>0.58999999999999986</v>
      </c>
      <c r="F598" s="18">
        <f>IF(ISNUMBER(Volcanic!C598),Volcanic!C598,"")</f>
        <v>0.4507870738361669</v>
      </c>
      <c r="G598" s="18">
        <f>IF(ISNUMBER(Volcanic!E598),Volcanic!E598,"")</f>
        <v>7.7999999999999996E-3</v>
      </c>
      <c r="H598" s="18">
        <f>IF(ISNUMBER(Volcanic!D598),Volcanic!D598,"")</f>
        <v>-0.77</v>
      </c>
      <c r="I598" s="18">
        <f t="shared" si="91"/>
        <v>0.4507870738361669</v>
      </c>
      <c r="J598" s="18">
        <f t="shared" si="92"/>
        <v>7.7999999999999996E-3</v>
      </c>
      <c r="K598" s="18">
        <f t="shared" si="93"/>
        <v>-0.81</v>
      </c>
      <c r="L598" s="18">
        <f t="shared" si="94"/>
        <v>0.4507870738361669</v>
      </c>
      <c r="M598" s="18">
        <f t="shared" si="95"/>
        <v>7.7999999999999996E-3</v>
      </c>
      <c r="N598" s="18">
        <f t="shared" si="96"/>
        <v>-0.69221640611063995</v>
      </c>
      <c r="AK598" s="18">
        <f>IF(AND(ISNUMBER(C598),ISNUMBER(ENSO!F598)),C598-ENSO!F598,"")</f>
        <v>0.16000000000000014</v>
      </c>
      <c r="AL598" s="18">
        <f t="shared" si="98"/>
        <v>2007.875</v>
      </c>
      <c r="AM598" s="18">
        <f t="shared" si="99"/>
        <v>0.58999999999999986</v>
      </c>
    </row>
    <row r="599" spans="1:39">
      <c r="A599" s="18" t="str">
        <f>IF(Volcanic!A599="","",Volcanic!A599)</f>
        <v>12/2007</v>
      </c>
      <c r="B599" s="18">
        <f>IF(ISNUMBER(Volcanic!L599),Volcanic!L599,"")</f>
        <v>2007.9583333333333</v>
      </c>
      <c r="C599" s="21">
        <v>-1.51</v>
      </c>
      <c r="D599" s="18">
        <f t="shared" si="97"/>
        <v>-1.05</v>
      </c>
      <c r="E599" s="18">
        <f>IF(ISNUMBER(Volcanic!B599),Volcanic!B599,"")</f>
        <v>0.5</v>
      </c>
      <c r="F599" s="18">
        <f>IF(ISNUMBER(Volcanic!C599),Volcanic!C599,"")</f>
        <v>0.45639314071876497</v>
      </c>
      <c r="G599" s="18">
        <f>IF(ISNUMBER(Volcanic!E599),Volcanic!E599,"")</f>
        <v>7.4400000000000004E-3</v>
      </c>
      <c r="H599" s="18">
        <f>IF(ISNUMBER(Volcanic!D599),Volcanic!D599,"")</f>
        <v>-1.05</v>
      </c>
      <c r="I599" s="18">
        <f t="shared" si="91"/>
        <v>0.45639314071876497</v>
      </c>
      <c r="J599" s="18">
        <f t="shared" si="92"/>
        <v>7.4400000000000004E-3</v>
      </c>
      <c r="K599" s="18">
        <f t="shared" si="93"/>
        <v>-1.05</v>
      </c>
      <c r="L599" s="18">
        <f t="shared" si="94"/>
        <v>0.45639314071876497</v>
      </c>
      <c r="M599" s="18">
        <f t="shared" si="95"/>
        <v>7.4400000000000004E-3</v>
      </c>
      <c r="N599" s="18">
        <f t="shared" si="96"/>
        <v>-0.93152638662004184</v>
      </c>
      <c r="AK599" s="18">
        <f>IF(AND(ISNUMBER(C599),ISNUMBER(ENSO!F599)),C599-ENSO!F599,"")</f>
        <v>0.20999999999999996</v>
      </c>
      <c r="AL599" s="18">
        <f t="shared" si="98"/>
        <v>2007.9583333333333</v>
      </c>
      <c r="AM599" s="18">
        <f t="shared" si="99"/>
        <v>0.5</v>
      </c>
    </row>
    <row r="600" spans="1:39">
      <c r="A600" s="18" t="str">
        <f>IF(Volcanic!A600="","",Volcanic!A600)</f>
        <v>1/2008</v>
      </c>
      <c r="B600" s="18">
        <f>IF(ISNUMBER(Volcanic!L600),Volcanic!L600,"")</f>
        <v>2008.0416666666667</v>
      </c>
      <c r="C600" s="21">
        <v>-1.6</v>
      </c>
      <c r="D600" s="18">
        <f t="shared" si="97"/>
        <v>-1.29</v>
      </c>
      <c r="E600" s="18">
        <f>IF(ISNUMBER(Volcanic!B600),Volcanic!B600,"")</f>
        <v>0.30000000000000249</v>
      </c>
      <c r="F600" s="18">
        <f>IF(ISNUMBER(Volcanic!C600),Volcanic!C600,"")</f>
        <v>0.46235152448856948</v>
      </c>
      <c r="G600" s="18">
        <f>IF(ISNUMBER(Volcanic!E600),Volcanic!E600,"")</f>
        <v>7.2100000000000003E-3</v>
      </c>
      <c r="H600" s="18">
        <f>IF(ISNUMBER(Volcanic!D600),Volcanic!D600,"")</f>
        <v>-1.38</v>
      </c>
      <c r="I600" s="18">
        <f t="shared" si="91"/>
        <v>0.46235152448856948</v>
      </c>
      <c r="J600" s="18">
        <f t="shared" si="92"/>
        <v>7.2100000000000003E-3</v>
      </c>
      <c r="K600" s="18">
        <f t="shared" si="93"/>
        <v>-1.29</v>
      </c>
      <c r="L600" s="18">
        <f t="shared" si="94"/>
        <v>0.46235152448856948</v>
      </c>
      <c r="M600" s="18">
        <f t="shared" si="95"/>
        <v>7.2100000000000003E-3</v>
      </c>
      <c r="N600" s="18">
        <f t="shared" si="96"/>
        <v>-1.1708363671294402</v>
      </c>
      <c r="AK600" s="18">
        <f>IF(AND(ISNUMBER(C600),ISNUMBER(ENSO!F600)),C600-ENSO!F600,"")</f>
        <v>0.15999999999999992</v>
      </c>
      <c r="AL600" s="18">
        <f t="shared" si="98"/>
        <v>2008.0416666666667</v>
      </c>
      <c r="AM600" s="18">
        <f t="shared" si="99"/>
        <v>0.30000000000000249</v>
      </c>
    </row>
    <row r="601" spans="1:39">
      <c r="A601" s="18" t="str">
        <f>IF(Volcanic!A601="","",Volcanic!A601)</f>
        <v>2/2008</v>
      </c>
      <c r="B601" s="18">
        <f>IF(ISNUMBER(Volcanic!L601),Volcanic!L601,"")</f>
        <v>2008.125</v>
      </c>
      <c r="C601" s="21">
        <v>-1.49</v>
      </c>
      <c r="D601" s="18">
        <f t="shared" si="97"/>
        <v>-1.41</v>
      </c>
      <c r="E601" s="18">
        <f>IF(ISNUMBER(Volcanic!B601),Volcanic!B601,"")</f>
        <v>0.38000000000000256</v>
      </c>
      <c r="F601" s="18">
        <f>IF(ISNUMBER(Volcanic!C601),Volcanic!C601,"")</f>
        <v>0.46339825601108536</v>
      </c>
      <c r="G601" s="18">
        <f>IF(ISNUMBER(Volcanic!E601),Volcanic!E601,"")</f>
        <v>7.1500000000000001E-3</v>
      </c>
      <c r="H601" s="18">
        <f>IF(ISNUMBER(Volcanic!D601),Volcanic!D601,"")</f>
        <v>-1.57</v>
      </c>
      <c r="I601" s="18">
        <f t="shared" si="91"/>
        <v>0.46339825601108536</v>
      </c>
      <c r="J601" s="18">
        <f t="shared" si="92"/>
        <v>7.1500000000000001E-3</v>
      </c>
      <c r="K601" s="18">
        <f t="shared" si="93"/>
        <v>-1.41</v>
      </c>
      <c r="L601" s="18">
        <f t="shared" si="94"/>
        <v>0.46339825601108536</v>
      </c>
      <c r="M601" s="18">
        <f t="shared" si="95"/>
        <v>7.1500000000000001E-3</v>
      </c>
      <c r="N601" s="18">
        <f t="shared" si="96"/>
        <v>-1.290146347638842</v>
      </c>
      <c r="AK601" s="18">
        <f>IF(AND(ISNUMBER(C601),ISNUMBER(ENSO!F601)),C601-ENSO!F601,"")</f>
        <v>0.12000000000000011</v>
      </c>
      <c r="AL601" s="18">
        <f t="shared" si="98"/>
        <v>2008.125</v>
      </c>
      <c r="AM601" s="18">
        <f t="shared" si="99"/>
        <v>0.38000000000000256</v>
      </c>
    </row>
    <row r="602" spans="1:39">
      <c r="A602" s="18" t="str">
        <f>IF(Volcanic!A602="","",Volcanic!A602)</f>
        <v>3/2008</v>
      </c>
      <c r="B602" s="18">
        <f>IF(ISNUMBER(Volcanic!L602),Volcanic!L602,"")</f>
        <v>2008.2083333333333</v>
      </c>
      <c r="C602" s="21">
        <v>-1.26</v>
      </c>
      <c r="D602" s="18">
        <f t="shared" si="97"/>
        <v>-1.51</v>
      </c>
      <c r="E602" s="18">
        <f>IF(ISNUMBER(Volcanic!B602),Volcanic!B602,"")</f>
        <v>0.75</v>
      </c>
      <c r="F602" s="18">
        <f>IF(ISNUMBER(Volcanic!C602),Volcanic!C602,"")</f>
        <v>0.46422015547914297</v>
      </c>
      <c r="G602" s="18">
        <f>IF(ISNUMBER(Volcanic!E602),Volcanic!E602,"")</f>
        <v>7.1999999999999998E-3</v>
      </c>
      <c r="H602" s="18">
        <f>IF(ISNUMBER(Volcanic!D602),Volcanic!D602,"")</f>
        <v>-1.72</v>
      </c>
      <c r="I602" s="18">
        <f t="shared" si="91"/>
        <v>0.46422015547914297</v>
      </c>
      <c r="J602" s="18">
        <f t="shared" si="92"/>
        <v>7.1999999999999998E-3</v>
      </c>
      <c r="K602" s="18">
        <f t="shared" si="93"/>
        <v>-1.51</v>
      </c>
      <c r="L602" s="18">
        <f t="shared" si="94"/>
        <v>0.46422015547914297</v>
      </c>
      <c r="M602" s="18">
        <f t="shared" si="95"/>
        <v>7.1999999999999998E-3</v>
      </c>
      <c r="N602" s="18">
        <f t="shared" si="96"/>
        <v>-1.3894563281482439</v>
      </c>
      <c r="AK602" s="18">
        <f>IF(AND(ISNUMBER(C602),ISNUMBER(ENSO!F602)),C602-ENSO!F602,"")</f>
        <v>0.1100000000000001</v>
      </c>
      <c r="AL602" s="18">
        <f t="shared" si="98"/>
        <v>2008.2083333333333</v>
      </c>
      <c r="AM602" s="18">
        <f t="shared" si="99"/>
        <v>0.75</v>
      </c>
    </row>
    <row r="603" spans="1:39">
      <c r="A603" s="18" t="str">
        <f>IF(Volcanic!A603="","",Volcanic!A603)</f>
        <v>4/2008</v>
      </c>
      <c r="B603" s="18">
        <f>IF(ISNUMBER(Volcanic!L603),Volcanic!L603,"")</f>
        <v>2008.2916666666667</v>
      </c>
      <c r="C603" s="21">
        <v>-0.95</v>
      </c>
      <c r="D603" s="18">
        <f t="shared" si="97"/>
        <v>-1.6</v>
      </c>
      <c r="E603" s="18">
        <f>IF(ISNUMBER(Volcanic!B603),Volcanic!B603,"")</f>
        <v>0.53999999999999915</v>
      </c>
      <c r="F603" s="18">
        <f>IF(ISNUMBER(Volcanic!C603),Volcanic!C603,"")</f>
        <v>0.46813642006500927</v>
      </c>
      <c r="G603" s="18">
        <f>IF(ISNUMBER(Volcanic!E603),Volcanic!E603,"")</f>
        <v>7.11E-3</v>
      </c>
      <c r="H603" s="18">
        <f>IF(ISNUMBER(Volcanic!D603),Volcanic!D603,"")</f>
        <v>-1.76</v>
      </c>
      <c r="I603" s="18">
        <f t="shared" si="91"/>
        <v>0.46813642006500927</v>
      </c>
      <c r="J603" s="18">
        <f t="shared" si="92"/>
        <v>7.11E-3</v>
      </c>
      <c r="K603" s="18">
        <f t="shared" si="93"/>
        <v>-1.6</v>
      </c>
      <c r="L603" s="18">
        <f t="shared" si="94"/>
        <v>0.46813642006500927</v>
      </c>
      <c r="M603" s="18">
        <f t="shared" si="95"/>
        <v>7.11E-3</v>
      </c>
      <c r="N603" s="18">
        <f t="shared" si="96"/>
        <v>-1.4787663086576424</v>
      </c>
      <c r="AK603" s="18">
        <f>IF(AND(ISNUMBER(C603),ISNUMBER(ENSO!F603)),C603-ENSO!F603,"")</f>
        <v>0.10000000000000009</v>
      </c>
      <c r="AL603" s="18">
        <f t="shared" si="98"/>
        <v>2008.2916666666667</v>
      </c>
      <c r="AM603" s="18">
        <f t="shared" si="99"/>
        <v>0.53999999999999915</v>
      </c>
    </row>
    <row r="604" spans="1:39">
      <c r="A604" s="18" t="str">
        <f>IF(Volcanic!A604="","",Volcanic!A604)</f>
        <v>5/2008</v>
      </c>
      <c r="B604" s="18">
        <f>IF(ISNUMBER(Volcanic!L604),Volcanic!L604,"")</f>
        <v>2008.375</v>
      </c>
      <c r="C604" s="21">
        <v>-0.76</v>
      </c>
      <c r="D604" s="18">
        <f t="shared" si="97"/>
        <v>-1.49</v>
      </c>
      <c r="E604" s="18">
        <f>IF(ISNUMBER(Volcanic!B604),Volcanic!B604,"")</f>
        <v>0.5</v>
      </c>
      <c r="F604" s="18">
        <f>IF(ISNUMBER(Volcanic!C604),Volcanic!C604,"")</f>
        <v>0.47352717715675879</v>
      </c>
      <c r="G604" s="18">
        <f>IF(ISNUMBER(Volcanic!E604),Volcanic!E604,"")</f>
        <v>6.9800000000000001E-3</v>
      </c>
      <c r="H604" s="18">
        <f>IF(ISNUMBER(Volcanic!D604),Volcanic!D604,"")</f>
        <v>-1.61</v>
      </c>
      <c r="I604" s="18">
        <f t="shared" si="91"/>
        <v>0.47352717715675879</v>
      </c>
      <c r="J604" s="18">
        <f t="shared" si="92"/>
        <v>6.9800000000000001E-3</v>
      </c>
      <c r="K604" s="18">
        <f t="shared" si="93"/>
        <v>-1.49</v>
      </c>
      <c r="L604" s="18">
        <f t="shared" si="94"/>
        <v>0.47352717715675879</v>
      </c>
      <c r="M604" s="18">
        <f t="shared" si="95"/>
        <v>6.9800000000000001E-3</v>
      </c>
      <c r="N604" s="18">
        <f t="shared" si="96"/>
        <v>-1.3680762891670442</v>
      </c>
      <c r="AK604" s="18">
        <f>IF(AND(ISNUMBER(C604),ISNUMBER(ENSO!F604)),C604-ENSO!F604,"")</f>
        <v>8.9999999999999969E-2</v>
      </c>
      <c r="AL604" s="18">
        <f t="shared" si="98"/>
        <v>2008.375</v>
      </c>
      <c r="AM604" s="18">
        <f t="shared" si="99"/>
        <v>0.5</v>
      </c>
    </row>
    <row r="605" spans="1:39">
      <c r="A605" s="18" t="str">
        <f>IF(Volcanic!A605="","",Volcanic!A605)</f>
        <v>6/2008</v>
      </c>
      <c r="B605" s="18">
        <f>IF(ISNUMBER(Volcanic!L605),Volcanic!L605,"")</f>
        <v>2008.4583333333333</v>
      </c>
      <c r="C605" s="21">
        <v>-0.5</v>
      </c>
      <c r="D605" s="18">
        <f t="shared" si="97"/>
        <v>-1.26</v>
      </c>
      <c r="E605" s="18">
        <f>IF(ISNUMBER(Volcanic!B605),Volcanic!B605,"")</f>
        <v>0.5</v>
      </c>
      <c r="F605" s="18">
        <f>IF(ISNUMBER(Volcanic!C605),Volcanic!C605,"")</f>
        <v>0.47059264190111394</v>
      </c>
      <c r="G605" s="18">
        <f>IF(ISNUMBER(Volcanic!E605),Volcanic!E605,"")</f>
        <v>6.94E-3</v>
      </c>
      <c r="H605" s="18">
        <f>IF(ISNUMBER(Volcanic!D605),Volcanic!D605,"")</f>
        <v>-1.37</v>
      </c>
      <c r="I605" s="18">
        <f t="shared" si="91"/>
        <v>0.47059264190111394</v>
      </c>
      <c r="J605" s="18">
        <f t="shared" si="92"/>
        <v>6.94E-3</v>
      </c>
      <c r="K605" s="18">
        <f t="shared" si="93"/>
        <v>-1.26</v>
      </c>
      <c r="L605" s="18">
        <f t="shared" si="94"/>
        <v>0.47059264190111394</v>
      </c>
      <c r="M605" s="18">
        <f t="shared" si="95"/>
        <v>6.94E-3</v>
      </c>
      <c r="N605" s="18">
        <f t="shared" si="96"/>
        <v>-1.1373862696764461</v>
      </c>
      <c r="AK605" s="18">
        <f>IF(AND(ISNUMBER(C605),ISNUMBER(ENSO!F605)),C605-ENSO!F605,"")</f>
        <v>6.0000000000000053E-2</v>
      </c>
      <c r="AL605" s="18">
        <f t="shared" si="98"/>
        <v>2008.4583333333333</v>
      </c>
      <c r="AM605" s="18">
        <f t="shared" si="99"/>
        <v>0.5</v>
      </c>
    </row>
    <row r="606" spans="1:39">
      <c r="A606" s="18" t="str">
        <f>IF(Volcanic!A606="","",Volcanic!A606)</f>
        <v>7/2008</v>
      </c>
      <c r="B606" s="18">
        <f>IF(ISNUMBER(Volcanic!L606),Volcanic!L606,"")</f>
        <v>2008.5416666666667</v>
      </c>
      <c r="C606" s="21">
        <v>-0.28999999999999998</v>
      </c>
      <c r="D606" s="18">
        <f t="shared" si="97"/>
        <v>-0.95</v>
      </c>
      <c r="E606" s="18">
        <f>IF(ISNUMBER(Volcanic!B606),Volcanic!B606,"")</f>
        <v>0.60000000000000142</v>
      </c>
      <c r="F606" s="18">
        <f>IF(ISNUMBER(Volcanic!C606),Volcanic!C606,"")</f>
        <v>0.46548944347381965</v>
      </c>
      <c r="G606" s="18">
        <f>IF(ISNUMBER(Volcanic!E606),Volcanic!E606,"")</f>
        <v>6.5900000000000004E-3</v>
      </c>
      <c r="H606" s="18">
        <f>IF(ISNUMBER(Volcanic!D606),Volcanic!D606,"")</f>
        <v>-1.05</v>
      </c>
      <c r="I606" s="18">
        <f t="shared" si="91"/>
        <v>0.46548944347381965</v>
      </c>
      <c r="J606" s="18">
        <f t="shared" si="92"/>
        <v>6.5900000000000004E-3</v>
      </c>
      <c r="K606" s="18">
        <f t="shared" si="93"/>
        <v>-0.95</v>
      </c>
      <c r="L606" s="18">
        <f t="shared" si="94"/>
        <v>0.46548944347381965</v>
      </c>
      <c r="M606" s="18">
        <f t="shared" si="95"/>
        <v>6.5900000000000004E-3</v>
      </c>
      <c r="N606" s="18">
        <f t="shared" si="96"/>
        <v>-0.82669625018584436</v>
      </c>
      <c r="AK606" s="18">
        <f>IF(AND(ISNUMBER(C606),ISNUMBER(ENSO!F606)),C606-ENSO!F606,"")</f>
        <v>4.0000000000000036E-2</v>
      </c>
      <c r="AL606" s="18">
        <f t="shared" si="98"/>
        <v>2008.5416666666667</v>
      </c>
      <c r="AM606" s="18">
        <f t="shared" si="99"/>
        <v>0.60000000000000142</v>
      </c>
    </row>
    <row r="607" spans="1:39">
      <c r="A607" s="18" t="str">
        <f>IF(Volcanic!A607="","",Volcanic!A607)</f>
        <v>8/2008</v>
      </c>
      <c r="B607" s="18">
        <f>IF(ISNUMBER(Volcanic!L607),Volcanic!L607,"")</f>
        <v>2008.625</v>
      </c>
      <c r="C607" s="21">
        <v>-0.21</v>
      </c>
      <c r="D607" s="18">
        <f t="shared" si="97"/>
        <v>-0.76</v>
      </c>
      <c r="E607" s="18">
        <f>IF(ISNUMBER(Volcanic!B607),Volcanic!B607,"")</f>
        <v>0.44999999999999751</v>
      </c>
      <c r="F607" s="18">
        <f>IF(ISNUMBER(Volcanic!C607),Volcanic!C607,"")</f>
        <v>0.45688122898594291</v>
      </c>
      <c r="G607" s="18">
        <f>IF(ISNUMBER(Volcanic!E607),Volcanic!E607,"")</f>
        <v>6.2500000000000003E-3</v>
      </c>
      <c r="H607" s="18">
        <f>IF(ISNUMBER(Volcanic!D607),Volcanic!D607,"")</f>
        <v>-0.85</v>
      </c>
      <c r="I607" s="18">
        <f t="shared" si="91"/>
        <v>0.45688122898594291</v>
      </c>
      <c r="J607" s="18">
        <f t="shared" si="92"/>
        <v>6.2500000000000003E-3</v>
      </c>
      <c r="K607" s="18">
        <f t="shared" si="93"/>
        <v>-0.76</v>
      </c>
      <c r="L607" s="18">
        <f t="shared" si="94"/>
        <v>0.45688122898594291</v>
      </c>
      <c r="M607" s="18">
        <f t="shared" si="95"/>
        <v>6.2500000000000003E-3</v>
      </c>
      <c r="N607" s="18">
        <f t="shared" si="96"/>
        <v>-0.63600623069524631</v>
      </c>
      <c r="AK607" s="18">
        <f>IF(AND(ISNUMBER(C607),ISNUMBER(ENSO!F607)),C607-ENSO!F607,"")</f>
        <v>-9.9999999999999811E-3</v>
      </c>
      <c r="AL607" s="18">
        <f t="shared" si="98"/>
        <v>2008.625</v>
      </c>
      <c r="AM607" s="18">
        <f t="shared" si="99"/>
        <v>0.44999999999999751</v>
      </c>
    </row>
    <row r="608" spans="1:39">
      <c r="A608" s="18" t="str">
        <f>IF(Volcanic!A608="","",Volcanic!A608)</f>
        <v>9/2008</v>
      </c>
      <c r="B608" s="18">
        <f>IF(ISNUMBER(Volcanic!L608),Volcanic!L608,"")</f>
        <v>2008.7083333333333</v>
      </c>
      <c r="C608" s="21">
        <v>-0.28000000000000003</v>
      </c>
      <c r="D608" s="18">
        <f t="shared" si="97"/>
        <v>-0.5</v>
      </c>
      <c r="E608" s="18">
        <f>IF(ISNUMBER(Volcanic!B608),Volcanic!B608,"")</f>
        <v>0.60000000000000142</v>
      </c>
      <c r="F608" s="18">
        <f>IF(ISNUMBER(Volcanic!C608),Volcanic!C608,"")</f>
        <v>0.45346113832373852</v>
      </c>
      <c r="G608" s="18">
        <f>IF(ISNUMBER(Volcanic!E608),Volcanic!E608,"")</f>
        <v>6.2399999999999999E-3</v>
      </c>
      <c r="H608" s="18">
        <f>IF(ISNUMBER(Volcanic!D608),Volcanic!D608,"")</f>
        <v>-0.56000000000000005</v>
      </c>
      <c r="I608" s="18">
        <f t="shared" si="91"/>
        <v>0.45346113832373852</v>
      </c>
      <c r="J608" s="18">
        <f t="shared" si="92"/>
        <v>6.2399999999999999E-3</v>
      </c>
      <c r="K608" s="18">
        <f t="shared" si="93"/>
        <v>-0.5</v>
      </c>
      <c r="L608" s="18">
        <f t="shared" si="94"/>
        <v>0.45346113832373852</v>
      </c>
      <c r="M608" s="18">
        <f t="shared" si="95"/>
        <v>6.2399999999999999E-3</v>
      </c>
      <c r="N608" s="18">
        <f t="shared" si="96"/>
        <v>-0.3753162112046482</v>
      </c>
      <c r="AK608" s="18">
        <f>IF(AND(ISNUMBER(C608),ISNUMBER(ENSO!F608)),C608-ENSO!F608,"")</f>
        <v>-3.0000000000000027E-2</v>
      </c>
      <c r="AL608" s="18">
        <f t="shared" si="98"/>
        <v>2008.7083333333333</v>
      </c>
      <c r="AM608" s="18">
        <f t="shared" si="99"/>
        <v>0.60000000000000142</v>
      </c>
    </row>
    <row r="609" spans="1:39">
      <c r="A609" s="18" t="str">
        <f>IF(Volcanic!A609="","",Volcanic!A609)</f>
        <v>10/2008</v>
      </c>
      <c r="B609" s="18">
        <f>IF(ISNUMBER(Volcanic!L609),Volcanic!L609,"")</f>
        <v>2008.7916666666667</v>
      </c>
      <c r="C609" s="21">
        <v>-0.4</v>
      </c>
      <c r="D609" s="18">
        <f t="shared" si="97"/>
        <v>-0.28999999999999998</v>
      </c>
      <c r="E609" s="18">
        <f>IF(ISNUMBER(Volcanic!B609),Volcanic!B609,"")</f>
        <v>0.66999999999999993</v>
      </c>
      <c r="F609" s="18">
        <f>IF(ISNUMBER(Volcanic!C609),Volcanic!C609,"")</f>
        <v>0.45274602917491535</v>
      </c>
      <c r="G609" s="18">
        <f>IF(ISNUMBER(Volcanic!E609),Volcanic!E609,"")</f>
        <v>6.1900000000000002E-3</v>
      </c>
      <c r="H609" s="18">
        <f>IF(ISNUMBER(Volcanic!D609),Volcanic!D609,"")</f>
        <v>-0.33</v>
      </c>
      <c r="I609" s="18">
        <f t="shared" si="91"/>
        <v>0.45274602917491535</v>
      </c>
      <c r="J609" s="18">
        <f t="shared" si="92"/>
        <v>6.1900000000000002E-3</v>
      </c>
      <c r="K609" s="18">
        <f t="shared" si="93"/>
        <v>-0.28999999999999998</v>
      </c>
      <c r="L609" s="18">
        <f t="shared" si="94"/>
        <v>0.45274602917491535</v>
      </c>
      <c r="M609" s="18">
        <f t="shared" si="95"/>
        <v>6.1900000000000002E-3</v>
      </c>
      <c r="N609" s="18">
        <f t="shared" si="96"/>
        <v>-0.16462619171405007</v>
      </c>
      <c r="AK609" s="18">
        <f>IF(AND(ISNUMBER(C609),ISNUMBER(ENSO!F609)),C609-ENSO!F609,"")</f>
        <v>-4.0000000000000036E-2</v>
      </c>
      <c r="AL609" s="18">
        <f t="shared" si="98"/>
        <v>2008.7916666666667</v>
      </c>
      <c r="AM609" s="18">
        <f t="shared" si="99"/>
        <v>0.66999999999999993</v>
      </c>
    </row>
    <row r="610" spans="1:39">
      <c r="A610" s="18" t="str">
        <f>IF(Volcanic!A610="","",Volcanic!A610)</f>
        <v>11/2008</v>
      </c>
      <c r="B610" s="18">
        <f>IF(ISNUMBER(Volcanic!L610),Volcanic!L610,"")</f>
        <v>2008.875</v>
      </c>
      <c r="C610" s="21">
        <v>-0.6</v>
      </c>
      <c r="D610" s="18">
        <f t="shared" si="97"/>
        <v>-0.21</v>
      </c>
      <c r="E610" s="18">
        <f>IF(ISNUMBER(Volcanic!B610),Volcanic!B610,"")</f>
        <v>0.69000000000000128</v>
      </c>
      <c r="F610" s="18">
        <f>IF(ISNUMBER(Volcanic!C610),Volcanic!C610,"")</f>
        <v>0.45721903954172527</v>
      </c>
      <c r="G610" s="18">
        <f>IF(ISNUMBER(Volcanic!E610),Volcanic!E610,"")</f>
        <v>6.2599999999999999E-3</v>
      </c>
      <c r="H610" s="18">
        <f>IF(ISNUMBER(Volcanic!D610),Volcanic!D610,"")</f>
        <v>-0.2</v>
      </c>
      <c r="I610" s="18">
        <f t="shared" si="91"/>
        <v>0.45721903954172527</v>
      </c>
      <c r="J610" s="18">
        <f t="shared" si="92"/>
        <v>6.2599999999999999E-3</v>
      </c>
      <c r="K610" s="18">
        <f t="shared" si="93"/>
        <v>-0.21</v>
      </c>
      <c r="L610" s="18">
        <f t="shared" si="94"/>
        <v>0.45721903954172527</v>
      </c>
      <c r="M610" s="18">
        <f t="shared" si="95"/>
        <v>6.2599999999999999E-3</v>
      </c>
      <c r="N610" s="18">
        <f t="shared" si="96"/>
        <v>-8.3936172223451982E-2</v>
      </c>
      <c r="AK610" s="18">
        <f>IF(AND(ISNUMBER(C610),ISNUMBER(ENSO!F610)),C610-ENSO!F610,"")</f>
        <v>-3.0000000000000027E-2</v>
      </c>
      <c r="AL610" s="18">
        <f t="shared" si="98"/>
        <v>2008.875</v>
      </c>
      <c r="AM610" s="18">
        <f t="shared" si="99"/>
        <v>0.69000000000000128</v>
      </c>
    </row>
    <row r="611" spans="1:39">
      <c r="A611" s="18" t="str">
        <f>IF(Volcanic!A611="","",Volcanic!A611)</f>
        <v>12/2008</v>
      </c>
      <c r="B611" s="18">
        <f>IF(ISNUMBER(Volcanic!L611),Volcanic!L611,"")</f>
        <v>2008.9583333333333</v>
      </c>
      <c r="C611" s="21">
        <v>-0.79</v>
      </c>
      <c r="D611" s="18">
        <f t="shared" si="97"/>
        <v>-0.28000000000000003</v>
      </c>
      <c r="E611" s="18">
        <f>IF(ISNUMBER(Volcanic!B611),Volcanic!B611,"")</f>
        <v>0.53999999999999915</v>
      </c>
      <c r="F611" s="18">
        <f>IF(ISNUMBER(Volcanic!C611),Volcanic!C611,"")</f>
        <v>0.4623889208373384</v>
      </c>
      <c r="G611" s="18">
        <f>IF(ISNUMBER(Volcanic!E611),Volcanic!E611,"")</f>
        <v>6.1000000000000004E-3</v>
      </c>
      <c r="H611" s="18">
        <f>IF(ISNUMBER(Volcanic!D611),Volcanic!D611,"")</f>
        <v>-0.25</v>
      </c>
      <c r="I611" s="18">
        <f t="shared" si="91"/>
        <v>0.4623889208373384</v>
      </c>
      <c r="J611" s="18">
        <f t="shared" si="92"/>
        <v>6.1000000000000004E-3</v>
      </c>
      <c r="K611" s="18">
        <f t="shared" si="93"/>
        <v>-0.28000000000000003</v>
      </c>
      <c r="L611" s="18">
        <f t="shared" si="94"/>
        <v>0.4623889208373384</v>
      </c>
      <c r="M611" s="18">
        <f t="shared" si="95"/>
        <v>6.1000000000000004E-3</v>
      </c>
      <c r="N611" s="18">
        <f t="shared" si="96"/>
        <v>-0.15324615273285036</v>
      </c>
      <c r="AK611" s="18">
        <f>IF(AND(ISNUMBER(C611),ISNUMBER(ENSO!F611)),C611-ENSO!F611,"")</f>
        <v>0</v>
      </c>
      <c r="AL611" s="18">
        <f t="shared" si="98"/>
        <v>2008.9583333333333</v>
      </c>
      <c r="AM611" s="18">
        <f t="shared" si="99"/>
        <v>0.53999999999999915</v>
      </c>
    </row>
    <row r="612" spans="1:39">
      <c r="A612" s="18" t="str">
        <f>IF(Volcanic!A612="","",Volcanic!A612)</f>
        <v>1/2009</v>
      </c>
      <c r="B612" s="18">
        <f>IF(ISNUMBER(Volcanic!L612),Volcanic!L612,"")</f>
        <v>2009.0416666666667</v>
      </c>
      <c r="C612" s="21">
        <v>-0.9</v>
      </c>
      <c r="D612" s="18">
        <f t="shared" si="97"/>
        <v>-0.4</v>
      </c>
      <c r="E612" s="18">
        <f>IF(ISNUMBER(Volcanic!B612),Volcanic!B612,"")</f>
        <v>0.65000000000000213</v>
      </c>
      <c r="F612" s="18">
        <f>IF(ISNUMBER(Volcanic!C612),Volcanic!C612,"")</f>
        <v>0.46754034205383838</v>
      </c>
      <c r="G612" s="18">
        <f>IF(ISNUMBER(Volcanic!E612),Volcanic!E612,"")</f>
        <v>6.0099999999999997E-3</v>
      </c>
      <c r="H612" s="18">
        <f>IF(ISNUMBER(Volcanic!D612),Volcanic!D612,"")</f>
        <v>-0.36</v>
      </c>
      <c r="I612" s="18">
        <f t="shared" si="91"/>
        <v>0.46754034205383838</v>
      </c>
      <c r="J612" s="18">
        <f t="shared" si="92"/>
        <v>6.0099999999999997E-3</v>
      </c>
      <c r="K612" s="18">
        <f t="shared" si="93"/>
        <v>-0.4</v>
      </c>
      <c r="L612" s="18">
        <f t="shared" si="94"/>
        <v>0.46754034205383838</v>
      </c>
      <c r="M612" s="18">
        <f t="shared" si="95"/>
        <v>6.0099999999999997E-3</v>
      </c>
      <c r="N612" s="18">
        <f t="shared" si="96"/>
        <v>-0.27255613324225225</v>
      </c>
      <c r="AK612" s="18">
        <f>IF(AND(ISNUMBER(C612),ISNUMBER(ENSO!F612)),C612-ENSO!F612,"")</f>
        <v>-1.0000000000000009E-2</v>
      </c>
      <c r="AL612" s="18">
        <f t="shared" si="98"/>
        <v>2009.0416666666667</v>
      </c>
      <c r="AM612" s="18">
        <f t="shared" si="99"/>
        <v>0.65000000000000213</v>
      </c>
    </row>
    <row r="613" spans="1:39">
      <c r="A613" s="18" t="str">
        <f>IF(Volcanic!A613="","",Volcanic!A613)</f>
        <v>2/2009</v>
      </c>
      <c r="B613" s="18">
        <f>IF(ISNUMBER(Volcanic!L613),Volcanic!L613,"")</f>
        <v>2009.125</v>
      </c>
      <c r="C613" s="21">
        <v>-0.85</v>
      </c>
      <c r="D613" s="18">
        <f t="shared" si="97"/>
        <v>-0.6</v>
      </c>
      <c r="E613" s="18">
        <f>IF(ISNUMBER(Volcanic!B613),Volcanic!B613,"")</f>
        <v>0.52999999999999758</v>
      </c>
      <c r="F613" s="18">
        <f>IF(ISNUMBER(Volcanic!C613),Volcanic!C613,"")</f>
        <v>0.46951390791885167</v>
      </c>
      <c r="G613" s="18">
        <f>IF(ISNUMBER(Volcanic!E613),Volcanic!E613,"")</f>
        <v>6.0899999999999999E-3</v>
      </c>
      <c r="H613" s="18">
        <f>IF(ISNUMBER(Volcanic!D613),Volcanic!D613,"")</f>
        <v>-0.56999999999999995</v>
      </c>
      <c r="I613" s="18">
        <f t="shared" si="91"/>
        <v>0.46951390791885167</v>
      </c>
      <c r="J613" s="18">
        <f t="shared" si="92"/>
        <v>6.0899999999999999E-3</v>
      </c>
      <c r="K613" s="18">
        <f t="shared" si="93"/>
        <v>-0.6</v>
      </c>
      <c r="L613" s="18">
        <f t="shared" si="94"/>
        <v>0.46951390791885167</v>
      </c>
      <c r="M613" s="18">
        <f t="shared" si="95"/>
        <v>6.0899999999999999E-3</v>
      </c>
      <c r="N613" s="18">
        <f t="shared" si="96"/>
        <v>-0.4718661137516541</v>
      </c>
      <c r="AK613" s="18">
        <f>IF(AND(ISNUMBER(C613),ISNUMBER(ENSO!F613)),C613-ENSO!F613,"")</f>
        <v>-1.0000000000000009E-2</v>
      </c>
      <c r="AL613" s="18">
        <f t="shared" si="98"/>
        <v>2009.125</v>
      </c>
      <c r="AM613" s="18">
        <f t="shared" si="99"/>
        <v>0.52999999999999758</v>
      </c>
    </row>
    <row r="614" spans="1:39">
      <c r="A614" s="18" t="str">
        <f>IF(Volcanic!A614="","",Volcanic!A614)</f>
        <v>3/2009</v>
      </c>
      <c r="B614" s="18">
        <f>IF(ISNUMBER(Volcanic!L614),Volcanic!L614,"")</f>
        <v>2009.2083333333333</v>
      </c>
      <c r="C614" s="21">
        <v>-0.67</v>
      </c>
      <c r="D614" s="18">
        <f t="shared" si="97"/>
        <v>-0.79</v>
      </c>
      <c r="E614" s="18">
        <f>IF(ISNUMBER(Volcanic!B614),Volcanic!B614,"")</f>
        <v>0.52999999999999758</v>
      </c>
      <c r="F614" s="18">
        <f>IF(ISNUMBER(Volcanic!C614),Volcanic!C614,"")</f>
        <v>0.47449166951900662</v>
      </c>
      <c r="G614" s="18">
        <f>IF(ISNUMBER(Volcanic!E614),Volcanic!E614,"")</f>
        <v>6.4999999999999997E-3</v>
      </c>
      <c r="H614" s="18">
        <f>IF(ISNUMBER(Volcanic!D614),Volcanic!D614,"")</f>
        <v>-0.79</v>
      </c>
      <c r="I614" s="18">
        <f t="shared" si="91"/>
        <v>0.47449166951900662</v>
      </c>
      <c r="J614" s="18">
        <f t="shared" si="92"/>
        <v>6.4999999999999997E-3</v>
      </c>
      <c r="K614" s="18">
        <f t="shared" si="93"/>
        <v>-0.79</v>
      </c>
      <c r="L614" s="18">
        <f t="shared" si="94"/>
        <v>0.47449166951900662</v>
      </c>
      <c r="M614" s="18">
        <f t="shared" si="95"/>
        <v>6.4999999999999997E-3</v>
      </c>
      <c r="N614" s="18">
        <f t="shared" si="96"/>
        <v>-0.66117609426105606</v>
      </c>
      <c r="AK614" s="18">
        <f>IF(AND(ISNUMBER(C614),ISNUMBER(ENSO!F614)),C614-ENSO!F614,"")</f>
        <v>-4.0000000000000036E-2</v>
      </c>
      <c r="AL614" s="18">
        <f t="shared" si="98"/>
        <v>2009.2083333333333</v>
      </c>
      <c r="AM614" s="18">
        <f t="shared" si="99"/>
        <v>0.52999999999999758</v>
      </c>
    </row>
    <row r="615" spans="1:39">
      <c r="A615" s="18" t="str">
        <f>IF(Volcanic!A615="","",Volcanic!A615)</f>
        <v>4/2009</v>
      </c>
      <c r="B615" s="18">
        <f>IF(ISNUMBER(Volcanic!L615),Volcanic!L615,"")</f>
        <v>2009.2916666666667</v>
      </c>
      <c r="C615" s="21">
        <v>-0.42</v>
      </c>
      <c r="D615" s="18">
        <f t="shared" si="97"/>
        <v>-0.9</v>
      </c>
      <c r="E615" s="18">
        <f>IF(ISNUMBER(Volcanic!B615),Volcanic!B615,"")</f>
        <v>0.61000000000000121</v>
      </c>
      <c r="F615" s="18">
        <f>IF(ISNUMBER(Volcanic!C615),Volcanic!C615,"")</f>
        <v>0.47715921118664112</v>
      </c>
      <c r="G615" s="18">
        <f>IF(ISNUMBER(Volcanic!E615),Volcanic!E615,"")</f>
        <v>7.62E-3</v>
      </c>
      <c r="H615" s="18">
        <f>IF(ISNUMBER(Volcanic!D615),Volcanic!D615,"")</f>
        <v>-0.89</v>
      </c>
      <c r="I615" s="18">
        <f t="shared" si="91"/>
        <v>0.47715921118664112</v>
      </c>
      <c r="J615" s="18">
        <f t="shared" si="92"/>
        <v>7.62E-3</v>
      </c>
      <c r="K615" s="18">
        <f t="shared" si="93"/>
        <v>-0.9</v>
      </c>
      <c r="L615" s="18">
        <f t="shared" si="94"/>
        <v>0.47715921118664112</v>
      </c>
      <c r="M615" s="18">
        <f t="shared" si="95"/>
        <v>7.62E-3</v>
      </c>
      <c r="N615" s="18">
        <f t="shared" si="96"/>
        <v>-0.77048607477045439</v>
      </c>
      <c r="AK615" s="18">
        <f>IF(AND(ISNUMBER(C615),ISNUMBER(ENSO!F615)),C615-ENSO!F615,"")</f>
        <v>-7.0000000000000007E-2</v>
      </c>
      <c r="AL615" s="18">
        <f t="shared" si="98"/>
        <v>2009.2916666666667</v>
      </c>
      <c r="AM615" s="18">
        <f t="shared" si="99"/>
        <v>0.61000000000000121</v>
      </c>
    </row>
    <row r="616" spans="1:39">
      <c r="A616" s="18" t="str">
        <f>IF(Volcanic!A616="","",Volcanic!A616)</f>
        <v>5/2009</v>
      </c>
      <c r="B616" s="18">
        <f>IF(ISNUMBER(Volcanic!L616),Volcanic!L616,"")</f>
        <v>2009.375</v>
      </c>
      <c r="C616" s="21">
        <v>-0.11</v>
      </c>
      <c r="D616" s="18">
        <f t="shared" si="97"/>
        <v>-0.85</v>
      </c>
      <c r="E616" s="18">
        <f>IF(ISNUMBER(Volcanic!B616),Volcanic!B616,"")</f>
        <v>0.65000000000000213</v>
      </c>
      <c r="F616" s="18">
        <f>IF(ISNUMBER(Volcanic!C616),Volcanic!C616,"")</f>
        <v>0.47937840104259694</v>
      </c>
      <c r="G616" s="18">
        <f>IF(ISNUMBER(Volcanic!E616),Volcanic!E616,"")</f>
        <v>7.6600000000000001E-3</v>
      </c>
      <c r="H616" s="18">
        <f>IF(ISNUMBER(Volcanic!D616),Volcanic!D616,"")</f>
        <v>-0.84</v>
      </c>
      <c r="I616" s="18">
        <f t="shared" si="91"/>
        <v>0.47937840104259694</v>
      </c>
      <c r="J616" s="18">
        <f t="shared" si="92"/>
        <v>7.6600000000000001E-3</v>
      </c>
      <c r="K616" s="18">
        <f t="shared" si="93"/>
        <v>-0.85</v>
      </c>
      <c r="L616" s="18">
        <f t="shared" si="94"/>
        <v>0.47937840104259694</v>
      </c>
      <c r="M616" s="18">
        <f t="shared" si="95"/>
        <v>7.6600000000000001E-3</v>
      </c>
      <c r="N616" s="18">
        <f t="shared" si="96"/>
        <v>-0.71979605527985624</v>
      </c>
      <c r="AK616" s="18">
        <f>IF(AND(ISNUMBER(C616),ISNUMBER(ENSO!F616)),C616-ENSO!F616,"")</f>
        <v>-0.14000000000000001</v>
      </c>
      <c r="AL616" s="18">
        <f t="shared" si="98"/>
        <v>2009.375</v>
      </c>
      <c r="AM616" s="18">
        <f t="shared" si="99"/>
        <v>0.65000000000000213</v>
      </c>
    </row>
    <row r="617" spans="1:39">
      <c r="A617" s="18" t="str">
        <f>IF(Volcanic!A617="","",Volcanic!A617)</f>
        <v>6/2009</v>
      </c>
      <c r="B617" s="18">
        <f>IF(ISNUMBER(Volcanic!L617),Volcanic!L617,"")</f>
        <v>2009.4583333333333</v>
      </c>
      <c r="C617" s="21">
        <v>0.13</v>
      </c>
      <c r="D617" s="18">
        <f t="shared" si="97"/>
        <v>-0.67</v>
      </c>
      <c r="E617" s="18">
        <f>IF(ISNUMBER(Volcanic!B617),Volcanic!B617,"")</f>
        <v>0.63000000000000256</v>
      </c>
      <c r="F617" s="18">
        <f>IF(ISNUMBER(Volcanic!C617),Volcanic!C617,"")</f>
        <v>0.47693710433670838</v>
      </c>
      <c r="G617" s="18">
        <f>IF(ISNUMBER(Volcanic!E617),Volcanic!E617,"")</f>
        <v>7.6499999999999997E-3</v>
      </c>
      <c r="H617" s="18">
        <f>IF(ISNUMBER(Volcanic!D617),Volcanic!D617,"")</f>
        <v>-0.63</v>
      </c>
      <c r="I617" s="18">
        <f t="shared" si="91"/>
        <v>0.47693710433670838</v>
      </c>
      <c r="J617" s="18">
        <f t="shared" si="92"/>
        <v>7.6499999999999997E-3</v>
      </c>
      <c r="K617" s="18">
        <f t="shared" si="93"/>
        <v>-0.67</v>
      </c>
      <c r="L617" s="18">
        <f t="shared" si="94"/>
        <v>0.47693710433670838</v>
      </c>
      <c r="M617" s="18">
        <f t="shared" si="95"/>
        <v>7.6499999999999997E-3</v>
      </c>
      <c r="N617" s="18">
        <f t="shared" si="96"/>
        <v>-0.5391060357892582</v>
      </c>
      <c r="AK617" s="18">
        <f>IF(AND(ISNUMBER(C617),ISNUMBER(ENSO!F617)),C617-ENSO!F617,"")</f>
        <v>-0.21000000000000002</v>
      </c>
      <c r="AL617" s="18">
        <f t="shared" si="98"/>
        <v>2009.4583333333333</v>
      </c>
      <c r="AM617" s="18">
        <f t="shared" si="99"/>
        <v>0.63000000000000256</v>
      </c>
    </row>
    <row r="618" spans="1:39">
      <c r="A618" s="18" t="str">
        <f>IF(Volcanic!A618="","",Volcanic!A618)</f>
        <v>7/2009</v>
      </c>
      <c r="B618" s="18">
        <f>IF(ISNUMBER(Volcanic!L618),Volcanic!L618,"")</f>
        <v>2009.5416666666667</v>
      </c>
      <c r="C618" s="21">
        <v>0.25</v>
      </c>
      <c r="D618" s="18">
        <f t="shared" si="97"/>
        <v>-0.42</v>
      </c>
      <c r="E618" s="18">
        <f>IF(ISNUMBER(Volcanic!B618),Volcanic!B618,"")</f>
        <v>0.73999999999999666</v>
      </c>
      <c r="F618" s="18">
        <f>IF(ISNUMBER(Volcanic!C618),Volcanic!C618,"")</f>
        <v>0.47152193804450682</v>
      </c>
      <c r="G618" s="18">
        <f>IF(ISNUMBER(Volcanic!E618),Volcanic!E618,"")</f>
        <v>7.26E-3</v>
      </c>
      <c r="H618" s="18">
        <f>IF(ISNUMBER(Volcanic!D618),Volcanic!D618,"")</f>
        <v>-0.35</v>
      </c>
      <c r="I618" s="18">
        <f t="shared" si="91"/>
        <v>0.47152193804450682</v>
      </c>
      <c r="J618" s="18">
        <f t="shared" si="92"/>
        <v>7.26E-3</v>
      </c>
      <c r="K618" s="18">
        <f t="shared" si="93"/>
        <v>-0.42</v>
      </c>
      <c r="L618" s="18">
        <f t="shared" si="94"/>
        <v>0.47152193804450682</v>
      </c>
      <c r="M618" s="18">
        <f t="shared" si="95"/>
        <v>7.26E-3</v>
      </c>
      <c r="N618" s="18">
        <f t="shared" si="96"/>
        <v>-0.28841601629865649</v>
      </c>
      <c r="AK618" s="18">
        <f>IF(AND(ISNUMBER(C618),ISNUMBER(ENSO!F618)),C618-ENSO!F618,"")</f>
        <v>-0.25</v>
      </c>
      <c r="AL618" s="18">
        <f t="shared" si="98"/>
        <v>2009.5416666666667</v>
      </c>
      <c r="AM618" s="18">
        <f t="shared" si="99"/>
        <v>0.73999999999999666</v>
      </c>
    </row>
    <row r="619" spans="1:39">
      <c r="A619" s="18" t="str">
        <f>IF(Volcanic!A619="","",Volcanic!A619)</f>
        <v>8/2009</v>
      </c>
      <c r="B619" s="18">
        <f>IF(ISNUMBER(Volcanic!L619),Volcanic!L619,"")</f>
        <v>2009.625</v>
      </c>
      <c r="C619" s="21">
        <v>0.39</v>
      </c>
      <c r="D619" s="18">
        <f t="shared" si="97"/>
        <v>-0.11</v>
      </c>
      <c r="E619" s="18">
        <f>IF(ISNUMBER(Volcanic!B619),Volcanic!B619,"")</f>
        <v>0.69000000000000128</v>
      </c>
      <c r="F619" s="18">
        <f>IF(ISNUMBER(Volcanic!C619),Volcanic!C619,"")</f>
        <v>0.46425750342278521</v>
      </c>
      <c r="G619" s="18">
        <f>IF(ISNUMBER(Volcanic!E619),Volcanic!E619,"")</f>
        <v>6.96E-3</v>
      </c>
      <c r="H619" s="18">
        <f>IF(ISNUMBER(Volcanic!D619),Volcanic!D619,"")</f>
        <v>0.03</v>
      </c>
      <c r="I619" s="18">
        <f t="shared" si="91"/>
        <v>0.46425750342278521</v>
      </c>
      <c r="J619" s="18">
        <f t="shared" si="92"/>
        <v>6.96E-3</v>
      </c>
      <c r="K619" s="18">
        <f t="shared" si="93"/>
        <v>-0.11</v>
      </c>
      <c r="L619" s="18">
        <f t="shared" si="94"/>
        <v>0.46425750342278521</v>
      </c>
      <c r="M619" s="18">
        <f t="shared" si="95"/>
        <v>6.96E-3</v>
      </c>
      <c r="N619" s="18">
        <f t="shared" si="96"/>
        <v>2.2274003191941602E-2</v>
      </c>
      <c r="AK619" s="18">
        <f>IF(AND(ISNUMBER(C619),ISNUMBER(ENSO!F619)),C619-ENSO!F619,"")</f>
        <v>-0.17000000000000004</v>
      </c>
      <c r="AL619" s="18">
        <f t="shared" si="98"/>
        <v>2009.625</v>
      </c>
      <c r="AM619" s="18">
        <f t="shared" si="99"/>
        <v>0.69000000000000128</v>
      </c>
    </row>
    <row r="620" spans="1:39">
      <c r="A620" s="18" t="str">
        <f>IF(Volcanic!A620="","",Volcanic!A620)</f>
        <v>9/2009</v>
      </c>
      <c r="B620" s="18">
        <f>IF(ISNUMBER(Volcanic!L620),Volcanic!L620,"")</f>
        <v>2009.7083333333333</v>
      </c>
      <c r="C620" s="21">
        <v>0.56000000000000005</v>
      </c>
      <c r="D620" s="18">
        <f t="shared" si="97"/>
        <v>0.13</v>
      </c>
      <c r="E620" s="18">
        <f>IF(ISNUMBER(Volcanic!B620),Volcanic!B620,"")</f>
        <v>0.72000000000000242</v>
      </c>
      <c r="F620" s="18">
        <f>IF(ISNUMBER(Volcanic!C620),Volcanic!C620,"")</f>
        <v>0.45924424347749254</v>
      </c>
      <c r="G620" s="18">
        <f>IF(ISNUMBER(Volcanic!E620),Volcanic!E620,"")</f>
        <v>6.6899999999999998E-3</v>
      </c>
      <c r="H620" s="18">
        <f>IF(ISNUMBER(Volcanic!D620),Volcanic!D620,"")</f>
        <v>0.34</v>
      </c>
      <c r="I620" s="18">
        <f t="shared" si="91"/>
        <v>0.45924424347749254</v>
      </c>
      <c r="J620" s="18">
        <f t="shared" si="92"/>
        <v>6.6899999999999998E-3</v>
      </c>
      <c r="K620" s="18">
        <f t="shared" si="93"/>
        <v>0.13</v>
      </c>
      <c r="L620" s="18">
        <f t="shared" si="94"/>
        <v>0.45924424347749254</v>
      </c>
      <c r="M620" s="18">
        <f t="shared" si="95"/>
        <v>6.6899999999999998E-3</v>
      </c>
      <c r="N620" s="18">
        <f t="shared" si="96"/>
        <v>0.26296402268253971</v>
      </c>
      <c r="AK620" s="18">
        <f>IF(AND(ISNUMBER(C620),ISNUMBER(ENSO!F620)),C620-ENSO!F620,"")</f>
        <v>-9.9999999999999978E-2</v>
      </c>
      <c r="AL620" s="18">
        <f t="shared" si="98"/>
        <v>2009.7083333333333</v>
      </c>
      <c r="AM620" s="18">
        <f t="shared" si="99"/>
        <v>0.72000000000000242</v>
      </c>
    </row>
    <row r="621" spans="1:39">
      <c r="A621" s="18" t="str">
        <f>IF(Volcanic!A621="","",Volcanic!A621)</f>
        <v>10/2009</v>
      </c>
      <c r="B621" s="18">
        <f>IF(ISNUMBER(Volcanic!L621),Volcanic!L621,"")</f>
        <v>2009.7916666666667</v>
      </c>
      <c r="C621" s="21">
        <v>0.94</v>
      </c>
      <c r="D621" s="18">
        <f t="shared" si="97"/>
        <v>0.25</v>
      </c>
      <c r="E621" s="18">
        <f>IF(ISNUMBER(Volcanic!B621),Volcanic!B621,"")</f>
        <v>0.65000000000000213</v>
      </c>
      <c r="F621" s="18">
        <f>IF(ISNUMBER(Volcanic!C621),Volcanic!C621,"")</f>
        <v>0.45808197399149425</v>
      </c>
      <c r="G621" s="18">
        <f>IF(ISNUMBER(Volcanic!E621),Volcanic!E621,"")</f>
        <v>7.2500000000000004E-3</v>
      </c>
      <c r="H621" s="18">
        <f>IF(ISNUMBER(Volcanic!D621),Volcanic!D621,"")</f>
        <v>0.5</v>
      </c>
      <c r="I621" s="18">
        <f t="shared" si="91"/>
        <v>0.45808197399149425</v>
      </c>
      <c r="J621" s="18">
        <f t="shared" si="92"/>
        <v>7.2500000000000004E-3</v>
      </c>
      <c r="K621" s="18">
        <f t="shared" si="93"/>
        <v>0.25</v>
      </c>
      <c r="L621" s="18">
        <f t="shared" si="94"/>
        <v>0.45808197399149425</v>
      </c>
      <c r="M621" s="18">
        <f t="shared" si="95"/>
        <v>7.2500000000000004E-3</v>
      </c>
      <c r="N621" s="18">
        <f t="shared" si="96"/>
        <v>0.38365404217313781</v>
      </c>
      <c r="AK621" s="18">
        <f>IF(AND(ISNUMBER(C621),ISNUMBER(ENSO!F621)),C621-ENSO!F621,"")</f>
        <v>1.9999999999999907E-2</v>
      </c>
      <c r="AL621" s="18">
        <f t="shared" si="98"/>
        <v>2009.7916666666667</v>
      </c>
      <c r="AM621" s="18">
        <f t="shared" si="99"/>
        <v>0.65000000000000213</v>
      </c>
    </row>
    <row r="622" spans="1:39">
      <c r="A622" s="18" t="str">
        <f>IF(Volcanic!A622="","",Volcanic!A622)</f>
        <v>11/2009</v>
      </c>
      <c r="B622" s="18">
        <f>IF(ISNUMBER(Volcanic!L622),Volcanic!L622,"")</f>
        <v>2009.875</v>
      </c>
      <c r="C622" s="21">
        <v>1.34</v>
      </c>
      <c r="D622" s="18">
        <f t="shared" si="97"/>
        <v>0.39</v>
      </c>
      <c r="E622" s="18">
        <f>IF(ISNUMBER(Volcanic!B622),Volcanic!B622,"")</f>
        <v>0.79999999999999893</v>
      </c>
      <c r="F622" s="18">
        <f>IF(ISNUMBER(Volcanic!C622),Volcanic!C622,"")</f>
        <v>0.46403340125681564</v>
      </c>
      <c r="G622" s="18">
        <f>IF(ISNUMBER(Volcanic!E622),Volcanic!E622,"")</f>
        <v>7.7200000000000003E-3</v>
      </c>
      <c r="H622" s="18">
        <f>IF(ISNUMBER(Volcanic!D622),Volcanic!D622,"")</f>
        <v>0.56000000000000005</v>
      </c>
      <c r="I622" s="18">
        <f t="shared" si="91"/>
        <v>0.46403340125681564</v>
      </c>
      <c r="J622" s="18">
        <f t="shared" si="92"/>
        <v>7.7200000000000003E-3</v>
      </c>
      <c r="K622" s="18">
        <f t="shared" si="93"/>
        <v>0.39</v>
      </c>
      <c r="L622" s="18">
        <f t="shared" si="94"/>
        <v>0.46403340125681564</v>
      </c>
      <c r="M622" s="18">
        <f t="shared" si="95"/>
        <v>7.7200000000000003E-3</v>
      </c>
      <c r="N622" s="18">
        <f t="shared" si="96"/>
        <v>0.52434406166373948</v>
      </c>
      <c r="AK622" s="18">
        <f>IF(AND(ISNUMBER(C622),ISNUMBER(ENSO!F622)),C622-ENSO!F622,"")</f>
        <v>3.0000000000000027E-2</v>
      </c>
      <c r="AL622" s="18">
        <f t="shared" si="98"/>
        <v>2009.875</v>
      </c>
      <c r="AM622" s="18">
        <f t="shared" si="99"/>
        <v>0.79999999999999893</v>
      </c>
    </row>
    <row r="623" spans="1:39">
      <c r="A623" s="18" t="str">
        <f>IF(Volcanic!A623="","",Volcanic!A623)</f>
        <v>12/2009</v>
      </c>
      <c r="B623" s="18">
        <f>IF(ISNUMBER(Volcanic!L623),Volcanic!L623,"")</f>
        <v>2009.9583333333333</v>
      </c>
      <c r="C623" s="21">
        <v>1.56</v>
      </c>
      <c r="D623" s="18">
        <f t="shared" si="97"/>
        <v>0.56000000000000005</v>
      </c>
      <c r="E623" s="18">
        <f>IF(ISNUMBER(Volcanic!B623),Volcanic!B623,"")</f>
        <v>0.66999999999999993</v>
      </c>
      <c r="F623" s="18">
        <f>IF(ISNUMBER(Volcanic!C623),Volcanic!C623,"")</f>
        <v>0.46925340296447982</v>
      </c>
      <c r="G623" s="18">
        <f>IF(ISNUMBER(Volcanic!E623),Volcanic!E623,"")</f>
        <v>7.2700000000000004E-3</v>
      </c>
      <c r="H623" s="18">
        <f>IF(ISNUMBER(Volcanic!D623),Volcanic!D623,"")</f>
        <v>0.66</v>
      </c>
      <c r="I623" s="18">
        <f t="shared" si="91"/>
        <v>0.46925340296447982</v>
      </c>
      <c r="J623" s="18">
        <f t="shared" si="92"/>
        <v>7.2700000000000004E-3</v>
      </c>
      <c r="K623" s="18">
        <f t="shared" si="93"/>
        <v>0.56000000000000005</v>
      </c>
      <c r="L623" s="18">
        <f t="shared" si="94"/>
        <v>0.46925340296447982</v>
      </c>
      <c r="M623" s="18">
        <f t="shared" si="95"/>
        <v>7.2700000000000004E-3</v>
      </c>
      <c r="N623" s="18">
        <f t="shared" si="96"/>
        <v>0.69503408115433762</v>
      </c>
      <c r="AK623" s="18">
        <f>IF(AND(ISNUMBER(C623),ISNUMBER(ENSO!F623)),C623-ENSO!F623,"")</f>
        <v>6.0000000000000053E-2</v>
      </c>
      <c r="AL623" s="18">
        <f t="shared" si="98"/>
        <v>2009.9583333333333</v>
      </c>
      <c r="AM623" s="18">
        <f t="shared" si="99"/>
        <v>0.66999999999999993</v>
      </c>
    </row>
    <row r="624" spans="1:39">
      <c r="A624" s="18" t="str">
        <f>IF(Volcanic!A624="","",Volcanic!A624)</f>
        <v>1/2010</v>
      </c>
      <c r="B624" s="18">
        <f>IF(ISNUMBER(Volcanic!L624),Volcanic!L624,"")</f>
        <v>2010.0416666666667</v>
      </c>
      <c r="C624" s="21">
        <v>1.45</v>
      </c>
      <c r="D624" s="18">
        <f t="shared" si="97"/>
        <v>0.94</v>
      </c>
      <c r="E624" s="18">
        <f>IF(ISNUMBER(Volcanic!B624),Volcanic!B624,"")</f>
        <v>0.75</v>
      </c>
      <c r="F624" s="18">
        <f>IF(ISNUMBER(Volcanic!C624),Volcanic!C624,"")</f>
        <v>0.47400950393751357</v>
      </c>
      <c r="G624" s="18">
        <f>IF(ISNUMBER(Volcanic!E624),Volcanic!E624,"")</f>
        <v>7.0099999999999997E-3</v>
      </c>
      <c r="H624" s="18">
        <f>IF(ISNUMBER(Volcanic!D624),Volcanic!D624,"")</f>
        <v>0.92</v>
      </c>
      <c r="I624" s="18">
        <f t="shared" si="91"/>
        <v>0.47400950393751357</v>
      </c>
      <c r="J624" s="18">
        <f t="shared" si="92"/>
        <v>7.0099999999999997E-3</v>
      </c>
      <c r="K624" s="18">
        <f t="shared" si="93"/>
        <v>0.94</v>
      </c>
      <c r="L624" s="18">
        <f t="shared" si="94"/>
        <v>0.47400950393751357</v>
      </c>
      <c r="M624" s="18">
        <f t="shared" si="95"/>
        <v>7.0099999999999997E-3</v>
      </c>
      <c r="N624" s="18">
        <f t="shared" si="96"/>
        <v>1.0757241006449356</v>
      </c>
      <c r="AK624" s="18">
        <f>IF(AND(ISNUMBER(C624),ISNUMBER(ENSO!F624)),C624-ENSO!F624,"")</f>
        <v>-2.0000000000000018E-2</v>
      </c>
      <c r="AL624" s="18">
        <f t="shared" si="98"/>
        <v>2010.0416666666667</v>
      </c>
      <c r="AM624" s="18">
        <f t="shared" si="99"/>
        <v>0.75</v>
      </c>
    </row>
    <row r="625" spans="1:39">
      <c r="A625" s="18" t="str">
        <f>IF(Volcanic!A625="","",Volcanic!A625)</f>
        <v>2/2010</v>
      </c>
      <c r="B625" s="18">
        <f>IF(ISNUMBER(Volcanic!L625),Volcanic!L625,"")</f>
        <v>2010.125</v>
      </c>
      <c r="C625" s="21">
        <v>1.1100000000000001</v>
      </c>
      <c r="D625" s="18">
        <f t="shared" si="97"/>
        <v>1.34</v>
      </c>
      <c r="E625" s="18">
        <f>IF(ISNUMBER(Volcanic!B625),Volcanic!B625,"")</f>
        <v>0.83999999999999986</v>
      </c>
      <c r="F625" s="18">
        <f>IF(ISNUMBER(Volcanic!C625),Volcanic!C625,"")</f>
        <v>0.47956317953598965</v>
      </c>
      <c r="G625" s="18">
        <f>IF(ISNUMBER(Volcanic!E625),Volcanic!E625,"")</f>
        <v>8.9499999999999996E-3</v>
      </c>
      <c r="H625" s="18">
        <f>IF(ISNUMBER(Volcanic!D625),Volcanic!D625,"")</f>
        <v>1.31</v>
      </c>
      <c r="I625" s="18">
        <f t="shared" si="91"/>
        <v>0.47956317953598965</v>
      </c>
      <c r="J625" s="18">
        <f t="shared" si="92"/>
        <v>8.9499999999999996E-3</v>
      </c>
      <c r="K625" s="18">
        <f t="shared" si="93"/>
        <v>1.34</v>
      </c>
      <c r="L625" s="18">
        <f t="shared" si="94"/>
        <v>0.47956317953598965</v>
      </c>
      <c r="M625" s="18">
        <f t="shared" si="95"/>
        <v>8.9499999999999996E-3</v>
      </c>
      <c r="N625" s="18">
        <f t="shared" si="96"/>
        <v>1.4764141201355339</v>
      </c>
      <c r="AK625" s="18">
        <f>IF(AND(ISNUMBER(C625),ISNUMBER(ENSO!F625)),C625-ENSO!F625,"")</f>
        <v>-9.9999999999999867E-2</v>
      </c>
      <c r="AL625" s="18">
        <f t="shared" si="98"/>
        <v>2010.125</v>
      </c>
      <c r="AM625" s="18">
        <f t="shared" si="99"/>
        <v>0.83999999999999986</v>
      </c>
    </row>
    <row r="626" spans="1:39">
      <c r="A626" s="18" t="str">
        <f>IF(Volcanic!A626="","",Volcanic!A626)</f>
        <v>3/2010</v>
      </c>
      <c r="B626" s="18">
        <f>IF(ISNUMBER(Volcanic!L626),Volcanic!L626,"")</f>
        <v>2010.2083333333333</v>
      </c>
      <c r="C626" s="21">
        <v>0.64</v>
      </c>
      <c r="D626" s="18">
        <f t="shared" si="97"/>
        <v>1.56</v>
      </c>
      <c r="E626" s="18">
        <f>IF(ISNUMBER(Volcanic!B626),Volcanic!B626,"")</f>
        <v>0.91999999999999993</v>
      </c>
      <c r="F626" s="18">
        <f>IF(ISNUMBER(Volcanic!C626),Volcanic!C626,"")</f>
        <v>0.48310634496717497</v>
      </c>
      <c r="G626" s="18">
        <f>IF(ISNUMBER(Volcanic!E626),Volcanic!E626,"")</f>
        <v>9.9000000000000008E-3</v>
      </c>
      <c r="H626" s="18">
        <f>IF(ISNUMBER(Volcanic!D626),Volcanic!D626,"")</f>
        <v>1.5</v>
      </c>
      <c r="I626" s="18">
        <f t="shared" si="91"/>
        <v>0.48310634496717497</v>
      </c>
      <c r="J626" s="18">
        <f t="shared" si="92"/>
        <v>9.9000000000000008E-3</v>
      </c>
      <c r="K626" s="18">
        <f t="shared" si="93"/>
        <v>1.56</v>
      </c>
      <c r="L626" s="18">
        <f t="shared" si="94"/>
        <v>0.48310634496717497</v>
      </c>
      <c r="M626" s="18">
        <f t="shared" si="95"/>
        <v>9.9000000000000008E-3</v>
      </c>
      <c r="N626" s="18">
        <f t="shared" si="96"/>
        <v>1.6971041396261319</v>
      </c>
      <c r="AK626" s="18">
        <f>IF(AND(ISNUMBER(C626),ISNUMBER(ENSO!F626)),C626-ENSO!F626,"")</f>
        <v>-0.24</v>
      </c>
      <c r="AL626" s="18">
        <f t="shared" si="98"/>
        <v>2010.2083333333333</v>
      </c>
      <c r="AM626" s="18">
        <f t="shared" si="99"/>
        <v>0.91999999999999993</v>
      </c>
    </row>
    <row r="627" spans="1:39">
      <c r="A627" s="18" t="str">
        <f>IF(Volcanic!A627="","",Volcanic!A627)</f>
        <v>4/2010</v>
      </c>
      <c r="B627" s="18">
        <f>IF(ISNUMBER(Volcanic!L627),Volcanic!L627,"")</f>
        <v>2010.2916666666667</v>
      </c>
      <c r="C627" s="21">
        <v>0.05</v>
      </c>
      <c r="D627" s="18">
        <f t="shared" si="97"/>
        <v>1.45</v>
      </c>
      <c r="E627" s="18">
        <f>IF(ISNUMBER(Volcanic!B627),Volcanic!B627,"")</f>
        <v>0.8500000000000032</v>
      </c>
      <c r="F627" s="18">
        <f>IF(ISNUMBER(Volcanic!C627),Volcanic!C627,"")</f>
        <v>0.4878905530991211</v>
      </c>
      <c r="G627" s="18">
        <f>IF(ISNUMBER(Volcanic!E627),Volcanic!E627,"")</f>
        <v>9.9000000000000008E-3</v>
      </c>
      <c r="H627" s="18">
        <f>IF(ISNUMBER(Volcanic!D627),Volcanic!D627,"")</f>
        <v>1.47</v>
      </c>
      <c r="I627" s="18">
        <f t="shared" si="91"/>
        <v>0.4878905530991211</v>
      </c>
      <c r="J627" s="18">
        <f t="shared" si="92"/>
        <v>9.9000000000000008E-3</v>
      </c>
      <c r="K627" s="18">
        <f t="shared" si="93"/>
        <v>1.45</v>
      </c>
      <c r="L627" s="18">
        <f t="shared" si="94"/>
        <v>0.4878905530991211</v>
      </c>
      <c r="M627" s="18">
        <f t="shared" si="95"/>
        <v>9.9000000000000008E-3</v>
      </c>
      <c r="N627" s="18">
        <f t="shared" si="96"/>
        <v>1.5877941591167335</v>
      </c>
      <c r="AK627" s="18">
        <f>IF(AND(ISNUMBER(C627),ISNUMBER(ENSO!F627)),C627-ENSO!F627,"")</f>
        <v>-0.33</v>
      </c>
      <c r="AL627" s="18">
        <f t="shared" si="98"/>
        <v>2010.2916666666667</v>
      </c>
      <c r="AM627" s="18">
        <f t="shared" si="99"/>
        <v>0.8500000000000032</v>
      </c>
    </row>
    <row r="628" spans="1:39">
      <c r="A628" s="18" t="str">
        <f>IF(Volcanic!A628="","",Volcanic!A628)</f>
        <v>5/2010</v>
      </c>
      <c r="B628" s="18">
        <f>IF(ISNUMBER(Volcanic!L628),Volcanic!L628,"")</f>
        <v>2010.375</v>
      </c>
      <c r="C628" s="21">
        <v>-0.53</v>
      </c>
      <c r="D628" s="18">
        <f t="shared" si="97"/>
        <v>1.1100000000000001</v>
      </c>
      <c r="E628" s="18">
        <f>IF(ISNUMBER(Volcanic!B628),Volcanic!B628,"")</f>
        <v>0.75</v>
      </c>
      <c r="F628" s="18">
        <f>IF(ISNUMBER(Volcanic!C628),Volcanic!C628,"")</f>
        <v>0.4898731851668387</v>
      </c>
      <c r="G628" s="18">
        <f>IF(ISNUMBER(Volcanic!E628),Volcanic!E628,"")</f>
        <v>9.0600000000000003E-3</v>
      </c>
      <c r="H628" s="18">
        <f>IF(ISNUMBER(Volcanic!D628),Volcanic!D628,"")</f>
        <v>1.21</v>
      </c>
      <c r="I628" s="18">
        <f t="shared" si="91"/>
        <v>0.4898731851668387</v>
      </c>
      <c r="J628" s="18">
        <f t="shared" si="92"/>
        <v>9.0600000000000003E-3</v>
      </c>
      <c r="K628" s="18">
        <f t="shared" si="93"/>
        <v>1.1100000000000001</v>
      </c>
      <c r="L628" s="18">
        <f t="shared" si="94"/>
        <v>0.4898731851668387</v>
      </c>
      <c r="M628" s="18">
        <f t="shared" si="95"/>
        <v>9.0600000000000003E-3</v>
      </c>
      <c r="N628" s="18">
        <f t="shared" si="96"/>
        <v>1.2484841786073317</v>
      </c>
      <c r="AK628" s="18">
        <f>IF(AND(ISNUMBER(C628),ISNUMBER(ENSO!F628)),C628-ENSO!F628,"")</f>
        <v>-0.37</v>
      </c>
      <c r="AL628" s="18">
        <f t="shared" si="98"/>
        <v>2010.375</v>
      </c>
      <c r="AM628" s="18">
        <f t="shared" si="99"/>
        <v>0.75</v>
      </c>
    </row>
    <row r="629" spans="1:39">
      <c r="A629" s="18" t="str">
        <f>IF(Volcanic!A629="","",Volcanic!A629)</f>
        <v>6/2010</v>
      </c>
      <c r="B629" s="18">
        <f>IF(ISNUMBER(Volcanic!L629),Volcanic!L629,"")</f>
        <v>2010.4583333333333</v>
      </c>
      <c r="C629" s="21">
        <v>-0.99</v>
      </c>
      <c r="D629" s="18">
        <f t="shared" si="97"/>
        <v>0.64</v>
      </c>
      <c r="E629" s="18">
        <f>IF(ISNUMBER(Volcanic!B629),Volcanic!B629,"")</f>
        <v>0.67999999999999972</v>
      </c>
      <c r="F629" s="18">
        <f>IF(ISNUMBER(Volcanic!C629),Volcanic!C629,"")</f>
        <v>0.4868246806556118</v>
      </c>
      <c r="G629" s="18">
        <f>IF(ISNUMBER(Volcanic!E629),Volcanic!E629,"")</f>
        <v>8.6099999999999996E-3</v>
      </c>
      <c r="H629" s="18">
        <f>IF(ISNUMBER(Volcanic!D629),Volcanic!D629,"")</f>
        <v>0.88</v>
      </c>
      <c r="I629" s="18">
        <f t="shared" si="91"/>
        <v>0.4868246806556118</v>
      </c>
      <c r="J629" s="18">
        <f t="shared" si="92"/>
        <v>8.6099999999999996E-3</v>
      </c>
      <c r="K629" s="18">
        <f t="shared" si="93"/>
        <v>0.64</v>
      </c>
      <c r="L629" s="18">
        <f t="shared" si="94"/>
        <v>0.4868246806556118</v>
      </c>
      <c r="M629" s="18">
        <f t="shared" si="95"/>
        <v>8.6099999999999996E-3</v>
      </c>
      <c r="N629" s="18">
        <f t="shared" si="96"/>
        <v>0.77917419809792976</v>
      </c>
      <c r="AK629" s="18">
        <f>IF(AND(ISNUMBER(C629),ISNUMBER(ENSO!F629)),C629-ENSO!F629,"")</f>
        <v>-0.32999999999999996</v>
      </c>
      <c r="AL629" s="18">
        <f t="shared" si="98"/>
        <v>2010.4583333333333</v>
      </c>
      <c r="AM629" s="18">
        <f t="shared" si="99"/>
        <v>0.67999999999999972</v>
      </c>
    </row>
    <row r="630" spans="1:39">
      <c r="A630" s="18" t="str">
        <f>IF(Volcanic!A630="","",Volcanic!A630)</f>
        <v>7/2010</v>
      </c>
      <c r="B630" s="18">
        <f>IF(ISNUMBER(Volcanic!L630),Volcanic!L630,"")</f>
        <v>2010.5416666666667</v>
      </c>
      <c r="C630" s="21">
        <v>-1.28</v>
      </c>
      <c r="D630" s="18">
        <f t="shared" si="97"/>
        <v>0.05</v>
      </c>
      <c r="E630" s="18">
        <f>IF(ISNUMBER(Volcanic!B630),Volcanic!B630,"")</f>
        <v>0.63000000000000256</v>
      </c>
      <c r="F630" s="18">
        <f>IF(ISNUMBER(Volcanic!C630),Volcanic!C630,"")</f>
        <v>0.47956317953598965</v>
      </c>
      <c r="G630" s="18">
        <f>IF(ISNUMBER(Volcanic!E630),Volcanic!E630,"")</f>
        <v>7.7200000000000003E-3</v>
      </c>
      <c r="H630" s="18">
        <f>IF(ISNUMBER(Volcanic!D630),Volcanic!D630,"")</f>
        <v>0.38</v>
      </c>
      <c r="I630" s="18">
        <f t="shared" si="91"/>
        <v>0.47956317953598965</v>
      </c>
      <c r="J630" s="18">
        <f t="shared" si="92"/>
        <v>7.7200000000000003E-3</v>
      </c>
      <c r="K630" s="18">
        <f t="shared" si="93"/>
        <v>0.05</v>
      </c>
      <c r="L630" s="18">
        <f t="shared" si="94"/>
        <v>0.47956317953598965</v>
      </c>
      <c r="M630" s="18">
        <f t="shared" si="95"/>
        <v>7.7200000000000003E-3</v>
      </c>
      <c r="N630" s="18">
        <f t="shared" si="96"/>
        <v>0.18986421758853139</v>
      </c>
      <c r="AK630" s="18">
        <f>IF(AND(ISNUMBER(C630),ISNUMBER(ENSO!F630)),C630-ENSO!F630,"")</f>
        <v>-0.30000000000000004</v>
      </c>
      <c r="AL630" s="18">
        <f t="shared" si="98"/>
        <v>2010.5416666666667</v>
      </c>
      <c r="AM630" s="18">
        <f t="shared" si="99"/>
        <v>0.63000000000000256</v>
      </c>
    </row>
    <row r="631" spans="1:39">
      <c r="A631" s="18" t="str">
        <f>IF(Volcanic!A631="","",Volcanic!A631)</f>
        <v>8/2010</v>
      </c>
      <c r="B631" s="18">
        <f>IF(ISNUMBER(Volcanic!L631),Volcanic!L631,"")</f>
        <v>2010.625</v>
      </c>
      <c r="C631" s="21">
        <v>-1.51</v>
      </c>
      <c r="D631" s="18">
        <f t="shared" si="97"/>
        <v>-0.53</v>
      </c>
      <c r="E631" s="18">
        <f>IF(ISNUMBER(Volcanic!B631),Volcanic!B631,"")</f>
        <v>0.66999999999999993</v>
      </c>
      <c r="F631" s="18">
        <f>IF(ISNUMBER(Volcanic!C631),Volcanic!C631,"")</f>
        <v>0.47263630384637006</v>
      </c>
      <c r="G631" s="18">
        <f>IF(ISNUMBER(Volcanic!E631),Volcanic!E631,"")</f>
        <v>6.96E-3</v>
      </c>
      <c r="H631" s="18">
        <f>IF(ISNUMBER(Volcanic!D631),Volcanic!D631,"")</f>
        <v>-0.16</v>
      </c>
      <c r="I631" s="18">
        <f t="shared" si="91"/>
        <v>0.47263630384637006</v>
      </c>
      <c r="J631" s="18">
        <f t="shared" si="92"/>
        <v>6.96E-3</v>
      </c>
      <c r="K631" s="18">
        <f t="shared" si="93"/>
        <v>-0.53</v>
      </c>
      <c r="L631" s="18">
        <f t="shared" si="94"/>
        <v>0.47263630384637006</v>
      </c>
      <c r="M631" s="18">
        <f t="shared" si="95"/>
        <v>6.96E-3</v>
      </c>
      <c r="N631" s="18">
        <f t="shared" si="96"/>
        <v>-0.38944576292087052</v>
      </c>
      <c r="AK631" s="18">
        <f>IF(AND(ISNUMBER(C631),ISNUMBER(ENSO!F631)),C631-ENSO!F631,"")</f>
        <v>-0.27</v>
      </c>
      <c r="AL631" s="18">
        <f t="shared" si="98"/>
        <v>2010.625</v>
      </c>
      <c r="AM631" s="18">
        <f t="shared" si="99"/>
        <v>0.66999999999999993</v>
      </c>
    </row>
    <row r="632" spans="1:39">
      <c r="A632" s="18" t="str">
        <f>IF(Volcanic!A632="","",Volcanic!A632)</f>
        <v>9/2010</v>
      </c>
      <c r="B632" s="18">
        <f>IF(ISNUMBER(Volcanic!L632),Volcanic!L632,"")</f>
        <v>2010.7083333333333</v>
      </c>
      <c r="C632" s="21">
        <v>-1.68</v>
      </c>
      <c r="D632" s="18">
        <f t="shared" si="97"/>
        <v>-0.99</v>
      </c>
      <c r="E632" s="18">
        <f>IF(ISNUMBER(Volcanic!B632),Volcanic!B632,"")</f>
        <v>0.63000000000000256</v>
      </c>
      <c r="F632" s="18">
        <f>IF(ISNUMBER(Volcanic!C632),Volcanic!C632,"")</f>
        <v>0.46701857168978234</v>
      </c>
      <c r="G632" s="18">
        <f>IF(ISNUMBER(Volcanic!E632),Volcanic!E632,"")</f>
        <v>6.3400000000000001E-3</v>
      </c>
      <c r="H632" s="18">
        <f>IF(ISNUMBER(Volcanic!D632),Volcanic!D632,"")</f>
        <v>-0.66</v>
      </c>
      <c r="I632" s="18">
        <f t="shared" si="91"/>
        <v>0.46701857168978234</v>
      </c>
      <c r="J632" s="18">
        <f t="shared" si="92"/>
        <v>6.3400000000000001E-3</v>
      </c>
      <c r="K632" s="18">
        <f t="shared" si="93"/>
        <v>-0.99</v>
      </c>
      <c r="L632" s="18">
        <f t="shared" si="94"/>
        <v>0.46701857168978234</v>
      </c>
      <c r="M632" s="18">
        <f t="shared" si="95"/>
        <v>6.3400000000000001E-3</v>
      </c>
      <c r="N632" s="18">
        <f t="shared" si="96"/>
        <v>-0.84875574343027238</v>
      </c>
      <c r="AK632" s="18">
        <f>IF(AND(ISNUMBER(C632),ISNUMBER(ENSO!F632)),C632-ENSO!F632,"")</f>
        <v>-0.25</v>
      </c>
      <c r="AL632" s="18">
        <f t="shared" si="98"/>
        <v>2010.7083333333333</v>
      </c>
      <c r="AM632" s="18">
        <f t="shared" si="99"/>
        <v>0.63000000000000256</v>
      </c>
    </row>
    <row r="633" spans="1:39">
      <c r="A633" s="18" t="str">
        <f>IF(Volcanic!A633="","",Volcanic!A633)</f>
        <v>10/2010</v>
      </c>
      <c r="B633" s="18">
        <f>IF(ISNUMBER(Volcanic!L633),Volcanic!L633,"")</f>
        <v>2010.7916666666667</v>
      </c>
      <c r="C633" s="21">
        <v>-1.74</v>
      </c>
      <c r="D633" s="18">
        <f t="shared" si="97"/>
        <v>-1.28</v>
      </c>
      <c r="E633" s="18">
        <f>IF(ISNUMBER(Volcanic!B633),Volcanic!B633,"")</f>
        <v>0.71000000000000085</v>
      </c>
      <c r="F633" s="18">
        <f>IF(ISNUMBER(Volcanic!C633),Volcanic!C633,"")</f>
        <v>0.46850884379594554</v>
      </c>
      <c r="G633" s="18">
        <f>IF(ISNUMBER(Volcanic!E633),Volcanic!E633,"")</f>
        <v>6.4599999999999996E-3</v>
      </c>
      <c r="H633" s="18">
        <f>IF(ISNUMBER(Volcanic!D633),Volcanic!D633,"")</f>
        <v>-0.98</v>
      </c>
      <c r="I633" s="18">
        <f t="shared" si="91"/>
        <v>0.46850884379594554</v>
      </c>
      <c r="J633" s="18">
        <f t="shared" si="92"/>
        <v>6.4599999999999996E-3</v>
      </c>
      <c r="K633" s="18">
        <f t="shared" si="93"/>
        <v>-1.28</v>
      </c>
      <c r="L633" s="18">
        <f t="shared" si="94"/>
        <v>0.46850884379594554</v>
      </c>
      <c r="M633" s="18">
        <f t="shared" si="95"/>
        <v>6.4599999999999996E-3</v>
      </c>
      <c r="N633" s="18">
        <f t="shared" si="96"/>
        <v>-1.1380657239396708</v>
      </c>
      <c r="AK633" s="18">
        <f>IF(AND(ISNUMBER(C633),ISNUMBER(ENSO!F633)),C633-ENSO!F633,"")</f>
        <v>-0.19999999999999996</v>
      </c>
      <c r="AL633" s="18">
        <f t="shared" si="98"/>
        <v>2010.7916666666667</v>
      </c>
      <c r="AM633" s="18">
        <f t="shared" si="99"/>
        <v>0.71000000000000085</v>
      </c>
    </row>
    <row r="634" spans="1:39">
      <c r="A634" s="18" t="str">
        <f>IF(Volcanic!A634="","",Volcanic!A634)</f>
        <v>11/2010</v>
      </c>
      <c r="B634" s="18">
        <f>IF(ISNUMBER(Volcanic!L634),Volcanic!L634,"")</f>
        <v>2010.875</v>
      </c>
      <c r="C634" s="21">
        <v>-1.72</v>
      </c>
      <c r="D634" s="18">
        <f t="shared" si="97"/>
        <v>-1.51</v>
      </c>
      <c r="E634" s="18">
        <f>IF(ISNUMBER(Volcanic!B634),Volcanic!B634,"")</f>
        <v>0.81000000000000227</v>
      </c>
      <c r="F634" s="18">
        <f>IF(ISNUMBER(Volcanic!C634),Volcanic!C634,"")</f>
        <v>0.47386111287143712</v>
      </c>
      <c r="G634" s="18">
        <f>IF(ISNUMBER(Volcanic!E634),Volcanic!E634,"")</f>
        <v>6.5500000000000003E-3</v>
      </c>
      <c r="H634" s="18">
        <f>IF(ISNUMBER(Volcanic!D634),Volcanic!D634,"")</f>
        <v>-1.24</v>
      </c>
      <c r="I634" s="18">
        <f t="shared" si="91"/>
        <v>0.47386111287143712</v>
      </c>
      <c r="J634" s="18">
        <f t="shared" si="92"/>
        <v>6.5500000000000003E-3</v>
      </c>
      <c r="K634" s="18">
        <f t="shared" si="93"/>
        <v>-1.51</v>
      </c>
      <c r="L634" s="18">
        <f t="shared" si="94"/>
        <v>0.47386111287143712</v>
      </c>
      <c r="M634" s="18">
        <f t="shared" si="95"/>
        <v>6.5500000000000003E-3</v>
      </c>
      <c r="N634" s="18">
        <f t="shared" si="96"/>
        <v>-1.3673757044490726</v>
      </c>
      <c r="AK634" s="18">
        <f>IF(AND(ISNUMBER(C634),ISNUMBER(ENSO!F634)),C634-ENSO!F634,"")</f>
        <v>-0.14999999999999991</v>
      </c>
      <c r="AL634" s="18">
        <f t="shared" si="98"/>
        <v>2010.875</v>
      </c>
      <c r="AM634" s="18">
        <f t="shared" si="99"/>
        <v>0.81000000000000227</v>
      </c>
    </row>
    <row r="635" spans="1:39">
      <c r="A635" s="18" t="str">
        <f>IF(Volcanic!A635="","",Volcanic!A635)</f>
        <v>12/2010</v>
      </c>
      <c r="B635" s="18">
        <f>IF(ISNUMBER(Volcanic!L635),Volcanic!L635,"")</f>
        <v>2010.9583333333333</v>
      </c>
      <c r="C635" s="21">
        <v>-1.63</v>
      </c>
      <c r="D635" s="18">
        <f t="shared" si="97"/>
        <v>-1.68</v>
      </c>
      <c r="E635" s="18">
        <f>IF(ISNUMBER(Volcanic!B635),Volcanic!B635,"")</f>
        <v>0.44999999999999751</v>
      </c>
      <c r="F635" s="18">
        <f>IF(ISNUMBER(Volcanic!C635),Volcanic!C635,"")</f>
        <v>0.47801030414984191</v>
      </c>
      <c r="G635" s="18">
        <f>IF(ISNUMBER(Volcanic!E635),Volcanic!E635,"")</f>
        <v>6.2899999999999996E-3</v>
      </c>
      <c r="H635" s="18">
        <f>IF(ISNUMBER(Volcanic!D635),Volcanic!D635,"")</f>
        <v>-1.43</v>
      </c>
      <c r="I635" s="18">
        <f t="shared" si="91"/>
        <v>0.47801030414984191</v>
      </c>
      <c r="J635" s="18">
        <f t="shared" si="92"/>
        <v>6.2899999999999996E-3</v>
      </c>
      <c r="K635" s="18">
        <f t="shared" si="93"/>
        <v>-1.68</v>
      </c>
      <c r="L635" s="18">
        <f t="shared" si="94"/>
        <v>0.47801030414984191</v>
      </c>
      <c r="M635" s="18">
        <f t="shared" si="95"/>
        <v>6.2899999999999996E-3</v>
      </c>
      <c r="N635" s="18">
        <f t="shared" si="96"/>
        <v>-1.5366856849584745</v>
      </c>
      <c r="AK635" s="18">
        <f>IF(AND(ISNUMBER(C635),ISNUMBER(ENSO!F635)),C635-ENSO!F635,"")</f>
        <v>-0.14999999999999991</v>
      </c>
      <c r="AL635" s="18">
        <f t="shared" si="98"/>
        <v>2010.9583333333333</v>
      </c>
      <c r="AM635" s="18">
        <f t="shared" si="99"/>
        <v>0.44999999999999751</v>
      </c>
    </row>
    <row r="636" spans="1:39">
      <c r="A636" s="18" t="str">
        <f>IF(Volcanic!A636="","",Volcanic!A636)</f>
        <v>1/2011</v>
      </c>
      <c r="B636" s="18">
        <f>IF(ISNUMBER(Volcanic!L636),Volcanic!L636,"")</f>
        <v>2011.0416666666667</v>
      </c>
      <c r="C636" s="21">
        <v>-1.43</v>
      </c>
      <c r="D636" s="18">
        <f t="shared" si="97"/>
        <v>-1.74</v>
      </c>
      <c r="E636" s="18">
        <f>IF(ISNUMBER(Volcanic!B636),Volcanic!B636,"")</f>
        <v>0.5199999999999978</v>
      </c>
      <c r="F636" s="18">
        <f>IF(ISNUMBER(Volcanic!C636),Volcanic!C636,"")</f>
        <v>0.48358548034607413</v>
      </c>
      <c r="G636" s="18">
        <f>IF(ISNUMBER(Volcanic!E636),Volcanic!E636,"")</f>
        <v>6.2199999999999998E-3</v>
      </c>
      <c r="H636" s="18">
        <f>IF(ISNUMBER(Volcanic!D636),Volcanic!D636,"")</f>
        <v>-1.54</v>
      </c>
      <c r="I636" s="18">
        <f t="shared" si="91"/>
        <v>0.48358548034607413</v>
      </c>
      <c r="J636" s="18">
        <f t="shared" si="92"/>
        <v>6.2199999999999998E-3</v>
      </c>
      <c r="K636" s="18">
        <f t="shared" si="93"/>
        <v>-1.74</v>
      </c>
      <c r="L636" s="18">
        <f t="shared" si="94"/>
        <v>0.48358548034607413</v>
      </c>
      <c r="M636" s="18">
        <f t="shared" si="95"/>
        <v>6.2199999999999998E-3</v>
      </c>
      <c r="N636" s="18">
        <f t="shared" si="96"/>
        <v>-1.5959956654678764</v>
      </c>
      <c r="AK636" s="18">
        <f>IF(AND(ISNUMBER(C636),ISNUMBER(ENSO!F636)),C636-ENSO!F636,"")</f>
        <v>-0.1399999999999999</v>
      </c>
      <c r="AL636" s="18">
        <f t="shared" si="98"/>
        <v>2011.0416666666667</v>
      </c>
      <c r="AM636" s="18">
        <f t="shared" si="99"/>
        <v>0.5199999999999978</v>
      </c>
    </row>
    <row r="637" spans="1:39">
      <c r="A637" s="18" t="str">
        <f>IF(Volcanic!A637="","",Volcanic!A637)</f>
        <v>2/2011</v>
      </c>
      <c r="B637" s="18">
        <f>IF(ISNUMBER(Volcanic!L637),Volcanic!L637,"")</f>
        <v>2011.125</v>
      </c>
      <c r="C637" s="21">
        <v>-1.19</v>
      </c>
      <c r="D637" s="18">
        <f t="shared" si="97"/>
        <v>-1.72</v>
      </c>
      <c r="E637" s="18">
        <f>IF(ISNUMBER(Volcanic!B637),Volcanic!B637,"")</f>
        <v>0.47000000000000242</v>
      </c>
      <c r="F637" s="18">
        <f>IF(ISNUMBER(Volcanic!C637),Volcanic!C637,"")</f>
        <v>0.48561083266005051</v>
      </c>
      <c r="G637" s="18">
        <f>IF(ISNUMBER(Volcanic!E637),Volcanic!E637,"")</f>
        <v>6.3099999999999996E-3</v>
      </c>
      <c r="H637" s="18">
        <f>IF(ISNUMBER(Volcanic!D637),Volcanic!D637,"")</f>
        <v>-1.57</v>
      </c>
      <c r="I637" s="18">
        <f t="shared" si="91"/>
        <v>0.48561083266005051</v>
      </c>
      <c r="J637" s="18">
        <f t="shared" si="92"/>
        <v>6.3099999999999996E-3</v>
      </c>
      <c r="K637" s="18">
        <f t="shared" si="93"/>
        <v>-1.72</v>
      </c>
      <c r="L637" s="18">
        <f t="shared" si="94"/>
        <v>0.48561083266005051</v>
      </c>
      <c r="M637" s="18">
        <f t="shared" si="95"/>
        <v>6.3099999999999996E-3</v>
      </c>
      <c r="N637" s="18">
        <f t="shared" si="96"/>
        <v>-1.5753056459772783</v>
      </c>
      <c r="AK637" s="18">
        <f>IF(AND(ISNUMBER(C637),ISNUMBER(ENSO!F637)),C637-ENSO!F637,"")</f>
        <v>-0.12999999999999989</v>
      </c>
      <c r="AL637" s="18">
        <f t="shared" si="98"/>
        <v>2011.125</v>
      </c>
      <c r="AM637" s="18">
        <f t="shared" si="99"/>
        <v>0.47000000000000242</v>
      </c>
    </row>
    <row r="638" spans="1:39">
      <c r="A638" s="18" t="str">
        <f>IF(Volcanic!A638="","",Volcanic!A638)</f>
        <v>3/2011</v>
      </c>
      <c r="B638" s="18">
        <f>IF(ISNUMBER(Volcanic!L638),Volcanic!L638,"")</f>
        <v>2011.2083333333333</v>
      </c>
      <c r="C638" s="21">
        <v>-0.92</v>
      </c>
      <c r="D638" s="18">
        <f t="shared" si="97"/>
        <v>-1.63</v>
      </c>
      <c r="E638" s="18">
        <f>IF(ISNUMBER(Volcanic!B638),Volcanic!B638,"")</f>
        <v>0.65000000000000213</v>
      </c>
      <c r="F638" s="18">
        <f>IF(ISNUMBER(Volcanic!C638),Volcanic!C638,"")</f>
        <v>0.48836810248236423</v>
      </c>
      <c r="G638" s="18">
        <f>IF(ISNUMBER(Volcanic!E638),Volcanic!E638,"")</f>
        <v>6.2399999999999999E-3</v>
      </c>
      <c r="H638" s="18">
        <f>IF(ISNUMBER(Volcanic!D638),Volcanic!D638,"")</f>
        <v>-1.48</v>
      </c>
      <c r="I638" s="18">
        <f t="shared" si="91"/>
        <v>0.48836810248236423</v>
      </c>
      <c r="J638" s="18">
        <f t="shared" si="92"/>
        <v>6.2399999999999999E-3</v>
      </c>
      <c r="K638" s="18">
        <f t="shared" si="93"/>
        <v>-1.63</v>
      </c>
      <c r="L638" s="18">
        <f t="shared" si="94"/>
        <v>0.48836810248236423</v>
      </c>
      <c r="M638" s="18">
        <f t="shared" si="95"/>
        <v>6.2399999999999999E-3</v>
      </c>
      <c r="N638" s="18">
        <f t="shared" si="96"/>
        <v>-1.4846156264866766</v>
      </c>
      <c r="AK638" s="18">
        <f>IF(AND(ISNUMBER(C638),ISNUMBER(ENSO!F638)),C638-ENSO!F638,"")</f>
        <v>-7.0000000000000062E-2</v>
      </c>
      <c r="AL638" s="18">
        <f t="shared" si="98"/>
        <v>2011.2083333333333</v>
      </c>
      <c r="AM638" s="18">
        <f t="shared" si="99"/>
        <v>0.65000000000000213</v>
      </c>
    </row>
    <row r="639" spans="1:39">
      <c r="A639" s="18" t="str">
        <f>IF(Volcanic!A639="","",Volcanic!A639)</f>
        <v>4/2011</v>
      </c>
      <c r="B639" s="18">
        <f>IF(ISNUMBER(Volcanic!L639),Volcanic!L639,"")</f>
        <v>2011.2916666666667</v>
      </c>
      <c r="C639" s="21">
        <v>-0.69</v>
      </c>
      <c r="D639" s="18">
        <f t="shared" si="97"/>
        <v>-1.43</v>
      </c>
      <c r="E639" s="18">
        <f>IF(ISNUMBER(Volcanic!B639),Volcanic!B639,"")</f>
        <v>0.64000000000000234</v>
      </c>
      <c r="F639" s="18">
        <f>IF(ISNUMBER(Volcanic!C639),Volcanic!C639,"")</f>
        <v>0.49071681287639107</v>
      </c>
      <c r="G639" s="18">
        <f>IF(ISNUMBER(Volcanic!E639),Volcanic!E639,"")</f>
        <v>6.0800000000000003E-3</v>
      </c>
      <c r="H639" s="18">
        <f>IF(ISNUMBER(Volcanic!D639),Volcanic!D639,"")</f>
        <v>-1.29</v>
      </c>
      <c r="I639" s="18">
        <f t="shared" si="91"/>
        <v>0.49071681287639107</v>
      </c>
      <c r="J639" s="18">
        <f t="shared" si="92"/>
        <v>6.0800000000000003E-3</v>
      </c>
      <c r="K639" s="18">
        <f t="shared" si="93"/>
        <v>-1.43</v>
      </c>
      <c r="L639" s="18">
        <f t="shared" si="94"/>
        <v>0.49071681287639107</v>
      </c>
      <c r="M639" s="18">
        <f t="shared" si="95"/>
        <v>6.0800000000000003E-3</v>
      </c>
      <c r="N639" s="18">
        <f t="shared" si="96"/>
        <v>-1.2839256069960785</v>
      </c>
      <c r="AK639" s="18">
        <f>IF(AND(ISNUMBER(C639),ISNUMBER(ENSO!F639)),C639-ENSO!F639,"")</f>
        <v>-9.9999999999998979E-3</v>
      </c>
      <c r="AL639" s="18">
        <f t="shared" si="98"/>
        <v>2011.2916666666667</v>
      </c>
      <c r="AM639" s="18">
        <f t="shared" si="99"/>
        <v>0.64000000000000234</v>
      </c>
    </row>
    <row r="640" spans="1:39">
      <c r="A640" s="18" t="str">
        <f>IF(Volcanic!A640="","",Volcanic!A640)</f>
        <v>5/2011</v>
      </c>
      <c r="B640" s="18">
        <f>IF(ISNUMBER(Volcanic!L640),Volcanic!L640,"")</f>
        <v>2011.375</v>
      </c>
      <c r="C640" s="21">
        <v>-0.48</v>
      </c>
      <c r="D640" s="18">
        <f t="shared" si="97"/>
        <v>-1.19</v>
      </c>
      <c r="E640" s="18">
        <f>IF(ISNUMBER(Volcanic!B640),Volcanic!B640,"")</f>
        <v>0.52999999999999758</v>
      </c>
      <c r="F640" s="18">
        <f>IF(ISNUMBER(Volcanic!C640),Volcanic!C640,"")</f>
        <v>0.49426930357072107</v>
      </c>
      <c r="G640" s="18">
        <f>IF(ISNUMBER(Volcanic!E640),Volcanic!E640,"")</f>
        <v>5.8500000000000002E-3</v>
      </c>
      <c r="H640" s="18">
        <f>IF(ISNUMBER(Volcanic!D640),Volcanic!D640,"")</f>
        <v>-1.06</v>
      </c>
      <c r="I640" s="18">
        <f t="shared" si="91"/>
        <v>0.49426930357072107</v>
      </c>
      <c r="J640" s="18">
        <f t="shared" si="92"/>
        <v>5.8500000000000002E-3</v>
      </c>
      <c r="K640" s="18">
        <f t="shared" si="93"/>
        <v>-1.19</v>
      </c>
      <c r="L640" s="18">
        <f t="shared" si="94"/>
        <v>0.49426930357072107</v>
      </c>
      <c r="M640" s="18">
        <f t="shared" si="95"/>
        <v>5.8500000000000002E-3</v>
      </c>
      <c r="N640" s="18">
        <f t="shared" si="96"/>
        <v>-1.0432355875054804</v>
      </c>
      <c r="AK640" s="18">
        <f>IF(AND(ISNUMBER(C640),ISNUMBER(ENSO!F640)),C640-ENSO!F640,"")</f>
        <v>2.0000000000000018E-2</v>
      </c>
      <c r="AL640" s="18">
        <f t="shared" si="98"/>
        <v>2011.375</v>
      </c>
      <c r="AM640" s="18">
        <f t="shared" si="99"/>
        <v>0.52999999999999758</v>
      </c>
    </row>
    <row r="641" spans="1:39">
      <c r="A641" s="18" t="str">
        <f>IF(Volcanic!A641="","",Volcanic!A641)</f>
        <v>6/2011</v>
      </c>
      <c r="B641" s="18">
        <f>IF(ISNUMBER(Volcanic!L641),Volcanic!L641,"")</f>
        <v>2011.4583333333333</v>
      </c>
      <c r="C641" s="21">
        <v>-0.34</v>
      </c>
      <c r="D641" s="18">
        <f t="shared" si="97"/>
        <v>-0.92</v>
      </c>
      <c r="E641" s="18">
        <f>IF(ISNUMBER(Volcanic!B641),Volcanic!B641,"")</f>
        <v>0.62000000000000099</v>
      </c>
      <c r="F641" s="18">
        <f>IF(ISNUMBER(Volcanic!C641),Volcanic!C641,"")</f>
        <v>0.49258570776646082</v>
      </c>
      <c r="G641" s="18">
        <f>IF(ISNUMBER(Volcanic!E641),Volcanic!E641,"")</f>
        <v>6.0499999999999998E-3</v>
      </c>
      <c r="H641" s="18">
        <f>IF(ISNUMBER(Volcanic!D641),Volcanic!D641,"")</f>
        <v>-0.85</v>
      </c>
      <c r="I641" s="18">
        <f t="shared" si="91"/>
        <v>0.49258570776646082</v>
      </c>
      <c r="J641" s="18">
        <f t="shared" si="92"/>
        <v>6.0499999999999998E-3</v>
      </c>
      <c r="K641" s="18">
        <f t="shared" si="93"/>
        <v>-0.92</v>
      </c>
      <c r="L641" s="18">
        <f t="shared" si="94"/>
        <v>0.49258570776646082</v>
      </c>
      <c r="M641" s="18">
        <f t="shared" si="95"/>
        <v>6.0499999999999998E-3</v>
      </c>
      <c r="N641" s="18">
        <f t="shared" si="96"/>
        <v>-0.77254556801488239</v>
      </c>
      <c r="AK641" s="18">
        <f>IF(AND(ISNUMBER(C641),ISNUMBER(ENSO!F641)),C641-ENSO!F641,"")</f>
        <v>0</v>
      </c>
      <c r="AL641" s="18">
        <f t="shared" si="98"/>
        <v>2011.4583333333333</v>
      </c>
      <c r="AM641" s="18">
        <f t="shared" si="99"/>
        <v>0.62000000000000099</v>
      </c>
    </row>
    <row r="642" spans="1:39">
      <c r="A642" s="18" t="str">
        <f>IF(Volcanic!A642="","",Volcanic!A642)</f>
        <v>7/2011</v>
      </c>
      <c r="B642" s="18">
        <f>IF(ISNUMBER(Volcanic!L642),Volcanic!L642,"")</f>
        <v>2011.5416666666667</v>
      </c>
      <c r="C642" s="21">
        <v>-0.38</v>
      </c>
      <c r="D642" s="18">
        <f t="shared" si="97"/>
        <v>-0.69</v>
      </c>
      <c r="E642" s="18">
        <f>IF(ISNUMBER(Volcanic!B642),Volcanic!B642,"")</f>
        <v>0.71000000000000085</v>
      </c>
      <c r="F642" s="18">
        <f>IF(ISNUMBER(Volcanic!C642),Volcanic!C642,"")</f>
        <v>0.48807424464635712</v>
      </c>
      <c r="G642" s="18">
        <f>IF(ISNUMBER(Volcanic!E642),Volcanic!E642,"")</f>
        <v>6.9499999999999996E-3</v>
      </c>
      <c r="H642" s="18">
        <f>IF(ISNUMBER(Volcanic!D642),Volcanic!D642,"")</f>
        <v>-0.68</v>
      </c>
      <c r="I642" s="18">
        <f t="shared" ref="I642:I705" si="100">F642</f>
        <v>0.48807424464635712</v>
      </c>
      <c r="J642" s="18">
        <f t="shared" ref="J642:J705" si="101">G642</f>
        <v>6.9499999999999996E-3</v>
      </c>
      <c r="K642" s="18">
        <f t="shared" ref="K642:K705" si="102">IF(ISNUMBER(D642),D642,"")</f>
        <v>-0.69</v>
      </c>
      <c r="L642" s="18">
        <f t="shared" ref="L642:L705" si="103">F642</f>
        <v>0.48807424464635712</v>
      </c>
      <c r="M642" s="18">
        <f t="shared" ref="M642:M705" si="104">G642</f>
        <v>6.9499999999999996E-3</v>
      </c>
      <c r="N642" s="18">
        <f t="shared" ref="N642:N705" si="105">IF(ISNUMBER(D642),D642-($AB$8*B642+$AB$9),"")</f>
        <v>-0.54185554852428064</v>
      </c>
      <c r="AK642" s="18">
        <f>IF(AND(ISNUMBER(C642),ISNUMBER(ENSO!F642)),C642-ENSO!F642,"")</f>
        <v>-1.0000000000000009E-2</v>
      </c>
      <c r="AL642" s="18">
        <f t="shared" si="98"/>
        <v>2011.5416666666667</v>
      </c>
      <c r="AM642" s="18">
        <f t="shared" si="99"/>
        <v>0.71000000000000085</v>
      </c>
    </row>
    <row r="643" spans="1:39">
      <c r="A643" s="18" t="str">
        <f>IF(Volcanic!A643="","",Volcanic!A643)</f>
        <v>8/2011</v>
      </c>
      <c r="B643" s="18">
        <f>IF(ISNUMBER(Volcanic!L643),Volcanic!L643,"")</f>
        <v>2011.625</v>
      </c>
      <c r="C643" s="21">
        <v>-0.51</v>
      </c>
      <c r="D643" s="18">
        <f t="shared" si="97"/>
        <v>-0.48</v>
      </c>
      <c r="E643" s="18">
        <f>IF(ISNUMBER(Volcanic!B643),Volcanic!B643,"")</f>
        <v>0.73999999999999666</v>
      </c>
      <c r="F643" s="18">
        <f>IF(ISNUMBER(Volcanic!C643),Volcanic!C643,"")</f>
        <v>0.47926752258572419</v>
      </c>
      <c r="G643" s="18">
        <f>IF(ISNUMBER(Volcanic!E643),Volcanic!E643,"")</f>
        <v>7.1999999999999998E-3</v>
      </c>
      <c r="H643" s="18">
        <f>IF(ISNUMBER(Volcanic!D643),Volcanic!D643,"")</f>
        <v>-0.5</v>
      </c>
      <c r="I643" s="18">
        <f t="shared" si="100"/>
        <v>0.47926752258572419</v>
      </c>
      <c r="J643" s="18">
        <f t="shared" si="101"/>
        <v>7.1999999999999998E-3</v>
      </c>
      <c r="K643" s="18">
        <f t="shared" si="102"/>
        <v>-0.48</v>
      </c>
      <c r="L643" s="18">
        <f t="shared" si="103"/>
        <v>0.47926752258572419</v>
      </c>
      <c r="M643" s="18">
        <f t="shared" si="104"/>
        <v>7.1999999999999998E-3</v>
      </c>
      <c r="N643" s="18">
        <f t="shared" si="105"/>
        <v>-0.33116552903368257</v>
      </c>
      <c r="AK643" s="18">
        <f>IF(AND(ISNUMBER(C643),ISNUMBER(ENSO!F643)),C643-ENSO!F643,"")</f>
        <v>-1.0000000000000009E-2</v>
      </c>
      <c r="AL643" s="18">
        <f t="shared" si="98"/>
        <v>2011.625</v>
      </c>
      <c r="AM643" s="18">
        <f t="shared" si="99"/>
        <v>0.73999999999999666</v>
      </c>
    </row>
    <row r="644" spans="1:39">
      <c r="A644" s="18" t="str">
        <f>IF(Volcanic!A644="","",Volcanic!A644)</f>
        <v>9/2011</v>
      </c>
      <c r="B644" s="18">
        <f>IF(ISNUMBER(Volcanic!L644),Volcanic!L644,"")</f>
        <v>2011.7083333333333</v>
      </c>
      <c r="C644" s="21">
        <v>-0.74</v>
      </c>
      <c r="D644" s="18">
        <f t="shared" si="97"/>
        <v>-0.34</v>
      </c>
      <c r="E644" s="18">
        <f>IF(ISNUMBER(Volcanic!B644),Volcanic!B644,"")</f>
        <v>0.55999999999999872</v>
      </c>
      <c r="F644" s="18">
        <f>IF(ISNUMBER(Volcanic!C644),Volcanic!C644,"")</f>
        <v>0.47538139821873787</v>
      </c>
      <c r="G644" s="18">
        <f>IF(ISNUMBER(Volcanic!E644),Volcanic!E644,"")</f>
        <v>7.1799999999999998E-3</v>
      </c>
      <c r="H644" s="18">
        <f>IF(ISNUMBER(Volcanic!D644),Volcanic!D644,"")</f>
        <v>-0.34</v>
      </c>
      <c r="I644" s="18">
        <f t="shared" si="100"/>
        <v>0.47538139821873787</v>
      </c>
      <c r="J644" s="18">
        <f t="shared" si="101"/>
        <v>7.1799999999999998E-3</v>
      </c>
      <c r="K644" s="18">
        <f t="shared" si="102"/>
        <v>-0.34</v>
      </c>
      <c r="L644" s="18">
        <f t="shared" si="103"/>
        <v>0.47538139821873787</v>
      </c>
      <c r="M644" s="18">
        <f t="shared" si="104"/>
        <v>7.1799999999999998E-3</v>
      </c>
      <c r="N644" s="18">
        <f t="shared" si="105"/>
        <v>-0.19047550954308451</v>
      </c>
      <c r="AK644" s="18">
        <f>IF(AND(ISNUMBER(C644),ISNUMBER(ENSO!F644)),C644-ENSO!F644,"")</f>
        <v>2.0000000000000018E-2</v>
      </c>
      <c r="AL644" s="18">
        <f t="shared" si="98"/>
        <v>2011.7083333333333</v>
      </c>
      <c r="AM644" s="18">
        <f t="shared" si="99"/>
        <v>0.55999999999999872</v>
      </c>
    </row>
    <row r="645" spans="1:39">
      <c r="A645" s="18" t="str">
        <f>IF(Volcanic!A645="","",Volcanic!A645)</f>
        <v>10/2011</v>
      </c>
      <c r="B645" s="18">
        <f>IF(ISNUMBER(Volcanic!L645),Volcanic!L645,"")</f>
        <v>2011.7916666666667</v>
      </c>
      <c r="C645" s="21">
        <v>-0.94</v>
      </c>
      <c r="D645" s="18">
        <f t="shared" ref="D645:D708" si="106">IF(C642="","",C642)</f>
        <v>-0.38</v>
      </c>
      <c r="E645" s="18">
        <f>IF(ISNUMBER(Volcanic!B645),Volcanic!B645,"")</f>
        <v>0.65000000000000213</v>
      </c>
      <c r="F645" s="18">
        <f>IF(ISNUMBER(Volcanic!C645),Volcanic!C645,"")</f>
        <v>0.47504781425465853</v>
      </c>
      <c r="G645" s="18">
        <f>IF(ISNUMBER(Volcanic!E645),Volcanic!E645,"")</f>
        <v>7.0099999999999997E-3</v>
      </c>
      <c r="H645" s="18">
        <f>IF(ISNUMBER(Volcanic!D645),Volcanic!D645,"")</f>
        <v>-0.37</v>
      </c>
      <c r="I645" s="18">
        <f t="shared" si="100"/>
        <v>0.47504781425465853</v>
      </c>
      <c r="J645" s="18">
        <f t="shared" si="101"/>
        <v>7.0099999999999997E-3</v>
      </c>
      <c r="K645" s="18">
        <f t="shared" si="102"/>
        <v>-0.38</v>
      </c>
      <c r="L645" s="18">
        <f t="shared" si="103"/>
        <v>0.47504781425465853</v>
      </c>
      <c r="M645" s="18">
        <f t="shared" si="104"/>
        <v>7.0099999999999997E-3</v>
      </c>
      <c r="N645" s="18">
        <f t="shared" si="105"/>
        <v>-0.22978549005248283</v>
      </c>
      <c r="AK645" s="18">
        <f>IF(AND(ISNUMBER(C645),ISNUMBER(ENSO!F645)),C645-ENSO!F645,"")</f>
        <v>0</v>
      </c>
      <c r="AL645" s="18">
        <f t="shared" si="98"/>
        <v>2011.7916666666667</v>
      </c>
      <c r="AM645" s="18">
        <f t="shared" si="99"/>
        <v>0.65000000000000213</v>
      </c>
    </row>
    <row r="646" spans="1:39">
      <c r="A646" s="18" t="str">
        <f>IF(Volcanic!A646="","",Volcanic!A646)</f>
        <v>11/2011</v>
      </c>
      <c r="B646" s="18">
        <f>IF(ISNUMBER(Volcanic!L646),Volcanic!L646,"")</f>
        <v>2011.875</v>
      </c>
      <c r="C646" s="21">
        <v>-1.05</v>
      </c>
      <c r="D646" s="18">
        <f t="shared" si="106"/>
        <v>-0.51</v>
      </c>
      <c r="E646" s="18">
        <f>IF(ISNUMBER(Volcanic!B646),Volcanic!B646,"")</f>
        <v>0.60000000000000142</v>
      </c>
      <c r="F646" s="18">
        <f>IF(ISNUMBER(Volcanic!C646),Volcanic!C646,"")</f>
        <v>0.47982182967399284</v>
      </c>
      <c r="G646" s="18">
        <f>IF(ISNUMBER(Volcanic!E646),Volcanic!E646,"")</f>
        <v>6.8100000000000001E-3</v>
      </c>
      <c r="H646" s="18">
        <f>IF(ISNUMBER(Volcanic!D646),Volcanic!D646,"")</f>
        <v>-0.5</v>
      </c>
      <c r="I646" s="18">
        <f t="shared" si="100"/>
        <v>0.47982182967399284</v>
      </c>
      <c r="J646" s="18">
        <f t="shared" si="101"/>
        <v>6.8100000000000001E-3</v>
      </c>
      <c r="K646" s="18">
        <f t="shared" si="102"/>
        <v>-0.51</v>
      </c>
      <c r="L646" s="18">
        <f t="shared" si="103"/>
        <v>0.47982182967399284</v>
      </c>
      <c r="M646" s="18">
        <f t="shared" si="104"/>
        <v>6.8100000000000001E-3</v>
      </c>
      <c r="N646" s="18">
        <f t="shared" si="105"/>
        <v>-0.35909547056188473</v>
      </c>
      <c r="AK646" s="18">
        <f>IF(AND(ISNUMBER(C646),ISNUMBER(ENSO!F646)),C646-ENSO!F646,"")</f>
        <v>-3.0000000000000027E-2</v>
      </c>
      <c r="AL646" s="18">
        <f t="shared" si="98"/>
        <v>2011.875</v>
      </c>
      <c r="AM646" s="18">
        <f t="shared" si="99"/>
        <v>0.60000000000000142</v>
      </c>
    </row>
    <row r="647" spans="1:39">
      <c r="A647" s="18" t="str">
        <f>IF(Volcanic!A647="","",Volcanic!A647)</f>
        <v>12/2011</v>
      </c>
      <c r="B647" s="18">
        <f>IF(ISNUMBER(Volcanic!L647),Volcanic!L647,"")</f>
        <v>2011.9583333333333</v>
      </c>
      <c r="C647" s="21">
        <v>-0.99</v>
      </c>
      <c r="D647" s="18">
        <f t="shared" si="106"/>
        <v>-0.74</v>
      </c>
      <c r="E647" s="18">
        <f>IF(ISNUMBER(Volcanic!B647),Volcanic!B647,"")</f>
        <v>0.60000000000000142</v>
      </c>
      <c r="F647" s="18">
        <f>IF(ISNUMBER(Volcanic!C647),Volcanic!C647,"")</f>
        <v>0.48564763094194874</v>
      </c>
      <c r="G647" s="18">
        <f>IF(ISNUMBER(Volcanic!E647),Volcanic!E647,"")</f>
        <v>6.5500000000000003E-3</v>
      </c>
      <c r="H647" s="18">
        <f>IF(ISNUMBER(Volcanic!D647),Volcanic!D647,"")</f>
        <v>-0.76</v>
      </c>
      <c r="I647" s="18">
        <f t="shared" si="100"/>
        <v>0.48564763094194874</v>
      </c>
      <c r="J647" s="18">
        <f t="shared" si="101"/>
        <v>6.5500000000000003E-3</v>
      </c>
      <c r="K647" s="18">
        <f t="shared" si="102"/>
        <v>-0.74</v>
      </c>
      <c r="L647" s="18">
        <f t="shared" si="103"/>
        <v>0.48564763094194874</v>
      </c>
      <c r="M647" s="18">
        <f t="shared" si="104"/>
        <v>6.5500000000000003E-3</v>
      </c>
      <c r="N647" s="18">
        <f t="shared" si="105"/>
        <v>-0.58840545107128661</v>
      </c>
      <c r="AK647" s="18">
        <f>IF(AND(ISNUMBER(C647),ISNUMBER(ENSO!F647)),C647-ENSO!F647,"")</f>
        <v>-6.9999999999999951E-2</v>
      </c>
      <c r="AL647" s="18">
        <f t="shared" si="98"/>
        <v>2011.9583333333333</v>
      </c>
      <c r="AM647" s="18">
        <f t="shared" si="99"/>
        <v>0.60000000000000142</v>
      </c>
    </row>
    <row r="648" spans="1:39">
      <c r="A648" s="18" t="str">
        <f>IF(Volcanic!A648="","",Volcanic!A648)</f>
        <v>1/2012</v>
      </c>
      <c r="B648" s="18">
        <f>IF(ISNUMBER(Volcanic!L648),Volcanic!L648,"")</f>
        <v>2012.0416666666667</v>
      </c>
      <c r="C648" s="21">
        <v>-0.82</v>
      </c>
      <c r="D648" s="18">
        <f t="shared" si="106"/>
        <v>-0.94</v>
      </c>
      <c r="E648" s="18">
        <f>IF(ISNUMBER(Volcanic!B648),Volcanic!B648,"")</f>
        <v>0.47000000000000242</v>
      </c>
      <c r="F648" s="18">
        <f>IF(ISNUMBER(Volcanic!C648),Volcanic!C648,"")</f>
        <v>0.4902400404403634</v>
      </c>
      <c r="G648" s="18">
        <f>IF(ISNUMBER(Volcanic!E648),Volcanic!E648,"")</f>
        <v>7.5700000000000003E-3</v>
      </c>
      <c r="H648" s="18">
        <f>IF(ISNUMBER(Volcanic!D648),Volcanic!D648,"")</f>
        <v>-0.94</v>
      </c>
      <c r="I648" s="18">
        <f t="shared" si="100"/>
        <v>0.4902400404403634</v>
      </c>
      <c r="J648" s="18">
        <f t="shared" si="101"/>
        <v>7.5700000000000003E-3</v>
      </c>
      <c r="K648" s="18">
        <f t="shared" si="102"/>
        <v>-0.94</v>
      </c>
      <c r="L648" s="18">
        <f t="shared" si="103"/>
        <v>0.4902400404403634</v>
      </c>
      <c r="M648" s="18">
        <f t="shared" si="104"/>
        <v>7.5700000000000003E-3</v>
      </c>
      <c r="N648" s="18">
        <f t="shared" si="105"/>
        <v>-0.78771543158068491</v>
      </c>
      <c r="AK648" s="18">
        <f>IF(AND(ISNUMBER(C648),ISNUMBER(ENSO!F648)),C648-ENSO!F648,"")</f>
        <v>-0.10999999999999999</v>
      </c>
      <c r="AL648" s="18">
        <f t="shared" si="98"/>
        <v>2012.0416666666667</v>
      </c>
      <c r="AM648" s="18">
        <f t="shared" si="99"/>
        <v>0.47000000000000242</v>
      </c>
    </row>
    <row r="649" spans="1:39">
      <c r="A649" s="18" t="str">
        <f>IF(Volcanic!A649="","",Volcanic!A649)</f>
        <v>2/2012</v>
      </c>
      <c r="B649" s="18">
        <f>IF(ISNUMBER(Volcanic!L649),Volcanic!L649,"")</f>
        <v>2012.125</v>
      </c>
      <c r="C649" s="21">
        <v>-0.65</v>
      </c>
      <c r="D649" s="18">
        <f t="shared" si="106"/>
        <v>-1.05</v>
      </c>
      <c r="E649" s="18">
        <f>IF(ISNUMBER(Volcanic!B649),Volcanic!B649,"")</f>
        <v>0.47999999999999865</v>
      </c>
      <c r="F649" s="18">
        <f>IF(ISNUMBER(Volcanic!C649),Volcanic!C649,"")</f>
        <v>0.49291526157867827</v>
      </c>
      <c r="G649" s="18">
        <f>IF(ISNUMBER(Volcanic!E649),Volcanic!E649,"")</f>
        <v>9.1000000000000004E-3</v>
      </c>
      <c r="H649" s="18">
        <f>IF(ISNUMBER(Volcanic!D649),Volcanic!D649,"")</f>
        <v>-1.02</v>
      </c>
      <c r="I649" s="18">
        <f t="shared" si="100"/>
        <v>0.49291526157867827</v>
      </c>
      <c r="J649" s="18">
        <f t="shared" si="101"/>
        <v>9.1000000000000004E-3</v>
      </c>
      <c r="K649" s="18">
        <f t="shared" si="102"/>
        <v>-1.05</v>
      </c>
      <c r="L649" s="18">
        <f t="shared" si="103"/>
        <v>0.49291526157867827</v>
      </c>
      <c r="M649" s="18">
        <f t="shared" si="104"/>
        <v>9.1000000000000004E-3</v>
      </c>
      <c r="N649" s="18">
        <f t="shared" si="105"/>
        <v>-0.8970254120900869</v>
      </c>
      <c r="AK649" s="18">
        <f>IF(AND(ISNUMBER(C649),ISNUMBER(ENSO!F649)),C649-ENSO!F649,"")</f>
        <v>-8.9999999999999969E-2</v>
      </c>
      <c r="AL649" s="18">
        <f t="shared" ref="AL649:AL712" si="107">B649</f>
        <v>2012.125</v>
      </c>
      <c r="AM649" s="18">
        <f t="shared" ref="AM649:AM712" si="108">E649</f>
        <v>0.47999999999999865</v>
      </c>
    </row>
    <row r="650" spans="1:39">
      <c r="A650" s="18" t="str">
        <f>IF(Volcanic!A650="","",Volcanic!A650)</f>
        <v>3/2012</v>
      </c>
      <c r="B650" s="18">
        <f>IF(ISNUMBER(Volcanic!L650),Volcanic!L650,"")</f>
        <v>2012.2083333333333</v>
      </c>
      <c r="C650" s="21">
        <v>-0.56000000000000005</v>
      </c>
      <c r="D650" s="18">
        <f t="shared" si="106"/>
        <v>-0.99</v>
      </c>
      <c r="E650" s="18">
        <f>IF(ISNUMBER(Volcanic!B650),Volcanic!B650,"")</f>
        <v>0.57000000000000028</v>
      </c>
      <c r="F650" s="18">
        <f>IF(ISNUMBER(Volcanic!C650),Volcanic!C650,"")</f>
        <v>0.49492756747912453</v>
      </c>
      <c r="G650" s="18">
        <f>IF(ISNUMBER(Volcanic!E650),Volcanic!E650,"")</f>
        <v>1.0319999999999999E-2</v>
      </c>
      <c r="H650" s="18">
        <f>IF(ISNUMBER(Volcanic!D650),Volcanic!D650,"")</f>
        <v>-0.92</v>
      </c>
      <c r="I650" s="18">
        <f t="shared" si="100"/>
        <v>0.49492756747912453</v>
      </c>
      <c r="J650" s="18">
        <f t="shared" si="101"/>
        <v>1.0319999999999999E-2</v>
      </c>
      <c r="K650" s="18">
        <f t="shared" si="102"/>
        <v>-0.99</v>
      </c>
      <c r="L650" s="18">
        <f t="shared" si="103"/>
        <v>0.49492756747912453</v>
      </c>
      <c r="M650" s="18">
        <f t="shared" si="104"/>
        <v>1.0319999999999999E-2</v>
      </c>
      <c r="N650" s="18">
        <f t="shared" si="105"/>
        <v>-0.83633539259948875</v>
      </c>
      <c r="AK650" s="18">
        <f>IF(AND(ISNUMBER(C650),ISNUMBER(ENSO!F650)),C650-ENSO!F650,"")</f>
        <v>-0.12000000000000005</v>
      </c>
      <c r="AL650" s="18">
        <f t="shared" si="107"/>
        <v>2012.2083333333333</v>
      </c>
      <c r="AM650" s="18">
        <f t="shared" si="108"/>
        <v>0.57000000000000028</v>
      </c>
    </row>
    <row r="651" spans="1:39">
      <c r="A651" s="18" t="str">
        <f>IF(Volcanic!A651="","",Volcanic!A651)</f>
        <v>4/2012</v>
      </c>
      <c r="B651" s="18">
        <f>IF(ISNUMBER(Volcanic!L651),Volcanic!L651,"")</f>
        <v>2012.2916666666667</v>
      </c>
      <c r="C651" s="21">
        <v>-0.47</v>
      </c>
      <c r="D651" s="18">
        <f t="shared" si="106"/>
        <v>-0.82</v>
      </c>
      <c r="E651" s="18">
        <f>IF(ISNUMBER(Volcanic!B651),Volcanic!B651,"")</f>
        <v>0.7300000000000022</v>
      </c>
      <c r="F651" s="18">
        <f>IF(ISNUMBER(Volcanic!C651),Volcanic!C651,"")</f>
        <v>0.50145734365703309</v>
      </c>
      <c r="G651" s="18">
        <f>IF(ISNUMBER(Volcanic!E651),Volcanic!E651,"")</f>
        <v>1.0619999999999999E-2</v>
      </c>
      <c r="H651" s="18">
        <f>IF(ISNUMBER(Volcanic!D651),Volcanic!D651,"")</f>
        <v>-0.71</v>
      </c>
      <c r="I651" s="18">
        <f t="shared" si="100"/>
        <v>0.50145734365703309</v>
      </c>
      <c r="J651" s="18">
        <f t="shared" si="101"/>
        <v>1.0619999999999999E-2</v>
      </c>
      <c r="K651" s="18">
        <f t="shared" si="102"/>
        <v>-0.82</v>
      </c>
      <c r="L651" s="18">
        <f t="shared" si="103"/>
        <v>0.50145734365703309</v>
      </c>
      <c r="M651" s="18">
        <f t="shared" si="104"/>
        <v>1.0619999999999999E-2</v>
      </c>
      <c r="N651" s="18">
        <f t="shared" si="105"/>
        <v>-0.6656453731088906</v>
      </c>
      <c r="AK651" s="18">
        <f>IF(AND(ISNUMBER(C651),ISNUMBER(ENSO!F651)),C651-ENSO!F651,"")</f>
        <v>-0.12</v>
      </c>
      <c r="AL651" s="18">
        <f t="shared" si="107"/>
        <v>2012.2916666666667</v>
      </c>
      <c r="AM651" s="18">
        <f t="shared" si="108"/>
        <v>0.7300000000000022</v>
      </c>
    </row>
    <row r="652" spans="1:39">
      <c r="A652" s="18" t="str">
        <f>IF(Volcanic!A652="","",Volcanic!A652)</f>
        <v>5/2012</v>
      </c>
      <c r="B652" s="18">
        <f>IF(ISNUMBER(Volcanic!L652),Volcanic!L652,"")</f>
        <v>2012.375</v>
      </c>
      <c r="C652" s="21">
        <v>-0.27</v>
      </c>
      <c r="D652" s="18">
        <f t="shared" si="106"/>
        <v>-0.65</v>
      </c>
      <c r="E652" s="18">
        <f>IF(ISNUMBER(Volcanic!B652),Volcanic!B652,"")</f>
        <v>0.77999999999999758</v>
      </c>
      <c r="F652" s="18">
        <f>IF(ISNUMBER(Volcanic!C652),Volcanic!C652,"")</f>
        <v>0.50345777829071003</v>
      </c>
      <c r="G652" s="18">
        <f>IF(ISNUMBER(Volcanic!E652),Volcanic!E652,"")</f>
        <v>1.043E-2</v>
      </c>
      <c r="H652" s="18">
        <f>IF(ISNUMBER(Volcanic!D652),Volcanic!D652,"")</f>
        <v>-0.56000000000000005</v>
      </c>
      <c r="I652" s="18">
        <f t="shared" si="100"/>
        <v>0.50345777829071003</v>
      </c>
      <c r="J652" s="18">
        <f t="shared" si="101"/>
        <v>1.043E-2</v>
      </c>
      <c r="K652" s="18">
        <f t="shared" si="102"/>
        <v>-0.65</v>
      </c>
      <c r="L652" s="18">
        <f t="shared" si="103"/>
        <v>0.50345777829071003</v>
      </c>
      <c r="M652" s="18">
        <f t="shared" si="104"/>
        <v>1.043E-2</v>
      </c>
      <c r="N652" s="18">
        <f t="shared" si="105"/>
        <v>-0.49495535361829257</v>
      </c>
      <c r="AK652" s="18">
        <f>IF(AND(ISNUMBER(C652),ISNUMBER(ENSO!F652)),C652-ENSO!F652,"")</f>
        <v>-9.0000000000000024E-2</v>
      </c>
      <c r="AL652" s="18">
        <f t="shared" si="107"/>
        <v>2012.375</v>
      </c>
      <c r="AM652" s="18">
        <f t="shared" si="108"/>
        <v>0.77999999999999758</v>
      </c>
    </row>
    <row r="653" spans="1:39">
      <c r="A653" s="18" t="str">
        <f>IF(Volcanic!A653="","",Volcanic!A653)</f>
        <v>6/2012</v>
      </c>
      <c r="B653" s="18">
        <f>IF(ISNUMBER(Volcanic!L653),Volcanic!L653,"")</f>
        <v>2012.4583333333333</v>
      </c>
      <c r="C653" s="21">
        <v>0.03</v>
      </c>
      <c r="D653" s="18">
        <f t="shared" si="106"/>
        <v>-0.56000000000000005</v>
      </c>
      <c r="E653" s="18">
        <f>IF(ISNUMBER(Volcanic!B653),Volcanic!B653,"")</f>
        <v>0.65000000000000213</v>
      </c>
      <c r="F653" s="18">
        <f>IF(ISNUMBER(Volcanic!C653),Volcanic!C653,"")</f>
        <v>0.49974568063274527</v>
      </c>
      <c r="G653" s="18">
        <f>IF(ISNUMBER(Volcanic!E653),Volcanic!E653,"")</f>
        <v>9.9100000000000004E-3</v>
      </c>
      <c r="H653" s="18">
        <f>IF(ISNUMBER(Volcanic!D653),Volcanic!D653,"")</f>
        <v>-0.44</v>
      </c>
      <c r="I653" s="18">
        <f t="shared" si="100"/>
        <v>0.49974568063274527</v>
      </c>
      <c r="J653" s="18">
        <f t="shared" si="101"/>
        <v>9.9100000000000004E-3</v>
      </c>
      <c r="K653" s="18">
        <f t="shared" si="102"/>
        <v>-0.56000000000000005</v>
      </c>
      <c r="L653" s="18">
        <f t="shared" si="103"/>
        <v>0.49974568063274527</v>
      </c>
      <c r="M653" s="18">
        <f t="shared" si="104"/>
        <v>9.9100000000000004E-3</v>
      </c>
      <c r="N653" s="18">
        <f t="shared" si="105"/>
        <v>-0.4042653341276945</v>
      </c>
      <c r="AK653" s="18">
        <f>IF(AND(ISNUMBER(C653),ISNUMBER(ENSO!F653)),C653-ENSO!F653,"")</f>
        <v>0</v>
      </c>
      <c r="AL653" s="18">
        <f t="shared" si="107"/>
        <v>2012.4583333333333</v>
      </c>
      <c r="AM653" s="18">
        <f t="shared" si="108"/>
        <v>0.65000000000000213</v>
      </c>
    </row>
    <row r="654" spans="1:39">
      <c r="A654" s="18" t="str">
        <f>IF(Volcanic!A654="","",Volcanic!A654)</f>
        <v>7/2012</v>
      </c>
      <c r="B654" s="18">
        <f>IF(ISNUMBER(Volcanic!L654),Volcanic!L654,"")</f>
        <v>2012.5416666666667</v>
      </c>
      <c r="C654" s="21">
        <v>0.34</v>
      </c>
      <c r="D654" s="18">
        <f t="shared" si="106"/>
        <v>-0.47</v>
      </c>
      <c r="E654" s="18">
        <f>IF(ISNUMBER(Volcanic!B654),Volcanic!B654,"")</f>
        <v>0.58999999999999986</v>
      </c>
      <c r="F654" s="18">
        <f>IF(ISNUMBER(Volcanic!C654),Volcanic!C654,"")</f>
        <v>0.49481787768314806</v>
      </c>
      <c r="G654" s="18">
        <f>IF(ISNUMBER(Volcanic!E654),Volcanic!E654,"")</f>
        <v>8.3300000000000006E-3</v>
      </c>
      <c r="H654" s="18">
        <f>IF(ISNUMBER(Volcanic!D654),Volcanic!D654,"")</f>
        <v>-0.35</v>
      </c>
      <c r="I654" s="18">
        <f t="shared" si="100"/>
        <v>0.49481787768314806</v>
      </c>
      <c r="J654" s="18">
        <f t="shared" si="101"/>
        <v>8.3300000000000006E-3</v>
      </c>
      <c r="K654" s="18">
        <f t="shared" si="102"/>
        <v>-0.47</v>
      </c>
      <c r="L654" s="18">
        <f t="shared" si="103"/>
        <v>0.49481787768314806</v>
      </c>
      <c r="M654" s="18">
        <f t="shared" si="104"/>
        <v>8.3300000000000006E-3</v>
      </c>
      <c r="N654" s="18">
        <f t="shared" si="105"/>
        <v>-0.31357531463709276</v>
      </c>
      <c r="AK654" s="18">
        <f>IF(AND(ISNUMBER(C654),ISNUMBER(ENSO!F654)),C654-ENSO!F654,"")</f>
        <v>0.06</v>
      </c>
      <c r="AL654" s="18">
        <f t="shared" si="107"/>
        <v>2012.5416666666667</v>
      </c>
      <c r="AM654" s="18">
        <f t="shared" si="108"/>
        <v>0.58999999999999986</v>
      </c>
    </row>
    <row r="655" spans="1:39">
      <c r="A655" s="18" t="str">
        <f>IF(Volcanic!A655="","",Volcanic!A655)</f>
        <v>8/2012</v>
      </c>
      <c r="B655" s="18">
        <f>IF(ISNUMBER(Volcanic!L655),Volcanic!L655,"")</f>
        <v>2012.625</v>
      </c>
      <c r="C655" s="21">
        <v>0.43</v>
      </c>
      <c r="D655" s="18">
        <f t="shared" si="106"/>
        <v>-0.27</v>
      </c>
      <c r="E655" s="18">
        <f>IF(ISNUMBER(Volcanic!B655),Volcanic!B655,"")</f>
        <v>0.66000000000000369</v>
      </c>
      <c r="F655" s="18">
        <f>IF(ISNUMBER(Volcanic!C655),Volcanic!C655,"")</f>
        <v>0.48759659796662874</v>
      </c>
      <c r="G655" s="18">
        <f>IF(ISNUMBER(Volcanic!E655),Volcanic!E655,"")</f>
        <v>7.6600000000000001E-3</v>
      </c>
      <c r="H655" s="18">
        <f>IF(ISNUMBER(Volcanic!D655),Volcanic!D655,"")</f>
        <v>-0.18</v>
      </c>
      <c r="I655" s="18">
        <f t="shared" si="100"/>
        <v>0.48759659796662874</v>
      </c>
      <c r="J655" s="18">
        <f t="shared" si="101"/>
        <v>7.6600000000000001E-3</v>
      </c>
      <c r="K655" s="18">
        <f t="shared" si="102"/>
        <v>-0.27</v>
      </c>
      <c r="L655" s="18">
        <f t="shared" si="103"/>
        <v>0.48759659796662874</v>
      </c>
      <c r="M655" s="18">
        <f t="shared" si="104"/>
        <v>7.6600000000000001E-3</v>
      </c>
      <c r="N655" s="18">
        <f t="shared" si="105"/>
        <v>-0.1128852951464947</v>
      </c>
      <c r="AK655" s="18">
        <f>IF(AND(ISNUMBER(C655),ISNUMBER(ENSO!F655)),C655-ENSO!F655,"")</f>
        <v>3.999999999999998E-2</v>
      </c>
      <c r="AL655" s="18">
        <f t="shared" si="107"/>
        <v>2012.625</v>
      </c>
      <c r="AM655" s="18">
        <f t="shared" si="108"/>
        <v>0.66000000000000369</v>
      </c>
    </row>
    <row r="656" spans="1:39">
      <c r="A656" s="18" t="str">
        <f>IF(Volcanic!A656="","",Volcanic!A656)</f>
        <v>9/2012</v>
      </c>
      <c r="B656" s="18">
        <f>IF(ISNUMBER(Volcanic!L656),Volcanic!L656,"")</f>
        <v>2012.7083333333333</v>
      </c>
      <c r="C656" s="21">
        <v>0.4</v>
      </c>
      <c r="D656" s="18">
        <f t="shared" si="106"/>
        <v>0.03</v>
      </c>
      <c r="E656" s="18">
        <f>IF(ISNUMBER(Volcanic!B656),Volcanic!B656,"")</f>
        <v>0.72000000000000242</v>
      </c>
      <c r="F656" s="18">
        <f>IF(ISNUMBER(Volcanic!C656),Volcanic!C656,"")</f>
        <v>0.48292201974993032</v>
      </c>
      <c r="G656" s="18">
        <f>IF(ISNUMBER(Volcanic!E656),Volcanic!E656,"")</f>
        <v>7.3200000000000001E-3</v>
      </c>
      <c r="H656" s="18">
        <f>IF(ISNUMBER(Volcanic!D656),Volcanic!D656,"")</f>
        <v>0.03</v>
      </c>
      <c r="I656" s="18">
        <f t="shared" si="100"/>
        <v>0.48292201974993032</v>
      </c>
      <c r="J656" s="18">
        <f t="shared" si="101"/>
        <v>7.3200000000000001E-3</v>
      </c>
      <c r="K656" s="18">
        <f t="shared" si="102"/>
        <v>0.03</v>
      </c>
      <c r="L656" s="18">
        <f t="shared" si="103"/>
        <v>0.48292201974993032</v>
      </c>
      <c r="M656" s="18">
        <f t="shared" si="104"/>
        <v>7.3200000000000001E-3</v>
      </c>
      <c r="N656" s="18">
        <f t="shared" si="105"/>
        <v>0.18780472434410342</v>
      </c>
      <c r="AK656" s="18">
        <f>IF(AND(ISNUMBER(C656),ISNUMBER(ENSO!F656)),C656-ENSO!F656,"")</f>
        <v>3.0000000000000027E-2</v>
      </c>
      <c r="AL656" s="18">
        <f t="shared" si="107"/>
        <v>2012.7083333333333</v>
      </c>
      <c r="AM656" s="18">
        <f t="shared" si="108"/>
        <v>0.72000000000000242</v>
      </c>
    </row>
    <row r="657" spans="1:39">
      <c r="A657" s="18" t="str">
        <f>IF(Volcanic!A657="","",Volcanic!A657)</f>
        <v>10/2012</v>
      </c>
      <c r="B657" s="18">
        <f>IF(ISNUMBER(Volcanic!L657),Volcanic!L657,"")</f>
        <v>2012.7916666666667</v>
      </c>
      <c r="C657" s="21">
        <v>0.23</v>
      </c>
      <c r="D657" s="18">
        <f t="shared" si="106"/>
        <v>0.34</v>
      </c>
      <c r="E657" s="18">
        <f>IF(ISNUMBER(Volcanic!B657),Volcanic!B657,"")</f>
        <v>0.79999999999999893</v>
      </c>
      <c r="F657" s="18">
        <f>IF(ISNUMBER(Volcanic!C657),Volcanic!C657,"")</f>
        <v>0.48273767097945647</v>
      </c>
      <c r="G657" s="18">
        <f>IF(ISNUMBER(Volcanic!E657),Volcanic!E657,"")</f>
        <v>6.8999999999999999E-3</v>
      </c>
      <c r="H657" s="18">
        <f>IF(ISNUMBER(Volcanic!D657),Volcanic!D657,"")</f>
        <v>0.28000000000000003</v>
      </c>
      <c r="I657" s="18">
        <f t="shared" si="100"/>
        <v>0.48273767097945647</v>
      </c>
      <c r="J657" s="18">
        <f t="shared" si="101"/>
        <v>6.8999999999999999E-3</v>
      </c>
      <c r="K657" s="18">
        <f t="shared" si="102"/>
        <v>0.34</v>
      </c>
      <c r="L657" s="18">
        <f t="shared" si="103"/>
        <v>0.48273767097945647</v>
      </c>
      <c r="M657" s="18">
        <f t="shared" si="104"/>
        <v>6.8999999999999999E-3</v>
      </c>
      <c r="N657" s="18">
        <f t="shared" si="105"/>
        <v>0.4984947438347051</v>
      </c>
      <c r="AK657" s="18">
        <f>IF(AND(ISNUMBER(C657),ISNUMBER(ENSO!F657)),C657-ENSO!F657,"")</f>
        <v>-5.0000000000000017E-2</v>
      </c>
      <c r="AL657" s="18">
        <f t="shared" si="107"/>
        <v>2012.7916666666667</v>
      </c>
      <c r="AM657" s="18">
        <f t="shared" si="108"/>
        <v>0.79999999999999893</v>
      </c>
    </row>
    <row r="658" spans="1:39">
      <c r="A658" s="18" t="str">
        <f>IF(Volcanic!A658="","",Volcanic!A658)</f>
        <v>11/2012</v>
      </c>
      <c r="B658" s="18">
        <f>IF(ISNUMBER(Volcanic!L658),Volcanic!L658,"")</f>
        <v>2012.875</v>
      </c>
      <c r="C658" s="21">
        <v>-0.06</v>
      </c>
      <c r="D658" s="18">
        <f t="shared" si="106"/>
        <v>0.43</v>
      </c>
      <c r="E658" s="18">
        <f>IF(ISNUMBER(Volcanic!B658),Volcanic!B658,"")</f>
        <v>0.77999999999999758</v>
      </c>
      <c r="F658" s="18">
        <f>IF(ISNUMBER(Volcanic!C658),Volcanic!C658,"")</f>
        <v>0.48983649450825167</v>
      </c>
      <c r="G658" s="18">
        <f>IF(ISNUMBER(Volcanic!E658),Volcanic!E658,"")</f>
        <v>6.96E-3</v>
      </c>
      <c r="H658" s="18">
        <f>IF(ISNUMBER(Volcanic!D658),Volcanic!D658,"")</f>
        <v>0.39</v>
      </c>
      <c r="I658" s="18">
        <f t="shared" si="100"/>
        <v>0.48983649450825167</v>
      </c>
      <c r="J658" s="18">
        <f t="shared" si="101"/>
        <v>6.96E-3</v>
      </c>
      <c r="K658" s="18">
        <f t="shared" si="102"/>
        <v>0.43</v>
      </c>
      <c r="L658" s="18">
        <f t="shared" si="103"/>
        <v>0.48983649450825167</v>
      </c>
      <c r="M658" s="18">
        <f t="shared" si="104"/>
        <v>6.96E-3</v>
      </c>
      <c r="N658" s="18">
        <f t="shared" si="105"/>
        <v>0.58918476332530312</v>
      </c>
      <c r="AK658" s="18">
        <f>IF(AND(ISNUMBER(C658),ISNUMBER(ENSO!F658)),C658-ENSO!F658,"")</f>
        <v>-0.19</v>
      </c>
      <c r="AL658" s="18">
        <f t="shared" si="107"/>
        <v>2012.875</v>
      </c>
      <c r="AM658" s="18">
        <f t="shared" si="108"/>
        <v>0.77999999999999758</v>
      </c>
    </row>
    <row r="659" spans="1:39">
      <c r="A659" s="18" t="str">
        <f>IF(Volcanic!A659="","",Volcanic!A659)</f>
        <v>12/2012</v>
      </c>
      <c r="B659" s="18">
        <f>IF(ISNUMBER(Volcanic!L659),Volcanic!L659,"")</f>
        <v>2012.9583333333333</v>
      </c>
      <c r="C659" s="21">
        <v>-0.38</v>
      </c>
      <c r="D659" s="18">
        <f t="shared" si="106"/>
        <v>0.4</v>
      </c>
      <c r="E659" s="18">
        <f>IF(ISNUMBER(Volcanic!B659),Volcanic!B659,"")</f>
        <v>0.52999999999999758</v>
      </c>
      <c r="F659" s="18">
        <f>IF(ISNUMBER(Volcanic!C659),Volcanic!C659,"")</f>
        <v>0.49485444187513067</v>
      </c>
      <c r="G659" s="18">
        <f>IF(ISNUMBER(Volcanic!E659),Volcanic!E659,"")</f>
        <v>6.5799999999999999E-3</v>
      </c>
      <c r="H659" s="18">
        <f>IF(ISNUMBER(Volcanic!D659),Volcanic!D659,"")</f>
        <v>0.37</v>
      </c>
      <c r="I659" s="18">
        <f t="shared" si="100"/>
        <v>0.49485444187513067</v>
      </c>
      <c r="J659" s="18">
        <f t="shared" si="101"/>
        <v>6.5799999999999999E-3</v>
      </c>
      <c r="K659" s="18">
        <f t="shared" si="102"/>
        <v>0.4</v>
      </c>
      <c r="L659" s="18">
        <f t="shared" si="103"/>
        <v>0.49485444187513067</v>
      </c>
      <c r="M659" s="18">
        <f t="shared" si="104"/>
        <v>6.5799999999999999E-3</v>
      </c>
      <c r="N659" s="18">
        <f t="shared" si="105"/>
        <v>0.55987478281590131</v>
      </c>
      <c r="AK659" s="18">
        <f>IF(AND(ISNUMBER(C659),ISNUMBER(ENSO!F659)),C659-ENSO!F659,"")</f>
        <v>-0.35</v>
      </c>
      <c r="AL659" s="18">
        <f t="shared" si="107"/>
        <v>2012.9583333333333</v>
      </c>
      <c r="AM659" s="18">
        <f t="shared" si="108"/>
        <v>0.52999999999999758</v>
      </c>
    </row>
    <row r="660" spans="1:39">
      <c r="A660" s="18" t="str">
        <f>IF(Volcanic!A660="","",Volcanic!A660)</f>
        <v>1/2013</v>
      </c>
      <c r="B660" s="18">
        <f>IF(ISNUMBER(Volcanic!L660),Volcanic!L660,"")</f>
        <v>2013.0416666666667</v>
      </c>
      <c r="C660" s="21">
        <v>-0.63</v>
      </c>
      <c r="D660" s="18">
        <f t="shared" si="106"/>
        <v>0.23</v>
      </c>
      <c r="E660" s="18">
        <f>IF(ISNUMBER(Volcanic!B660),Volcanic!B660,"")</f>
        <v>0.71000000000000085</v>
      </c>
      <c r="F660" s="18">
        <f>IF(ISNUMBER(Volcanic!C660),Volcanic!C660,"")</f>
        <v>0.49927188316908833</v>
      </c>
      <c r="G660" s="18">
        <f>IF(ISNUMBER(Volcanic!E660),Volcanic!E660,"")</f>
        <v>6.3200000000000001E-3</v>
      </c>
      <c r="H660" s="18">
        <f>IF(ISNUMBER(Volcanic!D660),Volcanic!D660,"")</f>
        <v>0.28000000000000003</v>
      </c>
      <c r="I660" s="18">
        <f t="shared" si="100"/>
        <v>0.49927188316908833</v>
      </c>
      <c r="J660" s="18">
        <f t="shared" si="101"/>
        <v>6.3200000000000001E-3</v>
      </c>
      <c r="K660" s="18">
        <f t="shared" si="102"/>
        <v>0.23</v>
      </c>
      <c r="L660" s="18">
        <f t="shared" si="103"/>
        <v>0.49927188316908833</v>
      </c>
      <c r="M660" s="18">
        <f t="shared" si="104"/>
        <v>6.3200000000000001E-3</v>
      </c>
      <c r="N660" s="18">
        <f t="shared" si="105"/>
        <v>0.39056480230650292</v>
      </c>
      <c r="AK660" s="18">
        <f>IF(AND(ISNUMBER(C660),ISNUMBER(ENSO!F660)),C660-ENSO!F660,"")</f>
        <v>-0.39</v>
      </c>
      <c r="AL660" s="18">
        <f t="shared" si="107"/>
        <v>2013.0416666666667</v>
      </c>
      <c r="AM660" s="18">
        <f t="shared" si="108"/>
        <v>0.71000000000000085</v>
      </c>
    </row>
    <row r="661" spans="1:39">
      <c r="A661" s="18" t="str">
        <f>IF(Volcanic!A661="","",Volcanic!A661)</f>
        <v>2/2013</v>
      </c>
      <c r="B661" s="18">
        <f>IF(ISNUMBER(Volcanic!L661),Volcanic!L661,"")</f>
        <v>2013.125</v>
      </c>
      <c r="C661" s="21">
        <v>-0.6</v>
      </c>
      <c r="D661" s="18">
        <f t="shared" si="106"/>
        <v>-0.06</v>
      </c>
      <c r="E661" s="18">
        <f>IF(ISNUMBER(Volcanic!B661),Volcanic!B661,"")</f>
        <v>0.62000000000000099</v>
      </c>
      <c r="F661" s="18">
        <f>IF(ISNUMBER(Volcanic!C661),Volcanic!C661,"")</f>
        <v>0.50382119585545315</v>
      </c>
      <c r="G661" s="18">
        <f>IF(ISNUMBER(Volcanic!E661),Volcanic!E661,"")</f>
        <v>6.2500000000000003E-3</v>
      </c>
      <c r="H661" s="18">
        <f>IF(ISNUMBER(Volcanic!D661),Volcanic!D661,"")</f>
        <v>0.13</v>
      </c>
      <c r="I661" s="18">
        <f t="shared" si="100"/>
        <v>0.50382119585545315</v>
      </c>
      <c r="J661" s="18">
        <f t="shared" si="101"/>
        <v>6.2500000000000003E-3</v>
      </c>
      <c r="K661" s="18">
        <f t="shared" si="102"/>
        <v>-0.06</v>
      </c>
      <c r="L661" s="18">
        <f t="shared" si="103"/>
        <v>0.50382119585545315</v>
      </c>
      <c r="M661" s="18">
        <f t="shared" si="104"/>
        <v>6.2500000000000003E-3</v>
      </c>
      <c r="N661" s="18">
        <f t="shared" si="105"/>
        <v>0.10125482179710105</v>
      </c>
      <c r="AK661" s="18">
        <f>IF(AND(ISNUMBER(C661),ISNUMBER(ENSO!F661)),C661-ENSO!F661,"")</f>
        <v>-0.31999999999999995</v>
      </c>
      <c r="AL661" s="18">
        <f t="shared" si="107"/>
        <v>2013.125</v>
      </c>
      <c r="AM661" s="18">
        <f t="shared" si="108"/>
        <v>0.62000000000000099</v>
      </c>
    </row>
    <row r="662" spans="1:39">
      <c r="A662" s="18" t="str">
        <f>IF(Volcanic!A662="","",Volcanic!A662)</f>
        <v>3/2013</v>
      </c>
      <c r="B662" s="18">
        <f>IF(ISNUMBER(Volcanic!L662),Volcanic!L662,"")</f>
        <v>2013.2083333333333</v>
      </c>
      <c r="C662" s="21">
        <v>-0.5</v>
      </c>
      <c r="D662" s="18">
        <f t="shared" si="106"/>
        <v>-0.38</v>
      </c>
      <c r="E662" s="18">
        <f>IF(ISNUMBER(Volcanic!B662),Volcanic!B662,"")</f>
        <v>0.66999999999999993</v>
      </c>
      <c r="F662" s="18">
        <f>IF(ISNUMBER(Volcanic!C662),Volcanic!C662,"")</f>
        <v>0.50610862382400879</v>
      </c>
      <c r="G662" s="18">
        <f>IF(ISNUMBER(Volcanic!E662),Volcanic!E662,"")</f>
        <v>6.1700000000000001E-3</v>
      </c>
      <c r="H662" s="18">
        <f>IF(ISNUMBER(Volcanic!D662),Volcanic!D662,"")</f>
        <v>-0.03</v>
      </c>
      <c r="I662" s="18">
        <f t="shared" si="100"/>
        <v>0.50610862382400879</v>
      </c>
      <c r="J662" s="18">
        <f t="shared" si="101"/>
        <v>6.1700000000000001E-3</v>
      </c>
      <c r="K662" s="18">
        <f t="shared" si="102"/>
        <v>-0.38</v>
      </c>
      <c r="L662" s="18">
        <f t="shared" si="103"/>
        <v>0.50610862382400879</v>
      </c>
      <c r="M662" s="18">
        <f t="shared" si="104"/>
        <v>6.1700000000000001E-3</v>
      </c>
      <c r="N662" s="18">
        <f t="shared" si="105"/>
        <v>-0.21805515871230086</v>
      </c>
      <c r="AK662" s="18">
        <f>IF(AND(ISNUMBER(C662),ISNUMBER(ENSO!F662)),C662-ENSO!F662,"")</f>
        <v>-0.27</v>
      </c>
      <c r="AL662" s="18">
        <f t="shared" si="107"/>
        <v>2013.2083333333333</v>
      </c>
      <c r="AM662" s="18">
        <f t="shared" si="108"/>
        <v>0.66999999999999993</v>
      </c>
    </row>
    <row r="663" spans="1:39">
      <c r="A663" s="18" t="str">
        <f>IF(Volcanic!A663="","",Volcanic!A663)</f>
        <v>4/2013</v>
      </c>
      <c r="B663" s="18">
        <f>IF(ISNUMBER(Volcanic!L663),Volcanic!L663,"")</f>
        <v>2013.2916666666667</v>
      </c>
      <c r="C663" s="21">
        <v>-0.43</v>
      </c>
      <c r="D663" s="18">
        <f t="shared" si="106"/>
        <v>-0.63</v>
      </c>
      <c r="E663" s="18">
        <f>IF(ISNUMBER(Volcanic!B663),Volcanic!B663,"")</f>
        <v>0.52999999999999758</v>
      </c>
      <c r="F663" s="18">
        <f>IF(ISNUMBER(Volcanic!C663),Volcanic!C663,"")</f>
        <v>0.50965965196384122</v>
      </c>
      <c r="G663" s="18">
        <f>IF(ISNUMBER(Volcanic!E663),Volcanic!E663,"")</f>
        <v>6.0899999999999999E-3</v>
      </c>
      <c r="H663" s="18">
        <f>IF(ISNUMBER(Volcanic!D663),Volcanic!D663,"")</f>
        <v>-0.24</v>
      </c>
      <c r="I663" s="18">
        <f t="shared" si="100"/>
        <v>0.50965965196384122</v>
      </c>
      <c r="J663" s="18">
        <f t="shared" si="101"/>
        <v>6.0899999999999999E-3</v>
      </c>
      <c r="K663" s="18">
        <f t="shared" si="102"/>
        <v>-0.63</v>
      </c>
      <c r="L663" s="18">
        <f t="shared" si="103"/>
        <v>0.50965965196384122</v>
      </c>
      <c r="M663" s="18">
        <f t="shared" si="104"/>
        <v>6.0899999999999999E-3</v>
      </c>
      <c r="N663" s="18">
        <f t="shared" si="105"/>
        <v>-0.46736513922170275</v>
      </c>
      <c r="AK663" s="18">
        <f>IF(AND(ISNUMBER(C663),ISNUMBER(ENSO!F663)),C663-ENSO!F663,"")</f>
        <v>-0.22999999999999998</v>
      </c>
      <c r="AL663" s="18">
        <f t="shared" si="107"/>
        <v>2013.2916666666667</v>
      </c>
      <c r="AM663" s="18">
        <f t="shared" si="108"/>
        <v>0.52999999999999758</v>
      </c>
    </row>
    <row r="664" spans="1:39">
      <c r="A664" s="18" t="str">
        <f>IF(Volcanic!A664="","",Volcanic!A664)</f>
        <v>5/2013</v>
      </c>
      <c r="B664" s="18">
        <f>IF(ISNUMBER(Volcanic!L664),Volcanic!L664,"")</f>
        <v>2013.375</v>
      </c>
      <c r="C664" s="21">
        <v>-0.44</v>
      </c>
      <c r="D664" s="18">
        <f t="shared" si="106"/>
        <v>-0.6</v>
      </c>
      <c r="E664" s="18">
        <f>IF(ISNUMBER(Volcanic!B664),Volcanic!B664,"")</f>
        <v>0.60000000000000142</v>
      </c>
      <c r="F664" s="18">
        <f>IF(ISNUMBER(Volcanic!C664),Volcanic!C664,"")</f>
        <v>0.51464530577849399</v>
      </c>
      <c r="G664" s="18">
        <f>IF(ISNUMBER(Volcanic!E664),Volcanic!E664,"")</f>
        <v>5.94E-3</v>
      </c>
      <c r="H664" s="18">
        <f>IF(ISNUMBER(Volcanic!D664),Volcanic!D664,"")</f>
        <v>-0.28000000000000003</v>
      </c>
      <c r="I664" s="18">
        <f t="shared" si="100"/>
        <v>0.51464530577849399</v>
      </c>
      <c r="J664" s="18">
        <f t="shared" si="101"/>
        <v>5.94E-3</v>
      </c>
      <c r="K664" s="18">
        <f t="shared" si="102"/>
        <v>-0.6</v>
      </c>
      <c r="L664" s="18">
        <f t="shared" si="103"/>
        <v>0.51464530577849399</v>
      </c>
      <c r="M664" s="18">
        <f t="shared" si="104"/>
        <v>5.94E-3</v>
      </c>
      <c r="N664" s="18">
        <f t="shared" si="105"/>
        <v>-0.43667511973110107</v>
      </c>
      <c r="AK664" s="18">
        <f>IF(AND(ISNUMBER(C664),ISNUMBER(ENSO!F664)),C664-ENSO!F664,"")</f>
        <v>-0.14000000000000001</v>
      </c>
      <c r="AL664" s="18">
        <f t="shared" si="107"/>
        <v>2013.375</v>
      </c>
      <c r="AM664" s="18">
        <f t="shared" si="108"/>
        <v>0.60000000000000142</v>
      </c>
    </row>
    <row r="665" spans="1:39">
      <c r="A665" s="18" t="str">
        <f>IF(Volcanic!A665="","",Volcanic!A665)</f>
        <v>6/2013</v>
      </c>
      <c r="B665" s="18">
        <f>IF(ISNUMBER(Volcanic!L665),Volcanic!L665,"")</f>
        <v>2013.4583333333333</v>
      </c>
      <c r="C665" s="21">
        <v>-0.43</v>
      </c>
      <c r="D665" s="18">
        <f t="shared" si="106"/>
        <v>-0.5</v>
      </c>
      <c r="E665" s="18">
        <f>IF(ISNUMBER(Volcanic!B665),Volcanic!B665,"")</f>
        <v>0.70000000000000107</v>
      </c>
      <c r="F665" s="18">
        <f>IF(ISNUMBER(Volcanic!C665),Volcanic!C665,"")</f>
        <v>0.5102747580160486</v>
      </c>
      <c r="G665" s="18">
        <f>IF(ISNUMBER(Volcanic!E665),Volcanic!E665,"")</f>
        <v>5.9500000000000004E-3</v>
      </c>
      <c r="H665" s="18">
        <f>IF(ISNUMBER(Volcanic!D665),Volcanic!D665,"")</f>
        <v>-0.23</v>
      </c>
      <c r="I665" s="18">
        <f t="shared" si="100"/>
        <v>0.5102747580160486</v>
      </c>
      <c r="J665" s="18">
        <f t="shared" si="101"/>
        <v>5.9500000000000004E-3</v>
      </c>
      <c r="K665" s="18">
        <f t="shared" si="102"/>
        <v>-0.5</v>
      </c>
      <c r="L665" s="18">
        <f t="shared" si="103"/>
        <v>0.5102747580160486</v>
      </c>
      <c r="M665" s="18">
        <f t="shared" si="104"/>
        <v>5.9500000000000004E-3</v>
      </c>
      <c r="N665" s="18">
        <f t="shared" si="105"/>
        <v>-0.33598510024050299</v>
      </c>
      <c r="AK665" s="18">
        <f>IF(AND(ISNUMBER(C665),ISNUMBER(ENSO!F665)),C665-ENSO!F665,"")</f>
        <v>-4.9999999999999989E-2</v>
      </c>
      <c r="AL665" s="18">
        <f t="shared" si="107"/>
        <v>2013.4583333333333</v>
      </c>
      <c r="AM665" s="18">
        <f t="shared" si="108"/>
        <v>0.70000000000000107</v>
      </c>
    </row>
    <row r="666" spans="1:39">
      <c r="A666" s="18" t="str">
        <f>IF(Volcanic!A666="","",Volcanic!A666)</f>
        <v>7/2013</v>
      </c>
      <c r="B666" s="18">
        <f>IF(ISNUMBER(Volcanic!L666),Volcanic!L666,"")</f>
        <v>2013.5416666666667</v>
      </c>
      <c r="C666" s="21">
        <v>-0.38</v>
      </c>
      <c r="D666" s="18">
        <f t="shared" si="106"/>
        <v>-0.43</v>
      </c>
      <c r="E666" s="18">
        <f>IF(ISNUMBER(Volcanic!B666),Volcanic!B666,"")</f>
        <v>0.60000000000000142</v>
      </c>
      <c r="F666" s="18">
        <f>IF(ISNUMBER(Volcanic!C666),Volcanic!C666,"")</f>
        <v>0.50556432698509302</v>
      </c>
      <c r="G666" s="18">
        <f>IF(ISNUMBER(Volcanic!E666),Volcanic!E666,"")</f>
        <v>5.6800000000000002E-3</v>
      </c>
      <c r="H666" s="18">
        <f>IF(ISNUMBER(Volcanic!D666),Volcanic!D666,"")</f>
        <v>-0.2</v>
      </c>
      <c r="I666" s="18">
        <f t="shared" si="100"/>
        <v>0.50556432698509302</v>
      </c>
      <c r="J666" s="18">
        <f t="shared" si="101"/>
        <v>5.6800000000000002E-3</v>
      </c>
      <c r="K666" s="18">
        <f t="shared" si="102"/>
        <v>-0.43</v>
      </c>
      <c r="L666" s="18">
        <f t="shared" si="103"/>
        <v>0.50556432698509302</v>
      </c>
      <c r="M666" s="18">
        <f t="shared" si="104"/>
        <v>5.6800000000000002E-3</v>
      </c>
      <c r="N666" s="18">
        <f t="shared" si="105"/>
        <v>-0.26529508074990488</v>
      </c>
      <c r="AK666" s="18">
        <f>IF(AND(ISNUMBER(C666),ISNUMBER(ENSO!F666)),C666-ENSO!F666,"")</f>
        <v>7.0000000000000007E-2</v>
      </c>
      <c r="AL666" s="18">
        <f t="shared" si="107"/>
        <v>2013.5416666666667</v>
      </c>
      <c r="AM666" s="18">
        <f t="shared" si="108"/>
        <v>0.60000000000000142</v>
      </c>
    </row>
    <row r="667" spans="1:39">
      <c r="A667" s="18" t="str">
        <f>IF(Volcanic!A667="","",Volcanic!A667)</f>
        <v>8/2013</v>
      </c>
      <c r="B667" s="18">
        <f>IF(ISNUMBER(Volcanic!L667),Volcanic!L667,"")</f>
        <v>2013.625</v>
      </c>
      <c r="C667" s="21">
        <v>-0.32</v>
      </c>
      <c r="D667" s="18">
        <f t="shared" si="106"/>
        <v>-0.44</v>
      </c>
      <c r="E667" s="18">
        <f>IF(ISNUMBER(Volcanic!B667),Volcanic!B667,"")</f>
        <v>0.70000000000000107</v>
      </c>
      <c r="F667" s="18">
        <f>IF(ISNUMBER(Volcanic!C667),Volcanic!C667,"")</f>
        <v>0.49784955645922896</v>
      </c>
      <c r="G667" s="18">
        <f>IF(ISNUMBER(Volcanic!E667),Volcanic!E667,"")</f>
        <v>5.2100000000000002E-3</v>
      </c>
      <c r="H667" s="18">
        <f>IF(ISNUMBER(Volcanic!D667),Volcanic!D667,"")</f>
        <v>-0.3</v>
      </c>
      <c r="I667" s="18">
        <f t="shared" si="100"/>
        <v>0.49784955645922896</v>
      </c>
      <c r="J667" s="18">
        <f t="shared" si="101"/>
        <v>5.2100000000000002E-3</v>
      </c>
      <c r="K667" s="18">
        <f t="shared" si="102"/>
        <v>-0.44</v>
      </c>
      <c r="L667" s="18">
        <f t="shared" si="103"/>
        <v>0.49784955645922896</v>
      </c>
      <c r="M667" s="18">
        <f t="shared" si="104"/>
        <v>5.2100000000000002E-3</v>
      </c>
      <c r="N667" s="18">
        <f t="shared" si="105"/>
        <v>-0.27460506125930678</v>
      </c>
      <c r="AK667" s="18">
        <f>IF(AND(ISNUMBER(C667),ISNUMBER(ENSO!F667)),C667-ENSO!F667,"")</f>
        <v>2.0000000000000018E-2</v>
      </c>
      <c r="AL667" s="18">
        <f t="shared" si="107"/>
        <v>2013.625</v>
      </c>
      <c r="AM667" s="18">
        <f t="shared" si="108"/>
        <v>0.70000000000000107</v>
      </c>
    </row>
    <row r="668" spans="1:39">
      <c r="A668" s="18" t="str">
        <f>IF(Volcanic!A668="","",Volcanic!A668)</f>
        <v>9/2013</v>
      </c>
      <c r="B668" s="18">
        <f>IF(ISNUMBER(Volcanic!L668),Volcanic!L668,"")</f>
        <v>2013.7083333333333</v>
      </c>
      <c r="C668" s="21">
        <v>-0.28000000000000003</v>
      </c>
      <c r="D668" s="18">
        <f t="shared" si="106"/>
        <v>-0.43</v>
      </c>
      <c r="E668" s="18">
        <f>IF(ISNUMBER(Volcanic!B668),Volcanic!B668,"")</f>
        <v>0.77000000000000135</v>
      </c>
      <c r="F668" s="18">
        <f>IF(ISNUMBER(Volcanic!C668),Volcanic!C668,"")</f>
        <v>0.49174317251988486</v>
      </c>
      <c r="G668" s="18">
        <f>IF(ISNUMBER(Volcanic!E668),Volcanic!E668,"")</f>
        <v>5.1200000000000004E-3</v>
      </c>
      <c r="H668" s="18">
        <f>IF(ISNUMBER(Volcanic!D668),Volcanic!D668,"")</f>
        <v>-0.38</v>
      </c>
      <c r="I668" s="18">
        <f t="shared" si="100"/>
        <v>0.49174317251988486</v>
      </c>
      <c r="J668" s="18">
        <f t="shared" si="101"/>
        <v>5.1200000000000004E-3</v>
      </c>
      <c r="K668" s="18">
        <f t="shared" si="102"/>
        <v>-0.43</v>
      </c>
      <c r="L668" s="18">
        <f t="shared" si="103"/>
        <v>0.49174317251988486</v>
      </c>
      <c r="M668" s="18">
        <f t="shared" si="104"/>
        <v>5.1200000000000004E-3</v>
      </c>
      <c r="N668" s="18">
        <f t="shared" si="105"/>
        <v>-0.26391504176870867</v>
      </c>
      <c r="AK668" s="18">
        <f>IF(AND(ISNUMBER(C668),ISNUMBER(ENSO!F668)),C668-ENSO!F668,"")</f>
        <v>3.999999999999998E-2</v>
      </c>
      <c r="AL668" s="18">
        <f t="shared" si="107"/>
        <v>2013.7083333333333</v>
      </c>
      <c r="AM668" s="18">
        <f t="shared" si="108"/>
        <v>0.77000000000000135</v>
      </c>
    </row>
    <row r="669" spans="1:39">
      <c r="A669" s="18" t="str">
        <f>IF(Volcanic!A669="","",Volcanic!A669)</f>
        <v>10/2013</v>
      </c>
      <c r="B669" s="18">
        <f>IF(ISNUMBER(Volcanic!L669),Volcanic!L669,"")</f>
        <v>2013.7916666666667</v>
      </c>
      <c r="C669" s="21">
        <v>-0.22</v>
      </c>
      <c r="D669" s="18">
        <f t="shared" si="106"/>
        <v>-0.38</v>
      </c>
      <c r="E669" s="18">
        <f>IF(ISNUMBER(Volcanic!B669),Volcanic!B669,"")</f>
        <v>0.69000000000000128</v>
      </c>
      <c r="F669" s="18">
        <f>IF(ISNUMBER(Volcanic!C669),Volcanic!C669,"")</f>
        <v>0.49240258978171431</v>
      </c>
      <c r="G669" s="18">
        <f>IF(ISNUMBER(Volcanic!E669),Volcanic!E669,"")</f>
        <v>4.96E-3</v>
      </c>
      <c r="H669" s="18">
        <f>IF(ISNUMBER(Volcanic!D669),Volcanic!D669,"")</f>
        <v>-0.45</v>
      </c>
      <c r="I669" s="18">
        <f t="shared" si="100"/>
        <v>0.49240258978171431</v>
      </c>
      <c r="J669" s="18">
        <f t="shared" si="101"/>
        <v>4.96E-3</v>
      </c>
      <c r="K669" s="18">
        <f t="shared" si="102"/>
        <v>-0.38</v>
      </c>
      <c r="L669" s="18">
        <f t="shared" si="103"/>
        <v>0.49240258978171431</v>
      </c>
      <c r="M669" s="18">
        <f t="shared" si="104"/>
        <v>4.96E-3</v>
      </c>
      <c r="N669" s="18">
        <f t="shared" si="105"/>
        <v>-0.21322502227810702</v>
      </c>
      <c r="AK669" s="18">
        <f>IF(AND(ISNUMBER(C669),ISNUMBER(ENSO!F669)),C669-ENSO!F669,"")</f>
        <v>-7.9999999999999988E-2</v>
      </c>
      <c r="AL669" s="18">
        <f t="shared" si="107"/>
        <v>2013.7916666666667</v>
      </c>
      <c r="AM669" s="18">
        <f t="shared" si="108"/>
        <v>0.69000000000000128</v>
      </c>
    </row>
    <row r="670" spans="1:39">
      <c r="A670" s="18" t="str">
        <f>IF(Volcanic!A670="","",Volcanic!A670)</f>
        <v>11/2013</v>
      </c>
      <c r="B670" s="18">
        <f>IF(ISNUMBER(Volcanic!L670),Volcanic!L670,"")</f>
        <v>2013.875</v>
      </c>
      <c r="C670" s="21">
        <v>-0.22</v>
      </c>
      <c r="D670" s="18">
        <f t="shared" si="106"/>
        <v>-0.32</v>
      </c>
      <c r="E670" s="18">
        <f>IF(ISNUMBER(Volcanic!B670),Volcanic!B670,"")</f>
        <v>0.83000000000000362</v>
      </c>
      <c r="F670" s="18">
        <f>IF(ISNUMBER(Volcanic!C670),Volcanic!C670,"")</f>
        <v>0.49774008860909347</v>
      </c>
      <c r="G670" s="18">
        <f>IF(ISNUMBER(Volcanic!E670),Volcanic!E670,"")</f>
        <v>4.8300000000000001E-3</v>
      </c>
      <c r="H670" s="18">
        <f>IF(ISNUMBER(Volcanic!D670),Volcanic!D670,"")</f>
        <v>-0.34</v>
      </c>
      <c r="I670" s="18">
        <f t="shared" si="100"/>
        <v>0.49774008860909347</v>
      </c>
      <c r="J670" s="18">
        <f t="shared" si="101"/>
        <v>4.8300000000000001E-3</v>
      </c>
      <c r="K670" s="18">
        <f t="shared" si="102"/>
        <v>-0.32</v>
      </c>
      <c r="L670" s="18">
        <f t="shared" si="103"/>
        <v>0.49774008860909347</v>
      </c>
      <c r="M670" s="18">
        <f t="shared" si="104"/>
        <v>4.8300000000000001E-3</v>
      </c>
      <c r="N670" s="18">
        <f t="shared" si="105"/>
        <v>-0.15253500278750892</v>
      </c>
      <c r="AK670" s="18">
        <f>IF(AND(ISNUMBER(C670),ISNUMBER(ENSO!F670)),C670-ENSO!F670,"")</f>
        <v>-0.1</v>
      </c>
      <c r="AL670" s="18">
        <f t="shared" si="107"/>
        <v>2013.875</v>
      </c>
      <c r="AM670" s="18">
        <f t="shared" si="108"/>
        <v>0.83000000000000362</v>
      </c>
    </row>
    <row r="671" spans="1:39">
      <c r="A671" s="18" t="str">
        <f>IF(Volcanic!A671="","",Volcanic!A671)</f>
        <v>12/2013</v>
      </c>
      <c r="B671" s="18">
        <f>IF(ISNUMBER(Volcanic!L671),Volcanic!L671,"")</f>
        <v>2013.9583333333333</v>
      </c>
      <c r="C671" s="21">
        <v>-0.33</v>
      </c>
      <c r="D671" s="18">
        <f t="shared" si="106"/>
        <v>-0.28000000000000003</v>
      </c>
      <c r="E671" s="18">
        <f>IF(ISNUMBER(Volcanic!B671),Volcanic!B671,"")</f>
        <v>0.70000000000000107</v>
      </c>
      <c r="F671" s="18">
        <f>IF(ISNUMBER(Volcanic!C671),Volcanic!C671,"")</f>
        <v>0.50382119585545315</v>
      </c>
      <c r="G671" s="18">
        <f>IF(ISNUMBER(Volcanic!E671),Volcanic!E671,"")</f>
        <v>4.6699999999999997E-3</v>
      </c>
      <c r="H671" s="18">
        <f>IF(ISNUMBER(Volcanic!D671),Volcanic!D671,"")</f>
        <v>-0.32</v>
      </c>
      <c r="I671" s="18">
        <f t="shared" si="100"/>
        <v>0.50382119585545315</v>
      </c>
      <c r="J671" s="18">
        <f t="shared" si="101"/>
        <v>4.6699999999999997E-3</v>
      </c>
      <c r="K671" s="18">
        <f t="shared" si="102"/>
        <v>-0.28000000000000003</v>
      </c>
      <c r="L671" s="18">
        <f t="shared" si="103"/>
        <v>0.50382119585545315</v>
      </c>
      <c r="M671" s="18">
        <f t="shared" si="104"/>
        <v>4.6699999999999997E-3</v>
      </c>
      <c r="N671" s="18">
        <f t="shared" si="105"/>
        <v>-0.11184498329691084</v>
      </c>
      <c r="AK671" s="18">
        <f>IF(AND(ISNUMBER(C671),ISNUMBER(ENSO!F671)),C671-ENSO!F671,"")</f>
        <v>-0.22000000000000003</v>
      </c>
      <c r="AL671" s="18">
        <f t="shared" si="107"/>
        <v>2013.9583333333333</v>
      </c>
      <c r="AM671" s="18">
        <f t="shared" si="108"/>
        <v>0.70000000000000107</v>
      </c>
    </row>
    <row r="672" spans="1:39">
      <c r="A672" s="18" t="str">
        <f>IF(Volcanic!A672="","",Volcanic!A672)</f>
        <v>1/2014</v>
      </c>
      <c r="B672" s="18">
        <f>IF(ISNUMBER(Volcanic!L672),Volcanic!L672,"")</f>
        <v>2014.0416666666667</v>
      </c>
      <c r="C672" s="21">
        <v>-0.49</v>
      </c>
      <c r="D672" s="18">
        <f t="shared" si="106"/>
        <v>-0.22</v>
      </c>
      <c r="E672" s="18">
        <f>IF(ISNUMBER(Volcanic!B672),Volcanic!B672,"")</f>
        <v>0.75999999999999801</v>
      </c>
      <c r="F672" s="18">
        <f>IF(ISNUMBER(Volcanic!C672),Volcanic!C672,"")</f>
        <v>0.50748659078948732</v>
      </c>
      <c r="G672" s="18">
        <f>IF(ISNUMBER(Volcanic!E672),Volcanic!E672,"")</f>
        <v>4.3899999999999998E-3</v>
      </c>
      <c r="H672" s="18">
        <f>IF(ISNUMBER(Volcanic!D672),Volcanic!D672,"")</f>
        <v>-0.14000000000000001</v>
      </c>
      <c r="I672" s="18">
        <f t="shared" si="100"/>
        <v>0.50748659078948732</v>
      </c>
      <c r="J672" s="18">
        <f t="shared" si="101"/>
        <v>4.3899999999999998E-3</v>
      </c>
      <c r="K672" s="18">
        <f t="shared" si="102"/>
        <v>-0.22</v>
      </c>
      <c r="L672" s="18">
        <f t="shared" si="103"/>
        <v>0.50748659078948732</v>
      </c>
      <c r="M672" s="18">
        <f t="shared" si="104"/>
        <v>4.3899999999999998E-3</v>
      </c>
      <c r="N672" s="18">
        <f t="shared" si="105"/>
        <v>-5.1154963806309156E-2</v>
      </c>
      <c r="AK672" s="18">
        <f>IF(AND(ISNUMBER(C672),ISNUMBER(ENSO!F672)),C672-ENSO!F672,"")</f>
        <v>-0.25</v>
      </c>
      <c r="AL672" s="18">
        <f t="shared" si="107"/>
        <v>2014.0416666666667</v>
      </c>
      <c r="AM672" s="18">
        <f t="shared" si="108"/>
        <v>0.75999999999999801</v>
      </c>
    </row>
    <row r="673" spans="1:39">
      <c r="A673" s="18" t="str">
        <f>IF(Volcanic!A673="","",Volcanic!A673)</f>
        <v>2/2014</v>
      </c>
      <c r="B673" s="18">
        <f>IF(ISNUMBER(Volcanic!L673),Volcanic!L673,"")</f>
        <v>2014.125</v>
      </c>
      <c r="C673" s="21">
        <v>-0.53</v>
      </c>
      <c r="D673" s="18">
        <f t="shared" si="106"/>
        <v>-0.22</v>
      </c>
      <c r="E673" s="18">
        <f>IF(ISNUMBER(Volcanic!B673),Volcanic!B673,"")</f>
        <v>0.54999999999999893</v>
      </c>
      <c r="F673" s="18">
        <f>IF(ISNUMBER(Volcanic!C673),Volcanic!C673,"")</f>
        <v>0.50831998448950766</v>
      </c>
      <c r="G673" s="18">
        <f>IF(ISNUMBER(Volcanic!E673),Volcanic!E673,"")</f>
        <v>4.3899999999999998E-3</v>
      </c>
      <c r="H673" s="18">
        <f>IF(ISNUMBER(Volcanic!D673),Volcanic!D673,"")</f>
        <v>-0.12</v>
      </c>
      <c r="I673" s="18">
        <f t="shared" si="100"/>
        <v>0.50831998448950766</v>
      </c>
      <c r="J673" s="18">
        <f t="shared" si="101"/>
        <v>4.3899999999999998E-3</v>
      </c>
      <c r="K673" s="18">
        <f t="shared" si="102"/>
        <v>-0.22</v>
      </c>
      <c r="L673" s="18">
        <f t="shared" si="103"/>
        <v>0.50831998448950766</v>
      </c>
      <c r="M673" s="18">
        <f t="shared" si="104"/>
        <v>4.3899999999999998E-3</v>
      </c>
      <c r="N673" s="18">
        <f t="shared" si="105"/>
        <v>-5.0464944315711052E-2</v>
      </c>
      <c r="AK673" s="18">
        <f>IF(AND(ISNUMBER(C673),ISNUMBER(ENSO!F673)),C673-ENSO!F673,"")</f>
        <v>-0.32000000000000006</v>
      </c>
      <c r="AL673" s="18">
        <f t="shared" si="107"/>
        <v>2014.125</v>
      </c>
      <c r="AM673" s="18">
        <f t="shared" si="108"/>
        <v>0.54999999999999893</v>
      </c>
    </row>
    <row r="674" spans="1:39">
      <c r="A674" s="18" t="str">
        <f>IF(Volcanic!A674="","",Volcanic!A674)</f>
        <v>3/2014</v>
      </c>
      <c r="B674" s="18">
        <f>IF(ISNUMBER(Volcanic!L674),Volcanic!L674,"")</f>
        <v>2014.2083333333333</v>
      </c>
      <c r="C674" s="21">
        <v>-0.33</v>
      </c>
      <c r="D674" s="18">
        <f t="shared" si="106"/>
        <v>-0.33</v>
      </c>
      <c r="E674" s="18">
        <f>IF(ISNUMBER(Volcanic!B674),Volcanic!B674,"")</f>
        <v>0.77999999999999758</v>
      </c>
      <c r="F674" s="18">
        <f>IF(ISNUMBER(Volcanic!C674),Volcanic!C674,"")</f>
        <v>0.51424852992186132</v>
      </c>
      <c r="G674" s="18">
        <f>IF(ISNUMBER(Volcanic!E674),Volcanic!E674,"")</f>
        <v>4.4999999999999997E-3</v>
      </c>
      <c r="H674" s="18">
        <f>IF(ISNUMBER(Volcanic!D674),Volcanic!D674,"")</f>
        <v>-0.11</v>
      </c>
      <c r="I674" s="18">
        <f t="shared" si="100"/>
        <v>0.51424852992186132</v>
      </c>
      <c r="J674" s="18">
        <f t="shared" si="101"/>
        <v>4.4999999999999997E-3</v>
      </c>
      <c r="K674" s="18">
        <f t="shared" si="102"/>
        <v>-0.33</v>
      </c>
      <c r="L674" s="18">
        <f t="shared" si="103"/>
        <v>0.51424852992186132</v>
      </c>
      <c r="M674" s="18">
        <f t="shared" si="104"/>
        <v>4.4999999999999997E-3</v>
      </c>
      <c r="N674" s="18">
        <f t="shared" si="105"/>
        <v>-0.15977492482511296</v>
      </c>
      <c r="AK674" s="18">
        <f>IF(AND(ISNUMBER(C674),ISNUMBER(ENSO!F674)),C674-ENSO!F674,"")</f>
        <v>-0.31</v>
      </c>
      <c r="AL674" s="18">
        <f t="shared" si="107"/>
        <v>2014.2083333333333</v>
      </c>
      <c r="AM674" s="18">
        <f t="shared" si="108"/>
        <v>0.77999999999999758</v>
      </c>
    </row>
    <row r="675" spans="1:39">
      <c r="A675" s="18" t="str">
        <f>IF(Volcanic!A675="","",Volcanic!A675)</f>
        <v>4/2014</v>
      </c>
      <c r="B675" s="18">
        <f>IF(ISNUMBER(Volcanic!L675),Volcanic!L675,"")</f>
        <v>2014.2916666666667</v>
      </c>
      <c r="C675" s="21">
        <v>-0.05</v>
      </c>
      <c r="D675" s="18">
        <f t="shared" si="106"/>
        <v>-0.49</v>
      </c>
      <c r="E675" s="18">
        <f>IF(ISNUMBER(Volcanic!B675),Volcanic!B675,"")</f>
        <v>0.81000000000000227</v>
      </c>
      <c r="F675" s="18">
        <f>IF(ISNUMBER(Volcanic!C675),Volcanic!C675,"")</f>
        <v>0.52000909275354024</v>
      </c>
      <c r="G675" s="18">
        <f>IF(ISNUMBER(Volcanic!E675),Volcanic!E675,"")</f>
        <v>4.5799999999999999E-3</v>
      </c>
      <c r="H675" s="18">
        <f>IF(ISNUMBER(Volcanic!D675),Volcanic!D675,"")</f>
        <v>-0.24</v>
      </c>
      <c r="I675" s="18">
        <f t="shared" si="100"/>
        <v>0.52000909275354024</v>
      </c>
      <c r="J675" s="18">
        <f t="shared" si="101"/>
        <v>4.5799999999999999E-3</v>
      </c>
      <c r="K675" s="18">
        <f t="shared" si="102"/>
        <v>-0.49</v>
      </c>
      <c r="L675" s="18">
        <f t="shared" si="103"/>
        <v>0.52000909275354024</v>
      </c>
      <c r="M675" s="18">
        <f t="shared" si="104"/>
        <v>4.5799999999999999E-3</v>
      </c>
      <c r="N675" s="18">
        <f t="shared" si="105"/>
        <v>-0.31908490533451128</v>
      </c>
      <c r="AK675" s="18">
        <f>IF(AND(ISNUMBER(C675),ISNUMBER(ENSO!F675)),C675-ENSO!F675,"")</f>
        <v>-0.3</v>
      </c>
      <c r="AL675" s="18">
        <f t="shared" si="107"/>
        <v>2014.2916666666667</v>
      </c>
      <c r="AM675" s="18">
        <f t="shared" si="108"/>
        <v>0.81000000000000227</v>
      </c>
    </row>
    <row r="676" spans="1:39">
      <c r="A676" s="18" t="str">
        <f>IF(Volcanic!A676="","",Volcanic!A676)</f>
        <v>5/2014</v>
      </c>
      <c r="B676" s="18">
        <f>IF(ISNUMBER(Volcanic!L676),Volcanic!L676,"")</f>
        <v>2014.375</v>
      </c>
      <c r="C676" s="21">
        <v>7.0000000000000007E-2</v>
      </c>
      <c r="D676" s="18">
        <f t="shared" si="106"/>
        <v>-0.53</v>
      </c>
      <c r="E676" s="18">
        <f>IF(ISNUMBER(Volcanic!B676),Volcanic!B676,"")</f>
        <v>0.86999999999999744</v>
      </c>
      <c r="F676" s="18">
        <f>IF(ISNUMBER(Volcanic!C676),Volcanic!C676,"")</f>
        <v>0.52162511534624834</v>
      </c>
      <c r="G676" s="18">
        <f>IF(ISNUMBER(Volcanic!E676),Volcanic!E676,"")</f>
        <v>4.5500000000000002E-3</v>
      </c>
      <c r="H676" s="18">
        <f>IF(ISNUMBER(Volcanic!D676),Volcanic!D676,"")</f>
        <v>-0.21</v>
      </c>
      <c r="I676" s="18">
        <f t="shared" si="100"/>
        <v>0.52162511534624834</v>
      </c>
      <c r="J676" s="18">
        <f t="shared" si="101"/>
        <v>4.5500000000000002E-3</v>
      </c>
      <c r="K676" s="18">
        <f t="shared" si="102"/>
        <v>-0.53</v>
      </c>
      <c r="L676" s="18">
        <f t="shared" si="103"/>
        <v>0.52162511534624834</v>
      </c>
      <c r="M676" s="18">
        <f t="shared" si="104"/>
        <v>4.5500000000000002E-3</v>
      </c>
      <c r="N676" s="18">
        <f t="shared" si="105"/>
        <v>-0.35839488584391321</v>
      </c>
      <c r="AK676" s="18">
        <f>IF(AND(ISNUMBER(C676),ISNUMBER(ENSO!F676)),C676-ENSO!F676,"")</f>
        <v>-0.27999999999999997</v>
      </c>
      <c r="AL676" s="18">
        <f t="shared" si="107"/>
        <v>2014.375</v>
      </c>
      <c r="AM676" s="18">
        <f t="shared" si="108"/>
        <v>0.86999999999999744</v>
      </c>
    </row>
    <row r="677" spans="1:39">
      <c r="A677" s="18" t="str">
        <f>IF(Volcanic!A677="","",Volcanic!A677)</f>
        <v>6/2014</v>
      </c>
      <c r="B677" s="18">
        <f>IF(ISNUMBER(Volcanic!L677),Volcanic!L677,"")</f>
        <v>2014.4583333333333</v>
      </c>
      <c r="C677" s="21">
        <v>-0.01</v>
      </c>
      <c r="D677" s="18">
        <f t="shared" si="106"/>
        <v>-0.33</v>
      </c>
      <c r="E677" s="18">
        <f>IF(ISNUMBER(Volcanic!B677),Volcanic!B677,"")</f>
        <v>0.66999999999999993</v>
      </c>
      <c r="F677" s="18">
        <f>IF(ISNUMBER(Volcanic!C677),Volcanic!C677,"")</f>
        <v>0.5197216102426353</v>
      </c>
      <c r="G677" s="18">
        <f>IF(ISNUMBER(Volcanic!E677),Volcanic!E677,"")</f>
        <v>4.5399999999999998E-3</v>
      </c>
      <c r="H677" s="18">
        <f>IF(ISNUMBER(Volcanic!D677),Volcanic!D677,"")</f>
        <v>-0.02</v>
      </c>
      <c r="I677" s="18">
        <f t="shared" si="100"/>
        <v>0.5197216102426353</v>
      </c>
      <c r="J677" s="18">
        <f t="shared" si="101"/>
        <v>4.5399999999999998E-3</v>
      </c>
      <c r="K677" s="18">
        <f t="shared" si="102"/>
        <v>-0.33</v>
      </c>
      <c r="L677" s="18">
        <f t="shared" si="103"/>
        <v>0.5197216102426353</v>
      </c>
      <c r="M677" s="18">
        <f t="shared" si="104"/>
        <v>4.5399999999999998E-3</v>
      </c>
      <c r="N677" s="18">
        <f t="shared" si="105"/>
        <v>-0.1577048663533151</v>
      </c>
      <c r="AK677" s="18">
        <f>IF(AND(ISNUMBER(C677),ISNUMBER(ENSO!F677)),C677-ENSO!F677,"")</f>
        <v>-0.23</v>
      </c>
      <c r="AL677" s="18">
        <f t="shared" si="107"/>
        <v>2014.4583333333333</v>
      </c>
      <c r="AM677" s="18">
        <f t="shared" si="108"/>
        <v>0.66999999999999993</v>
      </c>
    </row>
    <row r="678" spans="1:39">
      <c r="A678" s="18" t="str">
        <f>IF(Volcanic!A678="","",Volcanic!A678)</f>
        <v>7/2014</v>
      </c>
      <c r="B678" s="18">
        <f>IF(ISNUMBER(Volcanic!L678),Volcanic!L678,"")</f>
        <v>2014.5416666666667</v>
      </c>
      <c r="C678" s="21">
        <v>-0.13</v>
      </c>
      <c r="D678" s="18">
        <f t="shared" si="106"/>
        <v>-0.05</v>
      </c>
      <c r="E678" s="18">
        <f>IF(ISNUMBER(Volcanic!B678),Volcanic!B678,"")</f>
        <v>0.58000000000000007</v>
      </c>
      <c r="F678" s="18">
        <f>IF(ISNUMBER(Volcanic!C678),Volcanic!C678,"")</f>
        <v>0.51193784891495564</v>
      </c>
      <c r="G678" s="18">
        <f>IF(ISNUMBER(Volcanic!E678),Volcanic!E678,"")</f>
        <v>4.2700000000000004E-3</v>
      </c>
      <c r="H678" s="18">
        <f>IF(ISNUMBER(Volcanic!D678),Volcanic!D678,"")</f>
        <v>0.25</v>
      </c>
      <c r="I678" s="18">
        <f t="shared" si="100"/>
        <v>0.51193784891495564</v>
      </c>
      <c r="J678" s="18">
        <f t="shared" si="101"/>
        <v>4.2700000000000004E-3</v>
      </c>
      <c r="K678" s="18">
        <f t="shared" si="102"/>
        <v>-0.05</v>
      </c>
      <c r="L678" s="18">
        <f t="shared" si="103"/>
        <v>0.51193784891495564</v>
      </c>
      <c r="M678" s="18">
        <f t="shared" si="104"/>
        <v>4.2700000000000004E-3</v>
      </c>
      <c r="N678" s="18">
        <f t="shared" si="105"/>
        <v>0.12298515313728302</v>
      </c>
      <c r="AK678" s="18">
        <f>IF(AND(ISNUMBER(C678),ISNUMBER(ENSO!F678)),C678-ENSO!F678,"")</f>
        <v>-0.2</v>
      </c>
      <c r="AL678" s="18">
        <f t="shared" si="107"/>
        <v>2014.5416666666667</v>
      </c>
      <c r="AM678" s="18">
        <f t="shared" si="108"/>
        <v>0.58000000000000007</v>
      </c>
    </row>
    <row r="679" spans="1:39">
      <c r="A679" s="18" t="str">
        <f>IF(Volcanic!A679="","",Volcanic!A679)</f>
        <v>8/2014</v>
      </c>
      <c r="B679" s="18">
        <f>IF(ISNUMBER(Volcanic!L679),Volcanic!L679,"")</f>
        <v>2014.625</v>
      </c>
      <c r="C679" s="21">
        <v>-0.09</v>
      </c>
      <c r="D679" s="18">
        <f t="shared" si="106"/>
        <v>7.0000000000000007E-2</v>
      </c>
      <c r="E679" s="18">
        <f>IF(ISNUMBER(Volcanic!B679),Volcanic!B679,"")</f>
        <v>0.83000000000000362</v>
      </c>
      <c r="F679" s="18">
        <f>IF(ISNUMBER(Volcanic!C679),Volcanic!C679,"")</f>
        <v>0.50436615061227197</v>
      </c>
      <c r="G679" s="18">
        <f>IF(ISNUMBER(Volcanic!E679),Volcanic!E679,"")</f>
        <v>4.1099999999999999E-3</v>
      </c>
      <c r="H679" s="18">
        <f>IF(ISNUMBER(Volcanic!D679),Volcanic!D679,"")</f>
        <v>0.35</v>
      </c>
      <c r="I679" s="18">
        <f t="shared" si="100"/>
        <v>0.50436615061227197</v>
      </c>
      <c r="J679" s="18">
        <f t="shared" si="101"/>
        <v>4.1099999999999999E-3</v>
      </c>
      <c r="K679" s="18">
        <f t="shared" si="102"/>
        <v>7.0000000000000007E-2</v>
      </c>
      <c r="L679" s="18">
        <f t="shared" si="103"/>
        <v>0.50436615061227197</v>
      </c>
      <c r="M679" s="18">
        <f t="shared" si="104"/>
        <v>4.1099999999999999E-3</v>
      </c>
      <c r="N679" s="18">
        <f t="shared" si="105"/>
        <v>0.24367517262788113</v>
      </c>
      <c r="AK679" s="18">
        <f>IF(AND(ISNUMBER(C679),ISNUMBER(ENSO!F679)),C679-ENSO!F679,"")</f>
        <v>-0.16</v>
      </c>
      <c r="AL679" s="18">
        <f t="shared" si="107"/>
        <v>2014.625</v>
      </c>
      <c r="AM679" s="18">
        <f t="shared" si="108"/>
        <v>0.83000000000000362</v>
      </c>
    </row>
    <row r="680" spans="1:39">
      <c r="A680" s="18" t="str">
        <f>IF(Volcanic!A680="","",Volcanic!A680)</f>
        <v>9/2014</v>
      </c>
      <c r="B680" s="18">
        <f>IF(ISNUMBER(Volcanic!L680),Volcanic!L680,"")</f>
        <v>2014.7083333333333</v>
      </c>
      <c r="C680" s="21">
        <v>0.08</v>
      </c>
      <c r="D680" s="18">
        <f t="shared" si="106"/>
        <v>-0.01</v>
      </c>
      <c r="E680" s="18">
        <f>IF(ISNUMBER(Volcanic!B680),Volcanic!B680,"")</f>
        <v>0.88000000000000256</v>
      </c>
      <c r="F680" s="18">
        <f>IF(ISNUMBER(Volcanic!C680),Volcanic!C680,"")</f>
        <v>0.49839677115263525</v>
      </c>
      <c r="G680" s="18">
        <f>IF(ISNUMBER(Volcanic!E680),Volcanic!E680,"")</f>
        <v>4.5700000000000003E-3</v>
      </c>
      <c r="H680" s="18">
        <f>IF(ISNUMBER(Volcanic!D680),Volcanic!D680,"")</f>
        <v>0.22</v>
      </c>
      <c r="I680" s="18">
        <f t="shared" si="100"/>
        <v>0.49839677115263525</v>
      </c>
      <c r="J680" s="18">
        <f t="shared" si="101"/>
        <v>4.5700000000000003E-3</v>
      </c>
      <c r="K680" s="18">
        <f t="shared" si="102"/>
        <v>-0.01</v>
      </c>
      <c r="L680" s="18">
        <f t="shared" si="103"/>
        <v>0.49839677115263525</v>
      </c>
      <c r="M680" s="18">
        <f t="shared" si="104"/>
        <v>4.5700000000000003E-3</v>
      </c>
      <c r="N680" s="18">
        <f t="shared" si="105"/>
        <v>0.16436519211848277</v>
      </c>
      <c r="AK680" s="18">
        <f>IF(AND(ISNUMBER(C680),ISNUMBER(ENSO!F680)),C680-ENSO!F680,"")</f>
        <v>-0.15999999999999998</v>
      </c>
      <c r="AL680" s="18">
        <f t="shared" si="107"/>
        <v>2014.7083333333333</v>
      </c>
      <c r="AM680" s="18">
        <f t="shared" si="108"/>
        <v>0.88000000000000256</v>
      </c>
    </row>
    <row r="681" spans="1:39">
      <c r="A681" s="18" t="str">
        <f>IF(Volcanic!A681="","",Volcanic!A681)</f>
        <v>10/2014</v>
      </c>
      <c r="B681" s="18">
        <f>IF(ISNUMBER(Volcanic!L681),Volcanic!L681,"")</f>
        <v>2014.7916666666667</v>
      </c>
      <c r="C681" s="21">
        <v>0.36</v>
      </c>
      <c r="D681" s="18">
        <f t="shared" si="106"/>
        <v>-0.13</v>
      </c>
      <c r="E681" s="18">
        <f>IF(ISNUMBER(Volcanic!B681),Volcanic!B681,"")</f>
        <v>0.79999999999999893</v>
      </c>
      <c r="F681" s="18">
        <f>IF(ISNUMBER(Volcanic!C681),Volcanic!C681,"")</f>
        <v>0.50065639249457372</v>
      </c>
      <c r="G681" s="18">
        <f>IF(ISNUMBER(Volcanic!E681),Volcanic!E681,"")</f>
        <v>7.0000000000000001E-3</v>
      </c>
      <c r="H681" s="18">
        <f>IF(ISNUMBER(Volcanic!D681),Volcanic!D681,"")</f>
        <v>7.0000000000000007E-2</v>
      </c>
      <c r="I681" s="18">
        <f t="shared" si="100"/>
        <v>0.50065639249457372</v>
      </c>
      <c r="J681" s="18">
        <f t="shared" si="101"/>
        <v>7.0000000000000001E-3</v>
      </c>
      <c r="K681" s="18">
        <f t="shared" si="102"/>
        <v>-0.13</v>
      </c>
      <c r="L681" s="18">
        <f t="shared" si="103"/>
        <v>0.50065639249457372</v>
      </c>
      <c r="M681" s="18">
        <f t="shared" si="104"/>
        <v>7.0000000000000001E-3</v>
      </c>
      <c r="N681" s="18">
        <f t="shared" si="105"/>
        <v>4.5055211609080881E-2</v>
      </c>
      <c r="AK681" s="18">
        <f>IF(AND(ISNUMBER(C681),ISNUMBER(ENSO!F681)),C681-ENSO!F681,"")</f>
        <v>-0.15000000000000002</v>
      </c>
      <c r="AL681" s="18">
        <f t="shared" si="107"/>
        <v>2014.7916666666667</v>
      </c>
      <c r="AM681" s="18">
        <f t="shared" si="108"/>
        <v>0.79999999999999893</v>
      </c>
    </row>
    <row r="682" spans="1:39">
      <c r="A682" s="18" t="str">
        <f>IF(Volcanic!A682="","",Volcanic!A682)</f>
        <v>11/2014</v>
      </c>
      <c r="B682" s="18">
        <f>IF(ISNUMBER(Volcanic!L682),Volcanic!L682,"")</f>
        <v>2014.875</v>
      </c>
      <c r="C682" s="21">
        <v>0.52</v>
      </c>
      <c r="D682" s="18">
        <f t="shared" si="106"/>
        <v>-0.09</v>
      </c>
      <c r="E682" s="18">
        <f>IF(ISNUMBER(Volcanic!B682),Volcanic!B682,"")</f>
        <v>0.66999999999999993</v>
      </c>
      <c r="F682" s="18">
        <f>IF(ISNUMBER(Volcanic!C682),Volcanic!C682,"")</f>
        <v>0.50516504541734131</v>
      </c>
      <c r="G682" s="18">
        <f>IF(ISNUMBER(Volcanic!E682),Volcanic!E682,"")</f>
        <v>7.43E-3</v>
      </c>
      <c r="H682" s="18">
        <f>IF(ISNUMBER(Volcanic!D682),Volcanic!D682,"")</f>
        <v>7.0000000000000007E-2</v>
      </c>
      <c r="I682" s="18">
        <f t="shared" si="100"/>
        <v>0.50516504541734131</v>
      </c>
      <c r="J682" s="18">
        <f t="shared" si="101"/>
        <v>7.43E-3</v>
      </c>
      <c r="K682" s="18">
        <f t="shared" si="102"/>
        <v>-0.09</v>
      </c>
      <c r="L682" s="18">
        <f t="shared" si="103"/>
        <v>0.50516504541734131</v>
      </c>
      <c r="M682" s="18">
        <f t="shared" si="104"/>
        <v>7.43E-3</v>
      </c>
      <c r="N682" s="18">
        <f t="shared" si="105"/>
        <v>8.5745231099678992E-2</v>
      </c>
      <c r="AK682" s="18">
        <f>IF(AND(ISNUMBER(C682),ISNUMBER(ENSO!F682)),C682-ENSO!F682,"")</f>
        <v>-0.17999999999999994</v>
      </c>
      <c r="AL682" s="18">
        <f t="shared" si="107"/>
        <v>2014.875</v>
      </c>
      <c r="AM682" s="18">
        <f t="shared" si="108"/>
        <v>0.66999999999999993</v>
      </c>
    </row>
    <row r="683" spans="1:39">
      <c r="A683" s="18" t="str">
        <f>IF(Volcanic!A683="","",Volcanic!A683)</f>
        <v>12/2014</v>
      </c>
      <c r="B683" s="18">
        <f>IF(ISNUMBER(Volcanic!L683),Volcanic!L683,"")</f>
        <v>2014.9583333333333</v>
      </c>
      <c r="C683" s="21">
        <v>0.56000000000000005</v>
      </c>
      <c r="D683" s="18">
        <f t="shared" si="106"/>
        <v>0.08</v>
      </c>
      <c r="E683" s="18">
        <f>IF(ISNUMBER(Volcanic!B683),Volcanic!B683,"")</f>
        <v>0.79000000000000092</v>
      </c>
      <c r="F683" s="18">
        <f>IF(ISNUMBER(Volcanic!C683),Volcanic!C683,"")</f>
        <v>0.51125115244612851</v>
      </c>
      <c r="G683" s="18">
        <f>IF(ISNUMBER(Volcanic!E683),Volcanic!E683,"")</f>
        <v>7.3600000000000002E-3</v>
      </c>
      <c r="H683" s="18">
        <f>IF(ISNUMBER(Volcanic!D683),Volcanic!D683,"")</f>
        <v>0.24</v>
      </c>
      <c r="I683" s="18">
        <f t="shared" si="100"/>
        <v>0.51125115244612851</v>
      </c>
      <c r="J683" s="18">
        <f t="shared" si="101"/>
        <v>7.3600000000000002E-3</v>
      </c>
      <c r="K683" s="18">
        <f t="shared" si="102"/>
        <v>0.08</v>
      </c>
      <c r="L683" s="18">
        <f t="shared" si="103"/>
        <v>0.51125115244612851</v>
      </c>
      <c r="M683" s="18">
        <f t="shared" si="104"/>
        <v>7.3600000000000002E-3</v>
      </c>
      <c r="N683" s="18">
        <f t="shared" si="105"/>
        <v>0.25643525059027711</v>
      </c>
      <c r="AK683" s="18">
        <f>IF(AND(ISNUMBER(C683),ISNUMBER(ENSO!F683)),C683-ENSO!F683,"")</f>
        <v>-0.24</v>
      </c>
      <c r="AL683" s="18">
        <f t="shared" si="107"/>
        <v>2014.9583333333333</v>
      </c>
      <c r="AM683" s="18">
        <f t="shared" si="108"/>
        <v>0.79000000000000092</v>
      </c>
    </row>
    <row r="684" spans="1:39">
      <c r="A684" s="18" t="str">
        <f>IF(Volcanic!A684="","",Volcanic!A684)</f>
        <v>1/2015</v>
      </c>
      <c r="B684" s="18">
        <f>IF(ISNUMBER(Volcanic!L684),Volcanic!L684,"")</f>
        <v>2015.0416666666667</v>
      </c>
      <c r="C684" s="21">
        <v>0.45</v>
      </c>
      <c r="D684" s="18">
        <f t="shared" si="106"/>
        <v>0.36</v>
      </c>
      <c r="E684" s="18">
        <f>IF(ISNUMBER(Volcanic!B684),Volcanic!B684,"")</f>
        <v>0.86000000000000121</v>
      </c>
      <c r="F684" s="18">
        <f>IF(ISNUMBER(Volcanic!C684),Volcanic!C684,"")</f>
        <v>0.51522223956909252</v>
      </c>
      <c r="G684" s="18">
        <f>IF(ISNUMBER(Volcanic!E684),Volcanic!E684,"")</f>
        <v>7.2700000000000004E-3</v>
      </c>
      <c r="H684" s="18">
        <f>IF(ISNUMBER(Volcanic!D684),Volcanic!D684,"")</f>
        <v>0.51</v>
      </c>
      <c r="I684" s="18">
        <f t="shared" si="100"/>
        <v>0.51522223956909252</v>
      </c>
      <c r="J684" s="18">
        <f t="shared" si="101"/>
        <v>7.2700000000000004E-3</v>
      </c>
      <c r="K684" s="18">
        <f t="shared" si="102"/>
        <v>0.36</v>
      </c>
      <c r="L684" s="18">
        <f t="shared" si="103"/>
        <v>0.51522223956909252</v>
      </c>
      <c r="M684" s="18">
        <f t="shared" si="104"/>
        <v>7.2700000000000004E-3</v>
      </c>
      <c r="N684" s="18">
        <f t="shared" si="105"/>
        <v>0.53712527008087874</v>
      </c>
      <c r="AK684" s="18">
        <f>IF(AND(ISNUMBER(C684),ISNUMBER(ENSO!F684)),C684-ENSO!F684,"")</f>
        <v>-0.27999999999999997</v>
      </c>
      <c r="AL684" s="18">
        <f t="shared" si="107"/>
        <v>2015.0416666666667</v>
      </c>
      <c r="AM684" s="18">
        <f t="shared" si="108"/>
        <v>0.86000000000000121</v>
      </c>
    </row>
    <row r="685" spans="1:39">
      <c r="A685" s="18" t="str">
        <f>IF(Volcanic!A685="","",Volcanic!A685)</f>
        <v>2/2015</v>
      </c>
      <c r="B685" s="18">
        <f>IF(ISNUMBER(Volcanic!L685),Volcanic!L685,"")</f>
        <v>2015.125</v>
      </c>
      <c r="C685" s="21">
        <v>0.38</v>
      </c>
      <c r="D685" s="18">
        <f t="shared" si="106"/>
        <v>0.52</v>
      </c>
      <c r="E685" s="18">
        <f>IF(ISNUMBER(Volcanic!B685),Volcanic!B685,"")</f>
        <v>0.91000000000000014</v>
      </c>
      <c r="F685" s="18">
        <f>IF(ISNUMBER(Volcanic!C685),Volcanic!C685,"")</f>
        <v>0.51655551596218474</v>
      </c>
      <c r="G685" s="18">
        <f>IF(ISNUMBER(Volcanic!E685),Volcanic!E685,"")</f>
        <v>6.8700000000000002E-3</v>
      </c>
      <c r="H685" s="18">
        <f>IF(ISNUMBER(Volcanic!D685),Volcanic!D685,"")</f>
        <v>0.7</v>
      </c>
      <c r="I685" s="18">
        <f t="shared" si="100"/>
        <v>0.51655551596218474</v>
      </c>
      <c r="J685" s="18">
        <f t="shared" si="101"/>
        <v>6.8700000000000002E-3</v>
      </c>
      <c r="K685" s="18">
        <f t="shared" si="102"/>
        <v>0.52</v>
      </c>
      <c r="L685" s="18">
        <f t="shared" si="103"/>
        <v>0.51655551596218474</v>
      </c>
      <c r="M685" s="18">
        <f t="shared" si="104"/>
        <v>6.8700000000000002E-3</v>
      </c>
      <c r="N685" s="18">
        <f t="shared" si="105"/>
        <v>0.69781528957147687</v>
      </c>
      <c r="AK685" s="18">
        <f>IF(AND(ISNUMBER(C685),ISNUMBER(ENSO!F685)),C685-ENSO!F685,"")</f>
        <v>-0.27</v>
      </c>
      <c r="AL685" s="18">
        <f t="shared" si="107"/>
        <v>2015.125</v>
      </c>
      <c r="AM685" s="18">
        <f t="shared" si="108"/>
        <v>0.91000000000000014</v>
      </c>
    </row>
    <row r="686" spans="1:39">
      <c r="A686" s="18" t="str">
        <f>IF(Volcanic!A686="","",Volcanic!A686)</f>
        <v>3/2015</v>
      </c>
      <c r="B686" s="18">
        <f>IF(ISNUMBER(Volcanic!L686),Volcanic!L686,"")</f>
        <v>2015.2083333333333</v>
      </c>
      <c r="C686" s="21">
        <v>0.45</v>
      </c>
      <c r="D686" s="18">
        <f t="shared" si="106"/>
        <v>0.56000000000000005</v>
      </c>
      <c r="E686" s="18">
        <f>IF(ISNUMBER(Volcanic!B686),Volcanic!B686,"")</f>
        <v>0.95999999999999908</v>
      </c>
      <c r="F686" s="18">
        <f>IF(ISNUMBER(Volcanic!C686),Volcanic!C686,"")</f>
        <v>0.52083528601459983</v>
      </c>
      <c r="G686" s="18">
        <f>IF(ISNUMBER(Volcanic!E686),Volcanic!E686,"")</f>
        <v>6.9800000000000001E-3</v>
      </c>
      <c r="H686" s="18">
        <f>IF(ISNUMBER(Volcanic!D686),Volcanic!D686,"")</f>
        <v>0.8</v>
      </c>
      <c r="I686" s="18">
        <f t="shared" si="100"/>
        <v>0.52083528601459983</v>
      </c>
      <c r="J686" s="18">
        <f t="shared" si="101"/>
        <v>6.9800000000000001E-3</v>
      </c>
      <c r="K686" s="18">
        <f t="shared" si="102"/>
        <v>0.56000000000000005</v>
      </c>
      <c r="L686" s="18">
        <f t="shared" si="103"/>
        <v>0.52083528601459983</v>
      </c>
      <c r="M686" s="18">
        <f t="shared" si="104"/>
        <v>6.9800000000000001E-3</v>
      </c>
      <c r="N686" s="18">
        <f t="shared" si="105"/>
        <v>0.73850530906207501</v>
      </c>
      <c r="AK686" s="18">
        <f>IF(AND(ISNUMBER(C686),ISNUMBER(ENSO!F686)),C686-ENSO!F686,"")</f>
        <v>-0.26999999999999996</v>
      </c>
      <c r="AL686" s="18">
        <f t="shared" si="107"/>
        <v>2015.2083333333333</v>
      </c>
      <c r="AM686" s="18">
        <f t="shared" si="108"/>
        <v>0.95999999999999908</v>
      </c>
    </row>
    <row r="687" spans="1:39">
      <c r="A687" s="18" t="str">
        <f>IF(Volcanic!A687="","",Volcanic!A687)</f>
        <v>4/2015</v>
      </c>
      <c r="B687" s="18">
        <f>IF(ISNUMBER(Volcanic!L687),Volcanic!L687,"")</f>
        <v>2015.2916666666667</v>
      </c>
      <c r="C687" s="21">
        <v>0.61</v>
      </c>
      <c r="D687" s="18">
        <f t="shared" si="106"/>
        <v>0.45</v>
      </c>
      <c r="E687" s="18">
        <f>IF(ISNUMBER(Volcanic!B687),Volcanic!B687,"")</f>
        <v>0.75</v>
      </c>
      <c r="F687" s="18">
        <f>IF(ISNUMBER(Volcanic!C687),Volcanic!C687,"")</f>
        <v>0.52660542876170069</v>
      </c>
      <c r="G687" s="18">
        <f>IF(ISNUMBER(Volcanic!E687),Volcanic!E687,"")</f>
        <v>6.9300000000000004E-3</v>
      </c>
      <c r="H687" s="18">
        <f>IF(ISNUMBER(Volcanic!D687),Volcanic!D687,"")</f>
        <v>0.73</v>
      </c>
      <c r="I687" s="18">
        <f t="shared" si="100"/>
        <v>0.52660542876170069</v>
      </c>
      <c r="J687" s="18">
        <f t="shared" si="101"/>
        <v>6.9300000000000004E-3</v>
      </c>
      <c r="K687" s="18">
        <f t="shared" si="102"/>
        <v>0.45</v>
      </c>
      <c r="L687" s="18">
        <f t="shared" si="103"/>
        <v>0.52660542876170069</v>
      </c>
      <c r="M687" s="18">
        <f t="shared" si="104"/>
        <v>6.9300000000000004E-3</v>
      </c>
      <c r="N687" s="18">
        <f t="shared" si="105"/>
        <v>0.62919532855267657</v>
      </c>
      <c r="AK687" s="18">
        <f>IF(AND(ISNUMBER(C687),ISNUMBER(ENSO!F687)),C687-ENSO!F687,"")</f>
        <v>-0.25</v>
      </c>
      <c r="AL687" s="18">
        <f t="shared" si="107"/>
        <v>2015.2916666666667</v>
      </c>
      <c r="AM687" s="18">
        <f t="shared" si="108"/>
        <v>0.75</v>
      </c>
    </row>
    <row r="688" spans="1:39">
      <c r="A688" s="18" t="str">
        <f>IF(Volcanic!A688="","",Volcanic!A688)</f>
        <v>5/2015</v>
      </c>
      <c r="B688" s="18">
        <f>IF(ISNUMBER(Volcanic!L688),Volcanic!L688,"")</f>
        <v>2015.375</v>
      </c>
      <c r="C688" s="21">
        <v>0.82</v>
      </c>
      <c r="D688" s="18">
        <f t="shared" si="106"/>
        <v>0.38</v>
      </c>
      <c r="E688" s="18">
        <f>IF(ISNUMBER(Volcanic!B688),Volcanic!B688,"")</f>
        <v>0.79999999999999893</v>
      </c>
      <c r="F688" s="18">
        <f>IF(ISNUMBER(Volcanic!C688),Volcanic!C688,"")</f>
        <v>0.52946402049003916</v>
      </c>
      <c r="G688" s="18">
        <f>IF(ISNUMBER(Volcanic!E688),Volcanic!E688,"")</f>
        <v>6.62E-3</v>
      </c>
      <c r="H688" s="18">
        <f>IF(ISNUMBER(Volcanic!D688),Volcanic!D688,"")</f>
        <v>0.65</v>
      </c>
      <c r="I688" s="18">
        <f t="shared" si="100"/>
        <v>0.52946402049003916</v>
      </c>
      <c r="J688" s="18">
        <f t="shared" si="101"/>
        <v>6.62E-3</v>
      </c>
      <c r="K688" s="18">
        <f t="shared" si="102"/>
        <v>0.38</v>
      </c>
      <c r="L688" s="18">
        <f t="shared" si="103"/>
        <v>0.52946402049003916</v>
      </c>
      <c r="M688" s="18">
        <f t="shared" si="104"/>
        <v>6.62E-3</v>
      </c>
      <c r="N688" s="18">
        <f t="shared" si="105"/>
        <v>0.55988534804327472</v>
      </c>
      <c r="AK688" s="18">
        <f>IF(AND(ISNUMBER(C688),ISNUMBER(ENSO!F688)),C688-ENSO!F688,"")</f>
        <v>-0.22000000000000008</v>
      </c>
      <c r="AL688" s="18">
        <f t="shared" si="107"/>
        <v>2015.375</v>
      </c>
      <c r="AM688" s="18">
        <f t="shared" si="108"/>
        <v>0.79999999999999893</v>
      </c>
    </row>
    <row r="689" spans="1:39">
      <c r="A689" s="18" t="str">
        <f>IF(Volcanic!A689="","",Volcanic!A689)</f>
        <v>6/2015</v>
      </c>
      <c r="B689" s="18">
        <f>IF(ISNUMBER(Volcanic!L689),Volcanic!L689,"")</f>
        <v>2015.4583333333333</v>
      </c>
      <c r="C689" s="21">
        <v>1.03</v>
      </c>
      <c r="D689" s="18">
        <f t="shared" si="106"/>
        <v>0.45</v>
      </c>
      <c r="E689" s="18">
        <f>IF(ISNUMBER(Volcanic!B689),Volcanic!B689,"")</f>
        <v>0.82000000000000028</v>
      </c>
      <c r="F689" s="18">
        <f>IF(ISNUMBER(Volcanic!C689),Volcanic!C689,"")</f>
        <v>0.52524561093224054</v>
      </c>
      <c r="G689" s="18">
        <f>IF(ISNUMBER(Volcanic!E689),Volcanic!E689,"")</f>
        <v>6.6100000000000004E-3</v>
      </c>
      <c r="H689" s="18">
        <f>IF(ISNUMBER(Volcanic!D689),Volcanic!D689,"")</f>
        <v>0.72</v>
      </c>
      <c r="I689" s="18">
        <f t="shared" si="100"/>
        <v>0.52524561093224054</v>
      </c>
      <c r="J689" s="18">
        <f t="shared" si="101"/>
        <v>6.6100000000000004E-3</v>
      </c>
      <c r="K689" s="18">
        <f t="shared" si="102"/>
        <v>0.45</v>
      </c>
      <c r="L689" s="18">
        <f t="shared" si="103"/>
        <v>0.52524561093224054</v>
      </c>
      <c r="M689" s="18">
        <f t="shared" si="104"/>
        <v>6.6100000000000004E-3</v>
      </c>
      <c r="N689" s="18">
        <f t="shared" si="105"/>
        <v>0.63057536753387278</v>
      </c>
      <c r="AK689" s="18">
        <f>IF(AND(ISNUMBER(C689),ISNUMBER(ENSO!F689)),C689-ENSO!F689,"")</f>
        <v>-0.15999999999999992</v>
      </c>
      <c r="AL689" s="18">
        <f t="shared" si="107"/>
        <v>2015.4583333333333</v>
      </c>
      <c r="AM689" s="18">
        <f t="shared" si="108"/>
        <v>0.82000000000000028</v>
      </c>
    </row>
    <row r="690" spans="1:39">
      <c r="A690" s="18" t="str">
        <f>IF(Volcanic!A690="","",Volcanic!A690)</f>
        <v>7/2015</v>
      </c>
      <c r="B690" s="18">
        <f>IF(ISNUMBER(Volcanic!L690),Volcanic!L690,"")</f>
        <v>2015.5416666666667</v>
      </c>
      <c r="C690" s="21">
        <v>1.33</v>
      </c>
      <c r="D690" s="18">
        <f t="shared" si="106"/>
        <v>0.61</v>
      </c>
      <c r="E690" s="18">
        <f>IF(ISNUMBER(Volcanic!B690),Volcanic!B690,"")</f>
        <v>0.7300000000000022</v>
      </c>
      <c r="F690" s="18">
        <f>IF(ISNUMBER(Volcanic!C690),Volcanic!C690,"")</f>
        <v>0.51982942289753653</v>
      </c>
      <c r="G690" s="18">
        <f>IF(ISNUMBER(Volcanic!E690),Volcanic!E690,"")</f>
        <v>6.6E-3</v>
      </c>
      <c r="H690" s="18">
        <f>IF(ISNUMBER(Volcanic!D690),Volcanic!D690,"")</f>
        <v>0.86</v>
      </c>
      <c r="I690" s="18">
        <f t="shared" si="100"/>
        <v>0.51982942289753653</v>
      </c>
      <c r="J690" s="18">
        <f t="shared" si="101"/>
        <v>6.6E-3</v>
      </c>
      <c r="K690" s="18">
        <f t="shared" si="102"/>
        <v>0.61</v>
      </c>
      <c r="L690" s="18">
        <f t="shared" si="103"/>
        <v>0.51982942289753653</v>
      </c>
      <c r="M690" s="18">
        <f t="shared" si="104"/>
        <v>6.6E-3</v>
      </c>
      <c r="N690" s="18">
        <f t="shared" si="105"/>
        <v>0.79126538702447091</v>
      </c>
      <c r="AK690" s="18">
        <f>IF(AND(ISNUMBER(C690),ISNUMBER(ENSO!F690)),C690-ENSO!F690,"")</f>
        <v>-0.10999999999999988</v>
      </c>
      <c r="AL690" s="18">
        <f t="shared" si="107"/>
        <v>2015.5416666666667</v>
      </c>
      <c r="AM690" s="18">
        <f t="shared" si="108"/>
        <v>0.7300000000000022</v>
      </c>
    </row>
    <row r="691" spans="1:39">
      <c r="A691" s="18" t="str">
        <f>IF(Volcanic!A691="","",Volcanic!A691)</f>
        <v>8/2015</v>
      </c>
      <c r="B691" s="18">
        <f>IF(ISNUMBER(Volcanic!L691),Volcanic!L691,"")</f>
        <v>2015.625</v>
      </c>
      <c r="C691" s="21">
        <v>1.64</v>
      </c>
      <c r="D691" s="18">
        <f t="shared" si="106"/>
        <v>0.82</v>
      </c>
      <c r="E691" s="18">
        <f>IF(ISNUMBER(Volcanic!B691),Volcanic!B691,"")</f>
        <v>0.79999999999999893</v>
      </c>
      <c r="F691" s="18">
        <f>IF(ISNUMBER(Volcanic!C691),Volcanic!C691,"")</f>
        <v>0.51135959993669367</v>
      </c>
      <c r="G691" s="18">
        <f>IF(ISNUMBER(Volcanic!E691),Volcanic!E691,"")</f>
        <v>6.2300000000000003E-3</v>
      </c>
      <c r="H691" s="18">
        <f>IF(ISNUMBER(Volcanic!D691),Volcanic!D691,"")</f>
        <v>1.04</v>
      </c>
      <c r="I691" s="18">
        <f t="shared" si="100"/>
        <v>0.51135959993669367</v>
      </c>
      <c r="J691" s="18">
        <f t="shared" si="101"/>
        <v>6.2300000000000003E-3</v>
      </c>
      <c r="K691" s="18">
        <f t="shared" si="102"/>
        <v>0.82</v>
      </c>
      <c r="L691" s="18">
        <f t="shared" si="103"/>
        <v>0.51135959993669367</v>
      </c>
      <c r="M691" s="18">
        <f t="shared" si="104"/>
        <v>6.2300000000000003E-3</v>
      </c>
      <c r="N691" s="18">
        <f t="shared" si="105"/>
        <v>1.0019554065150724</v>
      </c>
      <c r="AK691" s="18">
        <f>IF(AND(ISNUMBER(C691),ISNUMBER(ENSO!F691)),C691-ENSO!F691,"")</f>
        <v>-9.000000000000008E-2</v>
      </c>
      <c r="AL691" s="18">
        <f t="shared" si="107"/>
        <v>2015.625</v>
      </c>
      <c r="AM691" s="18">
        <f t="shared" si="108"/>
        <v>0.79999999999999893</v>
      </c>
    </row>
    <row r="692" spans="1:39">
      <c r="A692" s="18" t="str">
        <f>IF(Volcanic!A692="","",Volcanic!A692)</f>
        <v>9/2015</v>
      </c>
      <c r="B692" s="18">
        <f>IF(ISNUMBER(Volcanic!L692),Volcanic!L692,"")</f>
        <v>2015.7083333333333</v>
      </c>
      <c r="C692" s="21">
        <v>1.93</v>
      </c>
      <c r="D692" s="18">
        <f t="shared" si="106"/>
        <v>1.03</v>
      </c>
      <c r="E692" s="18">
        <f>IF(ISNUMBER(Volcanic!B692),Volcanic!B692,"")</f>
        <v>0.83999999999999986</v>
      </c>
      <c r="F692" s="18">
        <f>IF(ISNUMBER(Volcanic!C692),Volcanic!C692,"")</f>
        <v>0.50668898086543035</v>
      </c>
      <c r="G692" s="18">
        <f>IF(ISNUMBER(Volcanic!E692),Volcanic!E692,"")</f>
        <v>5.9899999999999997E-3</v>
      </c>
      <c r="H692" s="18">
        <f>IF(ISNUMBER(Volcanic!D692),Volcanic!D692,"")</f>
        <v>1.19</v>
      </c>
      <c r="I692" s="18">
        <f t="shared" si="100"/>
        <v>0.50668898086543035</v>
      </c>
      <c r="J692" s="18">
        <f t="shared" si="101"/>
        <v>5.9899999999999997E-3</v>
      </c>
      <c r="K692" s="18">
        <f t="shared" si="102"/>
        <v>1.03</v>
      </c>
      <c r="L692" s="18">
        <f t="shared" si="103"/>
        <v>0.50668898086543035</v>
      </c>
      <c r="M692" s="18">
        <f t="shared" si="104"/>
        <v>5.9899999999999997E-3</v>
      </c>
      <c r="N692" s="18">
        <f t="shared" si="105"/>
        <v>1.2126454260056707</v>
      </c>
      <c r="AK692" s="18">
        <f>IF(AND(ISNUMBER(C692),ISNUMBER(ENSO!F692)),C692-ENSO!F692,"")</f>
        <v>-9.000000000000008E-2</v>
      </c>
      <c r="AL692" s="18">
        <f t="shared" si="107"/>
        <v>2015.7083333333333</v>
      </c>
      <c r="AM692" s="18">
        <f t="shared" si="108"/>
        <v>0.83999999999999986</v>
      </c>
    </row>
    <row r="693" spans="1:39">
      <c r="A693" s="18" t="str">
        <f>IF(Volcanic!A693="","",Volcanic!A693)</f>
        <v>10/2015</v>
      </c>
      <c r="B693" s="18">
        <f>IF(ISNUMBER(Volcanic!L693),Volcanic!L693,"")</f>
        <v>2015.7916666666667</v>
      </c>
      <c r="C693" s="21">
        <v>2.1800000000000002</v>
      </c>
      <c r="D693" s="18">
        <f t="shared" si="106"/>
        <v>1.33</v>
      </c>
      <c r="E693" s="18">
        <f>IF(ISNUMBER(Volcanic!B693),Volcanic!B693,"")</f>
        <v>1.0800000000000036</v>
      </c>
      <c r="F693" s="18">
        <f>IF(ISNUMBER(Volcanic!C693),Volcanic!C693,"")</f>
        <v>0.50911669345346611</v>
      </c>
      <c r="G693" s="18">
        <f>IF(ISNUMBER(Volcanic!E693),Volcanic!E693,"")</f>
        <v>5.7499999999999999E-3</v>
      </c>
      <c r="H693" s="18">
        <f>IF(ISNUMBER(Volcanic!D693),Volcanic!D693,"")</f>
        <v>1.44</v>
      </c>
      <c r="I693" s="18">
        <f t="shared" si="100"/>
        <v>0.50911669345346611</v>
      </c>
      <c r="J693" s="18">
        <f t="shared" si="101"/>
        <v>5.7499999999999999E-3</v>
      </c>
      <c r="K693" s="18">
        <f t="shared" si="102"/>
        <v>1.33</v>
      </c>
      <c r="L693" s="18">
        <f t="shared" si="103"/>
        <v>0.50911669345346611</v>
      </c>
      <c r="M693" s="18">
        <f t="shared" si="104"/>
        <v>5.7499999999999999E-3</v>
      </c>
      <c r="N693" s="18">
        <f t="shared" si="105"/>
        <v>1.5133354454962689</v>
      </c>
      <c r="AK693" s="18">
        <f>IF(AND(ISNUMBER(C693),ISNUMBER(ENSO!F693)),C693-ENSO!F693,"")</f>
        <v>-9.9999999999999645E-2</v>
      </c>
      <c r="AL693" s="18">
        <f t="shared" si="107"/>
        <v>2015.7916666666667</v>
      </c>
      <c r="AM693" s="18">
        <f t="shared" si="108"/>
        <v>1.0800000000000036</v>
      </c>
    </row>
    <row r="694" spans="1:39">
      <c r="A694" s="18" t="str">
        <f>IF(Volcanic!A694="","",Volcanic!A694)</f>
        <v>11/2015</v>
      </c>
      <c r="B694" s="18">
        <f>IF(ISNUMBER(Volcanic!L694),Volcanic!L694,"")</f>
        <v>2015.875</v>
      </c>
      <c r="C694" s="21">
        <v>2.34</v>
      </c>
      <c r="D694" s="18">
        <f t="shared" si="106"/>
        <v>1.64</v>
      </c>
      <c r="E694" s="18">
        <f>IF(ISNUMBER(Volcanic!B694),Volcanic!B694,"")</f>
        <v>1.0600000000000023</v>
      </c>
      <c r="F694" s="18">
        <f>IF(ISNUMBER(Volcanic!C694),Volcanic!C694,"")</f>
        <v>0.51554666346621814</v>
      </c>
      <c r="G694" s="18">
        <f>IF(ISNUMBER(Volcanic!E694),Volcanic!E694,"")</f>
        <v>5.8199999999999997E-3</v>
      </c>
      <c r="H694" s="18">
        <f>IF(ISNUMBER(Volcanic!D694),Volcanic!D694,"")</f>
        <v>1.73</v>
      </c>
      <c r="I694" s="18">
        <f t="shared" si="100"/>
        <v>0.51554666346621814</v>
      </c>
      <c r="J694" s="18">
        <f t="shared" si="101"/>
        <v>5.8199999999999997E-3</v>
      </c>
      <c r="K694" s="18">
        <f t="shared" si="102"/>
        <v>1.64</v>
      </c>
      <c r="L694" s="18">
        <f t="shared" si="103"/>
        <v>0.51554666346621814</v>
      </c>
      <c r="M694" s="18">
        <f t="shared" si="104"/>
        <v>5.8199999999999997E-3</v>
      </c>
      <c r="N694" s="18">
        <f t="shared" si="105"/>
        <v>1.8240254649868668</v>
      </c>
      <c r="AK694" s="18">
        <f>IF(AND(ISNUMBER(C694),ISNUMBER(ENSO!F694)),C694-ENSO!F694,"")</f>
        <v>-0.11000000000000032</v>
      </c>
      <c r="AL694" s="18">
        <f t="shared" si="107"/>
        <v>2015.875</v>
      </c>
      <c r="AM694" s="18">
        <f t="shared" si="108"/>
        <v>1.0600000000000023</v>
      </c>
    </row>
    <row r="695" spans="1:39">
      <c r="A695" s="18" t="str">
        <f>IF(Volcanic!A695="","",Volcanic!A695)</f>
        <v>12/2015</v>
      </c>
      <c r="B695" s="18">
        <f>IF(ISNUMBER(Volcanic!L695),Volcanic!L695,"")</f>
        <v>2015.9583333333333</v>
      </c>
      <c r="C695" s="21">
        <v>2.37</v>
      </c>
      <c r="D695" s="18">
        <f t="shared" si="106"/>
        <v>1.93</v>
      </c>
      <c r="E695" s="18">
        <f>IF(ISNUMBER(Volcanic!B695),Volcanic!B695,"")</f>
        <v>1.1699999999999964</v>
      </c>
      <c r="F695" s="18">
        <f>IF(ISNUMBER(Volcanic!C695),Volcanic!C695,"")</f>
        <v>0.52198398578437877</v>
      </c>
      <c r="G695" s="18">
        <f>IF(ISNUMBER(Volcanic!E695),Volcanic!E695,"")</f>
        <v>8.4600000000000005E-3</v>
      </c>
      <c r="H695" s="18">
        <f>IF(ISNUMBER(Volcanic!D695),Volcanic!D695,"")</f>
        <v>2.02</v>
      </c>
      <c r="I695" s="18">
        <f t="shared" si="100"/>
        <v>0.52198398578437877</v>
      </c>
      <c r="J695" s="18">
        <f t="shared" si="101"/>
        <v>8.4600000000000005E-3</v>
      </c>
      <c r="K695" s="18">
        <f t="shared" si="102"/>
        <v>1.93</v>
      </c>
      <c r="L695" s="18">
        <f t="shared" si="103"/>
        <v>0.52198398578437877</v>
      </c>
      <c r="M695" s="18">
        <f t="shared" si="104"/>
        <v>8.4600000000000005E-3</v>
      </c>
      <c r="N695" s="18">
        <f t="shared" si="105"/>
        <v>2.1147154844774647</v>
      </c>
      <c r="AK695" s="18">
        <f>IF(AND(ISNUMBER(C695),ISNUMBER(ENSO!F695)),C695-ENSO!F695,"")</f>
        <v>-0.21999999999999975</v>
      </c>
      <c r="AL695" s="18">
        <f t="shared" si="107"/>
        <v>2015.9583333333333</v>
      </c>
      <c r="AM695" s="18">
        <f t="shared" si="108"/>
        <v>1.1699999999999964</v>
      </c>
    </row>
    <row r="696" spans="1:39">
      <c r="A696" s="18" t="str">
        <f>IF(Volcanic!A696="","",Volcanic!A696)</f>
        <v>1/2016</v>
      </c>
      <c r="B696" s="18">
        <f>IF(ISNUMBER(Volcanic!L696),Volcanic!L696,"")</f>
        <v>2016.0416666666667</v>
      </c>
      <c r="C696" s="21">
        <v>2.2200000000000002</v>
      </c>
      <c r="D696" s="18">
        <f t="shared" si="106"/>
        <v>2.1800000000000002</v>
      </c>
      <c r="E696" s="18">
        <f>IF(ISNUMBER(Volcanic!B696),Volcanic!B696,"")</f>
        <v>1.1799999999999997</v>
      </c>
      <c r="F696" s="18">
        <f>IF(ISNUMBER(Volcanic!C696),Volcanic!C696,"")</f>
        <v>0.52438611777087951</v>
      </c>
      <c r="G696" s="18">
        <f>IF(ISNUMBER(Volcanic!E696),Volcanic!E696,"")</f>
        <v>9.3200000000000002E-3</v>
      </c>
      <c r="H696" s="18">
        <f>IF(ISNUMBER(Volcanic!D696),Volcanic!D696,"")</f>
        <v>2.2799999999999998</v>
      </c>
      <c r="I696" s="18">
        <f t="shared" si="100"/>
        <v>0.52438611777087951</v>
      </c>
      <c r="J696" s="18">
        <f t="shared" si="101"/>
        <v>9.3200000000000002E-3</v>
      </c>
      <c r="K696" s="18">
        <f t="shared" si="102"/>
        <v>2.1800000000000002</v>
      </c>
      <c r="L696" s="18">
        <f t="shared" si="103"/>
        <v>0.52438611777087951</v>
      </c>
      <c r="M696" s="18">
        <f t="shared" si="104"/>
        <v>9.3200000000000002E-3</v>
      </c>
      <c r="N696" s="18">
        <f t="shared" si="105"/>
        <v>2.3654055039680668</v>
      </c>
      <c r="AK696" s="18">
        <f>IF(AND(ISNUMBER(C696),ISNUMBER(ENSO!F696)),C696-ENSO!F696,"")</f>
        <v>-0.2799999999999998</v>
      </c>
      <c r="AL696" s="18">
        <f t="shared" si="107"/>
        <v>2016.0416666666667</v>
      </c>
      <c r="AM696" s="18">
        <f t="shared" si="108"/>
        <v>1.1799999999999997</v>
      </c>
    </row>
    <row r="697" spans="1:39">
      <c r="A697" s="18" t="str">
        <f>IF(Volcanic!A697="","",Volcanic!A697)</f>
        <v>2/2016</v>
      </c>
      <c r="B697" s="18">
        <f>IF(ISNUMBER(Volcanic!L697),Volcanic!L697,"")</f>
        <v>2016.125</v>
      </c>
      <c r="C697" s="21">
        <v>1.84</v>
      </c>
      <c r="D697" s="18">
        <f t="shared" si="106"/>
        <v>2.34</v>
      </c>
      <c r="E697" s="18">
        <f>IF(ISNUMBER(Volcanic!B697),Volcanic!B697,"")</f>
        <v>1.370000000000001</v>
      </c>
      <c r="F697" s="18">
        <f>IF(ISNUMBER(Volcanic!C697),Volcanic!C697,"")</f>
        <v>0.52982094652869527</v>
      </c>
      <c r="G697" s="18">
        <f>IF(ISNUMBER(Volcanic!E697),Volcanic!E697,"")</f>
        <v>9.6200000000000001E-3</v>
      </c>
      <c r="H697" s="18">
        <f>IF(ISNUMBER(Volcanic!D697),Volcanic!D697,"")</f>
        <v>2.4500000000000002</v>
      </c>
      <c r="I697" s="18">
        <f t="shared" si="100"/>
        <v>0.52982094652869527</v>
      </c>
      <c r="J697" s="18">
        <f t="shared" si="101"/>
        <v>9.6200000000000001E-3</v>
      </c>
      <c r="K697" s="18">
        <f t="shared" si="102"/>
        <v>2.34</v>
      </c>
      <c r="L697" s="18">
        <f t="shared" si="103"/>
        <v>0.52982094652869527</v>
      </c>
      <c r="M697" s="18">
        <f t="shared" si="104"/>
        <v>9.6200000000000001E-3</v>
      </c>
      <c r="N697" s="18">
        <f t="shared" si="105"/>
        <v>2.5260955234586646</v>
      </c>
      <c r="AK697" s="18">
        <f>IF(AND(ISNUMBER(C697),ISNUMBER(ENSO!F697)),C697-ENSO!F697,"")</f>
        <v>-0.36999999999999988</v>
      </c>
      <c r="AL697" s="18">
        <f t="shared" si="107"/>
        <v>2016.125</v>
      </c>
      <c r="AM697" s="18">
        <f t="shared" si="108"/>
        <v>1.370000000000001</v>
      </c>
    </row>
    <row r="698" spans="1:39">
      <c r="A698" s="18" t="str">
        <f>IF(Volcanic!A698="","",Volcanic!A698)</f>
        <v>3/2016</v>
      </c>
      <c r="B698" s="18">
        <f>IF(ISNUMBER(Volcanic!L698),Volcanic!L698,"")</f>
        <v>2016.2083333333333</v>
      </c>
      <c r="C698" s="21">
        <v>1.28</v>
      </c>
      <c r="D698" s="18">
        <f t="shared" si="106"/>
        <v>2.37</v>
      </c>
      <c r="E698" s="18">
        <f>IF(ISNUMBER(Volcanic!B698),Volcanic!B698,"")</f>
        <v>1.3499999999999979</v>
      </c>
      <c r="F698" s="18">
        <f>IF(ISNUMBER(Volcanic!C698),Volcanic!C698,"")</f>
        <v>0.53270879759518996</v>
      </c>
      <c r="G698" s="18">
        <f>IF(ISNUMBER(Volcanic!E698),Volcanic!E698,"")</f>
        <v>9.3900000000000008E-3</v>
      </c>
      <c r="H698" s="18">
        <f>IF(ISNUMBER(Volcanic!D698),Volcanic!D698,"")</f>
        <v>2.59</v>
      </c>
      <c r="I698" s="18">
        <f t="shared" si="100"/>
        <v>0.53270879759518996</v>
      </c>
      <c r="J698" s="18">
        <f t="shared" si="101"/>
        <v>9.3900000000000008E-3</v>
      </c>
      <c r="K698" s="18">
        <f t="shared" si="102"/>
        <v>2.37</v>
      </c>
      <c r="L698" s="18">
        <f t="shared" si="103"/>
        <v>0.53270879759518996</v>
      </c>
      <c r="M698" s="18">
        <f t="shared" si="104"/>
        <v>9.3900000000000008E-3</v>
      </c>
      <c r="N698" s="18">
        <f t="shared" si="105"/>
        <v>2.556785542949263</v>
      </c>
      <c r="AK698" s="18">
        <f>IF(AND(ISNUMBER(C698),ISNUMBER(ENSO!F698)),C698-ENSO!F698,"")</f>
        <v>-0.40999999999999992</v>
      </c>
      <c r="AL698" s="18">
        <f t="shared" si="107"/>
        <v>2016.2083333333333</v>
      </c>
      <c r="AM698" s="18">
        <f t="shared" si="108"/>
        <v>1.3499999999999979</v>
      </c>
    </row>
    <row r="699" spans="1:39">
      <c r="A699" s="18" t="str">
        <f>IF(Volcanic!A699="","",Volcanic!A699)</f>
        <v>4/2016</v>
      </c>
      <c r="B699" s="18">
        <f>IF(ISNUMBER(Volcanic!L699),Volcanic!L699,"")</f>
        <v>2016.2916666666667</v>
      </c>
      <c r="C699" s="21">
        <v>0.54</v>
      </c>
      <c r="D699" s="18">
        <f t="shared" si="106"/>
        <v>2.2200000000000002</v>
      </c>
      <c r="E699" s="18">
        <f>IF(ISNUMBER(Volcanic!B699),Volcanic!B699,"")</f>
        <v>1.0899999999999999</v>
      </c>
      <c r="F699" s="18">
        <f>IF(ISNUMBER(Volcanic!C699),Volcanic!C699,"")</f>
        <v>0.54172722433348508</v>
      </c>
      <c r="G699" s="18">
        <f>IF(ISNUMBER(Volcanic!E699),Volcanic!E699,"")</f>
        <v>9.4800000000000006E-3</v>
      </c>
      <c r="H699" s="18">
        <f>IF(ISNUMBER(Volcanic!D699),Volcanic!D699,"")</f>
        <v>2.5</v>
      </c>
      <c r="I699" s="18">
        <f t="shared" si="100"/>
        <v>0.54172722433348508</v>
      </c>
      <c r="J699" s="18">
        <f t="shared" si="101"/>
        <v>9.4800000000000006E-3</v>
      </c>
      <c r="K699" s="18">
        <f t="shared" si="102"/>
        <v>2.2200000000000002</v>
      </c>
      <c r="L699" s="18">
        <f t="shared" si="103"/>
        <v>0.54172722433348508</v>
      </c>
      <c r="M699" s="18">
        <f t="shared" si="104"/>
        <v>9.4800000000000006E-3</v>
      </c>
      <c r="N699" s="18">
        <f t="shared" si="105"/>
        <v>2.4074755624398647</v>
      </c>
      <c r="AK699" s="18">
        <f>IF(AND(ISNUMBER(C699),ISNUMBER(ENSO!F699)),C699-ENSO!F699,"")</f>
        <v>-0.57000000000000006</v>
      </c>
      <c r="AL699" s="18">
        <f t="shared" si="107"/>
        <v>2016.2916666666667</v>
      </c>
      <c r="AM699" s="18">
        <f t="shared" si="108"/>
        <v>1.0899999999999999</v>
      </c>
    </row>
    <row r="700" spans="1:39">
      <c r="A700" s="18" t="str">
        <f>IF(Volcanic!A700="","",Volcanic!A700)</f>
        <v>5/2016</v>
      </c>
      <c r="B700" s="18">
        <f>IF(ISNUMBER(Volcanic!L700),Volcanic!L700,"")</f>
        <v>2016.375</v>
      </c>
      <c r="C700" s="21">
        <v>-0.06</v>
      </c>
      <c r="D700" s="18">
        <f t="shared" si="106"/>
        <v>1.84</v>
      </c>
      <c r="E700" s="18">
        <f>IF(ISNUMBER(Volcanic!B700),Volcanic!B700,"")</f>
        <v>0.95999999999999908</v>
      </c>
      <c r="F700" s="18">
        <f>IF(ISNUMBER(Volcanic!C700),Volcanic!C700,"")</f>
        <v>0.5427886799601942</v>
      </c>
      <c r="G700" s="18">
        <f>IF(ISNUMBER(Volcanic!E700),Volcanic!E700,"")</f>
        <v>9.6299999999999997E-3</v>
      </c>
      <c r="H700" s="18">
        <f>IF(ISNUMBER(Volcanic!D700),Volcanic!D700,"")</f>
        <v>2.21</v>
      </c>
      <c r="I700" s="18">
        <f t="shared" si="100"/>
        <v>0.5427886799601942</v>
      </c>
      <c r="J700" s="18">
        <f t="shared" si="101"/>
        <v>9.6299999999999997E-3</v>
      </c>
      <c r="K700" s="18">
        <f t="shared" si="102"/>
        <v>1.84</v>
      </c>
      <c r="L700" s="18">
        <f t="shared" si="103"/>
        <v>0.5427886799601942</v>
      </c>
      <c r="M700" s="18">
        <f t="shared" si="104"/>
        <v>9.6299999999999997E-3</v>
      </c>
      <c r="N700" s="18">
        <f t="shared" si="105"/>
        <v>2.0281655819304625</v>
      </c>
      <c r="AK700" s="18">
        <f>IF(AND(ISNUMBER(C700),ISNUMBER(ENSO!F700)),C700-ENSO!F700,"")</f>
        <v>-0.62999999999999989</v>
      </c>
      <c r="AL700" s="18">
        <f t="shared" si="107"/>
        <v>2016.375</v>
      </c>
      <c r="AM700" s="18">
        <f t="shared" si="108"/>
        <v>0.95999999999999908</v>
      </c>
    </row>
    <row r="701" spans="1:39">
      <c r="A701" s="18" t="str">
        <f>IF(Volcanic!A701="","",Volcanic!A701)</f>
        <v>6/2016</v>
      </c>
      <c r="B701" s="18">
        <f>IF(ISNUMBER(Volcanic!L701),Volcanic!L701,"")</f>
        <v>2016.4583333333333</v>
      </c>
      <c r="C701" s="21">
        <v>-0.56000000000000005</v>
      </c>
      <c r="D701" s="18">
        <f t="shared" si="106"/>
        <v>1.28</v>
      </c>
      <c r="E701" s="18">
        <f>IF(ISNUMBER(Volcanic!B701),Volcanic!B701,"")</f>
        <v>0.81000000000000227</v>
      </c>
      <c r="F701" s="18">
        <f>IF(ISNUMBER(Volcanic!C701),Volcanic!C701,"")</f>
        <v>0.53956651983320436</v>
      </c>
      <c r="G701" s="18">
        <f>IF(ISNUMBER(Volcanic!E701),Volcanic!E701,"")</f>
        <v>1.0120000000000001E-2</v>
      </c>
      <c r="H701" s="18">
        <f>IF(ISNUMBER(Volcanic!D701),Volcanic!D701,"")</f>
        <v>1.69</v>
      </c>
      <c r="I701" s="18">
        <f t="shared" si="100"/>
        <v>0.53956651983320436</v>
      </c>
      <c r="J701" s="18">
        <f t="shared" si="101"/>
        <v>1.0120000000000001E-2</v>
      </c>
      <c r="K701" s="18">
        <f t="shared" si="102"/>
        <v>1.28</v>
      </c>
      <c r="L701" s="18">
        <f t="shared" si="103"/>
        <v>0.53956651983320436</v>
      </c>
      <c r="M701" s="18">
        <f t="shared" si="104"/>
        <v>1.0120000000000001E-2</v>
      </c>
      <c r="N701" s="18">
        <f t="shared" si="105"/>
        <v>1.4688556014210608</v>
      </c>
      <c r="AK701" s="18">
        <f>IF(AND(ISNUMBER(C701),ISNUMBER(ENSO!F701)),C701-ENSO!F701,"")</f>
        <v>-0.65</v>
      </c>
      <c r="AL701" s="18">
        <f t="shared" si="107"/>
        <v>2016.4583333333333</v>
      </c>
      <c r="AM701" s="18">
        <f t="shared" si="108"/>
        <v>0.81000000000000227</v>
      </c>
    </row>
    <row r="702" spans="1:39">
      <c r="A702" s="18" t="str">
        <f>IF(Volcanic!A702="","",Volcanic!A702)</f>
        <v>7/2016</v>
      </c>
      <c r="B702" s="18">
        <f>IF(ISNUMBER(Volcanic!L702),Volcanic!L702,"")</f>
        <v>2016.5416666666667</v>
      </c>
      <c r="C702" s="21">
        <v>-0.86</v>
      </c>
      <c r="D702" s="18">
        <f t="shared" si="106"/>
        <v>0.54</v>
      </c>
      <c r="E702" s="18">
        <f>IF(ISNUMBER(Volcanic!B702),Volcanic!B702,"")</f>
        <v>0.83999999999999986</v>
      </c>
      <c r="F702" s="18">
        <f>IF(ISNUMBER(Volcanic!C702),Volcanic!C702,"")</f>
        <v>0.53103383496841972</v>
      </c>
      <c r="G702" s="18">
        <f>IF(ISNUMBER(Volcanic!E702),Volcanic!E702,"")</f>
        <v>1.0109999999999999E-2</v>
      </c>
      <c r="H702" s="18">
        <f>IF(ISNUMBER(Volcanic!D702),Volcanic!D702,"")</f>
        <v>1.1100000000000001</v>
      </c>
      <c r="I702" s="18">
        <f t="shared" si="100"/>
        <v>0.53103383496841972</v>
      </c>
      <c r="J702" s="18">
        <f t="shared" si="101"/>
        <v>1.0109999999999999E-2</v>
      </c>
      <c r="K702" s="18">
        <f t="shared" si="102"/>
        <v>0.54</v>
      </c>
      <c r="L702" s="18">
        <f t="shared" si="103"/>
        <v>0.53103383496841972</v>
      </c>
      <c r="M702" s="18">
        <f t="shared" si="104"/>
        <v>1.0109999999999999E-2</v>
      </c>
      <c r="N702" s="18">
        <f t="shared" si="105"/>
        <v>0.72954562091166242</v>
      </c>
      <c r="AK702" s="18">
        <f>IF(AND(ISNUMBER(C702),ISNUMBER(ENSO!F702)),C702-ENSO!F702,"")</f>
        <v>-0.66999999999999993</v>
      </c>
      <c r="AL702" s="18">
        <f t="shared" si="107"/>
        <v>2016.5416666666667</v>
      </c>
      <c r="AM702" s="18">
        <f t="shared" si="108"/>
        <v>0.83999999999999986</v>
      </c>
    </row>
    <row r="703" spans="1:39">
      <c r="A703" s="18" t="str">
        <f>IF(Volcanic!A703="","",Volcanic!A703)</f>
        <v>8/2016</v>
      </c>
      <c r="B703" s="18">
        <f>IF(ISNUMBER(Volcanic!L703),Volcanic!L703,"")</f>
        <v>2016.625</v>
      </c>
      <c r="C703" s="21">
        <v>-1</v>
      </c>
      <c r="D703" s="18">
        <f t="shared" si="106"/>
        <v>-0.06</v>
      </c>
      <c r="E703" s="18">
        <f>IF(ISNUMBER(Volcanic!B703),Volcanic!B703,"")</f>
        <v>1.0099999999999998</v>
      </c>
      <c r="F703" s="18">
        <f>IF(ISNUMBER(Volcanic!C703),Volcanic!C703,"")</f>
        <v>0.52338272814934861</v>
      </c>
      <c r="G703" s="18">
        <f>IF(ISNUMBER(Volcanic!E703),Volcanic!E703,"")</f>
        <v>9.4299999999999991E-3</v>
      </c>
      <c r="H703" s="18">
        <f>IF(ISNUMBER(Volcanic!D703),Volcanic!D703,"")</f>
        <v>0.56999999999999995</v>
      </c>
      <c r="I703" s="18">
        <f t="shared" si="100"/>
        <v>0.52338272814934861</v>
      </c>
      <c r="J703" s="18">
        <f t="shared" si="101"/>
        <v>9.4299999999999991E-3</v>
      </c>
      <c r="K703" s="18">
        <f t="shared" si="102"/>
        <v>-0.06</v>
      </c>
      <c r="L703" s="18">
        <f t="shared" si="103"/>
        <v>0.52338272814934861</v>
      </c>
      <c r="M703" s="18">
        <f t="shared" si="104"/>
        <v>9.4299999999999991E-3</v>
      </c>
      <c r="N703" s="18">
        <f t="shared" si="105"/>
        <v>0.13023564040226049</v>
      </c>
      <c r="AK703" s="18">
        <f>IF(AND(ISNUMBER(C703),ISNUMBER(ENSO!F703)),C703-ENSO!F703,"")</f>
        <v>-0.65999999999999992</v>
      </c>
      <c r="AL703" s="18">
        <f t="shared" si="107"/>
        <v>2016.625</v>
      </c>
      <c r="AM703" s="18">
        <f t="shared" si="108"/>
        <v>1.0099999999999998</v>
      </c>
    </row>
    <row r="704" spans="1:39">
      <c r="A704" s="18" t="str">
        <f>IF(Volcanic!A704="","",Volcanic!A704)</f>
        <v>9/2016</v>
      </c>
      <c r="B704" s="18">
        <f>IF(ISNUMBER(Volcanic!L704),Volcanic!L704,"")</f>
        <v>2016.7083333333333</v>
      </c>
      <c r="C704" s="21">
        <v>-1.07</v>
      </c>
      <c r="D704" s="18">
        <f t="shared" si="106"/>
        <v>-0.56000000000000005</v>
      </c>
      <c r="E704" s="18">
        <f>IF(ISNUMBER(Volcanic!B704),Volcanic!B704,"")</f>
        <v>0.89999999999999858</v>
      </c>
      <c r="F704" s="18">
        <f>IF(ISNUMBER(Volcanic!C704),Volcanic!C704,"")</f>
        <v>0.51900265323929839</v>
      </c>
      <c r="G704" s="18">
        <f>IF(ISNUMBER(Volcanic!E704),Volcanic!E704,"")</f>
        <v>8.5800000000000008E-3</v>
      </c>
      <c r="H704" s="18">
        <f>IF(ISNUMBER(Volcanic!D704),Volcanic!D704,"")</f>
        <v>0.09</v>
      </c>
      <c r="I704" s="18">
        <f t="shared" si="100"/>
        <v>0.51900265323929839</v>
      </c>
      <c r="J704" s="18">
        <f t="shared" si="101"/>
        <v>8.5800000000000008E-3</v>
      </c>
      <c r="K704" s="18">
        <f t="shared" si="102"/>
        <v>-0.56000000000000005</v>
      </c>
      <c r="L704" s="18">
        <f t="shared" si="103"/>
        <v>0.51900265323929839</v>
      </c>
      <c r="M704" s="18">
        <f t="shared" si="104"/>
        <v>8.5800000000000008E-3</v>
      </c>
      <c r="N704" s="18">
        <f t="shared" si="105"/>
        <v>-0.36907434010714146</v>
      </c>
      <c r="AK704" s="18">
        <f>IF(AND(ISNUMBER(C704),ISNUMBER(ENSO!F704)),C704-ENSO!F704,"")</f>
        <v>-0.65000000000000013</v>
      </c>
      <c r="AL704" s="18">
        <f t="shared" si="107"/>
        <v>2016.7083333333333</v>
      </c>
      <c r="AM704" s="18">
        <f t="shared" si="108"/>
        <v>0.89999999999999858</v>
      </c>
    </row>
    <row r="705" spans="1:39">
      <c r="A705" s="18" t="str">
        <f>IF(Volcanic!A705="","",Volcanic!A705)</f>
        <v>10/2016</v>
      </c>
      <c r="B705" s="18">
        <f>IF(ISNUMBER(Volcanic!L705),Volcanic!L705,"")</f>
        <v>2016.7916666666667</v>
      </c>
      <c r="C705" s="21">
        <v>-1.1100000000000001</v>
      </c>
      <c r="D705" s="18">
        <f t="shared" si="106"/>
        <v>-0.86</v>
      </c>
      <c r="E705" s="18">
        <f>IF(ISNUMBER(Volcanic!B705),Volcanic!B705,"")</f>
        <v>0.86999999999999744</v>
      </c>
      <c r="F705" s="18">
        <f>IF(ISNUMBER(Volcanic!C705),Volcanic!C705,"")</f>
        <v>0.52101483065422127</v>
      </c>
      <c r="G705" s="18">
        <f>IF(ISNUMBER(Volcanic!E705),Volcanic!E705,"")</f>
        <v>7.79E-3</v>
      </c>
      <c r="H705" s="18">
        <f>IF(ISNUMBER(Volcanic!D705),Volcanic!D705,"")</f>
        <v>-0.19</v>
      </c>
      <c r="I705" s="18">
        <f t="shared" si="100"/>
        <v>0.52101483065422127</v>
      </c>
      <c r="J705" s="18">
        <f t="shared" si="101"/>
        <v>7.79E-3</v>
      </c>
      <c r="K705" s="18">
        <f t="shared" si="102"/>
        <v>-0.86</v>
      </c>
      <c r="L705" s="18">
        <f t="shared" si="103"/>
        <v>0.52101483065422127</v>
      </c>
      <c r="M705" s="18">
        <f t="shared" si="104"/>
        <v>7.79E-3</v>
      </c>
      <c r="N705" s="18">
        <f t="shared" si="105"/>
        <v>-0.66838432061654329</v>
      </c>
      <c r="AK705" s="18">
        <f>IF(AND(ISNUMBER(C705),ISNUMBER(ENSO!F705)),C705-ENSO!F705,"")</f>
        <v>-0.60000000000000009</v>
      </c>
      <c r="AL705" s="18">
        <f t="shared" si="107"/>
        <v>2016.7916666666667</v>
      </c>
      <c r="AM705" s="18">
        <f t="shared" si="108"/>
        <v>0.86999999999999744</v>
      </c>
    </row>
    <row r="706" spans="1:39">
      <c r="A706" s="18" t="str">
        <f>IF(Volcanic!A706="","",Volcanic!A706)</f>
        <v>11/2016</v>
      </c>
      <c r="B706" s="18">
        <f>IF(ISNUMBER(Volcanic!L706),Volcanic!L706,"")</f>
        <v>2016.875</v>
      </c>
      <c r="C706" s="21">
        <v>-1.08</v>
      </c>
      <c r="D706" s="18">
        <f t="shared" si="106"/>
        <v>-1</v>
      </c>
      <c r="E706" s="18">
        <f>IF(ISNUMBER(Volcanic!B706),Volcanic!B706,"")</f>
        <v>0.91000000000000014</v>
      </c>
      <c r="F706" s="18">
        <f>IF(ISNUMBER(Volcanic!C706),Volcanic!C706,"")</f>
        <v>0.52792823149882584</v>
      </c>
      <c r="G706" s="18">
        <f>IF(ISNUMBER(Volcanic!E706),Volcanic!E706,"")</f>
        <v>7.1000000000000004E-3</v>
      </c>
      <c r="H706" s="18">
        <f>IF(ISNUMBER(Volcanic!D706),Volcanic!D706,"")</f>
        <v>-0.34</v>
      </c>
      <c r="I706" s="18">
        <f t="shared" ref="I706:I769" si="109">F706</f>
        <v>0.52792823149882584</v>
      </c>
      <c r="J706" s="18">
        <f t="shared" ref="J706:J769" si="110">G706</f>
        <v>7.1000000000000004E-3</v>
      </c>
      <c r="K706" s="18">
        <f t="shared" ref="K706:K769" si="111">IF(ISNUMBER(D706),D706,"")</f>
        <v>-1</v>
      </c>
      <c r="L706" s="18">
        <f t="shared" ref="L706:L769" si="112">F706</f>
        <v>0.52792823149882584</v>
      </c>
      <c r="M706" s="18">
        <f t="shared" ref="M706:M769" si="113">G706</f>
        <v>7.1000000000000004E-3</v>
      </c>
      <c r="N706" s="18">
        <f t="shared" ref="N706:N769" si="114">IF(ISNUMBER(D706),D706-($AB$8*B706+$AB$9),"")</f>
        <v>-0.8076943011259452</v>
      </c>
      <c r="AK706" s="18">
        <f>IF(AND(ISNUMBER(C706),ISNUMBER(ENSO!F706)),C706-ENSO!F706,"")</f>
        <v>-0.59000000000000008</v>
      </c>
      <c r="AL706" s="18">
        <f t="shared" si="107"/>
        <v>2016.875</v>
      </c>
      <c r="AM706" s="18">
        <f t="shared" si="108"/>
        <v>0.91000000000000014</v>
      </c>
    </row>
    <row r="707" spans="1:39">
      <c r="A707" s="18" t="str">
        <f>IF(Volcanic!A707="","",Volcanic!A707)</f>
        <v>12/2016</v>
      </c>
      <c r="B707" s="18">
        <f>IF(ISNUMBER(Volcanic!L707),Volcanic!L707,"")</f>
        <v>2016.9583333333333</v>
      </c>
      <c r="C707" s="21">
        <v>-0.99</v>
      </c>
      <c r="D707" s="18">
        <f t="shared" si="106"/>
        <v>-1.07</v>
      </c>
      <c r="E707" s="18">
        <f>IF(ISNUMBER(Volcanic!B707),Volcanic!B707,"")</f>
        <v>0.86000000000000121</v>
      </c>
      <c r="F707" s="18">
        <f>IF(ISNUMBER(Volcanic!C707),Volcanic!C707,"")</f>
        <v>0.53121211494354725</v>
      </c>
      <c r="G707" s="18">
        <f>IF(ISNUMBER(Volcanic!E707),Volcanic!E707,"")</f>
        <v>6.8199999999999997E-3</v>
      </c>
      <c r="H707" s="18">
        <f>IF(ISNUMBER(Volcanic!D707),Volcanic!D707,"")</f>
        <v>-0.42</v>
      </c>
      <c r="I707" s="18">
        <f t="shared" si="109"/>
        <v>0.53121211494354725</v>
      </c>
      <c r="J707" s="18">
        <f t="shared" si="110"/>
        <v>6.8199999999999997E-3</v>
      </c>
      <c r="K707" s="18">
        <f t="shared" si="111"/>
        <v>-1.07</v>
      </c>
      <c r="L707" s="18">
        <f t="shared" si="112"/>
        <v>0.53121211494354725</v>
      </c>
      <c r="M707" s="18">
        <f t="shared" si="113"/>
        <v>6.8199999999999997E-3</v>
      </c>
      <c r="N707" s="18">
        <f t="shared" si="114"/>
        <v>-0.87700428163534361</v>
      </c>
      <c r="AK707" s="18">
        <f>IF(AND(ISNUMBER(C707),ISNUMBER(ENSO!F707)),C707-ENSO!F707,"")</f>
        <v>-0.62</v>
      </c>
      <c r="AL707" s="18">
        <f t="shared" si="107"/>
        <v>2016.9583333333333</v>
      </c>
      <c r="AM707" s="18">
        <f t="shared" si="108"/>
        <v>0.86000000000000121</v>
      </c>
    </row>
    <row r="708" spans="1:39">
      <c r="A708" s="18" t="str">
        <f>IF(Volcanic!A708="","",Volcanic!A708)</f>
        <v>1/2017</v>
      </c>
      <c r="B708" s="18">
        <f>IF(ISNUMBER(Volcanic!L708),Volcanic!L708,"")</f>
        <v>2017.0416666666667</v>
      </c>
      <c r="C708" s="21">
        <v>-0.74</v>
      </c>
      <c r="D708" s="18">
        <f t="shared" si="106"/>
        <v>-1.1100000000000001</v>
      </c>
      <c r="E708" s="18">
        <f>IF(ISNUMBER(Volcanic!B708),Volcanic!B708,"")</f>
        <v>1.0200000000000014</v>
      </c>
      <c r="F708" s="18">
        <f>IF(ISNUMBER(Volcanic!C708),Volcanic!C708,"")</f>
        <v>0.5373315704079159</v>
      </c>
      <c r="G708" s="18">
        <f>IF(ISNUMBER(Volcanic!E708),Volcanic!E708,"")</f>
        <v>6.2100000000000002E-3</v>
      </c>
      <c r="H708" s="18">
        <f>IF(ISNUMBER(Volcanic!D708),Volcanic!D708,"")</f>
        <v>-0.51</v>
      </c>
      <c r="I708" s="18">
        <f t="shared" si="109"/>
        <v>0.5373315704079159</v>
      </c>
      <c r="J708" s="18">
        <f t="shared" si="110"/>
        <v>6.2100000000000002E-3</v>
      </c>
      <c r="K708" s="18">
        <f t="shared" si="111"/>
        <v>-1.1100000000000001</v>
      </c>
      <c r="L708" s="18">
        <f t="shared" si="112"/>
        <v>0.5373315704079159</v>
      </c>
      <c r="M708" s="18">
        <f t="shared" si="113"/>
        <v>6.2100000000000002E-3</v>
      </c>
      <c r="N708" s="18">
        <f t="shared" si="114"/>
        <v>-0.91631426214474554</v>
      </c>
      <c r="AK708" s="18">
        <f>IF(AND(ISNUMBER(C708),ISNUMBER(ENSO!F708)),C708-ENSO!F708,"")</f>
        <v>-0.66</v>
      </c>
      <c r="AL708" s="18">
        <f t="shared" si="107"/>
        <v>2017.0416666666667</v>
      </c>
      <c r="AM708" s="18">
        <f t="shared" si="108"/>
        <v>1.0200000000000014</v>
      </c>
    </row>
    <row r="709" spans="1:39">
      <c r="A709" s="18" t="str">
        <f>IF(Volcanic!A709="","",Volcanic!A709)</f>
        <v>2/2017</v>
      </c>
      <c r="B709" s="18">
        <f>IF(ISNUMBER(Volcanic!L709),Volcanic!L709,"")</f>
        <v>2017.125</v>
      </c>
      <c r="C709" s="21">
        <v>-0.54</v>
      </c>
      <c r="D709" s="18">
        <f t="shared" ref="D709:D772" si="115">IF(C706="","",C706)</f>
        <v>-1.08</v>
      </c>
      <c r="E709" s="18">
        <f>IF(ISNUMBER(Volcanic!B709),Volcanic!B709,"")</f>
        <v>1.1299999999999955</v>
      </c>
      <c r="F709" s="18">
        <f>IF(ISNUMBER(Volcanic!C709),Volcanic!C709,"")</f>
        <v>0.53839626385189021</v>
      </c>
      <c r="G709" s="18">
        <f>IF(ISNUMBER(Volcanic!E709),Volcanic!E709,"")</f>
        <v>5.9300000000000004E-3</v>
      </c>
      <c r="H709" s="18">
        <f>IF(ISNUMBER(Volcanic!D709),Volcanic!D709,"")</f>
        <v>-0.49</v>
      </c>
      <c r="I709" s="18">
        <f t="shared" si="109"/>
        <v>0.53839626385189021</v>
      </c>
      <c r="J709" s="18">
        <f t="shared" si="110"/>
        <v>5.9300000000000004E-3</v>
      </c>
      <c r="K709" s="18">
        <f t="shared" si="111"/>
        <v>-1.08</v>
      </c>
      <c r="L709" s="18">
        <f t="shared" si="112"/>
        <v>0.53839626385189021</v>
      </c>
      <c r="M709" s="18">
        <f t="shared" si="113"/>
        <v>5.9300000000000004E-3</v>
      </c>
      <c r="N709" s="18">
        <f t="shared" si="114"/>
        <v>-0.88562424265414741</v>
      </c>
      <c r="AK709" s="18">
        <f>IF(AND(ISNUMBER(C709),ISNUMBER(ENSO!F709)),C709-ENSO!F709,"")</f>
        <v>-0.62</v>
      </c>
      <c r="AL709" s="18">
        <f t="shared" si="107"/>
        <v>2017.125</v>
      </c>
      <c r="AM709" s="18">
        <f t="shared" si="108"/>
        <v>1.1299999999999955</v>
      </c>
    </row>
    <row r="710" spans="1:39">
      <c r="A710" s="18" t="str">
        <f>IF(Volcanic!A710="","",Volcanic!A710)</f>
        <v>3/2017</v>
      </c>
      <c r="B710" s="18">
        <f>IF(ISNUMBER(Volcanic!L710),Volcanic!L710,"")</f>
        <v>2017.2083333333333</v>
      </c>
      <c r="C710" s="21">
        <v>-0.27</v>
      </c>
      <c r="D710" s="18">
        <f t="shared" si="115"/>
        <v>-0.99</v>
      </c>
      <c r="E710" s="18">
        <f>IF(ISNUMBER(Volcanic!B710),Volcanic!B710,"")</f>
        <v>1.1600000000000001</v>
      </c>
      <c r="F710" s="18">
        <f>IF(ISNUMBER(Volcanic!C710),Volcanic!C710,"")</f>
        <v>0.54151483946067869</v>
      </c>
      <c r="G710" s="18">
        <f>IF(ISNUMBER(Volcanic!E710),Volcanic!E710,"")</f>
        <v>5.77E-3</v>
      </c>
      <c r="H710" s="18">
        <f>IF(ISNUMBER(Volcanic!D710),Volcanic!D710,"")</f>
        <v>-0.37</v>
      </c>
      <c r="I710" s="18">
        <f t="shared" si="109"/>
        <v>0.54151483946067869</v>
      </c>
      <c r="J710" s="18">
        <f t="shared" si="110"/>
        <v>5.77E-3</v>
      </c>
      <c r="K710" s="18">
        <f t="shared" si="111"/>
        <v>-0.99</v>
      </c>
      <c r="L710" s="18">
        <f t="shared" si="112"/>
        <v>0.54151483946067869</v>
      </c>
      <c r="M710" s="18">
        <f t="shared" si="113"/>
        <v>5.77E-3</v>
      </c>
      <c r="N710" s="18">
        <f t="shared" si="114"/>
        <v>-0.79493422316354923</v>
      </c>
      <c r="AK710" s="18">
        <f>IF(AND(ISNUMBER(C710),ISNUMBER(ENSO!F710)),C710-ENSO!F710,"")</f>
        <v>-0.54</v>
      </c>
      <c r="AL710" s="18">
        <f t="shared" si="107"/>
        <v>2017.2083333333333</v>
      </c>
      <c r="AM710" s="18">
        <f t="shared" si="108"/>
        <v>1.1600000000000001</v>
      </c>
    </row>
    <row r="711" spans="1:39">
      <c r="A711" s="18" t="str">
        <f>IF(Volcanic!A711="","",Volcanic!A711)</f>
        <v>4/2017</v>
      </c>
      <c r="B711" s="18">
        <f>IF(ISNUMBER(Volcanic!L711),Volcanic!L711,"")</f>
        <v>2017.2916666666667</v>
      </c>
      <c r="C711" s="21">
        <v>-0.09</v>
      </c>
      <c r="D711" s="18">
        <f t="shared" si="115"/>
        <v>-0.74</v>
      </c>
      <c r="E711" s="18">
        <f>IF(ISNUMBER(Volcanic!B711),Volcanic!B711,"")</f>
        <v>0.93999999999999773</v>
      </c>
      <c r="F711" s="18">
        <f>IF(ISNUMBER(Volcanic!C711),Volcanic!C711,"")</f>
        <v>0.54744982914396567</v>
      </c>
      <c r="G711" s="18">
        <f>IF(ISNUMBER(Volcanic!E711),Volcanic!E711,"")</f>
        <v>5.7099999999999998E-3</v>
      </c>
      <c r="H711" s="18">
        <f>IF(ISNUMBER(Volcanic!D711),Volcanic!D711,"")</f>
        <v>-0.08</v>
      </c>
      <c r="I711" s="18">
        <f t="shared" si="109"/>
        <v>0.54744982914396567</v>
      </c>
      <c r="J711" s="18">
        <f t="shared" si="110"/>
        <v>5.7099999999999998E-3</v>
      </c>
      <c r="K711" s="18">
        <f t="shared" si="111"/>
        <v>-0.74</v>
      </c>
      <c r="L711" s="18">
        <f t="shared" si="112"/>
        <v>0.54744982914396567</v>
      </c>
      <c r="M711" s="18">
        <f t="shared" si="113"/>
        <v>5.7099999999999998E-3</v>
      </c>
      <c r="N711" s="18">
        <f t="shared" si="114"/>
        <v>-0.54424420367294757</v>
      </c>
      <c r="AK711" s="18">
        <f>IF(AND(ISNUMBER(C711),ISNUMBER(ENSO!F711)),C711-ENSO!F711,"")</f>
        <v>-0.41000000000000003</v>
      </c>
      <c r="AL711" s="18">
        <f t="shared" si="107"/>
        <v>2017.2916666666667</v>
      </c>
      <c r="AM711" s="18">
        <f t="shared" si="108"/>
        <v>0.93999999999999773</v>
      </c>
    </row>
    <row r="712" spans="1:39">
      <c r="A712" s="18" t="str">
        <f>IF(Volcanic!A712="","",Volcanic!A712)</f>
        <v>5/2017</v>
      </c>
      <c r="B712" s="18">
        <f>IF(ISNUMBER(Volcanic!L712),Volcanic!L712,"")</f>
        <v>2017.375</v>
      </c>
      <c r="C712" s="21">
        <v>0.05</v>
      </c>
      <c r="D712" s="18">
        <f t="shared" si="115"/>
        <v>-0.54</v>
      </c>
      <c r="E712" s="18">
        <f>IF(ISNUMBER(Volcanic!B712),Volcanic!B712,"")</f>
        <v>0.91000000000000014</v>
      </c>
      <c r="F712" s="18">
        <f>IF(ISNUMBER(Volcanic!C712),Volcanic!C712,"")</f>
        <v>0.54980996610473554</v>
      </c>
      <c r="G712" s="18">
        <f>IF(ISNUMBER(Volcanic!E712),Volcanic!E712,"")</f>
        <v>5.8199999999999997E-3</v>
      </c>
      <c r="H712" s="18">
        <f>IF(ISNUMBER(Volcanic!D712),Volcanic!D712,"")</f>
        <v>0.08</v>
      </c>
      <c r="I712" s="18">
        <f t="shared" si="109"/>
        <v>0.54980996610473554</v>
      </c>
      <c r="J712" s="18">
        <f t="shared" si="110"/>
        <v>5.8199999999999997E-3</v>
      </c>
      <c r="K712" s="18">
        <f t="shared" si="111"/>
        <v>-0.54</v>
      </c>
      <c r="L712" s="18">
        <f t="shared" si="112"/>
        <v>0.54980996610473554</v>
      </c>
      <c r="M712" s="18">
        <f t="shared" si="113"/>
        <v>5.8199999999999997E-3</v>
      </c>
      <c r="N712" s="18">
        <f t="shared" si="114"/>
        <v>-0.34355418418234951</v>
      </c>
      <c r="AK712" s="18">
        <f>IF(AND(ISNUMBER(C712),ISNUMBER(ENSO!F712)),C712-ENSO!F712,"")</f>
        <v>-0.3</v>
      </c>
      <c r="AL712" s="18">
        <f t="shared" si="107"/>
        <v>2017.375</v>
      </c>
      <c r="AM712" s="18">
        <f t="shared" si="108"/>
        <v>0.91000000000000014</v>
      </c>
    </row>
    <row r="713" spans="1:39">
      <c r="A713" s="18" t="str">
        <f>IF(Volcanic!A713="","",Volcanic!A713)</f>
        <v>6/2017</v>
      </c>
      <c r="B713" s="18">
        <f>IF(ISNUMBER(Volcanic!L713),Volcanic!L713,"")</f>
        <v>2017.4583333333333</v>
      </c>
      <c r="C713" s="21">
        <v>0.05</v>
      </c>
      <c r="D713" s="18">
        <f t="shared" si="115"/>
        <v>-0.27</v>
      </c>
      <c r="E713" s="18">
        <f>IF(ISNUMBER(Volcanic!B713),Volcanic!B713,"")</f>
        <v>0.71000000000000085</v>
      </c>
      <c r="F713" s="18">
        <f>IF(ISNUMBER(Volcanic!C713),Volcanic!C713,"")</f>
        <v>0.54695617814141118</v>
      </c>
      <c r="G713" s="18">
        <f>IF(ISNUMBER(Volcanic!E713),Volcanic!E713,"")</f>
        <v>5.7299999999999999E-3</v>
      </c>
      <c r="H713" s="18">
        <f>IF(ISNUMBER(Volcanic!D713),Volcanic!D713,"")</f>
        <v>0.27</v>
      </c>
      <c r="I713" s="18">
        <f t="shared" si="109"/>
        <v>0.54695617814141118</v>
      </c>
      <c r="J713" s="18">
        <f t="shared" si="110"/>
        <v>5.7299999999999999E-3</v>
      </c>
      <c r="K713" s="18">
        <f t="shared" si="111"/>
        <v>-0.27</v>
      </c>
      <c r="L713" s="18">
        <f t="shared" si="112"/>
        <v>0.54695617814141118</v>
      </c>
      <c r="M713" s="18">
        <f t="shared" si="113"/>
        <v>5.7299999999999999E-3</v>
      </c>
      <c r="N713" s="18">
        <f t="shared" si="114"/>
        <v>-7.2864164691751387E-2</v>
      </c>
      <c r="AK713" s="18">
        <f>IF(AND(ISNUMBER(C713),ISNUMBER(ENSO!F713)),C713-ENSO!F713,"")</f>
        <v>-0.27</v>
      </c>
      <c r="AL713" s="18">
        <f t="shared" ref="AL713:AL776" si="116">B713</f>
        <v>2017.4583333333333</v>
      </c>
      <c r="AM713" s="18">
        <f t="shared" ref="AM713:AM776" si="117">E713</f>
        <v>0.71000000000000085</v>
      </c>
    </row>
    <row r="714" spans="1:39">
      <c r="A714" s="18" t="str">
        <f>IF(Volcanic!A714="","",Volcanic!A714)</f>
        <v>7/2017</v>
      </c>
      <c r="B714" s="18">
        <f>IF(ISNUMBER(Volcanic!L714),Volcanic!L714,"")</f>
        <v>2017.5416666666667</v>
      </c>
      <c r="C714" s="21">
        <v>-0.17</v>
      </c>
      <c r="D714" s="18">
        <f t="shared" si="115"/>
        <v>-0.09</v>
      </c>
      <c r="E714" s="18">
        <f>IF(ISNUMBER(Volcanic!B714),Volcanic!B714,"")</f>
        <v>0.82000000000000028</v>
      </c>
      <c r="F714" s="18">
        <f>IF(ISNUMBER(Volcanic!C714),Volcanic!C714,"")</f>
        <v>0.54077124608923599</v>
      </c>
      <c r="G714" s="18">
        <f>IF(ISNUMBER(Volcanic!E714),Volcanic!E714,"")</f>
        <v>5.5799999999999999E-3</v>
      </c>
      <c r="H714" s="18">
        <f>IF(ISNUMBER(Volcanic!D714),Volcanic!D714,"")</f>
        <v>0.32</v>
      </c>
      <c r="I714" s="18">
        <f t="shared" si="109"/>
        <v>0.54077124608923599</v>
      </c>
      <c r="J714" s="18">
        <f t="shared" si="110"/>
        <v>5.5799999999999999E-3</v>
      </c>
      <c r="K714" s="18">
        <f t="shared" si="111"/>
        <v>-0.09</v>
      </c>
      <c r="L714" s="18">
        <f t="shared" si="112"/>
        <v>0.54077124608923599</v>
      </c>
      <c r="M714" s="18">
        <f t="shared" si="113"/>
        <v>5.5799999999999999E-3</v>
      </c>
      <c r="N714" s="18">
        <f t="shared" si="114"/>
        <v>0.10782585479885029</v>
      </c>
      <c r="AK714" s="18">
        <f>IF(AND(ISNUMBER(C714),ISNUMBER(ENSO!F714)),C714-ENSO!F714,"")</f>
        <v>-0.31000000000000005</v>
      </c>
      <c r="AL714" s="18">
        <f t="shared" si="116"/>
        <v>2017.5416666666667</v>
      </c>
      <c r="AM714" s="18">
        <f t="shared" si="117"/>
        <v>0.82000000000000028</v>
      </c>
    </row>
    <row r="715" spans="1:39">
      <c r="A715" s="18" t="str">
        <f>IF(Volcanic!A715="","",Volcanic!A715)</f>
        <v>8/2017</v>
      </c>
      <c r="B715" s="18">
        <f>IF(ISNUMBER(Volcanic!L715),Volcanic!L715,"")</f>
        <v>2017.625</v>
      </c>
      <c r="C715" s="21">
        <v>-0.46</v>
      </c>
      <c r="D715" s="18">
        <f t="shared" si="115"/>
        <v>0.05</v>
      </c>
      <c r="E715" s="18">
        <f>IF(ISNUMBER(Volcanic!B715),Volcanic!B715,"")</f>
        <v>0.86999999999999744</v>
      </c>
      <c r="F715" s="18">
        <f>IF(ISNUMBER(Volcanic!C715),Volcanic!C715,"")</f>
        <v>0.53363453792318827</v>
      </c>
      <c r="G715" s="18">
        <f>IF(ISNUMBER(Volcanic!E715),Volcanic!E715,"")</f>
        <v>5.3E-3</v>
      </c>
      <c r="H715" s="18">
        <f>IF(ISNUMBER(Volcanic!D715),Volcanic!D715,"")</f>
        <v>0.35</v>
      </c>
      <c r="I715" s="18">
        <f t="shared" si="109"/>
        <v>0.53363453792318827</v>
      </c>
      <c r="J715" s="18">
        <f t="shared" si="110"/>
        <v>5.3E-3</v>
      </c>
      <c r="K715" s="18">
        <f t="shared" si="111"/>
        <v>0.05</v>
      </c>
      <c r="L715" s="18">
        <f t="shared" si="112"/>
        <v>0.53363453792318827</v>
      </c>
      <c r="M715" s="18">
        <f t="shared" si="113"/>
        <v>5.3E-3</v>
      </c>
      <c r="N715" s="18">
        <f t="shared" si="114"/>
        <v>0.24851587428944838</v>
      </c>
      <c r="AK715" s="18">
        <f>IF(AND(ISNUMBER(C715),ISNUMBER(ENSO!F715)),C715-ENSO!F715,"")</f>
        <v>-0.39</v>
      </c>
      <c r="AL715" s="18">
        <f t="shared" si="116"/>
        <v>2017.625</v>
      </c>
      <c r="AM715" s="18">
        <f t="shared" si="117"/>
        <v>0.86999999999999744</v>
      </c>
    </row>
    <row r="716" spans="1:39">
      <c r="A716" s="18" t="str">
        <f>IF(Volcanic!A716="","",Volcanic!A716)</f>
        <v>9/2017</v>
      </c>
      <c r="B716" s="18">
        <f>IF(ISNUMBER(Volcanic!L716),Volcanic!L716,"")</f>
        <v>2017.7083333333333</v>
      </c>
      <c r="C716" s="21">
        <v>-0.73</v>
      </c>
      <c r="D716" s="18">
        <f t="shared" si="115"/>
        <v>0.05</v>
      </c>
      <c r="E716" s="18">
        <f>IF(ISNUMBER(Volcanic!B716),Volcanic!B716,"")</f>
        <v>0.73999999999999666</v>
      </c>
      <c r="F716" s="18">
        <f>IF(ISNUMBER(Volcanic!C716),Volcanic!C716,"")</f>
        <v>0.52739210629320266</v>
      </c>
      <c r="G716" s="18">
        <f>IF(ISNUMBER(Volcanic!E716),Volcanic!E716,"")</f>
        <v>5.1200000000000004E-3</v>
      </c>
      <c r="H716" s="18">
        <f>IF(ISNUMBER(Volcanic!D716),Volcanic!D716,"")</f>
        <v>0.32</v>
      </c>
      <c r="I716" s="18">
        <f t="shared" si="109"/>
        <v>0.52739210629320266</v>
      </c>
      <c r="J716" s="18">
        <f t="shared" si="110"/>
        <v>5.1200000000000004E-3</v>
      </c>
      <c r="K716" s="18">
        <f t="shared" si="111"/>
        <v>0.05</v>
      </c>
      <c r="L716" s="18">
        <f t="shared" si="112"/>
        <v>0.52739210629320266</v>
      </c>
      <c r="M716" s="18">
        <f t="shared" si="113"/>
        <v>5.1200000000000004E-3</v>
      </c>
      <c r="N716" s="18">
        <f t="shared" si="114"/>
        <v>0.24920589378004648</v>
      </c>
      <c r="AK716" s="18">
        <f>IF(AND(ISNUMBER(C716),ISNUMBER(ENSO!F716)),C716-ENSO!F716,"")</f>
        <v>-0.5</v>
      </c>
      <c r="AL716" s="18">
        <f t="shared" si="116"/>
        <v>2017.7083333333333</v>
      </c>
      <c r="AM716" s="18">
        <f t="shared" si="117"/>
        <v>0.73999999999999666</v>
      </c>
    </row>
    <row r="717" spans="1:39">
      <c r="A717" s="18" t="str">
        <f>IF(Volcanic!A717="","",Volcanic!A717)</f>
        <v>10/2017</v>
      </c>
      <c r="B717" s="18">
        <f>IF(ISNUMBER(Volcanic!L717),Volcanic!L717,"")</f>
        <v>2017.7916666666667</v>
      </c>
      <c r="C717" s="21">
        <v>-0.99</v>
      </c>
      <c r="D717" s="18">
        <f t="shared" si="115"/>
        <v>-0.17</v>
      </c>
      <c r="E717" s="18">
        <f>IF(ISNUMBER(Volcanic!B717),Volcanic!B717,"")</f>
        <v>0.88000000000000256</v>
      </c>
      <c r="F717" s="18">
        <f>IF(ISNUMBER(Volcanic!C717),Volcanic!C717,"")</f>
        <v>0.52828553765041275</v>
      </c>
      <c r="G717" s="18">
        <f>IF(ISNUMBER(Volcanic!E717),Volcanic!E717,"")</f>
        <v>4.9800000000000001E-3</v>
      </c>
      <c r="H717" s="18">
        <f>IF(ISNUMBER(Volcanic!D717),Volcanic!D717,"")</f>
        <v>0.14000000000000001</v>
      </c>
      <c r="I717" s="18">
        <f t="shared" si="109"/>
        <v>0.52828553765041275</v>
      </c>
      <c r="J717" s="18">
        <f t="shared" si="110"/>
        <v>4.9800000000000001E-3</v>
      </c>
      <c r="K717" s="18">
        <f t="shared" si="111"/>
        <v>-0.17</v>
      </c>
      <c r="L717" s="18">
        <f t="shared" si="112"/>
        <v>0.52828553765041275</v>
      </c>
      <c r="M717" s="18">
        <f t="shared" si="113"/>
        <v>4.9800000000000001E-3</v>
      </c>
      <c r="N717" s="18">
        <f t="shared" si="114"/>
        <v>2.9895913270648139E-2</v>
      </c>
      <c r="AK717" s="18">
        <f>IF(AND(ISNUMBER(C717),ISNUMBER(ENSO!F717)),C717-ENSO!F717,"")</f>
        <v>-0.55000000000000004</v>
      </c>
      <c r="AL717" s="18">
        <f t="shared" si="116"/>
        <v>2017.7916666666667</v>
      </c>
      <c r="AM717" s="18">
        <f t="shared" si="117"/>
        <v>0.88000000000000256</v>
      </c>
    </row>
    <row r="718" spans="1:39">
      <c r="A718" s="18" t="str">
        <f>IF(Volcanic!A718="","",Volcanic!A718)</f>
        <v>11/2017</v>
      </c>
      <c r="B718" s="18">
        <f>IF(ISNUMBER(Volcanic!L718),Volcanic!L718,"")</f>
        <v>2017.875</v>
      </c>
      <c r="C718" s="21">
        <v>-1.1499999999999999</v>
      </c>
      <c r="D718" s="18">
        <f t="shared" si="115"/>
        <v>-0.46</v>
      </c>
      <c r="E718" s="18">
        <f>IF(ISNUMBER(Volcanic!B718),Volcanic!B718,"")</f>
        <v>0.86999999999999744</v>
      </c>
      <c r="F718" s="18">
        <f>IF(ISNUMBER(Volcanic!C718),Volcanic!C718,"")</f>
        <v>0.53359894350795678</v>
      </c>
      <c r="G718" s="18">
        <f>IF(ISNUMBER(Volcanic!E718),Volcanic!E718,"")</f>
        <v>4.8700000000000002E-3</v>
      </c>
      <c r="H718" s="18">
        <f>IF(ISNUMBER(Volcanic!D718),Volcanic!D718,"")</f>
        <v>-7.0000000000000007E-2</v>
      </c>
      <c r="I718" s="18">
        <f t="shared" si="109"/>
        <v>0.53359894350795678</v>
      </c>
      <c r="J718" s="18">
        <f t="shared" si="110"/>
        <v>4.8700000000000002E-3</v>
      </c>
      <c r="K718" s="18">
        <f t="shared" si="111"/>
        <v>-0.46</v>
      </c>
      <c r="L718" s="18">
        <f t="shared" si="112"/>
        <v>0.53359894350795678</v>
      </c>
      <c r="M718" s="18">
        <f t="shared" si="113"/>
        <v>4.8700000000000002E-3</v>
      </c>
      <c r="N718" s="18">
        <f t="shared" si="114"/>
        <v>-0.25941406723875376</v>
      </c>
      <c r="AK718" s="18">
        <f>IF(AND(ISNUMBER(C718),ISNUMBER(ENSO!F718)),C718-ENSO!F718,"")</f>
        <v>-0.53999999999999992</v>
      </c>
      <c r="AL718" s="18">
        <f t="shared" si="116"/>
        <v>2017.875</v>
      </c>
      <c r="AM718" s="18">
        <f t="shared" si="117"/>
        <v>0.86999999999999744</v>
      </c>
    </row>
    <row r="719" spans="1:39">
      <c r="A719" s="18" t="str">
        <f>IF(Volcanic!A719="","",Volcanic!A719)</f>
        <v>12/2017</v>
      </c>
      <c r="B719" s="18">
        <f>IF(ISNUMBER(Volcanic!L719),Volcanic!L719,"")</f>
        <v>2017.9583333333333</v>
      </c>
      <c r="C719" s="21">
        <v>-1.26</v>
      </c>
      <c r="D719" s="18">
        <f t="shared" si="115"/>
        <v>-0.73</v>
      </c>
      <c r="E719" s="18">
        <f>IF(ISNUMBER(Volcanic!B719),Volcanic!B719,"")</f>
        <v>0.92999999999999794</v>
      </c>
      <c r="F719" s="18">
        <f>IF(ISNUMBER(Volcanic!C719),Volcanic!C719,"")</f>
        <v>0.53960196732128063</v>
      </c>
      <c r="G719" s="18">
        <f>IF(ISNUMBER(Volcanic!E719),Volcanic!E719,"")</f>
        <v>4.7499999999999999E-3</v>
      </c>
      <c r="H719" s="18">
        <f>IF(ISNUMBER(Volcanic!D719),Volcanic!D719,"")</f>
        <v>-0.23</v>
      </c>
      <c r="I719" s="18">
        <f t="shared" si="109"/>
        <v>0.53960196732128063</v>
      </c>
      <c r="J719" s="18">
        <f t="shared" si="110"/>
        <v>4.7499999999999999E-3</v>
      </c>
      <c r="K719" s="18">
        <f t="shared" si="111"/>
        <v>-0.73</v>
      </c>
      <c r="L719" s="18">
        <f t="shared" si="112"/>
        <v>0.53960196732128063</v>
      </c>
      <c r="M719" s="18">
        <f t="shared" si="113"/>
        <v>4.7499999999999999E-3</v>
      </c>
      <c r="N719" s="18">
        <f t="shared" si="114"/>
        <v>-0.52872404774815562</v>
      </c>
      <c r="AK719" s="18">
        <f>IF(AND(ISNUMBER(C719),ISNUMBER(ENSO!F719)),C719-ENSO!F719,"")</f>
        <v>-0.5</v>
      </c>
      <c r="AL719" s="18">
        <f t="shared" si="116"/>
        <v>2017.9583333333333</v>
      </c>
      <c r="AM719" s="18">
        <f t="shared" si="117"/>
        <v>0.92999999999999794</v>
      </c>
    </row>
    <row r="720" spans="1:39">
      <c r="A720" s="18" t="str">
        <f>IF(Volcanic!A720="","",Volcanic!A720)</f>
        <v>1/2018</v>
      </c>
      <c r="B720" s="18">
        <f>IF(ISNUMBER(Volcanic!L720),Volcanic!L720,"")</f>
        <v>2018.0416666666667</v>
      </c>
      <c r="C720" s="21">
        <v>-1.1200000000000001</v>
      </c>
      <c r="D720" s="18">
        <f t="shared" si="115"/>
        <v>-0.99</v>
      </c>
      <c r="E720" s="18">
        <f>IF(ISNUMBER(Volcanic!B720),Volcanic!B720,"")</f>
        <v>0.82000000000000028</v>
      </c>
      <c r="F720" s="18">
        <f>IF(ISNUMBER(Volcanic!C720),Volcanic!C720,"")</f>
        <v>0.54367263013850597</v>
      </c>
      <c r="G720" s="18">
        <f>IF(ISNUMBER(Volcanic!E720),Volcanic!E720,"")</f>
        <v>4.5999999999999999E-3</v>
      </c>
      <c r="H720" s="18">
        <f>IF(ISNUMBER(Volcanic!D720),Volcanic!D720,"")</f>
        <v>-0.44</v>
      </c>
      <c r="I720" s="18">
        <f t="shared" si="109"/>
        <v>0.54367263013850597</v>
      </c>
      <c r="J720" s="18">
        <f t="shared" si="110"/>
        <v>4.5999999999999999E-3</v>
      </c>
      <c r="K720" s="18">
        <f t="shared" si="111"/>
        <v>-0.99</v>
      </c>
      <c r="L720" s="18">
        <f t="shared" si="112"/>
        <v>0.54367263013850597</v>
      </c>
      <c r="M720" s="18">
        <f t="shared" si="113"/>
        <v>4.5999999999999999E-3</v>
      </c>
      <c r="N720" s="18">
        <f t="shared" si="114"/>
        <v>-0.78803402825755753</v>
      </c>
      <c r="AK720" s="18">
        <f>IF(AND(ISNUMBER(C720),ISNUMBER(ENSO!F720)),C720-ENSO!F720,"")</f>
        <v>-0.41000000000000014</v>
      </c>
      <c r="AL720" s="18">
        <f t="shared" si="116"/>
        <v>2018.0416666666667</v>
      </c>
      <c r="AM720" s="18">
        <f t="shared" si="117"/>
        <v>0.82000000000000028</v>
      </c>
    </row>
    <row r="721" spans="1:39">
      <c r="A721" s="18" t="str">
        <f>IF(Volcanic!A721="","",Volcanic!A721)</f>
        <v>2/2018</v>
      </c>
      <c r="B721" s="18">
        <f>IF(ISNUMBER(Volcanic!L721),Volcanic!L721,"")</f>
        <v>2018.125</v>
      </c>
      <c r="C721" s="21">
        <v>-1.04</v>
      </c>
      <c r="D721" s="18">
        <f t="shared" si="115"/>
        <v>-1.1499999999999999</v>
      </c>
      <c r="E721" s="18">
        <f>IF(ISNUMBER(Volcanic!B721),Volcanic!B721,"")</f>
        <v>0.8500000000000032</v>
      </c>
      <c r="F721" s="18">
        <f>IF(ISNUMBER(Volcanic!C721),Volcanic!C721,"")</f>
        <v>0.54497988325580371</v>
      </c>
      <c r="G721" s="18">
        <f>IF(ISNUMBER(Volcanic!E721),Volcanic!E721,"")</f>
        <v>4.5700000000000003E-3</v>
      </c>
      <c r="H721" s="18">
        <f>IF(ISNUMBER(Volcanic!D721),Volcanic!D721,"")</f>
        <v>-0.61</v>
      </c>
      <c r="I721" s="18">
        <f t="shared" si="109"/>
        <v>0.54497988325580371</v>
      </c>
      <c r="J721" s="18">
        <f t="shared" si="110"/>
        <v>4.5700000000000003E-3</v>
      </c>
      <c r="K721" s="18">
        <f t="shared" si="111"/>
        <v>-1.1499999999999999</v>
      </c>
      <c r="L721" s="18">
        <f t="shared" si="112"/>
        <v>0.54497988325580371</v>
      </c>
      <c r="M721" s="18">
        <f t="shared" si="113"/>
        <v>4.5700000000000003E-3</v>
      </c>
      <c r="N721" s="18">
        <f t="shared" si="114"/>
        <v>-0.94734400876695934</v>
      </c>
      <c r="AK721" s="18">
        <f>IF(AND(ISNUMBER(C721),ISNUMBER(ENSO!F721)),C721-ENSO!F721,"")</f>
        <v>-0.37</v>
      </c>
      <c r="AL721" s="18">
        <f t="shared" si="116"/>
        <v>2018.125</v>
      </c>
      <c r="AM721" s="18">
        <f t="shared" si="117"/>
        <v>0.8500000000000032</v>
      </c>
    </row>
    <row r="722" spans="1:39">
      <c r="A722" s="18" t="str">
        <f>IF(Volcanic!A722="","",Volcanic!A722)</f>
        <v>3/2018</v>
      </c>
      <c r="B722" s="18">
        <f>IF(ISNUMBER(Volcanic!L722),Volcanic!L722,"")</f>
        <v>2018.2083333333333</v>
      </c>
      <c r="C722" s="21">
        <v>-0.88</v>
      </c>
      <c r="D722" s="18">
        <f t="shared" si="115"/>
        <v>-1.26</v>
      </c>
      <c r="E722" s="18">
        <f>IF(ISNUMBER(Volcanic!B722),Volcanic!B722,"")</f>
        <v>0.88000000000000256</v>
      </c>
      <c r="F722" s="18">
        <f>IF(ISNUMBER(Volcanic!C722),Volcanic!C722,"")</f>
        <v>0.54875366569081085</v>
      </c>
      <c r="G722" s="18">
        <f>IF(ISNUMBER(Volcanic!E722),Volcanic!E722,"")</f>
        <v>4.6600000000000001E-3</v>
      </c>
      <c r="H722" s="18">
        <f>IF(ISNUMBER(Volcanic!D722),Volcanic!D722,"")</f>
        <v>-0.76</v>
      </c>
      <c r="I722" s="18">
        <f t="shared" si="109"/>
        <v>0.54875366569081085</v>
      </c>
      <c r="J722" s="18">
        <f t="shared" si="110"/>
        <v>4.6600000000000001E-3</v>
      </c>
      <c r="K722" s="18">
        <f t="shared" si="111"/>
        <v>-1.26</v>
      </c>
      <c r="L722" s="18">
        <f t="shared" si="112"/>
        <v>0.54875366569081085</v>
      </c>
      <c r="M722" s="18">
        <f t="shared" si="113"/>
        <v>4.6600000000000001E-3</v>
      </c>
      <c r="N722" s="18">
        <f t="shared" si="114"/>
        <v>-1.0566539892763613</v>
      </c>
      <c r="AK722" s="18">
        <f>IF(AND(ISNUMBER(C722),ISNUMBER(ENSO!F722)),C722-ENSO!F722,"")</f>
        <v>-0.32999999999999996</v>
      </c>
      <c r="AL722" s="18">
        <f t="shared" si="116"/>
        <v>2018.2083333333333</v>
      </c>
      <c r="AM722" s="18">
        <f t="shared" si="117"/>
        <v>0.88000000000000256</v>
      </c>
    </row>
    <row r="723" spans="1:39">
      <c r="A723" s="18" t="str">
        <f>IF(Volcanic!A723="","",Volcanic!A723)</f>
        <v>4/2018</v>
      </c>
      <c r="B723" s="18">
        <f>IF(ISNUMBER(Volcanic!L723),Volcanic!L723,"")</f>
        <v>2018.2916666666667</v>
      </c>
      <c r="C723" s="21">
        <v>-0.67</v>
      </c>
      <c r="D723" s="18">
        <f t="shared" si="115"/>
        <v>-1.1200000000000001</v>
      </c>
      <c r="E723" s="18">
        <f>IF(ISNUMBER(Volcanic!B723),Volcanic!B723,"")</f>
        <v>0.88000000000000256</v>
      </c>
      <c r="F723" s="18">
        <f>IF(ISNUMBER(Volcanic!C723),Volcanic!C723,"")</f>
        <v>0.55177966000822387</v>
      </c>
      <c r="G723" s="18">
        <f>IF(ISNUMBER(Volcanic!E723),Volcanic!E723,"")</f>
        <v>7.1000000000000004E-3</v>
      </c>
      <c r="H723" s="18">
        <f>IF(ISNUMBER(Volcanic!D723),Volcanic!D723,"")</f>
        <v>-0.71</v>
      </c>
      <c r="I723" s="18">
        <f t="shared" si="109"/>
        <v>0.55177966000822387</v>
      </c>
      <c r="J723" s="18">
        <f t="shared" si="110"/>
        <v>7.1000000000000004E-3</v>
      </c>
      <c r="K723" s="18">
        <f t="shared" si="111"/>
        <v>-1.1200000000000001</v>
      </c>
      <c r="L723" s="18">
        <f t="shared" si="112"/>
        <v>0.55177966000822387</v>
      </c>
      <c r="M723" s="18">
        <f t="shared" si="113"/>
        <v>7.1000000000000004E-3</v>
      </c>
      <c r="N723" s="18">
        <f t="shared" si="114"/>
        <v>-0.91596396978575978</v>
      </c>
      <c r="AK723" s="18">
        <f>IF(AND(ISNUMBER(C723),ISNUMBER(ENSO!F723)),C723-ENSO!F723,"")</f>
        <v>-0.32000000000000006</v>
      </c>
      <c r="AL723" s="18">
        <f t="shared" si="116"/>
        <v>2018.2916666666667</v>
      </c>
      <c r="AM723" s="18">
        <f t="shared" si="117"/>
        <v>0.88000000000000256</v>
      </c>
    </row>
    <row r="724" spans="1:39">
      <c r="A724" s="18" t="str">
        <f>IF(Volcanic!A724="","",Volcanic!A724)</f>
        <v>5/2018</v>
      </c>
      <c r="B724" s="18">
        <f>IF(ISNUMBER(Volcanic!L724),Volcanic!L724,"")</f>
        <v>2018.375</v>
      </c>
      <c r="C724" s="21">
        <v>-0.31</v>
      </c>
      <c r="D724" s="18">
        <f t="shared" si="115"/>
        <v>-1.04</v>
      </c>
      <c r="E724" s="18">
        <f>IF(ISNUMBER(Volcanic!B724),Volcanic!B724,"")</f>
        <v>0.81000000000000227</v>
      </c>
      <c r="F724" s="18">
        <f>IF(ISNUMBER(Volcanic!C724),Volcanic!C724,"")</f>
        <v>0.55525523163276624</v>
      </c>
      <c r="G724" s="18">
        <f>IF(ISNUMBER(Volcanic!E724),Volcanic!E724,"")</f>
        <v>6.8500000000000002E-3</v>
      </c>
      <c r="H724" s="18">
        <f>IF(ISNUMBER(Volcanic!D724),Volcanic!D724,"")</f>
        <v>-0.67</v>
      </c>
      <c r="I724" s="18">
        <f t="shared" si="109"/>
        <v>0.55525523163276624</v>
      </c>
      <c r="J724" s="18">
        <f t="shared" si="110"/>
        <v>6.8500000000000002E-3</v>
      </c>
      <c r="K724" s="18">
        <f t="shared" si="111"/>
        <v>-1.04</v>
      </c>
      <c r="L724" s="18">
        <f t="shared" si="112"/>
        <v>0.55525523163276624</v>
      </c>
      <c r="M724" s="18">
        <f t="shared" si="113"/>
        <v>6.8500000000000002E-3</v>
      </c>
      <c r="N724" s="18">
        <f t="shared" si="114"/>
        <v>-0.8352739502951616</v>
      </c>
      <c r="AK724" s="18">
        <f>IF(AND(ISNUMBER(C724),ISNUMBER(ENSO!F724)),C724-ENSO!F724,"")</f>
        <v>-0.24</v>
      </c>
      <c r="AL724" s="18">
        <f t="shared" si="116"/>
        <v>2018.375</v>
      </c>
      <c r="AM724" s="18">
        <f t="shared" si="117"/>
        <v>0.81000000000000227</v>
      </c>
    </row>
    <row r="725" spans="1:39">
      <c r="A725" s="18" t="str">
        <f>IF(Volcanic!A725="","",Volcanic!A725)</f>
        <v>6/2018</v>
      </c>
      <c r="B725" s="18">
        <f>IF(ISNUMBER(Volcanic!L725),Volcanic!L725,"")</f>
        <v>2018.4583333333333</v>
      </c>
      <c r="C725" s="21">
        <v>-0.04</v>
      </c>
      <c r="D725" s="18">
        <f t="shared" si="115"/>
        <v>-0.88</v>
      </c>
      <c r="E725" s="18">
        <f>IF(ISNUMBER(Volcanic!B725),Volcanic!B725,"")</f>
        <v>0.77000000000000135</v>
      </c>
      <c r="F725" s="18">
        <f>IF(ISNUMBER(Volcanic!C725),Volcanic!C725,"")</f>
        <v>0.55367646424055572</v>
      </c>
      <c r="G725" s="18">
        <f>IF(ISNUMBER(Volcanic!E725),Volcanic!E725,"")</f>
        <v>6.5399999999999998E-3</v>
      </c>
      <c r="H725" s="18">
        <f>IF(ISNUMBER(Volcanic!D725),Volcanic!D725,"")</f>
        <v>-0.55000000000000004</v>
      </c>
      <c r="I725" s="18">
        <f t="shared" si="109"/>
        <v>0.55367646424055572</v>
      </c>
      <c r="J725" s="18">
        <f t="shared" si="110"/>
        <v>6.5399999999999998E-3</v>
      </c>
      <c r="K725" s="18">
        <f t="shared" si="111"/>
        <v>-0.88</v>
      </c>
      <c r="L725" s="18">
        <f t="shared" si="112"/>
        <v>0.55367646424055572</v>
      </c>
      <c r="M725" s="18">
        <f t="shared" si="113"/>
        <v>6.5399999999999998E-3</v>
      </c>
      <c r="N725" s="18">
        <f t="shared" si="114"/>
        <v>-0.67458393080456347</v>
      </c>
      <c r="AK725" s="18">
        <f>IF(AND(ISNUMBER(C725),ISNUMBER(ENSO!F725)),C725-ENSO!F725,"")</f>
        <v>-0.17</v>
      </c>
      <c r="AL725" s="18">
        <f t="shared" si="116"/>
        <v>2018.4583333333333</v>
      </c>
      <c r="AM725" s="18">
        <f t="shared" si="117"/>
        <v>0.77000000000000135</v>
      </c>
    </row>
    <row r="726" spans="1:39">
      <c r="A726" s="18" t="str">
        <f>IF(Volcanic!A726="","",Volcanic!A726)</f>
        <v>7/2018</v>
      </c>
      <c r="B726" s="18">
        <f>IF(ISNUMBER(Volcanic!L726),Volcanic!L726,"")</f>
        <v>2018.5416666666667</v>
      </c>
      <c r="C726" s="21">
        <v>0.05</v>
      </c>
      <c r="D726" s="18">
        <f t="shared" si="115"/>
        <v>-0.67</v>
      </c>
      <c r="E726" s="18">
        <f>IF(ISNUMBER(Volcanic!B726),Volcanic!B726,"")</f>
        <v>0.83999999999999986</v>
      </c>
      <c r="F726" s="18">
        <f>IF(ISNUMBER(Volcanic!C726),Volcanic!C726,"")</f>
        <v>0.54632123569403679</v>
      </c>
      <c r="G726" s="18">
        <f>IF(ISNUMBER(Volcanic!E726),Volcanic!E726,"")</f>
        <v>6.2100000000000002E-3</v>
      </c>
      <c r="H726" s="18">
        <f>IF(ISNUMBER(Volcanic!D726),Volcanic!D726,"")</f>
        <v>-0.35</v>
      </c>
      <c r="I726" s="18">
        <f t="shared" si="109"/>
        <v>0.54632123569403679</v>
      </c>
      <c r="J726" s="18">
        <f t="shared" si="110"/>
        <v>6.2100000000000002E-3</v>
      </c>
      <c r="K726" s="18">
        <f t="shared" si="111"/>
        <v>-0.67</v>
      </c>
      <c r="L726" s="18">
        <f t="shared" si="112"/>
        <v>0.54632123569403679</v>
      </c>
      <c r="M726" s="18">
        <f t="shared" si="113"/>
        <v>6.2100000000000002E-3</v>
      </c>
      <c r="N726" s="18">
        <f t="shared" si="114"/>
        <v>-0.46389391131396185</v>
      </c>
      <c r="AK726" s="18">
        <f>IF(AND(ISNUMBER(C726),ISNUMBER(ENSO!F726)),C726-ENSO!F726,"")</f>
        <v>-0.15000000000000002</v>
      </c>
      <c r="AL726" s="18">
        <f t="shared" si="116"/>
        <v>2018.5416666666667</v>
      </c>
      <c r="AM726" s="18">
        <f t="shared" si="117"/>
        <v>0.83999999999999986</v>
      </c>
    </row>
    <row r="727" spans="1:39">
      <c r="A727" s="18" t="str">
        <f>IF(Volcanic!A727="","",Volcanic!A727)</f>
        <v>8/2018</v>
      </c>
      <c r="B727" s="18">
        <f>IF(ISNUMBER(Volcanic!L727),Volcanic!L727,"")</f>
        <v>2018.625</v>
      </c>
      <c r="C727" s="21">
        <v>0.16</v>
      </c>
      <c r="D727" s="18">
        <f t="shared" si="115"/>
        <v>-0.31</v>
      </c>
      <c r="E727" s="18">
        <f>IF(ISNUMBER(Volcanic!B727),Volcanic!B727,"")</f>
        <v>0.77999999999999758</v>
      </c>
      <c r="F727" s="18">
        <f>IF(ISNUMBER(Volcanic!C727),Volcanic!C727,"")</f>
        <v>0.54016900871244178</v>
      </c>
      <c r="G727" s="18">
        <f>IF(ISNUMBER(Volcanic!E727),Volcanic!E727,"")</f>
        <v>5.8700000000000002E-3</v>
      </c>
      <c r="H727" s="18">
        <f>IF(ISNUMBER(Volcanic!D727),Volcanic!D727,"")</f>
        <v>-7.0000000000000007E-2</v>
      </c>
      <c r="I727" s="18">
        <f t="shared" si="109"/>
        <v>0.54016900871244178</v>
      </c>
      <c r="J727" s="18">
        <f t="shared" si="110"/>
        <v>5.8700000000000002E-3</v>
      </c>
      <c r="K727" s="18">
        <f t="shared" si="111"/>
        <v>-0.31</v>
      </c>
      <c r="L727" s="18">
        <f t="shared" si="112"/>
        <v>0.54016900871244178</v>
      </c>
      <c r="M727" s="18">
        <f t="shared" si="113"/>
        <v>5.8700000000000002E-3</v>
      </c>
      <c r="N727" s="18">
        <f t="shared" si="114"/>
        <v>-0.1032038918233637</v>
      </c>
      <c r="AK727" s="18">
        <f>IF(AND(ISNUMBER(C727),ISNUMBER(ENSO!F727)),C727-ENSO!F727,"")</f>
        <v>-0.13999999999999999</v>
      </c>
      <c r="AL727" s="18">
        <f t="shared" si="116"/>
        <v>2018.625</v>
      </c>
      <c r="AM727" s="18">
        <f t="shared" si="117"/>
        <v>0.77999999999999758</v>
      </c>
    </row>
    <row r="728" spans="1:39">
      <c r="A728" s="18" t="str">
        <f>IF(Volcanic!A728="","",Volcanic!A728)</f>
        <v>9/2018</v>
      </c>
      <c r="B728" s="18">
        <f>IF(ISNUMBER(Volcanic!L728),Volcanic!L728,"")</f>
        <v>2018.7083333333333</v>
      </c>
      <c r="C728" s="21">
        <v>0.4</v>
      </c>
      <c r="D728" s="18">
        <f t="shared" si="115"/>
        <v>-0.04</v>
      </c>
      <c r="E728" s="18">
        <f>IF(ISNUMBER(Volcanic!B728),Volcanic!B728,"")</f>
        <v>0.79999999999999893</v>
      </c>
      <c r="F728" s="18">
        <f>IF(ISNUMBER(Volcanic!C728),Volcanic!C728,"")</f>
        <v>0.53502203557263439</v>
      </c>
      <c r="G728" s="18">
        <f>IF(ISNUMBER(Volcanic!E728),Volcanic!E728,"")</f>
        <v>5.6899999999999997E-3</v>
      </c>
      <c r="H728" s="18">
        <f>IF(ISNUMBER(Volcanic!D728),Volcanic!D728,"")</f>
        <v>0.13</v>
      </c>
      <c r="I728" s="18">
        <f t="shared" si="109"/>
        <v>0.53502203557263439</v>
      </c>
      <c r="J728" s="18">
        <f t="shared" si="110"/>
        <v>5.6899999999999997E-3</v>
      </c>
      <c r="K728" s="18">
        <f t="shared" si="111"/>
        <v>-0.04</v>
      </c>
      <c r="L728" s="18">
        <f t="shared" si="112"/>
        <v>0.53502203557263439</v>
      </c>
      <c r="M728" s="18">
        <f t="shared" si="113"/>
        <v>5.6899999999999997E-3</v>
      </c>
      <c r="N728" s="18">
        <f t="shared" si="114"/>
        <v>0.16748612766723439</v>
      </c>
      <c r="AK728" s="18">
        <f>IF(AND(ISNUMBER(C728),ISNUMBER(ENSO!F728)),C728-ENSO!F728,"")</f>
        <v>-0.12</v>
      </c>
      <c r="AL728" s="18">
        <f t="shared" si="116"/>
        <v>2018.7083333333333</v>
      </c>
      <c r="AM728" s="18">
        <f t="shared" si="117"/>
        <v>0.79999999999999893</v>
      </c>
    </row>
    <row r="729" spans="1:39">
      <c r="A729" s="18" t="str">
        <f>IF(Volcanic!A729="","",Volcanic!A729)</f>
        <v>10/2018</v>
      </c>
      <c r="B729" s="18">
        <f>IF(ISNUMBER(Volcanic!L729),Volcanic!L729,"")</f>
        <v>2018.7916666666667</v>
      </c>
      <c r="C729" s="21">
        <v>0.65</v>
      </c>
      <c r="D729" s="18">
        <f t="shared" si="115"/>
        <v>0.05</v>
      </c>
      <c r="E729" s="18">
        <f>IF(ISNUMBER(Volcanic!B729),Volcanic!B729,"")</f>
        <v>1.0200000000000014</v>
      </c>
      <c r="F729" s="18">
        <f>IF(ISNUMBER(Volcanic!C729),Volcanic!C729,"")</f>
        <v>0.53672789516201203</v>
      </c>
      <c r="G729" s="18">
        <f>IF(ISNUMBER(Volcanic!E729),Volcanic!E729,"")</f>
        <v>5.3800000000000002E-3</v>
      </c>
      <c r="H729" s="18">
        <f>IF(ISNUMBER(Volcanic!D729),Volcanic!D729,"")</f>
        <v>0.2</v>
      </c>
      <c r="I729" s="18">
        <f t="shared" si="109"/>
        <v>0.53672789516201203</v>
      </c>
      <c r="J729" s="18">
        <f t="shared" si="110"/>
        <v>5.3800000000000002E-3</v>
      </c>
      <c r="K729" s="18">
        <f t="shared" si="111"/>
        <v>0.05</v>
      </c>
      <c r="L729" s="18">
        <f t="shared" si="112"/>
        <v>0.53672789516201203</v>
      </c>
      <c r="M729" s="18">
        <f t="shared" si="113"/>
        <v>5.3800000000000002E-3</v>
      </c>
      <c r="N729" s="18">
        <f t="shared" si="114"/>
        <v>0.25817614715783604</v>
      </c>
      <c r="AK729" s="18">
        <f>IF(AND(ISNUMBER(C729),ISNUMBER(ENSO!F729)),C729-ENSO!F729,"")</f>
        <v>-0.16999999999999993</v>
      </c>
      <c r="AL729" s="18">
        <f t="shared" si="116"/>
        <v>2018.7916666666667</v>
      </c>
      <c r="AM729" s="18">
        <f t="shared" si="117"/>
        <v>1.0200000000000014</v>
      </c>
    </row>
    <row r="730" spans="1:39">
      <c r="A730" s="18" t="str">
        <f>IF(Volcanic!A730="","",Volcanic!A730)</f>
        <v>11/2018</v>
      </c>
      <c r="B730" s="18">
        <f>IF(ISNUMBER(Volcanic!L730),Volcanic!L730,"")</f>
        <v>2018.875</v>
      </c>
      <c r="C730" s="21">
        <v>0.77</v>
      </c>
      <c r="D730" s="18">
        <f t="shared" si="115"/>
        <v>0.16</v>
      </c>
      <c r="E730" s="18">
        <f>IF(ISNUMBER(Volcanic!B730),Volcanic!B730,"")</f>
        <v>0.83000000000000362</v>
      </c>
      <c r="F730" s="18">
        <f>IF(ISNUMBER(Volcanic!C730),Volcanic!C730,"")</f>
        <v>0.54388469761513192</v>
      </c>
      <c r="G730" s="18">
        <f>IF(ISNUMBER(Volcanic!E730),Volcanic!E730,"")</f>
        <v>5.2100000000000002E-3</v>
      </c>
      <c r="H730" s="18">
        <f>IF(ISNUMBER(Volcanic!D730),Volcanic!D730,"")</f>
        <v>0.3</v>
      </c>
      <c r="I730" s="18">
        <f t="shared" si="109"/>
        <v>0.54388469761513192</v>
      </c>
      <c r="J730" s="18">
        <f t="shared" si="110"/>
        <v>5.2100000000000002E-3</v>
      </c>
      <c r="K730" s="18">
        <f t="shared" si="111"/>
        <v>0.16</v>
      </c>
      <c r="L730" s="18">
        <f t="shared" si="112"/>
        <v>0.54388469761513192</v>
      </c>
      <c r="M730" s="18">
        <f t="shared" si="113"/>
        <v>5.2100000000000002E-3</v>
      </c>
      <c r="N730" s="18">
        <f t="shared" si="114"/>
        <v>0.36886616664843419</v>
      </c>
      <c r="AK730" s="18">
        <f>IF(AND(ISNUMBER(C730),ISNUMBER(ENSO!F730)),C730-ENSO!F730,"")</f>
        <v>-0.27</v>
      </c>
      <c r="AL730" s="18">
        <f t="shared" si="116"/>
        <v>2018.875</v>
      </c>
      <c r="AM730" s="18">
        <f t="shared" si="117"/>
        <v>0.83000000000000362</v>
      </c>
    </row>
    <row r="731" spans="1:39">
      <c r="A731" s="18" t="str">
        <f>IF(Volcanic!A731="","",Volcanic!A731)</f>
        <v>12/2018</v>
      </c>
      <c r="B731" s="18">
        <f>IF(ISNUMBER(Volcanic!L731),Volcanic!L731,"")</f>
        <v>2018.9583333333333</v>
      </c>
      <c r="C731" s="21">
        <v>0.67</v>
      </c>
      <c r="D731" s="18">
        <f t="shared" si="115"/>
        <v>0.4</v>
      </c>
      <c r="E731" s="18">
        <f>IF(ISNUMBER(Volcanic!B731),Volcanic!B731,"")</f>
        <v>0.92999999999999794</v>
      </c>
      <c r="F731" s="18">
        <f>IF(ISNUMBER(Volcanic!C731),Volcanic!C731,"")</f>
        <v>0.54762609214567415</v>
      </c>
      <c r="G731" s="18">
        <f>IF(ISNUMBER(Volcanic!E731),Volcanic!E731,"")</f>
        <v>5.3299999999999997E-3</v>
      </c>
      <c r="H731" s="18">
        <f>IF(ISNUMBER(Volcanic!D731),Volcanic!D731,"")</f>
        <v>0.52</v>
      </c>
      <c r="I731" s="18">
        <f t="shared" si="109"/>
        <v>0.54762609214567415</v>
      </c>
      <c r="J731" s="18">
        <f t="shared" si="110"/>
        <v>5.3299999999999997E-3</v>
      </c>
      <c r="K731" s="18">
        <f t="shared" si="111"/>
        <v>0.4</v>
      </c>
      <c r="L731" s="18">
        <f t="shared" si="112"/>
        <v>0.54762609214567415</v>
      </c>
      <c r="M731" s="18">
        <f t="shared" si="113"/>
        <v>5.3299999999999997E-3</v>
      </c>
      <c r="N731" s="18">
        <f t="shared" si="114"/>
        <v>0.60955618613903229</v>
      </c>
      <c r="AK731" s="18">
        <f>IF(AND(ISNUMBER(C731),ISNUMBER(ENSO!F731)),C731-ENSO!F731,"")</f>
        <v>-0.38</v>
      </c>
      <c r="AL731" s="18">
        <f t="shared" si="116"/>
        <v>2018.9583333333333</v>
      </c>
      <c r="AM731" s="18">
        <f t="shared" si="117"/>
        <v>0.92999999999999794</v>
      </c>
    </row>
    <row r="732" spans="1:39">
      <c r="A732" s="18" t="str">
        <f>IF(Volcanic!A732="","",Volcanic!A732)</f>
        <v>1/2019</v>
      </c>
      <c r="B732" s="18">
        <f>IF(ISNUMBER(Volcanic!L732),Volcanic!L732,"")</f>
        <v>2019.0416666666667</v>
      </c>
      <c r="C732" s="21">
        <v>0.62</v>
      </c>
      <c r="D732" s="18">
        <f t="shared" si="115"/>
        <v>0.65</v>
      </c>
      <c r="E732" s="18">
        <f>IF(ISNUMBER(Volcanic!B732),Volcanic!B732,"")</f>
        <v>0.92999999999999794</v>
      </c>
      <c r="F732" s="18">
        <f>IF(ISNUMBER(Volcanic!C732),Volcanic!C732,"")</f>
        <v>0.55381686910097527</v>
      </c>
      <c r="G732" s="18">
        <f>IF(ISNUMBER(Volcanic!E732),Volcanic!E732,"")</f>
        <v>5.13E-3</v>
      </c>
      <c r="H732" s="18">
        <f>IF(ISNUMBER(Volcanic!D732),Volcanic!D732,"")</f>
        <v>0.82</v>
      </c>
      <c r="I732" s="18">
        <f t="shared" si="109"/>
        <v>0.55381686910097527</v>
      </c>
      <c r="J732" s="18">
        <f t="shared" si="110"/>
        <v>5.13E-3</v>
      </c>
      <c r="K732" s="18">
        <f t="shared" si="111"/>
        <v>0.65</v>
      </c>
      <c r="L732" s="18">
        <f t="shared" si="112"/>
        <v>0.55381686910097527</v>
      </c>
      <c r="M732" s="18">
        <f t="shared" si="113"/>
        <v>5.13E-3</v>
      </c>
      <c r="N732" s="18">
        <f t="shared" si="114"/>
        <v>0.86024620562963039</v>
      </c>
      <c r="AK732" s="18">
        <f>IF(AND(ISNUMBER(C732),ISNUMBER(ENSO!F732)),C732-ENSO!F732,"")</f>
        <v>-0.37</v>
      </c>
      <c r="AL732" s="18">
        <f t="shared" si="116"/>
        <v>2019.0416666666667</v>
      </c>
      <c r="AM732" s="18">
        <f t="shared" si="117"/>
        <v>0.92999999999999794</v>
      </c>
    </row>
    <row r="733" spans="1:39">
      <c r="A733" s="18" t="str">
        <f>IF(Volcanic!A733="","",Volcanic!A733)</f>
        <v>2/2019</v>
      </c>
      <c r="B733" s="18">
        <f>IF(ISNUMBER(Volcanic!L733),Volcanic!L733,"")</f>
        <v>2019.125</v>
      </c>
      <c r="C733" s="21">
        <v>0.62</v>
      </c>
      <c r="D733" s="18">
        <f t="shared" si="115"/>
        <v>0.77</v>
      </c>
      <c r="E733" s="18">
        <f>IF(ISNUMBER(Volcanic!B733),Volcanic!B733,"")</f>
        <v>0.95999999999999908</v>
      </c>
      <c r="F733" s="18">
        <f>IF(ISNUMBER(Volcanic!C733),Volcanic!C733,"")</f>
        <v>0.55707743595872172</v>
      </c>
      <c r="G733" s="18">
        <f>IF(ISNUMBER(Volcanic!E733),Volcanic!E733,"")</f>
        <v>5.0299999999999997E-3</v>
      </c>
      <c r="H733" s="18">
        <f>IF(ISNUMBER(Volcanic!D733),Volcanic!D733,"")</f>
        <v>1.04</v>
      </c>
      <c r="I733" s="18">
        <f t="shared" si="109"/>
        <v>0.55707743595872172</v>
      </c>
      <c r="J733" s="18">
        <f t="shared" si="110"/>
        <v>5.0299999999999997E-3</v>
      </c>
      <c r="K733" s="18">
        <f t="shared" si="111"/>
        <v>0.77</v>
      </c>
      <c r="L733" s="18">
        <f t="shared" si="112"/>
        <v>0.55707743595872172</v>
      </c>
      <c r="M733" s="18">
        <f t="shared" si="113"/>
        <v>5.0299999999999997E-3</v>
      </c>
      <c r="N733" s="18">
        <f t="shared" si="114"/>
        <v>0.98093622512023204</v>
      </c>
      <c r="AK733" s="18">
        <f>IF(AND(ISNUMBER(C733),ISNUMBER(ENSO!F733)),C733-ENSO!F733,"")</f>
        <v>-0.31999999999999995</v>
      </c>
      <c r="AL733" s="18">
        <f t="shared" si="116"/>
        <v>2019.125</v>
      </c>
      <c r="AM733" s="18">
        <f t="shared" si="117"/>
        <v>0.95999999999999908</v>
      </c>
    </row>
    <row r="734" spans="1:39">
      <c r="A734" s="18" t="str">
        <f>IF(Volcanic!A734="","",Volcanic!A734)</f>
        <v>3/2019</v>
      </c>
      <c r="B734" s="18">
        <f>IF(ISNUMBER(Volcanic!L734),Volcanic!L734,"")</f>
        <v>2019.2083333333333</v>
      </c>
      <c r="C734" s="21">
        <v>0.6</v>
      </c>
      <c r="D734" s="18">
        <f t="shared" si="115"/>
        <v>0.67</v>
      </c>
      <c r="E734" s="18">
        <f>IF(ISNUMBER(Volcanic!B734),Volcanic!B734,"")</f>
        <v>1.1699999999999964</v>
      </c>
      <c r="F734" s="18">
        <f>IF(ISNUMBER(Volcanic!C734),Volcanic!C734,"")</f>
        <v>0.55784767624929055</v>
      </c>
      <c r="G734" s="18">
        <f>IF(ISNUMBER(Volcanic!E734),Volcanic!E734,"")</f>
        <v>6.3499999999999997E-3</v>
      </c>
      <c r="H734" s="18">
        <f>IF(ISNUMBER(Volcanic!D734),Volcanic!D734,"")</f>
        <v>1.05</v>
      </c>
      <c r="I734" s="18">
        <f t="shared" si="109"/>
        <v>0.55784767624929055</v>
      </c>
      <c r="J734" s="18">
        <f t="shared" si="110"/>
        <v>6.3499999999999997E-3</v>
      </c>
      <c r="K734" s="18">
        <f t="shared" si="111"/>
        <v>0.67</v>
      </c>
      <c r="L734" s="18">
        <f t="shared" si="112"/>
        <v>0.55784767624929055</v>
      </c>
      <c r="M734" s="18">
        <f t="shared" si="113"/>
        <v>6.3499999999999997E-3</v>
      </c>
      <c r="N734" s="18">
        <f t="shared" si="114"/>
        <v>0.88162624461083017</v>
      </c>
      <c r="AK734" s="18">
        <f>IF(AND(ISNUMBER(C734),ISNUMBER(ENSO!F734)),C734-ENSO!F734,"")</f>
        <v>-0.27</v>
      </c>
      <c r="AL734" s="18">
        <f t="shared" si="116"/>
        <v>2019.2083333333333</v>
      </c>
      <c r="AM734" s="18">
        <f t="shared" si="117"/>
        <v>1.1699999999999964</v>
      </c>
    </row>
    <row r="735" spans="1:39">
      <c r="A735" s="18" t="str">
        <f>IF(Volcanic!A735="","",Volcanic!A735)</f>
        <v>4/2019</v>
      </c>
      <c r="B735" s="18">
        <f>IF(ISNUMBER(Volcanic!L735),Volcanic!L735,"")</f>
        <v>2019.2916666666667</v>
      </c>
      <c r="C735" s="21">
        <v>0.52</v>
      </c>
      <c r="D735" s="18">
        <f t="shared" si="115"/>
        <v>0.62</v>
      </c>
      <c r="E735" s="18">
        <f>IF(ISNUMBER(Volcanic!B735),Volcanic!B735,"")</f>
        <v>1.0099999999999998</v>
      </c>
      <c r="F735" s="18">
        <f>IF(ISNUMBER(Volcanic!C735),Volcanic!C735,"")</f>
        <v>0.56260005485176923</v>
      </c>
      <c r="G735" s="18">
        <f>IF(ISNUMBER(Volcanic!E735),Volcanic!E735,"")</f>
        <v>8.0000000000000002E-3</v>
      </c>
      <c r="H735" s="18">
        <f>IF(ISNUMBER(Volcanic!D735),Volcanic!D735,"")</f>
        <v>0.99</v>
      </c>
      <c r="I735" s="18">
        <f t="shared" si="109"/>
        <v>0.56260005485176923</v>
      </c>
      <c r="J735" s="18">
        <f t="shared" si="110"/>
        <v>8.0000000000000002E-3</v>
      </c>
      <c r="K735" s="18">
        <f t="shared" si="111"/>
        <v>0.62</v>
      </c>
      <c r="L735" s="18">
        <f t="shared" si="112"/>
        <v>0.56260005485176923</v>
      </c>
      <c r="M735" s="18">
        <f t="shared" si="113"/>
        <v>8.0000000000000002E-3</v>
      </c>
      <c r="N735" s="18">
        <f t="shared" si="114"/>
        <v>0.83231626410142823</v>
      </c>
      <c r="AK735" s="18">
        <f>IF(AND(ISNUMBER(C735),ISNUMBER(ENSO!F735)),C735-ENSO!F735,"")</f>
        <v>-0.29999999999999993</v>
      </c>
      <c r="AL735" s="18">
        <f t="shared" si="116"/>
        <v>2019.2916666666667</v>
      </c>
      <c r="AM735" s="18">
        <f t="shared" si="117"/>
        <v>1.0099999999999998</v>
      </c>
    </row>
    <row r="736" spans="1:39">
      <c r="A736" s="18" t="str">
        <f>IF(Volcanic!A736="","",Volcanic!A736)</f>
        <v>5/2019</v>
      </c>
      <c r="B736" s="18">
        <f>IF(ISNUMBER(Volcanic!L736),Volcanic!L736,"")</f>
        <v>2019.375</v>
      </c>
      <c r="C736" s="21">
        <v>0.34</v>
      </c>
      <c r="D736" s="18">
        <f t="shared" si="115"/>
        <v>0.62</v>
      </c>
      <c r="E736" s="18">
        <f>IF(ISNUMBER(Volcanic!B736),Volcanic!B736,"")</f>
        <v>0.86000000000000121</v>
      </c>
      <c r="F736" s="18">
        <f>IF(ISNUMBER(Volcanic!C736),Volcanic!C736,"")</f>
        <v>0.5671977348752254</v>
      </c>
      <c r="G736" s="18">
        <f>IF(ISNUMBER(Volcanic!E736),Volcanic!E736,"")</f>
        <v>8.5100000000000002E-3</v>
      </c>
      <c r="H736" s="18">
        <f>IF(ISNUMBER(Volcanic!D736),Volcanic!D736,"")</f>
        <v>0.94</v>
      </c>
      <c r="I736" s="18">
        <f t="shared" si="109"/>
        <v>0.5671977348752254</v>
      </c>
      <c r="J736" s="18">
        <f t="shared" si="110"/>
        <v>8.5100000000000002E-3</v>
      </c>
      <c r="K736" s="18">
        <f t="shared" si="111"/>
        <v>0.62</v>
      </c>
      <c r="L736" s="18">
        <f t="shared" si="112"/>
        <v>0.5671977348752254</v>
      </c>
      <c r="M736" s="18">
        <f t="shared" si="113"/>
        <v>8.5100000000000002E-3</v>
      </c>
      <c r="N736" s="18">
        <f t="shared" si="114"/>
        <v>0.83300628359202633</v>
      </c>
      <c r="AK736" s="18">
        <f>IF(AND(ISNUMBER(C736),ISNUMBER(ENSO!F736)),C736-ENSO!F736,"")</f>
        <v>-0.36999999999999994</v>
      </c>
      <c r="AL736" s="18">
        <f t="shared" si="116"/>
        <v>2019.375</v>
      </c>
      <c r="AM736" s="18">
        <f t="shared" si="117"/>
        <v>0.86000000000000121</v>
      </c>
    </row>
    <row r="737" spans="1:39">
      <c r="A737" s="18" t="str">
        <f>IF(Volcanic!A737="","",Volcanic!A737)</f>
        <v>6/2019</v>
      </c>
      <c r="B737" s="18">
        <f>IF(ISNUMBER(Volcanic!L737),Volcanic!L737,"")</f>
        <v>2019.4583333333333</v>
      </c>
      <c r="C737" s="21">
        <v>0.21</v>
      </c>
      <c r="D737" s="18">
        <f t="shared" si="115"/>
        <v>0.6</v>
      </c>
      <c r="E737" s="18">
        <f>IF(ISNUMBER(Volcanic!B737),Volcanic!B737,"")</f>
        <v>0.89999999999999858</v>
      </c>
      <c r="F737" s="18">
        <f>IF(ISNUMBER(Volcanic!C737),Volcanic!C737,"")</f>
        <v>0.56472656147689648</v>
      </c>
      <c r="G737" s="18">
        <f>IF(ISNUMBER(Volcanic!E737),Volcanic!E737,"")</f>
        <v>8.6099999999999996E-3</v>
      </c>
      <c r="H737" s="18">
        <f>IF(ISNUMBER(Volcanic!D737),Volcanic!D737,"")</f>
        <v>0.87</v>
      </c>
      <c r="I737" s="18">
        <f t="shared" si="109"/>
        <v>0.56472656147689648</v>
      </c>
      <c r="J737" s="18">
        <f t="shared" si="110"/>
        <v>8.6099999999999996E-3</v>
      </c>
      <c r="K737" s="18">
        <f t="shared" si="111"/>
        <v>0.6</v>
      </c>
      <c r="L737" s="18">
        <f t="shared" si="112"/>
        <v>0.56472656147689648</v>
      </c>
      <c r="M737" s="18">
        <f t="shared" si="113"/>
        <v>8.6099999999999996E-3</v>
      </c>
      <c r="N737" s="18">
        <f t="shared" si="114"/>
        <v>0.81369630308262442</v>
      </c>
      <c r="AK737" s="18">
        <f>IF(AND(ISNUMBER(C737),ISNUMBER(ENSO!F737)),C737-ENSO!F737,"")</f>
        <v>-0.38</v>
      </c>
      <c r="AL737" s="18">
        <f t="shared" si="116"/>
        <v>2019.4583333333333</v>
      </c>
      <c r="AM737" s="18">
        <f t="shared" si="117"/>
        <v>0.89999999999999858</v>
      </c>
    </row>
    <row r="738" spans="1:39">
      <c r="A738" s="18" t="str">
        <f>IF(Volcanic!A738="","",Volcanic!A738)</f>
        <v>7/2019</v>
      </c>
      <c r="B738" s="18">
        <f>IF(ISNUMBER(Volcanic!L738),Volcanic!L738,"")</f>
        <v>2019.5416666666667</v>
      </c>
      <c r="C738" s="21">
        <v>0.03</v>
      </c>
      <c r="D738" s="18">
        <f t="shared" si="115"/>
        <v>0.52</v>
      </c>
      <c r="E738" s="18">
        <f>IF(ISNUMBER(Volcanic!B738),Volcanic!B738,"")</f>
        <v>0.93999999999999773</v>
      </c>
      <c r="F738" s="18">
        <f>IF(ISNUMBER(Volcanic!C738),Volcanic!C738,"")</f>
        <v>0.55707743595872172</v>
      </c>
      <c r="G738" s="18">
        <f>IF(ISNUMBER(Volcanic!E738),Volcanic!E738,"")</f>
        <v>8.3300000000000006E-3</v>
      </c>
      <c r="H738" s="18">
        <f>IF(ISNUMBER(Volcanic!D738),Volcanic!D738,"")</f>
        <v>0.82</v>
      </c>
      <c r="I738" s="18">
        <f t="shared" si="109"/>
        <v>0.55707743595872172</v>
      </c>
      <c r="J738" s="18">
        <f t="shared" si="110"/>
        <v>8.3300000000000006E-3</v>
      </c>
      <c r="K738" s="18">
        <f t="shared" si="111"/>
        <v>0.52</v>
      </c>
      <c r="L738" s="18">
        <f t="shared" si="112"/>
        <v>0.55707743595872172</v>
      </c>
      <c r="M738" s="18">
        <f t="shared" si="113"/>
        <v>8.3300000000000006E-3</v>
      </c>
      <c r="N738" s="18">
        <f t="shared" si="114"/>
        <v>0.73438632257322611</v>
      </c>
      <c r="AK738" s="18">
        <f>IF(AND(ISNUMBER(C738),ISNUMBER(ENSO!F738)),C738-ENSO!F738,"")</f>
        <v>-0.35</v>
      </c>
      <c r="AL738" s="18">
        <f t="shared" si="116"/>
        <v>2019.5416666666667</v>
      </c>
      <c r="AM738" s="18">
        <f t="shared" si="117"/>
        <v>0.93999999999999773</v>
      </c>
    </row>
    <row r="739" spans="1:39">
      <c r="A739" s="18" t="str">
        <f>IF(Volcanic!A739="","",Volcanic!A739)</f>
        <v>8/2019</v>
      </c>
      <c r="B739" s="18">
        <f>IF(ISNUMBER(Volcanic!L739),Volcanic!L739,"")</f>
        <v>2019.625</v>
      </c>
      <c r="C739" s="21">
        <v>-0.1</v>
      </c>
      <c r="D739" s="18">
        <f t="shared" si="115"/>
        <v>0.34</v>
      </c>
      <c r="E739" s="18">
        <f>IF(ISNUMBER(Volcanic!B739),Volcanic!B739,"")</f>
        <v>0.94999999999999751</v>
      </c>
      <c r="F739" s="18">
        <f>IF(ISNUMBER(Volcanic!C739),Volcanic!C739,"")</f>
        <v>0.55079514920632977</v>
      </c>
      <c r="G739" s="18">
        <f>IF(ISNUMBER(Volcanic!E739),Volcanic!E739,"")</f>
        <v>7.8899999999999994E-3</v>
      </c>
      <c r="H739" s="18">
        <f>IF(ISNUMBER(Volcanic!D739),Volcanic!D739,"")</f>
        <v>0.71</v>
      </c>
      <c r="I739" s="18">
        <f t="shared" si="109"/>
        <v>0.55079514920632977</v>
      </c>
      <c r="J739" s="18">
        <f t="shared" si="110"/>
        <v>7.8899999999999994E-3</v>
      </c>
      <c r="K739" s="18">
        <f t="shared" si="111"/>
        <v>0.34</v>
      </c>
      <c r="L739" s="18">
        <f t="shared" si="112"/>
        <v>0.55079514920632977</v>
      </c>
      <c r="M739" s="18">
        <f t="shared" si="113"/>
        <v>7.8899999999999994E-3</v>
      </c>
      <c r="N739" s="18">
        <f t="shared" si="114"/>
        <v>0.55507634206382428</v>
      </c>
      <c r="AK739" s="18">
        <f>IF(AND(ISNUMBER(C739),ISNUMBER(ENSO!F739)),C739-ENSO!F739,"")</f>
        <v>-0.30000000000000004</v>
      </c>
      <c r="AL739" s="18">
        <f t="shared" si="116"/>
        <v>2019.625</v>
      </c>
      <c r="AM739" s="18">
        <f t="shared" si="117"/>
        <v>0.94999999999999751</v>
      </c>
    </row>
    <row r="740" spans="1:39">
      <c r="A740" s="18" t="str">
        <f>IF(Volcanic!A740="","",Volcanic!A740)</f>
        <v>9/2019</v>
      </c>
      <c r="B740" s="18">
        <f>IF(ISNUMBER(Volcanic!L740),Volcanic!L740,"")</f>
        <v>2019.7083333333333</v>
      </c>
      <c r="C740" s="21">
        <v>-0.03</v>
      </c>
      <c r="D740" s="18">
        <f t="shared" si="115"/>
        <v>0.21</v>
      </c>
      <c r="E740" s="18">
        <f>IF(ISNUMBER(Volcanic!B740),Volcanic!B740,"")</f>
        <v>0.92999999999999794</v>
      </c>
      <c r="F740" s="18">
        <f>IF(ISNUMBER(Volcanic!C740),Volcanic!C740,"")</f>
        <v>0.54582719830025894</v>
      </c>
      <c r="G740" s="18">
        <f>IF(ISNUMBER(Volcanic!E740),Volcanic!E740,"")</f>
        <v>7.3600000000000002E-3</v>
      </c>
      <c r="H740" s="18">
        <f>IF(ISNUMBER(Volcanic!D740),Volcanic!D740,"")</f>
        <v>0.59</v>
      </c>
      <c r="I740" s="18">
        <f t="shared" si="109"/>
        <v>0.54582719830025894</v>
      </c>
      <c r="J740" s="18">
        <f t="shared" si="110"/>
        <v>7.3600000000000002E-3</v>
      </c>
      <c r="K740" s="18">
        <f t="shared" si="111"/>
        <v>0.21</v>
      </c>
      <c r="L740" s="18">
        <f t="shared" si="112"/>
        <v>0.54582719830025894</v>
      </c>
      <c r="M740" s="18">
        <f t="shared" si="113"/>
        <v>7.3600000000000002E-3</v>
      </c>
      <c r="N740" s="18">
        <f t="shared" si="114"/>
        <v>0.42576636155442227</v>
      </c>
      <c r="AK740" s="18">
        <f>IF(AND(ISNUMBER(C740),ISNUMBER(ENSO!F740)),C740-ENSO!F740,"")</f>
        <v>-0.33999999999999997</v>
      </c>
      <c r="AL740" s="18">
        <f t="shared" si="116"/>
        <v>2019.7083333333333</v>
      </c>
      <c r="AM740" s="18">
        <f t="shared" si="117"/>
        <v>0.92999999999999794</v>
      </c>
    </row>
    <row r="741" spans="1:39">
      <c r="A741" s="18" t="str">
        <f>IF(Volcanic!A741="","",Volcanic!A741)</f>
        <v>10/2019</v>
      </c>
      <c r="B741" s="18">
        <f>IF(ISNUMBER(Volcanic!L741),Volcanic!L741,"")</f>
        <v>2019.7916666666667</v>
      </c>
      <c r="C741" s="21">
        <v>0.12</v>
      </c>
      <c r="D741" s="18">
        <f t="shared" si="115"/>
        <v>0.03</v>
      </c>
      <c r="E741" s="18">
        <f>IF(ISNUMBER(Volcanic!B741),Volcanic!B741,"")</f>
        <v>1</v>
      </c>
      <c r="F741" s="18">
        <f>IF(ISNUMBER(Volcanic!C741),Volcanic!C741,"")</f>
        <v>0.54575660771720447</v>
      </c>
      <c r="G741" s="18">
        <f>IF(ISNUMBER(Volcanic!E741),Volcanic!E741,"")</f>
        <v>6.9899999999999997E-3</v>
      </c>
      <c r="H741" s="18">
        <f>IF(ISNUMBER(Volcanic!D741),Volcanic!D741,"")</f>
        <v>0.38</v>
      </c>
      <c r="I741" s="18">
        <f t="shared" si="109"/>
        <v>0.54575660771720447</v>
      </c>
      <c r="J741" s="18">
        <f t="shared" si="110"/>
        <v>6.9899999999999997E-3</v>
      </c>
      <c r="K741" s="18">
        <f t="shared" si="111"/>
        <v>0.03</v>
      </c>
      <c r="L741" s="18">
        <f t="shared" si="112"/>
        <v>0.54575660771720447</v>
      </c>
      <c r="M741" s="18">
        <f t="shared" si="113"/>
        <v>6.9899999999999997E-3</v>
      </c>
      <c r="N741" s="18">
        <f t="shared" si="114"/>
        <v>0.24645638104502396</v>
      </c>
      <c r="AK741" s="18">
        <f>IF(AND(ISNUMBER(C741),ISNUMBER(ENSO!F741)),C741-ENSO!F741,"")</f>
        <v>-0.39</v>
      </c>
      <c r="AL741" s="18">
        <f t="shared" si="116"/>
        <v>2019.7916666666667</v>
      </c>
      <c r="AM741" s="18">
        <f t="shared" si="117"/>
        <v>1</v>
      </c>
    </row>
    <row r="742" spans="1:39">
      <c r="A742" s="18" t="str">
        <f>IF(Volcanic!A742="","",Volcanic!A742)</f>
        <v>11/2019</v>
      </c>
      <c r="B742" s="18">
        <f>IF(ISNUMBER(Volcanic!L742),Volcanic!L742,"")</f>
        <v>2019.875</v>
      </c>
      <c r="C742" s="21">
        <v>0.23</v>
      </c>
      <c r="D742" s="18">
        <f t="shared" si="115"/>
        <v>-0.1</v>
      </c>
      <c r="E742" s="18">
        <f>IF(ISNUMBER(Volcanic!B742),Volcanic!B742,"")</f>
        <v>0.99000000000000021</v>
      </c>
      <c r="F742" s="18">
        <f>IF(ISNUMBER(Volcanic!C742),Volcanic!C742,"")</f>
        <v>0.55184995650684376</v>
      </c>
      <c r="G742" s="18">
        <f>IF(ISNUMBER(Volcanic!E742),Volcanic!E742,"")</f>
        <v>6.6E-3</v>
      </c>
      <c r="H742" s="18">
        <f>IF(ISNUMBER(Volcanic!D742),Volcanic!D742,"")</f>
        <v>0.2</v>
      </c>
      <c r="I742" s="18">
        <f t="shared" si="109"/>
        <v>0.55184995650684376</v>
      </c>
      <c r="J742" s="18">
        <f t="shared" si="110"/>
        <v>6.6E-3</v>
      </c>
      <c r="K742" s="18">
        <f t="shared" si="111"/>
        <v>-0.1</v>
      </c>
      <c r="L742" s="18">
        <f t="shared" si="112"/>
        <v>0.55184995650684376</v>
      </c>
      <c r="M742" s="18">
        <f t="shared" si="113"/>
        <v>6.6E-3</v>
      </c>
      <c r="N742" s="18">
        <f t="shared" si="114"/>
        <v>0.11714640053562206</v>
      </c>
      <c r="AK742" s="18">
        <f>IF(AND(ISNUMBER(C742),ISNUMBER(ENSO!F742)),C742-ENSO!F742,"")</f>
        <v>-0.49</v>
      </c>
      <c r="AL742" s="18">
        <f t="shared" si="116"/>
        <v>2019.875</v>
      </c>
      <c r="AM742" s="18">
        <f t="shared" si="117"/>
        <v>0.99000000000000021</v>
      </c>
    </row>
    <row r="743" spans="1:39">
      <c r="A743" s="18" t="str">
        <f>IF(Volcanic!A743="","",Volcanic!A743)</f>
        <v>12/2019</v>
      </c>
      <c r="B743" s="18">
        <f>IF(ISNUMBER(Volcanic!L743),Volcanic!L743,"")</f>
        <v>2019.9583333333333</v>
      </c>
      <c r="C743" s="21">
        <v>0.2</v>
      </c>
      <c r="D743" s="18">
        <f t="shared" si="115"/>
        <v>-0.03</v>
      </c>
      <c r="E743" s="18">
        <f>IF(ISNUMBER(Volcanic!B743),Volcanic!B743,"")</f>
        <v>1.120000000000001</v>
      </c>
      <c r="F743" s="18">
        <f>IF(ISNUMBER(Volcanic!C743),Volcanic!C743,"")</f>
        <v>0.55711245580363478</v>
      </c>
      <c r="G743" s="18">
        <f>IF(ISNUMBER(Volcanic!E743),Volcanic!E743,"")</f>
        <v>6.3400000000000001E-3</v>
      </c>
      <c r="H743" s="18">
        <f>IF(ISNUMBER(Volcanic!D743),Volcanic!D743,"")</f>
        <v>0.31</v>
      </c>
      <c r="I743" s="18">
        <f t="shared" si="109"/>
        <v>0.55711245580363478</v>
      </c>
      <c r="J743" s="18">
        <f t="shared" si="110"/>
        <v>6.3400000000000001E-3</v>
      </c>
      <c r="K743" s="18">
        <f t="shared" si="111"/>
        <v>-0.03</v>
      </c>
      <c r="L743" s="18">
        <f t="shared" si="112"/>
        <v>0.55711245580363478</v>
      </c>
      <c r="M743" s="18">
        <f t="shared" si="113"/>
        <v>6.3400000000000001E-3</v>
      </c>
      <c r="N743" s="18">
        <f t="shared" si="114"/>
        <v>0.18783642002622017</v>
      </c>
      <c r="AK743" s="18">
        <f>IF(AND(ISNUMBER(C743),ISNUMBER(ENSO!F743)),C743-ENSO!F743,"")</f>
        <v>-0.55000000000000004</v>
      </c>
      <c r="AL743" s="18">
        <f t="shared" si="116"/>
        <v>2019.9583333333333</v>
      </c>
      <c r="AM743" s="18">
        <f t="shared" si="117"/>
        <v>1.120000000000001</v>
      </c>
    </row>
    <row r="744" spans="1:39">
      <c r="A744" s="18" t="str">
        <f>IF(Volcanic!A744="","",Volcanic!A744)</f>
        <v>1/2020</v>
      </c>
      <c r="B744" s="18">
        <f>IF(ISNUMBER(Volcanic!L744),Volcanic!L744,"")</f>
        <v>2020.0416666666667</v>
      </c>
      <c r="C744" s="21">
        <v>0.11</v>
      </c>
      <c r="D744" s="18">
        <f t="shared" si="115"/>
        <v>0.12</v>
      </c>
      <c r="E744" s="18">
        <f>IF(ISNUMBER(Volcanic!B744),Volcanic!B744,"")</f>
        <v>1.1799999999999997</v>
      </c>
      <c r="F744" s="18">
        <f>IF(ISNUMBER(Volcanic!C744),Volcanic!C744,"")</f>
        <v>0.56277447665277325</v>
      </c>
      <c r="G744" s="18">
        <f>IF(ISNUMBER(Volcanic!E744),Volcanic!E744,"")</f>
        <v>6.28E-3</v>
      </c>
      <c r="H744" s="18">
        <f>IF(ISNUMBER(Volcanic!D744),Volcanic!D744,"")</f>
        <v>0.51</v>
      </c>
      <c r="I744" s="18">
        <f t="shared" si="109"/>
        <v>0.56277447665277325</v>
      </c>
      <c r="J744" s="18">
        <f t="shared" si="110"/>
        <v>6.28E-3</v>
      </c>
      <c r="K744" s="18">
        <f t="shared" si="111"/>
        <v>0.12</v>
      </c>
      <c r="L744" s="18">
        <f t="shared" si="112"/>
        <v>0.56277447665277325</v>
      </c>
      <c r="M744" s="18">
        <f t="shared" si="113"/>
        <v>6.28E-3</v>
      </c>
      <c r="N744" s="18">
        <f t="shared" si="114"/>
        <v>0.33852643951682182</v>
      </c>
      <c r="AK744" s="18">
        <f>IF(AND(ISNUMBER(C744),ISNUMBER(ENSO!F744)),C744-ENSO!F744,"")</f>
        <v>-0.6</v>
      </c>
      <c r="AL744" s="18">
        <f t="shared" si="116"/>
        <v>2020.0416666666667</v>
      </c>
      <c r="AM744" s="18">
        <f t="shared" si="117"/>
        <v>1.1799999999999997</v>
      </c>
    </row>
    <row r="745" spans="1:39">
      <c r="A745" s="18" t="str">
        <f>IF(Volcanic!A745="","",Volcanic!A745)</f>
        <v>2/2020</v>
      </c>
      <c r="B745" s="18">
        <f>IF(ISNUMBER(Volcanic!L745),Volcanic!L745,"")</f>
        <v>2020.125</v>
      </c>
      <c r="C745" s="21">
        <v>0.08</v>
      </c>
      <c r="D745" s="18">
        <f t="shared" si="115"/>
        <v>0.23</v>
      </c>
      <c r="E745" s="18">
        <f>IF(ISNUMBER(Volcanic!B745),Volcanic!B745,"")</f>
        <v>1.240000000000002</v>
      </c>
      <c r="F745" s="18">
        <f>IF(ISNUMBER(Volcanic!C745),Volcanic!C745,"")</f>
        <v>0.5653186364111572</v>
      </c>
      <c r="G745" s="18">
        <f>IF(ISNUMBER(Volcanic!E745),Volcanic!E745,"")</f>
        <v>1.026E-2</v>
      </c>
      <c r="H745" s="18">
        <f>IF(ISNUMBER(Volcanic!D745),Volcanic!D745,"")</f>
        <v>0.72</v>
      </c>
      <c r="I745" s="18">
        <f t="shared" si="109"/>
        <v>0.5653186364111572</v>
      </c>
      <c r="J745" s="18">
        <f t="shared" si="110"/>
        <v>1.026E-2</v>
      </c>
      <c r="K745" s="18">
        <f t="shared" si="111"/>
        <v>0.23</v>
      </c>
      <c r="L745" s="18">
        <f t="shared" si="112"/>
        <v>0.5653186364111572</v>
      </c>
      <c r="M745" s="18">
        <f t="shared" si="113"/>
        <v>1.026E-2</v>
      </c>
      <c r="N745" s="18">
        <f t="shared" si="114"/>
        <v>0.44921645900741991</v>
      </c>
      <c r="AK745" s="18">
        <f>IF(AND(ISNUMBER(C745),ISNUMBER(ENSO!F745)),C745-ENSO!F745,"")</f>
        <v>-0.58000000000000007</v>
      </c>
      <c r="AL745" s="18">
        <f t="shared" si="116"/>
        <v>2020.125</v>
      </c>
      <c r="AM745" s="18">
        <f t="shared" si="117"/>
        <v>1.240000000000002</v>
      </c>
    </row>
    <row r="746" spans="1:39">
      <c r="A746" s="18" t="str">
        <f>IF(Volcanic!A746="","",Volcanic!A746)</f>
        <v>3/2020</v>
      </c>
      <c r="B746" s="18">
        <f>IF(ISNUMBER(Volcanic!L746),Volcanic!L746,"")</f>
        <v>2020.2083333333333</v>
      </c>
      <c r="C746" s="21">
        <v>-0.03</v>
      </c>
      <c r="D746" s="18">
        <f t="shared" si="115"/>
        <v>0.2</v>
      </c>
      <c r="E746" s="18">
        <f>IF(ISNUMBER(Volcanic!B746),Volcanic!B746,"")</f>
        <v>1.1799999999999997</v>
      </c>
      <c r="F746" s="18">
        <f>IF(ISNUMBER(Volcanic!C746),Volcanic!C746,"")</f>
        <v>0.56671079616493381</v>
      </c>
      <c r="G746" s="18">
        <f>IF(ISNUMBER(Volcanic!E746),Volcanic!E746,"")</f>
        <v>1.898E-2</v>
      </c>
      <c r="H746" s="18">
        <f>IF(ISNUMBER(Volcanic!D746),Volcanic!D746,"")</f>
        <v>0.75</v>
      </c>
      <c r="I746" s="18">
        <f t="shared" si="109"/>
        <v>0.56671079616493381</v>
      </c>
      <c r="J746" s="18">
        <f t="shared" si="110"/>
        <v>1.898E-2</v>
      </c>
      <c r="K746" s="18">
        <f t="shared" si="111"/>
        <v>0.2</v>
      </c>
      <c r="L746" s="18">
        <f t="shared" si="112"/>
        <v>0.56671079616493381</v>
      </c>
      <c r="M746" s="18">
        <f t="shared" si="113"/>
        <v>1.898E-2</v>
      </c>
      <c r="N746" s="18">
        <f t="shared" si="114"/>
        <v>0.41990647849801804</v>
      </c>
      <c r="AK746" s="18">
        <f>IF(AND(ISNUMBER(C746),ISNUMBER(ENSO!F746)),C746-ENSO!F746,"")</f>
        <v>-0.6</v>
      </c>
      <c r="AL746" s="18">
        <f t="shared" si="116"/>
        <v>2020.2083333333333</v>
      </c>
      <c r="AM746" s="18">
        <f t="shared" si="117"/>
        <v>1.1799999999999997</v>
      </c>
    </row>
    <row r="747" spans="1:39">
      <c r="A747" s="18" t="str">
        <f>IF(Volcanic!A747="","",Volcanic!A747)</f>
        <v>4/2020</v>
      </c>
      <c r="B747" s="18">
        <f>IF(ISNUMBER(Volcanic!L747),Volcanic!L747,"")</f>
        <v>2020.2916666666667</v>
      </c>
      <c r="C747" s="21">
        <v>-0.28000000000000003</v>
      </c>
      <c r="D747" s="18">
        <f t="shared" si="115"/>
        <v>0.11</v>
      </c>
      <c r="E747" s="18">
        <f>IF(ISNUMBER(Volcanic!B747),Volcanic!B747,"")</f>
        <v>1.120000000000001</v>
      </c>
      <c r="F747" s="18">
        <f>IF(ISNUMBER(Volcanic!C747),Volcanic!C747,"")</f>
        <v>0.57261253351296471</v>
      </c>
      <c r="G747" s="18">
        <f>IF(ISNUMBER(Volcanic!E747),Volcanic!E747,"")</f>
        <v>1.9550000000000001E-2</v>
      </c>
      <c r="H747" s="18">
        <f>IF(ISNUMBER(Volcanic!D747),Volcanic!D747,"")</f>
        <v>0.71</v>
      </c>
      <c r="I747" s="18">
        <f t="shared" si="109"/>
        <v>0.57261253351296471</v>
      </c>
      <c r="J747" s="18">
        <f t="shared" si="110"/>
        <v>1.9550000000000001E-2</v>
      </c>
      <c r="K747" s="18">
        <f t="shared" si="111"/>
        <v>0.11</v>
      </c>
      <c r="L747" s="18">
        <f t="shared" si="112"/>
        <v>0.57261253351296471</v>
      </c>
      <c r="M747" s="18">
        <f t="shared" si="113"/>
        <v>1.9550000000000001E-2</v>
      </c>
      <c r="N747" s="18">
        <f t="shared" si="114"/>
        <v>0.33059649798861612</v>
      </c>
      <c r="AK747" s="18">
        <f>IF(AND(ISNUMBER(C747),ISNUMBER(ENSO!F747)),C747-ENSO!F747,"")</f>
        <v>-0.6100000000000001</v>
      </c>
      <c r="AL747" s="18">
        <f t="shared" si="116"/>
        <v>2020.2916666666667</v>
      </c>
      <c r="AM747" s="18">
        <f t="shared" si="117"/>
        <v>1.120000000000001</v>
      </c>
    </row>
    <row r="748" spans="1:39">
      <c r="A748" s="18" t="str">
        <f>IF(Volcanic!A748="","",Volcanic!A748)</f>
        <v>5/2020</v>
      </c>
      <c r="B748" s="18">
        <f>IF(ISNUMBER(Volcanic!L748),Volcanic!L748,"")</f>
        <v>2020.375</v>
      </c>
      <c r="C748" s="21">
        <v>-0.56000000000000005</v>
      </c>
      <c r="D748" s="18">
        <f t="shared" si="115"/>
        <v>0.08</v>
      </c>
      <c r="E748" s="18">
        <f>IF(ISNUMBER(Volcanic!B748),Volcanic!B748,"")</f>
        <v>0.99000000000000021</v>
      </c>
      <c r="F748" s="18">
        <f>IF(ISNUMBER(Volcanic!C748),Volcanic!C748,"")</f>
        <v>0.57558894751138634</v>
      </c>
      <c r="G748" s="18">
        <f>IF(ISNUMBER(Volcanic!E748),Volcanic!E748,"")</f>
        <v>1.9689999999999999E-2</v>
      </c>
      <c r="H748" s="18">
        <f>IF(ISNUMBER(Volcanic!D748),Volcanic!D748,"")</f>
        <v>0.66</v>
      </c>
      <c r="I748" s="18">
        <f t="shared" si="109"/>
        <v>0.57558894751138634</v>
      </c>
      <c r="J748" s="18">
        <f t="shared" si="110"/>
        <v>1.9689999999999999E-2</v>
      </c>
      <c r="K748" s="18">
        <f t="shared" si="111"/>
        <v>0.08</v>
      </c>
      <c r="L748" s="18">
        <f t="shared" si="112"/>
        <v>0.57558894751138634</v>
      </c>
      <c r="M748" s="18">
        <f t="shared" si="113"/>
        <v>1.9689999999999999E-2</v>
      </c>
      <c r="N748" s="18">
        <f t="shared" si="114"/>
        <v>0.30128651747921426</v>
      </c>
      <c r="AK748" s="18">
        <f>IF(AND(ISNUMBER(C748),ISNUMBER(ENSO!F748)),C748-ENSO!F748,"")</f>
        <v>-0.60000000000000009</v>
      </c>
      <c r="AL748" s="18">
        <f t="shared" si="116"/>
        <v>2020.375</v>
      </c>
      <c r="AM748" s="18">
        <f t="shared" si="117"/>
        <v>0.99000000000000021</v>
      </c>
    </row>
    <row r="749" spans="1:39">
      <c r="A749" s="18" t="str">
        <f>IF(Volcanic!A749="","",Volcanic!A749)</f>
        <v>6/2020</v>
      </c>
      <c r="B749" s="18">
        <f>IF(ISNUMBER(Volcanic!L749),Volcanic!L749,"")</f>
        <v>2020.4583333333333</v>
      </c>
      <c r="C749" s="21">
        <v>-0.76</v>
      </c>
      <c r="D749" s="18">
        <f t="shared" si="115"/>
        <v>-0.03</v>
      </c>
      <c r="E749" s="18">
        <f>IF(ISNUMBER(Volcanic!B749),Volcanic!B749,"")</f>
        <v>0.91000000000000014</v>
      </c>
      <c r="F749" s="18">
        <f>IF(ISNUMBER(Volcanic!C749),Volcanic!C749,"")</f>
        <v>0.57316675010211449</v>
      </c>
      <c r="G749" s="18">
        <f>IF(ISNUMBER(Volcanic!E749),Volcanic!E749,"")</f>
        <v>1.771E-2</v>
      </c>
      <c r="H749" s="18">
        <f>IF(ISNUMBER(Volcanic!D749),Volcanic!D749,"")</f>
        <v>0.56999999999999995</v>
      </c>
      <c r="I749" s="18">
        <f t="shared" si="109"/>
        <v>0.57316675010211449</v>
      </c>
      <c r="J749" s="18">
        <f t="shared" si="110"/>
        <v>1.771E-2</v>
      </c>
      <c r="K749" s="18">
        <f t="shared" si="111"/>
        <v>-0.03</v>
      </c>
      <c r="L749" s="18">
        <f t="shared" si="112"/>
        <v>0.57316675010211449</v>
      </c>
      <c r="M749" s="18">
        <f t="shared" si="113"/>
        <v>1.771E-2</v>
      </c>
      <c r="N749" s="18">
        <f t="shared" si="114"/>
        <v>0.1919765369698159</v>
      </c>
      <c r="AK749" s="18">
        <f>IF(AND(ISNUMBER(C749),ISNUMBER(ENSO!F749)),C749-ENSO!F749,"")</f>
        <v>-0.58000000000000007</v>
      </c>
      <c r="AL749" s="18">
        <f t="shared" si="116"/>
        <v>2020.4583333333333</v>
      </c>
      <c r="AM749" s="18">
        <f t="shared" si="117"/>
        <v>0.91000000000000014</v>
      </c>
    </row>
    <row r="750" spans="1:39">
      <c r="A750" s="18" t="str">
        <f>IF(Volcanic!A750="","",Volcanic!A750)</f>
        <v>7/2020</v>
      </c>
      <c r="B750" s="18">
        <f>IF(ISNUMBER(Volcanic!L750),Volcanic!L750,"")</f>
        <v>2020.5416666666667</v>
      </c>
      <c r="C750" s="21">
        <v>-0.81</v>
      </c>
      <c r="D750" s="18">
        <f t="shared" si="115"/>
        <v>-0.28000000000000003</v>
      </c>
      <c r="E750" s="18">
        <f>IF(ISNUMBER(Volcanic!B750),Volcanic!B750,"")</f>
        <v>0.8900000000000059</v>
      </c>
      <c r="F750" s="18">
        <f>IF(ISNUMBER(Volcanic!C750),Volcanic!C750,"")</f>
        <v>0.56622369304750153</v>
      </c>
      <c r="G750" s="18">
        <f>IF(ISNUMBER(Volcanic!E750),Volcanic!E750,"")</f>
        <v>1.494E-2</v>
      </c>
      <c r="H750" s="18">
        <f>IF(ISNUMBER(Volcanic!D750),Volcanic!D750,"")</f>
        <v>0.33</v>
      </c>
      <c r="I750" s="18">
        <f t="shared" si="109"/>
        <v>0.56622369304750153</v>
      </c>
      <c r="J750" s="18">
        <f t="shared" si="110"/>
        <v>1.494E-2</v>
      </c>
      <c r="K750" s="18">
        <f t="shared" si="111"/>
        <v>-0.28000000000000003</v>
      </c>
      <c r="L750" s="18">
        <f t="shared" si="112"/>
        <v>0.56622369304750153</v>
      </c>
      <c r="M750" s="18">
        <f t="shared" si="113"/>
        <v>1.494E-2</v>
      </c>
      <c r="N750" s="18">
        <f t="shared" si="114"/>
        <v>-5.7333443539586026E-2</v>
      </c>
      <c r="AK750" s="18">
        <f>IF(AND(ISNUMBER(C750),ISNUMBER(ENSO!F750)),C750-ENSO!F750,"")</f>
        <v>-0.52</v>
      </c>
      <c r="AL750" s="18">
        <f t="shared" si="116"/>
        <v>2020.5416666666667</v>
      </c>
      <c r="AM750" s="18">
        <f t="shared" si="117"/>
        <v>0.8900000000000059</v>
      </c>
    </row>
    <row r="751" spans="1:39">
      <c r="A751" s="18" t="str">
        <f>IF(Volcanic!A751="","",Volcanic!A751)</f>
        <v>8/2020</v>
      </c>
      <c r="B751" s="18">
        <f>IF(ISNUMBER(Volcanic!L751),Volcanic!L751,"")</f>
        <v>2020.625</v>
      </c>
      <c r="C751" s="21">
        <v>-0.93</v>
      </c>
      <c r="D751" s="18">
        <f t="shared" si="115"/>
        <v>-0.56000000000000005</v>
      </c>
      <c r="E751" s="18">
        <f>IF(ISNUMBER(Volcanic!B751),Volcanic!B751,"")</f>
        <v>0.86000000000000121</v>
      </c>
      <c r="F751" s="18">
        <f>IF(ISNUMBER(Volcanic!C751),Volcanic!C751,"")</f>
        <v>0.55984138796829153</v>
      </c>
      <c r="G751" s="18">
        <f>IF(ISNUMBER(Volcanic!E751),Volcanic!E751,"")</f>
        <v>1.8069999999999999E-2</v>
      </c>
      <c r="H751" s="18">
        <f>IF(ISNUMBER(Volcanic!D751),Volcanic!D751,"")</f>
        <v>0.04</v>
      </c>
      <c r="I751" s="18">
        <f t="shared" si="109"/>
        <v>0.55984138796829153</v>
      </c>
      <c r="J751" s="18">
        <f t="shared" si="110"/>
        <v>1.8069999999999999E-2</v>
      </c>
      <c r="K751" s="18">
        <f t="shared" si="111"/>
        <v>-0.56000000000000005</v>
      </c>
      <c r="L751" s="18">
        <f t="shared" si="112"/>
        <v>0.55984138796829153</v>
      </c>
      <c r="M751" s="18">
        <f t="shared" si="113"/>
        <v>1.8069999999999999E-2</v>
      </c>
      <c r="N751" s="18">
        <f t="shared" si="114"/>
        <v>-0.33664342404898795</v>
      </c>
      <c r="AK751" s="18">
        <f>IF(AND(ISNUMBER(C751),ISNUMBER(ENSO!F751)),C751-ENSO!F751,"")</f>
        <v>-0.5</v>
      </c>
      <c r="AL751" s="18">
        <f t="shared" si="116"/>
        <v>2020.625</v>
      </c>
      <c r="AM751" s="18">
        <f t="shared" si="117"/>
        <v>0.86000000000000121</v>
      </c>
    </row>
    <row r="752" spans="1:39">
      <c r="A752" s="18" t="str">
        <f>IF(Volcanic!A752="","",Volcanic!A752)</f>
        <v>9/2020</v>
      </c>
      <c r="B752" s="18">
        <f>IF(ISNUMBER(Volcanic!L752),Volcanic!L752,"")</f>
        <v>2020.7083333333333</v>
      </c>
      <c r="C752" s="21">
        <v>-1.23</v>
      </c>
      <c r="D752" s="18">
        <f t="shared" si="115"/>
        <v>-0.76</v>
      </c>
      <c r="E752" s="18">
        <f>IF(ISNUMBER(Volcanic!B752),Volcanic!B752,"")</f>
        <v>0.95999999999999908</v>
      </c>
      <c r="F752" s="18">
        <f>IF(ISNUMBER(Volcanic!C752),Volcanic!C752,"")</f>
        <v>0.5554656034766593</v>
      </c>
      <c r="G752" s="18">
        <f>IF(ISNUMBER(Volcanic!E752),Volcanic!E752,"")</f>
        <v>2.5749999999999999E-2</v>
      </c>
      <c r="H752" s="18">
        <f>IF(ISNUMBER(Volcanic!D752),Volcanic!D752,"")</f>
        <v>-0.18</v>
      </c>
      <c r="I752" s="18">
        <f t="shared" si="109"/>
        <v>0.5554656034766593</v>
      </c>
      <c r="J752" s="18">
        <f t="shared" si="110"/>
        <v>2.5749999999999999E-2</v>
      </c>
      <c r="K752" s="18">
        <f t="shared" si="111"/>
        <v>-0.76</v>
      </c>
      <c r="L752" s="18">
        <f t="shared" si="112"/>
        <v>0.5554656034766593</v>
      </c>
      <c r="M752" s="18">
        <f t="shared" si="113"/>
        <v>2.5749999999999999E-2</v>
      </c>
      <c r="N752" s="18">
        <f t="shared" si="114"/>
        <v>-0.5359534045583898</v>
      </c>
      <c r="AK752" s="18">
        <f>IF(AND(ISNUMBER(C752),ISNUMBER(ENSO!F752)),C752-ENSO!F752,"")</f>
        <v>-0.45999999999999996</v>
      </c>
      <c r="AL752" s="18">
        <f t="shared" si="116"/>
        <v>2020.7083333333333</v>
      </c>
      <c r="AM752" s="18">
        <f t="shared" si="117"/>
        <v>0.95999999999999908</v>
      </c>
    </row>
    <row r="753" spans="1:39">
      <c r="A753" s="18" t="str">
        <f>IF(Volcanic!A753="","",Volcanic!A753)</f>
        <v>10/2020</v>
      </c>
      <c r="B753" s="18">
        <f>IF(ISNUMBER(Volcanic!L753),Volcanic!L753,"")</f>
        <v>2020.7916666666667</v>
      </c>
      <c r="C753" s="21">
        <v>-1.47</v>
      </c>
      <c r="D753" s="18">
        <f t="shared" si="115"/>
        <v>-0.81</v>
      </c>
      <c r="E753" s="18">
        <f>IF(ISNUMBER(Volcanic!B753),Volcanic!B753,"")</f>
        <v>0.86999999999999744</v>
      </c>
      <c r="F753" s="18">
        <f>IF(ISNUMBER(Volcanic!C753),Volcanic!C753,"")</f>
        <v>0.55543054363289546</v>
      </c>
      <c r="G753" s="18">
        <f>IF(ISNUMBER(Volcanic!E753),Volcanic!E753,"")</f>
        <v>1.8339999999999999E-2</v>
      </c>
      <c r="H753" s="18">
        <f>IF(ISNUMBER(Volcanic!D753),Volcanic!D753,"")</f>
        <v>-0.28999999999999998</v>
      </c>
      <c r="I753" s="18">
        <f t="shared" si="109"/>
        <v>0.55543054363289546</v>
      </c>
      <c r="J753" s="18">
        <f t="shared" si="110"/>
        <v>1.8339999999999999E-2</v>
      </c>
      <c r="K753" s="18">
        <f t="shared" si="111"/>
        <v>-0.81</v>
      </c>
      <c r="L753" s="18">
        <f t="shared" si="112"/>
        <v>0.55543054363289546</v>
      </c>
      <c r="M753" s="18">
        <f t="shared" si="113"/>
        <v>1.8339999999999999E-2</v>
      </c>
      <c r="N753" s="18">
        <f t="shared" si="114"/>
        <v>-0.58526338506778819</v>
      </c>
      <c r="AK753" s="18">
        <f>IF(AND(ISNUMBER(C753),ISNUMBER(ENSO!F753)),C753-ENSO!F753,"")</f>
        <v>-0.47</v>
      </c>
      <c r="AL753" s="18">
        <f t="shared" si="116"/>
        <v>2020.7916666666667</v>
      </c>
      <c r="AM753" s="18">
        <f t="shared" si="117"/>
        <v>0.86999999999999744</v>
      </c>
    </row>
    <row r="754" spans="1:39">
      <c r="A754" s="18" t="str">
        <f>IF(Volcanic!A754="","",Volcanic!A754)</f>
        <v>11/2020</v>
      </c>
      <c r="B754" s="18">
        <f>IF(ISNUMBER(Volcanic!L754),Volcanic!L754,"")</f>
        <v>2020.875</v>
      </c>
      <c r="C754" s="21">
        <v>-1.54</v>
      </c>
      <c r="D754" s="18">
        <f t="shared" si="115"/>
        <v>-0.93</v>
      </c>
      <c r="E754" s="18">
        <f>IF(ISNUMBER(Volcanic!B754),Volcanic!B754,"")</f>
        <v>1.0899999999999999</v>
      </c>
      <c r="F754" s="18">
        <f>IF(ISNUMBER(Volcanic!C754),Volcanic!C754,"")</f>
        <v>0.56106423302379171</v>
      </c>
      <c r="G754" s="18">
        <f>IF(ISNUMBER(Volcanic!E754),Volcanic!E754,"")</f>
        <v>1.528E-2</v>
      </c>
      <c r="H754" s="18">
        <f>IF(ISNUMBER(Volcanic!D754),Volcanic!D754,"")</f>
        <v>-0.43</v>
      </c>
      <c r="I754" s="18">
        <f t="shared" si="109"/>
        <v>0.56106423302379171</v>
      </c>
      <c r="J754" s="18">
        <f t="shared" si="110"/>
        <v>1.528E-2</v>
      </c>
      <c r="K754" s="18">
        <f t="shared" si="111"/>
        <v>-0.93</v>
      </c>
      <c r="L754" s="18">
        <f t="shared" si="112"/>
        <v>0.56106423302379171</v>
      </c>
      <c r="M754" s="18">
        <f t="shared" si="113"/>
        <v>1.528E-2</v>
      </c>
      <c r="N754" s="18">
        <f t="shared" si="114"/>
        <v>-0.70457336557719008</v>
      </c>
      <c r="AK754" s="18">
        <f>IF(AND(ISNUMBER(C754),ISNUMBER(ENSO!F754)),C754-ENSO!F754,"")</f>
        <v>-0.42999999999999994</v>
      </c>
      <c r="AL754" s="18">
        <f t="shared" si="116"/>
        <v>2020.875</v>
      </c>
      <c r="AM754" s="18">
        <f t="shared" si="117"/>
        <v>1.0899999999999999</v>
      </c>
    </row>
    <row r="755" spans="1:39">
      <c r="A755" s="18" t="str">
        <f>IF(Volcanic!A755="","",Volcanic!A755)</f>
        <v>12/2020</v>
      </c>
      <c r="B755" s="18">
        <f>IF(ISNUMBER(Volcanic!L755),Volcanic!L755,"")</f>
        <v>2020.9583333333333</v>
      </c>
      <c r="C755" s="21">
        <v>-1.37</v>
      </c>
      <c r="D755" s="18">
        <f t="shared" si="115"/>
        <v>-1.23</v>
      </c>
      <c r="E755" s="18">
        <f>IF(ISNUMBER(Volcanic!B755),Volcanic!B755,"")</f>
        <v>0.79999999999999893</v>
      </c>
      <c r="F755" s="18">
        <f>IF(ISNUMBER(Volcanic!C755),Volcanic!C755,"")</f>
        <v>0.56500521524359781</v>
      </c>
      <c r="G755" s="18">
        <f>IF(ISNUMBER(Volcanic!E755),Volcanic!E755,"")</f>
        <v>1.337E-2</v>
      </c>
      <c r="H755" s="18">
        <f>IF(ISNUMBER(Volcanic!D755),Volcanic!D755,"")</f>
        <v>-0.77</v>
      </c>
      <c r="I755" s="18">
        <f t="shared" si="109"/>
        <v>0.56500521524359781</v>
      </c>
      <c r="J755" s="18">
        <f t="shared" si="110"/>
        <v>1.337E-2</v>
      </c>
      <c r="K755" s="18">
        <f t="shared" si="111"/>
        <v>-1.23</v>
      </c>
      <c r="L755" s="18">
        <f t="shared" si="112"/>
        <v>0.56500521524359781</v>
      </c>
      <c r="M755" s="18">
        <f t="shared" si="113"/>
        <v>1.337E-2</v>
      </c>
      <c r="N755" s="18">
        <f t="shared" si="114"/>
        <v>-1.0038833460865919</v>
      </c>
      <c r="AK755" s="18">
        <f>IF(AND(ISNUMBER(C755),ISNUMBER(ENSO!F755)),C755-ENSO!F755,"")</f>
        <v>-0.31000000000000005</v>
      </c>
      <c r="AL755" s="18">
        <f t="shared" si="116"/>
        <v>2020.9583333333333</v>
      </c>
      <c r="AM755" s="18">
        <f t="shared" si="117"/>
        <v>0.79999999999999893</v>
      </c>
    </row>
    <row r="756" spans="1:39">
      <c r="A756" s="18" t="str">
        <f>IF(Volcanic!A756="","",Volcanic!A756)</f>
        <v>1/2021</v>
      </c>
      <c r="B756" s="18">
        <f>IF(ISNUMBER(Volcanic!L756),Volcanic!L756,"")</f>
        <v>2021.0416666666667</v>
      </c>
      <c r="C756" s="21">
        <v>-1.18</v>
      </c>
      <c r="D756" s="18">
        <f t="shared" si="115"/>
        <v>-1.47</v>
      </c>
      <c r="E756" s="18">
        <f>IF(ISNUMBER(Volcanic!B756),Volcanic!B756,"")</f>
        <v>0.82000000000000028</v>
      </c>
      <c r="F756" s="18">
        <f>IF(ISNUMBER(Volcanic!C756),Volcanic!C756,"")</f>
        <v>0.56938692750523079</v>
      </c>
      <c r="G756" s="18">
        <f>IF(ISNUMBER(Volcanic!E756),Volcanic!E756,"")</f>
        <v>1.159E-2</v>
      </c>
      <c r="H756" s="18">
        <f>IF(ISNUMBER(Volcanic!D756),Volcanic!D756,"")</f>
        <v>-1</v>
      </c>
      <c r="I756" s="18">
        <f t="shared" si="109"/>
        <v>0.56938692750523079</v>
      </c>
      <c r="J756" s="18">
        <f t="shared" si="110"/>
        <v>1.159E-2</v>
      </c>
      <c r="K756" s="18">
        <f t="shared" si="111"/>
        <v>-1.47</v>
      </c>
      <c r="L756" s="18">
        <f t="shared" si="112"/>
        <v>0.56938692750523079</v>
      </c>
      <c r="M756" s="18">
        <f t="shared" si="113"/>
        <v>1.159E-2</v>
      </c>
      <c r="N756" s="18">
        <f t="shared" si="114"/>
        <v>-1.2431933265959902</v>
      </c>
      <c r="AK756" s="18">
        <f>IF(AND(ISNUMBER(C756),ISNUMBER(ENSO!F756)),C756-ENSO!F756,"")</f>
        <v>-0.18999999999999995</v>
      </c>
      <c r="AL756" s="18">
        <f t="shared" si="116"/>
        <v>2021.0416666666667</v>
      </c>
      <c r="AM756" s="18">
        <f t="shared" si="117"/>
        <v>0.82000000000000028</v>
      </c>
    </row>
    <row r="757" spans="1:39">
      <c r="A757" s="18" t="str">
        <f>IF(Volcanic!A757="","",Volcanic!A757)</f>
        <v>2/2021</v>
      </c>
      <c r="B757" s="18">
        <f>IF(ISNUMBER(Volcanic!L757),Volcanic!L757,"")</f>
        <v>2021.125</v>
      </c>
      <c r="C757" s="21">
        <v>-1.04</v>
      </c>
      <c r="D757" s="18">
        <f t="shared" si="115"/>
        <v>-1.54</v>
      </c>
      <c r="E757" s="18">
        <f>IF(ISNUMBER(Volcanic!B757),Volcanic!B757,"")</f>
        <v>0.64000000000000234</v>
      </c>
      <c r="F757" s="18">
        <f>IF(ISNUMBER(Volcanic!C757),Volcanic!C757,"")</f>
        <v>0.57365151503101131</v>
      </c>
      <c r="G757" s="18">
        <f>IF(ISNUMBER(Volcanic!E757),Volcanic!E757,"")</f>
        <v>1.061E-2</v>
      </c>
      <c r="H757" s="18">
        <f>IF(ISNUMBER(Volcanic!D757),Volcanic!D757,"")</f>
        <v>-1.1100000000000001</v>
      </c>
      <c r="I757" s="18">
        <f t="shared" si="109"/>
        <v>0.57365151503101131</v>
      </c>
      <c r="J757" s="18">
        <f t="shared" si="110"/>
        <v>1.061E-2</v>
      </c>
      <c r="K757" s="18">
        <f t="shared" si="111"/>
        <v>-1.54</v>
      </c>
      <c r="L757" s="18">
        <f t="shared" si="112"/>
        <v>0.57365151503101131</v>
      </c>
      <c r="M757" s="18">
        <f t="shared" si="113"/>
        <v>1.061E-2</v>
      </c>
      <c r="N757" s="18">
        <f t="shared" si="114"/>
        <v>-1.3125033071053922</v>
      </c>
      <c r="AK757" s="18">
        <f>IF(AND(ISNUMBER(C757),ISNUMBER(ENSO!F757)),C757-ENSO!F757,"")</f>
        <v>-0.19000000000000006</v>
      </c>
      <c r="AL757" s="18">
        <f t="shared" si="116"/>
        <v>2021.125</v>
      </c>
      <c r="AM757" s="18">
        <f t="shared" si="117"/>
        <v>0.64000000000000234</v>
      </c>
    </row>
    <row r="758" spans="1:39">
      <c r="A758" s="18" t="str">
        <f>IF(Volcanic!A758="","",Volcanic!A758)</f>
        <v>3/2021</v>
      </c>
      <c r="B758" s="18">
        <f>IF(ISNUMBER(Volcanic!L758),Volcanic!L758,"")</f>
        <v>2021.2083333333333</v>
      </c>
      <c r="C758" s="21">
        <v>-0.98</v>
      </c>
      <c r="D758" s="18">
        <f t="shared" si="115"/>
        <v>-1.37</v>
      </c>
      <c r="E758" s="18">
        <f>IF(ISNUMBER(Volcanic!B758),Volcanic!B758,"")</f>
        <v>0.8900000000000059</v>
      </c>
      <c r="F758" s="18">
        <f>IF(ISNUMBER(Volcanic!C758),Volcanic!C758,"")</f>
        <v>0.57672943161896173</v>
      </c>
      <c r="G758" s="18">
        <f>IF(ISNUMBER(Volcanic!E758),Volcanic!E758,"")</f>
        <v>1.0070000000000001E-2</v>
      </c>
      <c r="H758" s="18">
        <f>IF(ISNUMBER(Volcanic!D758),Volcanic!D758,"")</f>
        <v>-1.06</v>
      </c>
      <c r="I758" s="18">
        <f t="shared" si="109"/>
        <v>0.57672943161896173</v>
      </c>
      <c r="J758" s="18">
        <f t="shared" si="110"/>
        <v>1.0070000000000001E-2</v>
      </c>
      <c r="K758" s="18">
        <f t="shared" si="111"/>
        <v>-1.37</v>
      </c>
      <c r="L758" s="18">
        <f t="shared" si="112"/>
        <v>0.57672943161896173</v>
      </c>
      <c r="M758" s="18">
        <f t="shared" si="113"/>
        <v>1.0070000000000001E-2</v>
      </c>
      <c r="N758" s="18">
        <f t="shared" si="114"/>
        <v>-1.1418132876147942</v>
      </c>
      <c r="AK758" s="18">
        <f>IF(AND(ISNUMBER(C758),ISNUMBER(ENSO!F758)),C758-ENSO!F758,"")</f>
        <v>-0.24</v>
      </c>
      <c r="AL758" s="18">
        <f t="shared" si="116"/>
        <v>2021.2083333333333</v>
      </c>
      <c r="AM758" s="18">
        <f t="shared" si="117"/>
        <v>0.8900000000000059</v>
      </c>
    </row>
    <row r="759" spans="1:39">
      <c r="A759" s="18" t="str">
        <f>IF(Volcanic!A759="","",Volcanic!A759)</f>
        <v>4/2021</v>
      </c>
      <c r="B759" s="18">
        <f>IF(ISNUMBER(Volcanic!L759),Volcanic!L759,"")</f>
        <v>2021.2916666666667</v>
      </c>
      <c r="C759" s="21">
        <v>-0.79</v>
      </c>
      <c r="D759" s="18">
        <f t="shared" si="115"/>
        <v>-1.18</v>
      </c>
      <c r="E759" s="18">
        <f>IF(ISNUMBER(Volcanic!B759),Volcanic!B759,"")</f>
        <v>0.75999999999999801</v>
      </c>
      <c r="F759" s="18">
        <f>IF(ISNUMBER(Volcanic!C759),Volcanic!C759,"")</f>
        <v>0.58155784820606116</v>
      </c>
      <c r="G759" s="18">
        <f>IF(ISNUMBER(Volcanic!E759),Volcanic!E759,"")</f>
        <v>1.0240000000000001E-2</v>
      </c>
      <c r="H759" s="18">
        <f>IF(ISNUMBER(Volcanic!D759),Volcanic!D759,"")</f>
        <v>-0.99</v>
      </c>
      <c r="I759" s="18">
        <f t="shared" si="109"/>
        <v>0.58155784820606116</v>
      </c>
      <c r="J759" s="18">
        <f t="shared" si="110"/>
        <v>1.0240000000000001E-2</v>
      </c>
      <c r="K759" s="18">
        <f t="shared" si="111"/>
        <v>-1.18</v>
      </c>
      <c r="L759" s="18">
        <f t="shared" si="112"/>
        <v>0.58155784820606116</v>
      </c>
      <c r="M759" s="18">
        <f t="shared" si="113"/>
        <v>1.0240000000000001E-2</v>
      </c>
      <c r="N759" s="18">
        <f t="shared" si="114"/>
        <v>-0.95112326812419234</v>
      </c>
      <c r="AK759" s="18">
        <f>IF(AND(ISNUMBER(C759),ISNUMBER(ENSO!F759)),C759-ENSO!F759,"")</f>
        <v>-0.22999999999999998</v>
      </c>
      <c r="AL759" s="18">
        <f t="shared" si="116"/>
        <v>2021.2916666666667</v>
      </c>
      <c r="AM759" s="18">
        <f t="shared" si="117"/>
        <v>0.75999999999999801</v>
      </c>
    </row>
    <row r="760" spans="1:39">
      <c r="A760" s="18" t="str">
        <f>IF(Volcanic!A760="","",Volcanic!A760)</f>
        <v>5/2021</v>
      </c>
      <c r="B760" s="18">
        <f>IF(ISNUMBER(Volcanic!L760),Volcanic!L760,"")</f>
        <v>2021.375</v>
      </c>
      <c r="C760" s="21">
        <v>-0.61</v>
      </c>
      <c r="D760" s="18">
        <f t="shared" si="115"/>
        <v>-1.04</v>
      </c>
      <c r="E760" s="18">
        <f>IF(ISNUMBER(Volcanic!B760),Volcanic!B760,"")</f>
        <v>0.79000000000000092</v>
      </c>
      <c r="F760" s="18">
        <f>IF(ISNUMBER(Volcanic!C760),Volcanic!C760,"")</f>
        <v>0.58183327024071485</v>
      </c>
      <c r="G760" s="18">
        <f>IF(ISNUMBER(Volcanic!E760),Volcanic!E760,"")</f>
        <v>1.022E-2</v>
      </c>
      <c r="H760" s="18">
        <f>IF(ISNUMBER(Volcanic!D760),Volcanic!D760,"")</f>
        <v>-0.85</v>
      </c>
      <c r="I760" s="18">
        <f t="shared" si="109"/>
        <v>0.58183327024071485</v>
      </c>
      <c r="J760" s="18">
        <f t="shared" si="110"/>
        <v>1.022E-2</v>
      </c>
      <c r="K760" s="18">
        <f t="shared" si="111"/>
        <v>-1.04</v>
      </c>
      <c r="L760" s="18">
        <f t="shared" si="112"/>
        <v>0.58183327024071485</v>
      </c>
      <c r="M760" s="18">
        <f t="shared" si="113"/>
        <v>1.022E-2</v>
      </c>
      <c r="N760" s="18">
        <f t="shared" si="114"/>
        <v>-0.81043324863359434</v>
      </c>
      <c r="AK760" s="18">
        <f>IF(AND(ISNUMBER(C760),ISNUMBER(ENSO!F760)),C760-ENSO!F760,"")</f>
        <v>-0.20999999999999996</v>
      </c>
      <c r="AL760" s="18">
        <f t="shared" si="116"/>
        <v>2021.375</v>
      </c>
      <c r="AM760" s="18">
        <f t="shared" si="117"/>
        <v>0.79000000000000092</v>
      </c>
    </row>
    <row r="761" spans="1:39">
      <c r="A761" s="18" t="str">
        <f>IF(Volcanic!A761="","",Volcanic!A761)</f>
        <v>6/2021</v>
      </c>
      <c r="B761" s="18">
        <f>IF(ISNUMBER(Volcanic!L761),Volcanic!L761,"")</f>
        <v>2021.4583333333333</v>
      </c>
      <c r="C761" s="21">
        <v>-0.52</v>
      </c>
      <c r="D761" s="18">
        <f t="shared" si="115"/>
        <v>-0.98</v>
      </c>
      <c r="E761" s="18">
        <f>IF(ISNUMBER(Volcanic!B761),Volcanic!B761,"")</f>
        <v>0.8500000000000032</v>
      </c>
      <c r="F761" s="18">
        <f>IF(ISNUMBER(Volcanic!C761),Volcanic!C761,"")</f>
        <v>0.5812823735810958</v>
      </c>
      <c r="G761" s="18">
        <f>IF(ISNUMBER(Volcanic!E761),Volcanic!E761,"")</f>
        <v>1.0319999999999999E-2</v>
      </c>
      <c r="H761" s="18">
        <f>IF(ISNUMBER(Volcanic!D761),Volcanic!D761,"")</f>
        <v>-0.74</v>
      </c>
      <c r="I761" s="18">
        <f t="shared" si="109"/>
        <v>0.5812823735810958</v>
      </c>
      <c r="J761" s="18">
        <f t="shared" si="110"/>
        <v>1.0319999999999999E-2</v>
      </c>
      <c r="K761" s="18">
        <f t="shared" si="111"/>
        <v>-0.98</v>
      </c>
      <c r="L761" s="18">
        <f t="shared" si="112"/>
        <v>0.5812823735810958</v>
      </c>
      <c r="M761" s="18">
        <f t="shared" si="113"/>
        <v>1.0319999999999999E-2</v>
      </c>
      <c r="N761" s="18">
        <f t="shared" si="114"/>
        <v>-0.74974322914299618</v>
      </c>
      <c r="AK761" s="18">
        <f>IF(AND(ISNUMBER(C761),ISNUMBER(ENSO!F761)),C761-ENSO!F761,"")</f>
        <v>-0.21000000000000002</v>
      </c>
      <c r="AL761" s="18">
        <f t="shared" si="116"/>
        <v>2021.4583333333333</v>
      </c>
      <c r="AM761" s="18">
        <f t="shared" si="117"/>
        <v>0.8500000000000032</v>
      </c>
    </row>
    <row r="762" spans="1:39">
      <c r="A762" s="18" t="str">
        <f>IF(Volcanic!A762="","",Volcanic!A762)</f>
        <v>7/2021</v>
      </c>
      <c r="B762" s="18">
        <f>IF(ISNUMBER(Volcanic!L762),Volcanic!L762,"")</f>
        <v>2021.5416666666667</v>
      </c>
      <c r="C762" s="21">
        <v>-0.59</v>
      </c>
      <c r="D762" s="18">
        <f t="shared" si="115"/>
        <v>-0.79</v>
      </c>
      <c r="E762" s="18">
        <f>IF(ISNUMBER(Volcanic!B762),Volcanic!B762,"")</f>
        <v>0.91999999999999993</v>
      </c>
      <c r="F762" s="18">
        <f>IF(ISNUMBER(Volcanic!C762),Volcanic!C762,"")</f>
        <v>0.57427454497606012</v>
      </c>
      <c r="G762" s="18">
        <f>IF(ISNUMBER(Volcanic!E762),Volcanic!E762,"")</f>
        <v>9.7000000000000003E-3</v>
      </c>
      <c r="H762" s="18">
        <f>IF(ISNUMBER(Volcanic!D762),Volcanic!D762,"")</f>
        <v>-0.56000000000000005</v>
      </c>
      <c r="I762" s="18">
        <f t="shared" si="109"/>
        <v>0.57427454497606012</v>
      </c>
      <c r="J762" s="18">
        <f t="shared" si="110"/>
        <v>9.7000000000000003E-3</v>
      </c>
      <c r="K762" s="18">
        <f t="shared" si="111"/>
        <v>-0.79</v>
      </c>
      <c r="L762" s="18">
        <f t="shared" si="112"/>
        <v>0.57427454497606012</v>
      </c>
      <c r="M762" s="18">
        <f t="shared" si="113"/>
        <v>9.7000000000000003E-3</v>
      </c>
      <c r="N762" s="18">
        <f t="shared" si="114"/>
        <v>-0.55905320965239813</v>
      </c>
      <c r="AK762" s="18">
        <f>IF(AND(ISNUMBER(C762),ISNUMBER(ENSO!F762)),C762-ENSO!F762,"")</f>
        <v>-0.24</v>
      </c>
      <c r="AL762" s="18">
        <f t="shared" si="116"/>
        <v>2021.5416666666667</v>
      </c>
      <c r="AM762" s="18">
        <f t="shared" si="117"/>
        <v>0.91999999999999993</v>
      </c>
    </row>
    <row r="763" spans="1:39">
      <c r="A763" s="18" t="str">
        <f>IF(Volcanic!A763="","",Volcanic!A763)</f>
        <v>8/2021</v>
      </c>
      <c r="B763" s="18">
        <f>IF(ISNUMBER(Volcanic!L763),Volcanic!L763,"")</f>
        <v>2021.625</v>
      </c>
      <c r="C763" s="21">
        <v>-0.72</v>
      </c>
      <c r="D763" s="18">
        <f t="shared" si="115"/>
        <v>-0.61</v>
      </c>
      <c r="E763" s="18">
        <f>IF(ISNUMBER(Volcanic!B763),Volcanic!B763,"")</f>
        <v>0.81000000000000227</v>
      </c>
      <c r="F763" s="18">
        <f>IF(ISNUMBER(Volcanic!C763),Volcanic!C763,"")</f>
        <v>0.56566680231310262</v>
      </c>
      <c r="G763" s="18">
        <f>IF(ISNUMBER(Volcanic!E763),Volcanic!E763,"")</f>
        <v>8.9800000000000001E-3</v>
      </c>
      <c r="H763" s="18">
        <f>IF(ISNUMBER(Volcanic!D763),Volcanic!D763,"")</f>
        <v>-0.4</v>
      </c>
      <c r="I763" s="18">
        <f t="shared" si="109"/>
        <v>0.56566680231310262</v>
      </c>
      <c r="J763" s="18">
        <f t="shared" si="110"/>
        <v>8.9800000000000001E-3</v>
      </c>
      <c r="K763" s="18">
        <f t="shared" si="111"/>
        <v>-0.61</v>
      </c>
      <c r="L763" s="18">
        <f t="shared" si="112"/>
        <v>0.56566680231310262</v>
      </c>
      <c r="M763" s="18">
        <f t="shared" si="113"/>
        <v>8.9800000000000001E-3</v>
      </c>
      <c r="N763" s="18">
        <f t="shared" si="114"/>
        <v>-0.37836319016179998</v>
      </c>
      <c r="AK763" s="18">
        <f>IF(AND(ISNUMBER(C763),ISNUMBER(ENSO!F763)),C763-ENSO!F763,"")</f>
        <v>-0.25999999999999995</v>
      </c>
      <c r="AL763" s="18">
        <f t="shared" si="116"/>
        <v>2021.625</v>
      </c>
      <c r="AM763" s="18">
        <f t="shared" si="117"/>
        <v>0.81000000000000227</v>
      </c>
    </row>
    <row r="764" spans="1:39">
      <c r="A764" s="18" t="str">
        <f>IF(Volcanic!A764="","",Volcanic!A764)</f>
        <v>9/2021</v>
      </c>
      <c r="B764" s="18">
        <f>IF(ISNUMBER(Volcanic!L764),Volcanic!L764,"")</f>
        <v>2021.7083333333333</v>
      </c>
      <c r="C764" s="21">
        <v>-0.92</v>
      </c>
      <c r="D764" s="18">
        <f t="shared" si="115"/>
        <v>-0.52</v>
      </c>
      <c r="E764" s="18">
        <f>IF(ISNUMBER(Volcanic!B764),Volcanic!B764,"")</f>
        <v>0.91999999999999993</v>
      </c>
      <c r="F764" s="18">
        <f>IF(ISNUMBER(Volcanic!C764),Volcanic!C764,"")</f>
        <v>0.56162290287573691</v>
      </c>
      <c r="G764" s="18">
        <f>IF(ISNUMBER(Volcanic!E764),Volcanic!E764,"")</f>
        <v>8.4200000000000004E-3</v>
      </c>
      <c r="H764" s="18">
        <f>IF(ISNUMBER(Volcanic!D764),Volcanic!D764,"")</f>
        <v>-0.31</v>
      </c>
      <c r="I764" s="18">
        <f t="shared" si="109"/>
        <v>0.56162290287573691</v>
      </c>
      <c r="J764" s="18">
        <f t="shared" si="110"/>
        <v>8.4200000000000004E-3</v>
      </c>
      <c r="K764" s="18">
        <f t="shared" si="111"/>
        <v>-0.52</v>
      </c>
      <c r="L764" s="18">
        <f t="shared" si="112"/>
        <v>0.56162290287573691</v>
      </c>
      <c r="M764" s="18">
        <f t="shared" si="113"/>
        <v>8.4200000000000004E-3</v>
      </c>
      <c r="N764" s="18">
        <f t="shared" si="114"/>
        <v>-0.28767317067120191</v>
      </c>
      <c r="AK764" s="18">
        <f>IF(AND(ISNUMBER(C764),ISNUMBER(ENSO!F764)),C764-ENSO!F764,"")</f>
        <v>-0.28000000000000003</v>
      </c>
      <c r="AL764" s="18">
        <f t="shared" si="116"/>
        <v>2021.7083333333333</v>
      </c>
      <c r="AM764" s="18">
        <f t="shared" si="117"/>
        <v>0.91999999999999993</v>
      </c>
    </row>
    <row r="765" spans="1:39">
      <c r="A765" s="18" t="str">
        <f>IF(Volcanic!A765="","",Volcanic!A765)</f>
        <v>10/2021</v>
      </c>
      <c r="B765" s="18">
        <f>IF(ISNUMBER(Volcanic!L765),Volcanic!L765,"")</f>
        <v>2021.7916666666667</v>
      </c>
      <c r="C765" s="21">
        <v>-1.06</v>
      </c>
      <c r="D765" s="18">
        <f t="shared" si="115"/>
        <v>-0.59</v>
      </c>
      <c r="E765" s="18">
        <f>IF(ISNUMBER(Volcanic!B765),Volcanic!B765,"")</f>
        <v>0.97999999999999865</v>
      </c>
      <c r="F765" s="18">
        <f>IF(ISNUMBER(Volcanic!C765),Volcanic!C765,"")</f>
        <v>0.56385542139796185</v>
      </c>
      <c r="G765" s="18">
        <f>IF(ISNUMBER(Volcanic!E765),Volcanic!E765,"")</f>
        <v>8.0099999999999998E-3</v>
      </c>
      <c r="H765" s="18">
        <f>IF(ISNUMBER(Volcanic!D765),Volcanic!D765,"")</f>
        <v>-0.35</v>
      </c>
      <c r="I765" s="18">
        <f t="shared" si="109"/>
        <v>0.56385542139796185</v>
      </c>
      <c r="J765" s="18">
        <f t="shared" si="110"/>
        <v>8.0099999999999998E-3</v>
      </c>
      <c r="K765" s="18">
        <f t="shared" si="111"/>
        <v>-0.59</v>
      </c>
      <c r="L765" s="18">
        <f t="shared" si="112"/>
        <v>0.56385542139796185</v>
      </c>
      <c r="M765" s="18">
        <f t="shared" si="113"/>
        <v>8.0099999999999998E-3</v>
      </c>
      <c r="N765" s="18">
        <f t="shared" si="114"/>
        <v>-0.3569831511806002</v>
      </c>
      <c r="AK765" s="18">
        <f>IF(AND(ISNUMBER(C765),ISNUMBER(ENSO!F765)),C765-ENSO!F765,"")</f>
        <v>-0.29000000000000004</v>
      </c>
      <c r="AL765" s="18">
        <f t="shared" si="116"/>
        <v>2021.7916666666667</v>
      </c>
      <c r="AM765" s="18">
        <f t="shared" si="117"/>
        <v>0.97999999999999865</v>
      </c>
    </row>
    <row r="766" spans="1:39">
      <c r="A766" s="18" t="str">
        <f>IF(Volcanic!A766="","",Volcanic!A766)</f>
        <v>11/2021</v>
      </c>
      <c r="B766" s="18">
        <f>IF(ISNUMBER(Volcanic!L766),Volcanic!L766,"")</f>
        <v>2021.875</v>
      </c>
      <c r="C766" s="21">
        <v>-1.23</v>
      </c>
      <c r="D766" s="18">
        <f t="shared" si="115"/>
        <v>-0.72</v>
      </c>
      <c r="E766" s="18">
        <f>IF(ISNUMBER(Volcanic!B766),Volcanic!B766,"")</f>
        <v>0.92999999999999794</v>
      </c>
      <c r="F766" s="18">
        <f>IF(ISNUMBER(Volcanic!C766),Volcanic!C766,"")</f>
        <v>0.56758021431180217</v>
      </c>
      <c r="G766" s="18">
        <f>IF(ISNUMBER(Volcanic!E766),Volcanic!E766,"")</f>
        <v>8.6199999999999992E-3</v>
      </c>
      <c r="H766" s="18">
        <f>IF(ISNUMBER(Volcanic!D766),Volcanic!D766,"")</f>
        <v>-0.46</v>
      </c>
      <c r="I766" s="18">
        <f t="shared" si="109"/>
        <v>0.56758021431180217</v>
      </c>
      <c r="J766" s="18">
        <f t="shared" si="110"/>
        <v>8.6199999999999992E-3</v>
      </c>
      <c r="K766" s="18">
        <f t="shared" si="111"/>
        <v>-0.72</v>
      </c>
      <c r="L766" s="18">
        <f t="shared" si="112"/>
        <v>0.56758021431180217</v>
      </c>
      <c r="M766" s="18">
        <f t="shared" si="113"/>
        <v>8.6199999999999992E-3</v>
      </c>
      <c r="N766" s="18">
        <f t="shared" si="114"/>
        <v>-0.4862931316900021</v>
      </c>
      <c r="AK766" s="18">
        <f>IF(AND(ISNUMBER(C766),ISNUMBER(ENSO!F766)),C766-ENSO!F766,"")</f>
        <v>-0.31999999999999995</v>
      </c>
      <c r="AL766" s="18">
        <f t="shared" si="116"/>
        <v>2021.875</v>
      </c>
      <c r="AM766" s="18">
        <f t="shared" si="117"/>
        <v>0.92999999999999794</v>
      </c>
    </row>
    <row r="767" spans="1:39">
      <c r="A767" s="18" t="str">
        <f>IF(Volcanic!A767="","",Volcanic!A767)</f>
        <v>12/2021</v>
      </c>
      <c r="B767" s="18">
        <f>IF(ISNUMBER(Volcanic!L767),Volcanic!L767,"")</f>
        <v>2021.9583333333333</v>
      </c>
      <c r="C767" s="21">
        <v>-1.24</v>
      </c>
      <c r="D767" s="18">
        <f t="shared" si="115"/>
        <v>-0.92</v>
      </c>
      <c r="E767" s="18">
        <f>IF(ISNUMBER(Volcanic!B767),Volcanic!B767,"")</f>
        <v>0.88000000000000256</v>
      </c>
      <c r="F767" s="18">
        <f>IF(ISNUMBER(Volcanic!C767),Volcanic!C767,"")</f>
        <v>0.5734784033974879</v>
      </c>
      <c r="G767" s="18">
        <f>IF(ISNUMBER(Volcanic!E767),Volcanic!E767,"")</f>
        <v>1.023E-2</v>
      </c>
      <c r="H767" s="18">
        <f>IF(ISNUMBER(Volcanic!D767),Volcanic!D767,"")</f>
        <v>-0.64</v>
      </c>
      <c r="I767" s="18">
        <f t="shared" si="109"/>
        <v>0.5734784033974879</v>
      </c>
      <c r="J767" s="18">
        <f t="shared" si="110"/>
        <v>1.023E-2</v>
      </c>
      <c r="K767" s="18">
        <f t="shared" si="111"/>
        <v>-0.92</v>
      </c>
      <c r="L767" s="18">
        <f t="shared" si="112"/>
        <v>0.5734784033974879</v>
      </c>
      <c r="M767" s="18">
        <f t="shared" si="113"/>
        <v>1.023E-2</v>
      </c>
      <c r="N767" s="18">
        <f t="shared" si="114"/>
        <v>-0.68560311219940406</v>
      </c>
      <c r="AK767" s="18">
        <f>IF(AND(ISNUMBER(C767),ISNUMBER(ENSO!F767)),C767-ENSO!F767,"")</f>
        <v>-0.41000000000000003</v>
      </c>
      <c r="AL767" s="18">
        <f t="shared" si="116"/>
        <v>2021.9583333333333</v>
      </c>
      <c r="AM767" s="18">
        <f t="shared" si="117"/>
        <v>0.88000000000000256</v>
      </c>
    </row>
    <row r="768" spans="1:39">
      <c r="A768" s="18" t="str">
        <f>IF(Volcanic!A768="","",Volcanic!A768)</f>
        <v>1/2022</v>
      </c>
      <c r="B768" s="18">
        <f>IF(ISNUMBER(Volcanic!L768),Volcanic!L768,"")</f>
        <v>2022.0416666666667</v>
      </c>
      <c r="C768" s="21">
        <v>-1.22</v>
      </c>
      <c r="D768" s="18">
        <f t="shared" si="115"/>
        <v>-1.06</v>
      </c>
      <c r="E768" s="18">
        <f>IF(ISNUMBER(Volcanic!B768),Volcanic!B768,"")</f>
        <v>0.91000000000000014</v>
      </c>
      <c r="F768" s="18">
        <f>IF(ISNUMBER(Volcanic!C768),Volcanic!C768,"")</f>
        <v>0.57852473043934227</v>
      </c>
      <c r="G768" s="18">
        <f>IF(ISNUMBER(Volcanic!E768),Volcanic!E768,"")</f>
        <v>1.047E-2</v>
      </c>
      <c r="H768" s="18">
        <f>IF(ISNUMBER(Volcanic!D768),Volcanic!D768,"")</f>
        <v>-0.77</v>
      </c>
      <c r="I768" s="18">
        <f t="shared" si="109"/>
        <v>0.57852473043934227</v>
      </c>
      <c r="J768" s="18">
        <f t="shared" si="110"/>
        <v>1.047E-2</v>
      </c>
      <c r="K768" s="18">
        <f t="shared" si="111"/>
        <v>-1.06</v>
      </c>
      <c r="L768" s="18">
        <f t="shared" si="112"/>
        <v>0.57852473043934227</v>
      </c>
      <c r="M768" s="18">
        <f t="shared" si="113"/>
        <v>1.047E-2</v>
      </c>
      <c r="N768" s="18">
        <f t="shared" si="114"/>
        <v>-0.82491309270880242</v>
      </c>
      <c r="AK768" s="18">
        <f>IF(AND(ISNUMBER(C768),ISNUMBER(ENSO!F768)),C768-ENSO!F768,"")</f>
        <v>-0.45999999999999996</v>
      </c>
      <c r="AL768" s="18">
        <f t="shared" si="116"/>
        <v>2022.0416666666667</v>
      </c>
      <c r="AM768" s="18">
        <f t="shared" si="117"/>
        <v>0.91000000000000014</v>
      </c>
    </row>
    <row r="769" spans="1:39">
      <c r="A769" s="18" t="str">
        <f>IF(Volcanic!A769="","",Volcanic!A769)</f>
        <v>2/2022</v>
      </c>
      <c r="B769" s="18">
        <f>IF(ISNUMBER(Volcanic!L769),Volcanic!L769,"")</f>
        <v>2022.125</v>
      </c>
      <c r="C769" s="21">
        <v>-1.22</v>
      </c>
      <c r="D769" s="18">
        <f t="shared" si="115"/>
        <v>-1.23</v>
      </c>
      <c r="E769" s="18">
        <f>IF(ISNUMBER(Volcanic!B769),Volcanic!B769,"")</f>
        <v>0.8900000000000059</v>
      </c>
      <c r="F769" s="18">
        <f>IF(ISNUMBER(Volcanic!C769),Volcanic!C769,"")</f>
        <v>0.58234954487825097</v>
      </c>
      <c r="G769" s="18">
        <f>IF(ISNUMBER(Volcanic!E769),Volcanic!E769,"")</f>
        <v>1.085E-2</v>
      </c>
      <c r="H769" s="18">
        <f>IF(ISNUMBER(Volcanic!D769),Volcanic!D769,"")</f>
        <v>-0.91</v>
      </c>
      <c r="I769" s="18">
        <f t="shared" si="109"/>
        <v>0.58234954487825097</v>
      </c>
      <c r="J769" s="18">
        <f t="shared" si="110"/>
        <v>1.085E-2</v>
      </c>
      <c r="K769" s="18">
        <f t="shared" si="111"/>
        <v>-1.23</v>
      </c>
      <c r="L769" s="18">
        <f t="shared" si="112"/>
        <v>0.58234954487825097</v>
      </c>
      <c r="M769" s="18">
        <f t="shared" si="113"/>
        <v>1.085E-2</v>
      </c>
      <c r="N769" s="18">
        <f t="shared" si="114"/>
        <v>-0.99422307321820425</v>
      </c>
      <c r="AK769" s="18">
        <f>IF(AND(ISNUMBER(C769),ISNUMBER(ENSO!F769)),C769-ENSO!F769,"")</f>
        <v>-0.53999999999999992</v>
      </c>
      <c r="AL769" s="18">
        <f t="shared" si="116"/>
        <v>2022.125</v>
      </c>
      <c r="AM769" s="18">
        <f t="shared" si="117"/>
        <v>0.8900000000000059</v>
      </c>
    </row>
    <row r="770" spans="1:39">
      <c r="A770" s="18" t="str">
        <f>IF(Volcanic!A770="","",Volcanic!A770)</f>
        <v>3/2022</v>
      </c>
      <c r="B770" s="18">
        <f>IF(ISNUMBER(Volcanic!L770),Volcanic!L770,"")</f>
        <v>2022.2083333333333</v>
      </c>
      <c r="C770" s="21">
        <v>-1.28</v>
      </c>
      <c r="D770" s="18">
        <f t="shared" si="115"/>
        <v>-1.24</v>
      </c>
      <c r="E770" s="18">
        <f>IF(ISNUMBER(Volcanic!B770),Volcanic!B770,"")</f>
        <v>1.0500000000000025</v>
      </c>
      <c r="F770" s="18">
        <f>IF(ISNUMBER(Volcanic!C770),Volcanic!C770,"")</f>
        <v>0.5806968152950519</v>
      </c>
      <c r="G770" s="18">
        <f>IF(ISNUMBER(Volcanic!E770),Volcanic!E770,"")</f>
        <v>1.0070000000000001E-2</v>
      </c>
      <c r="H770" s="18">
        <f>IF(ISNUMBER(Volcanic!D770),Volcanic!D770,"")</f>
        <v>-0.83</v>
      </c>
      <c r="I770" s="18">
        <f t="shared" ref="I770:I823" si="118">F770</f>
        <v>0.5806968152950519</v>
      </c>
      <c r="J770" s="18">
        <f t="shared" ref="J770:J823" si="119">G770</f>
        <v>1.0070000000000001E-2</v>
      </c>
      <c r="K770" s="18">
        <f t="shared" ref="K770:K823" si="120">IF(ISNUMBER(D770),D770,"")</f>
        <v>-1.24</v>
      </c>
      <c r="L770" s="18">
        <f t="shared" ref="L770:L823" si="121">F770</f>
        <v>0.5806968152950519</v>
      </c>
      <c r="M770" s="18">
        <f t="shared" ref="M770:M823" si="122">G770</f>
        <v>1.0070000000000001E-2</v>
      </c>
      <c r="N770" s="18">
        <f t="shared" ref="N770:N823" si="123">IF(ISNUMBER(D770),D770-($AB$8*B770+$AB$9),"")</f>
        <v>-1.0035330537276062</v>
      </c>
      <c r="AK770" s="18">
        <f>IF(AND(ISNUMBER(C770),ISNUMBER(ENSO!F770)),C770-ENSO!F770,"")</f>
        <v>-0.51</v>
      </c>
      <c r="AL770" s="18">
        <f t="shared" si="116"/>
        <v>2022.2083333333333</v>
      </c>
      <c r="AM770" s="18">
        <f t="shared" si="117"/>
        <v>1.0500000000000025</v>
      </c>
    </row>
    <row r="771" spans="1:39">
      <c r="A771" s="18" t="str">
        <f>IF(Volcanic!A771="","",Volcanic!A771)</f>
        <v>4/2022</v>
      </c>
      <c r="B771" s="18">
        <f>IF(ISNUMBER(Volcanic!L771),Volcanic!L771,"")</f>
        <v>2022.2916666666667</v>
      </c>
      <c r="C771" s="21">
        <v>-1.34</v>
      </c>
      <c r="D771" s="18">
        <f t="shared" si="115"/>
        <v>-1.22</v>
      </c>
      <c r="E771" s="18">
        <f>IF(ISNUMBER(Volcanic!B771),Volcanic!B771,"")</f>
        <v>0.83000000000000362</v>
      </c>
      <c r="F771" s="18">
        <f>IF(ISNUMBER(Volcanic!C771),Volcanic!C771,"")</f>
        <v>0.5856150008995481</v>
      </c>
      <c r="G771" s="18">
        <f>IF(ISNUMBER(Volcanic!E771),Volcanic!E771,"")</f>
        <v>9.9699999999999997E-3</v>
      </c>
      <c r="H771" s="18">
        <f>IF(ISNUMBER(Volcanic!D771),Volcanic!D771,"")</f>
        <v>-0.76</v>
      </c>
      <c r="I771" s="18">
        <f t="shared" si="118"/>
        <v>0.5856150008995481</v>
      </c>
      <c r="J771" s="18">
        <f t="shared" si="119"/>
        <v>9.9699999999999997E-3</v>
      </c>
      <c r="K771" s="18">
        <f t="shared" si="120"/>
        <v>-1.22</v>
      </c>
      <c r="L771" s="18">
        <f t="shared" si="121"/>
        <v>0.5856150008995481</v>
      </c>
      <c r="M771" s="18">
        <f t="shared" si="122"/>
        <v>9.9699999999999997E-3</v>
      </c>
      <c r="N771" s="18">
        <f t="shared" si="123"/>
        <v>-0.98284303423700448</v>
      </c>
      <c r="AK771" s="18">
        <f>IF(AND(ISNUMBER(C771),ISNUMBER(ENSO!F771)),C771-ENSO!F771,"")</f>
        <v>-0.48000000000000009</v>
      </c>
      <c r="AL771" s="18">
        <f t="shared" si="116"/>
        <v>2022.2916666666667</v>
      </c>
      <c r="AM771" s="18">
        <f t="shared" si="117"/>
        <v>0.83000000000000362</v>
      </c>
    </row>
    <row r="772" spans="1:39">
      <c r="A772" s="18" t="str">
        <f>IF(Volcanic!A772="","",Volcanic!A772)</f>
        <v>5/2022</v>
      </c>
      <c r="B772" s="18">
        <f>IF(ISNUMBER(Volcanic!L772),Volcanic!L772,"")</f>
        <v>2022.375</v>
      </c>
      <c r="C772" s="21">
        <v>-1.22</v>
      </c>
      <c r="D772" s="18">
        <f t="shared" si="115"/>
        <v>-1.22</v>
      </c>
      <c r="E772" s="18">
        <f>IF(ISNUMBER(Volcanic!B772),Volcanic!B772,"")</f>
        <v>0.83999999999999986</v>
      </c>
      <c r="F772" s="18">
        <f>IF(ISNUMBER(Volcanic!C772),Volcanic!C772,"")</f>
        <v>0.58829059758610203</v>
      </c>
      <c r="G772" s="18">
        <f>IF(ISNUMBER(Volcanic!E772),Volcanic!E772,"")</f>
        <v>9.9100000000000004E-3</v>
      </c>
      <c r="H772" s="18">
        <f>IF(ISNUMBER(Volcanic!D772),Volcanic!D772,"")</f>
        <v>-0.68</v>
      </c>
      <c r="I772" s="18">
        <f t="shared" si="118"/>
        <v>0.58829059758610203</v>
      </c>
      <c r="J772" s="18">
        <f t="shared" si="119"/>
        <v>9.9100000000000004E-3</v>
      </c>
      <c r="K772" s="18">
        <f t="shared" si="120"/>
        <v>-1.22</v>
      </c>
      <c r="L772" s="18">
        <f t="shared" si="121"/>
        <v>0.58829059758610203</v>
      </c>
      <c r="M772" s="18">
        <f t="shared" si="122"/>
        <v>9.9100000000000004E-3</v>
      </c>
      <c r="N772" s="18">
        <f t="shared" si="123"/>
        <v>-0.98215301474640637</v>
      </c>
      <c r="AK772" s="18">
        <f>IF(AND(ISNUMBER(C772),ISNUMBER(ENSO!F772)),C772-ENSO!F772,"")</f>
        <v>-0.39</v>
      </c>
      <c r="AL772" s="18">
        <f t="shared" si="116"/>
        <v>2022.375</v>
      </c>
      <c r="AM772" s="18">
        <f t="shared" si="117"/>
        <v>0.83999999999999986</v>
      </c>
    </row>
    <row r="773" spans="1:39">
      <c r="A773" s="18" t="str">
        <f>IF(Volcanic!A773="","",Volcanic!A773)</f>
        <v>6/2022</v>
      </c>
      <c r="B773" s="18">
        <f>IF(ISNUMBER(Volcanic!L773),Volcanic!L773,"")</f>
        <v>2022.4583333333333</v>
      </c>
      <c r="C773" s="21">
        <v>-0.99</v>
      </c>
      <c r="D773" s="18">
        <f t="shared" ref="D773:D823" si="124">IF(C770="","",C770)</f>
        <v>-1.28</v>
      </c>
      <c r="E773" s="18">
        <f>IF(ISNUMBER(Volcanic!B773),Volcanic!B773,"")</f>
        <v>0.92999999999999794</v>
      </c>
      <c r="F773" s="18">
        <f>IF(ISNUMBER(Volcanic!C773),Volcanic!C773,"")</f>
        <v>0.58818778172396691</v>
      </c>
      <c r="G773" s="18">
        <f>IF(ISNUMBER(Volcanic!E773),Volcanic!E773,"")</f>
        <v>9.7999999999999997E-3</v>
      </c>
      <c r="H773" s="18">
        <f>IF(ISNUMBER(Volcanic!D773),Volcanic!D773,"")</f>
        <v>-0.77</v>
      </c>
      <c r="I773" s="18">
        <f t="shared" si="118"/>
        <v>0.58818778172396691</v>
      </c>
      <c r="J773" s="18">
        <f t="shared" si="119"/>
        <v>9.7999999999999997E-3</v>
      </c>
      <c r="K773" s="18">
        <f t="shared" si="120"/>
        <v>-1.28</v>
      </c>
      <c r="L773" s="18">
        <f t="shared" si="121"/>
        <v>0.58818778172396691</v>
      </c>
      <c r="M773" s="18">
        <f t="shared" si="122"/>
        <v>9.7999999999999997E-3</v>
      </c>
      <c r="N773" s="18">
        <f t="shared" si="123"/>
        <v>-1.0414629952558083</v>
      </c>
      <c r="AK773" s="18">
        <f>IF(AND(ISNUMBER(C773),ISNUMBER(ENSO!F773)),C773-ENSO!F773,"")</f>
        <v>-0.26</v>
      </c>
      <c r="AL773" s="18">
        <f t="shared" si="116"/>
        <v>2022.4583333333333</v>
      </c>
      <c r="AM773" s="18">
        <f t="shared" si="117"/>
        <v>0.92999999999999794</v>
      </c>
    </row>
    <row r="774" spans="1:39">
      <c r="A774" s="18" t="str">
        <f>IF(Volcanic!A774="","",Volcanic!A774)</f>
        <v>7/2022</v>
      </c>
      <c r="B774" s="18">
        <f>IF(ISNUMBER(Volcanic!L774),Volcanic!L774,"")</f>
        <v>2022.5416666666667</v>
      </c>
      <c r="C774" s="21">
        <v>-0.91</v>
      </c>
      <c r="D774" s="18">
        <f t="shared" si="124"/>
        <v>-1.34</v>
      </c>
      <c r="E774" s="18">
        <f>IF(ISNUMBER(Volcanic!B774),Volcanic!B774,"")</f>
        <v>0.93999999999999773</v>
      </c>
      <c r="F774" s="18">
        <f>IF(ISNUMBER(Volcanic!C774),Volcanic!C774,"")</f>
        <v>0.58100684634573119</v>
      </c>
      <c r="G774" s="18">
        <f>IF(ISNUMBER(Volcanic!E774),Volcanic!E774,"")</f>
        <v>9.4699999999999993E-3</v>
      </c>
      <c r="H774" s="18">
        <f>IF(ISNUMBER(Volcanic!D774),Volcanic!D774,"")</f>
        <v>-0.86</v>
      </c>
      <c r="I774" s="18">
        <f t="shared" si="118"/>
        <v>0.58100684634573119</v>
      </c>
      <c r="J774" s="18">
        <f t="shared" si="119"/>
        <v>9.4699999999999993E-3</v>
      </c>
      <c r="K774" s="18">
        <f t="shared" si="120"/>
        <v>-1.34</v>
      </c>
      <c r="L774" s="18">
        <f t="shared" si="121"/>
        <v>0.58100684634573119</v>
      </c>
      <c r="M774" s="18">
        <f t="shared" si="122"/>
        <v>9.4699999999999993E-3</v>
      </c>
      <c r="N774" s="18">
        <f t="shared" si="123"/>
        <v>-1.1007729757652103</v>
      </c>
      <c r="AK774" s="18">
        <f>IF(AND(ISNUMBER(C774),ISNUMBER(ENSO!F774)),C774-ENSO!F774,"")</f>
        <v>-0.21000000000000008</v>
      </c>
      <c r="AL774" s="18">
        <f t="shared" si="116"/>
        <v>2022.5416666666667</v>
      </c>
      <c r="AM774" s="18">
        <f t="shared" si="117"/>
        <v>0.93999999999999773</v>
      </c>
    </row>
    <row r="775" spans="1:39">
      <c r="A775" s="18" t="str">
        <f>IF(Volcanic!A775="","",Volcanic!A775)</f>
        <v>8/2022</v>
      </c>
      <c r="B775" s="18">
        <f>IF(ISNUMBER(Volcanic!L775),Volcanic!L775,"")</f>
        <v>2022.625</v>
      </c>
      <c r="C775" s="21">
        <v>-1.01</v>
      </c>
      <c r="D775" s="18">
        <f t="shared" si="124"/>
        <v>-1.22</v>
      </c>
      <c r="E775" s="18">
        <f>IF(ISNUMBER(Volcanic!B775),Volcanic!B775,"")</f>
        <v>0.93999999999999773</v>
      </c>
      <c r="F775" s="18">
        <f>IF(ISNUMBER(Volcanic!C775),Volcanic!C775,"")</f>
        <v>0.57513941823551418</v>
      </c>
      <c r="G775" s="18">
        <f>IF(ISNUMBER(Volcanic!E775),Volcanic!E775,"")</f>
        <v>1.5140000000000001E-2</v>
      </c>
      <c r="H775" s="18">
        <f>IF(ISNUMBER(Volcanic!D775),Volcanic!D775,"")</f>
        <v>-0.83</v>
      </c>
      <c r="I775" s="18">
        <f t="shared" si="118"/>
        <v>0.57513941823551418</v>
      </c>
      <c r="J775" s="18">
        <f t="shared" si="119"/>
        <v>1.5140000000000001E-2</v>
      </c>
      <c r="K775" s="18">
        <f t="shared" si="120"/>
        <v>-1.22</v>
      </c>
      <c r="L775" s="18">
        <f t="shared" si="121"/>
        <v>0.57513941823551418</v>
      </c>
      <c r="M775" s="18">
        <f t="shared" si="122"/>
        <v>1.5140000000000001E-2</v>
      </c>
      <c r="N775" s="18">
        <f t="shared" si="123"/>
        <v>-0.98008295627460851</v>
      </c>
      <c r="AK775" s="18">
        <f>IF(AND(ISNUMBER(C775),ISNUMBER(ENSO!F775)),C775-ENSO!F775,"")</f>
        <v>-0.22999999999999998</v>
      </c>
      <c r="AL775" s="18">
        <f t="shared" si="116"/>
        <v>2022.625</v>
      </c>
      <c r="AM775" s="18">
        <f t="shared" si="117"/>
        <v>0.93999999999999773</v>
      </c>
    </row>
    <row r="776" spans="1:39">
      <c r="A776" s="18" t="str">
        <f>IF(Volcanic!A776="","",Volcanic!A776)</f>
        <v>9/2022</v>
      </c>
      <c r="B776" s="18">
        <f>IF(ISNUMBER(Volcanic!L776),Volcanic!L776,"")</f>
        <v>2022.7083333333333</v>
      </c>
      <c r="C776" s="21">
        <v>-1.1399999999999999</v>
      </c>
      <c r="D776" s="18">
        <f t="shared" si="124"/>
        <v>-0.99</v>
      </c>
      <c r="E776" s="18">
        <f>IF(ISNUMBER(Volcanic!B776),Volcanic!B776,"")</f>
        <v>0.88000000000000256</v>
      </c>
      <c r="F776" s="18">
        <f>IF(ISNUMBER(Volcanic!C776),Volcanic!C776,"")</f>
        <v>0.57084454590484046</v>
      </c>
      <c r="G776" s="18">
        <f>IF(ISNUMBER(Volcanic!E776),Volcanic!E776,"")</f>
        <v>2.1350000000000001E-2</v>
      </c>
      <c r="H776" s="18">
        <f>IF(ISNUMBER(Volcanic!D776),Volcanic!D776,"")</f>
        <v>-0.73</v>
      </c>
      <c r="I776" s="18">
        <f t="shared" si="118"/>
        <v>0.57084454590484046</v>
      </c>
      <c r="J776" s="18">
        <f t="shared" si="119"/>
        <v>2.1350000000000001E-2</v>
      </c>
      <c r="K776" s="18">
        <f t="shared" si="120"/>
        <v>-0.99</v>
      </c>
      <c r="L776" s="18">
        <f t="shared" si="121"/>
        <v>0.57084454590484046</v>
      </c>
      <c r="M776" s="18">
        <f t="shared" si="122"/>
        <v>2.1350000000000001E-2</v>
      </c>
      <c r="N776" s="18">
        <f t="shared" si="123"/>
        <v>-0.74939293678401042</v>
      </c>
      <c r="AK776" s="18">
        <f>IF(AND(ISNUMBER(C776),ISNUMBER(ENSO!F776)),C776-ENSO!F776,"")</f>
        <v>-0.26999999999999991</v>
      </c>
      <c r="AL776" s="18">
        <f t="shared" si="116"/>
        <v>2022.7083333333333</v>
      </c>
      <c r="AM776" s="18">
        <f t="shared" si="117"/>
        <v>0.88000000000000256</v>
      </c>
    </row>
    <row r="777" spans="1:39">
      <c r="A777" s="18" t="str">
        <f>IF(Volcanic!A777="","",Volcanic!A777)</f>
        <v>10/2022</v>
      </c>
      <c r="B777" s="18">
        <f>IF(ISNUMBER(Volcanic!L777),Volcanic!L777,"")</f>
        <v>2022.7916666666667</v>
      </c>
      <c r="C777" s="21">
        <v>-1.1200000000000001</v>
      </c>
      <c r="D777" s="18">
        <f t="shared" si="124"/>
        <v>-0.91</v>
      </c>
      <c r="E777" s="18">
        <f>IF(ISNUMBER(Volcanic!B777),Volcanic!B777,"")</f>
        <v>0.96999999999999886</v>
      </c>
      <c r="F777" s="18">
        <f>IF(ISNUMBER(Volcanic!C777),Volcanic!C777,"")</f>
        <v>0.57025473490173317</v>
      </c>
      <c r="G777" s="18">
        <f>IF(ISNUMBER(Volcanic!E777),Volcanic!E777,"")</f>
        <v>2.3550000000000001E-2</v>
      </c>
      <c r="H777" s="18">
        <f>IF(ISNUMBER(Volcanic!D777),Volcanic!D777,"")</f>
        <v>-0.7</v>
      </c>
      <c r="I777" s="18">
        <f t="shared" si="118"/>
        <v>0.57025473490173317</v>
      </c>
      <c r="J777" s="18">
        <f t="shared" si="119"/>
        <v>2.3550000000000001E-2</v>
      </c>
      <c r="K777" s="18">
        <f t="shared" si="120"/>
        <v>-0.91</v>
      </c>
      <c r="L777" s="18">
        <f t="shared" si="121"/>
        <v>0.57025473490173317</v>
      </c>
      <c r="M777" s="18">
        <f t="shared" si="122"/>
        <v>2.3550000000000001E-2</v>
      </c>
      <c r="N777" s="18">
        <f t="shared" si="123"/>
        <v>-0.66870291729341236</v>
      </c>
      <c r="AK777" s="18">
        <f>IF(AND(ISNUMBER(C777),ISNUMBER(ENSO!F777)),C777-ENSO!F777,"")</f>
        <v>-0.23000000000000009</v>
      </c>
      <c r="AL777" s="18">
        <f t="shared" ref="AL777:AL820" si="125">B777</f>
        <v>2022.7916666666667</v>
      </c>
      <c r="AM777" s="18">
        <f t="shared" ref="AM777:AM820" si="126">E777</f>
        <v>0.96999999999999886</v>
      </c>
    </row>
    <row r="778" spans="1:39">
      <c r="A778" s="18" t="str">
        <f>IF(Volcanic!A778="","",Volcanic!A778)</f>
        <v>11/2022</v>
      </c>
      <c r="B778" s="18">
        <f>IF(ISNUMBER(Volcanic!L778),Volcanic!L778,"")</f>
        <v>2022.875</v>
      </c>
      <c r="C778" s="21">
        <v>-1.05</v>
      </c>
      <c r="D778" s="18">
        <f t="shared" si="124"/>
        <v>-1.01</v>
      </c>
      <c r="E778" s="18">
        <f>IF(ISNUMBER(Volcanic!B778),Volcanic!B778,"")</f>
        <v>0.7300000000000022</v>
      </c>
      <c r="F778" s="18">
        <f>IF(ISNUMBER(Volcanic!C778),Volcanic!C778,"")</f>
        <v>0.57624569998219233</v>
      </c>
      <c r="G778" s="18">
        <f>IF(ISNUMBER(Volcanic!E778),Volcanic!E778,"")</f>
        <v>2.726E-2</v>
      </c>
      <c r="H778" s="18">
        <f>IF(ISNUMBER(Volcanic!D778),Volcanic!D778,"")</f>
        <v>-0.78</v>
      </c>
      <c r="I778" s="18">
        <f t="shared" si="118"/>
        <v>0.57624569998219233</v>
      </c>
      <c r="J778" s="18">
        <f t="shared" si="119"/>
        <v>2.726E-2</v>
      </c>
      <c r="K778" s="18">
        <f t="shared" si="120"/>
        <v>-1.01</v>
      </c>
      <c r="L778" s="18">
        <f t="shared" si="121"/>
        <v>0.57624569998219233</v>
      </c>
      <c r="M778" s="18">
        <f t="shared" si="122"/>
        <v>2.726E-2</v>
      </c>
      <c r="N778" s="18">
        <f t="shared" si="123"/>
        <v>-0.76801289780281423</v>
      </c>
      <c r="AK778" s="18">
        <f>IF(AND(ISNUMBER(C778),ISNUMBER(ENSO!F778)),C778-ENSO!F778,"")</f>
        <v>-0.23000000000000009</v>
      </c>
      <c r="AL778" s="18">
        <f t="shared" si="125"/>
        <v>2022.875</v>
      </c>
      <c r="AM778" s="18">
        <f t="shared" si="126"/>
        <v>0.7300000000000022</v>
      </c>
    </row>
    <row r="779" spans="1:39">
      <c r="A779" s="18" t="str">
        <f>IF(Volcanic!A779="","",Volcanic!A779)</f>
        <v>12/2022</v>
      </c>
      <c r="B779" s="18">
        <f>IF(ISNUMBER(Volcanic!L779),Volcanic!L779,"")</f>
        <v>2022.9583333333333</v>
      </c>
      <c r="C779" s="21">
        <v>-0.97</v>
      </c>
      <c r="D779" s="18">
        <f t="shared" si="124"/>
        <v>-1.1399999999999999</v>
      </c>
      <c r="E779" s="18">
        <f>IF(ISNUMBER(Volcanic!B779),Volcanic!B779,"")</f>
        <v>0.79999999999999893</v>
      </c>
      <c r="F779" s="18">
        <f>IF(ISNUMBER(Volcanic!C779),Volcanic!C779,"")</f>
        <v>0.5814889844809461</v>
      </c>
      <c r="G779" s="18">
        <f>IF(ISNUMBER(Volcanic!E779),Volcanic!E779,"")</f>
        <v>2.929E-2</v>
      </c>
      <c r="H779" s="18">
        <f>IF(ISNUMBER(Volcanic!D779),Volcanic!D779,"")</f>
        <v>-0.87</v>
      </c>
      <c r="I779" s="18">
        <f t="shared" si="118"/>
        <v>0.5814889844809461</v>
      </c>
      <c r="J779" s="18">
        <f t="shared" si="119"/>
        <v>2.929E-2</v>
      </c>
      <c r="K779" s="18">
        <f t="shared" si="120"/>
        <v>-1.1399999999999999</v>
      </c>
      <c r="L779" s="18">
        <f t="shared" si="121"/>
        <v>0.5814889844809461</v>
      </c>
      <c r="M779" s="18">
        <f t="shared" si="122"/>
        <v>2.929E-2</v>
      </c>
      <c r="N779" s="18">
        <f t="shared" si="123"/>
        <v>-0.89732287831221602</v>
      </c>
      <c r="AK779" s="18">
        <f>IF(AND(ISNUMBER(C779),ISNUMBER(ENSO!F779)),C779-ENSO!F779,"")</f>
        <v>-0.27</v>
      </c>
      <c r="AL779" s="18">
        <f t="shared" si="125"/>
        <v>2022.9583333333333</v>
      </c>
      <c r="AM779" s="18">
        <f t="shared" si="126"/>
        <v>0.79999999999999893</v>
      </c>
    </row>
    <row r="780" spans="1:39">
      <c r="A780" s="18" t="str">
        <f>IF(Volcanic!A780="","",Volcanic!A780)</f>
        <v>1/2023</v>
      </c>
      <c r="B780" s="18">
        <f>IF(ISNUMBER(Volcanic!L780),Volcanic!L780,"")</f>
        <v>2023.0416666666667</v>
      </c>
      <c r="C780" s="21">
        <v>-0.83</v>
      </c>
      <c r="D780" s="18">
        <f t="shared" si="124"/>
        <v>-1.1200000000000001</v>
      </c>
      <c r="E780" s="18">
        <f>IF(ISNUMBER(Volcanic!B780),Volcanic!B780,"")</f>
        <v>0.88000000000000256</v>
      </c>
      <c r="F780" s="18">
        <f>IF(ISNUMBER(Volcanic!C780),Volcanic!C780,"")</f>
        <v>0.58317520020842994</v>
      </c>
      <c r="G780" s="18">
        <f>IF(ISNUMBER(Volcanic!E780),Volcanic!E780,"")</f>
        <v>2.878E-2</v>
      </c>
      <c r="H780" s="18">
        <f>IF(ISNUMBER(Volcanic!D780),Volcanic!D780,"")</f>
        <v>-0.89</v>
      </c>
      <c r="I780" s="18">
        <f t="shared" si="118"/>
        <v>0.58317520020842994</v>
      </c>
      <c r="J780" s="18">
        <f t="shared" si="119"/>
        <v>2.878E-2</v>
      </c>
      <c r="K780" s="18">
        <f t="shared" si="120"/>
        <v>-1.1200000000000001</v>
      </c>
      <c r="L780" s="18">
        <f t="shared" si="121"/>
        <v>0.58317520020842994</v>
      </c>
      <c r="M780" s="18">
        <f t="shared" si="122"/>
        <v>2.878E-2</v>
      </c>
      <c r="N780" s="18">
        <f t="shared" si="123"/>
        <v>-0.87663285882161457</v>
      </c>
      <c r="AK780" s="18">
        <f>IF(AND(ISNUMBER(C780),ISNUMBER(ENSO!F780)),C780-ENSO!F780,"")</f>
        <v>-0.27999999999999992</v>
      </c>
      <c r="AL780" s="18">
        <f t="shared" si="125"/>
        <v>2023.0416666666667</v>
      </c>
      <c r="AM780" s="18">
        <f t="shared" si="126"/>
        <v>0.88000000000000256</v>
      </c>
    </row>
    <row r="781" spans="1:39">
      <c r="A781" s="18" t="str">
        <f>IF(Volcanic!A781="","",Volcanic!A781)</f>
        <v>2/2023</v>
      </c>
      <c r="B781" s="18">
        <f>IF(ISNUMBER(Volcanic!L781),Volcanic!L781,"")</f>
        <v>2023.125</v>
      </c>
      <c r="C781" s="21">
        <v>-0.62</v>
      </c>
      <c r="D781" s="18">
        <f t="shared" si="124"/>
        <v>-1.05</v>
      </c>
      <c r="E781" s="18">
        <f>IF(ISNUMBER(Volcanic!B781),Volcanic!B781,"")</f>
        <v>0.96999999999999886</v>
      </c>
      <c r="F781" s="18">
        <f>IF(ISNUMBER(Volcanic!C781),Volcanic!C781,"")</f>
        <v>0.58602695427511742</v>
      </c>
      <c r="G781" s="18">
        <f>IF(ISNUMBER(Volcanic!E781),Volcanic!E781,"")</f>
        <v>2.8219999999999999E-2</v>
      </c>
      <c r="H781" s="18">
        <f>IF(ISNUMBER(Volcanic!D781),Volcanic!D781,"")</f>
        <v>-0.82</v>
      </c>
      <c r="I781" s="18">
        <f t="shared" si="118"/>
        <v>0.58602695427511742</v>
      </c>
      <c r="J781" s="18">
        <f t="shared" si="119"/>
        <v>2.8219999999999999E-2</v>
      </c>
      <c r="K781" s="18">
        <f t="shared" si="120"/>
        <v>-1.05</v>
      </c>
      <c r="L781" s="18">
        <f t="shared" si="121"/>
        <v>0.58602695427511742</v>
      </c>
      <c r="M781" s="18">
        <f t="shared" si="122"/>
        <v>2.8219999999999999E-2</v>
      </c>
      <c r="N781" s="18">
        <f t="shared" si="123"/>
        <v>-0.8059428393310164</v>
      </c>
      <c r="AK781" s="18">
        <f>IF(AND(ISNUMBER(C781),ISNUMBER(ENSO!F781)),C781-ENSO!F781,"")</f>
        <v>-0.28999999999999998</v>
      </c>
      <c r="AL781" s="18">
        <f t="shared" si="125"/>
        <v>2023.125</v>
      </c>
      <c r="AM781" s="18">
        <f t="shared" si="126"/>
        <v>0.96999999999999886</v>
      </c>
    </row>
    <row r="782" spans="1:39">
      <c r="A782" s="18" t="str">
        <f>IF(Volcanic!A782="","",Volcanic!A782)</f>
        <v>3/2023</v>
      </c>
      <c r="B782" s="18">
        <f>IF(ISNUMBER(Volcanic!L782),Volcanic!L782,"")</f>
        <v>2023.2083333333333</v>
      </c>
      <c r="C782" s="21">
        <v>-0.44</v>
      </c>
      <c r="D782" s="18">
        <f t="shared" si="124"/>
        <v>-0.97</v>
      </c>
      <c r="E782" s="18">
        <f>IF(ISNUMBER(Volcanic!B782),Volcanic!B782,"")</f>
        <v>1.2299999999999986</v>
      </c>
      <c r="F782" s="18">
        <f>IF(ISNUMBER(Volcanic!C782),Volcanic!C782,"")</f>
        <v>0.58835913742367907</v>
      </c>
      <c r="G782" s="18">
        <f>IF(ISNUMBER(Volcanic!E782),Volcanic!E782,"")</f>
        <v>2.588E-2</v>
      </c>
      <c r="H782" s="18">
        <f>IF(ISNUMBER(Volcanic!D782),Volcanic!D782,"")</f>
        <v>-0.7</v>
      </c>
      <c r="I782" s="18">
        <f t="shared" si="118"/>
        <v>0.58835913742367907</v>
      </c>
      <c r="J782" s="18">
        <f t="shared" si="119"/>
        <v>2.588E-2</v>
      </c>
      <c r="K782" s="18">
        <f t="shared" si="120"/>
        <v>-0.97</v>
      </c>
      <c r="L782" s="18">
        <f t="shared" si="121"/>
        <v>0.58835913742367907</v>
      </c>
      <c r="M782" s="18">
        <f t="shared" si="122"/>
        <v>2.588E-2</v>
      </c>
      <c r="N782" s="18">
        <f t="shared" si="123"/>
        <v>-0.72525281984041823</v>
      </c>
      <c r="AK782" s="18">
        <f>IF(AND(ISNUMBER(C782),ISNUMBER(ENSO!F782)),C782-ENSO!F782,"")</f>
        <v>-0.33</v>
      </c>
      <c r="AL782" s="18">
        <f t="shared" si="125"/>
        <v>2023.2083333333333</v>
      </c>
      <c r="AM782" s="18">
        <f t="shared" si="126"/>
        <v>1.2299999999999986</v>
      </c>
    </row>
    <row r="783" spans="1:39">
      <c r="A783" s="18" t="str">
        <f>IF(Volcanic!A783="","",Volcanic!A783)</f>
        <v>4/2023</v>
      </c>
      <c r="B783" s="18">
        <f>IF(ISNUMBER(Volcanic!L783),Volcanic!L783,"")</f>
        <v>2023.2916666666667</v>
      </c>
      <c r="C783" s="21">
        <v>-0.21</v>
      </c>
      <c r="D783" s="18">
        <f t="shared" si="124"/>
        <v>-0.83</v>
      </c>
      <c r="E783" s="18">
        <f>IF(ISNUMBER(Volcanic!B783),Volcanic!B783,"")</f>
        <v>0.99000000000000021</v>
      </c>
      <c r="F783" s="18">
        <f>IF(ISNUMBER(Volcanic!C783),Volcanic!C783,"")</f>
        <v>0.59642406189270203</v>
      </c>
      <c r="G783" s="18">
        <f>IF(ISNUMBER(Volcanic!E783),Volcanic!E783,"")</f>
        <v>2.4309999999999998E-2</v>
      </c>
      <c r="H783" s="18">
        <f>IF(ISNUMBER(Volcanic!D783),Volcanic!D783,"")</f>
        <v>-0.55000000000000004</v>
      </c>
      <c r="I783" s="18">
        <f t="shared" si="118"/>
        <v>0.59642406189270203</v>
      </c>
      <c r="J783" s="18">
        <f t="shared" si="119"/>
        <v>2.4309999999999998E-2</v>
      </c>
      <c r="K783" s="18">
        <f t="shared" si="120"/>
        <v>-0.83</v>
      </c>
      <c r="L783" s="18">
        <f t="shared" si="121"/>
        <v>0.59642406189270203</v>
      </c>
      <c r="M783" s="18">
        <f t="shared" si="122"/>
        <v>2.4309999999999998E-2</v>
      </c>
      <c r="N783" s="18">
        <f t="shared" si="123"/>
        <v>-0.58456280034981656</v>
      </c>
      <c r="AK783" s="18">
        <f>IF(AND(ISNUMBER(C783),ISNUMBER(ENSO!F783)),C783-ENSO!F783,"")</f>
        <v>-0.4</v>
      </c>
      <c r="AL783" s="18">
        <f t="shared" si="125"/>
        <v>2023.2916666666667</v>
      </c>
      <c r="AM783" s="18">
        <f t="shared" si="126"/>
        <v>0.99000000000000021</v>
      </c>
    </row>
    <row r="784" spans="1:39">
      <c r="A784" s="18" t="str">
        <f>IF(Volcanic!A784="","",Volcanic!A784)</f>
        <v>5/2023</v>
      </c>
      <c r="B784" s="18">
        <f>IF(ISNUMBER(Volcanic!L784),Volcanic!L784,"")</f>
        <v>2023.375</v>
      </c>
      <c r="C784" s="21">
        <v>7.0000000000000007E-2</v>
      </c>
      <c r="D784" s="18">
        <f t="shared" si="124"/>
        <v>-0.62</v>
      </c>
      <c r="E784" s="18">
        <f>IF(ISNUMBER(Volcanic!B784),Volcanic!B784,"")</f>
        <v>0.93999999999999773</v>
      </c>
      <c r="F784" s="18">
        <f>IF(ISNUMBER(Volcanic!C784),Volcanic!C784,"")</f>
        <v>0.59863743761823274</v>
      </c>
      <c r="G784" s="18">
        <f>IF(ISNUMBER(Volcanic!E784),Volcanic!E784,"")</f>
        <v>2.2939999999999999E-2</v>
      </c>
      <c r="H784" s="18">
        <f>IF(ISNUMBER(Volcanic!D784),Volcanic!D784,"")</f>
        <v>-0.33</v>
      </c>
      <c r="I784" s="18">
        <f t="shared" si="118"/>
        <v>0.59863743761823274</v>
      </c>
      <c r="J784" s="18">
        <f t="shared" si="119"/>
        <v>2.2939999999999999E-2</v>
      </c>
      <c r="K784" s="18">
        <f t="shared" si="120"/>
        <v>-0.62</v>
      </c>
      <c r="L784" s="18">
        <f t="shared" si="121"/>
        <v>0.59863743761823274</v>
      </c>
      <c r="M784" s="18">
        <f t="shared" si="122"/>
        <v>2.2939999999999999E-2</v>
      </c>
      <c r="N784" s="18">
        <f t="shared" si="123"/>
        <v>-0.37387278085921849</v>
      </c>
      <c r="AK784" s="18">
        <f>IF(AND(ISNUMBER(C784),ISNUMBER(ENSO!F784)),C784-ENSO!F784,"")</f>
        <v>-0.39</v>
      </c>
      <c r="AL784" s="18">
        <f t="shared" si="125"/>
        <v>2023.375</v>
      </c>
      <c r="AM784" s="18">
        <f t="shared" si="126"/>
        <v>0.93999999999999773</v>
      </c>
    </row>
    <row r="785" spans="1:39">
      <c r="A785" s="18" t="str">
        <f>IF(Volcanic!A785="","",Volcanic!A785)</f>
        <v>6/2023</v>
      </c>
      <c r="B785" s="18">
        <f>IF(ISNUMBER(Volcanic!L785),Volcanic!L785,"")</f>
        <v>2023.4583333333333</v>
      </c>
      <c r="C785" s="21">
        <v>0.37</v>
      </c>
      <c r="D785" s="18">
        <f t="shared" si="124"/>
        <v>-0.44</v>
      </c>
      <c r="E785" s="18">
        <f>IF(ISNUMBER(Volcanic!B785),Volcanic!B785,"")</f>
        <v>1.0899999999999999</v>
      </c>
      <c r="F785" s="18">
        <f>IF(ISNUMBER(Volcanic!C785),Volcanic!C785,"")</f>
        <v>0.59754820008752652</v>
      </c>
      <c r="G785" s="18">
        <f>IF(ISNUMBER(Volcanic!E785),Volcanic!E785,"")</f>
        <v>2.172E-2</v>
      </c>
      <c r="H785" s="18">
        <f>IF(ISNUMBER(Volcanic!D785),Volcanic!D785,"")</f>
        <v>-0.11</v>
      </c>
      <c r="I785" s="18">
        <f t="shared" si="118"/>
        <v>0.59754820008752652</v>
      </c>
      <c r="J785" s="18">
        <f t="shared" si="119"/>
        <v>2.172E-2</v>
      </c>
      <c r="K785" s="18">
        <f t="shared" si="120"/>
        <v>-0.44</v>
      </c>
      <c r="L785" s="18">
        <f t="shared" si="121"/>
        <v>0.59754820008752652</v>
      </c>
      <c r="M785" s="18">
        <f t="shared" si="122"/>
        <v>2.172E-2</v>
      </c>
      <c r="N785" s="18">
        <f t="shared" si="123"/>
        <v>-0.19318276136862039</v>
      </c>
      <c r="AK785" s="18">
        <f>IF(AND(ISNUMBER(C785),ISNUMBER(ENSO!F785)),C785-ENSO!F785,"")</f>
        <v>-0.36</v>
      </c>
      <c r="AL785" s="18">
        <f t="shared" si="125"/>
        <v>2023.4583333333333</v>
      </c>
      <c r="AM785" s="18">
        <f t="shared" si="126"/>
        <v>1.0899999999999999</v>
      </c>
    </row>
    <row r="786" spans="1:39">
      <c r="A786" s="18" t="str">
        <f>IF(Volcanic!A786="","",Volcanic!A786)</f>
        <v>7/2023</v>
      </c>
      <c r="B786" s="18">
        <f>IF(ISNUMBER(Volcanic!L786),Volcanic!L786,"")</f>
        <v>2023.5416666666667</v>
      </c>
      <c r="C786" s="21">
        <v>0.62</v>
      </c>
      <c r="D786" s="18">
        <f t="shared" si="124"/>
        <v>-0.21</v>
      </c>
      <c r="E786" s="18">
        <f>IF(ISNUMBER(Volcanic!B786),Volcanic!B786,"")</f>
        <v>1.1899999999999977</v>
      </c>
      <c r="F786" s="18">
        <f>IF(ISNUMBER(Volcanic!C786),Volcanic!C786,"")</f>
        <v>0.59123487420164555</v>
      </c>
      <c r="G786" s="18">
        <f>IF(ISNUMBER(Volcanic!E786),Volcanic!E786,"")</f>
        <v>2.0449999999999999E-2</v>
      </c>
      <c r="H786" s="18">
        <f>IF(ISNUMBER(Volcanic!D786),Volcanic!D786,"")</f>
        <v>0.19</v>
      </c>
      <c r="I786" s="18">
        <f t="shared" si="118"/>
        <v>0.59123487420164555</v>
      </c>
      <c r="J786" s="18">
        <f t="shared" si="119"/>
        <v>2.0449999999999999E-2</v>
      </c>
      <c r="K786" s="18">
        <f t="shared" si="120"/>
        <v>-0.21</v>
      </c>
      <c r="L786" s="18">
        <f t="shared" si="121"/>
        <v>0.59123487420164555</v>
      </c>
      <c r="M786" s="18">
        <f t="shared" si="122"/>
        <v>2.0449999999999999E-2</v>
      </c>
      <c r="N786" s="18">
        <f t="shared" si="123"/>
        <v>3.7507258121981274E-2</v>
      </c>
      <c r="AK786" s="18">
        <f>IF(AND(ISNUMBER(C786),ISNUMBER(ENSO!F786)),C786-ENSO!F786,"")</f>
        <v>-0.38</v>
      </c>
      <c r="AL786" s="18">
        <f t="shared" si="125"/>
        <v>2023.5416666666667</v>
      </c>
      <c r="AM786" s="18">
        <f t="shared" si="126"/>
        <v>1.1899999999999977</v>
      </c>
    </row>
    <row r="787" spans="1:39">
      <c r="A787" s="18" t="str">
        <f>IF(Volcanic!A787="","",Volcanic!A787)</f>
        <v>8/2023</v>
      </c>
      <c r="B787" s="18">
        <f>IF(ISNUMBER(Volcanic!L787),Volcanic!L787,"")</f>
        <v>2023.625</v>
      </c>
      <c r="C787" s="21">
        <v>0.85</v>
      </c>
      <c r="D787" s="18">
        <f t="shared" si="124"/>
        <v>7.0000000000000007E-2</v>
      </c>
      <c r="E787" s="18">
        <f>IF(ISNUMBER(Volcanic!B787),Volcanic!B787,"")</f>
        <v>1.1899999999999977</v>
      </c>
      <c r="F787" s="18">
        <f>IF(ISNUMBER(Volcanic!C787),Volcanic!C787,"")</f>
        <v>0.58386288554529309</v>
      </c>
      <c r="G787" s="18">
        <f>IF(ISNUMBER(Volcanic!E787),Volcanic!E787,"")</f>
        <v>1.9570000000000001E-2</v>
      </c>
      <c r="H787" s="18">
        <f>IF(ISNUMBER(Volcanic!D787),Volcanic!D787,"")</f>
        <v>0.46</v>
      </c>
      <c r="I787" s="18">
        <f t="shared" si="118"/>
        <v>0.58386288554529309</v>
      </c>
      <c r="J787" s="18">
        <f t="shared" si="119"/>
        <v>1.9570000000000001E-2</v>
      </c>
      <c r="K787" s="18">
        <f t="shared" si="120"/>
        <v>7.0000000000000007E-2</v>
      </c>
      <c r="L787" s="18">
        <f t="shared" si="121"/>
        <v>0.58386288554529309</v>
      </c>
      <c r="M787" s="18">
        <f t="shared" si="122"/>
        <v>1.9570000000000001E-2</v>
      </c>
      <c r="N787" s="18">
        <f t="shared" si="123"/>
        <v>0.31819727761257938</v>
      </c>
      <c r="AK787" s="18">
        <f>IF(AND(ISNUMBER(C787),ISNUMBER(ENSO!F787)),C787-ENSO!F787,"")</f>
        <v>-0.4</v>
      </c>
      <c r="AL787" s="18">
        <f t="shared" si="125"/>
        <v>2023.625</v>
      </c>
      <c r="AM787" s="18">
        <f t="shared" si="126"/>
        <v>1.1899999999999977</v>
      </c>
    </row>
    <row r="788" spans="1:39">
      <c r="A788" s="18" t="str">
        <f>IF(Volcanic!A788="","",Volcanic!A788)</f>
        <v>9/2023</v>
      </c>
      <c r="B788" s="18">
        <f>IF(ISNUMBER(Volcanic!L788),Volcanic!L788,"")</f>
        <v>2023.7083333333333</v>
      </c>
      <c r="C788" s="21">
        <v>1.1000000000000001</v>
      </c>
      <c r="D788" s="18">
        <f t="shared" si="124"/>
        <v>0.37</v>
      </c>
      <c r="E788" s="18">
        <f>IF(ISNUMBER(Volcanic!B788),Volcanic!B788,"")</f>
        <v>1.4800000000000022</v>
      </c>
      <c r="F788" s="18">
        <f>IF(ISNUMBER(Volcanic!C788),Volcanic!C788,"")</f>
        <v>0.57980079560537734</v>
      </c>
      <c r="G788" s="18">
        <f>IF(ISNUMBER(Volcanic!E788),Volcanic!E788,"")</f>
        <v>1.916E-2</v>
      </c>
      <c r="H788" s="18">
        <f>IF(ISNUMBER(Volcanic!D788),Volcanic!D788,"")</f>
        <v>0.73</v>
      </c>
      <c r="I788" s="18">
        <f t="shared" si="118"/>
        <v>0.57980079560537734</v>
      </c>
      <c r="J788" s="18">
        <f t="shared" si="119"/>
        <v>1.916E-2</v>
      </c>
      <c r="K788" s="18">
        <f t="shared" si="120"/>
        <v>0.37</v>
      </c>
      <c r="L788" s="18">
        <f t="shared" si="121"/>
        <v>0.57980079560537734</v>
      </c>
      <c r="M788" s="18">
        <f t="shared" si="122"/>
        <v>1.916E-2</v>
      </c>
      <c r="N788" s="18">
        <f t="shared" si="123"/>
        <v>0.61888729710317747</v>
      </c>
      <c r="AK788" s="18">
        <f>IF(AND(ISNUMBER(C788),ISNUMBER(ENSO!F788)),C788-ENSO!F788,"")</f>
        <v>-0.39999999999999991</v>
      </c>
      <c r="AL788" s="18">
        <f t="shared" si="125"/>
        <v>2023.7083333333333</v>
      </c>
      <c r="AM788" s="18">
        <f t="shared" si="126"/>
        <v>1.4800000000000022</v>
      </c>
    </row>
    <row r="789" spans="1:39">
      <c r="A789" s="18" t="str">
        <f>IF(Volcanic!A789="","",Volcanic!A789)</f>
        <v>10/2023</v>
      </c>
      <c r="B789" s="18">
        <f>IF(ISNUMBER(Volcanic!L789),Volcanic!L789,"")</f>
        <v>2023.7916666666667</v>
      </c>
      <c r="C789" s="21">
        <v>1.35</v>
      </c>
      <c r="D789" s="18">
        <f t="shared" si="124"/>
        <v>0.62</v>
      </c>
      <c r="E789" s="18">
        <f>IF(ISNUMBER(Volcanic!B789),Volcanic!B789,"")</f>
        <v>1.3499999999999979</v>
      </c>
      <c r="F789" s="18">
        <f>IF(ISNUMBER(Volcanic!C789),Volcanic!C789,"")</f>
        <v>0.58090351006474894</v>
      </c>
      <c r="G789" s="18">
        <f>IF(ISNUMBER(Volcanic!E789),Volcanic!E789,"")</f>
        <v>1.8919999999999999E-2</v>
      </c>
      <c r="H789" s="18">
        <f>IF(ISNUMBER(Volcanic!D789),Volcanic!D789,"")</f>
        <v>1</v>
      </c>
      <c r="I789" s="18">
        <f t="shared" si="118"/>
        <v>0.58090351006474894</v>
      </c>
      <c r="J789" s="18">
        <f t="shared" si="119"/>
        <v>1.8919999999999999E-2</v>
      </c>
      <c r="K789" s="18">
        <f t="shared" si="120"/>
        <v>0.62</v>
      </c>
      <c r="L789" s="18">
        <f t="shared" si="121"/>
        <v>0.58090351006474894</v>
      </c>
      <c r="M789" s="18">
        <f t="shared" si="122"/>
        <v>1.8919999999999999E-2</v>
      </c>
      <c r="N789" s="18">
        <f t="shared" si="123"/>
        <v>0.86957731659377557</v>
      </c>
      <c r="AK789" s="18">
        <f>IF(AND(ISNUMBER(C789),ISNUMBER(ENSO!F789)),C789-ENSO!F789,"")</f>
        <v>-0.3899999999999999</v>
      </c>
      <c r="AL789" s="18">
        <f t="shared" si="125"/>
        <v>2023.7916666666667</v>
      </c>
      <c r="AM789" s="18">
        <f t="shared" si="126"/>
        <v>1.3499999999999979</v>
      </c>
    </row>
    <row r="790" spans="1:39">
      <c r="A790" s="18" t="str">
        <f>IF(Volcanic!A790="","",Volcanic!A790)</f>
        <v>11/2023</v>
      </c>
      <c r="B790" s="18">
        <f>IF(ISNUMBER(Volcanic!L790),Volcanic!L790,"")</f>
        <v>2023.875</v>
      </c>
      <c r="C790" s="21">
        <v>1.49</v>
      </c>
      <c r="D790" s="18">
        <f t="shared" si="124"/>
        <v>0.85</v>
      </c>
      <c r="E790" s="18">
        <f>IF(ISNUMBER(Volcanic!B790),Volcanic!B790,"")</f>
        <v>1.3999999999999986</v>
      </c>
      <c r="F790" s="18">
        <f>IF(ISNUMBER(Volcanic!C790),Volcanic!C790,"")</f>
        <v>0.58654173063114645</v>
      </c>
      <c r="G790" s="18">
        <f>IF(ISNUMBER(Volcanic!E790),Volcanic!E790,"")</f>
        <v>1.8620000000000001E-2</v>
      </c>
      <c r="H790" s="18">
        <f>IF(ISNUMBER(Volcanic!D790),Volcanic!D790,"")</f>
        <v>1.25</v>
      </c>
      <c r="I790" s="18">
        <f t="shared" si="118"/>
        <v>0.58654173063114645</v>
      </c>
      <c r="J790" s="18">
        <f t="shared" si="119"/>
        <v>1.8620000000000001E-2</v>
      </c>
      <c r="K790" s="18">
        <f t="shared" si="120"/>
        <v>0.85</v>
      </c>
      <c r="L790" s="18">
        <f t="shared" si="121"/>
        <v>0.58654173063114645</v>
      </c>
      <c r="M790" s="18">
        <f t="shared" si="122"/>
        <v>1.8620000000000001E-2</v>
      </c>
      <c r="N790" s="18">
        <f t="shared" si="123"/>
        <v>1.1002673360843738</v>
      </c>
      <c r="AK790" s="18">
        <f>IF(AND(ISNUMBER(C790),ISNUMBER(ENSO!F790)),C790-ENSO!F790,"")</f>
        <v>-0.40999999999999992</v>
      </c>
      <c r="AL790" s="18">
        <f t="shared" si="125"/>
        <v>2023.875</v>
      </c>
      <c r="AM790" s="18">
        <f t="shared" si="126"/>
        <v>1.3999999999999986</v>
      </c>
    </row>
    <row r="791" spans="1:39">
      <c r="A791" s="18" t="str">
        <f>IF(Volcanic!A791="","",Volcanic!A791)</f>
        <v>12/2023</v>
      </c>
      <c r="B791" s="18">
        <f>IF(ISNUMBER(Volcanic!L791),Volcanic!L791,"")</f>
        <v>2023.9583333333333</v>
      </c>
      <c r="C791" s="21">
        <v>1.45</v>
      </c>
      <c r="D791" s="18">
        <f t="shared" si="124"/>
        <v>1.1000000000000001</v>
      </c>
      <c r="E791" s="18">
        <f>IF(ISNUMBER(Volcanic!B791),Volcanic!B791,"")</f>
        <v>1.3599999999999977</v>
      </c>
      <c r="F791" s="18">
        <f>IF(ISNUMBER(Volcanic!C791),Volcanic!C791,"")</f>
        <v>0.59133747314496576</v>
      </c>
      <c r="G791" s="18">
        <f>IF(ISNUMBER(Volcanic!E791),Volcanic!E791,"")</f>
        <v>1.7600000000000001E-2</v>
      </c>
      <c r="H791" s="18">
        <f>IF(ISNUMBER(Volcanic!D791),Volcanic!D791,"")</f>
        <v>1.5</v>
      </c>
      <c r="I791" s="18">
        <f t="shared" si="118"/>
        <v>0.59133747314496576</v>
      </c>
      <c r="J791" s="18">
        <f t="shared" si="119"/>
        <v>1.7600000000000001E-2</v>
      </c>
      <c r="K791" s="18">
        <f t="shared" si="120"/>
        <v>1.1000000000000001</v>
      </c>
      <c r="L791" s="18">
        <f t="shared" si="121"/>
        <v>0.59133747314496576</v>
      </c>
      <c r="M791" s="18">
        <f t="shared" si="122"/>
        <v>1.7600000000000001E-2</v>
      </c>
      <c r="N791" s="18">
        <f t="shared" si="123"/>
        <v>1.3509573555749754</v>
      </c>
      <c r="AK791" s="18">
        <f>IF(AND(ISNUMBER(C791),ISNUMBER(ENSO!F791)),C791-ENSO!F791,"")</f>
        <v>-0.54</v>
      </c>
      <c r="AL791" s="18">
        <f t="shared" si="125"/>
        <v>2023.9583333333333</v>
      </c>
      <c r="AM791" s="18">
        <f t="shared" si="126"/>
        <v>1.3599999999999977</v>
      </c>
    </row>
    <row r="792" spans="1:39">
      <c r="A792" s="18" t="str">
        <f>IF(Volcanic!A792="","",Volcanic!A792)</f>
        <v>1/2024</v>
      </c>
      <c r="B792" s="18">
        <f>IF(ISNUMBER(Volcanic!L792),Volcanic!L792,"")</f>
        <v>2024.0416666666667</v>
      </c>
      <c r="C792" s="21">
        <v>1.2</v>
      </c>
      <c r="D792" s="18">
        <f t="shared" si="124"/>
        <v>1.35</v>
      </c>
      <c r="E792" s="18">
        <f>IF(ISNUMBER(Volcanic!B792),Volcanic!B792,"")</f>
        <v>1.25</v>
      </c>
      <c r="F792" s="18">
        <f>IF(ISNUMBER(Volcanic!C792),Volcanic!C792,"")</f>
        <v>0.5945485495503543</v>
      </c>
      <c r="G792" s="18">
        <f>IF(ISNUMBER(Volcanic!E792),Volcanic!E792,"")</f>
        <v>1.6219999999999998E-2</v>
      </c>
      <c r="H792" s="18">
        <f>IF(ISNUMBER(Volcanic!D792),Volcanic!D792,"")</f>
        <v>1.74</v>
      </c>
      <c r="I792" s="18">
        <f t="shared" si="118"/>
        <v>0.5945485495503543</v>
      </c>
      <c r="J792" s="18">
        <f t="shared" si="119"/>
        <v>1.6219999999999998E-2</v>
      </c>
      <c r="K792" s="18">
        <f t="shared" si="120"/>
        <v>1.35</v>
      </c>
      <c r="L792" s="18">
        <f t="shared" si="121"/>
        <v>0.5945485495503543</v>
      </c>
      <c r="M792" s="18">
        <f t="shared" si="122"/>
        <v>1.6219999999999998E-2</v>
      </c>
      <c r="N792" s="18">
        <f t="shared" si="123"/>
        <v>1.6016473750655735</v>
      </c>
      <c r="AK792" s="18">
        <f>IF(AND(ISNUMBER(C792),ISNUMBER(ENSO!F792)),C792-ENSO!F792,"")</f>
        <v>-0.64000000000000012</v>
      </c>
      <c r="AL792" s="18">
        <f t="shared" si="125"/>
        <v>2024.0416666666667</v>
      </c>
      <c r="AM792" s="18">
        <f t="shared" si="126"/>
        <v>1.25</v>
      </c>
    </row>
    <row r="793" spans="1:39">
      <c r="A793" s="18" t="str">
        <f>IF(Volcanic!A793="","",Volcanic!A793)</f>
        <v>2/2024</v>
      </c>
      <c r="B793" s="18">
        <f>IF(ISNUMBER(Volcanic!L793),Volcanic!L793,"")</f>
        <v>2024.125</v>
      </c>
      <c r="C793" s="21">
        <v>0.85</v>
      </c>
      <c r="D793" s="18">
        <f t="shared" si="124"/>
        <v>1.49</v>
      </c>
      <c r="E793" s="18">
        <f>IF(ISNUMBER(Volcanic!B793),Volcanic!B793,"")</f>
        <v>1.4400000000000013</v>
      </c>
      <c r="F793" s="18">
        <f>IF(ISNUMBER(Volcanic!C793),Volcanic!C793,"")</f>
        <v>0.60050764534578571</v>
      </c>
      <c r="G793" s="18">
        <f>IF(ISNUMBER(Volcanic!E793),Volcanic!E793,"")</f>
        <v>1.4800000000000001E-2</v>
      </c>
      <c r="H793" s="18">
        <f>IF(ISNUMBER(Volcanic!D793),Volcanic!D793,"")</f>
        <v>1.9</v>
      </c>
      <c r="I793" s="18">
        <f t="shared" si="118"/>
        <v>0.60050764534578571</v>
      </c>
      <c r="J793" s="18">
        <f t="shared" si="119"/>
        <v>1.4800000000000001E-2</v>
      </c>
      <c r="K793" s="18">
        <f t="shared" si="120"/>
        <v>1.49</v>
      </c>
      <c r="L793" s="18">
        <f t="shared" si="121"/>
        <v>0.60050764534578571</v>
      </c>
      <c r="M793" s="18">
        <f t="shared" si="122"/>
        <v>1.4800000000000001E-2</v>
      </c>
      <c r="N793" s="18">
        <f t="shared" si="123"/>
        <v>1.7423373945561715</v>
      </c>
      <c r="AK793" s="18">
        <f>IF(AND(ISNUMBER(C793),ISNUMBER(ENSO!F793)),C793-ENSO!F793,"")</f>
        <v>-0.68</v>
      </c>
      <c r="AL793" s="18">
        <f t="shared" si="125"/>
        <v>2024.125</v>
      </c>
      <c r="AM793" s="18">
        <f t="shared" si="126"/>
        <v>1.4400000000000013</v>
      </c>
    </row>
    <row r="794" spans="1:39">
      <c r="A794" s="18" t="str">
        <f>IF(Volcanic!A794="","",Volcanic!A794)</f>
        <v>3/2024</v>
      </c>
      <c r="B794" s="18">
        <f>IF(ISNUMBER(Volcanic!L794),Volcanic!L794,"")</f>
        <v>2024.2083333333333</v>
      </c>
      <c r="C794" s="21">
        <v>0.49</v>
      </c>
      <c r="D794" s="18">
        <f t="shared" si="124"/>
        <v>1.45</v>
      </c>
      <c r="E794" s="18">
        <f>IF(ISNUMBER(Volcanic!B794),Volcanic!B794,"")</f>
        <v>1.3999999999999986</v>
      </c>
      <c r="F794" s="18">
        <f>IF(ISNUMBER(Volcanic!C794),Volcanic!C794,"")</f>
        <v>0.6033253768403416</v>
      </c>
      <c r="G794" s="18">
        <f>IF(ISNUMBER(Volcanic!E794),Volcanic!E794,"")</f>
        <v>1.3599999999999999E-2</v>
      </c>
      <c r="H794" s="18">
        <f>IF(ISNUMBER(Volcanic!D794),Volcanic!D794,"")</f>
        <v>1.99</v>
      </c>
      <c r="I794" s="18">
        <f t="shared" si="118"/>
        <v>0.6033253768403416</v>
      </c>
      <c r="J794" s="18">
        <f t="shared" si="119"/>
        <v>1.3599999999999999E-2</v>
      </c>
      <c r="K794" s="18">
        <f t="shared" si="120"/>
        <v>1.45</v>
      </c>
      <c r="L794" s="18">
        <f t="shared" si="121"/>
        <v>0.6033253768403416</v>
      </c>
      <c r="M794" s="18">
        <f t="shared" si="122"/>
        <v>1.3599999999999999E-2</v>
      </c>
      <c r="N794" s="18">
        <f t="shared" si="123"/>
        <v>1.7030274140467696</v>
      </c>
      <c r="AK794" s="18">
        <f>IF(AND(ISNUMBER(C794),ISNUMBER(ENSO!F794)),C794-ENSO!F794,"")</f>
        <v>-0.69</v>
      </c>
      <c r="AL794" s="18">
        <f t="shared" si="125"/>
        <v>2024.2083333333333</v>
      </c>
      <c r="AM794" s="18">
        <f t="shared" si="126"/>
        <v>1.3999999999999986</v>
      </c>
    </row>
    <row r="795" spans="1:39">
      <c r="A795" s="18" t="str">
        <f>IF(Volcanic!A795="","",Volcanic!A795)</f>
        <v>4/2024</v>
      </c>
      <c r="B795" s="18">
        <f>IF(ISNUMBER(Volcanic!L795),Volcanic!L795,"")</f>
        <v>2024.2916666666667</v>
      </c>
      <c r="C795" s="21">
        <v>0.05</v>
      </c>
      <c r="D795" s="18">
        <f t="shared" si="124"/>
        <v>1.2</v>
      </c>
      <c r="E795" s="18">
        <f>IF(ISNUMBER(Volcanic!B795),Volcanic!B795,"")</f>
        <v>1.3200000000000003</v>
      </c>
      <c r="F795" s="18">
        <f>IF(ISNUMBER(Volcanic!C795),Volcanic!C795,"")</f>
        <v>0.60715274035522215</v>
      </c>
      <c r="G795" s="18">
        <f>IF(ISNUMBER(Volcanic!E795),Volcanic!E795,"")</f>
        <v>1.3509999999999999E-2</v>
      </c>
      <c r="H795" s="18">
        <f>IF(ISNUMBER(Volcanic!D795),Volcanic!D795,"")</f>
        <v>1.84</v>
      </c>
      <c r="I795" s="18">
        <f t="shared" si="118"/>
        <v>0.60715274035522215</v>
      </c>
      <c r="J795" s="18">
        <f t="shared" si="119"/>
        <v>1.3509999999999999E-2</v>
      </c>
      <c r="K795" s="18">
        <f t="shared" si="120"/>
        <v>1.2</v>
      </c>
      <c r="L795" s="18">
        <f t="shared" si="121"/>
        <v>0.60715274035522215</v>
      </c>
      <c r="M795" s="18">
        <f t="shared" si="122"/>
        <v>1.3509999999999999E-2</v>
      </c>
      <c r="N795" s="18">
        <f t="shared" si="123"/>
        <v>1.4537174335373713</v>
      </c>
      <c r="AK795" s="18">
        <f>IF(AND(ISNUMBER(C795),ISNUMBER(ENSO!F795)),C795-ENSO!F795,"")</f>
        <v>-0.72</v>
      </c>
      <c r="AL795" s="18">
        <f t="shared" si="125"/>
        <v>2024.2916666666667</v>
      </c>
      <c r="AM795" s="18">
        <f t="shared" si="126"/>
        <v>1.3200000000000003</v>
      </c>
    </row>
    <row r="796" spans="1:39">
      <c r="A796" s="18" t="str">
        <f>IF(Volcanic!A796="","",Volcanic!A796)</f>
        <v>5/2024</v>
      </c>
      <c r="B796" s="18">
        <f>IF(ISNUMBER(Volcanic!L796),Volcanic!L796,"")</f>
        <v>2024.375</v>
      </c>
      <c r="C796" s="21">
        <v>-0.26</v>
      </c>
      <c r="D796" s="18">
        <f t="shared" si="124"/>
        <v>0.85</v>
      </c>
      <c r="E796" s="18">
        <f>IF(ISNUMBER(Volcanic!B796),Volcanic!B796,"")</f>
        <v>1.1600000000000001</v>
      </c>
      <c r="F796" s="18">
        <f>IF(ISNUMBER(Volcanic!C796),Volcanic!C796,"")</f>
        <v>0.60847133541530962</v>
      </c>
      <c r="G796" s="18">
        <f>IF(ISNUMBER(Volcanic!E796),Volcanic!E796,"")</f>
        <v>1.3769999999999999E-2</v>
      </c>
      <c r="H796" s="18">
        <f>IF(ISNUMBER(Volcanic!D796),Volcanic!D796,"")</f>
        <v>1.53</v>
      </c>
      <c r="I796" s="18">
        <f t="shared" si="118"/>
        <v>0.60847133541530962</v>
      </c>
      <c r="J796" s="18">
        <f t="shared" si="119"/>
        <v>1.3769999999999999E-2</v>
      </c>
      <c r="K796" s="18">
        <f t="shared" si="120"/>
        <v>0.85</v>
      </c>
      <c r="L796" s="18">
        <f t="shared" si="121"/>
        <v>0.60847133541530962</v>
      </c>
      <c r="M796" s="18">
        <f t="shared" si="122"/>
        <v>1.3769999999999999E-2</v>
      </c>
      <c r="N796" s="18">
        <f t="shared" si="123"/>
        <v>1.1044074530279695</v>
      </c>
      <c r="AK796" s="18">
        <f>IF(AND(ISNUMBER(C796),ISNUMBER(ENSO!F796)),C796-ENSO!F796,"")</f>
        <v>-0.69</v>
      </c>
      <c r="AL796" s="18">
        <f t="shared" si="125"/>
        <v>2024.375</v>
      </c>
      <c r="AM796" s="18">
        <f t="shared" si="126"/>
        <v>1.1600000000000001</v>
      </c>
    </row>
    <row r="797" spans="1:39">
      <c r="A797" s="18" t="str">
        <f>IF(Volcanic!A797="","",Volcanic!A797)</f>
        <v>6/2024</v>
      </c>
      <c r="B797" s="18">
        <f>IF(ISNUMBER(Volcanic!L797),Volcanic!L797,"")</f>
        <v>2024.4583333333333</v>
      </c>
      <c r="C797" s="21">
        <v>-0.46</v>
      </c>
      <c r="D797" s="18">
        <f t="shared" si="124"/>
        <v>0.49</v>
      </c>
      <c r="E797" s="18">
        <f>IF(ISNUMBER(Volcanic!B797),Volcanic!B797,"")</f>
        <v>1.2299999999999986</v>
      </c>
      <c r="F797" s="18">
        <f>IF(ISNUMBER(Volcanic!C797),Volcanic!C797,"")</f>
        <v>0.60850512970305437</v>
      </c>
      <c r="G797" s="18">
        <f>IF(ISNUMBER(Volcanic!E797),Volcanic!E797,"")</f>
        <v>1.2930000000000001E-2</v>
      </c>
      <c r="H797" s="18">
        <f>IF(ISNUMBER(Volcanic!D797),Volcanic!D797,"")</f>
        <v>1.18</v>
      </c>
      <c r="I797" s="18">
        <f t="shared" si="118"/>
        <v>0.60850512970305437</v>
      </c>
      <c r="J797" s="18">
        <f t="shared" si="119"/>
        <v>1.2930000000000001E-2</v>
      </c>
      <c r="K797" s="18">
        <f t="shared" si="120"/>
        <v>0.49</v>
      </c>
      <c r="L797" s="18">
        <f t="shared" si="121"/>
        <v>0.60850512970305437</v>
      </c>
      <c r="M797" s="18">
        <f t="shared" si="122"/>
        <v>1.2930000000000001E-2</v>
      </c>
      <c r="N797" s="18">
        <f t="shared" si="123"/>
        <v>0.74509747251856751</v>
      </c>
      <c r="AK797" s="18">
        <f>IF(AND(ISNUMBER(C797),ISNUMBER(ENSO!F797)),C797-ENSO!F797,"")</f>
        <v>-0.64</v>
      </c>
      <c r="AL797" s="18">
        <f t="shared" si="125"/>
        <v>2024.4583333333333</v>
      </c>
      <c r="AM797" s="18">
        <f t="shared" si="126"/>
        <v>1.2299999999999986</v>
      </c>
    </row>
    <row r="798" spans="1:39">
      <c r="A798" s="18" t="str">
        <f>IF(Volcanic!A798="","",Volcanic!A798)</f>
        <v>7/2024</v>
      </c>
      <c r="B798" s="18">
        <f>IF(ISNUMBER(Volcanic!L798),Volcanic!L798,"")</f>
        <v>2024.5416666666667</v>
      </c>
      <c r="C798" s="21">
        <v>-0.51</v>
      </c>
      <c r="D798" s="18">
        <f t="shared" si="124"/>
        <v>0.05</v>
      </c>
      <c r="E798" s="18">
        <f>IF(ISNUMBER(Volcanic!B798),Volcanic!B798,"")</f>
        <v>1.2000000000000011</v>
      </c>
      <c r="F798" s="18">
        <f>IF(ISNUMBER(Volcanic!C798),Volcanic!C798,"")</f>
        <v>0.60390182416318638</v>
      </c>
      <c r="G798" s="18">
        <f>IF(ISNUMBER(Volcanic!E798),Volcanic!E798,"")</f>
        <v>1.235E-2</v>
      </c>
      <c r="H798" s="18">
        <f>IF(ISNUMBER(Volcanic!D798),Volcanic!D798,"")</f>
        <v>0.77</v>
      </c>
      <c r="I798" s="18">
        <f t="shared" si="118"/>
        <v>0.60390182416318638</v>
      </c>
      <c r="J798" s="18">
        <f t="shared" si="119"/>
        <v>1.235E-2</v>
      </c>
      <c r="K798" s="18">
        <f t="shared" si="120"/>
        <v>0.05</v>
      </c>
      <c r="L798" s="18">
        <f t="shared" si="121"/>
        <v>0.60390182416318638</v>
      </c>
      <c r="M798" s="18">
        <f t="shared" si="122"/>
        <v>1.235E-2</v>
      </c>
      <c r="N798" s="18">
        <f t="shared" si="123"/>
        <v>0.30578749200916916</v>
      </c>
      <c r="AK798" s="18">
        <f>IF(AND(ISNUMBER(C798),ISNUMBER(ENSO!F798)),C798-ENSO!F798,"")</f>
        <v>-0.57000000000000006</v>
      </c>
      <c r="AL798" s="18">
        <f t="shared" si="125"/>
        <v>2024.5416666666667</v>
      </c>
      <c r="AM798" s="18">
        <f t="shared" si="126"/>
        <v>1.2000000000000011</v>
      </c>
    </row>
    <row r="799" spans="1:39">
      <c r="A799" s="18" t="str">
        <f>IF(Volcanic!A799="","",Volcanic!A799)</f>
        <v>8/2024</v>
      </c>
      <c r="B799" s="18">
        <f>IF(ISNUMBER(Volcanic!L799),Volcanic!L799,"")</f>
        <v>2024.625</v>
      </c>
      <c r="C799" s="21">
        <v>-0.64</v>
      </c>
      <c r="D799" s="18">
        <f t="shared" si="124"/>
        <v>-0.26</v>
      </c>
      <c r="E799" s="18">
        <f>IF(ISNUMBER(Volcanic!B799),Volcanic!B799,"")</f>
        <v>1.3000000000000043</v>
      </c>
      <c r="F799" s="18">
        <f>IF(ISNUMBER(Volcanic!C799),Volcanic!C799,"")</f>
        <v>0.5951967295060876</v>
      </c>
      <c r="G799" s="18">
        <f>IF(ISNUMBER(Volcanic!E799),Volcanic!E799,"")</f>
        <v>1.175E-2</v>
      </c>
      <c r="H799" s="18">
        <f>IF(ISNUMBER(Volcanic!D799),Volcanic!D799,"")</f>
        <v>0.43</v>
      </c>
      <c r="I799" s="18">
        <f t="shared" si="118"/>
        <v>0.5951967295060876</v>
      </c>
      <c r="J799" s="18">
        <f t="shared" si="119"/>
        <v>1.175E-2</v>
      </c>
      <c r="K799" s="18">
        <f t="shared" si="120"/>
        <v>-0.26</v>
      </c>
      <c r="L799" s="18">
        <f t="shared" si="121"/>
        <v>0.5951967295060876</v>
      </c>
      <c r="M799" s="18">
        <f t="shared" si="122"/>
        <v>1.175E-2</v>
      </c>
      <c r="N799" s="18">
        <f t="shared" si="123"/>
        <v>-3.5224885002327344E-3</v>
      </c>
      <c r="AK799" s="18">
        <f>IF(AND(ISNUMBER(C799),ISNUMBER(ENSO!F799)),C799-ENSO!F799,"")</f>
        <v>-0.6</v>
      </c>
      <c r="AL799" s="18">
        <f t="shared" si="125"/>
        <v>2024.625</v>
      </c>
      <c r="AM799" s="18">
        <f t="shared" si="126"/>
        <v>1.3000000000000043</v>
      </c>
    </row>
    <row r="800" spans="1:39">
      <c r="A800" s="18" t="str">
        <f>IF(Volcanic!A800="","",Volcanic!A800)</f>
        <v>9/2024</v>
      </c>
      <c r="B800" s="18">
        <f>IF(ISNUMBER(Volcanic!L800),Volcanic!L800,"")</f>
        <v>2024.7083333333333</v>
      </c>
      <c r="C800" s="21">
        <v>-0.76</v>
      </c>
      <c r="D800" s="18">
        <f t="shared" si="124"/>
        <v>-0.46</v>
      </c>
      <c r="E800" s="18">
        <f>IF(ISNUMBER(Volcanic!B800),Volcanic!B800,"")</f>
        <v>1.2099999999999991</v>
      </c>
      <c r="F800" s="18">
        <f>IF(ISNUMBER(Volcanic!C800),Volcanic!C800,"")</f>
        <v>0.59191872937568002</v>
      </c>
      <c r="G800" s="18">
        <f>IF(ISNUMBER(Volcanic!E800),Volcanic!E800,"")</f>
        <v>1.065E-2</v>
      </c>
      <c r="H800" s="18">
        <f>IF(ISNUMBER(Volcanic!D800),Volcanic!D800,"")</f>
        <v>0.18</v>
      </c>
      <c r="I800" s="18">
        <f t="shared" si="118"/>
        <v>0.59191872937568002</v>
      </c>
      <c r="J800" s="18">
        <f t="shared" si="119"/>
        <v>1.065E-2</v>
      </c>
      <c r="K800" s="18">
        <f t="shared" si="120"/>
        <v>-0.46</v>
      </c>
      <c r="L800" s="18">
        <f t="shared" si="121"/>
        <v>0.59191872937568002</v>
      </c>
      <c r="M800" s="18">
        <f t="shared" si="122"/>
        <v>1.065E-2</v>
      </c>
      <c r="N800" s="18">
        <f t="shared" si="123"/>
        <v>-0.20283246900963464</v>
      </c>
      <c r="AK800" s="18">
        <f>IF(AND(ISNUMBER(C800),ISNUMBER(ENSO!F800)),C800-ENSO!F800,"")</f>
        <v>-0.64</v>
      </c>
      <c r="AL800" s="18">
        <f t="shared" si="125"/>
        <v>2024.7083333333333</v>
      </c>
      <c r="AM800" s="18">
        <f t="shared" si="126"/>
        <v>1.2099999999999991</v>
      </c>
    </row>
    <row r="801" spans="1:39">
      <c r="A801" s="18" t="str">
        <f>IF(Volcanic!A801="","",Volcanic!A801)</f>
        <v>10/2024</v>
      </c>
      <c r="B801" s="18">
        <f>IF(ISNUMBER(Volcanic!L801),Volcanic!L801,"")</f>
        <v>2024.7916666666667</v>
      </c>
      <c r="C801" s="21">
        <v>-0.82</v>
      </c>
      <c r="D801" s="18">
        <f t="shared" si="124"/>
        <v>-0.51</v>
      </c>
      <c r="E801" s="18">
        <f>IF(ISNUMBER(Volcanic!B801),Volcanic!B801,"")</f>
        <v>1.3499999999999979</v>
      </c>
      <c r="F801" s="18">
        <f>IF(ISNUMBER(Volcanic!C801),Volcanic!C801,"")</f>
        <v>0.59311469648461523</v>
      </c>
      <c r="G801" s="18">
        <f>IF(ISNUMBER(Volcanic!E801),Volcanic!E801,"")</f>
        <v>9.9600000000000001E-3</v>
      </c>
      <c r="H801" s="18">
        <f>IF(ISNUMBER(Volcanic!D801),Volcanic!D801,"")</f>
        <v>0.06</v>
      </c>
      <c r="I801" s="18">
        <f t="shared" si="118"/>
        <v>0.59311469648461523</v>
      </c>
      <c r="J801" s="18">
        <f t="shared" si="119"/>
        <v>9.9600000000000001E-3</v>
      </c>
      <c r="K801" s="18">
        <f t="shared" si="120"/>
        <v>-0.51</v>
      </c>
      <c r="L801" s="18">
        <f t="shared" si="121"/>
        <v>0.59311469648461523</v>
      </c>
      <c r="M801" s="18">
        <f t="shared" si="122"/>
        <v>9.9600000000000001E-3</v>
      </c>
      <c r="N801" s="18">
        <f t="shared" si="123"/>
        <v>-0.25214244951903653</v>
      </c>
      <c r="AK801" s="18">
        <f>IF(AND(ISNUMBER(C801),ISNUMBER(ENSO!F801)),C801-ENSO!F801,"")</f>
        <v>-0.62999999999999989</v>
      </c>
      <c r="AL801" s="18">
        <f t="shared" si="125"/>
        <v>2024.7916666666667</v>
      </c>
      <c r="AM801" s="18">
        <f t="shared" si="126"/>
        <v>1.3499999999999979</v>
      </c>
    </row>
    <row r="802" spans="1:39">
      <c r="A802" s="18" t="str">
        <f>IF(Volcanic!A802="","",Volcanic!A802)</f>
        <v>11/2024</v>
      </c>
      <c r="B802" s="18">
        <f>IF(ISNUMBER(Volcanic!L802),Volcanic!L802,"")</f>
        <v>2024.875</v>
      </c>
      <c r="C802" s="21">
        <v>-0.94</v>
      </c>
      <c r="D802" s="18">
        <f t="shared" si="124"/>
        <v>-0.64</v>
      </c>
      <c r="E802" s="18">
        <f>IF(ISNUMBER(Volcanic!B802),Volcanic!B802,"")</f>
        <v>1.3000000000000043</v>
      </c>
      <c r="F802" s="18">
        <f>IF(ISNUMBER(Volcanic!C802),Volcanic!C802,"")</f>
        <v>0.59812695991960418</v>
      </c>
      <c r="G802" s="18">
        <f>IF(ISNUMBER(Volcanic!E802),Volcanic!E802,"")</f>
        <v>9.6799999999999994E-3</v>
      </c>
      <c r="H802" s="18">
        <f>IF(ISNUMBER(Volcanic!D802),Volcanic!D802,"")</f>
        <v>-0.04</v>
      </c>
      <c r="I802" s="18">
        <f t="shared" si="118"/>
        <v>0.59812695991960418</v>
      </c>
      <c r="J802" s="18">
        <f t="shared" si="119"/>
        <v>9.6799999999999994E-3</v>
      </c>
      <c r="K802" s="18">
        <f t="shared" si="120"/>
        <v>-0.64</v>
      </c>
      <c r="L802" s="18">
        <f t="shared" si="121"/>
        <v>0.59812695991960418</v>
      </c>
      <c r="M802" s="18">
        <f t="shared" si="122"/>
        <v>9.6799999999999994E-3</v>
      </c>
      <c r="N802" s="18">
        <f t="shared" si="123"/>
        <v>-0.38145243002843487</v>
      </c>
      <c r="AK802" s="18">
        <f>IF(AND(ISNUMBER(C802),ISNUMBER(ENSO!F802)),C802-ENSO!F802,"")</f>
        <v>-0.64999999999999991</v>
      </c>
      <c r="AL802" s="18">
        <f t="shared" si="125"/>
        <v>2024.875</v>
      </c>
      <c r="AM802" s="18">
        <f t="shared" si="126"/>
        <v>1.3000000000000043</v>
      </c>
    </row>
    <row r="803" spans="1:39">
      <c r="A803" s="18" t="str">
        <f>IF(Volcanic!A803="","",Volcanic!A803)</f>
        <v>12/2024</v>
      </c>
      <c r="B803" s="18">
        <f>IF(ISNUMBER(Volcanic!L803),Volcanic!L803,"")</f>
        <v>2024.9583333333333</v>
      </c>
      <c r="C803" s="21">
        <v>-1.08</v>
      </c>
      <c r="D803" s="18">
        <f t="shared" si="124"/>
        <v>-0.76</v>
      </c>
      <c r="E803" s="18">
        <f>IF(ISNUMBER(Volcanic!B803),Volcanic!B803,"")</f>
        <v>1.2700000000000014</v>
      </c>
      <c r="F803" s="18">
        <f>IF(ISNUMBER(Volcanic!C803),Volcanic!C803,"")</f>
        <v>0.60339320612834335</v>
      </c>
      <c r="G803" s="18">
        <f>IF(ISNUMBER(Volcanic!E803),Volcanic!E803,"")</f>
        <v>1.523E-2</v>
      </c>
      <c r="H803" s="18">
        <f>IF(ISNUMBER(Volcanic!D803),Volcanic!D803,"")</f>
        <v>-0.12</v>
      </c>
      <c r="I803" s="18">
        <f t="shared" si="118"/>
        <v>0.60339320612834335</v>
      </c>
      <c r="J803" s="18">
        <f t="shared" si="119"/>
        <v>1.523E-2</v>
      </c>
      <c r="K803" s="18">
        <f t="shared" si="120"/>
        <v>-0.76</v>
      </c>
      <c r="L803" s="18">
        <f t="shared" si="121"/>
        <v>0.60339320612834335</v>
      </c>
      <c r="M803" s="18">
        <f t="shared" si="122"/>
        <v>1.523E-2</v>
      </c>
      <c r="N803" s="18">
        <f t="shared" si="123"/>
        <v>-0.50076241053783677</v>
      </c>
      <c r="AK803" s="18">
        <f>IF(AND(ISNUMBER(C803),ISNUMBER(ENSO!F803)),C803-ENSO!F803,"")</f>
        <v>-0.65000000000000013</v>
      </c>
      <c r="AL803" s="18">
        <f t="shared" si="125"/>
        <v>2024.9583333333333</v>
      </c>
      <c r="AM803" s="18">
        <f t="shared" si="126"/>
        <v>1.2700000000000014</v>
      </c>
    </row>
    <row r="804" spans="1:39">
      <c r="A804" s="18" t="str">
        <f>IF(Volcanic!A804="","",Volcanic!A804)</f>
        <v>1/2025</v>
      </c>
      <c r="B804" s="18">
        <f>IF(ISNUMBER(Volcanic!L804),Volcanic!L804,"")</f>
        <v>2025.0416666666667</v>
      </c>
      <c r="C804" s="21">
        <v>-1.1299999999999999</v>
      </c>
      <c r="D804" s="18">
        <f t="shared" si="124"/>
        <v>-0.82</v>
      </c>
      <c r="E804" s="18">
        <f>IF(ISNUMBER(Volcanic!B804),Volcanic!B804,"")</f>
        <v>1.379999999999999</v>
      </c>
      <c r="F804" s="18">
        <f>IF(ISNUMBER(Volcanic!C804),Volcanic!C804,"")</f>
        <v>0.60762622084548734</v>
      </c>
      <c r="G804" s="18">
        <f>IF(ISNUMBER(Volcanic!E804),Volcanic!E804,"")</f>
        <v>1.8540000000000001E-2</v>
      </c>
      <c r="H804" s="18">
        <f>IF(ISNUMBER(Volcanic!D804),Volcanic!D804,"")</f>
        <v>-0.19</v>
      </c>
      <c r="I804" s="18">
        <f t="shared" si="118"/>
        <v>0.60762622084548734</v>
      </c>
      <c r="J804" s="18">
        <f t="shared" si="119"/>
        <v>1.8540000000000001E-2</v>
      </c>
      <c r="K804" s="18">
        <f t="shared" si="120"/>
        <v>-0.82</v>
      </c>
      <c r="L804" s="18">
        <f t="shared" si="121"/>
        <v>0.60762622084548734</v>
      </c>
      <c r="M804" s="18">
        <f t="shared" si="122"/>
        <v>1.8540000000000001E-2</v>
      </c>
      <c r="N804" s="18">
        <f t="shared" si="123"/>
        <v>-0.5600723910472386</v>
      </c>
      <c r="AK804" s="18">
        <f>IF(AND(ISNUMBER(C804),ISNUMBER(ENSO!F804)),C804-ENSO!F804,"")</f>
        <v>-0.66999999999999993</v>
      </c>
      <c r="AL804" s="18">
        <f t="shared" si="125"/>
        <v>2025.0416666666667</v>
      </c>
      <c r="AM804" s="18">
        <f t="shared" si="126"/>
        <v>1.379999999999999</v>
      </c>
    </row>
    <row r="805" spans="1:39">
      <c r="A805" s="18" t="str">
        <f>IF(Volcanic!A805="","",Volcanic!A805)</f>
        <v>2/2025</v>
      </c>
      <c r="B805" s="18">
        <f>IF(ISNUMBER(Volcanic!L805),Volcanic!L805,"")</f>
        <v>2025.125</v>
      </c>
      <c r="C805" s="21">
        <v>-0.9</v>
      </c>
      <c r="D805" s="18">
        <f t="shared" si="124"/>
        <v>-0.94</v>
      </c>
      <c r="E805" s="18">
        <f>IF(ISNUMBER(Volcanic!B805),Volcanic!B805,"")</f>
        <v>1.2600000000000033</v>
      </c>
      <c r="F805" s="18">
        <f>IF(ISNUMBER(Volcanic!C805),Volcanic!C805,"")</f>
        <v>0.60911329155599458</v>
      </c>
      <c r="G805" s="18">
        <f>IF(ISNUMBER(Volcanic!E805),Volcanic!E805,"")</f>
        <v>1.687E-2</v>
      </c>
      <c r="H805" s="18">
        <f>IF(ISNUMBER(Volcanic!D805),Volcanic!D805,"")</f>
        <v>-0.28999999999999998</v>
      </c>
      <c r="I805" s="18">
        <f t="shared" si="118"/>
        <v>0.60911329155599458</v>
      </c>
      <c r="J805" s="18">
        <f t="shared" si="119"/>
        <v>1.687E-2</v>
      </c>
      <c r="K805" s="18">
        <f t="shared" si="120"/>
        <v>-0.94</v>
      </c>
      <c r="L805" s="18">
        <f t="shared" si="121"/>
        <v>0.60911329155599458</v>
      </c>
      <c r="M805" s="18">
        <f t="shared" si="122"/>
        <v>1.687E-2</v>
      </c>
      <c r="N805" s="18">
        <f t="shared" si="123"/>
        <v>-0.6793823715566405</v>
      </c>
      <c r="AK805" s="18">
        <f>IF(AND(ISNUMBER(C805),ISNUMBER(ENSO!F805)),C805-ENSO!F805,"")</f>
        <v>-0.68</v>
      </c>
      <c r="AL805" s="18">
        <f t="shared" si="125"/>
        <v>2025.125</v>
      </c>
      <c r="AM805" s="18">
        <f t="shared" si="126"/>
        <v>1.2600000000000033</v>
      </c>
    </row>
    <row r="806" spans="1:39">
      <c r="A806" s="18" t="str">
        <f>IF(Volcanic!A806="","",Volcanic!A806)</f>
        <v>3/2025</v>
      </c>
      <c r="B806" s="18">
        <f>IF(ISNUMBER(Volcanic!L806),Volcanic!L806,"")</f>
        <v>2025.2083333333333</v>
      </c>
      <c r="C806" s="21">
        <v>-0.67</v>
      </c>
      <c r="D806" s="18">
        <f t="shared" si="124"/>
        <v>-1.08</v>
      </c>
      <c r="E806" s="18">
        <f>IF(ISNUMBER(Volcanic!B806),Volcanic!B806,"")</f>
        <v>1.370000000000001</v>
      </c>
      <c r="F806" s="18">
        <f>IF(ISNUMBER(Volcanic!C806),Volcanic!C806,"")</f>
        <v>0.61268949829656494</v>
      </c>
      <c r="G806" s="18">
        <f>IF(ISNUMBER(Volcanic!E806),Volcanic!E806,"")</f>
        <v>1.6629999999999999E-2</v>
      </c>
      <c r="H806" s="18">
        <f>IF(ISNUMBER(Volcanic!D806),Volcanic!D806,"")</f>
        <v>-0.43</v>
      </c>
      <c r="I806" s="18">
        <f t="shared" si="118"/>
        <v>0.61268949829656494</v>
      </c>
      <c r="J806" s="18">
        <f t="shared" si="119"/>
        <v>1.6629999999999999E-2</v>
      </c>
      <c r="K806" s="18">
        <f t="shared" si="120"/>
        <v>-1.08</v>
      </c>
      <c r="L806" s="18">
        <f t="shared" si="121"/>
        <v>0.61268949829656494</v>
      </c>
      <c r="M806" s="18">
        <f t="shared" si="122"/>
        <v>1.6629999999999999E-2</v>
      </c>
      <c r="N806" s="18">
        <f t="shared" si="123"/>
        <v>-0.81869235206604252</v>
      </c>
      <c r="AK806" s="18">
        <f>IF(AND(ISNUMBER(C806),ISNUMBER(ENSO!F806)),C806-ENSO!F806,"")</f>
        <v>-0.59000000000000008</v>
      </c>
      <c r="AL806" s="18">
        <f t="shared" si="125"/>
        <v>2025.2083333333333</v>
      </c>
      <c r="AM806" s="18">
        <f t="shared" si="126"/>
        <v>1.370000000000001</v>
      </c>
    </row>
    <row r="807" spans="1:39">
      <c r="A807" s="18" t="str">
        <f>IF(Volcanic!A807="","",Volcanic!A807)</f>
        <v>4/2025</v>
      </c>
      <c r="B807" s="18">
        <f>IF(ISNUMBER(Volcanic!L807),Volcanic!L807,"")</f>
        <v>2025.2916666666667</v>
      </c>
      <c r="C807" s="21">
        <v>-0.52</v>
      </c>
      <c r="D807" s="18">
        <f t="shared" si="124"/>
        <v>-1.1299999999999999</v>
      </c>
      <c r="E807" s="18">
        <f>IF(ISNUMBER(Volcanic!B807),Volcanic!B807,"")</f>
        <v>1.25</v>
      </c>
      <c r="F807" s="18">
        <f>IF(ISNUMBER(Volcanic!C807),Volcanic!C807,"")</f>
        <v>0.61770148904698363</v>
      </c>
      <c r="G807" s="18">
        <f>IF(ISNUMBER(Volcanic!E807),Volcanic!E807,"")</f>
        <v>1.5630000000000002E-2</v>
      </c>
      <c r="H807" s="18">
        <f>IF(ISNUMBER(Volcanic!D807),Volcanic!D807,"")</f>
        <v>-0.46</v>
      </c>
      <c r="I807" s="18">
        <f t="shared" si="118"/>
        <v>0.61770148904698363</v>
      </c>
      <c r="J807" s="18">
        <f t="shared" si="119"/>
        <v>1.5630000000000002E-2</v>
      </c>
      <c r="K807" s="18">
        <f t="shared" si="120"/>
        <v>-1.1299999999999999</v>
      </c>
      <c r="L807" s="18">
        <f t="shared" si="121"/>
        <v>0.61770148904698363</v>
      </c>
      <c r="M807" s="18">
        <f t="shared" si="122"/>
        <v>1.5630000000000002E-2</v>
      </c>
      <c r="N807" s="18">
        <f t="shared" si="123"/>
        <v>-0.86800233257544068</v>
      </c>
      <c r="AK807" s="18">
        <f>IF(AND(ISNUMBER(C807),ISNUMBER(ENSO!F807)),C807-ENSO!F807,"")</f>
        <v>-0.54</v>
      </c>
      <c r="AL807" s="18">
        <f t="shared" si="125"/>
        <v>2025.2916666666667</v>
      </c>
      <c r="AM807" s="18">
        <f t="shared" si="126"/>
        <v>1.25</v>
      </c>
    </row>
    <row r="808" spans="1:39">
      <c r="A808" s="18" t="str">
        <f>IF(Volcanic!A808="","",Volcanic!A808)</f>
        <v>5/2025</v>
      </c>
      <c r="B808" s="18">
        <f>IF(ISNUMBER(Volcanic!L808),Volcanic!L808,"")</f>
        <v>2025.375</v>
      </c>
      <c r="C808" s="21">
        <v>-0.49</v>
      </c>
      <c r="D808" s="18">
        <f t="shared" si="124"/>
        <v>-0.9</v>
      </c>
      <c r="E808" s="18">
        <f>IF(ISNUMBER(Volcanic!B808),Volcanic!B808,"")</f>
        <v>1.0800000000000036</v>
      </c>
      <c r="F808" s="18">
        <f>IF(ISNUMBER(Volcanic!C808),Volcanic!C808,"")</f>
        <v>0.62061992214258854</v>
      </c>
      <c r="G808" s="18">
        <f>IF(ISNUMBER(Volcanic!E808),Volcanic!E808,"")</f>
        <v>1.5779999999999999E-2</v>
      </c>
      <c r="H808" s="18">
        <f>IF(ISNUMBER(Volcanic!D808),Volcanic!D808,"")</f>
        <v>-0.22</v>
      </c>
      <c r="I808" s="18">
        <f t="shared" si="118"/>
        <v>0.62061992214258854</v>
      </c>
      <c r="J808" s="18">
        <f t="shared" si="119"/>
        <v>1.5779999999999999E-2</v>
      </c>
      <c r="K808" s="18">
        <f t="shared" si="120"/>
        <v>-0.9</v>
      </c>
      <c r="L808" s="18">
        <f t="shared" si="121"/>
        <v>0.62061992214258854</v>
      </c>
      <c r="M808" s="18">
        <f t="shared" si="122"/>
        <v>1.5779999999999999E-2</v>
      </c>
      <c r="N808" s="18">
        <f t="shared" si="123"/>
        <v>-0.63731231308484271</v>
      </c>
      <c r="AK808" s="18">
        <f>IF(AND(ISNUMBER(C808),ISNUMBER(ENSO!F808)),C808-ENSO!F808,"")</f>
        <v>-0.45</v>
      </c>
      <c r="AL808" s="18">
        <f t="shared" si="125"/>
        <v>2025.375</v>
      </c>
      <c r="AM808" s="18">
        <f t="shared" si="126"/>
        <v>1.0800000000000036</v>
      </c>
    </row>
    <row r="809" spans="1:39">
      <c r="A809" s="18" t="str">
        <f>IF(Volcanic!A809="","",Volcanic!A809)</f>
        <v>6/2025</v>
      </c>
      <c r="B809" s="18">
        <f>IF(ISNUMBER(Volcanic!L809),Volcanic!L809,"")</f>
        <v>2025.4583333333333</v>
      </c>
      <c r="C809" s="21">
        <v>-0.43</v>
      </c>
      <c r="D809" s="18">
        <f t="shared" si="124"/>
        <v>-0.67</v>
      </c>
      <c r="E809" s="18">
        <f>IF(ISNUMBER(Volcanic!B809),Volcanic!B809,"")</f>
        <v>1.0700000000000021</v>
      </c>
      <c r="F809" s="18">
        <f>IF(ISNUMBER(Volcanic!C809),Volcanic!C809,"")</f>
        <v>0.61760074804903375</v>
      </c>
      <c r="G809" s="18">
        <f>IF(ISNUMBER(Volcanic!E809),Volcanic!E809,"")</f>
        <v>1.6060000000000001E-2</v>
      </c>
      <c r="H809" s="18">
        <f>IF(ISNUMBER(Volcanic!D809),Volcanic!D809,"")</f>
        <v>-0.08</v>
      </c>
      <c r="I809" s="18">
        <f t="shared" si="118"/>
        <v>0.61760074804903375</v>
      </c>
      <c r="J809" s="18">
        <f t="shared" si="119"/>
        <v>1.6060000000000001E-2</v>
      </c>
      <c r="K809" s="18">
        <f t="shared" si="120"/>
        <v>-0.67</v>
      </c>
      <c r="L809" s="18">
        <f t="shared" si="121"/>
        <v>0.61760074804903375</v>
      </c>
      <c r="M809" s="18">
        <f t="shared" si="122"/>
        <v>1.6060000000000001E-2</v>
      </c>
      <c r="N809" s="18">
        <f t="shared" si="123"/>
        <v>-0.40662229359424462</v>
      </c>
      <c r="AK809" s="18">
        <f>IF(AND(ISNUMBER(C809),ISNUMBER(ENSO!F809)),C809-ENSO!F809,"")</f>
        <v>-0.41</v>
      </c>
      <c r="AL809" s="18">
        <f t="shared" si="125"/>
        <v>2025.4583333333333</v>
      </c>
      <c r="AM809" s="18">
        <f t="shared" si="126"/>
        <v>1.0700000000000021</v>
      </c>
    </row>
    <row r="810" spans="1:39">
      <c r="A810" s="18" t="str">
        <f>IF(Volcanic!A810="","",Volcanic!A810)</f>
        <v>7/2025</v>
      </c>
      <c r="B810" s="18">
        <f>IF(ISNUMBER(Volcanic!L810),Volcanic!L810,"")</f>
        <v>2025.5416666666667</v>
      </c>
      <c r="C810" s="21">
        <v>-0.47</v>
      </c>
      <c r="D810" s="18">
        <f t="shared" si="124"/>
        <v>-0.52</v>
      </c>
      <c r="E810" s="18">
        <f>IF(ISNUMBER(Volcanic!B810),Volcanic!B810,"")</f>
        <v>1.0200000000000014</v>
      </c>
      <c r="F810" s="18">
        <f>IF(ISNUMBER(Volcanic!C810),Volcanic!C810,"")</f>
        <v>0.61174570112861226</v>
      </c>
      <c r="G810" s="18">
        <f>IF(ISNUMBER(Volcanic!E810),Volcanic!E810,"")</f>
        <v>1.601E-2</v>
      </c>
      <c r="H810" s="18">
        <f>IF(ISNUMBER(Volcanic!D810),Volcanic!D810,"")</f>
        <v>0.02</v>
      </c>
      <c r="I810" s="18">
        <f t="shared" si="118"/>
        <v>0.61174570112861226</v>
      </c>
      <c r="J810" s="18">
        <f t="shared" si="119"/>
        <v>1.601E-2</v>
      </c>
      <c r="K810" s="18">
        <f t="shared" si="120"/>
        <v>-0.52</v>
      </c>
      <c r="L810" s="18">
        <f t="shared" si="121"/>
        <v>0.61174570112861226</v>
      </c>
      <c r="M810" s="18">
        <f t="shared" si="122"/>
        <v>1.601E-2</v>
      </c>
      <c r="N810" s="18">
        <f t="shared" si="123"/>
        <v>-0.25593227410364294</v>
      </c>
      <c r="AK810" s="18">
        <f>IF(AND(ISNUMBER(C810),ISNUMBER(ENSO!F810)),C810-ENSO!F810,"")</f>
        <v>-0.36</v>
      </c>
      <c r="AL810" s="18">
        <f t="shared" si="125"/>
        <v>2025.5416666666667</v>
      </c>
      <c r="AM810" s="18">
        <f t="shared" si="126"/>
        <v>1.0200000000000014</v>
      </c>
    </row>
    <row r="811" spans="1:39">
      <c r="A811" s="18" t="str">
        <f>IF(Volcanic!A811="","",Volcanic!A811)</f>
        <v>8/2025</v>
      </c>
      <c r="B811" s="18">
        <f>IF(ISNUMBER(Volcanic!L811),Volcanic!L811,"")</f>
        <v>2025.625</v>
      </c>
      <c r="C811" s="21">
        <v>-0.63</v>
      </c>
      <c r="D811" s="18">
        <f t="shared" si="124"/>
        <v>-0.49</v>
      </c>
      <c r="E811" s="18">
        <f>IF(ISNUMBER(Volcanic!B811),Volcanic!B811,"")</f>
        <v>1.1799999999999997</v>
      </c>
      <c r="F811" s="18">
        <f>IF(ISNUMBER(Volcanic!C811),Volcanic!C811,"")</f>
        <v>0.60366449139444733</v>
      </c>
      <c r="G811" s="18">
        <f>IF(ISNUMBER(Volcanic!E811),Volcanic!E811,"")</f>
        <v>1.532E-2</v>
      </c>
      <c r="H811" s="18">
        <f>IF(ISNUMBER(Volcanic!D811),Volcanic!D811,"")</f>
        <v>-0.04</v>
      </c>
      <c r="I811" s="18">
        <f t="shared" si="118"/>
        <v>0.60366449139444733</v>
      </c>
      <c r="J811" s="18">
        <f t="shared" si="119"/>
        <v>1.532E-2</v>
      </c>
      <c r="K811" s="18">
        <f t="shared" si="120"/>
        <v>-0.49</v>
      </c>
      <c r="L811" s="18">
        <f t="shared" si="121"/>
        <v>0.60366449139444733</v>
      </c>
      <c r="M811" s="18">
        <f t="shared" si="122"/>
        <v>1.532E-2</v>
      </c>
      <c r="N811" s="18">
        <f t="shared" si="123"/>
        <v>-0.22524225461304481</v>
      </c>
      <c r="AK811" s="18">
        <f>IF(AND(ISNUMBER(C811),ISNUMBER(ENSO!F811)),C811-ENSO!F811,"")</f>
        <v>-0.37</v>
      </c>
      <c r="AL811" s="18">
        <f t="shared" si="125"/>
        <v>2025.625</v>
      </c>
      <c r="AM811" s="18">
        <f t="shared" si="126"/>
        <v>1.1799999999999997</v>
      </c>
    </row>
    <row r="812" spans="1:39">
      <c r="A812" s="18" t="str">
        <f>IF(Volcanic!A812="","",Volcanic!A812)</f>
        <v>9/2025</v>
      </c>
      <c r="B812" s="18">
        <f>IF(ISNUMBER(Volcanic!L812),Volcanic!L812,"")</f>
        <v>2025.7083333333333</v>
      </c>
      <c r="C812" s="21">
        <v>-0.77</v>
      </c>
      <c r="D812" s="18">
        <f t="shared" si="124"/>
        <v>-0.43</v>
      </c>
      <c r="E812" s="18">
        <f>IF(ISNUMBER(Volcanic!B812),Volcanic!B812,"")</f>
        <v>1.25</v>
      </c>
      <c r="F812" s="18">
        <f>IF(ISNUMBER(Volcanic!C812),Volcanic!C812,"")</f>
        <v>0.59989584420727626</v>
      </c>
      <c r="G812" s="18">
        <f>IF(ISNUMBER(Volcanic!E812),Volcanic!E812,"")</f>
        <v>1.4789999999999999E-2</v>
      </c>
      <c r="H812" s="18">
        <f>IF(ISNUMBER(Volcanic!D812),Volcanic!D812,"")</f>
        <v>-0.02</v>
      </c>
      <c r="I812" s="18">
        <f t="shared" si="118"/>
        <v>0.59989584420727626</v>
      </c>
      <c r="J812" s="18">
        <f t="shared" si="119"/>
        <v>1.4789999999999999E-2</v>
      </c>
      <c r="K812" s="18">
        <f t="shared" si="120"/>
        <v>-0.43</v>
      </c>
      <c r="L812" s="18">
        <f t="shared" si="121"/>
        <v>0.59989584420727626</v>
      </c>
      <c r="M812" s="18">
        <f t="shared" si="122"/>
        <v>1.4789999999999999E-2</v>
      </c>
      <c r="N812" s="18">
        <f t="shared" si="123"/>
        <v>-0.16455223512244671</v>
      </c>
      <c r="AK812" s="18">
        <f>IF(AND(ISNUMBER(C812),ISNUMBER(ENSO!F812)),C812-ENSO!F812,"")</f>
        <v>-0.34</v>
      </c>
      <c r="AL812" s="18">
        <f t="shared" si="125"/>
        <v>2025.7083333333333</v>
      </c>
      <c r="AM812" s="18">
        <f t="shared" si="126"/>
        <v>1.25</v>
      </c>
    </row>
    <row r="813" spans="1:39">
      <c r="A813" s="18" t="str">
        <f>IF(Volcanic!A813="","",Volcanic!A813)</f>
        <v>10/2025</v>
      </c>
      <c r="B813" s="18">
        <f>IF(ISNUMBER(Volcanic!L813),Volcanic!L813,"")</f>
        <v>2025.7916666666667</v>
      </c>
      <c r="C813" s="21">
        <v>-0.87</v>
      </c>
      <c r="D813" s="18">
        <f t="shared" si="124"/>
        <v>-0.47</v>
      </c>
      <c r="E813" s="18">
        <f>IF(ISNUMBER(Volcanic!B813),Volcanic!B813,"")</f>
        <v>1.1899999999999977</v>
      </c>
      <c r="F813" s="18">
        <f>IF(ISNUMBER(Volcanic!C813),Volcanic!C813,"")</f>
        <v>0.60159465162047843</v>
      </c>
      <c r="G813" s="18">
        <f>IF(ISNUMBER(Volcanic!E813),Volcanic!E813,"")</f>
        <v>1.422E-2</v>
      </c>
      <c r="H813" s="18">
        <f>IF(ISNUMBER(Volcanic!D813),Volcanic!D813,"")</f>
        <v>-0.11</v>
      </c>
      <c r="I813" s="18">
        <f t="shared" si="118"/>
        <v>0.60159465162047843</v>
      </c>
      <c r="J813" s="18">
        <f t="shared" si="119"/>
        <v>1.422E-2</v>
      </c>
      <c r="K813" s="18">
        <f t="shared" si="120"/>
        <v>-0.47</v>
      </c>
      <c r="L813" s="18">
        <f t="shared" si="121"/>
        <v>0.60159465162047843</v>
      </c>
      <c r="M813" s="18">
        <f t="shared" si="122"/>
        <v>1.422E-2</v>
      </c>
      <c r="N813" s="18">
        <f t="shared" si="123"/>
        <v>-0.20386221563184503</v>
      </c>
      <c r="AK813" s="18">
        <f>IF(AND(ISNUMBER(C813),ISNUMBER(ENSO!F813)),C813-ENSO!F813,"")</f>
        <v>-0.30000000000000004</v>
      </c>
      <c r="AL813" s="18">
        <f t="shared" si="125"/>
        <v>2025.7916666666667</v>
      </c>
      <c r="AM813" s="18">
        <f t="shared" si="126"/>
        <v>1.1899999999999977</v>
      </c>
    </row>
    <row r="814" spans="1:39">
      <c r="A814" s="18" t="str">
        <f>IF(Volcanic!A814="","",Volcanic!A814)</f>
        <v>11/2025</v>
      </c>
      <c r="B814" s="18">
        <f>IF(ISNUMBER(Volcanic!L814),Volcanic!L814,"")</f>
        <v>2025.875</v>
      </c>
      <c r="C814" s="21">
        <v>-0.93</v>
      </c>
      <c r="D814" s="18">
        <f t="shared" si="124"/>
        <v>-0.63</v>
      </c>
      <c r="E814" s="18">
        <f>IF(ISNUMBER(Volcanic!B814),Volcanic!B814,"")</f>
        <v>1.2099999999999991</v>
      </c>
      <c r="F814" s="18">
        <f>IF(ISNUMBER(Volcanic!C814),Volcanic!C814,"")</f>
        <v>0.60698360251420269</v>
      </c>
      <c r="G814" s="18">
        <f>IF(ISNUMBER(Volcanic!E814),Volcanic!E814,"")</f>
        <v>1.404E-2</v>
      </c>
      <c r="H814" s="18">
        <f>IF(ISNUMBER(Volcanic!D814),Volcanic!D814,"")</f>
        <v>-0.26</v>
      </c>
      <c r="I814" s="18">
        <f t="shared" si="118"/>
        <v>0.60698360251420269</v>
      </c>
      <c r="J814" s="18">
        <f t="shared" si="119"/>
        <v>1.404E-2</v>
      </c>
      <c r="K814" s="18">
        <f t="shared" si="120"/>
        <v>-0.63</v>
      </c>
      <c r="L814" s="18">
        <f t="shared" si="121"/>
        <v>0.60698360251420269</v>
      </c>
      <c r="M814" s="18">
        <f t="shared" si="122"/>
        <v>1.404E-2</v>
      </c>
      <c r="N814" s="18">
        <f t="shared" si="123"/>
        <v>-0.36317219614124696</v>
      </c>
      <c r="AK814" s="18">
        <f>IF(AND(ISNUMBER(C814),ISNUMBER(ENSO!F814)),C814-ENSO!F814,"")</f>
        <v>-0.32000000000000006</v>
      </c>
      <c r="AL814" s="18">
        <f t="shared" si="125"/>
        <v>2025.875</v>
      </c>
      <c r="AM814" s="18">
        <f t="shared" si="126"/>
        <v>1.2099999999999991</v>
      </c>
    </row>
    <row r="815" spans="1:39">
      <c r="A815" s="18" t="str">
        <f>IF(Volcanic!A815="","",Volcanic!A815)</f>
        <v>12/2025</v>
      </c>
      <c r="B815" s="18">
        <f>IF(ISNUMBER(Volcanic!L815),Volcanic!L815,"")</f>
        <v>2025.9583333333333</v>
      </c>
      <c r="C815" s="21">
        <v>-0.97</v>
      </c>
      <c r="D815" s="18">
        <f t="shared" si="124"/>
        <v>-0.77</v>
      </c>
      <c r="E815" s="18">
        <f>IF(ISNUMBER(Volcanic!B815),Volcanic!B815,"")</f>
        <v>1.0600000000000023</v>
      </c>
      <c r="F815" s="18">
        <f>IF(ISNUMBER(Volcanic!C815),Volcanic!C815,"")</f>
        <v>0.61046384518116448</v>
      </c>
      <c r="G815" s="18">
        <f>IF(ISNUMBER(Volcanic!E815),Volcanic!E815,"")</f>
        <v>1.328E-2</v>
      </c>
      <c r="H815" s="18">
        <f>IF(ISNUMBER(Volcanic!D815),Volcanic!D815,"")</f>
        <v>-0.43</v>
      </c>
      <c r="I815" s="18">
        <f t="shared" si="118"/>
        <v>0.61046384518116448</v>
      </c>
      <c r="J815" s="18">
        <f t="shared" si="119"/>
        <v>1.328E-2</v>
      </c>
      <c r="K815" s="18">
        <f t="shared" si="120"/>
        <v>-0.77</v>
      </c>
      <c r="L815" s="18">
        <f t="shared" si="121"/>
        <v>0.61046384518116448</v>
      </c>
      <c r="M815" s="18">
        <f t="shared" si="122"/>
        <v>1.328E-2</v>
      </c>
      <c r="N815" s="18">
        <f t="shared" si="123"/>
        <v>-0.50248217665064887</v>
      </c>
      <c r="AK815" s="18">
        <f>IF(AND(ISNUMBER(C815),ISNUMBER(ENSO!F815)),C815-ENSO!F815,"")</f>
        <v>-0.37</v>
      </c>
      <c r="AL815" s="18">
        <f t="shared" si="125"/>
        <v>2025.9583333333333</v>
      </c>
      <c r="AM815" s="18">
        <f t="shared" si="126"/>
        <v>1.0600000000000023</v>
      </c>
    </row>
    <row r="816" spans="1:39">
      <c r="A816" s="18" t="str">
        <f>IF(Volcanic!A816="","",Volcanic!A816)</f>
        <v>1/2026</v>
      </c>
      <c r="B816" s="18">
        <f>IF(ISNUMBER(Volcanic!L816),Volcanic!L816,"")</f>
        <v>2026.0416666666667</v>
      </c>
      <c r="C816" s="21">
        <v>-0.88</v>
      </c>
      <c r="D816" s="18">
        <f t="shared" si="124"/>
        <v>-0.87</v>
      </c>
      <c r="E816" s="18">
        <f>IF(ISNUMBER(Volcanic!B816),Volcanic!B816,"")</f>
        <v>1.0899999999999999</v>
      </c>
      <c r="F816" s="18">
        <f>IF(ISNUMBER(Volcanic!C816),Volcanic!C816,"")</f>
        <v>0.61427234255403185</v>
      </c>
      <c r="G816" s="18">
        <f>IF(ISNUMBER(Volcanic!E816),Volcanic!E816,"")</f>
        <v>1.4590000000000001E-2</v>
      </c>
      <c r="H816" s="18">
        <f>IF(ISNUMBER(Volcanic!D816),Volcanic!D816,"")</f>
        <v>-0.56999999999999995</v>
      </c>
      <c r="I816" s="18">
        <f t="shared" si="118"/>
        <v>0.61427234255403185</v>
      </c>
      <c r="J816" s="18">
        <f t="shared" si="119"/>
        <v>1.4590000000000001E-2</v>
      </c>
      <c r="K816" s="18">
        <f t="shared" si="120"/>
        <v>-0.87</v>
      </c>
      <c r="L816" s="18">
        <f t="shared" si="121"/>
        <v>0.61427234255403185</v>
      </c>
      <c r="M816" s="18">
        <f t="shared" si="122"/>
        <v>1.4590000000000001E-2</v>
      </c>
      <c r="N816" s="18">
        <f t="shared" si="123"/>
        <v>-0.60179215716005074</v>
      </c>
      <c r="AK816" s="18">
        <f>IF(AND(ISNUMBER(C816),ISNUMBER(ENSO!F816)),C816-ENSO!F816,"")</f>
        <v>-0.49</v>
      </c>
      <c r="AL816" s="18">
        <f t="shared" si="125"/>
        <v>2026.0416666666667</v>
      </c>
      <c r="AM816" s="18">
        <f t="shared" si="126"/>
        <v>1.0899999999999999</v>
      </c>
    </row>
    <row r="817" spans="1:39">
      <c r="A817" s="18" t="str">
        <f>IF(Volcanic!A817="","",Volcanic!A817)</f>
        <v>2/2026</v>
      </c>
      <c r="B817" s="18">
        <f>IF(ISNUMBER(Volcanic!L817),Volcanic!L817,"")</f>
        <v>2026.125</v>
      </c>
      <c r="C817" s="21">
        <v>-0.71</v>
      </c>
      <c r="D817" s="18">
        <f t="shared" si="124"/>
        <v>-0.93</v>
      </c>
      <c r="E817" s="18">
        <f>IF(ISNUMBER(Volcanic!B817),Volcanic!B817,"")</f>
        <v>1.25</v>
      </c>
      <c r="F817" s="18">
        <f>IF(ISNUMBER(Volcanic!C817),Volcanic!C817,"")</f>
        <v>0.61672736460373478</v>
      </c>
      <c r="G817" s="18">
        <f>IF(ISNUMBER(Volcanic!E817),Volcanic!E817,"")</f>
        <v>1.387E-2</v>
      </c>
      <c r="H817" s="18">
        <f>IF(ISNUMBER(Volcanic!D817),Volcanic!D817,"")</f>
        <v>-0.61</v>
      </c>
      <c r="I817" s="18">
        <f t="shared" si="118"/>
        <v>0.61672736460373478</v>
      </c>
      <c r="J817" s="18">
        <f t="shared" si="119"/>
        <v>1.387E-2</v>
      </c>
      <c r="K817" s="18">
        <f t="shared" si="120"/>
        <v>-0.93</v>
      </c>
      <c r="L817" s="18">
        <f t="shared" si="121"/>
        <v>0.61672736460373478</v>
      </c>
      <c r="M817" s="18">
        <f t="shared" si="122"/>
        <v>1.387E-2</v>
      </c>
      <c r="N817" s="18">
        <f t="shared" si="123"/>
        <v>-0.66110213766945269</v>
      </c>
      <c r="AK817" s="18">
        <f>IF(AND(ISNUMBER(C817),ISNUMBER(ENSO!F817)),C817-ENSO!F817,"")</f>
        <v>-0.5</v>
      </c>
      <c r="AL817" s="18">
        <f t="shared" si="125"/>
        <v>2026.125</v>
      </c>
      <c r="AM817" s="18">
        <f t="shared" si="126"/>
        <v>1.25</v>
      </c>
    </row>
    <row r="818" spans="1:39">
      <c r="A818" s="18" t="str">
        <f>IF(Volcanic!A818="","",Volcanic!A818)</f>
        <v>3/2026</v>
      </c>
      <c r="B818" s="18">
        <f>IF(ISNUMBER(Volcanic!L818),Volcanic!L818,"")</f>
        <v>2026.2083333333333</v>
      </c>
      <c r="C818" s="21">
        <v>-0.45</v>
      </c>
      <c r="D818" s="18">
        <f t="shared" si="124"/>
        <v>-0.97</v>
      </c>
      <c r="E818" s="18">
        <f>IF(ISNUMBER(Volcanic!B818),Volcanic!B818,"")</f>
        <v>1.3200000000000003</v>
      </c>
      <c r="F818" s="18">
        <f>IF(ISNUMBER(Volcanic!C818),Volcanic!C818,"")</f>
        <v>0.61941301059793685</v>
      </c>
      <c r="G818" s="18">
        <f>IF(ISNUMBER(Volcanic!E818),Volcanic!E818,"")</f>
        <v>1.291E-2</v>
      </c>
      <c r="H818" s="18">
        <f>IF(ISNUMBER(Volcanic!D818),Volcanic!D818,"")</f>
        <v>-0.6</v>
      </c>
      <c r="I818" s="18">
        <f t="shared" si="118"/>
        <v>0.61941301059793685</v>
      </c>
      <c r="J818" s="18">
        <f t="shared" si="119"/>
        <v>1.291E-2</v>
      </c>
      <c r="K818" s="18">
        <f t="shared" si="120"/>
        <v>-0.97</v>
      </c>
      <c r="L818" s="18">
        <f t="shared" si="121"/>
        <v>0.61941301059793685</v>
      </c>
      <c r="M818" s="18">
        <f t="shared" si="122"/>
        <v>1.291E-2</v>
      </c>
      <c r="N818" s="18">
        <f t="shared" si="123"/>
        <v>-0.70041211817885096</v>
      </c>
      <c r="AK818" s="18">
        <f>IF(AND(ISNUMBER(C818),ISNUMBER(ENSO!F818)),C818-ENSO!F818,"")</f>
        <v>-0.56000000000000005</v>
      </c>
      <c r="AL818" s="18">
        <f t="shared" si="125"/>
        <v>2026.2083333333333</v>
      </c>
      <c r="AM818" s="18">
        <f t="shared" si="126"/>
        <v>1.3200000000000003</v>
      </c>
    </row>
    <row r="819" spans="1:39">
      <c r="A819" s="18" t="str">
        <f>IF(Volcanic!A819="","",Volcanic!A819)</f>
        <v>4/2026</v>
      </c>
      <c r="B819" s="18">
        <f>IF(ISNUMBER(Volcanic!L819),Volcanic!L819,"")</f>
        <v>2026.2916666666667</v>
      </c>
      <c r="C819" s="21">
        <v>-0.04</v>
      </c>
      <c r="D819" s="18">
        <f t="shared" si="124"/>
        <v>-0.88</v>
      </c>
      <c r="E819" s="18">
        <f>IF(ISNUMBER(Volcanic!B819),Volcanic!B819,"")</f>
        <v>1.1699999999999964</v>
      </c>
      <c r="F819" s="18">
        <f>IF(ISNUMBER(Volcanic!C819),Volcanic!C819,"")</f>
        <v>0.6226626646700556</v>
      </c>
      <c r="G819" s="18">
        <f>IF(ISNUMBER(Volcanic!E819),Volcanic!E819,"")</f>
        <v>1.2019999999999999E-2</v>
      </c>
      <c r="H819" s="18">
        <f>IF(ISNUMBER(Volcanic!D819),Volcanic!D819,"")</f>
        <v>-0.39</v>
      </c>
      <c r="I819" s="18">
        <f t="shared" si="118"/>
        <v>0.6226626646700556</v>
      </c>
      <c r="J819" s="18">
        <f t="shared" si="119"/>
        <v>1.2019999999999999E-2</v>
      </c>
      <c r="K819" s="18">
        <f t="shared" si="120"/>
        <v>-0.88</v>
      </c>
      <c r="L819" s="18">
        <f t="shared" si="121"/>
        <v>0.6226626646700556</v>
      </c>
      <c r="M819" s="18">
        <f t="shared" si="122"/>
        <v>1.2019999999999999E-2</v>
      </c>
      <c r="N819" s="18">
        <f t="shared" si="123"/>
        <v>-0.60972209868825289</v>
      </c>
      <c r="AK819" s="18">
        <f>IF(AND(ISNUMBER(C819),ISNUMBER(ENSO!F819)),C819-ENSO!F819,"")</f>
        <v>-0.5</v>
      </c>
      <c r="AL819" s="18">
        <f t="shared" si="125"/>
        <v>2026.2916666666667</v>
      </c>
      <c r="AM819" s="18">
        <f t="shared" si="126"/>
        <v>1.1699999999999964</v>
      </c>
    </row>
    <row r="820" spans="1:39">
      <c r="A820" s="18" t="str">
        <f>IF(Volcanic!A820="","",Volcanic!A820)</f>
        <v>5/2026</v>
      </c>
      <c r="B820" s="18">
        <f>IF(ISNUMBER(Volcanic!L820),Volcanic!L820,"")</f>
        <v>2026.375</v>
      </c>
      <c r="C820" s="21">
        <v>0.47</v>
      </c>
      <c r="D820" s="18">
        <f t="shared" si="124"/>
        <v>-0.71</v>
      </c>
      <c r="E820" s="18">
        <f>IF(ISNUMBER(Volcanic!B820),Volcanic!B820,"")</f>
        <v>1.1299999999999955</v>
      </c>
      <c r="F820" s="18">
        <f>IF(ISNUMBER(Volcanic!C820),Volcanic!C820,"")</f>
        <v>0.62673949306079169</v>
      </c>
      <c r="G820" s="18">
        <f>IF(ISNUMBER(Volcanic!E820),Volcanic!E820,"")</f>
        <v>1.1639999999999999E-2</v>
      </c>
      <c r="H820" s="18">
        <f>IF(ISNUMBER(Volcanic!D820),Volcanic!D820,"")</f>
        <v>-0.21</v>
      </c>
      <c r="I820" s="18">
        <f t="shared" si="118"/>
        <v>0.62673949306079169</v>
      </c>
      <c r="J820" s="18">
        <f t="shared" si="119"/>
        <v>1.1639999999999999E-2</v>
      </c>
      <c r="K820" s="18">
        <f t="shared" si="120"/>
        <v>-0.71</v>
      </c>
      <c r="L820" s="18">
        <f t="shared" si="121"/>
        <v>0.62673949306079169</v>
      </c>
      <c r="M820" s="18">
        <f t="shared" si="122"/>
        <v>1.1639999999999999E-2</v>
      </c>
      <c r="N820" s="18">
        <f t="shared" si="123"/>
        <v>-0.43903207919765475</v>
      </c>
      <c r="AK820" s="18">
        <f>IF(AND(ISNUMBER(C820),ISNUMBER(ENSO!F820)),C820-ENSO!F820,"")</f>
        <v>-0.48</v>
      </c>
      <c r="AL820" s="18">
        <f t="shared" si="125"/>
        <v>2026.375</v>
      </c>
      <c r="AM820" s="18">
        <f t="shared" si="126"/>
        <v>1.1299999999999955</v>
      </c>
    </row>
    <row r="821" spans="1:39">
      <c r="A821" s="18" t="str">
        <f>IF(Volcanic!A821="","",Volcanic!A821)</f>
        <v>6/2026</v>
      </c>
      <c r="B821" s="18">
        <f>IF(ISNUMBER(Volcanic!L821),Volcanic!L821,"")</f>
        <v>2026.4583333333333</v>
      </c>
      <c r="D821" s="18">
        <f t="shared" si="124"/>
        <v>-0.45</v>
      </c>
      <c r="E821" s="18">
        <f>IF(ISNUMBER(Volcanic!B821),Volcanic!B821,"")</f>
        <v>1.1799999999999997</v>
      </c>
      <c r="F821" s="18">
        <f>IF(ISNUMBER(Volcanic!C821),Volcanic!C821,"")</f>
        <v>0.6236996723378585</v>
      </c>
      <c r="G821" s="18">
        <f>IF(ISNUMBER(Volcanic!E821),Volcanic!E821,"")</f>
        <v>1.159E-2</v>
      </c>
      <c r="H821" s="18">
        <f>IF(ISNUMBER(Volcanic!D821),Volcanic!D821,"")</f>
        <v>0.11</v>
      </c>
      <c r="I821" s="18">
        <f t="shared" si="118"/>
        <v>0.6236996723378585</v>
      </c>
      <c r="J821" s="18">
        <f t="shared" si="119"/>
        <v>1.159E-2</v>
      </c>
      <c r="K821" s="18">
        <f t="shared" si="120"/>
        <v>-0.45</v>
      </c>
      <c r="L821" s="18">
        <f t="shared" si="121"/>
        <v>0.6236996723378585</v>
      </c>
      <c r="M821" s="18">
        <f t="shared" si="122"/>
        <v>1.159E-2</v>
      </c>
      <c r="N821" s="18">
        <f t="shared" si="123"/>
        <v>-0.17834205970705669</v>
      </c>
    </row>
    <row r="822" spans="1:39">
      <c r="A822" s="18" t="str">
        <f>IF(Volcanic!A822="","",Volcanic!A822)</f>
        <v>7/2026</v>
      </c>
      <c r="B822" s="18">
        <f>IF(ISNUMBER(Volcanic!L822),Volcanic!L822,"")</f>
        <v>2026.5416666666667</v>
      </c>
      <c r="D822" s="18">
        <f t="shared" si="124"/>
        <v>-0.04</v>
      </c>
      <c r="E822" s="18">
        <f>IF(ISNUMBER(Volcanic!B822),Volcanic!B822,"")</f>
        <v>1.25</v>
      </c>
      <c r="F822" s="18">
        <f>IF(ISNUMBER(Volcanic!C822),Volcanic!C822,"")</f>
        <v>0.61598793464393697</v>
      </c>
      <c r="G822" s="18">
        <f>IF(ISNUMBER(Volcanic!E822),Volcanic!E822,"")</f>
        <v>1.102E-2</v>
      </c>
      <c r="H822" s="18">
        <f>IF(ISNUMBER(Volcanic!D822),Volcanic!D822,"")</f>
        <v>0.46</v>
      </c>
      <c r="I822" s="18">
        <f t="shared" si="118"/>
        <v>0.61598793464393697</v>
      </c>
      <c r="J822" s="18">
        <f t="shared" si="119"/>
        <v>1.102E-2</v>
      </c>
      <c r="K822" s="18">
        <f t="shared" si="120"/>
        <v>-0.04</v>
      </c>
      <c r="L822" s="18">
        <f t="shared" si="121"/>
        <v>0.61598793464393697</v>
      </c>
      <c r="M822" s="18">
        <f t="shared" si="122"/>
        <v>1.102E-2</v>
      </c>
      <c r="N822" s="18">
        <f t="shared" si="123"/>
        <v>0.23234795978354497</v>
      </c>
    </row>
    <row r="823" spans="1:39">
      <c r="A823" s="18" t="str">
        <f>IF(Volcanic!A823="","",Volcanic!A823)</f>
        <v>8/2026</v>
      </c>
      <c r="B823" s="18">
        <f>IF(ISNUMBER(Volcanic!L823),Volcanic!L823,"")</f>
        <v>2026.625</v>
      </c>
      <c r="D823" s="18">
        <f t="shared" si="124"/>
        <v>0.47</v>
      </c>
      <c r="E823" s="18">
        <f>IF(ISNUMBER(Volcanic!B823),Volcanic!B823,"")</f>
        <v>1.3999999999999986</v>
      </c>
      <c r="F823" s="18">
        <f>IF(ISNUMBER(Volcanic!C823),Volcanic!C823,"")</f>
        <v>0.61066631922353776</v>
      </c>
      <c r="G823" s="18" t="str">
        <f>IF(ISNUMBER(Volcanic!E823),Volcanic!E823,"")</f>
        <v/>
      </c>
      <c r="H823" s="18">
        <f>IF(ISNUMBER(Volcanic!D823),Volcanic!D823,"")</f>
        <v>0.95</v>
      </c>
      <c r="I823" s="18">
        <f t="shared" si="118"/>
        <v>0.61066631922353776</v>
      </c>
      <c r="J823" s="18" t="str">
        <f t="shared" si="119"/>
        <v/>
      </c>
      <c r="K823" s="18">
        <f t="shared" si="120"/>
        <v>0.47</v>
      </c>
      <c r="L823" s="18">
        <f t="shared" si="121"/>
        <v>0.61066631922353776</v>
      </c>
      <c r="M823" s="18" t="str">
        <f t="shared" si="122"/>
        <v/>
      </c>
      <c r="N823" s="18">
        <f t="shared" si="123"/>
        <v>0.74303797927414306</v>
      </c>
    </row>
  </sheetData>
  <mergeCells count="11">
    <mergeCell ref="AA3:AI3"/>
    <mergeCell ref="AA32:AI32"/>
    <mergeCell ref="AA51:AI51"/>
    <mergeCell ref="AA63:AI63"/>
    <mergeCell ref="AA66:AI66"/>
    <mergeCell ref="AA67:AI67"/>
    <mergeCell ref="AA6:AI6"/>
    <mergeCell ref="AA15:AI15"/>
    <mergeCell ref="AA21:AI21"/>
    <mergeCell ref="AA27:AI27"/>
    <mergeCell ref="AA48:AI48"/>
  </mergeCells>
  <pageMargins left="0.75" right="0.75" top="1" bottom="1" header="0.511811023622047" footer="0.51181102362204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CF20E-092C-4003-AEBD-D9BF67B4C3F8}">
  <dimension ref="B2:H33"/>
  <sheetViews>
    <sheetView showGridLines="0" workbookViewId="0"/>
  </sheetViews>
  <sheetFormatPr defaultRowHeight="15"/>
  <cols>
    <col min="1" max="1" width="2" customWidth="1"/>
    <col min="2" max="2" width="78" customWidth="1"/>
    <col min="3" max="3" width="2" customWidth="1"/>
    <col min="4" max="7" width="10" customWidth="1"/>
    <col min="8" max="8" width="30" customWidth="1"/>
  </cols>
  <sheetData>
    <row r="2" spans="2:8" ht="18.75">
      <c r="B2" s="42" t="s">
        <v>2184</v>
      </c>
    </row>
    <row r="3" spans="2:8" ht="30" customHeight="1">
      <c r="B3" s="62" t="s">
        <v>2185</v>
      </c>
      <c r="C3" s="53"/>
      <c r="D3" s="53"/>
      <c r="E3" s="53"/>
      <c r="F3" s="53"/>
      <c r="G3" s="53"/>
      <c r="H3" s="53"/>
    </row>
    <row r="5" spans="2:8">
      <c r="B5" s="40" t="s">
        <v>2186</v>
      </c>
    </row>
    <row r="6" spans="2:8">
      <c r="B6" s="45" t="s">
        <v>2187</v>
      </c>
      <c r="D6" s="43">
        <f>Volcanic!N39</f>
        <v>0.15129879294277743</v>
      </c>
      <c r="E6" s="45" t="s">
        <v>2188</v>
      </c>
      <c r="G6" s="43">
        <f>Kernel!P40</f>
        <v>0.15565484853813841</v>
      </c>
    </row>
    <row r="7" spans="2:8">
      <c r="B7" s="40" t="s">
        <v>2189</v>
      </c>
    </row>
    <row r="8" spans="2:8">
      <c r="B8" s="45" t="s">
        <v>2190</v>
      </c>
      <c r="D8" s="43">
        <f>Forcing!T34</f>
        <v>6.1773699810023897E-2</v>
      </c>
      <c r="E8" s="45" t="s">
        <v>2191</v>
      </c>
    </row>
    <row r="9" spans="2:8">
      <c r="B9" s="45" t="s">
        <v>2192</v>
      </c>
      <c r="D9" s="43">
        <f>D22*Solar!O18</f>
        <v>5.7870053830496912E-2</v>
      </c>
      <c r="E9" s="45" t="s">
        <v>2193</v>
      </c>
    </row>
    <row r="10" spans="2:8">
      <c r="B10" s="45" t="s">
        <v>2194</v>
      </c>
      <c r="D10" s="43">
        <f>D21*Volcanic!N36</f>
        <v>1.903402794079824E-2</v>
      </c>
      <c r="E10" s="45" t="s">
        <v>2195</v>
      </c>
      <c r="G10" s="43">
        <f>D21*Forcing!T14</f>
        <v>6.1323990546019738E-2</v>
      </c>
    </row>
    <row r="11" spans="2:8">
      <c r="B11" s="40" t="s">
        <v>2196</v>
      </c>
      <c r="D11" s="43">
        <f>D8+D9+D10</f>
        <v>0.13867778158131905</v>
      </c>
      <c r="E11" s="43">
        <f>D8+D9+G10</f>
        <v>0.18096774418654055</v>
      </c>
    </row>
    <row r="12" spans="2:8">
      <c r="B12" s="40" t="s">
        <v>2197</v>
      </c>
      <c r="D12" s="43">
        <f>D6-E11</f>
        <v>-2.966895124376312E-2</v>
      </c>
      <c r="E12" s="43">
        <f>D6-D11</f>
        <v>1.2621011361458379E-2</v>
      </c>
    </row>
    <row r="14" spans="2:8">
      <c r="B14" s="40" t="s">
        <v>2198</v>
      </c>
    </row>
    <row r="15" spans="2:8">
      <c r="B15" s="45" t="s">
        <v>2187</v>
      </c>
      <c r="D15" s="43">
        <f>Forcing!T45</f>
        <v>0.12607973676228715</v>
      </c>
      <c r="E15" s="45" t="s">
        <v>2199</v>
      </c>
    </row>
    <row r="16" spans="2:8">
      <c r="B16" s="45" t="s">
        <v>2200</v>
      </c>
      <c r="D16" s="43">
        <f>D9</f>
        <v>5.7870053830496912E-2</v>
      </c>
    </row>
    <row r="17" spans="2:8">
      <c r="B17" s="40" t="s">
        <v>2201</v>
      </c>
      <c r="D17" s="43">
        <f>D15-D16</f>
        <v>6.8209682931790236E-2</v>
      </c>
    </row>
    <row r="18" spans="2:8">
      <c r="B18" s="45" t="s">
        <v>2202</v>
      </c>
      <c r="D18" s="43">
        <f>STDEV(Forcing!Q2:Q68)</f>
        <v>7.9895486658907028E-2</v>
      </c>
      <c r="E18" s="43">
        <f>D18/SQRT(3)*SQRT((1+Forcing!T18)/(1-Forcing!T18))</f>
        <v>6.70456282177532E-2</v>
      </c>
      <c r="F18" s="45" t="s">
        <v>2203</v>
      </c>
    </row>
    <row r="19" spans="2:8">
      <c r="B19" s="40" t="s">
        <v>2204</v>
      </c>
    </row>
    <row r="20" spans="2:8">
      <c r="B20" s="45" t="s">
        <v>2205</v>
      </c>
      <c r="D20" s="46">
        <f>INDEX(Solar!I2:I66,MATCH(2023,Solar!F2:F66,0))</f>
        <v>1362.0025000000001</v>
      </c>
      <c r="E20" s="43">
        <f>(D20-Solar!O8)*Solar!O18</f>
        <v>6.2565537706783123E-2</v>
      </c>
      <c r="F20" s="45" t="s">
        <v>2206</v>
      </c>
    </row>
    <row r="21" spans="2:8">
      <c r="B21" s="45" t="s">
        <v>2207</v>
      </c>
      <c r="D21" s="41">
        <v>0.15</v>
      </c>
      <c r="E21" s="45" t="s">
        <v>2208</v>
      </c>
    </row>
    <row r="22" spans="2:8">
      <c r="B22" s="45" t="s">
        <v>2209</v>
      </c>
      <c r="D22" s="46">
        <f>AVERAGE(Sensitivity!AL67:AL69)-AVERAGE(Sensitivity!AL2:AL66)</f>
        <v>0.85833076923063345</v>
      </c>
      <c r="E22" s="45" t="s">
        <v>2210</v>
      </c>
    </row>
    <row r="24" spans="2:8">
      <c r="B24" s="63" t="s">
        <v>2211</v>
      </c>
      <c r="C24" s="53"/>
      <c r="D24" s="53"/>
      <c r="E24" s="53"/>
      <c r="F24" s="53"/>
      <c r="G24" s="53"/>
      <c r="H24" s="53"/>
    </row>
    <row r="25" spans="2:8" ht="62.1" customHeight="1">
      <c r="B25" s="62" t="s">
        <v>2212</v>
      </c>
      <c r="C25" s="53"/>
      <c r="D25" s="53"/>
      <c r="E25" s="53"/>
      <c r="F25" s="53"/>
      <c r="G25" s="53"/>
      <c r="H25" s="53"/>
    </row>
    <row r="26" spans="2:8" ht="62.1" customHeight="1">
      <c r="B26" s="62" t="s">
        <v>2213</v>
      </c>
      <c r="C26" s="53"/>
      <c r="D26" s="53"/>
      <c r="E26" s="53"/>
      <c r="F26" s="53"/>
      <c r="G26" s="53"/>
      <c r="H26" s="53"/>
    </row>
    <row r="27" spans="2:8" ht="62.1" customHeight="1">
      <c r="B27" s="62" t="s">
        <v>2214</v>
      </c>
      <c r="C27" s="53"/>
      <c r="D27" s="53"/>
      <c r="E27" s="53"/>
      <c r="F27" s="53"/>
      <c r="G27" s="53"/>
      <c r="H27" s="53"/>
    </row>
    <row r="28" spans="2:8" ht="48" customHeight="1">
      <c r="B28" s="62" t="s">
        <v>2461</v>
      </c>
      <c r="C28" s="53"/>
      <c r="D28" s="53"/>
      <c r="E28" s="53"/>
      <c r="F28" s="53"/>
      <c r="G28" s="53"/>
      <c r="H28" s="53"/>
    </row>
    <row r="30" spans="2:8">
      <c r="B30" s="40" t="s">
        <v>2848</v>
      </c>
    </row>
    <row r="31" spans="2:8">
      <c r="B31" s="18" t="s">
        <v>2849</v>
      </c>
      <c r="D31" s="25">
        <f>D18/3*SQRT(3+2*(2*Forcing!T18+Forcing!T18^2))</f>
        <v>5.7646346847875181E-2</v>
      </c>
      <c r="E31" s="6" t="s">
        <v>2850</v>
      </c>
    </row>
    <row r="32" spans="2:8">
      <c r="B32" s="18" t="s">
        <v>2851</v>
      </c>
      <c r="D32" s="20">
        <f>D17/D31</f>
        <v>1.1832438074834297</v>
      </c>
      <c r="E32" s="6" t="s">
        <v>2852</v>
      </c>
    </row>
    <row r="33" spans="2:5">
      <c r="B33" s="18" t="s">
        <v>2853</v>
      </c>
      <c r="D33" s="20">
        <f>D15/D31</f>
        <v>2.187124486743333</v>
      </c>
      <c r="E33" s="6" t="s">
        <v>2854</v>
      </c>
    </row>
  </sheetData>
  <mergeCells count="6">
    <mergeCell ref="B28:H28"/>
    <mergeCell ref="B3:H3"/>
    <mergeCell ref="B24:H24"/>
    <mergeCell ref="B25:H25"/>
    <mergeCell ref="B26:H26"/>
    <mergeCell ref="B27:H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40BE7-20CE-49AD-97A2-4D5793F0ACAC}">
  <dimension ref="A1:AV823"/>
  <sheetViews>
    <sheetView workbookViewId="0">
      <pane ySplit="1" topLeftCell="A2" activePane="bottomLeft" state="frozen"/>
      <selection pane="bottomLeft"/>
    </sheetView>
  </sheetViews>
  <sheetFormatPr defaultRowHeight="15"/>
  <cols>
    <col min="1" max="1" width="11" customWidth="1"/>
    <col min="2" max="9" width="12" customWidth="1"/>
    <col min="10" max="10" width="2" customWidth="1"/>
    <col min="11" max="25" width="9" customWidth="1"/>
    <col min="26" max="26" width="2" customWidth="1"/>
    <col min="27" max="27" width="52" customWidth="1"/>
    <col min="28" max="31" width="13" customWidth="1"/>
    <col min="35" max="35" width="2" customWidth="1"/>
    <col min="36" max="40" width="14" customWidth="1"/>
    <col min="41" max="41" width="2" customWidth="1"/>
    <col min="42" max="45" width="14" customWidth="1"/>
    <col min="46" max="46" width="2" customWidth="1"/>
    <col min="47" max="48" width="14" customWidth="1"/>
  </cols>
  <sheetData>
    <row r="1" spans="1:48" ht="45" customHeight="1">
      <c r="A1" s="40" t="s">
        <v>63</v>
      </c>
      <c r="B1" s="40" t="s">
        <v>1892</v>
      </c>
      <c r="C1" s="40" t="s">
        <v>1893</v>
      </c>
      <c r="D1" s="40" t="s">
        <v>2215</v>
      </c>
      <c r="E1" s="40" t="s">
        <v>2216</v>
      </c>
      <c r="F1" s="40" t="s">
        <v>2217</v>
      </c>
      <c r="G1" s="40" t="s">
        <v>2218</v>
      </c>
      <c r="H1" s="40" t="s">
        <v>2219</v>
      </c>
      <c r="I1" s="40" t="s">
        <v>2220</v>
      </c>
      <c r="K1" s="40" t="s">
        <v>2221</v>
      </c>
      <c r="L1" s="40" t="s">
        <v>2222</v>
      </c>
      <c r="M1" s="40" t="s">
        <v>2223</v>
      </c>
      <c r="O1" s="40" t="s">
        <v>2221</v>
      </c>
      <c r="P1" s="40" t="s">
        <v>2224</v>
      </c>
      <c r="Q1" s="40" t="s">
        <v>2225</v>
      </c>
      <c r="S1" s="40" t="s">
        <v>2221</v>
      </c>
      <c r="T1" s="40" t="s">
        <v>2222</v>
      </c>
      <c r="U1" s="40" t="s">
        <v>2225</v>
      </c>
      <c r="W1" s="40" t="s">
        <v>2226</v>
      </c>
      <c r="X1" s="40" t="s">
        <v>2227</v>
      </c>
      <c r="Y1" s="40" t="s">
        <v>2228</v>
      </c>
      <c r="AJ1" s="40" t="s">
        <v>49</v>
      </c>
      <c r="AK1" s="40" t="s">
        <v>1855</v>
      </c>
      <c r="AL1" s="40" t="s">
        <v>2229</v>
      </c>
      <c r="AM1" s="40" t="s">
        <v>1856</v>
      </c>
      <c r="AN1" s="40" t="s">
        <v>2230</v>
      </c>
      <c r="AP1" s="40" t="s">
        <v>2462</v>
      </c>
      <c r="AQ1" s="40" t="s">
        <v>2463</v>
      </c>
      <c r="AR1" s="40" t="s">
        <v>2464</v>
      </c>
      <c r="AS1" s="40" t="s">
        <v>2465</v>
      </c>
      <c r="AU1" s="40" t="s">
        <v>2466</v>
      </c>
      <c r="AV1" s="40" t="s">
        <v>2467</v>
      </c>
    </row>
    <row r="2" spans="1:48">
      <c r="A2" s="45" t="str">
        <f>Volcanic!A2</f>
        <v>3/1958</v>
      </c>
      <c r="B2" s="43">
        <f>Volcanic!B2</f>
        <v>8.0000000000000071E-2</v>
      </c>
      <c r="C2" s="47">
        <f>Volcanic!C2</f>
        <v>0.17317313104772078</v>
      </c>
      <c r="D2" s="41">
        <v>1.2</v>
      </c>
      <c r="E2" s="41">
        <v>1.6</v>
      </c>
      <c r="F2" s="48">
        <v>6.4000000000000003E-3</v>
      </c>
      <c r="G2" s="48">
        <v>1.0059999999999999E-2</v>
      </c>
      <c r="H2" s="43">
        <f>Volcanic!D2</f>
        <v>0</v>
      </c>
      <c r="I2" s="47">
        <f>Volcanic!E2</f>
        <v>1.0059999999999999E-2</v>
      </c>
      <c r="K2" s="47">
        <f t="shared" ref="K2:K65" si="0">C2</f>
        <v>0.17317313104772078</v>
      </c>
      <c r="L2" s="47">
        <f t="shared" ref="L2:L65" si="1">E2</f>
        <v>1.6</v>
      </c>
      <c r="M2" s="47">
        <f t="shared" ref="M2:M65" si="2">I2</f>
        <v>1.0059999999999999E-2</v>
      </c>
      <c r="O2" s="47">
        <f t="shared" ref="O2:O65" si="3">C2</f>
        <v>0.17317313104772078</v>
      </c>
      <c r="P2" s="47">
        <f t="shared" ref="P2:P65" si="4">H2</f>
        <v>0</v>
      </c>
      <c r="Q2" s="47">
        <f t="shared" ref="Q2:Q65" si="5">G2</f>
        <v>1.0059999999999999E-2</v>
      </c>
      <c r="S2" s="47">
        <f t="shared" ref="S2:S65" si="6">C2</f>
        <v>0.17317313104772078</v>
      </c>
      <c r="T2" s="47">
        <f t="shared" ref="T2:T65" si="7">E2</f>
        <v>1.6</v>
      </c>
      <c r="U2" s="47">
        <f t="shared" ref="U2:U65" si="8">G2</f>
        <v>1.0059999999999999E-2</v>
      </c>
      <c r="W2" s="47">
        <f t="shared" ref="W2:W65" si="9">IF(OR(L2="",M2=""),"",B2-($AB$6+$AB$7*K2+$AB$8*L2+$AB$9*M2))</f>
        <v>4.1768628068374641E-2</v>
      </c>
      <c r="X2" s="47">
        <f t="shared" ref="X2:X65" si="10">IF(OR(P2="",Q2=""),"",B2-($AC$6+$AC$7*O2+$AC$8*P2+$AC$9*Q2))</f>
        <v>0.19017292504457917</v>
      </c>
      <c r="Y2" s="47">
        <f t="shared" ref="Y2:Y65" si="11">IF(OR(T2="",U2=""),"",B2-($AD$6+$AD$7*S2+$AD$8*T2+$AD$9*U2))</f>
        <v>4.0022926325818206E-2</v>
      </c>
      <c r="AA2" s="40" t="s">
        <v>2231</v>
      </c>
      <c r="AJ2" s="45">
        <v>1959</v>
      </c>
      <c r="AK2" s="47">
        <f>Forcing!B2</f>
        <v>3.0833333333332824E-2</v>
      </c>
      <c r="AL2" s="41">
        <v>1362.096</v>
      </c>
      <c r="AM2" s="47">
        <f>Forcing!C2</f>
        <v>0.17439669687104098</v>
      </c>
      <c r="AN2" s="43">
        <f>Solar!I2</f>
        <v>1361.5649999999998</v>
      </c>
      <c r="AP2" s="48">
        <v>8.14E-2</v>
      </c>
      <c r="AQ2" s="48">
        <v>9.7699999999999995E-2</v>
      </c>
      <c r="AU2" s="47">
        <f>AVERAGEIFS($AP$2:$AP$823,Volcanic!$L$2:$L$823,"&gt;="&amp;AJ2,Volcanic!$L$2:$L$823,"&lt;"&amp;(AJ2+1))</f>
        <v>2.879166666666667E-2</v>
      </c>
      <c r="AV2" s="47">
        <f>AVERAGEIFS($AQ$2:$AQ$823,Volcanic!$L$2:$L$823,"&gt;="&amp;AJ2,Volcanic!$L$2:$L$823,"&lt;"&amp;(AJ2+1))</f>
        <v>2.1616666666666676E-2</v>
      </c>
    </row>
    <row r="3" spans="1:48" ht="60" customHeight="1">
      <c r="A3" s="45" t="str">
        <f>Volcanic!A3</f>
        <v>4/1958</v>
      </c>
      <c r="B3" s="43">
        <f>Volcanic!B3</f>
        <v>1.0000000000001563E-2</v>
      </c>
      <c r="C3" s="47">
        <f>Volcanic!C3</f>
        <v>0.1811025507537978</v>
      </c>
      <c r="D3" s="41">
        <v>0.8</v>
      </c>
      <c r="E3" s="41">
        <v>1.7</v>
      </c>
      <c r="F3" s="48">
        <v>6.11E-3</v>
      </c>
      <c r="G3" s="48">
        <v>9.5200000000000007E-3</v>
      </c>
      <c r="H3" s="43">
        <f>Volcanic!D3</f>
        <v>0</v>
      </c>
      <c r="I3" s="47">
        <f>Volcanic!E3</f>
        <v>9.5200000000000007E-3</v>
      </c>
      <c r="K3" s="47">
        <f t="shared" si="0"/>
        <v>0.1811025507537978</v>
      </c>
      <c r="L3" s="47">
        <f t="shared" si="1"/>
        <v>1.7</v>
      </c>
      <c r="M3" s="47">
        <f t="shared" si="2"/>
        <v>9.5200000000000007E-3</v>
      </c>
      <c r="O3" s="47">
        <f t="shared" si="3"/>
        <v>0.1811025507537978</v>
      </c>
      <c r="P3" s="47">
        <f t="shared" si="4"/>
        <v>0</v>
      </c>
      <c r="Q3" s="47">
        <f t="shared" si="5"/>
        <v>9.5200000000000007E-3</v>
      </c>
      <c r="S3" s="47">
        <f t="shared" si="6"/>
        <v>0.1811025507537978</v>
      </c>
      <c r="T3" s="47">
        <f t="shared" si="7"/>
        <v>1.7</v>
      </c>
      <c r="U3" s="47">
        <f t="shared" si="8"/>
        <v>9.5200000000000007E-3</v>
      </c>
      <c r="W3" s="47">
        <f t="shared" si="9"/>
        <v>-6.0333328449739793E-2</v>
      </c>
      <c r="X3" s="47">
        <f t="shared" si="10"/>
        <v>9.7324228073733199E-2</v>
      </c>
      <c r="Y3" s="47">
        <f t="shared" si="11"/>
        <v>-6.2226146900218049E-2</v>
      </c>
      <c r="AA3" s="62" t="s">
        <v>2232</v>
      </c>
      <c r="AB3" s="53"/>
      <c r="AC3" s="53"/>
      <c r="AD3" s="53"/>
      <c r="AE3" s="53"/>
      <c r="AF3" s="53"/>
      <c r="AG3" s="53"/>
      <c r="AH3" s="53"/>
      <c r="AJ3" s="45">
        <v>1960</v>
      </c>
      <c r="AK3" s="47">
        <f>Forcing!B3</f>
        <v>-2.4999999999999616E-2</v>
      </c>
      <c r="AL3" s="41">
        <v>1361.943</v>
      </c>
      <c r="AM3" s="47">
        <f>Forcing!C3</f>
        <v>0.17861133837791365</v>
      </c>
      <c r="AN3" s="43">
        <f>Solar!I3</f>
        <v>1361.4283333333335</v>
      </c>
      <c r="AP3" s="48">
        <v>7.3000000000000001E-3</v>
      </c>
      <c r="AQ3" s="48">
        <v>9.7000000000000003E-3</v>
      </c>
      <c r="AU3" s="47">
        <f>AVERAGEIFS($AP$2:$AP$823,Volcanic!$L$2:$L$823,"&gt;="&amp;AJ3,Volcanic!$L$2:$L$823,"&lt;"&amp;(AJ3+1))</f>
        <v>-3.8058333333333333E-2</v>
      </c>
      <c r="AV3" s="47">
        <f>AVERAGEIFS($AQ$2:$AQ$823,Volcanic!$L$2:$L$823,"&gt;="&amp;AJ3,Volcanic!$L$2:$L$823,"&lt;"&amp;(AJ3+1))</f>
        <v>-3.6216666666666668E-2</v>
      </c>
    </row>
    <row r="4" spans="1:48">
      <c r="A4" s="45" t="str">
        <f>Volcanic!A4</f>
        <v>5/1958</v>
      </c>
      <c r="B4" s="43">
        <f>Volcanic!B4</f>
        <v>5.9999999999998721E-2</v>
      </c>
      <c r="C4" s="47">
        <f>Volcanic!C4</f>
        <v>0.18137520321288492</v>
      </c>
      <c r="D4" s="41">
        <v>0.6</v>
      </c>
      <c r="E4" s="41">
        <v>1.6</v>
      </c>
      <c r="F4" s="48">
        <v>5.8700000000000002E-3</v>
      </c>
      <c r="G4" s="48">
        <v>9.0299999999999998E-3</v>
      </c>
      <c r="H4" s="43">
        <f>Volcanic!D4</f>
        <v>0</v>
      </c>
      <c r="I4" s="47">
        <f>Volcanic!E4</f>
        <v>9.0299999999999998E-3</v>
      </c>
      <c r="K4" s="47">
        <f t="shared" si="0"/>
        <v>0.18137520321288492</v>
      </c>
      <c r="L4" s="47">
        <f t="shared" si="1"/>
        <v>1.6</v>
      </c>
      <c r="M4" s="47">
        <f t="shared" si="2"/>
        <v>9.0299999999999998E-3</v>
      </c>
      <c r="O4" s="47">
        <f t="shared" si="3"/>
        <v>0.18137520321288492</v>
      </c>
      <c r="P4" s="47">
        <f t="shared" si="4"/>
        <v>0</v>
      </c>
      <c r="Q4" s="47">
        <f t="shared" si="5"/>
        <v>9.0299999999999998E-3</v>
      </c>
      <c r="S4" s="47">
        <f t="shared" si="6"/>
        <v>0.18137520321288492</v>
      </c>
      <c r="T4" s="47">
        <f t="shared" si="7"/>
        <v>1.6</v>
      </c>
      <c r="U4" s="47">
        <f t="shared" si="8"/>
        <v>9.0299999999999998E-3</v>
      </c>
      <c r="W4" s="47">
        <f t="shared" si="9"/>
        <v>-2.8692885521284378E-3</v>
      </c>
      <c r="X4" s="47">
        <f t="shared" si="10"/>
        <v>0.14530684208115363</v>
      </c>
      <c r="Y4" s="47">
        <f t="shared" si="11"/>
        <v>-4.8438484267678689E-3</v>
      </c>
      <c r="AJ4" s="45">
        <v>1961</v>
      </c>
      <c r="AK4" s="47">
        <f>Forcing!B4</f>
        <v>5.6666666666666345E-2</v>
      </c>
      <c r="AL4" s="41">
        <v>1361.557</v>
      </c>
      <c r="AM4" s="47">
        <f>Forcing!C4</f>
        <v>0.18196022855888627</v>
      </c>
      <c r="AN4" s="43">
        <f>Solar!I4</f>
        <v>1360.9950000000001</v>
      </c>
      <c r="AP4" s="48">
        <v>9.1800000000000007E-2</v>
      </c>
      <c r="AQ4" s="48">
        <v>5.1700000000000003E-2</v>
      </c>
      <c r="AU4" s="47">
        <f>AVERAGEIFS($AP$2:$AP$823,Volcanic!$L$2:$L$823,"&gt;="&amp;AJ4,Volcanic!$L$2:$L$823,"&lt;"&amp;(AJ4+1))</f>
        <v>6.0916666666666654E-2</v>
      </c>
      <c r="AV4" s="47">
        <f>AVERAGEIFS($AQ$2:$AQ$823,Volcanic!$L$2:$L$823,"&gt;="&amp;AJ4,Volcanic!$L$2:$L$823,"&lt;"&amp;(AJ4+1))</f>
        <v>3.7200000000000011E-2</v>
      </c>
    </row>
    <row r="5" spans="1:48">
      <c r="A5" s="45" t="str">
        <f>Volcanic!A5</f>
        <v>6/1958</v>
      </c>
      <c r="B5" s="43">
        <f>Volcanic!B5</f>
        <v>-9.0000000000001634E-2</v>
      </c>
      <c r="C5" s="47">
        <f>Volcanic!C5</f>
        <v>0.1802842840714132</v>
      </c>
      <c r="D5" s="41">
        <v>0.5</v>
      </c>
      <c r="E5" s="43">
        <f t="shared" ref="E5:E68" si="12">IF(D2="","",D2)</f>
        <v>1.2</v>
      </c>
      <c r="F5" s="48">
        <v>5.7000000000000002E-3</v>
      </c>
      <c r="G5" s="48">
        <v>8.43E-3</v>
      </c>
      <c r="H5" s="43" t="str">
        <f>Volcanic!D5</f>
        <v/>
      </c>
      <c r="I5" s="47">
        <f>Volcanic!E5</f>
        <v>8.43E-3</v>
      </c>
      <c r="K5" s="47">
        <f t="shared" si="0"/>
        <v>0.1802842840714132</v>
      </c>
      <c r="L5" s="47">
        <f t="shared" si="1"/>
        <v>1.2</v>
      </c>
      <c r="M5" s="47">
        <f t="shared" si="2"/>
        <v>8.43E-3</v>
      </c>
      <c r="O5" s="47">
        <f t="shared" si="3"/>
        <v>0.1802842840714132</v>
      </c>
      <c r="P5" s="47" t="str">
        <f t="shared" si="4"/>
        <v/>
      </c>
      <c r="Q5" s="47">
        <f t="shared" si="5"/>
        <v>8.43E-3</v>
      </c>
      <c r="S5" s="47">
        <f t="shared" si="6"/>
        <v>0.1802842840714132</v>
      </c>
      <c r="T5" s="47">
        <f t="shared" si="7"/>
        <v>1.2</v>
      </c>
      <c r="U5" s="47">
        <f t="shared" si="8"/>
        <v>8.43E-3</v>
      </c>
      <c r="W5" s="47">
        <f t="shared" si="9"/>
        <v>-0.11406697691259729</v>
      </c>
      <c r="X5" s="47" t="str">
        <f t="shared" si="10"/>
        <v/>
      </c>
      <c r="Y5" s="47">
        <f t="shared" si="11"/>
        <v>-0.11585984454118567</v>
      </c>
      <c r="AA5" s="40" t="s">
        <v>2233</v>
      </c>
      <c r="AB5" s="40" t="s">
        <v>2234</v>
      </c>
      <c r="AC5" s="40" t="s">
        <v>2235</v>
      </c>
      <c r="AD5" s="40" t="s">
        <v>2236</v>
      </c>
      <c r="AE5" s="40" t="s">
        <v>2237</v>
      </c>
      <c r="AJ5" s="45">
        <v>1962</v>
      </c>
      <c r="AK5" s="47">
        <f>Forcing!B5</f>
        <v>3.0833333333334007E-2</v>
      </c>
      <c r="AL5" s="41">
        <v>1361.375</v>
      </c>
      <c r="AM5" s="47">
        <f>Forcing!C5</f>
        <v>0.18563275308825636</v>
      </c>
      <c r="AN5" s="43">
        <f>Solar!I5</f>
        <v>1360.7974999999999</v>
      </c>
      <c r="AP5" s="48">
        <v>-7.8299999999999995E-2</v>
      </c>
      <c r="AQ5" s="48">
        <v>-8.5300000000000001E-2</v>
      </c>
      <c r="AU5" s="47">
        <f>AVERAGEIFS($AP$2:$AP$823,Volcanic!$L$2:$L$823,"&gt;="&amp;AJ5,Volcanic!$L$2:$L$823,"&lt;"&amp;(AJ5+1))</f>
        <v>1.6475E-2</v>
      </c>
      <c r="AV5" s="47">
        <f>AVERAGEIFS($AQ$2:$AQ$823,Volcanic!$L$2:$L$823,"&gt;="&amp;AJ5,Volcanic!$L$2:$L$823,"&lt;"&amp;(AJ5+1))</f>
        <v>-1.8633333333333335E-2</v>
      </c>
    </row>
    <row r="6" spans="1:48">
      <c r="A6" s="45" t="str">
        <f>Volcanic!A6</f>
        <v>7/1958</v>
      </c>
      <c r="B6" s="43">
        <f>Volcanic!B6</f>
        <v>5.0000000000004263E-2</v>
      </c>
      <c r="C6" s="47">
        <f>Volcanic!C6</f>
        <v>0.17390409533246803</v>
      </c>
      <c r="D6" s="41">
        <v>0.4</v>
      </c>
      <c r="E6" s="43">
        <f t="shared" si="12"/>
        <v>0.8</v>
      </c>
      <c r="F6" s="48">
        <v>5.5599999999999998E-3</v>
      </c>
      <c r="G6" s="48">
        <v>7.8499999999999993E-3</v>
      </c>
      <c r="H6" s="43" t="str">
        <f>Volcanic!D6</f>
        <v/>
      </c>
      <c r="I6" s="47">
        <f>Volcanic!E6</f>
        <v>7.8499999999999993E-3</v>
      </c>
      <c r="K6" s="47">
        <f t="shared" si="0"/>
        <v>0.17390409533246803</v>
      </c>
      <c r="L6" s="47">
        <f t="shared" si="1"/>
        <v>0.8</v>
      </c>
      <c r="M6" s="47">
        <f t="shared" si="2"/>
        <v>7.8499999999999993E-3</v>
      </c>
      <c r="O6" s="47">
        <f t="shared" si="3"/>
        <v>0.17390409533246803</v>
      </c>
      <c r="P6" s="47" t="str">
        <f t="shared" si="4"/>
        <v/>
      </c>
      <c r="Q6" s="47">
        <f t="shared" si="5"/>
        <v>7.8499999999999993E-3</v>
      </c>
      <c r="S6" s="47">
        <f t="shared" si="6"/>
        <v>0.17390409533246803</v>
      </c>
      <c r="T6" s="47">
        <f t="shared" si="7"/>
        <v>0.8</v>
      </c>
      <c r="U6" s="47">
        <f t="shared" si="8"/>
        <v>7.8499999999999993E-3</v>
      </c>
      <c r="W6" s="47">
        <f t="shared" si="9"/>
        <v>7.9204039865008083E-2</v>
      </c>
      <c r="X6" s="47" t="str">
        <f t="shared" si="10"/>
        <v/>
      </c>
      <c r="Y6" s="47">
        <f t="shared" si="11"/>
        <v>7.7474831817715611E-2</v>
      </c>
      <c r="AA6" s="45" t="s">
        <v>1909</v>
      </c>
      <c r="AB6" s="43">
        <f>INDEX(LINEST($B$9:$B$822,$K$9:$M$822),1,4)</f>
        <v>-0.56046767420097932</v>
      </c>
      <c r="AC6" s="43">
        <f>INDEX(LINEST($B$9:$B$822,$O$9:$Q$822),1,4)</f>
        <v>-0.55207583803668026</v>
      </c>
      <c r="AD6" s="43">
        <f>INDEX(LINEST($B$9:$B$822,$S$9:$U$822),1,4)</f>
        <v>-0.55226020327528158</v>
      </c>
      <c r="AE6" s="43">
        <f>Volcanic!N14</f>
        <v>-0.56028489187596064</v>
      </c>
      <c r="AJ6" s="45">
        <v>1963</v>
      </c>
      <c r="AK6" s="47">
        <f>Forcing!B6</f>
        <v>5.4166666666666995E-2</v>
      </c>
      <c r="AL6" s="41">
        <v>1361.316</v>
      </c>
      <c r="AM6" s="47">
        <f>Forcing!C6</f>
        <v>0.18806837681949565</v>
      </c>
      <c r="AN6" s="43">
        <f>Solar!I6</f>
        <v>1360.7333333333333</v>
      </c>
      <c r="AP6" s="48">
        <v>5.6899999999999999E-2</v>
      </c>
      <c r="AQ6" s="48">
        <v>-3.5299999999999998E-2</v>
      </c>
      <c r="AU6" s="47">
        <f>AVERAGEIFS($AP$2:$AP$823,Volcanic!$L$2:$L$823,"&gt;="&amp;AJ6,Volcanic!$L$2:$L$823,"&lt;"&amp;(AJ6+1))</f>
        <v>4.3924999999999999E-2</v>
      </c>
      <c r="AV6" s="47">
        <f>AVERAGEIFS($AQ$2:$AQ$823,Volcanic!$L$2:$L$823,"&gt;="&amp;AJ6,Volcanic!$L$2:$L$823,"&lt;"&amp;(AJ6+1))</f>
        <v>2.5283333333333335E-2</v>
      </c>
    </row>
    <row r="7" spans="1:48">
      <c r="A7" s="45" t="str">
        <f>Volcanic!A7</f>
        <v>8/1958</v>
      </c>
      <c r="B7" s="43">
        <f>Volcanic!B7</f>
        <v>-5.0000000000000711E-2</v>
      </c>
      <c r="C7" s="47">
        <f>Volcanic!C7</f>
        <v>0.16960436691695893</v>
      </c>
      <c r="D7" s="41">
        <v>0.3</v>
      </c>
      <c r="E7" s="43">
        <f t="shared" si="12"/>
        <v>0.6</v>
      </c>
      <c r="F7" s="48">
        <v>5.47E-3</v>
      </c>
      <c r="G7" s="48">
        <v>7.3299999999999997E-3</v>
      </c>
      <c r="H7" s="43" t="str">
        <f>Volcanic!D7</f>
        <v/>
      </c>
      <c r="I7" s="47">
        <f>Volcanic!E7</f>
        <v>7.3299999999999997E-3</v>
      </c>
      <c r="K7" s="47">
        <f t="shared" si="0"/>
        <v>0.16960436691695893</v>
      </c>
      <c r="L7" s="47">
        <f t="shared" si="1"/>
        <v>0.6</v>
      </c>
      <c r="M7" s="47">
        <f t="shared" si="2"/>
        <v>7.3299999999999997E-3</v>
      </c>
      <c r="O7" s="47">
        <f t="shared" si="3"/>
        <v>0.16960436691695893</v>
      </c>
      <c r="P7" s="47" t="str">
        <f t="shared" si="4"/>
        <v/>
      </c>
      <c r="Q7" s="47">
        <f t="shared" si="5"/>
        <v>7.3299999999999997E-3</v>
      </c>
      <c r="S7" s="47">
        <f t="shared" si="6"/>
        <v>0.16960436691695893</v>
      </c>
      <c r="T7" s="47">
        <f t="shared" si="7"/>
        <v>0.6</v>
      </c>
      <c r="U7" s="47">
        <f t="shared" si="8"/>
        <v>7.3299999999999997E-3</v>
      </c>
      <c r="W7" s="47">
        <f t="shared" si="9"/>
        <v>8.3588766270041165E-3</v>
      </c>
      <c r="X7" s="47" t="str">
        <f t="shared" si="10"/>
        <v/>
      </c>
      <c r="Y7" s="47">
        <f t="shared" si="11"/>
        <v>6.5401751855635598E-3</v>
      </c>
      <c r="AA7" s="45" t="s">
        <v>1910</v>
      </c>
      <c r="AB7" s="43">
        <f>INDEX(LINEST($B$9:$B$822,$K$9:$M$822),1,3)</f>
        <v>2.7271505775409666</v>
      </c>
      <c r="AC7" s="43">
        <f>INDEX(LINEST($B$9:$B$822,$O$9:$Q$822),1,3)</f>
        <v>2.7035787688186672</v>
      </c>
      <c r="AD7" s="43">
        <f>INDEX(LINEST($B$9:$B$822,$S$9:$U$822),1,3)</f>
        <v>2.7032760420061699</v>
      </c>
      <c r="AE7" s="43">
        <f>Volcanic!N15</f>
        <v>2.7274258799243318</v>
      </c>
      <c r="AJ7" s="45">
        <v>1964</v>
      </c>
      <c r="AK7" s="47">
        <f>Forcing!B7</f>
        <v>-0.1991666666666673</v>
      </c>
      <c r="AL7" s="41">
        <v>1361.297</v>
      </c>
      <c r="AM7" s="47">
        <f>Forcing!C7</f>
        <v>0.19090694656901711</v>
      </c>
      <c r="AN7" s="43">
        <f>Solar!I7</f>
        <v>1360.7283333333332</v>
      </c>
      <c r="AP7" s="48">
        <v>-6.4000000000000003E-3</v>
      </c>
      <c r="AQ7" s="48">
        <v>-9.2299999999999993E-2</v>
      </c>
      <c r="AU7" s="47">
        <f>AVERAGEIFS($AP$2:$AP$823,Volcanic!$L$2:$L$823,"&gt;="&amp;AJ7,Volcanic!$L$2:$L$823,"&lt;"&amp;(AJ7+1))</f>
        <v>-0.22679999999999992</v>
      </c>
      <c r="AV7" s="47">
        <f>AVERAGEIFS($AQ$2:$AQ$823,Volcanic!$L$2:$L$823,"&gt;="&amp;AJ7,Volcanic!$L$2:$L$823,"&lt;"&amp;(AJ7+1))</f>
        <v>-0.23755000000000001</v>
      </c>
    </row>
    <row r="8" spans="1:48">
      <c r="A8" s="45" t="str">
        <f>Volcanic!A8</f>
        <v>9/1958</v>
      </c>
      <c r="B8" s="43">
        <f>Volcanic!B8</f>
        <v>-2.9999999999999361E-2</v>
      </c>
      <c r="C8" s="47">
        <f>Volcanic!C8</f>
        <v>0.1617034477834195</v>
      </c>
      <c r="D8" s="41">
        <v>0.3</v>
      </c>
      <c r="E8" s="43">
        <f t="shared" si="12"/>
        <v>0.5</v>
      </c>
      <c r="F8" s="48">
        <v>5.3600000000000002E-3</v>
      </c>
      <c r="G8" s="48">
        <v>6.8100000000000001E-3</v>
      </c>
      <c r="H8" s="43" t="str">
        <f>Volcanic!D8</f>
        <v/>
      </c>
      <c r="I8" s="47">
        <f>Volcanic!E8</f>
        <v>6.8100000000000001E-3</v>
      </c>
      <c r="K8" s="47">
        <f t="shared" si="0"/>
        <v>0.1617034477834195</v>
      </c>
      <c r="L8" s="47">
        <f t="shared" si="1"/>
        <v>0.5</v>
      </c>
      <c r="M8" s="47">
        <f t="shared" si="2"/>
        <v>6.8100000000000001E-3</v>
      </c>
      <c r="O8" s="47">
        <f t="shared" si="3"/>
        <v>0.1617034477834195</v>
      </c>
      <c r="P8" s="47" t="str">
        <f t="shared" si="4"/>
        <v/>
      </c>
      <c r="Q8" s="47">
        <f t="shared" si="5"/>
        <v>6.8100000000000001E-3</v>
      </c>
      <c r="S8" s="47">
        <f t="shared" si="6"/>
        <v>0.1617034477834195</v>
      </c>
      <c r="T8" s="47">
        <f t="shared" si="7"/>
        <v>0.5</v>
      </c>
      <c r="U8" s="47">
        <f t="shared" si="8"/>
        <v>6.8100000000000001E-3</v>
      </c>
      <c r="W8" s="47">
        <f t="shared" si="9"/>
        <v>5.8047371263201059E-2</v>
      </c>
      <c r="X8" s="47" t="str">
        <f t="shared" si="10"/>
        <v/>
      </c>
      <c r="Y8" s="47">
        <f t="shared" si="11"/>
        <v>5.5939418886860548E-2</v>
      </c>
      <c r="AA8" s="45" t="s">
        <v>1941</v>
      </c>
      <c r="AB8" s="47">
        <f>INDEX(LINEST($B$9:$B$822,$K$9:$M$822),1,2)</f>
        <v>9.2873314723169662E-2</v>
      </c>
      <c r="AC8" s="47">
        <f>INDEX(LINEST($B$9:$B$822,$O$9:$Q$822),1,2)</f>
        <v>9.3936183812610888E-2</v>
      </c>
      <c r="AD8" s="47">
        <f>INDEX(LINEST($B$9:$B$822,$S$9:$U$822),1,2)</f>
        <v>9.4011122573036052E-2</v>
      </c>
      <c r="AE8" s="47">
        <f>Volcanic!N16</f>
        <v>9.2795015553117519E-2</v>
      </c>
      <c r="AJ8" s="45">
        <v>1965</v>
      </c>
      <c r="AK8" s="47">
        <f>Forcing!B8</f>
        <v>-0.10666666666666676</v>
      </c>
      <c r="AL8" s="41">
        <v>1361.3309999999999</v>
      </c>
      <c r="AM8" s="47">
        <f>Forcing!C8</f>
        <v>0.19279248762081727</v>
      </c>
      <c r="AN8" s="43">
        <f>Solar!I8</f>
        <v>1360.7724999999998</v>
      </c>
      <c r="AP8" s="48">
        <v>-3.6299999999999999E-2</v>
      </c>
      <c r="AQ8" s="48">
        <v>-0.1343</v>
      </c>
      <c r="AU8" s="47">
        <f>AVERAGEIFS($AP$2:$AP$823,Volcanic!$L$2:$L$823,"&gt;="&amp;AJ8,Volcanic!$L$2:$L$823,"&lt;"&amp;(AJ8+1))</f>
        <v>-0.126975</v>
      </c>
      <c r="AV8" s="47">
        <f>AVERAGEIFS($AQ$2:$AQ$823,Volcanic!$L$2:$L$823,"&gt;="&amp;AJ8,Volcanic!$L$2:$L$823,"&lt;"&amp;(AJ8+1))</f>
        <v>-0.11905000000000003</v>
      </c>
    </row>
    <row r="9" spans="1:48">
      <c r="A9" s="45" t="str">
        <f>Volcanic!A9</f>
        <v>10/1958</v>
      </c>
      <c r="B9" s="43">
        <f>Volcanic!B9</f>
        <v>3.9999999999999147E-2</v>
      </c>
      <c r="C9" s="47">
        <f>Volcanic!C9</f>
        <v>0.1580599853917147</v>
      </c>
      <c r="D9" s="41">
        <v>0.3</v>
      </c>
      <c r="E9" s="43">
        <f t="shared" si="12"/>
        <v>0.4</v>
      </c>
      <c r="F9" s="48">
        <v>5.2900000000000004E-3</v>
      </c>
      <c r="G9" s="47">
        <f t="shared" ref="G9:G72" si="13">IF(F2="","",F2)</f>
        <v>6.4000000000000003E-3</v>
      </c>
      <c r="H9" s="43">
        <f>Volcanic!D9</f>
        <v>0.43</v>
      </c>
      <c r="I9" s="47">
        <f>Volcanic!E9</f>
        <v>6.4000000000000003E-3</v>
      </c>
      <c r="K9" s="47">
        <f t="shared" si="0"/>
        <v>0.1580599853917147</v>
      </c>
      <c r="L9" s="47">
        <f t="shared" si="1"/>
        <v>0.4</v>
      </c>
      <c r="M9" s="47">
        <f t="shared" si="2"/>
        <v>6.4000000000000003E-3</v>
      </c>
      <c r="O9" s="47">
        <f t="shared" si="3"/>
        <v>0.1580599853917147</v>
      </c>
      <c r="P9" s="47">
        <f t="shared" si="4"/>
        <v>0.43</v>
      </c>
      <c r="Q9" s="47">
        <f t="shared" si="5"/>
        <v>6.4000000000000003E-3</v>
      </c>
      <c r="S9" s="47">
        <f t="shared" si="6"/>
        <v>0.1580599853917147</v>
      </c>
      <c r="T9" s="47">
        <f t="shared" si="7"/>
        <v>0.4</v>
      </c>
      <c r="U9" s="47">
        <f t="shared" si="8"/>
        <v>6.4000000000000003E-3</v>
      </c>
      <c r="W9" s="47">
        <f t="shared" si="9"/>
        <v>0.1463675280400612</v>
      </c>
      <c r="X9" s="47">
        <f t="shared" si="10"/>
        <v>0.14107727256733521</v>
      </c>
      <c r="Y9" s="47">
        <f t="shared" si="11"/>
        <v>0.14411732357720758</v>
      </c>
      <c r="AA9" s="45" t="s">
        <v>1968</v>
      </c>
      <c r="AB9" s="43">
        <f>INDEX(LINEST($B$9:$B$822,$K$9:$M$822),1,1)</f>
        <v>-2.2035250274190781</v>
      </c>
      <c r="AC9" s="43">
        <f>INDEX(LINEST($B$9:$B$822,$O$9:$Q$822),1,1)</f>
        <v>-2.6127522304542259</v>
      </c>
      <c r="AD9" s="43">
        <f>INDEX(LINEST($B$9:$B$822,$S$9:$U$822),1,1)</f>
        <v>-2.6158345375638778</v>
      </c>
      <c r="AE9" s="43">
        <f>Volcanic!N17</f>
        <v>-2.2003522516467848</v>
      </c>
      <c r="AJ9" s="45">
        <v>1966</v>
      </c>
      <c r="AK9" s="47">
        <f>Forcing!B9</f>
        <v>-5.7499999999999364E-2</v>
      </c>
      <c r="AL9" s="41">
        <v>1361.527</v>
      </c>
      <c r="AM9" s="47">
        <f>Forcing!C9</f>
        <v>0.19877221770103162</v>
      </c>
      <c r="AN9" s="43">
        <f>Solar!I9</f>
        <v>1361.0008333333333</v>
      </c>
      <c r="AP9" s="48">
        <v>5.8500000000000003E-2</v>
      </c>
      <c r="AQ9" s="48">
        <v>2.7699999999999999E-2</v>
      </c>
      <c r="AR9" s="47">
        <f>IF(AP9="","",AP9-($AC$60+$AC$61*Volcanic!C9+$AC$62*Volcanic!D9+$AC$63*Volcanic!E9))</f>
        <v>0.1704493471570859</v>
      </c>
      <c r="AS9" s="47">
        <f>IF(AQ9="","",AQ9-($AD$60+$AD$61*Volcanic!C9+$AD$62*Volcanic!D9+$AD$63*Volcanic!E9))</f>
        <v>0.13645468494009369</v>
      </c>
      <c r="AU9" s="47">
        <f>AVERAGEIFS($AP$2:$AP$823,Volcanic!$L$2:$L$823,"&gt;="&amp;AJ9,Volcanic!$L$2:$L$823,"&lt;"&amp;(AJ9+1))</f>
        <v>-7.0050000000000015E-2</v>
      </c>
      <c r="AV9" s="47">
        <f>AVERAGEIFS($AQ$2:$AQ$823,Volcanic!$L$2:$L$823,"&gt;="&amp;AJ9,Volcanic!$L$2:$L$823,"&lt;"&amp;(AJ9+1))</f>
        <v>-5.6466666666666665E-2</v>
      </c>
    </row>
    <row r="10" spans="1:48">
      <c r="A10" s="45" t="str">
        <f>Volcanic!A10</f>
        <v>11/1958</v>
      </c>
      <c r="B10" s="43">
        <f>Volcanic!B10</f>
        <v>2.0000000000003126E-2</v>
      </c>
      <c r="C10" s="47">
        <f>Volcanic!C10</f>
        <v>0.16225608099765507</v>
      </c>
      <c r="D10" s="41">
        <v>0.4</v>
      </c>
      <c r="E10" s="43">
        <f t="shared" si="12"/>
        <v>0.3</v>
      </c>
      <c r="F10" s="48">
        <v>5.0800000000000003E-3</v>
      </c>
      <c r="G10" s="47">
        <f t="shared" si="13"/>
        <v>6.11E-3</v>
      </c>
      <c r="H10" s="43">
        <f>Volcanic!D10</f>
        <v>0.32</v>
      </c>
      <c r="I10" s="47">
        <f>Volcanic!E10</f>
        <v>6.11E-3</v>
      </c>
      <c r="K10" s="47">
        <f t="shared" si="0"/>
        <v>0.16225608099765507</v>
      </c>
      <c r="L10" s="47">
        <f t="shared" si="1"/>
        <v>0.3</v>
      </c>
      <c r="M10" s="47">
        <f t="shared" si="2"/>
        <v>6.11E-3</v>
      </c>
      <c r="O10" s="47">
        <f t="shared" si="3"/>
        <v>0.16225608099765507</v>
      </c>
      <c r="P10" s="47">
        <f t="shared" si="4"/>
        <v>0.32</v>
      </c>
      <c r="Q10" s="47">
        <f t="shared" si="5"/>
        <v>6.11E-3</v>
      </c>
      <c r="S10" s="47">
        <f t="shared" si="6"/>
        <v>0.16225608099765507</v>
      </c>
      <c r="T10" s="47">
        <f t="shared" si="7"/>
        <v>0.3</v>
      </c>
      <c r="U10" s="47">
        <f t="shared" si="8"/>
        <v>6.11E-3</v>
      </c>
      <c r="W10" s="47">
        <f t="shared" si="9"/>
        <v>0.12357245269927326</v>
      </c>
      <c r="X10" s="47">
        <f t="shared" si="10"/>
        <v>0.11930807964774098</v>
      </c>
      <c r="Y10" s="47">
        <f t="shared" si="11"/>
        <v>0.12141663909711567</v>
      </c>
      <c r="AA10" s="45" t="s">
        <v>1912</v>
      </c>
      <c r="AB10" s="47">
        <f>INDEX(LINEST($B$9:$B$822,$K$9:$M$822,TRUE,TRUE),3,1)</f>
        <v>0.90080313256759781</v>
      </c>
      <c r="AC10" s="47">
        <f>INDEX(LINEST($B$9:$B$822,$O$9:$Q$822,TRUE,TRUE),3,1)</f>
        <v>0.90205982705757459</v>
      </c>
      <c r="AD10" s="47">
        <f>INDEX(LINEST($B$9:$B$822,$S$9:$U$822,TRUE,TRUE),3,1)</f>
        <v>0.90209730535487576</v>
      </c>
      <c r="AE10" s="47">
        <f>Volcanic!N18</f>
        <v>0.90076358738862705</v>
      </c>
      <c r="AJ10" s="45">
        <v>1967</v>
      </c>
      <c r="AK10" s="47">
        <f>Forcing!B10</f>
        <v>-2.4166666666666597E-2</v>
      </c>
      <c r="AL10" s="41">
        <v>1361.7349999999999</v>
      </c>
      <c r="AM10" s="47">
        <f>Forcing!C10</f>
        <v>0.20241455784943219</v>
      </c>
      <c r="AN10" s="43">
        <f>Solar!I10</f>
        <v>1361.2249999999999</v>
      </c>
      <c r="AP10" s="48">
        <v>3.7999999999999999E-2</v>
      </c>
      <c r="AQ10" s="48">
        <v>3.4700000000000002E-2</v>
      </c>
      <c r="AR10" s="47">
        <f>IF(AP10="","",AP10-($AC$60+$AC$61*Volcanic!C10+$AC$62*Volcanic!D10+$AC$63*Volcanic!E10))</f>
        <v>0.14809461758082598</v>
      </c>
      <c r="AS10" s="47">
        <f>IF(AQ10="","",AQ10-($AD$60+$AD$61*Volcanic!C10+$AD$62*Volcanic!D10+$AD$63*Volcanic!E10))</f>
        <v>0.14154974414884777</v>
      </c>
      <c r="AU10" s="47">
        <f>AVERAGEIFS($AP$2:$AP$823,Volcanic!$L$2:$L$823,"&gt;="&amp;AJ10,Volcanic!$L$2:$L$823,"&lt;"&amp;(AJ10+1))</f>
        <v>-4.0391666666666666E-2</v>
      </c>
      <c r="AV10" s="47">
        <f>AVERAGEIFS($AQ$2:$AQ$823,Volcanic!$L$2:$L$823,"&gt;="&amp;AJ10,Volcanic!$L$2:$L$823,"&lt;"&amp;(AJ10+1))</f>
        <v>-2.6550000000000004E-2</v>
      </c>
    </row>
    <row r="11" spans="1:48">
      <c r="A11" s="45" t="str">
        <f>Volcanic!A11</f>
        <v>12/1958</v>
      </c>
      <c r="B11" s="43">
        <f>Volcanic!B11</f>
        <v>1.0000000000001563E-2</v>
      </c>
      <c r="C11" s="47">
        <f>Volcanic!C11</f>
        <v>0.16841281440122227</v>
      </c>
      <c r="D11" s="41">
        <v>0.6</v>
      </c>
      <c r="E11" s="43">
        <f t="shared" si="12"/>
        <v>0.3</v>
      </c>
      <c r="F11" s="48">
        <v>4.8500000000000001E-3</v>
      </c>
      <c r="G11" s="47">
        <f t="shared" si="13"/>
        <v>5.8700000000000002E-3</v>
      </c>
      <c r="H11" s="43">
        <f>Volcanic!D11</f>
        <v>0.28000000000000003</v>
      </c>
      <c r="I11" s="47">
        <f>Volcanic!E11</f>
        <v>5.8700000000000002E-3</v>
      </c>
      <c r="K11" s="47">
        <f t="shared" si="0"/>
        <v>0.16841281440122227</v>
      </c>
      <c r="L11" s="47">
        <f t="shared" si="1"/>
        <v>0.3</v>
      </c>
      <c r="M11" s="47">
        <f t="shared" si="2"/>
        <v>5.8700000000000002E-3</v>
      </c>
      <c r="O11" s="47">
        <f t="shared" si="3"/>
        <v>0.16841281440122227</v>
      </c>
      <c r="P11" s="47">
        <f t="shared" si="4"/>
        <v>0.28000000000000003</v>
      </c>
      <c r="Q11" s="47">
        <f t="shared" si="5"/>
        <v>5.8700000000000002E-3</v>
      </c>
      <c r="S11" s="47">
        <f t="shared" si="6"/>
        <v>0.16841281440122227</v>
      </c>
      <c r="T11" s="47">
        <f t="shared" si="7"/>
        <v>0.3</v>
      </c>
      <c r="U11" s="47">
        <f t="shared" si="8"/>
        <v>5.8700000000000002E-3</v>
      </c>
      <c r="W11" s="47">
        <f t="shared" si="9"/>
        <v>9.6253267635387038E-2</v>
      </c>
      <c r="X11" s="47">
        <f t="shared" si="10"/>
        <v>9.5793252749773863E-2</v>
      </c>
      <c r="Y11" s="47">
        <f t="shared" si="11"/>
        <v>9.4145488901216448E-2</v>
      </c>
      <c r="AA11" s="45" t="s">
        <v>1934</v>
      </c>
      <c r="AB11" s="47">
        <f>STDEV($W$9:$W$822)</f>
        <v>0.12206054935370036</v>
      </c>
      <c r="AC11" s="47">
        <f>STDEV($X$9:$X$822)</f>
        <v>0.12128491123469751</v>
      </c>
      <c r="AD11" s="47">
        <f>STDEV($Y$9:$Y$822)</f>
        <v>0.12126170325596818</v>
      </c>
      <c r="AE11" s="47">
        <f>Volcanic!N20</f>
        <v>0.1220848768623428</v>
      </c>
      <c r="AJ11" s="45">
        <v>1968</v>
      </c>
      <c r="AK11" s="47">
        <f>Forcing!B11</f>
        <v>-8.2500000000000018E-2</v>
      </c>
      <c r="AL11" s="41">
        <v>1361.7909999999999</v>
      </c>
      <c r="AM11" s="47">
        <f>Forcing!C11</f>
        <v>0.20630941394392599</v>
      </c>
      <c r="AN11" s="43">
        <f>Solar!I11</f>
        <v>1361.3041666666668</v>
      </c>
      <c r="AP11" s="48">
        <v>-6.6E-3</v>
      </c>
      <c r="AQ11" s="48">
        <v>6.9699999999999998E-2</v>
      </c>
      <c r="AR11" s="47">
        <f>IF(AP11="","",AP11-($AC$60+$AC$61*Volcanic!C11+$AC$62*Volcanic!D11+$AC$63*Volcanic!E11))</f>
        <v>8.9851307493705818E-2</v>
      </c>
      <c r="AS11" s="47">
        <f>IF(AQ11="","",AQ11-($AD$60+$AD$61*Volcanic!C11+$AD$62*Volcanic!D11+$AD$63*Volcanic!E11))</f>
        <v>0.16257828178855005</v>
      </c>
      <c r="AU11" s="47">
        <f>AVERAGEIFS($AP$2:$AP$823,Volcanic!$L$2:$L$823,"&gt;="&amp;AJ11,Volcanic!$L$2:$L$823,"&lt;"&amp;(AJ11+1))</f>
        <v>-8.8650000000000007E-2</v>
      </c>
      <c r="AV11" s="47">
        <f>AVERAGEIFS($AQ$2:$AQ$823,Volcanic!$L$2:$L$823,"&gt;="&amp;AJ11,Volcanic!$L$2:$L$823,"&lt;"&amp;(AJ11+1))</f>
        <v>-0.10246666666666666</v>
      </c>
    </row>
    <row r="12" spans="1:48">
      <c r="A12" s="45" t="str">
        <f>Volcanic!A12</f>
        <v>1/1959</v>
      </c>
      <c r="B12" s="43">
        <f>Volcanic!B12</f>
        <v>8.0000000000000071E-2</v>
      </c>
      <c r="C12" s="47">
        <f>Volcanic!C12</f>
        <v>0.17257894974287927</v>
      </c>
      <c r="D12" s="41">
        <v>0.6</v>
      </c>
      <c r="E12" s="43">
        <f t="shared" si="12"/>
        <v>0.3</v>
      </c>
      <c r="F12" s="48">
        <v>4.6600000000000001E-3</v>
      </c>
      <c r="G12" s="47">
        <f t="shared" si="13"/>
        <v>5.7000000000000002E-3</v>
      </c>
      <c r="H12" s="43">
        <f>Volcanic!D12</f>
        <v>0.3</v>
      </c>
      <c r="I12" s="47">
        <f>Volcanic!E12</f>
        <v>5.7000000000000002E-3</v>
      </c>
      <c r="K12" s="47">
        <f t="shared" si="0"/>
        <v>0.17257894974287927</v>
      </c>
      <c r="L12" s="47">
        <f t="shared" si="1"/>
        <v>0.3</v>
      </c>
      <c r="M12" s="47">
        <f t="shared" si="2"/>
        <v>5.7000000000000002E-3</v>
      </c>
      <c r="O12" s="47">
        <f t="shared" si="3"/>
        <v>0.17257894974287927</v>
      </c>
      <c r="P12" s="47">
        <f t="shared" si="4"/>
        <v>0.3</v>
      </c>
      <c r="Q12" s="47">
        <f t="shared" si="5"/>
        <v>5.7000000000000002E-3</v>
      </c>
      <c r="S12" s="47">
        <f t="shared" si="6"/>
        <v>0.17257894974287927</v>
      </c>
      <c r="T12" s="47">
        <f t="shared" si="7"/>
        <v>0.3</v>
      </c>
      <c r="U12" s="47">
        <f t="shared" si="8"/>
        <v>5.7000000000000002E-3</v>
      </c>
      <c r="W12" s="47">
        <f t="shared" si="9"/>
        <v>0.1545169899776106</v>
      </c>
      <c r="X12" s="47">
        <f t="shared" si="10"/>
        <v>0.15220688613661398</v>
      </c>
      <c r="Y12" s="47">
        <f t="shared" si="11"/>
        <v>0.15243858317297254</v>
      </c>
      <c r="AA12" s="45" t="s">
        <v>2029</v>
      </c>
      <c r="AB12" s="43">
        <f>AVERAGEIFS($W$2:$W$823,Volcanic!$L$2:$L$823,"&gt;=2023",Volcanic!$L$2:$L$823,"&lt;2026")</f>
        <v>0.15110947158644278</v>
      </c>
      <c r="AC12" s="43">
        <f>AVERAGEIFS($X$2:$X$823,Volcanic!$L$2:$L$823,"&gt;=2023",Volcanic!$L$2:$L$823,"&lt;2026")</f>
        <v>0.14715993597724281</v>
      </c>
      <c r="AD12" s="43">
        <f>AVERAGEIFS($Y$2:$Y$823,Volcanic!$L$2:$L$823,"&gt;=2023",Volcanic!$L$2:$L$823,"&lt;2026")</f>
        <v>0.14696127612598942</v>
      </c>
      <c r="AE12" s="43">
        <f>Volcanic!N39</f>
        <v>0.15129879294277743</v>
      </c>
      <c r="AJ12" s="45">
        <v>1969</v>
      </c>
      <c r="AK12" s="47">
        <f>Forcing!B12</f>
        <v>5.2500000000000213E-2</v>
      </c>
      <c r="AL12" s="41">
        <v>1361.8579999999999</v>
      </c>
      <c r="AM12" s="47">
        <f>Forcing!C12</f>
        <v>0.21330789689493801</v>
      </c>
      <c r="AN12" s="43">
        <f>Solar!I12</f>
        <v>1361.3766666666668</v>
      </c>
      <c r="AP12" s="48">
        <v>9.06E-2</v>
      </c>
      <c r="AQ12" s="48">
        <v>9.4700000000000006E-2</v>
      </c>
      <c r="AR12" s="47">
        <f>IF(AP12="","",AP12-($AC$60+$AC$61*Volcanic!C12+$AC$62*Volcanic!D12+$AC$63*Volcanic!E12))</f>
        <v>0.17339326853483078</v>
      </c>
      <c r="AS12" s="47">
        <f>IF(AQ12="","",AQ12-($AD$60+$AD$61*Volcanic!C12+$AD$62*Volcanic!D12+$AD$63*Volcanic!E12))</f>
        <v>0.17360873627725726</v>
      </c>
      <c r="AU12" s="47">
        <f>AVERAGEIFS($AP$2:$AP$823,Volcanic!$L$2:$L$823,"&gt;="&amp;AJ12,Volcanic!$L$2:$L$823,"&lt;"&amp;(AJ12+1))</f>
        <v>4.7533333333333337E-2</v>
      </c>
      <c r="AV12" s="47">
        <f>AVERAGEIFS($AQ$2:$AQ$823,Volcanic!$L$2:$L$823,"&gt;="&amp;AJ12,Volcanic!$L$2:$L$823,"&lt;"&amp;(AJ12+1))</f>
        <v>4.4533333333333334E-2</v>
      </c>
    </row>
    <row r="13" spans="1:48">
      <c r="A13" s="45" t="str">
        <f>Volcanic!A13</f>
        <v>2/1959</v>
      </c>
      <c r="B13" s="43">
        <f>Volcanic!B13</f>
        <v>7.0000000000000284E-2</v>
      </c>
      <c r="C13" s="47">
        <f>Volcanic!C13</f>
        <v>0.17673308898155007</v>
      </c>
      <c r="D13" s="41">
        <v>0.6</v>
      </c>
      <c r="E13" s="43">
        <f t="shared" si="12"/>
        <v>0.4</v>
      </c>
      <c r="F13" s="48">
        <v>4.4400000000000004E-3</v>
      </c>
      <c r="G13" s="47">
        <f t="shared" si="13"/>
        <v>5.5599999999999998E-3</v>
      </c>
      <c r="H13" s="43">
        <f>Volcanic!D13</f>
        <v>0.36</v>
      </c>
      <c r="I13" s="47">
        <f>Volcanic!E13</f>
        <v>5.5599999999999998E-3</v>
      </c>
      <c r="K13" s="47">
        <f t="shared" si="0"/>
        <v>0.17673308898155007</v>
      </c>
      <c r="L13" s="47">
        <f t="shared" si="1"/>
        <v>0.4</v>
      </c>
      <c r="M13" s="47">
        <f t="shared" si="2"/>
        <v>5.5599999999999998E-3</v>
      </c>
      <c r="O13" s="47">
        <f t="shared" si="3"/>
        <v>0.17673308898155007</v>
      </c>
      <c r="P13" s="47">
        <f t="shared" si="4"/>
        <v>0.36</v>
      </c>
      <c r="Q13" s="47">
        <f t="shared" si="5"/>
        <v>5.5599999999999998E-3</v>
      </c>
      <c r="S13" s="47">
        <f t="shared" si="6"/>
        <v>0.17673308898155007</v>
      </c>
      <c r="T13" s="47">
        <f t="shared" si="7"/>
        <v>0.4</v>
      </c>
      <c r="U13" s="47">
        <f t="shared" si="8"/>
        <v>5.5599999999999998E-3</v>
      </c>
      <c r="W13" s="47">
        <f t="shared" si="9"/>
        <v>0.1235922017775285</v>
      </c>
      <c r="X13" s="47">
        <f t="shared" si="10"/>
        <v>0.12497388714720703</v>
      </c>
      <c r="Y13" s="47">
        <f t="shared" si="11"/>
        <v>0.12144146900135368</v>
      </c>
      <c r="AA13" s="45" t="s">
        <v>2238</v>
      </c>
      <c r="AB13" s="43">
        <f>AB9*MAX($I$400:$I$419)</f>
        <v>-0.24496587729817892</v>
      </c>
      <c r="AC13" s="43">
        <f>AC9*MAX($G$400:$G$419)</f>
        <v>-0.28181145557679282</v>
      </c>
      <c r="AD13" s="43">
        <f>AD9*MAX($G$400:$G$419)</f>
        <v>-0.28214391322163984</v>
      </c>
      <c r="AE13" s="43">
        <f>Volcanic!N35</f>
        <v>-0.25189632576852394</v>
      </c>
      <c r="AJ13" s="45">
        <v>1970</v>
      </c>
      <c r="AK13" s="47">
        <f>Forcing!B13</f>
        <v>2.7500000000000746E-2</v>
      </c>
      <c r="AL13" s="41">
        <v>1361.85</v>
      </c>
      <c r="AM13" s="47">
        <f>Forcing!C13</f>
        <v>0.21801538220265768</v>
      </c>
      <c r="AN13" s="43">
        <f>Solar!I13</f>
        <v>1361.3741666666665</v>
      </c>
      <c r="AP13" s="48">
        <v>6.7900000000000002E-2</v>
      </c>
      <c r="AQ13" s="48">
        <v>2.47E-2</v>
      </c>
      <c r="AR13" s="47">
        <f>IF(AP13="","",AP13-($AC$60+$AC$61*Volcanic!C13+$AC$62*Volcanic!D13+$AC$63*Volcanic!E13))</f>
        <v>0.13339436819213979</v>
      </c>
      <c r="AS13" s="47">
        <f>IF(AQ13="","",AQ13-($AD$60+$AD$61*Volcanic!C13+$AD$62*Volcanic!D13+$AD$63*Volcanic!E13))</f>
        <v>8.5918928036357631E-2</v>
      </c>
      <c r="AU13" s="47">
        <f>AVERAGEIFS($AP$2:$AP$823,Volcanic!$L$2:$L$823,"&gt;="&amp;AJ13,Volcanic!$L$2:$L$823,"&lt;"&amp;(AJ13+1))</f>
        <v>-8.691666666666667E-3</v>
      </c>
      <c r="AV13" s="47">
        <f>AVERAGEIFS($AQ$2:$AQ$823,Volcanic!$L$2:$L$823,"&gt;="&amp;AJ13,Volcanic!$L$2:$L$823,"&lt;"&amp;(AJ13+1))</f>
        <v>-2.0499999999999997E-3</v>
      </c>
    </row>
    <row r="14" spans="1:48">
      <c r="A14" s="45" t="str">
        <f>Volcanic!A14</f>
        <v>3/1959</v>
      </c>
      <c r="B14" s="43">
        <f>Volcanic!B14</f>
        <v>0.17999999999999972</v>
      </c>
      <c r="C14" s="47">
        <f>Volcanic!C14</f>
        <v>0.17746225223598333</v>
      </c>
      <c r="D14" s="41">
        <v>0.5</v>
      </c>
      <c r="E14" s="43">
        <f t="shared" si="12"/>
        <v>0.6</v>
      </c>
      <c r="F14" s="48">
        <v>4.3E-3</v>
      </c>
      <c r="G14" s="47">
        <f t="shared" si="13"/>
        <v>5.47E-3</v>
      </c>
      <c r="H14" s="43">
        <f>Volcanic!D14</f>
        <v>0.56000000000000005</v>
      </c>
      <c r="I14" s="47">
        <f>Volcanic!E14</f>
        <v>5.47E-3</v>
      </c>
      <c r="K14" s="47">
        <f t="shared" si="0"/>
        <v>0.17746225223598333</v>
      </c>
      <c r="L14" s="47">
        <f t="shared" si="1"/>
        <v>0.6</v>
      </c>
      <c r="M14" s="47">
        <f t="shared" si="2"/>
        <v>5.47E-3</v>
      </c>
      <c r="O14" s="47">
        <f t="shared" si="3"/>
        <v>0.17746225223598333</v>
      </c>
      <c r="P14" s="47">
        <f t="shared" si="4"/>
        <v>0.56000000000000005</v>
      </c>
      <c r="Q14" s="47">
        <f t="shared" si="5"/>
        <v>5.47E-3</v>
      </c>
      <c r="S14" s="47">
        <f t="shared" si="6"/>
        <v>0.17746225223598333</v>
      </c>
      <c r="T14" s="47">
        <f t="shared" si="7"/>
        <v>0.6</v>
      </c>
      <c r="U14" s="47">
        <f t="shared" si="8"/>
        <v>5.47E-3</v>
      </c>
      <c r="W14" s="47">
        <f t="shared" si="9"/>
        <v>0.21283068358997698</v>
      </c>
      <c r="X14" s="47">
        <f t="shared" si="10"/>
        <v>0.21398015239025489</v>
      </c>
      <c r="Y14" s="47">
        <f t="shared" si="11"/>
        <v>0.21043268982194449</v>
      </c>
      <c r="AJ14" s="45">
        <v>1971</v>
      </c>
      <c r="AK14" s="47">
        <f>Forcing!B14</f>
        <v>-7.9166666666666455E-2</v>
      </c>
      <c r="AL14" s="41">
        <v>1361.559</v>
      </c>
      <c r="AM14" s="47">
        <f>Forcing!C14</f>
        <v>0.22084048798225211</v>
      </c>
      <c r="AN14" s="43">
        <f>Solar!I14</f>
        <v>1361.04</v>
      </c>
      <c r="AP14" s="48">
        <v>9.35E-2</v>
      </c>
      <c r="AQ14" s="48">
        <v>0.1237</v>
      </c>
      <c r="AR14" s="47">
        <f>IF(AP14="","",AP14-($AC$60+$AC$61*Volcanic!C14+$AC$62*Volcanic!D14+$AC$63*Volcanic!E14))</f>
        <v>0.13805773084095799</v>
      </c>
      <c r="AS14" s="47">
        <f>IF(AQ14="","",AQ14-($AD$60+$AD$61*Volcanic!C14+$AD$62*Volcanic!D14+$AD$63*Volcanic!E14))</f>
        <v>0.16355762188673079</v>
      </c>
      <c r="AU14" s="47">
        <f>AVERAGEIFS($AP$2:$AP$823,Volcanic!$L$2:$L$823,"&gt;="&amp;AJ14,Volcanic!$L$2:$L$823,"&lt;"&amp;(AJ14+1))</f>
        <v>-0.12875833333333334</v>
      </c>
      <c r="AV14" s="47">
        <f>AVERAGEIFS($AQ$2:$AQ$823,Volcanic!$L$2:$L$823,"&gt;="&amp;AJ14,Volcanic!$L$2:$L$823,"&lt;"&amp;(AJ14+1))</f>
        <v>-0.11938333333333334</v>
      </c>
    </row>
    <row r="15" spans="1:48">
      <c r="A15" s="45" t="str">
        <f>Volcanic!A15</f>
        <v>4/1959</v>
      </c>
      <c r="B15" s="43">
        <f>Volcanic!B15</f>
        <v>0.16000000000000014</v>
      </c>
      <c r="C15" s="47">
        <f>Volcanic!C15</f>
        <v>0.18232908124013067</v>
      </c>
      <c r="D15" s="41">
        <v>0.4</v>
      </c>
      <c r="E15" s="43">
        <f t="shared" si="12"/>
        <v>0.6</v>
      </c>
      <c r="F15" s="48">
        <v>4.2599999999999999E-3</v>
      </c>
      <c r="G15" s="47">
        <f t="shared" si="13"/>
        <v>5.3600000000000002E-3</v>
      </c>
      <c r="H15" s="43">
        <f>Volcanic!D15</f>
        <v>0.6</v>
      </c>
      <c r="I15" s="47">
        <f>Volcanic!E15</f>
        <v>5.3600000000000002E-3</v>
      </c>
      <c r="K15" s="47">
        <f t="shared" si="0"/>
        <v>0.18232908124013067</v>
      </c>
      <c r="L15" s="47">
        <f t="shared" si="1"/>
        <v>0.6</v>
      </c>
      <c r="M15" s="47">
        <f t="shared" si="2"/>
        <v>5.3600000000000002E-3</v>
      </c>
      <c r="O15" s="47">
        <f t="shared" si="3"/>
        <v>0.18232908124013067</v>
      </c>
      <c r="P15" s="47">
        <f t="shared" si="4"/>
        <v>0.6</v>
      </c>
      <c r="Q15" s="47">
        <f t="shared" si="5"/>
        <v>5.3600000000000002E-3</v>
      </c>
      <c r="S15" s="47">
        <f t="shared" si="6"/>
        <v>0.18232908124013067</v>
      </c>
      <c r="T15" s="47">
        <f t="shared" si="7"/>
        <v>0.6</v>
      </c>
      <c r="U15" s="47">
        <f t="shared" si="8"/>
        <v>5.3600000000000002E-3</v>
      </c>
      <c r="W15" s="47">
        <f t="shared" si="9"/>
        <v>0.17931572030750775</v>
      </c>
      <c r="X15" s="47">
        <f t="shared" si="10"/>
        <v>0.17677744672531728</v>
      </c>
      <c r="Y15" s="47">
        <f t="shared" si="11"/>
        <v>0.17698856577536065</v>
      </c>
      <c r="AA15" s="40" t="s">
        <v>2239</v>
      </c>
      <c r="AJ15" s="45">
        <v>1972</v>
      </c>
      <c r="AK15" s="47">
        <f>Forcing!B15</f>
        <v>9.1666666666673589E-3</v>
      </c>
      <c r="AL15" s="41">
        <v>1361.6410000000001</v>
      </c>
      <c r="AM15" s="47">
        <f>Forcing!C15</f>
        <v>0.22586052597671843</v>
      </c>
      <c r="AN15" s="43">
        <f>Solar!I15</f>
        <v>1361.1008333333336</v>
      </c>
      <c r="AP15" s="48">
        <v>0.10390000000000001</v>
      </c>
      <c r="AQ15" s="48">
        <v>0.1787</v>
      </c>
      <c r="AR15" s="47">
        <f>IF(AP15="","",AP15-($AC$60+$AC$61*Volcanic!C15+$AC$62*Volcanic!D15+$AC$63*Volcanic!E15))</f>
        <v>0.1311578420883418</v>
      </c>
      <c r="AS15" s="47">
        <f>IF(AQ15="","",AQ15-($AD$60+$AD$61*Volcanic!C15+$AD$62*Volcanic!D15+$AD$63*Volcanic!E15))</f>
        <v>0.20085164330494393</v>
      </c>
      <c r="AU15" s="47">
        <f>AVERAGEIFS($AP$2:$AP$823,Volcanic!$L$2:$L$823,"&gt;="&amp;AJ15,Volcanic!$L$2:$L$823,"&lt;"&amp;(AJ15+1))</f>
        <v>-1.4850000000000002E-2</v>
      </c>
      <c r="AV15" s="47">
        <f>AVERAGEIFS($AQ$2:$AQ$823,Volcanic!$L$2:$L$823,"&gt;="&amp;AJ15,Volcanic!$L$2:$L$823,"&lt;"&amp;(AJ15+1))</f>
        <v>-1.0216666666666666E-2</v>
      </c>
    </row>
    <row r="16" spans="1:48">
      <c r="A16" s="45" t="str">
        <f>Volcanic!A16</f>
        <v>5/1959</v>
      </c>
      <c r="B16" s="43">
        <f>Volcanic!B16</f>
        <v>3.9999999999999147E-2</v>
      </c>
      <c r="C16" s="47">
        <f>Volcanic!C16</f>
        <v>0.18491500408245293</v>
      </c>
      <c r="D16" s="41">
        <v>0.2</v>
      </c>
      <c r="E16" s="43">
        <f t="shared" si="12"/>
        <v>0.6</v>
      </c>
      <c r="F16" s="48">
        <v>4.2500000000000003E-3</v>
      </c>
      <c r="G16" s="47">
        <f t="shared" si="13"/>
        <v>5.2900000000000004E-3</v>
      </c>
      <c r="H16" s="43">
        <f>Volcanic!D16</f>
        <v>0.64</v>
      </c>
      <c r="I16" s="47">
        <f>Volcanic!E16</f>
        <v>5.2900000000000004E-3</v>
      </c>
      <c r="K16" s="47">
        <f t="shared" si="0"/>
        <v>0.18491500408245293</v>
      </c>
      <c r="L16" s="47">
        <f t="shared" si="1"/>
        <v>0.6</v>
      </c>
      <c r="M16" s="47">
        <f t="shared" si="2"/>
        <v>5.2900000000000004E-3</v>
      </c>
      <c r="O16" s="47">
        <f t="shared" si="3"/>
        <v>0.18491500408245293</v>
      </c>
      <c r="P16" s="47">
        <f t="shared" si="4"/>
        <v>0.64</v>
      </c>
      <c r="Q16" s="47">
        <f t="shared" si="5"/>
        <v>5.2900000000000004E-3</v>
      </c>
      <c r="S16" s="47">
        <f t="shared" si="6"/>
        <v>0.18491500408245293</v>
      </c>
      <c r="T16" s="47">
        <f t="shared" si="7"/>
        <v>0.6</v>
      </c>
      <c r="U16" s="47">
        <f t="shared" si="8"/>
        <v>5.2900000000000004E-3</v>
      </c>
      <c r="W16" s="47">
        <f t="shared" si="9"/>
        <v>5.2109272582671902E-2</v>
      </c>
      <c r="X16" s="47">
        <f t="shared" si="10"/>
        <v>4.5845860622374363E-2</v>
      </c>
      <c r="Y16" s="47">
        <f t="shared" si="11"/>
        <v>4.9814994091603899E-2</v>
      </c>
      <c r="AA16" s="45" t="s">
        <v>2240</v>
      </c>
      <c r="AB16" s="47">
        <f>CORREL(Volcanic!$D$9:$D$823,$E$9:$E$823)</f>
        <v>0.99932129294680927</v>
      </c>
      <c r="AJ16" s="45">
        <v>1973</v>
      </c>
      <c r="AK16" s="47">
        <f>Forcing!B16</f>
        <v>0.16083333333333302</v>
      </c>
      <c r="AL16" s="41">
        <v>1361.415</v>
      </c>
      <c r="AM16" s="47">
        <f>Forcing!C16</f>
        <v>0.23562787907160213</v>
      </c>
      <c r="AN16" s="43">
        <f>Solar!I16</f>
        <v>1360.865</v>
      </c>
      <c r="AP16" s="48">
        <v>3.6499999999999998E-2</v>
      </c>
      <c r="AQ16" s="48">
        <v>8.5699999999999998E-2</v>
      </c>
      <c r="AR16" s="47">
        <f>IF(AP16="","",AP16-($AC$60+$AC$61*Volcanic!C16+$AC$62*Volcanic!D16+$AC$63*Volcanic!E16))</f>
        <v>5.2782462175335693E-2</v>
      </c>
      <c r="AS16" s="47">
        <f>IF(AQ16="","",AQ16-($AD$60+$AD$61*Volcanic!C16+$AD$62*Volcanic!D16+$AD$63*Volcanic!E16))</f>
        <v>9.6625852563962764E-2</v>
      </c>
      <c r="AU16" s="47">
        <f>AVERAGEIFS($AP$2:$AP$823,Volcanic!$L$2:$L$823,"&gt;="&amp;AJ16,Volcanic!$L$2:$L$823,"&lt;"&amp;(AJ16+1))</f>
        <v>0.12780833333333336</v>
      </c>
      <c r="AV16" s="47">
        <f>AVERAGEIFS($AQ$2:$AQ$823,Volcanic!$L$2:$L$823,"&gt;="&amp;AJ16,Volcanic!$L$2:$L$823,"&lt;"&amp;(AJ16+1))</f>
        <v>0.12470000000000002</v>
      </c>
    </row>
    <row r="17" spans="1:48">
      <c r="A17" s="45" t="str">
        <f>Volcanic!A17</f>
        <v>6/1959</v>
      </c>
      <c r="B17" s="43">
        <f>Volcanic!B17</f>
        <v>2.9999999999997584E-2</v>
      </c>
      <c r="C17" s="47">
        <f>Volcanic!C17</f>
        <v>0.1842802944193824</v>
      </c>
      <c r="D17" s="41">
        <v>0</v>
      </c>
      <c r="E17" s="43">
        <f t="shared" si="12"/>
        <v>0.5</v>
      </c>
      <c r="F17" s="48">
        <v>4.2700000000000004E-3</v>
      </c>
      <c r="G17" s="47">
        <f t="shared" si="13"/>
        <v>5.0800000000000003E-3</v>
      </c>
      <c r="H17" s="43">
        <f>Volcanic!D17</f>
        <v>0.48</v>
      </c>
      <c r="I17" s="47">
        <f>Volcanic!E17</f>
        <v>5.0800000000000003E-3</v>
      </c>
      <c r="K17" s="47">
        <f t="shared" si="0"/>
        <v>0.1842802944193824</v>
      </c>
      <c r="L17" s="47">
        <f t="shared" si="1"/>
        <v>0.5</v>
      </c>
      <c r="M17" s="47">
        <f t="shared" si="2"/>
        <v>5.0800000000000003E-3</v>
      </c>
      <c r="O17" s="47">
        <f t="shared" si="3"/>
        <v>0.1842802944193824</v>
      </c>
      <c r="P17" s="47">
        <f t="shared" si="4"/>
        <v>0.48</v>
      </c>
      <c r="Q17" s="47">
        <f t="shared" si="5"/>
        <v>5.0800000000000003E-3</v>
      </c>
      <c r="S17" s="47">
        <f t="shared" si="6"/>
        <v>0.1842802944193824</v>
      </c>
      <c r="T17" s="47">
        <f t="shared" si="7"/>
        <v>0.5</v>
      </c>
      <c r="U17" s="47">
        <f t="shared" si="8"/>
        <v>5.0800000000000003E-3</v>
      </c>
      <c r="W17" s="47">
        <f t="shared" si="9"/>
        <v>5.2664812623442948E-2</v>
      </c>
      <c r="X17" s="47">
        <f t="shared" si="10"/>
        <v>5.2042959633436678E-2</v>
      </c>
      <c r="Y17" s="47">
        <f t="shared" si="11"/>
        <v>5.0382576521825879E-2</v>
      </c>
      <c r="AA17" s="45" t="s">
        <v>2241</v>
      </c>
      <c r="AB17" s="47">
        <f>CORREL($F$252:$F$815,Volcanic!$G$252:$G$815)</f>
        <v>0.98872347480494804</v>
      </c>
      <c r="AJ17" s="45">
        <v>1974</v>
      </c>
      <c r="AK17" s="47">
        <f>Forcing!B17</f>
        <v>-7.1666666666667364E-2</v>
      </c>
      <c r="AL17" s="41">
        <v>1361.3389999999999</v>
      </c>
      <c r="AM17" s="47">
        <f>Forcing!C17</f>
        <v>0.23785981722471297</v>
      </c>
      <c r="AN17" s="43">
        <f>Solar!I17</f>
        <v>1360.7716666666668</v>
      </c>
      <c r="AP17" s="48">
        <v>7.4499999999999997E-2</v>
      </c>
      <c r="AQ17" s="48">
        <v>7.17E-2</v>
      </c>
      <c r="AR17" s="47">
        <f>IF(AP17="","",AP17-($AC$60+$AC$61*Volcanic!C17+$AC$62*Volcanic!D17+$AC$63*Volcanic!E17))</f>
        <v>0.10699351965251655</v>
      </c>
      <c r="AS17" s="47">
        <f>IF(AQ17="","",AQ17-($AD$60+$AD$61*Volcanic!C17+$AD$62*Volcanic!D17+$AD$63*Volcanic!E17))</f>
        <v>9.9212924359184357E-2</v>
      </c>
      <c r="AU17" s="47">
        <f>AVERAGEIFS($AP$2:$AP$823,Volcanic!$L$2:$L$823,"&gt;="&amp;AJ17,Volcanic!$L$2:$L$823,"&lt;"&amp;(AJ17+1))</f>
        <v>-9.3358333333333321E-2</v>
      </c>
      <c r="AV17" s="47">
        <f>AVERAGEIFS($AQ$2:$AQ$823,Volcanic!$L$2:$L$823,"&gt;="&amp;AJ17,Volcanic!$L$2:$L$823,"&lt;"&amp;(AJ17+1))</f>
        <v>-8.0383333333333348E-2</v>
      </c>
    </row>
    <row r="18" spans="1:48">
      <c r="A18" s="45" t="str">
        <f>Volcanic!A18</f>
        <v>7/1959</v>
      </c>
      <c r="B18" s="43">
        <f>Volcanic!B18</f>
        <v>2.9999999999997584E-2</v>
      </c>
      <c r="C18" s="47">
        <f>Volcanic!C18</f>
        <v>0.17696099208944205</v>
      </c>
      <c r="D18" s="41">
        <v>-0.2</v>
      </c>
      <c r="E18" s="43">
        <f t="shared" si="12"/>
        <v>0.4</v>
      </c>
      <c r="F18" s="48">
        <v>4.3099999999999996E-3</v>
      </c>
      <c r="G18" s="47">
        <f t="shared" si="13"/>
        <v>4.8500000000000001E-3</v>
      </c>
      <c r="H18" s="43">
        <f>Volcanic!D18</f>
        <v>0.39</v>
      </c>
      <c r="I18" s="47">
        <f>Volcanic!E18</f>
        <v>4.8500000000000001E-3</v>
      </c>
      <c r="K18" s="47">
        <f t="shared" si="0"/>
        <v>0.17696099208944205</v>
      </c>
      <c r="L18" s="47">
        <f t="shared" si="1"/>
        <v>0.4</v>
      </c>
      <c r="M18" s="47">
        <f t="shared" si="2"/>
        <v>4.8500000000000001E-3</v>
      </c>
      <c r="O18" s="47">
        <f t="shared" si="3"/>
        <v>0.17696099208944205</v>
      </c>
      <c r="P18" s="47">
        <f t="shared" si="4"/>
        <v>0.39</v>
      </c>
      <c r="Q18" s="47">
        <f t="shared" si="5"/>
        <v>4.8500000000000001E-3</v>
      </c>
      <c r="S18" s="47">
        <f t="shared" si="6"/>
        <v>0.17696099208944205</v>
      </c>
      <c r="T18" s="47">
        <f t="shared" si="7"/>
        <v>0.4</v>
      </c>
      <c r="U18" s="47">
        <f t="shared" si="8"/>
        <v>4.8500000000000001E-3</v>
      </c>
      <c r="W18" s="47">
        <f t="shared" si="9"/>
        <v>8.1406172915747269E-2</v>
      </c>
      <c r="X18" s="47">
        <f t="shared" si="10"/>
        <v>7.9684593545358923E-2</v>
      </c>
      <c r="Y18" s="47">
        <f t="shared" si="11"/>
        <v>7.8968141468217526E-2</v>
      </c>
      <c r="AA18" s="45" t="s">
        <v>2242</v>
      </c>
      <c r="AB18" s="47">
        <f>AVERAGE($F$252:$F$815)</f>
        <v>1.0547039007092196E-2</v>
      </c>
      <c r="AC18" s="47">
        <f>AVERAGE(Volcanic!$G$252:$G$815)</f>
        <v>1.3619769503546091E-2</v>
      </c>
      <c r="AJ18" s="45">
        <v>1975</v>
      </c>
      <c r="AK18" s="47">
        <f>Forcing!B18</f>
        <v>-1.3333333333332309E-2</v>
      </c>
      <c r="AL18" s="41">
        <v>1361.278</v>
      </c>
      <c r="AM18" s="47">
        <f>Forcing!C18</f>
        <v>0.24193918054612207</v>
      </c>
      <c r="AN18" s="43">
        <f>Solar!I18</f>
        <v>1360.7150000000001</v>
      </c>
      <c r="AP18" s="48">
        <v>3.5299999999999998E-2</v>
      </c>
      <c r="AQ18" s="48">
        <v>6.7000000000000002E-3</v>
      </c>
      <c r="AR18" s="47">
        <f>IF(AP18="","",AP18-($AC$60+$AC$61*Volcanic!C18+$AC$62*Volcanic!D18+$AC$63*Volcanic!E18))</f>
        <v>9.5654298884428959E-2</v>
      </c>
      <c r="AS18" s="47">
        <f>IF(AQ18="","",AQ18-($AD$60+$AD$61*Volcanic!C18+$AD$62*Volcanic!D18+$AD$63*Volcanic!E18))</f>
        <v>6.2787513279916121E-2</v>
      </c>
      <c r="AU18" s="47">
        <f>AVERAGEIFS($AP$2:$AP$823,Volcanic!$L$2:$L$823,"&gt;="&amp;AJ18,Volcanic!$L$2:$L$823,"&lt;"&amp;(AJ18+1))</f>
        <v>-3.0674999999999997E-2</v>
      </c>
      <c r="AV18" s="47">
        <f>AVERAGEIFS($AQ$2:$AQ$823,Volcanic!$L$2:$L$823,"&gt;="&amp;AJ18,Volcanic!$L$2:$L$823,"&lt;"&amp;(AJ18+1))</f>
        <v>-1.3633333333333336E-2</v>
      </c>
    </row>
    <row r="19" spans="1:48">
      <c r="A19" s="45" t="str">
        <f>Volcanic!A19</f>
        <v>8/1959</v>
      </c>
      <c r="B19" s="43">
        <f>Volcanic!B19</f>
        <v>-9.9999999999980105E-3</v>
      </c>
      <c r="C19" s="47">
        <f>Volcanic!C19</f>
        <v>0.16900871367515766</v>
      </c>
      <c r="D19" s="41">
        <v>-0.2</v>
      </c>
      <c r="E19" s="43">
        <f t="shared" si="12"/>
        <v>0.2</v>
      </c>
      <c r="F19" s="48">
        <v>4.3699999999999998E-3</v>
      </c>
      <c r="G19" s="47">
        <f t="shared" si="13"/>
        <v>4.6600000000000001E-3</v>
      </c>
      <c r="H19" s="43">
        <f>Volcanic!D19</f>
        <v>0.24</v>
      </c>
      <c r="I19" s="47">
        <f>Volcanic!E19</f>
        <v>4.6600000000000001E-3</v>
      </c>
      <c r="K19" s="47">
        <f t="shared" si="0"/>
        <v>0.16900871367515766</v>
      </c>
      <c r="L19" s="47">
        <f t="shared" si="1"/>
        <v>0.2</v>
      </c>
      <c r="M19" s="47">
        <f t="shared" si="2"/>
        <v>4.6600000000000001E-3</v>
      </c>
      <c r="O19" s="47">
        <f t="shared" si="3"/>
        <v>0.16900871367515766</v>
      </c>
      <c r="P19" s="47">
        <f t="shared" si="4"/>
        <v>0.24</v>
      </c>
      <c r="Q19" s="47">
        <f t="shared" si="5"/>
        <v>4.6600000000000001E-3</v>
      </c>
      <c r="S19" s="47">
        <f t="shared" si="6"/>
        <v>0.16900871367515766</v>
      </c>
      <c r="T19" s="47">
        <f t="shared" si="7"/>
        <v>0.2</v>
      </c>
      <c r="U19" s="47">
        <f t="shared" si="8"/>
        <v>4.6600000000000001E-3</v>
      </c>
      <c r="W19" s="47">
        <f t="shared" si="9"/>
        <v>8.1249226775458233E-2</v>
      </c>
      <c r="X19" s="47">
        <f t="shared" si="10"/>
        <v>7.4778209278062974E-2</v>
      </c>
      <c r="Y19" s="47">
        <f t="shared" si="11"/>
        <v>7.8770561137389783E-2</v>
      </c>
      <c r="AA19" s="45" t="s">
        <v>2243</v>
      </c>
      <c r="AB19" s="47">
        <f>CORREL($AL$2:$AL$66,$AN$2:$AN$66)</f>
        <v>0.99416899589583319</v>
      </c>
      <c r="AC19" s="43">
        <f>AVERAGE($AL$2:$AL$66)-AVERAGE($AN$2:$AN$66)</f>
        <v>0.5576435897439751</v>
      </c>
      <c r="AJ19" s="45">
        <v>1976</v>
      </c>
      <c r="AK19" s="47">
        <f>Forcing!B19</f>
        <v>-9.7499999999999698E-2</v>
      </c>
      <c r="AL19" s="41">
        <v>1361.2560000000001</v>
      </c>
      <c r="AM19" s="47">
        <f>Forcing!C19</f>
        <v>0.24584257261243991</v>
      </c>
      <c r="AN19" s="43">
        <f>Solar!I19</f>
        <v>1360.6941666666667</v>
      </c>
      <c r="AP19" s="48">
        <v>3.6900000000000002E-2</v>
      </c>
      <c r="AQ19" s="48">
        <v>-1.9300000000000001E-2</v>
      </c>
      <c r="AR19" s="47">
        <f>IF(AP19="","",AP19-($AC$60+$AC$61*Volcanic!C19+$AC$62*Volcanic!D19+$AC$63*Volcanic!E19))</f>
        <v>0.1325584418194779</v>
      </c>
      <c r="AS19" s="47">
        <f>IF(AQ19="","",AQ19-($AD$60+$AD$61*Volcanic!C19+$AD$62*Volcanic!D19+$AD$63*Volcanic!E19))</f>
        <v>7.2960474389084415E-2</v>
      </c>
      <c r="AU19" s="47">
        <f>AVERAGEIFS($AP$2:$AP$823,Volcanic!$L$2:$L$823,"&gt;="&amp;AJ19,Volcanic!$L$2:$L$823,"&lt;"&amp;(AJ19+1))</f>
        <v>-0.13548333333333332</v>
      </c>
      <c r="AV19" s="47">
        <f>AVERAGEIFS($AQ$2:$AQ$823,Volcanic!$L$2:$L$823,"&gt;="&amp;AJ19,Volcanic!$L$2:$L$823,"&lt;"&amp;(AJ19+1))</f>
        <v>-0.10946666666666666</v>
      </c>
    </row>
    <row r="20" spans="1:48">
      <c r="A20" s="45" t="str">
        <f>Volcanic!A20</f>
        <v>9/1959</v>
      </c>
      <c r="B20" s="43">
        <f>Volcanic!B20</f>
        <v>-6.0000000000000497E-2</v>
      </c>
      <c r="C20" s="47">
        <f>Volcanic!C20</f>
        <v>0.16460241335740428</v>
      </c>
      <c r="D20" s="41">
        <v>0</v>
      </c>
      <c r="E20" s="43">
        <f t="shared" si="12"/>
        <v>0</v>
      </c>
      <c r="F20" s="48">
        <v>4.4099999999999999E-3</v>
      </c>
      <c r="G20" s="47">
        <f t="shared" si="13"/>
        <v>4.4400000000000004E-3</v>
      </c>
      <c r="H20" s="43">
        <f>Volcanic!D20</f>
        <v>0.02</v>
      </c>
      <c r="I20" s="47">
        <f>Volcanic!E20</f>
        <v>4.4400000000000004E-3</v>
      </c>
      <c r="K20" s="47">
        <f t="shared" si="0"/>
        <v>0.16460241335740428</v>
      </c>
      <c r="L20" s="47">
        <f t="shared" si="1"/>
        <v>0</v>
      </c>
      <c r="M20" s="47">
        <f t="shared" si="2"/>
        <v>4.4400000000000004E-3</v>
      </c>
      <c r="O20" s="47">
        <f t="shared" si="3"/>
        <v>0.16460241335740428</v>
      </c>
      <c r="P20" s="47">
        <f t="shared" si="4"/>
        <v>0.02</v>
      </c>
      <c r="Q20" s="47">
        <f t="shared" si="5"/>
        <v>4.4400000000000004E-3</v>
      </c>
      <c r="S20" s="47">
        <f t="shared" si="6"/>
        <v>0.16460241335740428</v>
      </c>
      <c r="T20" s="47">
        <f t="shared" si="7"/>
        <v>0</v>
      </c>
      <c r="U20" s="47">
        <f t="shared" si="8"/>
        <v>4.4400000000000004E-3</v>
      </c>
      <c r="W20" s="47">
        <f t="shared" si="9"/>
        <v>6.1355758670437549E-2</v>
      </c>
      <c r="X20" s="47">
        <f t="shared" si="10"/>
        <v>5.6782144214251901E-2</v>
      </c>
      <c r="Y20" s="47">
        <f t="shared" si="11"/>
        <v>5.8908748136597383E-2</v>
      </c>
      <c r="AJ20" s="45">
        <v>1977</v>
      </c>
      <c r="AK20" s="47">
        <f>Forcing!B20</f>
        <v>0.17833333333333354</v>
      </c>
      <c r="AL20" s="41">
        <v>1361.4290000000001</v>
      </c>
      <c r="AM20" s="47">
        <f>Forcing!C20</f>
        <v>0.25372586794152979</v>
      </c>
      <c r="AN20" s="43">
        <f>Solar!I20</f>
        <v>1360.8891666666666</v>
      </c>
      <c r="AP20" s="48">
        <v>-6.4600000000000005E-2</v>
      </c>
      <c r="AQ20" s="48">
        <v>-0.12529999999999999</v>
      </c>
      <c r="AR20" s="47">
        <f>IF(AP20="","",AP20-($AC$60+$AC$61*Volcanic!C20+$AC$62*Volcanic!D20+$AC$63*Volcanic!E20))</f>
        <v>6.3162879337030089E-2</v>
      </c>
      <c r="AS20" s="47">
        <f>IF(AQ20="","",AQ20-($AD$60+$AD$61*Volcanic!C20+$AD$62*Volcanic!D20+$AD$63*Volcanic!E20))</f>
        <v>-1.7767652621006325E-4</v>
      </c>
      <c r="AU20" s="47">
        <f>AVERAGEIFS($AP$2:$AP$823,Volcanic!$L$2:$L$823,"&gt;="&amp;AJ20,Volcanic!$L$2:$L$823,"&lt;"&amp;(AJ20+1))</f>
        <v>0.18040833333333328</v>
      </c>
      <c r="AV20" s="47">
        <f>AVERAGEIFS($AQ$2:$AQ$823,Volcanic!$L$2:$L$823,"&gt;="&amp;AJ20,Volcanic!$L$2:$L$823,"&lt;"&amp;(AJ20+1))</f>
        <v>0.22111666666666663</v>
      </c>
    </row>
    <row r="21" spans="1:48">
      <c r="A21" s="45" t="str">
        <f>Volcanic!A21</f>
        <v>10/1959</v>
      </c>
      <c r="B21" s="43">
        <f>Volcanic!B21</f>
        <v>-7.0000000000000284E-2</v>
      </c>
      <c r="C21" s="47">
        <f>Volcanic!C21</f>
        <v>0.16225608099765507</v>
      </c>
      <c r="D21" s="41">
        <v>0.1</v>
      </c>
      <c r="E21" s="43">
        <f t="shared" si="12"/>
        <v>-0.2</v>
      </c>
      <c r="F21" s="48">
        <v>4.45E-3</v>
      </c>
      <c r="G21" s="47">
        <f t="shared" si="13"/>
        <v>4.3E-3</v>
      </c>
      <c r="H21" s="43">
        <f>Volcanic!D21</f>
        <v>-0.19</v>
      </c>
      <c r="I21" s="47">
        <f>Volcanic!E21</f>
        <v>4.3E-3</v>
      </c>
      <c r="K21" s="47">
        <f t="shared" si="0"/>
        <v>0.16225608099765507</v>
      </c>
      <c r="L21" s="47">
        <f t="shared" si="1"/>
        <v>-0.2</v>
      </c>
      <c r="M21" s="47">
        <f t="shared" si="2"/>
        <v>4.3E-3</v>
      </c>
      <c r="O21" s="47">
        <f t="shared" si="3"/>
        <v>0.16225608099765507</v>
      </c>
      <c r="P21" s="47">
        <f t="shared" si="4"/>
        <v>-0.19</v>
      </c>
      <c r="Q21" s="47">
        <f t="shared" si="5"/>
        <v>4.3E-3</v>
      </c>
      <c r="S21" s="47">
        <f t="shared" si="6"/>
        <v>0.16225608099765507</v>
      </c>
      <c r="T21" s="47">
        <f t="shared" si="7"/>
        <v>-0.2</v>
      </c>
      <c r="U21" s="47">
        <f t="shared" si="8"/>
        <v>4.3E-3</v>
      </c>
      <c r="W21" s="47">
        <f t="shared" si="9"/>
        <v>7.6020729761226175E-2</v>
      </c>
      <c r="X21" s="47">
        <f t="shared" si="10"/>
        <v>7.2486451855046985E-2</v>
      </c>
      <c r="Y21" s="47">
        <f t="shared" si="11"/>
        <v>7.3687539870639668E-2</v>
      </c>
      <c r="AA21" s="40" t="s">
        <v>2244</v>
      </c>
      <c r="AB21" s="40" t="s">
        <v>2245</v>
      </c>
      <c r="AC21" s="40" t="s">
        <v>2246</v>
      </c>
      <c r="AD21" s="40" t="s">
        <v>2247</v>
      </c>
      <c r="AJ21" s="45">
        <v>1978</v>
      </c>
      <c r="AK21" s="47">
        <f>Forcing!B21</f>
        <v>6.6666666666666277E-2</v>
      </c>
      <c r="AL21" s="41">
        <v>1361.8119999999999</v>
      </c>
      <c r="AM21" s="47">
        <f>Forcing!C21</f>
        <v>0.26049697715420922</v>
      </c>
      <c r="AN21" s="43">
        <f>Solar!I21</f>
        <v>1361.2133333333331</v>
      </c>
      <c r="AP21" s="48">
        <v>5.0000000000000001E-3</v>
      </c>
      <c r="AQ21" s="48">
        <v>-3.1300000000000001E-2</v>
      </c>
      <c r="AR21" s="47">
        <f>IF(AP21="","",AP21-($AC$60+$AC$61*Volcanic!C21+$AC$62*Volcanic!D21+$AC$63*Volcanic!E21))</f>
        <v>0.15849839668453231</v>
      </c>
      <c r="AS21" s="47">
        <f>IF(AQ21="","",AQ21-($AD$60+$AD$61*Volcanic!C21+$AD$62*Volcanic!D21+$AD$63*Volcanic!E21))</f>
        <v>0.12014200834388924</v>
      </c>
      <c r="AU21" s="47">
        <f>AVERAGEIFS($AP$2:$AP$823,Volcanic!$L$2:$L$823,"&gt;="&amp;AJ21,Volcanic!$L$2:$L$823,"&lt;"&amp;(AJ21+1))</f>
        <v>8.0825000000000008E-2</v>
      </c>
      <c r="AV21" s="47">
        <f>AVERAGEIFS($AQ$2:$AQ$823,Volcanic!$L$2:$L$823,"&gt;="&amp;AJ21,Volcanic!$L$2:$L$823,"&lt;"&amp;(AJ21+1))</f>
        <v>9.5283333333333331E-2</v>
      </c>
    </row>
    <row r="22" spans="1:48">
      <c r="A22" s="45" t="str">
        <f>Volcanic!A22</f>
        <v>11/1959</v>
      </c>
      <c r="B22" s="43">
        <f>Volcanic!B22</f>
        <v>-8.0000000000001847E-2</v>
      </c>
      <c r="C22" s="47">
        <f>Volcanic!C22</f>
        <v>0.16905454188757499</v>
      </c>
      <c r="D22" s="41">
        <v>0.2</v>
      </c>
      <c r="E22" s="43">
        <f t="shared" si="12"/>
        <v>-0.2</v>
      </c>
      <c r="F22" s="48">
        <v>4.3499999999999997E-3</v>
      </c>
      <c r="G22" s="47">
        <f t="shared" si="13"/>
        <v>4.2599999999999999E-3</v>
      </c>
      <c r="H22" s="43">
        <f>Volcanic!D22</f>
        <v>-0.23</v>
      </c>
      <c r="I22" s="47">
        <f>Volcanic!E22</f>
        <v>4.2599999999999999E-3</v>
      </c>
      <c r="K22" s="47">
        <f t="shared" si="0"/>
        <v>0.16905454188757499</v>
      </c>
      <c r="L22" s="47">
        <f t="shared" si="1"/>
        <v>-0.2</v>
      </c>
      <c r="M22" s="47">
        <f t="shared" si="2"/>
        <v>4.2599999999999999E-3</v>
      </c>
      <c r="O22" s="47">
        <f t="shared" si="3"/>
        <v>0.16905454188757499</v>
      </c>
      <c r="P22" s="47">
        <f t="shared" si="4"/>
        <v>-0.23</v>
      </c>
      <c r="Q22" s="47">
        <f t="shared" si="5"/>
        <v>4.2599999999999999E-3</v>
      </c>
      <c r="S22" s="47">
        <f t="shared" si="6"/>
        <v>0.16905454188757499</v>
      </c>
      <c r="T22" s="47">
        <f t="shared" si="7"/>
        <v>-0.2</v>
      </c>
      <c r="U22" s="47">
        <f t="shared" si="8"/>
        <v>4.2599999999999999E-3</v>
      </c>
      <c r="W22" s="47">
        <f t="shared" si="9"/>
        <v>4.7392162217793021E-2</v>
      </c>
      <c r="X22" s="47">
        <f t="shared" si="10"/>
        <v>4.7759214595700122E-2</v>
      </c>
      <c r="Y22" s="47">
        <f t="shared" si="11"/>
        <v>4.5204790042899096E-2</v>
      </c>
      <c r="AA22" s="45" t="s">
        <v>1910</v>
      </c>
      <c r="AB22" s="43">
        <f>INDEX(LINEST($AK$2:$AK$66,$AL$2:$AM$66),1,1)</f>
        <v>2.6623416916697185</v>
      </c>
      <c r="AC22" s="43">
        <f>INDEX(LINEST($AK$2:$AK$68,$AL$2:$AM$68),1,1)</f>
        <v>2.7153363411516791</v>
      </c>
      <c r="AD22" s="43">
        <f>Solar!O17</f>
        <v>2.6623895906012924</v>
      </c>
      <c r="AJ22" s="45">
        <v>1979</v>
      </c>
      <c r="AK22" s="47">
        <f>Forcing!B22</f>
        <v>0.16416666666666671</v>
      </c>
      <c r="AL22" s="41">
        <v>1362.175</v>
      </c>
      <c r="AM22" s="47">
        <f>Forcing!C22</f>
        <v>0.26659553851729739</v>
      </c>
      <c r="AN22" s="43">
        <f>Solar!I22</f>
        <v>1361.6000000000001</v>
      </c>
      <c r="AP22" s="48">
        <v>-0.1077</v>
      </c>
      <c r="AQ22" s="48">
        <v>-0.15429999999999999</v>
      </c>
      <c r="AR22" s="47">
        <f>IF(AP22="","",AP22-($AC$60+$AC$61*Volcanic!C22+$AC$62*Volcanic!D22+$AC$63*Volcanic!E22))</f>
        <v>3.0884020385147662E-2</v>
      </c>
      <c r="AS22" s="47">
        <f>IF(AQ22="","",AQ22-($AD$60+$AD$61*Volcanic!C22+$AD$62*Volcanic!D22+$AD$63*Volcanic!E22))</f>
        <v>-1.8168792722631055E-2</v>
      </c>
      <c r="AU22" s="47">
        <f>AVERAGEIFS($AP$2:$AP$823,Volcanic!$L$2:$L$823,"&gt;="&amp;AJ22,Volcanic!$L$2:$L$823,"&lt;"&amp;(AJ22+1))</f>
        <v>0.16343333333333332</v>
      </c>
      <c r="AV22" s="47">
        <f>AVERAGEIFS($AQ$2:$AQ$823,Volcanic!$L$2:$L$823,"&gt;="&amp;AJ22,Volcanic!$L$2:$L$823,"&lt;"&amp;(AJ22+1))</f>
        <v>0.16969999999999999</v>
      </c>
    </row>
    <row r="23" spans="1:48">
      <c r="A23" s="45" t="str">
        <f>Volcanic!A23</f>
        <v>12/1959</v>
      </c>
      <c r="B23" s="43">
        <f>Volcanic!B23</f>
        <v>0</v>
      </c>
      <c r="C23" s="47">
        <f>Volcanic!C23</f>
        <v>0.17257894974287927</v>
      </c>
      <c r="D23" s="41">
        <v>0.1</v>
      </c>
      <c r="E23" s="43">
        <f t="shared" si="12"/>
        <v>0</v>
      </c>
      <c r="F23" s="48">
        <v>4.2199999999999998E-3</v>
      </c>
      <c r="G23" s="47">
        <f t="shared" si="13"/>
        <v>4.2500000000000003E-3</v>
      </c>
      <c r="H23" s="43">
        <f>Volcanic!D23</f>
        <v>-0.04</v>
      </c>
      <c r="I23" s="47">
        <f>Volcanic!E23</f>
        <v>4.2500000000000003E-3</v>
      </c>
      <c r="K23" s="47">
        <f t="shared" si="0"/>
        <v>0.17257894974287927</v>
      </c>
      <c r="L23" s="47">
        <f t="shared" si="1"/>
        <v>0</v>
      </c>
      <c r="M23" s="47">
        <f t="shared" si="2"/>
        <v>4.2500000000000003E-3</v>
      </c>
      <c r="O23" s="47">
        <f t="shared" si="3"/>
        <v>0.17257894974287927</v>
      </c>
      <c r="P23" s="47">
        <f t="shared" si="4"/>
        <v>-0.04</v>
      </c>
      <c r="Q23" s="47">
        <f t="shared" si="5"/>
        <v>4.2500000000000003E-3</v>
      </c>
      <c r="S23" s="47">
        <f t="shared" si="6"/>
        <v>0.17257894974287927</v>
      </c>
      <c r="T23" s="47">
        <f t="shared" si="7"/>
        <v>0</v>
      </c>
      <c r="U23" s="47">
        <f t="shared" si="8"/>
        <v>4.2500000000000003E-3</v>
      </c>
      <c r="W23" s="47">
        <f t="shared" si="9"/>
        <v>9.9183873104803755E-2</v>
      </c>
      <c r="X23" s="47">
        <f t="shared" si="10"/>
        <v>0.10035669789874299</v>
      </c>
      <c r="Y23" s="47">
        <f t="shared" si="11"/>
        <v>9.6848959865415668E-2</v>
      </c>
      <c r="AA23" s="45" t="s">
        <v>2248</v>
      </c>
      <c r="AB23" s="47">
        <f>INDEX(LINEST($AK$2:$AK$66,$AL$2:$AM$66),1,2)</f>
        <v>6.8378915666288259E-2</v>
      </c>
      <c r="AC23" s="47">
        <f>INDEX(LINEST($AK$2:$AK$68,$AL$2:$AM$68),1,2)</f>
        <v>9.3207527061499262E-2</v>
      </c>
      <c r="AD23" s="47">
        <f>Solar!O18</f>
        <v>6.7421623347335966E-2</v>
      </c>
      <c r="AJ23" s="45">
        <v>1980</v>
      </c>
      <c r="AK23" s="47">
        <f>Forcing!B23</f>
        <v>0.25583333333333363</v>
      </c>
      <c r="AL23" s="41">
        <v>1362.201</v>
      </c>
      <c r="AM23" s="47">
        <f>Forcing!C23</f>
        <v>0.27482718847371568</v>
      </c>
      <c r="AN23" s="43">
        <f>Solar!I23</f>
        <v>1361.6375</v>
      </c>
      <c r="AP23" s="48">
        <v>-2.63E-2</v>
      </c>
      <c r="AQ23" s="48">
        <v>3.7000000000000002E-3</v>
      </c>
      <c r="AR23" s="47">
        <f>IF(AP23="","",AP23-($AC$60+$AC$61*Volcanic!C23+$AC$62*Volcanic!D23+$AC$63*Volcanic!E23))</f>
        <v>8.4843612535291824E-2</v>
      </c>
      <c r="AS23" s="47">
        <f>IF(AQ23="","",AQ23-($AD$60+$AD$61*Volcanic!C23+$AD$62*Volcanic!D23+$AD$63*Volcanic!E23))</f>
        <v>0.11177959247364787</v>
      </c>
      <c r="AU23" s="47">
        <f>AVERAGEIFS($AP$2:$AP$823,Volcanic!$L$2:$L$823,"&gt;="&amp;AJ23,Volcanic!$L$2:$L$823,"&lt;"&amp;(AJ23+1))</f>
        <v>0.2668416666666667</v>
      </c>
      <c r="AV23" s="47">
        <f>AVERAGEIFS($AQ$2:$AQ$823,Volcanic!$L$2:$L$823,"&gt;="&amp;AJ23,Volcanic!$L$2:$L$823,"&lt;"&amp;(AJ23+1))</f>
        <v>0.29128333333333328</v>
      </c>
    </row>
    <row r="24" spans="1:48">
      <c r="A24" s="45" t="str">
        <f>Volcanic!A24</f>
        <v>1/1960</v>
      </c>
      <c r="B24" s="43">
        <f>Volcanic!B24</f>
        <v>0</v>
      </c>
      <c r="C24" s="47">
        <f>Volcanic!C24</f>
        <v>0.17645955772100325</v>
      </c>
      <c r="D24" s="41">
        <v>0</v>
      </c>
      <c r="E24" s="43">
        <f t="shared" si="12"/>
        <v>0.1</v>
      </c>
      <c r="F24" s="48">
        <v>4.1099999999999999E-3</v>
      </c>
      <c r="G24" s="47">
        <f t="shared" si="13"/>
        <v>4.2700000000000004E-3</v>
      </c>
      <c r="H24" s="43">
        <f>Volcanic!D24</f>
        <v>0.11</v>
      </c>
      <c r="I24" s="47">
        <f>Volcanic!E24</f>
        <v>4.2700000000000004E-3</v>
      </c>
      <c r="K24" s="47">
        <f t="shared" si="0"/>
        <v>0.17645955772100325</v>
      </c>
      <c r="L24" s="47">
        <f t="shared" si="1"/>
        <v>0.1</v>
      </c>
      <c r="M24" s="47">
        <f t="shared" si="2"/>
        <v>4.2700000000000004E-3</v>
      </c>
      <c r="O24" s="47">
        <f t="shared" si="3"/>
        <v>0.17645955772100325</v>
      </c>
      <c r="P24" s="47">
        <f t="shared" si="4"/>
        <v>0.11</v>
      </c>
      <c r="Q24" s="47">
        <f t="shared" si="5"/>
        <v>4.2700000000000004E-3</v>
      </c>
      <c r="S24" s="47">
        <f t="shared" si="6"/>
        <v>0.17645955772100325</v>
      </c>
      <c r="T24" s="47">
        <f t="shared" si="7"/>
        <v>0.1</v>
      </c>
      <c r="U24" s="47">
        <f t="shared" si="8"/>
        <v>4.2700000000000004E-3</v>
      </c>
      <c r="W24" s="47">
        <f t="shared" si="9"/>
        <v>7.9357609844284305E-2</v>
      </c>
      <c r="X24" s="47">
        <f t="shared" si="10"/>
        <v>7.5826996031696112E-2</v>
      </c>
      <c r="Y24" s="47">
        <f t="shared" si="11"/>
        <v>7.700980972318279E-2</v>
      </c>
      <c r="AA24" s="45" t="s">
        <v>1912</v>
      </c>
      <c r="AB24" s="47">
        <f>INDEX(LINEST($AK$2:$AK$66,$AL$2:$AM$66,TRUE,TRUE),3,1)</f>
        <v>0.93219781873415686</v>
      </c>
      <c r="AC24" s="47">
        <f>INDEX(LINEST($AK$2:$AK$68,$AL$2:$AM$68,TRUE,TRUE),3,1)</f>
        <v>0.93945157662216372</v>
      </c>
      <c r="AD24" s="47">
        <f>Solar!O19</f>
        <v>0.93264127352945736</v>
      </c>
      <c r="AJ24" s="45">
        <v>1981</v>
      </c>
      <c r="AK24" s="47">
        <f>Forcing!B24</f>
        <v>0.32333333333333264</v>
      </c>
      <c r="AL24" s="41">
        <v>1362.249</v>
      </c>
      <c r="AM24" s="47">
        <f>Forcing!C24</f>
        <v>0.28059166813261399</v>
      </c>
      <c r="AN24" s="43">
        <f>Solar!I24</f>
        <v>1361.6849999999999</v>
      </c>
      <c r="AP24" s="48">
        <v>-3.7499999999999999E-2</v>
      </c>
      <c r="AQ24" s="48">
        <v>-2.3300000000000001E-2</v>
      </c>
      <c r="AR24" s="47">
        <f>IF(AP24="","",AP24-($AC$60+$AC$61*Volcanic!C24+$AC$62*Volcanic!D24+$AC$63*Volcanic!E24))</f>
        <v>4.9048551803462091E-2</v>
      </c>
      <c r="AS24" s="47">
        <f>IF(AQ24="","",AQ24-($AD$60+$AD$61*Volcanic!C24+$AD$62*Volcanic!D24+$AD$63*Volcanic!E24))</f>
        <v>5.9621583198336478E-2</v>
      </c>
      <c r="AU24" s="47">
        <f>AVERAGEIFS($AP$2:$AP$823,Volcanic!$L$2:$L$823,"&gt;="&amp;AJ24,Volcanic!$L$2:$L$823,"&lt;"&amp;(AJ24+1))</f>
        <v>0.32228333333333331</v>
      </c>
      <c r="AV24" s="47">
        <f>AVERAGEIFS($AQ$2:$AQ$823,Volcanic!$L$2:$L$823,"&gt;="&amp;AJ24,Volcanic!$L$2:$L$823,"&lt;"&amp;(AJ24+1))</f>
        <v>0.34203333333333336</v>
      </c>
    </row>
    <row r="25" spans="1:48">
      <c r="A25" s="45" t="str">
        <f>Volcanic!A25</f>
        <v>2/1960</v>
      </c>
      <c r="B25" s="43">
        <f>Volcanic!B25</f>
        <v>0.12999999999999901</v>
      </c>
      <c r="C25" s="47">
        <f>Volcanic!C25</f>
        <v>0.17896498855382964</v>
      </c>
      <c r="D25" s="41">
        <v>0</v>
      </c>
      <c r="E25" s="43">
        <f t="shared" si="12"/>
        <v>0.2</v>
      </c>
      <c r="F25" s="48">
        <v>3.9699999999999996E-3</v>
      </c>
      <c r="G25" s="47">
        <f t="shared" si="13"/>
        <v>4.3099999999999996E-3</v>
      </c>
      <c r="H25" s="43">
        <f>Volcanic!D25</f>
        <v>0.23</v>
      </c>
      <c r="I25" s="47">
        <f>Volcanic!E25</f>
        <v>4.3099999999999996E-3</v>
      </c>
      <c r="K25" s="47">
        <f t="shared" si="0"/>
        <v>0.17896498855382964</v>
      </c>
      <c r="L25" s="47">
        <f t="shared" si="1"/>
        <v>0.2</v>
      </c>
      <c r="M25" s="47">
        <f t="shared" si="2"/>
        <v>4.3099999999999996E-3</v>
      </c>
      <c r="O25" s="47">
        <f t="shared" si="3"/>
        <v>0.17896498855382964</v>
      </c>
      <c r="P25" s="47">
        <f t="shared" si="4"/>
        <v>0.23</v>
      </c>
      <c r="Q25" s="47">
        <f t="shared" si="5"/>
        <v>4.3099999999999996E-3</v>
      </c>
      <c r="S25" s="47">
        <f t="shared" si="6"/>
        <v>0.17896498855382964</v>
      </c>
      <c r="T25" s="47">
        <f t="shared" si="7"/>
        <v>0.2</v>
      </c>
      <c r="U25" s="47">
        <f t="shared" si="8"/>
        <v>4.3099999999999996E-3</v>
      </c>
      <c r="W25" s="47">
        <f t="shared" si="9"/>
        <v>0.19332573223033162</v>
      </c>
      <c r="X25" s="47">
        <f t="shared" si="10"/>
        <v>0.18788553445702685</v>
      </c>
      <c r="Y25" s="47">
        <f t="shared" si="11"/>
        <v>0.19094045970209761</v>
      </c>
      <c r="AA25" s="45" t="s">
        <v>2249</v>
      </c>
      <c r="AC25" s="47">
        <f>SLOPE($AL$2:$AL$68,$AJ$2:$AJ$68)*10</f>
        <v>1.6617048447605424E-2</v>
      </c>
      <c r="AJ25" s="45">
        <v>1982</v>
      </c>
      <c r="AK25" s="47">
        <f>Forcing!B25</f>
        <v>0.13916666666666591</v>
      </c>
      <c r="AL25" s="41">
        <v>1361.807</v>
      </c>
      <c r="AM25" s="47">
        <f>Forcing!C25</f>
        <v>0.2863409347995432</v>
      </c>
      <c r="AN25" s="43">
        <f>Solar!I25</f>
        <v>1361.2258333333332</v>
      </c>
      <c r="AP25" s="48">
        <v>9.9199999999999997E-2</v>
      </c>
      <c r="AQ25" s="48">
        <v>9.0700000000000003E-2</v>
      </c>
      <c r="AR25" s="47">
        <f>IF(AP25="","",AP25-($AC$60+$AC$61*Volcanic!C25+$AC$62*Volcanic!D25+$AC$63*Volcanic!E25))</f>
        <v>0.16776603795777564</v>
      </c>
      <c r="AS25" s="47">
        <f>IF(AQ25="","",AQ25-($AD$60+$AD$61*Volcanic!C25+$AD$62*Volcanic!D25+$AD$63*Volcanic!E25))</f>
        <v>0.1552280346845995</v>
      </c>
      <c r="AU25" s="47">
        <f>AVERAGEIFS($AP$2:$AP$823,Volcanic!$L$2:$L$823,"&gt;="&amp;AJ25,Volcanic!$L$2:$L$823,"&lt;"&amp;(AJ25+1))</f>
        <v>0.10627500000000001</v>
      </c>
      <c r="AV25" s="47">
        <f>AVERAGEIFS($AQ$2:$AQ$823,Volcanic!$L$2:$L$823,"&gt;="&amp;AJ25,Volcanic!$L$2:$L$823,"&lt;"&amp;(AJ25+1))</f>
        <v>0.12561666666666665</v>
      </c>
    </row>
    <row r="26" spans="1:48">
      <c r="A26" s="45" t="str">
        <f>Volcanic!A26</f>
        <v>3/1960</v>
      </c>
      <c r="B26" s="43">
        <f>Volcanic!B26</f>
        <v>-0.35000000000000142</v>
      </c>
      <c r="C26" s="47">
        <f>Volcanic!C26</f>
        <v>0.1816932326363403</v>
      </c>
      <c r="D26" s="41">
        <v>0.1</v>
      </c>
      <c r="E26" s="43">
        <f t="shared" si="12"/>
        <v>0.1</v>
      </c>
      <c r="F26" s="48">
        <v>3.8899999999999998E-3</v>
      </c>
      <c r="G26" s="47">
        <f t="shared" si="13"/>
        <v>4.3699999999999998E-3</v>
      </c>
      <c r="H26" s="43">
        <f>Volcanic!D26</f>
        <v>0.14000000000000001</v>
      </c>
      <c r="I26" s="47">
        <f>Volcanic!E26</f>
        <v>4.3699999999999998E-3</v>
      </c>
      <c r="K26" s="47">
        <f t="shared" si="0"/>
        <v>0.1816932326363403</v>
      </c>
      <c r="L26" s="47">
        <f t="shared" si="1"/>
        <v>0.1</v>
      </c>
      <c r="M26" s="47">
        <f t="shared" si="2"/>
        <v>4.3699999999999998E-3</v>
      </c>
      <c r="O26" s="47">
        <f t="shared" si="3"/>
        <v>0.1816932326363403</v>
      </c>
      <c r="P26" s="47">
        <f t="shared" si="4"/>
        <v>0.14000000000000001</v>
      </c>
      <c r="Q26" s="47">
        <f t="shared" si="5"/>
        <v>4.3699999999999998E-3</v>
      </c>
      <c r="S26" s="47">
        <f t="shared" si="6"/>
        <v>0.1816932326363403</v>
      </c>
      <c r="T26" s="47">
        <f t="shared" si="7"/>
        <v>0.1</v>
      </c>
      <c r="U26" s="47">
        <f t="shared" si="8"/>
        <v>4.3699999999999998E-3</v>
      </c>
      <c r="W26" s="47">
        <f t="shared" si="9"/>
        <v>-0.2846950572209983</v>
      </c>
      <c r="X26" s="47">
        <f t="shared" si="10"/>
        <v>-0.29087946664364228</v>
      </c>
      <c r="Y26" s="47">
        <f t="shared" si="11"/>
        <v>-0.28687667483334156</v>
      </c>
      <c r="AA26" s="45" t="s">
        <v>2250</v>
      </c>
      <c r="AC26" s="47">
        <f>RSQ($AK$2:$AK$68,$AL$2:$AL$68)</f>
        <v>3.6395151344816773E-2</v>
      </c>
      <c r="AJ26" s="45">
        <v>1983</v>
      </c>
      <c r="AK26" s="47">
        <f>Forcing!B26</f>
        <v>0.31500000000000039</v>
      </c>
      <c r="AL26" s="41">
        <v>1361.81</v>
      </c>
      <c r="AM26" s="47">
        <f>Forcing!C26</f>
        <v>0.29340200418028634</v>
      </c>
      <c r="AN26" s="43">
        <f>Solar!I26</f>
        <v>1361.2141666666666</v>
      </c>
      <c r="AP26" s="48">
        <v>-0.36870000000000003</v>
      </c>
      <c r="AQ26" s="48">
        <v>-0.3523</v>
      </c>
      <c r="AR26" s="47">
        <f>IF(AP26="","",AP26-($AC$60+$AC$61*Volcanic!C26+$AC$62*Volcanic!D26+$AC$63*Volcanic!E26))</f>
        <v>-0.29901129629237178</v>
      </c>
      <c r="AS26" s="47">
        <f>IF(AQ26="","",AQ26-($AD$60+$AD$61*Volcanic!C26+$AD$62*Volcanic!D26+$AD$63*Volcanic!E26))</f>
        <v>-0.28667527340981397</v>
      </c>
      <c r="AU26" s="47">
        <f>AVERAGEIFS($AP$2:$AP$823,Volcanic!$L$2:$L$823,"&gt;="&amp;AJ26,Volcanic!$L$2:$L$823,"&lt;"&amp;(AJ26+1))</f>
        <v>0.2961583333333333</v>
      </c>
      <c r="AV26" s="47">
        <f>AVERAGEIFS($AQ$2:$AQ$823,Volcanic!$L$2:$L$823,"&gt;="&amp;AJ26,Volcanic!$L$2:$L$823,"&lt;"&amp;(AJ26+1))</f>
        <v>0.3056166666666667</v>
      </c>
    </row>
    <row r="27" spans="1:48">
      <c r="A27" s="45" t="str">
        <f>Volcanic!A27</f>
        <v>4/1960</v>
      </c>
      <c r="B27" s="43">
        <f>Volcanic!B27</f>
        <v>-0.14999999999999858</v>
      </c>
      <c r="C27" s="47">
        <f>Volcanic!C27</f>
        <v>0.18826526709013644</v>
      </c>
      <c r="D27" s="41">
        <v>0.2</v>
      </c>
      <c r="E27" s="43">
        <f t="shared" si="12"/>
        <v>0</v>
      </c>
      <c r="F27" s="48">
        <v>3.9100000000000003E-3</v>
      </c>
      <c r="G27" s="47">
        <f t="shared" si="13"/>
        <v>4.4099999999999999E-3</v>
      </c>
      <c r="H27" s="43">
        <f>Volcanic!D27</f>
        <v>0.02</v>
      </c>
      <c r="I27" s="47">
        <f>Volcanic!E27</f>
        <v>4.4099999999999999E-3</v>
      </c>
      <c r="K27" s="47">
        <f t="shared" si="0"/>
        <v>0.18826526709013644</v>
      </c>
      <c r="L27" s="47">
        <f t="shared" si="1"/>
        <v>0</v>
      </c>
      <c r="M27" s="47">
        <f t="shared" si="2"/>
        <v>4.4099999999999999E-3</v>
      </c>
      <c r="O27" s="47">
        <f t="shared" si="3"/>
        <v>0.18826526709013644</v>
      </c>
      <c r="P27" s="47">
        <f t="shared" si="4"/>
        <v>0.02</v>
      </c>
      <c r="Q27" s="47">
        <f t="shared" si="5"/>
        <v>4.4099999999999999E-3</v>
      </c>
      <c r="S27" s="47">
        <f t="shared" si="6"/>
        <v>0.18826526709013644</v>
      </c>
      <c r="T27" s="47">
        <f t="shared" si="7"/>
        <v>0</v>
      </c>
      <c r="U27" s="47">
        <f t="shared" si="8"/>
        <v>4.4099999999999999E-3</v>
      </c>
      <c r="W27" s="47">
        <f t="shared" si="9"/>
        <v>-9.3242512303871081E-2</v>
      </c>
      <c r="X27" s="47">
        <f t="shared" si="10"/>
        <v>-9.7270627314136021E-2</v>
      </c>
      <c r="Y27" s="47">
        <f t="shared" si="11"/>
        <v>-9.5136952480718795E-2</v>
      </c>
      <c r="AJ27" s="45">
        <v>1984</v>
      </c>
      <c r="AK27" s="47">
        <f>Forcing!B27</f>
        <v>0.15500000000000011</v>
      </c>
      <c r="AL27" s="41">
        <v>1361.402</v>
      </c>
      <c r="AM27" s="47">
        <f>Forcing!C27</f>
        <v>0.3005889072552464</v>
      </c>
      <c r="AN27" s="43">
        <f>Solar!I27</f>
        <v>1360.7891666666665</v>
      </c>
      <c r="AP27" s="48">
        <v>-0.18579999999999999</v>
      </c>
      <c r="AQ27" s="48">
        <v>-0.15629999999999999</v>
      </c>
      <c r="AR27" s="47">
        <f>IF(AP27="","",AP27-($AC$60+$AC$61*Volcanic!C27+$AC$62*Volcanic!D27+$AC$63*Volcanic!E27))</f>
        <v>-0.12272328661348531</v>
      </c>
      <c r="AS27" s="47">
        <f>IF(AQ27="","",AQ27-($AD$60+$AD$61*Volcanic!C27+$AD$62*Volcanic!D27+$AD$63*Volcanic!E27))</f>
        <v>-9.7523503425156061E-2</v>
      </c>
      <c r="AU27" s="47">
        <f>AVERAGEIFS($AP$2:$AP$823,Volcanic!$L$2:$L$823,"&gt;="&amp;AJ27,Volcanic!$L$2:$L$823,"&lt;"&amp;(AJ27+1))</f>
        <v>0.12135833333333335</v>
      </c>
      <c r="AV27" s="47">
        <f>AVERAGEIFS($AQ$2:$AQ$823,Volcanic!$L$2:$L$823,"&gt;="&amp;AJ27,Volcanic!$L$2:$L$823,"&lt;"&amp;(AJ27+1))</f>
        <v>0.13978333333333332</v>
      </c>
    </row>
    <row r="28" spans="1:48">
      <c r="A28" s="45" t="str">
        <f>Volcanic!A28</f>
        <v>5/1960</v>
      </c>
      <c r="B28" s="43">
        <f>Volcanic!B28</f>
        <v>-8.0000000000001847E-2</v>
      </c>
      <c r="C28" s="47">
        <f>Volcanic!C28</f>
        <v>0.19278032426290692</v>
      </c>
      <c r="D28" s="41">
        <v>0</v>
      </c>
      <c r="E28" s="43">
        <f t="shared" si="12"/>
        <v>0</v>
      </c>
      <c r="F28" s="48">
        <v>3.9399999999999999E-3</v>
      </c>
      <c r="G28" s="47">
        <f t="shared" si="13"/>
        <v>4.45E-3</v>
      </c>
      <c r="H28" s="43">
        <f>Volcanic!D28</f>
        <v>0.03</v>
      </c>
      <c r="I28" s="47">
        <f>Volcanic!E28</f>
        <v>4.45E-3</v>
      </c>
      <c r="K28" s="47">
        <f t="shared" si="0"/>
        <v>0.19278032426290692</v>
      </c>
      <c r="L28" s="47">
        <f t="shared" si="1"/>
        <v>0</v>
      </c>
      <c r="M28" s="47">
        <f t="shared" si="2"/>
        <v>4.45E-3</v>
      </c>
      <c r="O28" s="47">
        <f t="shared" si="3"/>
        <v>0.19278032426290692</v>
      </c>
      <c r="P28" s="47">
        <f t="shared" si="4"/>
        <v>0.03</v>
      </c>
      <c r="Q28" s="47">
        <f t="shared" si="5"/>
        <v>4.45E-3</v>
      </c>
      <c r="S28" s="47">
        <f t="shared" si="6"/>
        <v>0.19278032426290692</v>
      </c>
      <c r="T28" s="47">
        <f t="shared" si="7"/>
        <v>0</v>
      </c>
      <c r="U28" s="47">
        <f t="shared" si="8"/>
        <v>4.45E-3</v>
      </c>
      <c r="W28" s="47">
        <f t="shared" si="9"/>
        <v>-3.5467612079129018E-2</v>
      </c>
      <c r="X28" s="47">
        <f t="shared" si="10"/>
        <v>-4.0312291775351963E-2</v>
      </c>
      <c r="Y28" s="47">
        <f t="shared" si="11"/>
        <v>-3.7237764982658024E-2</v>
      </c>
      <c r="AA28" s="63" t="s">
        <v>1886</v>
      </c>
      <c r="AB28" s="53"/>
      <c r="AC28" s="53"/>
      <c r="AD28" s="53"/>
      <c r="AE28" s="53"/>
      <c r="AF28" s="53"/>
      <c r="AG28" s="53"/>
      <c r="AH28" s="53"/>
      <c r="AJ28" s="45">
        <v>1985</v>
      </c>
      <c r="AK28" s="47">
        <f>Forcing!B28</f>
        <v>0.11833333333333303</v>
      </c>
      <c r="AL28" s="41">
        <v>1361.2560000000001</v>
      </c>
      <c r="AM28" s="47">
        <f>Forcing!C28</f>
        <v>0.30678880266607567</v>
      </c>
      <c r="AN28" s="43">
        <f>Solar!I28</f>
        <v>1360.6325000000002</v>
      </c>
      <c r="AP28" s="48">
        <v>-0.1012</v>
      </c>
      <c r="AQ28" s="48">
        <v>-7.4300000000000005E-2</v>
      </c>
      <c r="AR28" s="47">
        <f>IF(AP28="","",AP28-($AC$60+$AC$61*Volcanic!C28+$AC$62*Volcanic!D28+$AC$63*Volcanic!E28))</f>
        <v>-5.1292341277435045E-2</v>
      </c>
      <c r="AS28" s="47">
        <f>IF(AQ28="","",AQ28-($AD$60+$AD$61*Volcanic!C28+$AD$62*Volcanic!D28+$AD$63*Volcanic!E28))</f>
        <v>-2.9033723536302597E-2</v>
      </c>
      <c r="AU28" s="47">
        <f>AVERAGEIFS($AP$2:$AP$823,Volcanic!$L$2:$L$823,"&gt;="&amp;AJ28,Volcanic!$L$2:$L$823,"&lt;"&amp;(AJ28+1))</f>
        <v>0.12130833333333334</v>
      </c>
      <c r="AV28" s="47">
        <f>AVERAGEIFS($AQ$2:$AQ$823,Volcanic!$L$2:$L$823,"&gt;="&amp;AJ28,Volcanic!$L$2:$L$823,"&lt;"&amp;(AJ28+1))</f>
        <v>0.13586666666666666</v>
      </c>
    </row>
    <row r="29" spans="1:48" ht="62.1" customHeight="1">
      <c r="A29" s="45" t="str">
        <f>Volcanic!A29</f>
        <v>6/1960</v>
      </c>
      <c r="B29" s="43">
        <f>Volcanic!B29</f>
        <v>-3.9999999999999147E-2</v>
      </c>
      <c r="C29" s="47">
        <f>Volcanic!C29</f>
        <v>0.19075029697903845</v>
      </c>
      <c r="D29" s="41">
        <v>0</v>
      </c>
      <c r="E29" s="43">
        <f t="shared" si="12"/>
        <v>0.1</v>
      </c>
      <c r="F29" s="48">
        <v>4.0000000000000001E-3</v>
      </c>
      <c r="G29" s="47">
        <f t="shared" si="13"/>
        <v>4.3499999999999997E-3</v>
      </c>
      <c r="H29" s="43">
        <f>Volcanic!D29</f>
        <v>0.06</v>
      </c>
      <c r="I29" s="47">
        <f>Volcanic!E29</f>
        <v>4.3499999999999997E-3</v>
      </c>
      <c r="K29" s="47">
        <f t="shared" si="0"/>
        <v>0.19075029697903845</v>
      </c>
      <c r="L29" s="47">
        <f t="shared" si="1"/>
        <v>0.1</v>
      </c>
      <c r="M29" s="47">
        <f t="shared" si="2"/>
        <v>4.3499999999999997E-3</v>
      </c>
      <c r="O29" s="47">
        <f t="shared" si="3"/>
        <v>0.19075029697903845</v>
      </c>
      <c r="P29" s="47">
        <f t="shared" si="4"/>
        <v>0.06</v>
      </c>
      <c r="Q29" s="47">
        <f t="shared" si="5"/>
        <v>4.3499999999999997E-3</v>
      </c>
      <c r="S29" s="47">
        <f t="shared" si="6"/>
        <v>0.19075029697903845</v>
      </c>
      <c r="T29" s="47">
        <f t="shared" si="7"/>
        <v>0.1</v>
      </c>
      <c r="U29" s="47">
        <f t="shared" si="8"/>
        <v>4.3499999999999997E-3</v>
      </c>
      <c r="W29" s="47">
        <f t="shared" si="9"/>
        <v>5.6089402544060724E-4</v>
      </c>
      <c r="X29" s="47">
        <f t="shared" si="10"/>
        <v>2.0966861520164692E-3</v>
      </c>
      <c r="Y29" s="47">
        <f t="shared" si="11"/>
        <v>-1.4127365726147728E-3</v>
      </c>
      <c r="AA29" s="62" t="s">
        <v>2251</v>
      </c>
      <c r="AB29" s="53"/>
      <c r="AC29" s="53"/>
      <c r="AD29" s="53"/>
      <c r="AE29" s="53"/>
      <c r="AF29" s="53"/>
      <c r="AG29" s="53"/>
      <c r="AH29" s="53"/>
      <c r="AJ29" s="45">
        <v>1986</v>
      </c>
      <c r="AK29" s="47">
        <f>Forcing!B29</f>
        <v>0.17999999999999927</v>
      </c>
      <c r="AL29" s="41">
        <v>1361.2619999999999</v>
      </c>
      <c r="AM29" s="47">
        <f>Forcing!C29</f>
        <v>0.31201397935412778</v>
      </c>
      <c r="AN29" s="43">
        <f>Solar!I29</f>
        <v>1360.6416666666667</v>
      </c>
      <c r="AP29" s="48">
        <v>-4.8399999999999999E-2</v>
      </c>
      <c r="AQ29" s="48">
        <v>-2.23E-2</v>
      </c>
      <c r="AR29" s="47">
        <f>IF(AP29="","",AP29-($AC$60+$AC$61*Volcanic!C29+$AC$62*Volcanic!D29+$AC$63*Volcanic!E29))</f>
        <v>4.0008945916202368E-3</v>
      </c>
      <c r="AS29" s="47">
        <f>IF(AQ29="","",AQ29-($AD$60+$AD$61*Volcanic!C29+$AD$62*Volcanic!D29+$AD$63*Volcanic!E29))</f>
        <v>2.5556199737771609E-2</v>
      </c>
      <c r="AU29" s="47">
        <f>AVERAGEIFS($AP$2:$AP$823,Volcanic!$L$2:$L$823,"&gt;="&amp;AJ29,Volcanic!$L$2:$L$823,"&lt;"&amp;(AJ29+1))</f>
        <v>0.16763333333333333</v>
      </c>
      <c r="AV29" s="47">
        <f>AVERAGEIFS($AQ$2:$AQ$823,Volcanic!$L$2:$L$823,"&gt;="&amp;AJ29,Volcanic!$L$2:$L$823,"&lt;"&amp;(AJ29+1))</f>
        <v>0.19211666666666669</v>
      </c>
    </row>
    <row r="30" spans="1:48" ht="75" customHeight="1">
      <c r="A30" s="45" t="str">
        <f>Volcanic!A30</f>
        <v>7/1960</v>
      </c>
      <c r="B30" s="43">
        <f>Volcanic!B30</f>
        <v>-3.9999999999999147E-2</v>
      </c>
      <c r="C30" s="47">
        <f>Volcanic!C30</f>
        <v>0.1844163271422109</v>
      </c>
      <c r="D30" s="41">
        <v>0</v>
      </c>
      <c r="E30" s="43">
        <f t="shared" si="12"/>
        <v>0.2</v>
      </c>
      <c r="F30" s="48">
        <v>4.0800000000000003E-3</v>
      </c>
      <c r="G30" s="47">
        <f t="shared" si="13"/>
        <v>4.2199999999999998E-3</v>
      </c>
      <c r="H30" s="43">
        <f>Volcanic!D30</f>
        <v>0.17</v>
      </c>
      <c r="I30" s="47">
        <f>Volcanic!E30</f>
        <v>4.2199999999999998E-3</v>
      </c>
      <c r="K30" s="47">
        <f t="shared" si="0"/>
        <v>0.1844163271422109</v>
      </c>
      <c r="L30" s="47">
        <f t="shared" si="1"/>
        <v>0.2</v>
      </c>
      <c r="M30" s="47">
        <f t="shared" si="2"/>
        <v>4.2199999999999998E-3</v>
      </c>
      <c r="O30" s="47">
        <f t="shared" si="3"/>
        <v>0.1844163271422109</v>
      </c>
      <c r="P30" s="47">
        <f t="shared" si="4"/>
        <v>0.17</v>
      </c>
      <c r="Q30" s="47">
        <f t="shared" si="5"/>
        <v>4.2199999999999998E-3</v>
      </c>
      <c r="S30" s="47">
        <f t="shared" si="6"/>
        <v>0.1844163271422109</v>
      </c>
      <c r="T30" s="47">
        <f t="shared" si="7"/>
        <v>0.2</v>
      </c>
      <c r="U30" s="47">
        <f t="shared" si="8"/>
        <v>4.2199999999999998E-3</v>
      </c>
      <c r="W30" s="47">
        <f t="shared" si="9"/>
        <v>8.2607937981904467E-3</v>
      </c>
      <c r="X30" s="47">
        <f t="shared" si="10"/>
        <v>8.5484345158549774E-3</v>
      </c>
      <c r="Y30" s="47">
        <f t="shared" si="11"/>
        <v>5.9685615908839015E-3</v>
      </c>
      <c r="AA30" s="62" t="s">
        <v>2252</v>
      </c>
      <c r="AB30" s="53"/>
      <c r="AC30" s="53"/>
      <c r="AD30" s="53"/>
      <c r="AE30" s="53"/>
      <c r="AF30" s="53"/>
      <c r="AG30" s="53"/>
      <c r="AH30" s="53"/>
      <c r="AJ30" s="45">
        <v>1987</v>
      </c>
      <c r="AK30" s="47">
        <f>Forcing!B30</f>
        <v>0.3216666666666666</v>
      </c>
      <c r="AL30" s="41">
        <v>1361.396</v>
      </c>
      <c r="AM30" s="47">
        <f>Forcing!C30</f>
        <v>0.31907046120568344</v>
      </c>
      <c r="AN30" s="43">
        <f>Solar!I30</f>
        <v>1360.7825</v>
      </c>
      <c r="AP30" s="48">
        <v>-3.5499999999999997E-2</v>
      </c>
      <c r="AQ30" s="48">
        <v>-6.93E-2</v>
      </c>
      <c r="AR30" s="47">
        <f>IF(AP30="","",AP30-($AC$60+$AC$61*Volcanic!C30+$AC$62*Volcanic!D30+$AC$63*Volcanic!E30))</f>
        <v>2.3582716729269607E-2</v>
      </c>
      <c r="AS30" s="47">
        <f>IF(AQ30="","",AQ30-($AD$60+$AD$61*Volcanic!C30+$AD$62*Volcanic!D30+$AD$63*Volcanic!E30))</f>
        <v>-1.4512852443303512E-2</v>
      </c>
      <c r="AU30" s="47">
        <f>AVERAGEIFS($AP$2:$AP$823,Volcanic!$L$2:$L$823,"&gt;="&amp;AJ30,Volcanic!$L$2:$L$823,"&lt;"&amp;(AJ30+1))</f>
        <v>0.313525</v>
      </c>
      <c r="AV30" s="47">
        <f>AVERAGEIFS($AQ$2:$AQ$823,Volcanic!$L$2:$L$823,"&gt;="&amp;AJ30,Volcanic!$L$2:$L$823,"&lt;"&amp;(AJ30+1))</f>
        <v>0.33145000000000002</v>
      </c>
    </row>
    <row r="31" spans="1:48" ht="99.95" customHeight="1">
      <c r="A31" s="45" t="str">
        <f>Volcanic!A31</f>
        <v>8/1960</v>
      </c>
      <c r="B31" s="43">
        <f>Volcanic!B31</f>
        <v>2.0000000000003126E-2</v>
      </c>
      <c r="C31" s="47">
        <f>Volcanic!C31</f>
        <v>0.17404110991454413</v>
      </c>
      <c r="D31" s="41">
        <v>0.2</v>
      </c>
      <c r="E31" s="43">
        <f t="shared" si="12"/>
        <v>0</v>
      </c>
      <c r="F31" s="48">
        <v>4.1799999999999997E-3</v>
      </c>
      <c r="G31" s="47">
        <f t="shared" si="13"/>
        <v>4.1099999999999999E-3</v>
      </c>
      <c r="H31" s="43">
        <f>Volcanic!D31</f>
        <v>0.04</v>
      </c>
      <c r="I31" s="47">
        <f>Volcanic!E31</f>
        <v>4.1099999999999999E-3</v>
      </c>
      <c r="K31" s="47">
        <f t="shared" si="0"/>
        <v>0.17404110991454413</v>
      </c>
      <c r="L31" s="47">
        <f t="shared" si="1"/>
        <v>0</v>
      </c>
      <c r="M31" s="47">
        <f t="shared" si="2"/>
        <v>4.1099999999999999E-3</v>
      </c>
      <c r="O31" s="47">
        <f t="shared" si="3"/>
        <v>0.17404110991454413</v>
      </c>
      <c r="P31" s="47">
        <f t="shared" si="4"/>
        <v>0.04</v>
      </c>
      <c r="Q31" s="47">
        <f t="shared" si="5"/>
        <v>4.1099999999999999E-3</v>
      </c>
      <c r="S31" s="47">
        <f t="shared" si="6"/>
        <v>0.17404110991454413</v>
      </c>
      <c r="T31" s="47">
        <f t="shared" si="7"/>
        <v>0</v>
      </c>
      <c r="U31" s="47">
        <f t="shared" si="8"/>
        <v>4.1099999999999999E-3</v>
      </c>
      <c r="W31" s="47">
        <f t="shared" si="9"/>
        <v>0.11488784864435496</v>
      </c>
      <c r="X31" s="47">
        <f t="shared" si="10"/>
        <v>0.10852295268474825</v>
      </c>
      <c r="Y31" s="47">
        <f t="shared" si="11"/>
        <v>0.11253012046852259</v>
      </c>
      <c r="AA31" s="62" t="s">
        <v>2253</v>
      </c>
      <c r="AB31" s="53"/>
      <c r="AC31" s="53"/>
      <c r="AD31" s="53"/>
      <c r="AE31" s="53"/>
      <c r="AF31" s="53"/>
      <c r="AG31" s="53"/>
      <c r="AH31" s="53"/>
      <c r="AJ31" s="45">
        <v>1988</v>
      </c>
      <c r="AK31" s="47">
        <f>Forcing!B31</f>
        <v>0.38999999999999985</v>
      </c>
      <c r="AL31" s="41">
        <v>1361.703</v>
      </c>
      <c r="AM31" s="47">
        <f>Forcing!C31</f>
        <v>0.32886051990619497</v>
      </c>
      <c r="AN31" s="43">
        <f>Solar!I31</f>
        <v>1361.1225000000002</v>
      </c>
      <c r="AP31" s="48">
        <v>7.3999999999999996E-2</v>
      </c>
      <c r="AQ31" s="48">
        <v>6.4699999999999994E-2</v>
      </c>
      <c r="AR31" s="47">
        <f>IF(AP31="","",AP31-($AC$60+$AC$61*Volcanic!C31+$AC$62*Volcanic!D31+$AC$63*Volcanic!E31))</f>
        <v>0.17332254999914654</v>
      </c>
      <c r="AS31" s="47">
        <f>IF(AQ31="","",AQ31-($AD$60+$AD$61*Volcanic!C31+$AD$62*Volcanic!D31+$AD$63*Volcanic!E31))</f>
        <v>0.1607184423685844</v>
      </c>
      <c r="AU31" s="47">
        <f>AVERAGEIFS($AP$2:$AP$823,Volcanic!$L$2:$L$823,"&gt;="&amp;AJ31,Volcanic!$L$2:$L$823,"&lt;"&amp;(AJ31+1))</f>
        <v>0.3529250000000001</v>
      </c>
      <c r="AV31" s="47">
        <f>AVERAGEIFS($AQ$2:$AQ$823,Volcanic!$L$2:$L$823,"&gt;="&amp;AJ31,Volcanic!$L$2:$L$823,"&lt;"&amp;(AJ31+1))</f>
        <v>0.37386666666666662</v>
      </c>
    </row>
    <row r="32" spans="1:48" ht="62.1" customHeight="1">
      <c r="A32" s="45" t="str">
        <f>Volcanic!A32</f>
        <v>9/1960</v>
      </c>
      <c r="B32" s="43">
        <f>Volcanic!B32</f>
        <v>7.0000000000000284E-2</v>
      </c>
      <c r="C32" s="47">
        <f>Volcanic!C32</f>
        <v>0.16611859751788685</v>
      </c>
      <c r="D32" s="41">
        <v>0.2</v>
      </c>
      <c r="E32" s="43">
        <f t="shared" si="12"/>
        <v>0</v>
      </c>
      <c r="F32" s="48">
        <v>4.2399999999999998E-3</v>
      </c>
      <c r="G32" s="47">
        <f t="shared" si="13"/>
        <v>3.9699999999999996E-3</v>
      </c>
      <c r="H32" s="43">
        <f>Volcanic!D32</f>
        <v>0</v>
      </c>
      <c r="I32" s="47">
        <f>Volcanic!E32</f>
        <v>3.9699999999999996E-3</v>
      </c>
      <c r="K32" s="47">
        <f t="shared" si="0"/>
        <v>0.16611859751788685</v>
      </c>
      <c r="L32" s="47">
        <f t="shared" si="1"/>
        <v>0</v>
      </c>
      <c r="M32" s="47">
        <f t="shared" si="2"/>
        <v>3.9699999999999996E-3</v>
      </c>
      <c r="O32" s="47">
        <f t="shared" si="3"/>
        <v>0.16611859751788685</v>
      </c>
      <c r="P32" s="47">
        <f t="shared" si="4"/>
        <v>0</v>
      </c>
      <c r="Q32" s="47">
        <f t="shared" si="5"/>
        <v>3.9699999999999996E-3</v>
      </c>
      <c r="S32" s="47">
        <f t="shared" si="6"/>
        <v>0.16611859751788685</v>
      </c>
      <c r="T32" s="47">
        <f t="shared" si="7"/>
        <v>0</v>
      </c>
      <c r="U32" s="47">
        <f t="shared" si="8"/>
        <v>3.9699999999999996E-3</v>
      </c>
      <c r="W32" s="47">
        <f t="shared" si="9"/>
        <v>0.18618523939863282</v>
      </c>
      <c r="X32" s="47">
        <f t="shared" si="10"/>
        <v>0.18333375103629157</v>
      </c>
      <c r="Y32" s="47">
        <f t="shared" si="11"/>
        <v>0.18358064158764134</v>
      </c>
      <c r="AA32" s="62" t="s">
        <v>2254</v>
      </c>
      <c r="AB32" s="53"/>
      <c r="AC32" s="53"/>
      <c r="AD32" s="53"/>
      <c r="AE32" s="53"/>
      <c r="AF32" s="53"/>
      <c r="AG32" s="53"/>
      <c r="AH32" s="53"/>
      <c r="AJ32" s="45">
        <v>1989</v>
      </c>
      <c r="AK32" s="47">
        <f>Forcing!B32</f>
        <v>0.27416666666666512</v>
      </c>
      <c r="AL32" s="41">
        <v>1362.201</v>
      </c>
      <c r="AM32" s="47">
        <f>Forcing!C32</f>
        <v>0.3350581779738751</v>
      </c>
      <c r="AN32" s="43">
        <f>Solar!I32</f>
        <v>1361.64</v>
      </c>
      <c r="AP32" s="48">
        <v>8.0199999999999994E-2</v>
      </c>
      <c r="AQ32" s="48">
        <v>4.4699999999999997E-2</v>
      </c>
      <c r="AR32" s="47">
        <f>IF(AP32="","",AP32-($AC$60+$AC$61*Volcanic!C32+$AC$62*Volcanic!D32+$AC$63*Volcanic!E32))</f>
        <v>0.20456476248708361</v>
      </c>
      <c r="AS32" s="47">
        <f>IF(AQ32="","",AQ32-($AD$60+$AD$61*Volcanic!C32+$AD$62*Volcanic!D32+$AD$63*Volcanic!E32))</f>
        <v>0.16641047353570076</v>
      </c>
      <c r="AU32" s="47">
        <f>AVERAGEIFS($AP$2:$AP$823,Volcanic!$L$2:$L$823,"&gt;="&amp;AJ32,Volcanic!$L$2:$L$823,"&lt;"&amp;(AJ32+1))</f>
        <v>0.25020833333333337</v>
      </c>
      <c r="AV32" s="47">
        <f>AVERAGEIFS($AQ$2:$AQ$823,Volcanic!$L$2:$L$823,"&gt;="&amp;AJ32,Volcanic!$L$2:$L$823,"&lt;"&amp;(AJ32+1))</f>
        <v>0.25936666666666669</v>
      </c>
    </row>
    <row r="33" spans="1:48">
      <c r="A33" s="45" t="str">
        <f>Volcanic!A33</f>
        <v>10/1960</v>
      </c>
      <c r="B33" s="43">
        <f>Volcanic!B33</f>
        <v>5.9999999999998721E-2</v>
      </c>
      <c r="C33" s="47">
        <f>Volcanic!C33</f>
        <v>0.16455644349932552</v>
      </c>
      <c r="D33" s="41">
        <v>0.1</v>
      </c>
      <c r="E33" s="43">
        <f t="shared" si="12"/>
        <v>0</v>
      </c>
      <c r="F33" s="48">
        <v>4.3099999999999996E-3</v>
      </c>
      <c r="G33" s="47">
        <f t="shared" si="13"/>
        <v>3.8899999999999998E-3</v>
      </c>
      <c r="H33" s="43">
        <f>Volcanic!D33</f>
        <v>0.01</v>
      </c>
      <c r="I33" s="47">
        <f>Volcanic!E33</f>
        <v>3.8899999999999998E-3</v>
      </c>
      <c r="K33" s="47">
        <f t="shared" si="0"/>
        <v>0.16455644349932552</v>
      </c>
      <c r="L33" s="47">
        <f t="shared" si="1"/>
        <v>0</v>
      </c>
      <c r="M33" s="47">
        <f t="shared" si="2"/>
        <v>3.8899999999999998E-3</v>
      </c>
      <c r="O33" s="47">
        <f t="shared" si="3"/>
        <v>0.16455644349932552</v>
      </c>
      <c r="P33" s="47">
        <f t="shared" si="4"/>
        <v>0.01</v>
      </c>
      <c r="Q33" s="47">
        <f t="shared" si="5"/>
        <v>3.8899999999999998E-3</v>
      </c>
      <c r="S33" s="47">
        <f t="shared" si="6"/>
        <v>0.16455644349932552</v>
      </c>
      <c r="T33" s="47">
        <f t="shared" si="7"/>
        <v>0</v>
      </c>
      <c r="U33" s="47">
        <f t="shared" si="8"/>
        <v>3.8899999999999998E-3</v>
      </c>
      <c r="W33" s="47">
        <f t="shared" si="9"/>
        <v>0.18026918663036523</v>
      </c>
      <c r="X33" s="47">
        <f t="shared" si="10"/>
        <v>0.17640877545793476</v>
      </c>
      <c r="Y33" s="47">
        <f t="shared" si="11"/>
        <v>0.17759430835693513</v>
      </c>
      <c r="AJ33" s="45">
        <v>1990</v>
      </c>
      <c r="AK33" s="47">
        <f>Forcing!B33</f>
        <v>0.44916666666666821</v>
      </c>
      <c r="AL33" s="41">
        <v>1362.12</v>
      </c>
      <c r="AM33" s="47">
        <f>Forcing!C33</f>
        <v>0.34014660517272827</v>
      </c>
      <c r="AN33" s="43">
        <f>Solar!I33</f>
        <v>1361.5533333333335</v>
      </c>
      <c r="AP33" s="48">
        <v>4.6300000000000001E-2</v>
      </c>
      <c r="AQ33" s="48">
        <v>4.7699999999999999E-2</v>
      </c>
      <c r="AR33" s="47">
        <f>IF(AP33="","",AP33-($AC$60+$AC$61*Volcanic!C33+$AC$62*Volcanic!D33+$AC$63*Volcanic!E33))</f>
        <v>0.17380144586042615</v>
      </c>
      <c r="AS33" s="47">
        <f>IF(AQ33="","",AQ33-($AD$60+$AD$61*Volcanic!C33+$AD$62*Volcanic!D33+$AD$63*Volcanic!E33))</f>
        <v>0.17264702767821694</v>
      </c>
      <c r="AU33" s="47">
        <f>AVERAGEIFS($AP$2:$AP$823,Volcanic!$L$2:$L$823,"&gt;="&amp;AJ33,Volcanic!$L$2:$L$823,"&lt;"&amp;(AJ33+1))</f>
        <v>0.43038333333333334</v>
      </c>
      <c r="AV33" s="47">
        <f>AVERAGEIFS($AQ$2:$AQ$823,Volcanic!$L$2:$L$823,"&gt;="&amp;AJ33,Volcanic!$L$2:$L$823,"&lt;"&amp;(AJ33+1))</f>
        <v>0.44728333333333331</v>
      </c>
    </row>
    <row r="34" spans="1:48">
      <c r="A34" s="45" t="str">
        <f>Volcanic!A34</f>
        <v>11/1960</v>
      </c>
      <c r="B34" s="43">
        <f>Volcanic!B34</f>
        <v>-0.10999999999999766</v>
      </c>
      <c r="C34" s="47">
        <f>Volcanic!C34</f>
        <v>0.16992500144231237</v>
      </c>
      <c r="D34" s="41">
        <v>-0.1</v>
      </c>
      <c r="E34" s="43">
        <f t="shared" si="12"/>
        <v>0.2</v>
      </c>
      <c r="F34" s="48">
        <v>4.2300000000000003E-3</v>
      </c>
      <c r="G34" s="47">
        <f t="shared" si="13"/>
        <v>3.9100000000000003E-3</v>
      </c>
      <c r="H34" s="43">
        <f>Volcanic!D34</f>
        <v>0.15</v>
      </c>
      <c r="I34" s="47">
        <f>Volcanic!E34</f>
        <v>3.9100000000000003E-3</v>
      </c>
      <c r="K34" s="47">
        <f t="shared" si="0"/>
        <v>0.16992500144231237</v>
      </c>
      <c r="L34" s="47">
        <f t="shared" si="1"/>
        <v>0.2</v>
      </c>
      <c r="M34" s="47">
        <f t="shared" si="2"/>
        <v>3.9100000000000003E-3</v>
      </c>
      <c r="O34" s="47">
        <f t="shared" si="3"/>
        <v>0.16992500144231237</v>
      </c>
      <c r="P34" s="47">
        <f t="shared" si="4"/>
        <v>0.15</v>
      </c>
      <c r="Q34" s="47">
        <f t="shared" si="5"/>
        <v>3.9100000000000003E-3</v>
      </c>
      <c r="S34" s="47">
        <f t="shared" si="6"/>
        <v>0.16992500144231237</v>
      </c>
      <c r="T34" s="47">
        <f t="shared" si="7"/>
        <v>0.2</v>
      </c>
      <c r="U34" s="47">
        <f t="shared" si="8"/>
        <v>3.9100000000000003E-3</v>
      </c>
      <c r="W34" s="47">
        <f t="shared" si="9"/>
        <v>-2.2902271708495445E-2</v>
      </c>
      <c r="X34" s="47">
        <f t="shared" si="10"/>
        <v>-2.1204354505050135E-2</v>
      </c>
      <c r="Y34" s="47">
        <f t="shared" si="11"/>
        <v>-2.566829353431542E-2</v>
      </c>
      <c r="AJ34" s="45">
        <v>1991</v>
      </c>
      <c r="AK34" s="47">
        <f>Forcing!B34</f>
        <v>0.40749999999999975</v>
      </c>
      <c r="AL34" s="41">
        <v>1362.0119999999999</v>
      </c>
      <c r="AM34" s="47">
        <f>Forcing!C34</f>
        <v>0.34522235607120461</v>
      </c>
      <c r="AN34" s="43">
        <f>Solar!I34</f>
        <v>1361.5208333333333</v>
      </c>
      <c r="AP34" s="48">
        <v>-0.13819999999999999</v>
      </c>
      <c r="AQ34" s="48">
        <v>-0.1893</v>
      </c>
      <c r="AR34" s="47">
        <f>IF(AP34="","",AP34-($AC$60+$AC$61*Volcanic!C34+$AC$62*Volcanic!D34+$AC$63*Volcanic!E34))</f>
        <v>-3.8420172077649417E-2</v>
      </c>
      <c r="AS34" s="47">
        <f>IF(AQ34="","",AQ34-($AD$60+$AD$61*Volcanic!C34+$AD$62*Volcanic!D34+$AD$63*Volcanic!E34))</f>
        <v>-9.2722926612542111E-2</v>
      </c>
      <c r="AU34" s="47">
        <f>AVERAGEIFS($AP$2:$AP$823,Volcanic!$L$2:$L$823,"&gt;="&amp;AJ34,Volcanic!$L$2:$L$823,"&lt;"&amp;(AJ34+1))</f>
        <v>0.40913333333333335</v>
      </c>
      <c r="AV34" s="47">
        <f>AVERAGEIFS($AQ$2:$AQ$823,Volcanic!$L$2:$L$823,"&gt;="&amp;AJ34,Volcanic!$L$2:$L$823,"&lt;"&amp;(AJ34+1))</f>
        <v>0.43611666666666671</v>
      </c>
    </row>
    <row r="35" spans="1:48" ht="30" customHeight="1">
      <c r="A35" s="45" t="str">
        <f>Volcanic!A35</f>
        <v>12/1960</v>
      </c>
      <c r="B35" s="43">
        <f>Volcanic!B35</f>
        <v>0.19000000000000128</v>
      </c>
      <c r="C35" s="47">
        <f>Volcanic!C35</f>
        <v>0.17536491377542907</v>
      </c>
      <c r="D35" s="41">
        <v>-0.1</v>
      </c>
      <c r="E35" s="43">
        <f t="shared" si="12"/>
        <v>0.2</v>
      </c>
      <c r="F35" s="48">
        <v>4.1200000000000004E-3</v>
      </c>
      <c r="G35" s="47">
        <f t="shared" si="13"/>
        <v>3.9399999999999999E-3</v>
      </c>
      <c r="H35" s="43">
        <f>Volcanic!D35</f>
        <v>0.19</v>
      </c>
      <c r="I35" s="47">
        <f>Volcanic!E35</f>
        <v>3.9399999999999999E-3</v>
      </c>
      <c r="K35" s="47">
        <f t="shared" si="0"/>
        <v>0.17536491377542907</v>
      </c>
      <c r="L35" s="47">
        <f t="shared" si="1"/>
        <v>0.2</v>
      </c>
      <c r="M35" s="47">
        <f t="shared" si="2"/>
        <v>3.9399999999999999E-3</v>
      </c>
      <c r="O35" s="47">
        <f t="shared" si="3"/>
        <v>0.17536491377542907</v>
      </c>
      <c r="P35" s="47">
        <f t="shared" si="4"/>
        <v>0.19</v>
      </c>
      <c r="Q35" s="47">
        <f t="shared" si="5"/>
        <v>3.9399999999999999E-3</v>
      </c>
      <c r="S35" s="47">
        <f t="shared" si="6"/>
        <v>0.17536491377542907</v>
      </c>
      <c r="T35" s="47">
        <f t="shared" si="7"/>
        <v>0.2</v>
      </c>
      <c r="U35" s="47">
        <f t="shared" si="8"/>
        <v>3.9399999999999999E-3</v>
      </c>
      <c r="W35" s="47">
        <f t="shared" si="9"/>
        <v>0.2623283739812946</v>
      </c>
      <c r="X35" s="47">
        <f t="shared" si="10"/>
        <v>0.26040934922130887</v>
      </c>
      <c r="Y35" s="47">
        <f t="shared" si="11"/>
        <v>0.25970459682108216</v>
      </c>
      <c r="AA35" s="64" t="s">
        <v>2255</v>
      </c>
      <c r="AB35" s="53"/>
      <c r="AC35" s="53"/>
      <c r="AD35" s="53"/>
      <c r="AE35" s="53"/>
      <c r="AF35" s="53"/>
      <c r="AG35" s="53"/>
      <c r="AH35" s="53"/>
      <c r="AJ35" s="45">
        <v>1992</v>
      </c>
      <c r="AK35" s="47">
        <f>Forcing!B35</f>
        <v>0.22416666666666707</v>
      </c>
      <c r="AL35" s="41">
        <v>1361.8810000000001</v>
      </c>
      <c r="AM35" s="47">
        <f>Forcing!C35</f>
        <v>0.34862967062131672</v>
      </c>
      <c r="AN35" s="43">
        <f>Solar!I35</f>
        <v>1361.3091666666667</v>
      </c>
      <c r="AP35" s="48">
        <v>0.15890000000000001</v>
      </c>
      <c r="AQ35" s="48">
        <v>0.20469999999999999</v>
      </c>
      <c r="AR35" s="47">
        <f>IF(AP35="","",AP35-($AC$60+$AC$61*Volcanic!C35+$AC$62*Volcanic!D35+$AC$63*Volcanic!E35))</f>
        <v>0.2401519412323285</v>
      </c>
      <c r="AS35" s="47">
        <f>IF(AQ35="","",AQ35-($AD$60+$AD$61*Volcanic!C35+$AD$62*Volcanic!D35+$AD$63*Volcanic!E35))</f>
        <v>0.28228659967089242</v>
      </c>
      <c r="AU35" s="47">
        <f>AVERAGEIFS($AP$2:$AP$823,Volcanic!$L$2:$L$823,"&gt;="&amp;AJ35,Volcanic!$L$2:$L$823,"&lt;"&amp;(AJ35+1))</f>
        <v>0.19534166666666666</v>
      </c>
      <c r="AV35" s="47">
        <f>AVERAGEIFS($AQ$2:$AQ$823,Volcanic!$L$2:$L$823,"&gt;="&amp;AJ35,Volcanic!$L$2:$L$823,"&lt;"&amp;(AJ35+1))</f>
        <v>0.22778333333333331</v>
      </c>
    </row>
    <row r="36" spans="1:48">
      <c r="A36" s="45" t="str">
        <f>Volcanic!A36</f>
        <v>1/1961</v>
      </c>
      <c r="B36" s="43">
        <f>Volcanic!B36</f>
        <v>7.0000000000000284E-2</v>
      </c>
      <c r="C36" s="47">
        <f>Volcanic!C36</f>
        <v>0.17855530658575247</v>
      </c>
      <c r="D36" s="41">
        <v>0</v>
      </c>
      <c r="E36" s="43">
        <f t="shared" si="12"/>
        <v>0.1</v>
      </c>
      <c r="F36" s="48">
        <v>4.0200000000000001E-3</v>
      </c>
      <c r="G36" s="47">
        <f t="shared" si="13"/>
        <v>4.0000000000000001E-3</v>
      </c>
      <c r="H36" s="43">
        <f>Volcanic!D36</f>
        <v>0.08</v>
      </c>
      <c r="I36" s="47">
        <f>Volcanic!E36</f>
        <v>4.0000000000000001E-3</v>
      </c>
      <c r="K36" s="47">
        <f t="shared" si="0"/>
        <v>0.17855530658575247</v>
      </c>
      <c r="L36" s="47">
        <f t="shared" si="1"/>
        <v>0.1</v>
      </c>
      <c r="M36" s="47">
        <f t="shared" si="2"/>
        <v>4.0000000000000001E-3</v>
      </c>
      <c r="O36" s="47">
        <f t="shared" si="3"/>
        <v>0.17855530658575247</v>
      </c>
      <c r="P36" s="47">
        <f t="shared" si="4"/>
        <v>0.08</v>
      </c>
      <c r="Q36" s="47">
        <f t="shared" si="5"/>
        <v>4.0000000000000001E-3</v>
      </c>
      <c r="S36" s="47">
        <f t="shared" si="6"/>
        <v>0.17855530658575247</v>
      </c>
      <c r="T36" s="47">
        <f t="shared" si="7"/>
        <v>0.1</v>
      </c>
      <c r="U36" s="47">
        <f t="shared" si="8"/>
        <v>4.0000000000000001E-3</v>
      </c>
      <c r="W36" s="47">
        <f t="shared" si="9"/>
        <v>0.14304723535999975</v>
      </c>
      <c r="X36" s="47">
        <f t="shared" si="10"/>
        <v>0.14227361630834026</v>
      </c>
      <c r="Y36" s="47">
        <f t="shared" si="11"/>
        <v>0.14063814670190261</v>
      </c>
      <c r="AA36" s="40" t="s">
        <v>2256</v>
      </c>
      <c r="AB36" s="40" t="s">
        <v>2257</v>
      </c>
      <c r="AC36" s="40" t="s">
        <v>2258</v>
      </c>
      <c r="AD36" s="40" t="s">
        <v>2259</v>
      </c>
      <c r="AJ36" s="45">
        <v>1993</v>
      </c>
      <c r="AK36" s="47">
        <f>Forcing!B36</f>
        <v>0.23333333333333339</v>
      </c>
      <c r="AL36" s="41">
        <v>1361.614</v>
      </c>
      <c r="AM36" s="47">
        <f>Forcing!C36</f>
        <v>0.35134440078007922</v>
      </c>
      <c r="AN36" s="43">
        <f>Solar!I36</f>
        <v>1360.9408333333333</v>
      </c>
      <c r="AP36" s="48">
        <v>2.9000000000000001E-2</v>
      </c>
      <c r="AQ36" s="48">
        <v>4.07E-2</v>
      </c>
      <c r="AR36" s="47">
        <f>IF(AP36="","",AP36-($AC$60+$AC$61*Volcanic!C36+$AC$62*Volcanic!D36+$AC$63*Volcanic!E36))</f>
        <v>0.1119855619492432</v>
      </c>
      <c r="AS36" s="47">
        <f>IF(AQ36="","",AQ36-($AD$60+$AD$61*Volcanic!C36+$AD$62*Volcanic!D36+$AD$63*Volcanic!E36))</f>
        <v>0.12000014914283612</v>
      </c>
      <c r="AU36" s="47">
        <f>AVERAGEIFS($AP$2:$AP$823,Volcanic!$L$2:$L$823,"&gt;="&amp;AJ36,Volcanic!$L$2:$L$823,"&lt;"&amp;(AJ36+1))</f>
        <v>0.23640000000000003</v>
      </c>
      <c r="AV36" s="47">
        <f>AVERAGEIFS($AQ$2:$AQ$823,Volcanic!$L$2:$L$823,"&gt;="&amp;AJ36,Volcanic!$L$2:$L$823,"&lt;"&amp;(AJ36+1))</f>
        <v>0.28436666666666666</v>
      </c>
    </row>
    <row r="37" spans="1:48">
      <c r="A37" s="45" t="str">
        <f>Volcanic!A37</f>
        <v>2/1961</v>
      </c>
      <c r="B37" s="43">
        <f>Volcanic!B37</f>
        <v>0.19000000000000128</v>
      </c>
      <c r="C37" s="47">
        <f>Volcanic!C37</f>
        <v>0.18223826288116377</v>
      </c>
      <c r="D37" s="41">
        <v>0</v>
      </c>
      <c r="E37" s="43">
        <f t="shared" si="12"/>
        <v>-0.1</v>
      </c>
      <c r="F37" s="48">
        <v>3.8899999999999998E-3</v>
      </c>
      <c r="G37" s="47">
        <f t="shared" si="13"/>
        <v>4.0800000000000003E-3</v>
      </c>
      <c r="H37" s="43">
        <f>Volcanic!D37</f>
        <v>-7.0000000000000007E-2</v>
      </c>
      <c r="I37" s="47">
        <f>Volcanic!E37</f>
        <v>4.0800000000000003E-3</v>
      </c>
      <c r="K37" s="47">
        <f t="shared" si="0"/>
        <v>0.18223826288116377</v>
      </c>
      <c r="L37" s="47">
        <f t="shared" si="1"/>
        <v>-0.1</v>
      </c>
      <c r="M37" s="47">
        <f t="shared" si="2"/>
        <v>4.0800000000000003E-3</v>
      </c>
      <c r="O37" s="47">
        <f t="shared" si="3"/>
        <v>0.18223826288116377</v>
      </c>
      <c r="P37" s="47">
        <f t="shared" si="4"/>
        <v>-7.0000000000000007E-2</v>
      </c>
      <c r="Q37" s="47">
        <f t="shared" si="5"/>
        <v>4.0800000000000003E-3</v>
      </c>
      <c r="S37" s="47">
        <f t="shared" si="6"/>
        <v>0.18223826288116377</v>
      </c>
      <c r="T37" s="47">
        <f t="shared" si="7"/>
        <v>-0.1</v>
      </c>
      <c r="U37" s="47">
        <f t="shared" si="8"/>
        <v>4.0800000000000003E-3</v>
      </c>
      <c r="W37" s="47">
        <f t="shared" si="9"/>
        <v>0.27175420391873917</v>
      </c>
      <c r="X37" s="47">
        <f t="shared" si="10"/>
        <v>0.26661590161190818</v>
      </c>
      <c r="Y37" s="47">
        <f t="shared" si="11"/>
        <v>0.26969359046237479</v>
      </c>
      <c r="AA37" s="45" t="s">
        <v>2260</v>
      </c>
      <c r="AB37" s="47">
        <f>Forcing!T14</f>
        <v>0.40882660364013163</v>
      </c>
      <c r="AC37" s="43">
        <f>Forcing!T17</f>
        <v>1.6066885523057173</v>
      </c>
      <c r="AD37" s="45" t="s">
        <v>2261</v>
      </c>
      <c r="AJ37" s="45">
        <v>1994</v>
      </c>
      <c r="AK37" s="47">
        <f>Forcing!B37</f>
        <v>0.31583333333333358</v>
      </c>
      <c r="AL37" s="41">
        <v>1361.396</v>
      </c>
      <c r="AM37" s="47">
        <f>Forcing!C37</f>
        <v>0.35837405183815102</v>
      </c>
      <c r="AN37" s="43">
        <f>Solar!I37</f>
        <v>1360.7441666666666</v>
      </c>
      <c r="AP37" s="48">
        <v>0.17199999999999999</v>
      </c>
      <c r="AQ37" s="48">
        <v>0.15570000000000001</v>
      </c>
      <c r="AR37" s="47">
        <f>IF(AP37="","",AP37-($AC$60+$AC$61*Volcanic!C37+$AC$62*Volcanic!D37+$AC$63*Volcanic!E37))</f>
        <v>0.25916811288055613</v>
      </c>
      <c r="AS37" s="47">
        <f>IF(AQ37="","",AQ37-($AD$60+$AD$61*Volcanic!C37+$AD$62*Volcanic!D37+$AD$63*Volcanic!E37))</f>
        <v>0.23920246142716289</v>
      </c>
      <c r="AU37" s="47">
        <f>AVERAGEIFS($AP$2:$AP$823,Volcanic!$L$2:$L$823,"&gt;="&amp;AJ37,Volcanic!$L$2:$L$823,"&lt;"&amp;(AJ37+1))</f>
        <v>0.3027583333333333</v>
      </c>
      <c r="AV37" s="47">
        <f>AVERAGEIFS($AQ$2:$AQ$823,Volcanic!$L$2:$L$823,"&gt;="&amp;AJ37,Volcanic!$L$2:$L$823,"&lt;"&amp;(AJ37+1))</f>
        <v>0.33328333333333332</v>
      </c>
    </row>
    <row r="38" spans="1:48">
      <c r="A38" s="45" t="str">
        <f>Volcanic!A38</f>
        <v>3/1961</v>
      </c>
      <c r="B38" s="43">
        <f>Volcanic!B38</f>
        <v>8.9999999999999858E-2</v>
      </c>
      <c r="C38" s="47">
        <f>Volcanic!C38</f>
        <v>0.18604772012519621</v>
      </c>
      <c r="D38" s="41">
        <v>0</v>
      </c>
      <c r="E38" s="43">
        <f t="shared" si="12"/>
        <v>-0.1</v>
      </c>
      <c r="F38" s="48">
        <v>3.82E-3</v>
      </c>
      <c r="G38" s="47">
        <f t="shared" si="13"/>
        <v>4.1799999999999997E-3</v>
      </c>
      <c r="H38" s="43">
        <f>Volcanic!D38</f>
        <v>-7.0000000000000007E-2</v>
      </c>
      <c r="I38" s="47">
        <f>Volcanic!E38</f>
        <v>4.1799999999999997E-3</v>
      </c>
      <c r="K38" s="47">
        <f t="shared" si="0"/>
        <v>0.18604772012519621</v>
      </c>
      <c r="L38" s="47">
        <f t="shared" si="1"/>
        <v>-0.1</v>
      </c>
      <c r="M38" s="47">
        <f t="shared" si="2"/>
        <v>4.1799999999999997E-3</v>
      </c>
      <c r="O38" s="47">
        <f t="shared" si="3"/>
        <v>0.18604772012519621</v>
      </c>
      <c r="P38" s="47">
        <f t="shared" si="4"/>
        <v>-7.0000000000000007E-2</v>
      </c>
      <c r="Q38" s="47">
        <f t="shared" si="5"/>
        <v>4.1799999999999997E-3</v>
      </c>
      <c r="S38" s="47">
        <f t="shared" si="6"/>
        <v>0.18604772012519621</v>
      </c>
      <c r="T38" s="47">
        <f t="shared" si="7"/>
        <v>-0.1</v>
      </c>
      <c r="U38" s="47">
        <f t="shared" si="8"/>
        <v>4.1799999999999997E-3</v>
      </c>
      <c r="W38" s="47">
        <f t="shared" si="9"/>
        <v>0.16158559289829888</v>
      </c>
      <c r="X38" s="47">
        <f t="shared" si="10"/>
        <v>0.15657800910926362</v>
      </c>
      <c r="Y38" s="47">
        <f t="shared" si="11"/>
        <v>0.15965715941528996</v>
      </c>
      <c r="AA38" s="45" t="s">
        <v>2262</v>
      </c>
      <c r="AB38" s="48">
        <v>0.41149999999999998</v>
      </c>
      <c r="AC38" s="41">
        <v>1.617</v>
      </c>
      <c r="AD38" s="45" t="s">
        <v>2263</v>
      </c>
      <c r="AJ38" s="45">
        <v>1995</v>
      </c>
      <c r="AK38" s="47">
        <f>Forcing!B38</f>
        <v>0.4475000000000004</v>
      </c>
      <c r="AL38" s="41">
        <v>1361.3109999999999</v>
      </c>
      <c r="AM38" s="47">
        <f>Forcing!C38</f>
        <v>0.36642608584109237</v>
      </c>
      <c r="AN38" s="43">
        <f>Solar!I38</f>
        <v>1360.7325000000001</v>
      </c>
      <c r="AP38" s="48">
        <v>2.01E-2</v>
      </c>
      <c r="AQ38" s="48">
        <v>2.3699999999999999E-2</v>
      </c>
      <c r="AR38" s="47">
        <f>IF(AP38="","",AP38-($AC$60+$AC$61*Volcanic!C38+$AC$62*Volcanic!D38+$AC$63*Volcanic!E38))</f>
        <v>9.7106598122495363E-2</v>
      </c>
      <c r="AS38" s="47">
        <f>IF(AQ38="","",AQ38-($AD$60+$AD$61*Volcanic!C38+$AD$62*Volcanic!D38+$AD$63*Volcanic!E38))</f>
        <v>9.6761615718073679E-2</v>
      </c>
      <c r="AU38" s="47">
        <f>AVERAGEIFS($AP$2:$AP$823,Volcanic!$L$2:$L$823,"&gt;="&amp;AJ38,Volcanic!$L$2:$L$823,"&lt;"&amp;(AJ38+1))</f>
        <v>0.44644166666666668</v>
      </c>
      <c r="AV38" s="47">
        <f>AVERAGEIFS($AQ$2:$AQ$823,Volcanic!$L$2:$L$823,"&gt;="&amp;AJ38,Volcanic!$L$2:$L$823,"&lt;"&amp;(AJ38+1))</f>
        <v>0.49120000000000003</v>
      </c>
    </row>
    <row r="39" spans="1:48">
      <c r="A39" s="45" t="str">
        <f>Volcanic!A39</f>
        <v>4/1961</v>
      </c>
      <c r="B39" s="43">
        <f>Volcanic!B39</f>
        <v>0.12999999999999901</v>
      </c>
      <c r="C39" s="47">
        <f>Volcanic!C39</f>
        <v>0.19029879162659466</v>
      </c>
      <c r="D39" s="41">
        <v>0.1</v>
      </c>
      <c r="E39" s="43">
        <f t="shared" si="12"/>
        <v>0</v>
      </c>
      <c r="F39" s="48">
        <v>3.8500000000000001E-3</v>
      </c>
      <c r="G39" s="47">
        <f t="shared" si="13"/>
        <v>4.2399999999999998E-3</v>
      </c>
      <c r="H39" s="43">
        <f>Volcanic!D39</f>
        <v>0</v>
      </c>
      <c r="I39" s="47">
        <f>Volcanic!E39</f>
        <v>4.2399999999999998E-3</v>
      </c>
      <c r="K39" s="47">
        <f t="shared" si="0"/>
        <v>0.19029879162659466</v>
      </c>
      <c r="L39" s="47">
        <f t="shared" si="1"/>
        <v>0</v>
      </c>
      <c r="M39" s="47">
        <f t="shared" si="2"/>
        <v>4.2399999999999998E-3</v>
      </c>
      <c r="O39" s="47">
        <f t="shared" si="3"/>
        <v>0.19029879162659466</v>
      </c>
      <c r="P39" s="47">
        <f t="shared" si="4"/>
        <v>0</v>
      </c>
      <c r="Q39" s="47">
        <f t="shared" si="5"/>
        <v>4.2399999999999998E-3</v>
      </c>
      <c r="S39" s="47">
        <f t="shared" si="6"/>
        <v>0.19029879162659466</v>
      </c>
      <c r="T39" s="47">
        <f t="shared" si="7"/>
        <v>0</v>
      </c>
      <c r="U39" s="47">
        <f t="shared" si="8"/>
        <v>4.2399999999999998E-3</v>
      </c>
      <c r="W39" s="47">
        <f t="shared" si="9"/>
        <v>0.18083716082741955</v>
      </c>
      <c r="X39" s="47">
        <f t="shared" si="10"/>
        <v>0.1786661347202963</v>
      </c>
      <c r="Y39" s="47">
        <f t="shared" si="11"/>
        <v>0.17892117748765374</v>
      </c>
      <c r="AA39" s="45" t="s">
        <v>2264</v>
      </c>
      <c r="AB39" s="48">
        <v>0.3926</v>
      </c>
      <c r="AC39" s="41">
        <v>1.5429999999999999</v>
      </c>
      <c r="AD39" s="45" t="s">
        <v>2265</v>
      </c>
      <c r="AJ39" s="45">
        <v>1996</v>
      </c>
      <c r="AK39" s="47">
        <f>Forcing!B39</f>
        <v>0.33416666666666667</v>
      </c>
      <c r="AL39" s="41">
        <v>1361.2349999999999</v>
      </c>
      <c r="AM39" s="47">
        <f>Forcing!C39</f>
        <v>0.37350293517077987</v>
      </c>
      <c r="AN39" s="43">
        <f>Solar!I39</f>
        <v>1360.6758333333335</v>
      </c>
      <c r="AP39" s="48">
        <v>0.14169999999999999</v>
      </c>
      <c r="AQ39" s="48">
        <v>0.13769999999999999</v>
      </c>
      <c r="AR39" s="47">
        <f>IF(AP39="","",AP39-($AC$60+$AC$61*Volcanic!C39+$AC$62*Volcanic!D39+$AC$63*Volcanic!E39))</f>
        <v>0.20068780280297654</v>
      </c>
      <c r="AS39" s="47">
        <f>IF(AQ39="","",AQ39-($AD$60+$AD$61*Volcanic!C39+$AD$62*Volcanic!D39+$AD$63*Volcanic!E39))</f>
        <v>0.19230273847933055</v>
      </c>
      <c r="AU39" s="47">
        <f>AVERAGEIFS($AP$2:$AP$823,Volcanic!$L$2:$L$823,"&gt;="&amp;AJ39,Volcanic!$L$2:$L$823,"&lt;"&amp;(AJ39+1))</f>
        <v>0.34615000000000001</v>
      </c>
      <c r="AV39" s="47">
        <f>AVERAGEIFS($AQ$2:$AQ$823,Volcanic!$L$2:$L$823,"&gt;="&amp;AJ39,Volcanic!$L$2:$L$823,"&lt;"&amp;(AJ39+1))</f>
        <v>0.37936666666666669</v>
      </c>
    </row>
    <row r="40" spans="1:48">
      <c r="A40" s="45" t="str">
        <f>Volcanic!A40</f>
        <v>5/1961</v>
      </c>
      <c r="B40" s="43">
        <f>Volcanic!B40</f>
        <v>0.11999999999999744</v>
      </c>
      <c r="C40" s="47">
        <f>Volcanic!C40</f>
        <v>0.1952575958242399</v>
      </c>
      <c r="D40" s="41">
        <v>0.2</v>
      </c>
      <c r="E40" s="43">
        <f t="shared" si="12"/>
        <v>0</v>
      </c>
      <c r="F40" s="48">
        <v>3.8899999999999998E-3</v>
      </c>
      <c r="G40" s="47">
        <f t="shared" si="13"/>
        <v>4.3099999999999996E-3</v>
      </c>
      <c r="H40" s="43">
        <f>Volcanic!D40</f>
        <v>0.03</v>
      </c>
      <c r="I40" s="47">
        <f>Volcanic!E40</f>
        <v>4.3099999999999996E-3</v>
      </c>
      <c r="K40" s="47">
        <f t="shared" si="0"/>
        <v>0.1952575958242399</v>
      </c>
      <c r="L40" s="47">
        <f t="shared" si="1"/>
        <v>0</v>
      </c>
      <c r="M40" s="47">
        <f t="shared" si="2"/>
        <v>4.3099999999999996E-3</v>
      </c>
      <c r="O40" s="47">
        <f t="shared" si="3"/>
        <v>0.1952575958242399</v>
      </c>
      <c r="P40" s="47">
        <f t="shared" si="4"/>
        <v>0.03</v>
      </c>
      <c r="Q40" s="47">
        <f t="shared" si="5"/>
        <v>4.3099999999999996E-3</v>
      </c>
      <c r="S40" s="47">
        <f t="shared" si="6"/>
        <v>0.1952575958242399</v>
      </c>
      <c r="T40" s="47">
        <f t="shared" si="7"/>
        <v>0</v>
      </c>
      <c r="U40" s="47">
        <f t="shared" si="8"/>
        <v>4.3099999999999996E-3</v>
      </c>
      <c r="W40" s="47">
        <f t="shared" si="9"/>
        <v>0.15746800184781656</v>
      </c>
      <c r="X40" s="47">
        <f t="shared" si="10"/>
        <v>0.15262442411456562</v>
      </c>
      <c r="Y40" s="47">
        <f t="shared" si="11"/>
        <v>0.15569926932078765</v>
      </c>
      <c r="AA40" s="45" t="s">
        <v>2266</v>
      </c>
      <c r="AB40" s="48">
        <v>0.39610000000000001</v>
      </c>
      <c r="AC40" s="41">
        <v>1.5569999999999999</v>
      </c>
      <c r="AD40" s="45" t="s">
        <v>2267</v>
      </c>
      <c r="AJ40" s="45">
        <v>1997</v>
      </c>
      <c r="AK40" s="47">
        <f>Forcing!B40</f>
        <v>0.46749999999999964</v>
      </c>
      <c r="AL40" s="41">
        <v>1361.357</v>
      </c>
      <c r="AM40" s="47">
        <f>Forcing!C40</f>
        <v>0.37800252302471615</v>
      </c>
      <c r="AN40" s="43">
        <f>Solar!I40</f>
        <v>1360.8066666666666</v>
      </c>
      <c r="AP40" s="48">
        <v>0.14899999999999999</v>
      </c>
      <c r="AQ40" s="48">
        <v>0.15570000000000001</v>
      </c>
      <c r="AR40" s="47">
        <f>IF(AP40="","",AP40-($AC$60+$AC$61*Volcanic!C40+$AC$62*Volcanic!D40+$AC$63*Volcanic!E40))</f>
        <v>0.1918063329053516</v>
      </c>
      <c r="AS40" s="47">
        <f>IF(AQ40="","",AQ40-($AD$60+$AD$61*Volcanic!C40+$AD$62*Volcanic!D40+$AD$63*Volcanic!E40))</f>
        <v>0.1937070546036041</v>
      </c>
      <c r="AU40" s="47">
        <f>AVERAGEIFS($AP$2:$AP$823,Volcanic!$L$2:$L$823,"&gt;="&amp;AJ40,Volcanic!$L$2:$L$823,"&lt;"&amp;(AJ40+1))</f>
        <v>0.49039166666666673</v>
      </c>
      <c r="AV40" s="47">
        <f>AVERAGEIFS($AQ$2:$AQ$823,Volcanic!$L$2:$L$823,"&gt;="&amp;AJ40,Volcanic!$L$2:$L$823,"&lt;"&amp;(AJ40+1))</f>
        <v>0.52011666666666667</v>
      </c>
    </row>
    <row r="41" spans="1:48">
      <c r="A41" s="45" t="str">
        <f>Volcanic!A41</f>
        <v>6/1961</v>
      </c>
      <c r="B41" s="43">
        <f>Volcanic!B41</f>
        <v>0.10999999999999766</v>
      </c>
      <c r="C41" s="47">
        <f>Volcanic!C41</f>
        <v>0.19160776805384336</v>
      </c>
      <c r="D41" s="41">
        <v>0.2</v>
      </c>
      <c r="E41" s="43">
        <f t="shared" si="12"/>
        <v>0</v>
      </c>
      <c r="F41" s="48">
        <v>3.96E-3</v>
      </c>
      <c r="G41" s="47">
        <f t="shared" si="13"/>
        <v>4.2300000000000003E-3</v>
      </c>
      <c r="H41" s="43">
        <f>Volcanic!D41</f>
        <v>0.01</v>
      </c>
      <c r="I41" s="47">
        <f>Volcanic!E41</f>
        <v>4.2300000000000003E-3</v>
      </c>
      <c r="K41" s="47">
        <f t="shared" si="0"/>
        <v>0.19160776805384336</v>
      </c>
      <c r="L41" s="47">
        <f t="shared" si="1"/>
        <v>0</v>
      </c>
      <c r="M41" s="47">
        <f t="shared" si="2"/>
        <v>4.2300000000000003E-3</v>
      </c>
      <c r="O41" s="47">
        <f t="shared" si="3"/>
        <v>0.19160776805384336</v>
      </c>
      <c r="P41" s="47">
        <f t="shared" si="4"/>
        <v>0.01</v>
      </c>
      <c r="Q41" s="47">
        <f t="shared" si="5"/>
        <v>4.2300000000000003E-3</v>
      </c>
      <c r="S41" s="47">
        <f t="shared" si="6"/>
        <v>0.19160776805384336</v>
      </c>
      <c r="T41" s="47">
        <f t="shared" si="7"/>
        <v>0</v>
      </c>
      <c r="U41" s="47">
        <f t="shared" si="8"/>
        <v>4.2300000000000003E-3</v>
      </c>
      <c r="W41" s="47">
        <f t="shared" si="9"/>
        <v>0.15724534975758514</v>
      </c>
      <c r="X41" s="47">
        <f t="shared" si="10"/>
        <v>0.15416172448227064</v>
      </c>
      <c r="Y41" s="47">
        <f t="shared" si="11"/>
        <v>0.15535649452694453</v>
      </c>
      <c r="AA41" s="45" t="s">
        <v>2268</v>
      </c>
      <c r="AB41" s="48">
        <v>0.41170000000000001</v>
      </c>
      <c r="AC41" s="41">
        <v>1.6180000000000001</v>
      </c>
      <c r="AJ41" s="45">
        <v>1998</v>
      </c>
      <c r="AK41" s="47">
        <f>Forcing!B41</f>
        <v>0.6091666666666683</v>
      </c>
      <c r="AL41" s="41">
        <v>1361.703</v>
      </c>
      <c r="AM41" s="47">
        <f>Forcing!C41</f>
        <v>0.3897083812206969</v>
      </c>
      <c r="AN41" s="43">
        <f>Solar!I41</f>
        <v>1361.1741666666667</v>
      </c>
      <c r="AP41" s="48">
        <v>0.1673</v>
      </c>
      <c r="AQ41" s="48">
        <v>0.11169999999999999</v>
      </c>
      <c r="AR41" s="47">
        <f>IF(AP41="","",AP41-($AC$60+$AC$61*Volcanic!C41+$AC$62*Volcanic!D41+$AC$63*Volcanic!E41))</f>
        <v>0.22175298816032279</v>
      </c>
      <c r="AS41" s="47">
        <f>IF(AQ41="","",AQ41-($AD$60+$AD$61*Volcanic!C41+$AD$62*Volcanic!D41+$AD$63*Volcanic!E41))</f>
        <v>0.16165788899233241</v>
      </c>
      <c r="AU41" s="47">
        <f>AVERAGEIFS($AP$2:$AP$823,Volcanic!$L$2:$L$823,"&gt;="&amp;AJ41,Volcanic!$L$2:$L$823,"&lt;"&amp;(AJ41+1))</f>
        <v>0.64727500000000004</v>
      </c>
      <c r="AV41" s="47">
        <f>AVERAGEIFS($AQ$2:$AQ$823,Volcanic!$L$2:$L$823,"&gt;="&amp;AJ41,Volcanic!$L$2:$L$823,"&lt;"&amp;(AJ41+1))</f>
        <v>0.66928333333333334</v>
      </c>
    </row>
    <row r="42" spans="1:48">
      <c r="A42" s="45" t="str">
        <f>Volcanic!A42</f>
        <v>7/1961</v>
      </c>
      <c r="B42" s="43">
        <f>Volcanic!B42</f>
        <v>1.0000000000001563E-2</v>
      </c>
      <c r="C42" s="47">
        <f>Volcanic!C42</f>
        <v>0.18613829900081141</v>
      </c>
      <c r="D42" s="41">
        <v>0.1</v>
      </c>
      <c r="E42" s="43">
        <f t="shared" si="12"/>
        <v>0.1</v>
      </c>
      <c r="F42" s="48">
        <v>4.0499999999999998E-3</v>
      </c>
      <c r="G42" s="47">
        <f t="shared" si="13"/>
        <v>4.1200000000000004E-3</v>
      </c>
      <c r="H42" s="43">
        <f>Volcanic!D42</f>
        <v>0.05</v>
      </c>
      <c r="I42" s="47">
        <f>Volcanic!E42</f>
        <v>4.1200000000000004E-3</v>
      </c>
      <c r="K42" s="47">
        <f t="shared" si="0"/>
        <v>0.18613829900081141</v>
      </c>
      <c r="L42" s="47">
        <f t="shared" si="1"/>
        <v>0.1</v>
      </c>
      <c r="M42" s="47">
        <f t="shared" si="2"/>
        <v>4.1200000000000004E-3</v>
      </c>
      <c r="O42" s="47">
        <f t="shared" si="3"/>
        <v>0.18613829900081141</v>
      </c>
      <c r="P42" s="47">
        <f t="shared" si="4"/>
        <v>0.05</v>
      </c>
      <c r="Q42" s="47">
        <f t="shared" si="5"/>
        <v>4.1200000000000004E-3</v>
      </c>
      <c r="S42" s="47">
        <f t="shared" si="6"/>
        <v>0.18613829900081141</v>
      </c>
      <c r="T42" s="47">
        <f t="shared" si="7"/>
        <v>0.1</v>
      </c>
      <c r="U42" s="47">
        <f t="shared" si="8"/>
        <v>4.1200000000000004E-3</v>
      </c>
      <c r="W42" s="47">
        <f t="shared" si="9"/>
        <v>6.2631696219074579E-2</v>
      </c>
      <c r="X42" s="47">
        <f t="shared" si="10"/>
        <v>6.4904014792907971E-2</v>
      </c>
      <c r="Y42" s="47">
        <f t="shared" si="11"/>
        <v>6.0453125124068252E-2</v>
      </c>
      <c r="AA42" s="45" t="s">
        <v>2269</v>
      </c>
      <c r="AB42" s="41" t="s">
        <v>2270</v>
      </c>
      <c r="AC42" s="41" t="s">
        <v>2271</v>
      </c>
      <c r="AD42" s="45" t="s">
        <v>2272</v>
      </c>
      <c r="AJ42" s="45">
        <v>1999</v>
      </c>
      <c r="AK42" s="47">
        <f>Forcing!B42</f>
        <v>0.38249999999999984</v>
      </c>
      <c r="AL42" s="41">
        <v>1361.973</v>
      </c>
      <c r="AM42" s="47">
        <f>Forcing!C42</f>
        <v>0.3963732865394658</v>
      </c>
      <c r="AN42" s="43">
        <f>Solar!I42</f>
        <v>1361.4808333333333</v>
      </c>
      <c r="AP42" s="48">
        <v>4.2700000000000002E-2</v>
      </c>
      <c r="AQ42" s="48">
        <v>-1.2999999999999999E-3</v>
      </c>
      <c r="AR42" s="47">
        <f>IF(AP42="","",AP42-($AC$60+$AC$61*Volcanic!C42+$AC$62*Volcanic!D42+$AC$63*Volcanic!E42))</f>
        <v>0.1080774785500148</v>
      </c>
      <c r="AS42" s="47">
        <f>IF(AQ42="","",AQ42-($AD$60+$AD$61*Volcanic!C42+$AD$62*Volcanic!D42+$AD$63*Volcanic!E42))</f>
        <v>5.9902773031790042E-2</v>
      </c>
      <c r="AU42" s="47">
        <f>AVERAGEIFS($AP$2:$AP$823,Volcanic!$L$2:$L$823,"&gt;="&amp;AJ42,Volcanic!$L$2:$L$823,"&lt;"&amp;(AJ42+1))</f>
        <v>0.39335833333333331</v>
      </c>
      <c r="AV42" s="47">
        <f>AVERAGEIFS($AQ$2:$AQ$823,Volcanic!$L$2:$L$823,"&gt;="&amp;AJ42,Volcanic!$L$2:$L$823,"&lt;"&amp;(AJ42+1))</f>
        <v>0.42778333333333335</v>
      </c>
    </row>
    <row r="43" spans="1:48">
      <c r="A43" s="45" t="str">
        <f>Volcanic!A43</f>
        <v>8/1961</v>
      </c>
      <c r="B43" s="43">
        <f>Volcanic!B43</f>
        <v>1.0000000000001563E-2</v>
      </c>
      <c r="C43" s="47">
        <f>Volcanic!C43</f>
        <v>0.17809996791233229</v>
      </c>
      <c r="D43" s="41">
        <v>-0.2</v>
      </c>
      <c r="E43" s="43">
        <f t="shared" si="12"/>
        <v>0.2</v>
      </c>
      <c r="F43" s="48">
        <v>4.15E-3</v>
      </c>
      <c r="G43" s="47">
        <f t="shared" si="13"/>
        <v>4.0200000000000001E-3</v>
      </c>
      <c r="H43" s="43">
        <f>Volcanic!D43</f>
        <v>0.22</v>
      </c>
      <c r="I43" s="47">
        <f>Volcanic!E43</f>
        <v>4.0200000000000001E-3</v>
      </c>
      <c r="K43" s="47">
        <f t="shared" si="0"/>
        <v>0.17809996791233229</v>
      </c>
      <c r="L43" s="47">
        <f t="shared" si="1"/>
        <v>0.2</v>
      </c>
      <c r="M43" s="47">
        <f t="shared" si="2"/>
        <v>4.0200000000000001E-3</v>
      </c>
      <c r="O43" s="47">
        <f t="shared" si="3"/>
        <v>0.17809996791233229</v>
      </c>
      <c r="P43" s="47">
        <f t="shared" si="4"/>
        <v>0.22</v>
      </c>
      <c r="Q43" s="47">
        <f t="shared" si="5"/>
        <v>4.0200000000000001E-3</v>
      </c>
      <c r="S43" s="47">
        <f t="shared" si="6"/>
        <v>0.17809996791233229</v>
      </c>
      <c r="T43" s="47">
        <f t="shared" si="7"/>
        <v>0.2</v>
      </c>
      <c r="U43" s="47">
        <f t="shared" si="8"/>
        <v>4.0200000000000001E-3</v>
      </c>
      <c r="W43" s="47">
        <f t="shared" si="9"/>
        <v>7.5045751514426995E-2</v>
      </c>
      <c r="X43" s="47">
        <f t="shared" si="10"/>
        <v>7.0405849589265934E-2</v>
      </c>
      <c r="Y43" s="47">
        <f t="shared" si="11"/>
        <v>7.2520257262207233E-2</v>
      </c>
      <c r="AA43" s="45" t="s">
        <v>2855</v>
      </c>
      <c r="AC43" s="41" t="s">
        <v>2273</v>
      </c>
      <c r="AJ43" s="45">
        <v>2000</v>
      </c>
      <c r="AK43" s="47">
        <f>Forcing!B43</f>
        <v>0.39333333333333381</v>
      </c>
      <c r="AL43" s="41">
        <v>1362.2539999999999</v>
      </c>
      <c r="AM43" s="47">
        <f>Forcing!C43</f>
        <v>0.400943554731721</v>
      </c>
      <c r="AN43" s="43">
        <f>Solar!I43</f>
        <v>1361.6591666666666</v>
      </c>
      <c r="AP43" s="48">
        <v>6.6900000000000001E-2</v>
      </c>
      <c r="AQ43" s="48">
        <v>-6.3E-3</v>
      </c>
      <c r="AR43" s="47">
        <f>IF(AP43="","",AP43-($AC$60+$AC$61*Volcanic!C43+$AC$62*Volcanic!D43+$AC$63*Volcanic!E43))</f>
        <v>0.13806672325357811</v>
      </c>
      <c r="AS43" s="47">
        <f>IF(AQ43="","",AQ43-($AD$60+$AD$61*Volcanic!C43+$AD$62*Volcanic!D43+$AD$63*Volcanic!E43))</f>
        <v>6.0942304848249432E-2</v>
      </c>
      <c r="AU43" s="47">
        <f>AVERAGEIFS($AP$2:$AP$823,Volcanic!$L$2:$L$823,"&gt;="&amp;AJ43,Volcanic!$L$2:$L$823,"&lt;"&amp;(AJ43+1))</f>
        <v>0.40080833333333338</v>
      </c>
      <c r="AV43" s="47">
        <f>AVERAGEIFS($AQ$2:$AQ$823,Volcanic!$L$2:$L$823,"&gt;="&amp;AJ43,Volcanic!$L$2:$L$823,"&lt;"&amp;(AJ43+1))</f>
        <v>0.42778333333333324</v>
      </c>
    </row>
    <row r="44" spans="1:48">
      <c r="A44" s="45" t="str">
        <f>Volcanic!A44</f>
        <v>9/1961</v>
      </c>
      <c r="B44" s="43">
        <f>Volcanic!B44</f>
        <v>8.0000000000000071E-2</v>
      </c>
      <c r="C44" s="47">
        <f>Volcanic!C44</f>
        <v>0.16987920087274735</v>
      </c>
      <c r="D44" s="41">
        <v>-0.3</v>
      </c>
      <c r="E44" s="43">
        <f t="shared" si="12"/>
        <v>0.2</v>
      </c>
      <c r="F44" s="48">
        <v>4.2199999999999998E-3</v>
      </c>
      <c r="G44" s="47">
        <f t="shared" si="13"/>
        <v>3.8899999999999998E-3</v>
      </c>
      <c r="H44" s="43">
        <f>Volcanic!D44</f>
        <v>0.22</v>
      </c>
      <c r="I44" s="47">
        <f>Volcanic!E44</f>
        <v>3.8899999999999998E-3</v>
      </c>
      <c r="K44" s="47">
        <f t="shared" si="0"/>
        <v>0.16987920087274735</v>
      </c>
      <c r="L44" s="47">
        <f t="shared" si="1"/>
        <v>0.2</v>
      </c>
      <c r="M44" s="47">
        <f t="shared" si="2"/>
        <v>3.8899999999999998E-3</v>
      </c>
      <c r="O44" s="47">
        <f t="shared" si="3"/>
        <v>0.16987920087274735</v>
      </c>
      <c r="P44" s="47">
        <f t="shared" si="4"/>
        <v>0.22</v>
      </c>
      <c r="Q44" s="47">
        <f t="shared" si="5"/>
        <v>3.8899999999999998E-3</v>
      </c>
      <c r="S44" s="47">
        <f t="shared" si="6"/>
        <v>0.16987920087274735</v>
      </c>
      <c r="T44" s="47">
        <f t="shared" si="7"/>
        <v>0.2</v>
      </c>
      <c r="U44" s="47">
        <f t="shared" si="8"/>
        <v>3.8899999999999998E-3</v>
      </c>
      <c r="W44" s="47">
        <f t="shared" si="9"/>
        <v>0.16717856284069482</v>
      </c>
      <c r="X44" s="47">
        <f t="shared" si="10"/>
        <v>0.16229168303093156</v>
      </c>
      <c r="Y44" s="47">
        <f t="shared" si="11"/>
        <v>0.1644032013573464</v>
      </c>
      <c r="AA44" s="40" t="s">
        <v>2274</v>
      </c>
      <c r="AC44" s="41" t="s">
        <v>2275</v>
      </c>
      <c r="AD44" s="45" t="s">
        <v>2276</v>
      </c>
      <c r="AJ44" s="45">
        <v>2001</v>
      </c>
      <c r="AK44" s="47">
        <f>Forcing!B44</f>
        <v>0.5333333333333331</v>
      </c>
      <c r="AL44" s="41">
        <v>1362.0809999999999</v>
      </c>
      <c r="AM44" s="47">
        <f>Forcing!C44</f>
        <v>0.40721575059890908</v>
      </c>
      <c r="AN44" s="43">
        <f>Solar!I44</f>
        <v>1361.5691666666667</v>
      </c>
      <c r="AP44" s="48">
        <v>5.0299999999999997E-2</v>
      </c>
      <c r="AQ44" s="48">
        <v>2.7699999999999999E-2</v>
      </c>
      <c r="AR44" s="47">
        <f>IF(AP44="","",AP44-($AC$60+$AC$61*Volcanic!C44+$AC$62*Volcanic!D44+$AC$63*Volcanic!E44))</f>
        <v>0.14360161023834428</v>
      </c>
      <c r="AS44" s="47">
        <f>IF(AQ44="","",AQ44-($AD$60+$AD$61*Volcanic!C44+$AD$62*Volcanic!D44+$AD$63*Volcanic!E44))</f>
        <v>0.11767004564624178</v>
      </c>
      <c r="AU44" s="47">
        <f>AVERAGEIFS($AP$2:$AP$823,Volcanic!$L$2:$L$823,"&gt;="&amp;AJ44,Volcanic!$L$2:$L$823,"&lt;"&amp;(AJ44+1))</f>
        <v>0.55876666666666674</v>
      </c>
      <c r="AV44" s="47">
        <f>AVERAGEIFS($AQ$2:$AQ$823,Volcanic!$L$2:$L$823,"&gt;="&amp;AJ44,Volcanic!$L$2:$L$823,"&lt;"&amp;(AJ44+1))</f>
        <v>0.56211666666666671</v>
      </c>
    </row>
    <row r="45" spans="1:48">
      <c r="A45" s="45" t="str">
        <f>Volcanic!A45</f>
        <v>10/1961</v>
      </c>
      <c r="B45" s="43">
        <f>Volcanic!B45</f>
        <v>0</v>
      </c>
      <c r="C45" s="47">
        <f>Volcanic!C45</f>
        <v>0.17134409839059492</v>
      </c>
      <c r="D45" s="41">
        <v>-0.2</v>
      </c>
      <c r="E45" s="43">
        <f t="shared" si="12"/>
        <v>0.1</v>
      </c>
      <c r="F45" s="48">
        <v>4.3E-3</v>
      </c>
      <c r="G45" s="47">
        <f t="shared" si="13"/>
        <v>3.82E-3</v>
      </c>
      <c r="H45" s="43">
        <f>Volcanic!D45</f>
        <v>0.08</v>
      </c>
      <c r="I45" s="47">
        <f>Volcanic!E45</f>
        <v>3.82E-3</v>
      </c>
      <c r="K45" s="47">
        <f t="shared" si="0"/>
        <v>0.17134409839059492</v>
      </c>
      <c r="L45" s="47">
        <f t="shared" si="1"/>
        <v>0.1</v>
      </c>
      <c r="M45" s="47">
        <f t="shared" si="2"/>
        <v>3.82E-3</v>
      </c>
      <c r="O45" s="47">
        <f t="shared" si="3"/>
        <v>0.17134409839059492</v>
      </c>
      <c r="P45" s="47">
        <f t="shared" si="4"/>
        <v>0.08</v>
      </c>
      <c r="Q45" s="47">
        <f t="shared" si="5"/>
        <v>3.82E-3</v>
      </c>
      <c r="S45" s="47">
        <f t="shared" si="6"/>
        <v>0.17134409839059492</v>
      </c>
      <c r="T45" s="47">
        <f t="shared" si="7"/>
        <v>0.1</v>
      </c>
      <c r="U45" s="47">
        <f t="shared" si="8"/>
        <v>3.82E-3</v>
      </c>
      <c r="W45" s="47">
        <f t="shared" si="9"/>
        <v>9.2316651449256104E-2</v>
      </c>
      <c r="X45" s="47">
        <f t="shared" si="10"/>
        <v>9.1299390280817364E-2</v>
      </c>
      <c r="Y45" s="47">
        <f t="shared" si="11"/>
        <v>8.9661182833028832E-2</v>
      </c>
      <c r="AA45" s="45" t="s">
        <v>2277</v>
      </c>
      <c r="AC45" s="41" t="s">
        <v>2278</v>
      </c>
      <c r="AD45" s="45" t="s">
        <v>2279</v>
      </c>
      <c r="AJ45" s="45">
        <v>2002</v>
      </c>
      <c r="AK45" s="47">
        <f>Forcing!B45</f>
        <v>0.6275000000000005</v>
      </c>
      <c r="AL45" s="41">
        <v>1362.191</v>
      </c>
      <c r="AM45" s="47">
        <f>Forcing!C45</f>
        <v>0.41548364377270341</v>
      </c>
      <c r="AN45" s="43">
        <f>Solar!I45</f>
        <v>1361.6366666666665</v>
      </c>
      <c r="AP45" s="48">
        <v>1.55E-2</v>
      </c>
      <c r="AQ45" s="48">
        <v>-5.6300000000000003E-2</v>
      </c>
      <c r="AR45" s="47">
        <f>IF(AP45="","",AP45-($AC$60+$AC$61*Volcanic!C45+$AC$62*Volcanic!D45+$AC$63*Volcanic!E45))</f>
        <v>0.11774342936740982</v>
      </c>
      <c r="AS45" s="47">
        <f>IF(AQ45="","",AQ45-($AD$60+$AD$61*Volcanic!C45+$AD$62*Volcanic!D45+$AD$63*Volcanic!E45))</f>
        <v>4.2785706065856258E-2</v>
      </c>
      <c r="AU45" s="47">
        <f>AVERAGEIFS($AP$2:$AP$823,Volcanic!$L$2:$L$823,"&gt;="&amp;AJ45,Volcanic!$L$2:$L$823,"&lt;"&amp;(AJ45+1))</f>
        <v>0.61248333333333338</v>
      </c>
      <c r="AV45" s="47">
        <f>AVERAGEIFS($AQ$2:$AQ$823,Volcanic!$L$2:$L$823,"&gt;="&amp;AJ45,Volcanic!$L$2:$L$823,"&lt;"&amp;(AJ45+1))</f>
        <v>0.6552</v>
      </c>
    </row>
    <row r="46" spans="1:48">
      <c r="A46" s="45" t="str">
        <f>Volcanic!A46</f>
        <v>11/1961</v>
      </c>
      <c r="B46" s="43">
        <f>Volcanic!B46</f>
        <v>2.9999999999997584E-2</v>
      </c>
      <c r="C46" s="47">
        <f>Volcanic!C46</f>
        <v>0.17495420807216977</v>
      </c>
      <c r="D46" s="41">
        <v>-0.1</v>
      </c>
      <c r="E46" s="43">
        <f t="shared" si="12"/>
        <v>-0.2</v>
      </c>
      <c r="F46" s="48">
        <v>4.2199999999999998E-3</v>
      </c>
      <c r="G46" s="47">
        <f t="shared" si="13"/>
        <v>3.8500000000000001E-3</v>
      </c>
      <c r="H46" s="43">
        <f>Volcanic!D46</f>
        <v>-0.2</v>
      </c>
      <c r="I46" s="47">
        <f>Volcanic!E46</f>
        <v>3.8500000000000001E-3</v>
      </c>
      <c r="K46" s="47">
        <f t="shared" si="0"/>
        <v>0.17495420807216977</v>
      </c>
      <c r="L46" s="47">
        <f t="shared" si="1"/>
        <v>-0.2</v>
      </c>
      <c r="M46" s="47">
        <f t="shared" si="2"/>
        <v>3.8500000000000001E-3</v>
      </c>
      <c r="O46" s="47">
        <f t="shared" si="3"/>
        <v>0.17495420807216977</v>
      </c>
      <c r="P46" s="47">
        <f t="shared" si="4"/>
        <v>-0.2</v>
      </c>
      <c r="Q46" s="47">
        <f t="shared" si="5"/>
        <v>3.8500000000000001E-3</v>
      </c>
      <c r="S46" s="47">
        <f t="shared" si="6"/>
        <v>0.17495420807216977</v>
      </c>
      <c r="T46" s="47">
        <f t="shared" si="7"/>
        <v>-0.2</v>
      </c>
      <c r="U46" s="47">
        <f t="shared" si="8"/>
        <v>3.8500000000000001E-3</v>
      </c>
      <c r="W46" s="47">
        <f t="shared" si="9"/>
        <v>0.14039943891393408</v>
      </c>
      <c r="X46" s="47">
        <f t="shared" si="10"/>
        <v>0.1379196884270471</v>
      </c>
      <c r="Y46" s="47">
        <f t="shared" si="11"/>
        <v>0.1381838716298483</v>
      </c>
      <c r="AA46" s="45" t="s">
        <v>2280</v>
      </c>
      <c r="AC46" s="41" t="s">
        <v>2281</v>
      </c>
      <c r="AD46" s="45" t="s">
        <v>2282</v>
      </c>
      <c r="AJ46" s="45">
        <v>2003</v>
      </c>
      <c r="AK46" s="47">
        <f>Forcing!B46</f>
        <v>0.61666666666666703</v>
      </c>
      <c r="AL46" s="41">
        <v>1361.691</v>
      </c>
      <c r="AM46" s="47">
        <f>Forcing!C46</f>
        <v>0.42522603502993445</v>
      </c>
      <c r="AN46" s="43">
        <f>Solar!I46</f>
        <v>1361.1324999999999</v>
      </c>
      <c r="AP46" s="48">
        <v>4.8800000000000003E-2</v>
      </c>
      <c r="AQ46" s="48">
        <v>-4.3E-3</v>
      </c>
      <c r="AR46" s="47">
        <f>IF(AP46="","",AP46-($AC$60+$AC$61*Volcanic!C46+$AC$62*Volcanic!D46+$AC$63*Volcanic!E46))</f>
        <v>0.16747844899466047</v>
      </c>
      <c r="AS46" s="47">
        <f>IF(AQ46="","",AQ46-($AD$60+$AD$61*Volcanic!C46+$AD$62*Volcanic!D46+$AD$63*Volcanic!E46))</f>
        <v>0.11150089902551466</v>
      </c>
      <c r="AU46" s="47">
        <f>AVERAGEIFS($AP$2:$AP$823,Volcanic!$L$2:$L$823,"&gt;="&amp;AJ46,Volcanic!$L$2:$L$823,"&lt;"&amp;(AJ46+1))</f>
        <v>0.61359166666666665</v>
      </c>
      <c r="AV46" s="47">
        <f>AVERAGEIFS($AQ$2:$AQ$823,Volcanic!$L$2:$L$823,"&gt;="&amp;AJ46,Volcanic!$L$2:$L$823,"&lt;"&amp;(AJ46+1))</f>
        <v>0.63744999999999996</v>
      </c>
    </row>
    <row r="47" spans="1:48">
      <c r="A47" s="45" t="str">
        <f>Volcanic!A47</f>
        <v>12/1961</v>
      </c>
      <c r="B47" s="43">
        <f>Volcanic!B47</f>
        <v>-0.16000000000000014</v>
      </c>
      <c r="C47" s="47">
        <f>Volcanic!C47</f>
        <v>0.17910152336118931</v>
      </c>
      <c r="D47" s="41">
        <v>0</v>
      </c>
      <c r="E47" s="43">
        <f t="shared" si="12"/>
        <v>-0.3</v>
      </c>
      <c r="F47" s="48">
        <v>4.1099999999999999E-3</v>
      </c>
      <c r="G47" s="47">
        <f t="shared" si="13"/>
        <v>3.8899999999999998E-3</v>
      </c>
      <c r="H47" s="43">
        <f>Volcanic!D47</f>
        <v>-0.32</v>
      </c>
      <c r="I47" s="47">
        <f>Volcanic!E47</f>
        <v>3.8899999999999998E-3</v>
      </c>
      <c r="K47" s="47">
        <f t="shared" si="0"/>
        <v>0.17910152336118931</v>
      </c>
      <c r="L47" s="47">
        <f t="shared" si="1"/>
        <v>-0.3</v>
      </c>
      <c r="M47" s="47">
        <f t="shared" si="2"/>
        <v>3.8899999999999998E-3</v>
      </c>
      <c r="O47" s="47">
        <f t="shared" si="3"/>
        <v>0.17910152336118931</v>
      </c>
      <c r="P47" s="47">
        <f t="shared" si="4"/>
        <v>-0.32</v>
      </c>
      <c r="Q47" s="47">
        <f t="shared" si="5"/>
        <v>3.8899999999999998E-3</v>
      </c>
      <c r="S47" s="47">
        <f t="shared" si="6"/>
        <v>0.17910152336118931</v>
      </c>
      <c r="T47" s="47">
        <f t="shared" si="7"/>
        <v>-0.3</v>
      </c>
      <c r="U47" s="47">
        <f t="shared" si="8"/>
        <v>3.8899999999999998E-3</v>
      </c>
      <c r="W47" s="47">
        <f t="shared" si="9"/>
        <v>-5.1535441898344053E-2</v>
      </c>
      <c r="X47" s="47">
        <f t="shared" si="10"/>
        <v>-5.1916052989209399E-2</v>
      </c>
      <c r="Y47" s="47">
        <f t="shared" si="11"/>
        <v>-5.352172079079566E-2</v>
      </c>
      <c r="AA47" s="45" t="s">
        <v>2283</v>
      </c>
      <c r="AC47" s="41">
        <v>0.15</v>
      </c>
      <c r="AD47" s="45" t="s">
        <v>2284</v>
      </c>
      <c r="AJ47" s="45">
        <v>2004</v>
      </c>
      <c r="AK47" s="47">
        <f>Forcing!B47</f>
        <v>0.53416666666666723</v>
      </c>
      <c r="AL47" s="41">
        <v>1361.471</v>
      </c>
      <c r="AM47" s="47">
        <f>Forcing!C47</f>
        <v>0.43178694907654275</v>
      </c>
      <c r="AN47" s="43">
        <f>Solar!I47</f>
        <v>1360.9191666666666</v>
      </c>
      <c r="AP47" s="48">
        <v>-0.17230000000000001</v>
      </c>
      <c r="AQ47" s="48">
        <v>-0.13830000000000001</v>
      </c>
      <c r="AR47" s="47">
        <f>IF(AP47="","",AP47-($AC$60+$AC$61*Volcanic!C47+$AC$62*Volcanic!D47+$AC$63*Volcanic!E47))</f>
        <v>-5.3612583548175691E-2</v>
      </c>
      <c r="AS47" s="47">
        <f>IF(AQ47="","",AQ47-($AD$60+$AD$61*Volcanic!C47+$AD$62*Volcanic!D47+$AD$63*Volcanic!E47))</f>
        <v>-2.2555952582759359E-2</v>
      </c>
      <c r="AU47" s="47">
        <f>AVERAGEIFS($AP$2:$AP$823,Volcanic!$L$2:$L$823,"&gt;="&amp;AJ47,Volcanic!$L$2:$L$823,"&lt;"&amp;(AJ47+1))</f>
        <v>0.53775833333333323</v>
      </c>
      <c r="AV47" s="47">
        <f>AVERAGEIFS($AQ$2:$AQ$823,Volcanic!$L$2:$L$823,"&gt;="&amp;AJ47,Volcanic!$L$2:$L$823,"&lt;"&amp;(AJ47+1))</f>
        <v>0.55044999999999988</v>
      </c>
    </row>
    <row r="48" spans="1:48">
      <c r="A48" s="45" t="str">
        <f>Volcanic!A48</f>
        <v>1/1962</v>
      </c>
      <c r="B48" s="43">
        <f>Volcanic!B48</f>
        <v>5.0000000000004263E-2</v>
      </c>
      <c r="C48" s="47">
        <f>Volcanic!C48</f>
        <v>0.18332770604480075</v>
      </c>
      <c r="D48" s="41">
        <v>-0.2</v>
      </c>
      <c r="E48" s="43">
        <f t="shared" si="12"/>
        <v>-0.2</v>
      </c>
      <c r="F48" s="48">
        <v>4.0099999999999997E-3</v>
      </c>
      <c r="G48" s="47">
        <f t="shared" si="13"/>
        <v>3.96E-3</v>
      </c>
      <c r="H48" s="43">
        <f>Volcanic!D48</f>
        <v>-0.22</v>
      </c>
      <c r="I48" s="47">
        <f>Volcanic!E48</f>
        <v>3.96E-3</v>
      </c>
      <c r="K48" s="47">
        <f t="shared" si="0"/>
        <v>0.18332770604480075</v>
      </c>
      <c r="L48" s="47">
        <f t="shared" si="1"/>
        <v>-0.2</v>
      </c>
      <c r="M48" s="47">
        <f t="shared" si="2"/>
        <v>3.96E-3</v>
      </c>
      <c r="O48" s="47">
        <f t="shared" si="3"/>
        <v>0.18332770604480075</v>
      </c>
      <c r="P48" s="47">
        <f t="shared" si="4"/>
        <v>-0.22</v>
      </c>
      <c r="Q48" s="47">
        <f t="shared" si="5"/>
        <v>3.96E-3</v>
      </c>
      <c r="S48" s="47">
        <f t="shared" si="6"/>
        <v>0.18332770604480075</v>
      </c>
      <c r="T48" s="47">
        <f t="shared" si="7"/>
        <v>-0.2</v>
      </c>
      <c r="U48" s="47">
        <f t="shared" si="8"/>
        <v>3.96E-3</v>
      </c>
      <c r="W48" s="47">
        <f t="shared" si="9"/>
        <v>0.13780603683485815</v>
      </c>
      <c r="X48" s="47">
        <f t="shared" si="10"/>
        <v>0.13744740350910473</v>
      </c>
      <c r="Y48" s="47">
        <f t="shared" si="11"/>
        <v>0.13583573697178647</v>
      </c>
      <c r="AJ48" s="45">
        <v>2005</v>
      </c>
      <c r="AK48" s="47">
        <f>Forcing!B48</f>
        <v>0.67916666666666681</v>
      </c>
      <c r="AL48" s="41">
        <v>1361.2619999999999</v>
      </c>
      <c r="AM48" s="47">
        <f>Forcing!C48</f>
        <v>0.44049121010051245</v>
      </c>
      <c r="AN48" s="43">
        <f>Solar!I48</f>
        <v>1360.7025000000001</v>
      </c>
      <c r="AP48" s="48">
        <v>2.3800000000000002E-2</v>
      </c>
      <c r="AQ48" s="48">
        <v>4.5699999999999998E-2</v>
      </c>
      <c r="AR48" s="47">
        <f>IF(AP48="","",AP48-($AC$60+$AC$61*Volcanic!C48+$AC$62*Volcanic!D48+$AC$63*Volcanic!E48))</f>
        <v>0.12175129170629034</v>
      </c>
      <c r="AS48" s="47">
        <f>IF(AQ48="","",AQ48-($AD$60+$AD$61*Volcanic!C48+$AD$62*Volcanic!D48+$AD$63*Volcanic!E48))</f>
        <v>0.14021085474403958</v>
      </c>
      <c r="AU48" s="47">
        <f>AVERAGEIFS($AP$2:$AP$823,Volcanic!$L$2:$L$823,"&gt;="&amp;AJ48,Volcanic!$L$2:$L$823,"&lt;"&amp;(AJ48+1))</f>
        <v>0.67760833333333326</v>
      </c>
      <c r="AV48" s="47">
        <f>AVERAGEIFS($AQ$2:$AQ$823,Volcanic!$L$2:$L$823,"&gt;="&amp;AJ48,Volcanic!$L$2:$L$823,"&lt;"&amp;(AJ48+1))</f>
        <v>0.71511666666666673</v>
      </c>
    </row>
    <row r="49" spans="1:48">
      <c r="A49" s="45" t="str">
        <f>Volcanic!A49</f>
        <v>2/1962</v>
      </c>
      <c r="B49" s="43">
        <f>Volcanic!B49</f>
        <v>0.14999999999999858</v>
      </c>
      <c r="C49" s="47">
        <f>Volcanic!C49</f>
        <v>0.18609301027387254</v>
      </c>
      <c r="D49" s="41">
        <v>-0.2</v>
      </c>
      <c r="E49" s="43">
        <f t="shared" si="12"/>
        <v>-0.1</v>
      </c>
      <c r="F49" s="48">
        <v>3.8899999999999998E-3</v>
      </c>
      <c r="G49" s="47">
        <f t="shared" si="13"/>
        <v>4.0499999999999998E-3</v>
      </c>
      <c r="H49" s="43">
        <f>Volcanic!D49</f>
        <v>-0.11</v>
      </c>
      <c r="I49" s="47">
        <f>Volcanic!E49</f>
        <v>4.0499999999999998E-3</v>
      </c>
      <c r="K49" s="47">
        <f t="shared" si="0"/>
        <v>0.18609301027387254</v>
      </c>
      <c r="L49" s="47">
        <f t="shared" si="1"/>
        <v>-0.1</v>
      </c>
      <c r="M49" s="47">
        <f t="shared" si="2"/>
        <v>4.0499999999999998E-3</v>
      </c>
      <c r="O49" s="47">
        <f t="shared" si="3"/>
        <v>0.18609301027387254</v>
      </c>
      <c r="P49" s="47">
        <f t="shared" si="4"/>
        <v>-0.11</v>
      </c>
      <c r="Q49" s="47">
        <f t="shared" si="5"/>
        <v>4.0499999999999998E-3</v>
      </c>
      <c r="S49" s="47">
        <f t="shared" si="6"/>
        <v>0.18609301027387254</v>
      </c>
      <c r="T49" s="47">
        <f t="shared" si="7"/>
        <v>-0.1</v>
      </c>
      <c r="U49" s="47">
        <f t="shared" si="8"/>
        <v>4.0499999999999998E-3</v>
      </c>
      <c r="W49" s="47">
        <f t="shared" si="9"/>
        <v>0.22117562158961362</v>
      </c>
      <c r="X49" s="47">
        <f t="shared" si="10"/>
        <v>0.21987335318740975</v>
      </c>
      <c r="Y49" s="47">
        <f t="shared" si="11"/>
        <v>0.21919466915154978</v>
      </c>
      <c r="AA49" s="63" t="s">
        <v>2285</v>
      </c>
      <c r="AB49" s="53"/>
      <c r="AC49" s="53"/>
      <c r="AD49" s="53"/>
      <c r="AE49" s="53"/>
      <c r="AF49" s="53"/>
      <c r="AG49" s="53"/>
      <c r="AH49" s="53"/>
      <c r="AJ49" s="45">
        <v>2006</v>
      </c>
      <c r="AK49" s="47">
        <f>Forcing!B49</f>
        <v>0.64083333333333392</v>
      </c>
      <c r="AL49" s="41">
        <v>1361.2360000000001</v>
      </c>
      <c r="AM49" s="47">
        <f>Forcing!C49</f>
        <v>0.44847021068533954</v>
      </c>
      <c r="AN49" s="43">
        <f>Solar!I49</f>
        <v>1360.6791666666666</v>
      </c>
      <c r="AP49" s="48">
        <v>9.4799999999999995E-2</v>
      </c>
      <c r="AQ49" s="48">
        <v>9.7699999999999995E-2</v>
      </c>
      <c r="AR49" s="47">
        <f>IF(AP49="","",AP49-($AC$60+$AC$61*Volcanic!C49+$AC$62*Volcanic!D49+$AC$63*Volcanic!E49))</f>
        <v>0.1751159264874273</v>
      </c>
      <c r="AS49" s="47">
        <f>IF(AQ49="","",AQ49-($AD$60+$AD$61*Volcanic!C49+$AD$62*Volcanic!D49+$AD$63*Volcanic!E49))</f>
        <v>0.17415958980625659</v>
      </c>
      <c r="AU49" s="47">
        <f>AVERAGEIFS($AP$2:$AP$823,Volcanic!$L$2:$L$823,"&gt;="&amp;AJ49,Volcanic!$L$2:$L$823,"&lt;"&amp;(AJ49+1))</f>
        <v>0.64165000000000005</v>
      </c>
      <c r="AV49" s="47">
        <f>AVERAGEIFS($AQ$2:$AQ$823,Volcanic!$L$2:$L$823,"&gt;="&amp;AJ49,Volcanic!$L$2:$L$823,"&lt;"&amp;(AJ49+1))</f>
        <v>0.66503333333333337</v>
      </c>
    </row>
    <row r="50" spans="1:48" ht="75" customHeight="1">
      <c r="A50" s="45" t="str">
        <f>Volcanic!A50</f>
        <v>3/1962</v>
      </c>
      <c r="B50" s="43">
        <f>Volcanic!B50</f>
        <v>9.9999999999997868E-2</v>
      </c>
      <c r="C50" s="47">
        <f>Volcanic!C50</f>
        <v>0.19120166107272715</v>
      </c>
      <c r="D50" s="41">
        <v>-0.1</v>
      </c>
      <c r="E50" s="43">
        <f t="shared" si="12"/>
        <v>0</v>
      </c>
      <c r="F50" s="48">
        <v>3.82E-3</v>
      </c>
      <c r="G50" s="47">
        <f t="shared" si="13"/>
        <v>4.15E-3</v>
      </c>
      <c r="H50" s="43">
        <f>Volcanic!D50</f>
        <v>-0.05</v>
      </c>
      <c r="I50" s="47">
        <f>Volcanic!E50</f>
        <v>4.15E-3</v>
      </c>
      <c r="K50" s="47">
        <f t="shared" si="0"/>
        <v>0.19120166107272715</v>
      </c>
      <c r="L50" s="47">
        <f t="shared" si="1"/>
        <v>0</v>
      </c>
      <c r="M50" s="47">
        <f t="shared" si="2"/>
        <v>4.15E-3</v>
      </c>
      <c r="O50" s="47">
        <f t="shared" si="3"/>
        <v>0.19120166107272715</v>
      </c>
      <c r="P50" s="47">
        <f t="shared" si="4"/>
        <v>-0.05</v>
      </c>
      <c r="Q50" s="47">
        <f t="shared" si="5"/>
        <v>4.15E-3</v>
      </c>
      <c r="S50" s="47">
        <f t="shared" si="6"/>
        <v>0.19120166107272715</v>
      </c>
      <c r="T50" s="47">
        <f t="shared" si="7"/>
        <v>0</v>
      </c>
      <c r="U50" s="47">
        <f t="shared" si="8"/>
        <v>4.15E-3</v>
      </c>
      <c r="W50" s="47">
        <f t="shared" si="9"/>
        <v>0.1481765826434864</v>
      </c>
      <c r="X50" s="47">
        <f t="shared" si="10"/>
        <v>0.15068681754460592</v>
      </c>
      <c r="Y50" s="47">
        <f t="shared" si="11"/>
        <v>0.14624504703648256</v>
      </c>
      <c r="AA50" s="62" t="s">
        <v>2856</v>
      </c>
      <c r="AB50" s="53"/>
      <c r="AC50" s="53"/>
      <c r="AD50" s="53"/>
      <c r="AE50" s="53"/>
      <c r="AF50" s="53"/>
      <c r="AG50" s="53"/>
      <c r="AH50" s="53"/>
      <c r="AJ50" s="45">
        <v>2007</v>
      </c>
      <c r="AK50" s="47">
        <f>Forcing!B50</f>
        <v>0.66416666666666746</v>
      </c>
      <c r="AL50" s="41">
        <v>1361.1690000000001</v>
      </c>
      <c r="AM50" s="47">
        <f>Forcing!C50</f>
        <v>0.45575620866675709</v>
      </c>
      <c r="AN50" s="43">
        <f>Solar!I50</f>
        <v>1360.6041666666667</v>
      </c>
      <c r="AP50" s="48">
        <v>9.9699999999999997E-2</v>
      </c>
      <c r="AQ50" s="48">
        <v>0.11070000000000001</v>
      </c>
      <c r="AR50" s="47">
        <f>IF(AP50="","",AP50-($AC$60+$AC$61*Volcanic!C50+$AC$62*Volcanic!D50+$AC$63*Volcanic!E50))</f>
        <v>0.16068811721992088</v>
      </c>
      <c r="AS50" s="47">
        <f>IF(AQ50="","",AQ50-($AD$60+$AD$61*Volcanic!C50+$AD$62*Volcanic!D50+$AD$63*Volcanic!E50))</f>
        <v>0.16734598244007393</v>
      </c>
      <c r="AU50" s="47">
        <f>AVERAGEIFS($AP$2:$AP$823,Volcanic!$L$2:$L$823,"&gt;="&amp;AJ50,Volcanic!$L$2:$L$823,"&lt;"&amp;(AJ50+1))</f>
        <v>0.66084166666666666</v>
      </c>
      <c r="AV50" s="47">
        <f>AVERAGEIFS($AQ$2:$AQ$823,Volcanic!$L$2:$L$823,"&gt;="&amp;AJ50,Volcanic!$L$2:$L$823,"&lt;"&amp;(AJ50+1))</f>
        <v>0.67986666666666651</v>
      </c>
    </row>
    <row r="51" spans="1:48" ht="60" customHeight="1">
      <c r="A51" s="45" t="str">
        <f>Volcanic!A51</f>
        <v>4/1962</v>
      </c>
      <c r="B51" s="43">
        <f>Volcanic!B51</f>
        <v>5.0000000000004263E-2</v>
      </c>
      <c r="C51" s="47">
        <f>Volcanic!C51</f>
        <v>0.19521259246961153</v>
      </c>
      <c r="D51" s="41">
        <v>-0.2</v>
      </c>
      <c r="E51" s="43">
        <f t="shared" si="12"/>
        <v>-0.2</v>
      </c>
      <c r="F51" s="48">
        <v>3.8500000000000001E-3</v>
      </c>
      <c r="G51" s="47">
        <f t="shared" si="13"/>
        <v>4.2199999999999998E-3</v>
      </c>
      <c r="H51" s="43">
        <f>Volcanic!D51</f>
        <v>-0.16</v>
      </c>
      <c r="I51" s="47">
        <f>Volcanic!E51</f>
        <v>4.2199999999999998E-3</v>
      </c>
      <c r="K51" s="47">
        <f t="shared" si="0"/>
        <v>0.19521259246961153</v>
      </c>
      <c r="L51" s="47">
        <f t="shared" si="1"/>
        <v>-0.2</v>
      </c>
      <c r="M51" s="47">
        <f t="shared" si="2"/>
        <v>4.2199999999999998E-3</v>
      </c>
      <c r="O51" s="47">
        <f t="shared" si="3"/>
        <v>0.19521259246961153</v>
      </c>
      <c r="P51" s="47">
        <f t="shared" si="4"/>
        <v>-0.16</v>
      </c>
      <c r="Q51" s="47">
        <f t="shared" si="5"/>
        <v>4.2199999999999998E-3</v>
      </c>
      <c r="S51" s="47">
        <f t="shared" si="6"/>
        <v>0.19521259246961153</v>
      </c>
      <c r="T51" s="47">
        <f t="shared" si="7"/>
        <v>-0.2</v>
      </c>
      <c r="U51" s="47">
        <f t="shared" si="8"/>
        <v>4.2199999999999998E-3</v>
      </c>
      <c r="W51" s="47">
        <f t="shared" si="9"/>
        <v>0.10596707846455564</v>
      </c>
      <c r="X51" s="47">
        <f t="shared" si="10"/>
        <v>0.10035882145232655</v>
      </c>
      <c r="Y51" s="47">
        <f t="shared" si="11"/>
        <v>0.1043877252173977</v>
      </c>
      <c r="AA51" s="62" t="s">
        <v>2857</v>
      </c>
      <c r="AB51" s="53"/>
      <c r="AC51" s="53"/>
      <c r="AD51" s="53"/>
      <c r="AE51" s="53"/>
      <c r="AF51" s="53"/>
      <c r="AG51" s="53"/>
      <c r="AH51" s="53"/>
      <c r="AJ51" s="45">
        <v>2008</v>
      </c>
      <c r="AK51" s="47">
        <f>Forcing!B51</f>
        <v>0.54333333333333378</v>
      </c>
      <c r="AL51" s="41">
        <v>1361.1969999999999</v>
      </c>
      <c r="AM51" s="47">
        <f>Forcing!C51</f>
        <v>0.46253433128659666</v>
      </c>
      <c r="AN51" s="43">
        <f>Solar!I51</f>
        <v>1360.6100000000001</v>
      </c>
      <c r="AP51" s="48">
        <v>5.8200000000000002E-2</v>
      </c>
      <c r="AQ51" s="48">
        <v>3.3700000000000001E-2</v>
      </c>
      <c r="AR51" s="47">
        <f>IF(AP51="","",AP51-($AC$60+$AC$61*Volcanic!C51+$AC$62*Volcanic!D51+$AC$63*Volcanic!E51))</f>
        <v>0.11870523063332823</v>
      </c>
      <c r="AS51" s="47">
        <f>IF(AQ51="","",AQ51-($AD$60+$AD$61*Volcanic!C51+$AD$62*Volcanic!D51+$AD$63*Volcanic!E51))</f>
        <v>8.9784194866460082E-2</v>
      </c>
      <c r="AU51" s="47">
        <f>AVERAGEIFS($AP$2:$AP$823,Volcanic!$L$2:$L$823,"&gt;="&amp;AJ51,Volcanic!$L$2:$L$823,"&lt;"&amp;(AJ51+1))</f>
        <v>0.53451666666666664</v>
      </c>
      <c r="AV51" s="47">
        <f>AVERAGEIFS($AQ$2:$AQ$823,Volcanic!$L$2:$L$823,"&gt;="&amp;AJ51,Volcanic!$L$2:$L$823,"&lt;"&amp;(AJ51+1))</f>
        <v>0.55203333333333338</v>
      </c>
    </row>
    <row r="52" spans="1:48" ht="75" customHeight="1">
      <c r="A52" s="45" t="str">
        <f>Volcanic!A52</f>
        <v>5/1962</v>
      </c>
      <c r="B52" s="43">
        <f>Volcanic!B52</f>
        <v>-6.0000000000000497E-2</v>
      </c>
      <c r="C52" s="47">
        <f>Volcanic!C52</f>
        <v>0.19723635491870628</v>
      </c>
      <c r="D52" s="41">
        <v>-0.2</v>
      </c>
      <c r="E52" s="43">
        <f t="shared" si="12"/>
        <v>-0.2</v>
      </c>
      <c r="F52" s="48">
        <v>3.8899999999999998E-3</v>
      </c>
      <c r="G52" s="47">
        <f t="shared" si="13"/>
        <v>4.3E-3</v>
      </c>
      <c r="H52" s="43">
        <f>Volcanic!D52</f>
        <v>-0.17</v>
      </c>
      <c r="I52" s="47">
        <f>Volcanic!E52</f>
        <v>4.3E-3</v>
      </c>
      <c r="K52" s="47">
        <f t="shared" si="0"/>
        <v>0.19723635491870628</v>
      </c>
      <c r="L52" s="47">
        <f t="shared" si="1"/>
        <v>-0.2</v>
      </c>
      <c r="M52" s="47">
        <f t="shared" si="2"/>
        <v>4.3E-3</v>
      </c>
      <c r="O52" s="47">
        <f t="shared" si="3"/>
        <v>0.19723635491870628</v>
      </c>
      <c r="P52" s="47">
        <f t="shared" si="4"/>
        <v>-0.17</v>
      </c>
      <c r="Q52" s="47">
        <f t="shared" si="5"/>
        <v>4.3E-3</v>
      </c>
      <c r="S52" s="47">
        <f t="shared" si="6"/>
        <v>0.19723635491870628</v>
      </c>
      <c r="T52" s="47">
        <f t="shared" si="7"/>
        <v>-0.2</v>
      </c>
      <c r="U52" s="47">
        <f t="shared" si="8"/>
        <v>4.3E-3</v>
      </c>
      <c r="W52" s="47">
        <f t="shared" si="9"/>
        <v>-9.3757444651100807E-3</v>
      </c>
      <c r="X52" s="47">
        <f t="shared" si="10"/>
        <v>-1.3964197721620802E-2</v>
      </c>
      <c r="Y52" s="47">
        <f t="shared" si="11"/>
        <v>-1.0873796562951552E-2</v>
      </c>
      <c r="AA52" s="62" t="s">
        <v>2858</v>
      </c>
      <c r="AB52" s="53"/>
      <c r="AC52" s="53"/>
      <c r="AD52" s="53"/>
      <c r="AE52" s="53"/>
      <c r="AF52" s="53"/>
      <c r="AG52" s="53"/>
      <c r="AH52" s="53"/>
      <c r="AJ52" s="45">
        <v>2009</v>
      </c>
      <c r="AK52" s="47">
        <f>Forcing!B52</f>
        <v>0.65583333333333371</v>
      </c>
      <c r="AL52" s="41">
        <v>1361.191</v>
      </c>
      <c r="AM52" s="47">
        <f>Forcing!C52</f>
        <v>0.46928442493460149</v>
      </c>
      <c r="AN52" s="43">
        <f>Solar!I52</f>
        <v>1360.6075000000001</v>
      </c>
      <c r="AP52" s="48">
        <v>-9.9299999999999999E-2</v>
      </c>
      <c r="AQ52" s="48">
        <v>-0.1323</v>
      </c>
      <c r="AR52" s="47">
        <f>IF(AP52="","",AP52-($AC$60+$AC$61*Volcanic!C52+$AC$62*Volcanic!D52+$AC$63*Volcanic!E52))</f>
        <v>-4.3191924456927627E-2</v>
      </c>
      <c r="AS52" s="47">
        <f>IF(AQ52="","",AQ52-($AD$60+$AD$61*Volcanic!C52+$AD$62*Volcanic!D52+$AD$63*Volcanic!E52))</f>
        <v>-8.0745274997260447E-2</v>
      </c>
      <c r="AU52" s="47">
        <f>AVERAGEIFS($AP$2:$AP$823,Volcanic!$L$2:$L$823,"&gt;="&amp;AJ52,Volcanic!$L$2:$L$823,"&lt;"&amp;(AJ52+1))</f>
        <v>0.66531666666666667</v>
      </c>
      <c r="AV52" s="47">
        <f>AVERAGEIFS($AQ$2:$AQ$823,Volcanic!$L$2:$L$823,"&gt;="&amp;AJ52,Volcanic!$L$2:$L$823,"&lt;"&amp;(AJ52+1))</f>
        <v>0.68886666666666663</v>
      </c>
    </row>
    <row r="53" spans="1:48" ht="45" customHeight="1">
      <c r="A53" s="45" t="str">
        <f>Volcanic!A53</f>
        <v>6/1962</v>
      </c>
      <c r="B53" s="43">
        <f>Volcanic!B53</f>
        <v>2.9999999999997584E-2</v>
      </c>
      <c r="C53" s="47">
        <f>Volcanic!C53</f>
        <v>0.19543759520574477</v>
      </c>
      <c r="D53" s="41">
        <v>-0.1</v>
      </c>
      <c r="E53" s="43">
        <f t="shared" si="12"/>
        <v>-0.1</v>
      </c>
      <c r="F53" s="48">
        <v>3.9699999999999996E-3</v>
      </c>
      <c r="G53" s="47">
        <f t="shared" si="13"/>
        <v>4.2199999999999998E-3</v>
      </c>
      <c r="H53" s="43">
        <f>Volcanic!D53</f>
        <v>-0.15</v>
      </c>
      <c r="I53" s="47">
        <f>Volcanic!E53</f>
        <v>4.2199999999999998E-3</v>
      </c>
      <c r="K53" s="47">
        <f t="shared" si="0"/>
        <v>0.19543759520574477</v>
      </c>
      <c r="L53" s="47">
        <f t="shared" si="1"/>
        <v>-0.1</v>
      </c>
      <c r="M53" s="47">
        <f t="shared" si="2"/>
        <v>4.2199999999999998E-3</v>
      </c>
      <c r="O53" s="47">
        <f t="shared" si="3"/>
        <v>0.19543759520574477</v>
      </c>
      <c r="P53" s="47">
        <f t="shared" si="4"/>
        <v>-0.15</v>
      </c>
      <c r="Q53" s="47">
        <f t="shared" si="5"/>
        <v>4.2199999999999998E-3</v>
      </c>
      <c r="S53" s="47">
        <f t="shared" si="6"/>
        <v>0.19543759520574477</v>
      </c>
      <c r="T53" s="47">
        <f t="shared" si="7"/>
        <v>-0.1</v>
      </c>
      <c r="U53" s="47">
        <f t="shared" si="8"/>
        <v>4.2199999999999998E-3</v>
      </c>
      <c r="W53" s="47">
        <f t="shared" si="9"/>
        <v>7.6066130650437852E-2</v>
      </c>
      <c r="X53" s="47">
        <f t="shared" si="10"/>
        <v>7.8811146993857759E-2</v>
      </c>
      <c r="Y53" s="47">
        <f t="shared" si="11"/>
        <v>7.4378368454112553E-2</v>
      </c>
      <c r="AA53" s="62" t="s">
        <v>2286</v>
      </c>
      <c r="AB53" s="53"/>
      <c r="AC53" s="53"/>
      <c r="AD53" s="53"/>
      <c r="AE53" s="53"/>
      <c r="AF53" s="53"/>
      <c r="AG53" s="53"/>
      <c r="AH53" s="53"/>
      <c r="AJ53" s="45">
        <v>2010</v>
      </c>
      <c r="AK53" s="47">
        <f>Forcing!B53</f>
        <v>0.7241666666666674</v>
      </c>
      <c r="AL53" s="41">
        <v>1361.34</v>
      </c>
      <c r="AM53" s="47">
        <f>Forcing!C53</f>
        <v>0.47840548027096802</v>
      </c>
      <c r="AN53" s="43">
        <f>Solar!I53</f>
        <v>1360.7858333333334</v>
      </c>
      <c r="AP53" s="48">
        <v>2.4199999999999999E-2</v>
      </c>
      <c r="AQ53" s="48">
        <v>-5.3E-3</v>
      </c>
      <c r="AR53" s="47">
        <f>IF(AP53="","",AP53-($AC$60+$AC$61*Volcanic!C53+$AC$62*Volcanic!D53+$AC$63*Volcanic!E53))</f>
        <v>8.31543853287037E-2</v>
      </c>
      <c r="AS53" s="47">
        <f>IF(AQ53="","",AQ53-($AD$60+$AD$61*Volcanic!C53+$AD$62*Volcanic!D53+$AD$63*Volcanic!E53))</f>
        <v>4.9198343025732116E-2</v>
      </c>
      <c r="AU53" s="47">
        <f>AVERAGEIFS($AP$2:$AP$823,Volcanic!$L$2:$L$823,"&gt;="&amp;AJ53,Volcanic!$L$2:$L$823,"&lt;"&amp;(AJ53+1))</f>
        <v>0.74895833333333328</v>
      </c>
      <c r="AV53" s="47">
        <f>AVERAGEIFS($AQ$2:$AQ$823,Volcanic!$L$2:$L$823,"&gt;="&amp;AJ53,Volcanic!$L$2:$L$823,"&lt;"&amp;(AJ53+1))</f>
        <v>0.75936666666666663</v>
      </c>
    </row>
    <row r="54" spans="1:48">
      <c r="A54" s="45" t="str">
        <f>Volcanic!A54</f>
        <v>7/1962</v>
      </c>
      <c r="B54" s="43">
        <f>Volcanic!B54</f>
        <v>2.0000000000003126E-2</v>
      </c>
      <c r="C54" s="47">
        <f>Volcanic!C54</f>
        <v>0.19088572103529255</v>
      </c>
      <c r="D54" s="41">
        <v>0</v>
      </c>
      <c r="E54" s="43">
        <f t="shared" si="12"/>
        <v>-0.2</v>
      </c>
      <c r="F54" s="48">
        <v>4.0499999999999998E-3</v>
      </c>
      <c r="G54" s="47">
        <f t="shared" si="13"/>
        <v>4.1099999999999999E-3</v>
      </c>
      <c r="H54" s="43">
        <f>Volcanic!D54</f>
        <v>-0.2</v>
      </c>
      <c r="I54" s="47">
        <f>Volcanic!E54</f>
        <v>4.1099999999999999E-3</v>
      </c>
      <c r="K54" s="47">
        <f t="shared" si="0"/>
        <v>0.19088572103529255</v>
      </c>
      <c r="L54" s="47">
        <f t="shared" si="1"/>
        <v>-0.2</v>
      </c>
      <c r="M54" s="47">
        <f t="shared" si="2"/>
        <v>4.1099999999999999E-3</v>
      </c>
      <c r="O54" s="47">
        <f t="shared" si="3"/>
        <v>0.19088572103529255</v>
      </c>
      <c r="P54" s="47">
        <f t="shared" si="4"/>
        <v>-0.2</v>
      </c>
      <c r="Q54" s="47">
        <f t="shared" si="5"/>
        <v>4.1099999999999999E-3</v>
      </c>
      <c r="S54" s="47">
        <f t="shared" si="6"/>
        <v>0.19088572103529255</v>
      </c>
      <c r="T54" s="47">
        <f t="shared" si="7"/>
        <v>-0.2</v>
      </c>
      <c r="U54" s="47">
        <f t="shared" si="8"/>
        <v>4.1099999999999999E-3</v>
      </c>
      <c r="W54" s="47">
        <f t="shared" si="9"/>
        <v>8.7524720642586845E-2</v>
      </c>
      <c r="X54" s="47">
        <f t="shared" si="10"/>
        <v>8.552690380471259E-2</v>
      </c>
      <c r="Y54" s="47">
        <f t="shared" si="11"/>
        <v>8.5796711303499876E-2</v>
      </c>
      <c r="AJ54" s="45">
        <v>2011</v>
      </c>
      <c r="AK54" s="47">
        <f>Forcing!B54</f>
        <v>0.60750000000000037</v>
      </c>
      <c r="AL54" s="41">
        <v>1361.606</v>
      </c>
      <c r="AM54" s="47">
        <f>Forcing!C54</f>
        <v>0.48486472333529007</v>
      </c>
      <c r="AN54" s="43">
        <f>Solar!I54</f>
        <v>1361.0666666666666</v>
      </c>
      <c r="AP54" s="48">
        <v>-3.0499999999999999E-2</v>
      </c>
      <c r="AQ54" s="48">
        <v>-9.1300000000000006E-2</v>
      </c>
      <c r="AR54" s="47">
        <f>IF(AP54="","",AP54-($AC$60+$AC$61*Volcanic!C54+$AC$62*Volcanic!D54+$AC$63*Volcanic!E54))</f>
        <v>4.5301342812982509E-2</v>
      </c>
      <c r="AS54" s="47">
        <f>IF(AQ54="","",AQ54-($AD$60+$AD$61*Volcanic!C54+$AD$62*Volcanic!D54+$AD$63*Volcanic!E54))</f>
        <v>-1.9526068107851707E-2</v>
      </c>
      <c r="AU54" s="47">
        <f>AVERAGEIFS($AP$2:$AP$823,Volcanic!$L$2:$L$823,"&gt;="&amp;AJ54,Volcanic!$L$2:$L$823,"&lt;"&amp;(AJ54+1))</f>
        <v>0.60792499999999994</v>
      </c>
      <c r="AV54" s="47">
        <f>AVERAGEIFS($AQ$2:$AQ$823,Volcanic!$L$2:$L$823,"&gt;="&amp;AJ54,Volcanic!$L$2:$L$823,"&lt;"&amp;(AJ54+1))</f>
        <v>0.65078333333333338</v>
      </c>
    </row>
    <row r="55" spans="1:48" ht="30" customHeight="1">
      <c r="A55" s="45" t="str">
        <f>Volcanic!A55</f>
        <v>8/1962</v>
      </c>
      <c r="B55" s="43">
        <f>Volcanic!B55</f>
        <v>-9.9999999999980105E-3</v>
      </c>
      <c r="C55" s="47">
        <f>Volcanic!C55</f>
        <v>0.18087530100285296</v>
      </c>
      <c r="D55" s="41">
        <v>-0.1</v>
      </c>
      <c r="E55" s="43">
        <f t="shared" si="12"/>
        <v>-0.2</v>
      </c>
      <c r="F55" s="48">
        <v>4.1599999999999996E-3</v>
      </c>
      <c r="G55" s="47">
        <f t="shared" si="13"/>
        <v>4.0099999999999997E-3</v>
      </c>
      <c r="H55" s="43">
        <f>Volcanic!D55</f>
        <v>-0.19</v>
      </c>
      <c r="I55" s="47">
        <f>Volcanic!E55</f>
        <v>4.0099999999999997E-3</v>
      </c>
      <c r="K55" s="47">
        <f t="shared" si="0"/>
        <v>0.18087530100285296</v>
      </c>
      <c r="L55" s="47">
        <f t="shared" si="1"/>
        <v>-0.2</v>
      </c>
      <c r="M55" s="47">
        <f t="shared" si="2"/>
        <v>4.0099999999999997E-3</v>
      </c>
      <c r="O55" s="47">
        <f t="shared" si="3"/>
        <v>0.18087530100285296</v>
      </c>
      <c r="P55" s="47">
        <f t="shared" si="4"/>
        <v>-0.19</v>
      </c>
      <c r="Q55" s="47">
        <f t="shared" si="5"/>
        <v>4.0099999999999997E-3</v>
      </c>
      <c r="S55" s="47">
        <f t="shared" si="6"/>
        <v>0.18087530100285296</v>
      </c>
      <c r="T55" s="47">
        <f t="shared" si="7"/>
        <v>-0.2</v>
      </c>
      <c r="U55" s="47">
        <f t="shared" si="8"/>
        <v>4.0099999999999997E-3</v>
      </c>
      <c r="W55" s="47">
        <f t="shared" si="9"/>
        <v>8.4604290912739133E-2</v>
      </c>
      <c r="X55" s="47">
        <f t="shared" si="10"/>
        <v>8.1390225810200736E-2</v>
      </c>
      <c r="Y55" s="47">
        <f t="shared" si="11"/>
        <v>8.2596056493854986E-2</v>
      </c>
      <c r="AA55" s="64" t="s">
        <v>2468</v>
      </c>
      <c r="AB55" s="53"/>
      <c r="AC55" s="53"/>
      <c r="AD55" s="53"/>
      <c r="AE55" s="53"/>
      <c r="AF55" s="53"/>
      <c r="AG55" s="53"/>
      <c r="AH55" s="53"/>
      <c r="AJ55" s="45">
        <v>2012</v>
      </c>
      <c r="AK55" s="47">
        <f>Forcing!B55</f>
        <v>0.64666666666666694</v>
      </c>
      <c r="AL55" s="41">
        <v>1361.768</v>
      </c>
      <c r="AM55" s="47">
        <f>Forcing!C55</f>
        <v>0.49295906457010003</v>
      </c>
      <c r="AN55" s="43">
        <f>Solar!I55</f>
        <v>1361.1933333333332</v>
      </c>
      <c r="AP55" s="48">
        <v>-3.09E-2</v>
      </c>
      <c r="AQ55" s="48">
        <v>-8.8300000000000003E-2</v>
      </c>
      <c r="AR55" s="47">
        <f>IF(AP55="","",AP55-($AC$60+$AC$61*Volcanic!C55+$AC$62*Volcanic!D55+$AC$63*Volcanic!E55))</f>
        <v>7.1058805742837169E-2</v>
      </c>
      <c r="AS55" s="47">
        <f>IF(AQ55="","",AQ55-($AD$60+$AD$61*Volcanic!C55+$AD$62*Volcanic!D55+$AD$63*Volcanic!E55))</f>
        <v>1.0327366215756209E-2</v>
      </c>
      <c r="AU55" s="47">
        <f>AVERAGEIFS($AP$2:$AP$823,Volcanic!$L$2:$L$823,"&gt;="&amp;AJ55,Volcanic!$L$2:$L$823,"&lt;"&amp;(AJ55+1))</f>
        <v>0.64682500000000009</v>
      </c>
      <c r="AV55" s="47">
        <f>AVERAGEIFS($AQ$2:$AQ$823,Volcanic!$L$2:$L$823,"&gt;="&amp;AJ55,Volcanic!$L$2:$L$823,"&lt;"&amp;(AJ55+1))</f>
        <v>0.67036666666666667</v>
      </c>
    </row>
    <row r="56" spans="1:48" ht="75" customHeight="1">
      <c r="A56" s="45" t="str">
        <f>Volcanic!A56</f>
        <v>9/1962</v>
      </c>
      <c r="B56" s="43">
        <f>Volcanic!B56</f>
        <v>0</v>
      </c>
      <c r="C56" s="47">
        <f>Volcanic!C56</f>
        <v>0.17559303309992255</v>
      </c>
      <c r="D56" s="41">
        <v>-0.2</v>
      </c>
      <c r="E56" s="43">
        <f t="shared" si="12"/>
        <v>-0.1</v>
      </c>
      <c r="F56" s="48">
        <v>4.2300000000000003E-3</v>
      </c>
      <c r="G56" s="47">
        <f t="shared" si="13"/>
        <v>3.8899999999999998E-3</v>
      </c>
      <c r="H56" s="43">
        <f>Volcanic!D56</f>
        <v>-0.13</v>
      </c>
      <c r="I56" s="47">
        <f>Volcanic!E56</f>
        <v>3.8899999999999998E-3</v>
      </c>
      <c r="K56" s="47">
        <f t="shared" si="0"/>
        <v>0.17559303309992255</v>
      </c>
      <c r="L56" s="47">
        <f t="shared" si="1"/>
        <v>-0.1</v>
      </c>
      <c r="M56" s="47">
        <f t="shared" si="2"/>
        <v>3.8899999999999998E-3</v>
      </c>
      <c r="O56" s="47">
        <f t="shared" si="3"/>
        <v>0.17559303309992255</v>
      </c>
      <c r="P56" s="47">
        <f t="shared" si="4"/>
        <v>-0.13</v>
      </c>
      <c r="Q56" s="47">
        <f t="shared" si="5"/>
        <v>3.8899999999999998E-3</v>
      </c>
      <c r="S56" s="47">
        <f t="shared" si="6"/>
        <v>0.17559303309992255</v>
      </c>
      <c r="T56" s="47">
        <f t="shared" si="7"/>
        <v>-0.1</v>
      </c>
      <c r="U56" s="47">
        <f t="shared" si="8"/>
        <v>3.8899999999999998E-3</v>
      </c>
      <c r="W56" s="47">
        <f t="shared" si="9"/>
        <v>9.9458076399332629E-2</v>
      </c>
      <c r="X56" s="47">
        <f t="shared" si="10"/>
        <v>9.9721551867362535E-2</v>
      </c>
      <c r="Y56" s="47">
        <f t="shared" si="11"/>
        <v>9.7160472361491682E-2</v>
      </c>
      <c r="AA56" s="62" t="s">
        <v>2469</v>
      </c>
      <c r="AB56" s="53"/>
      <c r="AC56" s="53"/>
      <c r="AD56" s="53"/>
      <c r="AE56" s="53"/>
      <c r="AF56" s="53"/>
      <c r="AG56" s="53"/>
      <c r="AH56" s="53"/>
      <c r="AJ56" s="45">
        <v>2013</v>
      </c>
      <c r="AK56" s="47">
        <f>Forcing!B56</f>
        <v>0.67666666666666764</v>
      </c>
      <c r="AL56" s="41">
        <v>1361.8130000000001</v>
      </c>
      <c r="AM56" s="47">
        <f>Forcing!C56</f>
        <v>0.50274186240145013</v>
      </c>
      <c r="AN56" s="43">
        <f>Solar!I56</f>
        <v>1361.2625</v>
      </c>
      <c r="AP56" s="48">
        <v>5.4999999999999997E-3</v>
      </c>
      <c r="AQ56" s="48">
        <v>-0.1103</v>
      </c>
      <c r="AR56" s="47">
        <f>IF(AP56="","",AP56-($AC$60+$AC$61*Volcanic!C56+$AC$62*Volcanic!D56+$AC$63*Volcanic!E56))</f>
        <v>0.1159751591298363</v>
      </c>
      <c r="AS56" s="47">
        <f>IF(AQ56="","",AQ56-($AD$60+$AD$61*Volcanic!C56+$AD$62*Volcanic!D56+$AD$63*Volcanic!E56))</f>
        <v>-2.8862702561210096E-3</v>
      </c>
      <c r="AU56" s="47">
        <f>AVERAGEIFS($AP$2:$AP$823,Volcanic!$L$2:$L$823,"&gt;="&amp;AJ56,Volcanic!$L$2:$L$823,"&lt;"&amp;(AJ56+1))</f>
        <v>0.69395833333333334</v>
      </c>
      <c r="AV56" s="47">
        <f>AVERAGEIFS($AQ$2:$AQ$823,Volcanic!$L$2:$L$823,"&gt;="&amp;AJ56,Volcanic!$L$2:$L$823,"&lt;"&amp;(AJ56+1))</f>
        <v>0.68803333333333327</v>
      </c>
    </row>
    <row r="57" spans="1:48">
      <c r="A57" s="45" t="str">
        <f>Volcanic!A57</f>
        <v>10/1962</v>
      </c>
      <c r="B57" s="43">
        <f>Volcanic!B57</f>
        <v>1.0000000000001563E-2</v>
      </c>
      <c r="C57" s="47">
        <f>Volcanic!C57</f>
        <v>0.17184731357334099</v>
      </c>
      <c r="D57" s="41">
        <v>-0.2</v>
      </c>
      <c r="E57" s="43">
        <f t="shared" si="12"/>
        <v>0</v>
      </c>
      <c r="F57" s="48">
        <v>4.3E-3</v>
      </c>
      <c r="G57" s="47">
        <f t="shared" si="13"/>
        <v>3.82E-3</v>
      </c>
      <c r="H57" s="43">
        <f>Volcanic!D57</f>
        <v>0</v>
      </c>
      <c r="I57" s="47">
        <f>Volcanic!E57</f>
        <v>3.82E-3</v>
      </c>
      <c r="K57" s="47">
        <f t="shared" si="0"/>
        <v>0.17184731357334099</v>
      </c>
      <c r="L57" s="47">
        <f t="shared" si="1"/>
        <v>0</v>
      </c>
      <c r="M57" s="47">
        <f t="shared" si="2"/>
        <v>3.82E-3</v>
      </c>
      <c r="O57" s="47">
        <f t="shared" si="3"/>
        <v>0.17184731357334099</v>
      </c>
      <c r="P57" s="47">
        <f t="shared" si="4"/>
        <v>0</v>
      </c>
      <c r="Q57" s="47">
        <f t="shared" si="5"/>
        <v>3.82E-3</v>
      </c>
      <c r="S57" s="47">
        <f t="shared" si="6"/>
        <v>0.17184731357334099</v>
      </c>
      <c r="T57" s="47">
        <f t="shared" si="7"/>
        <v>0</v>
      </c>
      <c r="U57" s="47">
        <f t="shared" si="8"/>
        <v>3.82E-3</v>
      </c>
      <c r="W57" s="47">
        <f t="shared" si="9"/>
        <v>0.11023163934532132</v>
      </c>
      <c r="X57" s="47">
        <f t="shared" si="10"/>
        <v>0.10745380310160829</v>
      </c>
      <c r="Y57" s="47">
        <f t="shared" si="11"/>
        <v>0.1077019655428428</v>
      </c>
      <c r="AJ57" s="45">
        <v>2014</v>
      </c>
      <c r="AK57" s="47">
        <f>Forcing!B57</f>
        <v>0.74916666666666665</v>
      </c>
      <c r="AL57" s="41">
        <v>1361.8889999999999</v>
      </c>
      <c r="AM57" s="47">
        <f>Forcing!C57</f>
        <v>0.51026535704843223</v>
      </c>
      <c r="AN57" s="43">
        <f>Solar!I57</f>
        <v>1361.3833333333332</v>
      </c>
      <c r="AP57" s="48">
        <v>3.9600000000000003E-2</v>
      </c>
      <c r="AQ57" s="48">
        <v>-5.33E-2</v>
      </c>
      <c r="AR57" s="47">
        <f>IF(AP57="","",AP57-($AC$60+$AC$61*Volcanic!C57+$AC$62*Volcanic!D57+$AC$63*Volcanic!E57))</f>
        <v>0.1479609540125173</v>
      </c>
      <c r="AS57" s="47">
        <f>IF(AQ57="","",AQ57-($AD$60+$AD$61*Volcanic!C57+$AD$62*Volcanic!D57+$AD$63*Volcanic!E57))</f>
        <v>5.2021400701941958E-2</v>
      </c>
      <c r="AU57" s="47">
        <f>AVERAGEIFS($AP$2:$AP$823,Volcanic!$L$2:$L$823,"&gt;="&amp;AJ57,Volcanic!$L$2:$L$823,"&lt;"&amp;(AJ57+1))</f>
        <v>0.74316666666666675</v>
      </c>
      <c r="AV57" s="47">
        <f>AVERAGEIFS($AQ$2:$AQ$823,Volcanic!$L$2:$L$823,"&gt;="&amp;AJ57,Volcanic!$L$2:$L$823,"&lt;"&amp;(AJ57+1))</f>
        <v>0.76128333333333342</v>
      </c>
    </row>
    <row r="58" spans="1:48">
      <c r="A58" s="45" t="str">
        <f>Volcanic!A58</f>
        <v>11/1962</v>
      </c>
      <c r="B58" s="43">
        <f>Volcanic!B58</f>
        <v>5.9999999999998721E-2</v>
      </c>
      <c r="C58" s="47">
        <f>Volcanic!C58</f>
        <v>0.17764448548104073</v>
      </c>
      <c r="D58" s="41">
        <v>-0.2</v>
      </c>
      <c r="E58" s="43">
        <f t="shared" si="12"/>
        <v>-0.1</v>
      </c>
      <c r="F58" s="48">
        <v>4.2300000000000003E-3</v>
      </c>
      <c r="G58" s="47">
        <f t="shared" si="13"/>
        <v>3.8500000000000001E-3</v>
      </c>
      <c r="H58" s="43">
        <f>Volcanic!D58</f>
        <v>-0.1</v>
      </c>
      <c r="I58" s="47">
        <f>Volcanic!E58</f>
        <v>3.8500000000000001E-3</v>
      </c>
      <c r="K58" s="47">
        <f t="shared" si="0"/>
        <v>0.17764448548104073</v>
      </c>
      <c r="L58" s="47">
        <f t="shared" si="1"/>
        <v>-0.1</v>
      </c>
      <c r="M58" s="47">
        <f t="shared" si="2"/>
        <v>3.8500000000000001E-3</v>
      </c>
      <c r="O58" s="47">
        <f t="shared" si="3"/>
        <v>0.17764448548104073</v>
      </c>
      <c r="P58" s="47">
        <f t="shared" si="4"/>
        <v>-0.1</v>
      </c>
      <c r="Q58" s="47">
        <f t="shared" si="5"/>
        <v>3.8500000000000001E-3</v>
      </c>
      <c r="S58" s="47">
        <f t="shared" si="6"/>
        <v>0.17764448548104073</v>
      </c>
      <c r="T58" s="47">
        <f t="shared" si="7"/>
        <v>-0.1</v>
      </c>
      <c r="U58" s="47">
        <f t="shared" si="8"/>
        <v>3.8500000000000001E-3</v>
      </c>
      <c r="W58" s="47">
        <f t="shared" si="9"/>
        <v>0.15377531585227039</v>
      </c>
      <c r="X58" s="47">
        <f t="shared" si="10"/>
        <v>0.15125269316093112</v>
      </c>
      <c r="Y58" s="47">
        <f t="shared" si="11"/>
        <v>0.15151019690679454</v>
      </c>
      <c r="AA58" s="40" t="s">
        <v>2233</v>
      </c>
      <c r="AB58" s="40" t="s">
        <v>2470</v>
      </c>
      <c r="AC58" s="40" t="s">
        <v>2471</v>
      </c>
      <c r="AD58" s="40" t="s">
        <v>2472</v>
      </c>
      <c r="AE58" s="40" t="s">
        <v>2473</v>
      </c>
      <c r="AJ58" s="45">
        <v>2015</v>
      </c>
      <c r="AK58" s="47">
        <f>Forcing!B58</f>
        <v>0.89833333333333354</v>
      </c>
      <c r="AL58" s="41">
        <v>1361.9490000000001</v>
      </c>
      <c r="AM58" s="47">
        <f>Forcing!C58</f>
        <v>0.5182044540111318</v>
      </c>
      <c r="AN58" s="43">
        <f>Solar!I58</f>
        <v>1361.4133333333332</v>
      </c>
      <c r="AP58" s="48">
        <v>5.96E-2</v>
      </c>
      <c r="AQ58" s="48">
        <v>-1.5299999999999999E-2</v>
      </c>
      <c r="AR58" s="47">
        <f>IF(AP58="","",AP58-($AC$60+$AC$61*Volcanic!C58+$AC$62*Volcanic!D58+$AC$63*Volcanic!E58))</f>
        <v>0.16156784560499293</v>
      </c>
      <c r="AS58" s="47">
        <f>IF(AQ58="","",AQ58-($AD$60+$AD$61*Volcanic!C58+$AD$62*Volcanic!D58+$AD$63*Volcanic!E58))</f>
        <v>8.3409287437797144E-2</v>
      </c>
      <c r="AU58" s="47">
        <f>AVERAGEIFS($AP$2:$AP$823,Volcanic!$L$2:$L$823,"&gt;="&amp;AJ58,Volcanic!$L$2:$L$823,"&lt;"&amp;(AJ58+1))</f>
        <v>0.89327500000000004</v>
      </c>
      <c r="AV58" s="47">
        <f>AVERAGEIFS($AQ$2:$AQ$823,Volcanic!$L$2:$L$823,"&gt;="&amp;AJ58,Volcanic!$L$2:$L$823,"&lt;"&amp;(AJ58+1))</f>
        <v>0.90569999999999995</v>
      </c>
    </row>
    <row r="59" spans="1:48">
      <c r="A59" s="45" t="str">
        <f>Volcanic!A59</f>
        <v>12/1962</v>
      </c>
      <c r="B59" s="43">
        <f>Volcanic!B59</f>
        <v>-2.9999999999999361E-2</v>
      </c>
      <c r="C59" s="47">
        <f>Volcanic!C59</f>
        <v>0.18223826288116377</v>
      </c>
      <c r="D59" s="41">
        <v>-0.3</v>
      </c>
      <c r="E59" s="43">
        <f t="shared" si="12"/>
        <v>-0.2</v>
      </c>
      <c r="F59" s="48">
        <v>4.1099999999999999E-3</v>
      </c>
      <c r="G59" s="47">
        <f t="shared" si="13"/>
        <v>3.8899999999999998E-3</v>
      </c>
      <c r="H59" s="43">
        <f>Volcanic!D59</f>
        <v>-0.16</v>
      </c>
      <c r="I59" s="47">
        <f>Volcanic!E59</f>
        <v>3.8899999999999998E-3</v>
      </c>
      <c r="K59" s="47">
        <f t="shared" si="0"/>
        <v>0.18223826288116377</v>
      </c>
      <c r="L59" s="47">
        <f t="shared" si="1"/>
        <v>-0.2</v>
      </c>
      <c r="M59" s="47">
        <f t="shared" si="2"/>
        <v>3.8899999999999998E-3</v>
      </c>
      <c r="O59" s="47">
        <f t="shared" si="3"/>
        <v>0.18223826288116377</v>
      </c>
      <c r="P59" s="47">
        <f t="shared" si="4"/>
        <v>-0.16</v>
      </c>
      <c r="Q59" s="47">
        <f t="shared" si="5"/>
        <v>3.8899999999999998E-3</v>
      </c>
      <c r="S59" s="47">
        <f t="shared" si="6"/>
        <v>0.18223826288116377</v>
      </c>
      <c r="T59" s="47">
        <f t="shared" si="7"/>
        <v>-0.2</v>
      </c>
      <c r="U59" s="47">
        <f t="shared" si="8"/>
        <v>3.8899999999999998E-3</v>
      </c>
      <c r="W59" s="47">
        <f t="shared" si="9"/>
        <v>6.0622865635845832E-2</v>
      </c>
      <c r="X59" s="47">
        <f t="shared" si="10"/>
        <v>5.4573735231256235E-2</v>
      </c>
      <c r="Y59" s="47">
        <f t="shared" si="11"/>
        <v>5.8597694157540625E-2</v>
      </c>
      <c r="AA59" s="40" t="s">
        <v>2474</v>
      </c>
      <c r="AJ59" s="45">
        <v>2016</v>
      </c>
      <c r="AK59" s="47">
        <f>Forcing!B59</f>
        <v>1.0124999999999997</v>
      </c>
      <c r="AL59" s="41">
        <v>1361.4649999999999</v>
      </c>
      <c r="AM59" s="47">
        <f>Forcing!C59</f>
        <v>0.53038105662294244</v>
      </c>
      <c r="AN59" s="43">
        <f>Solar!I59</f>
        <v>1360.9541666666667</v>
      </c>
      <c r="AP59" s="48">
        <v>-4.7E-2</v>
      </c>
      <c r="AQ59" s="48">
        <v>-1.5299999999999999E-2</v>
      </c>
      <c r="AR59" s="47">
        <f>IF(AP59="","",AP59-($AC$60+$AC$61*Volcanic!C59+$AC$62*Volcanic!D59+$AC$63*Volcanic!E59))</f>
        <v>4.8138993935381416E-2</v>
      </c>
      <c r="AS59" s="47">
        <f>IF(AQ59="","",AQ59-($AD$60+$AD$61*Volcanic!C59+$AD$62*Volcanic!D59+$AD$63*Volcanic!E59))</f>
        <v>7.6368083518149596E-2</v>
      </c>
      <c r="AU59" s="47">
        <f>AVERAGEIFS($AP$2:$AP$823,Volcanic!$L$2:$L$823,"&gt;="&amp;AJ59,Volcanic!$L$2:$L$823,"&lt;"&amp;(AJ59+1))</f>
        <v>1.0001416666666669</v>
      </c>
      <c r="AV59" s="47">
        <f>AVERAGEIFS($AQ$2:$AQ$823,Volcanic!$L$2:$L$823,"&gt;="&amp;AJ59,Volcanic!$L$2:$L$823,"&lt;"&amp;(AJ59+1))</f>
        <v>1.0411999999999999</v>
      </c>
    </row>
    <row r="60" spans="1:48">
      <c r="A60" s="45" t="str">
        <f>Volcanic!A60</f>
        <v>1/1963</v>
      </c>
      <c r="B60" s="43">
        <f>Volcanic!B60</f>
        <v>-2.9999999999999361E-2</v>
      </c>
      <c r="C60" s="47">
        <f>Volcanic!C60</f>
        <v>0.18695325307037156</v>
      </c>
      <c r="D60" s="41">
        <v>-0.3</v>
      </c>
      <c r="E60" s="43">
        <f t="shared" si="12"/>
        <v>-0.2</v>
      </c>
      <c r="F60" s="48">
        <v>4.0200000000000001E-3</v>
      </c>
      <c r="G60" s="47">
        <f t="shared" si="13"/>
        <v>3.9699999999999996E-3</v>
      </c>
      <c r="H60" s="43">
        <f>Volcanic!D60</f>
        <v>-0.25</v>
      </c>
      <c r="I60" s="47">
        <f>Volcanic!E60</f>
        <v>3.9699999999999996E-3</v>
      </c>
      <c r="K60" s="47">
        <f t="shared" si="0"/>
        <v>0.18695325307037156</v>
      </c>
      <c r="L60" s="47">
        <f t="shared" si="1"/>
        <v>-0.2</v>
      </c>
      <c r="M60" s="47">
        <f t="shared" si="2"/>
        <v>3.9699999999999996E-3</v>
      </c>
      <c r="O60" s="47">
        <f t="shared" si="3"/>
        <v>0.18695325307037156</v>
      </c>
      <c r="P60" s="47">
        <f t="shared" si="4"/>
        <v>-0.25</v>
      </c>
      <c r="Q60" s="47">
        <f t="shared" si="5"/>
        <v>3.9699999999999996E-3</v>
      </c>
      <c r="S60" s="47">
        <f t="shared" si="6"/>
        <v>0.18695325307037156</v>
      </c>
      <c r="T60" s="47">
        <f t="shared" si="7"/>
        <v>-0.2</v>
      </c>
      <c r="U60" s="47">
        <f t="shared" si="8"/>
        <v>3.9699999999999996E-3</v>
      </c>
      <c r="W60" s="47">
        <f t="shared" si="9"/>
        <v>4.7940659420441303E-2</v>
      </c>
      <c r="X60" s="47">
        <f t="shared" si="10"/>
        <v>5.0489664582097027E-2</v>
      </c>
      <c r="Y60" s="47">
        <f t="shared" si="11"/>
        <v>4.6061040903766184E-2</v>
      </c>
      <c r="AA60" s="45" t="s">
        <v>1909</v>
      </c>
      <c r="AB60" s="43">
        <f>INDEX(LINEST(Volcanic!$B$9:$B$822,Volcanic!$C$9:$E$822),1,4)</f>
        <v>-0.56028489187596064</v>
      </c>
      <c r="AC60" s="43">
        <f>INDEX(LINEST($AP$9:$AP$822,Volcanic!$C$9:$E$822),1,4)</f>
        <v>-0.56841693439932472</v>
      </c>
      <c r="AD60" s="43">
        <f>INDEX(LINEST($AQ$9:$AQ$803,Volcanic!$C$9:$E$803),1,4)</f>
        <v>-0.57789814139429563</v>
      </c>
      <c r="AE60" s="43">
        <f>INDEX(LINEST(Volcanic!$B$9:$B$803,Volcanic!$C$9:$E$803),1,4)</f>
        <v>-0.54438219252545206</v>
      </c>
      <c r="AJ60" s="45">
        <v>2017</v>
      </c>
      <c r="AK60" s="47">
        <f>Forcing!B60</f>
        <v>0.91499999999999904</v>
      </c>
      <c r="AL60" s="41">
        <v>1361.2909999999999</v>
      </c>
      <c r="AM60" s="47">
        <f>Forcing!C60</f>
        <v>0.53872858215798958</v>
      </c>
      <c r="AN60" s="43">
        <f>Solar!I60</f>
        <v>1360.6599999999999</v>
      </c>
      <c r="AP60" s="48">
        <v>-3.85E-2</v>
      </c>
      <c r="AQ60" s="48">
        <v>-1.5299999999999999E-2</v>
      </c>
      <c r="AR60" s="47">
        <f>IF(AP60="","",AP60-($AC$60+$AC$61*Volcanic!C60+$AC$62*Volcanic!D60+$AC$63*Volcanic!E60))</f>
        <v>5.2384758690174803E-2</v>
      </c>
      <c r="AS60" s="47">
        <f>IF(AQ60="","",AQ60-($AD$60+$AD$61*Volcanic!C60+$AD$62*Volcanic!D60+$AD$63*Volcanic!E60))</f>
        <v>7.1945919711598805E-2</v>
      </c>
      <c r="AU60" s="47">
        <f>AVERAGEIFS($AP$2:$AP$823,Volcanic!$L$2:$L$823,"&gt;="&amp;AJ60,Volcanic!$L$2:$L$823,"&lt;"&amp;(AJ60+1))</f>
        <v>0.91177500000000034</v>
      </c>
      <c r="AV60" s="47">
        <f>AVERAGEIFS($AQ$2:$AQ$823,Volcanic!$L$2:$L$823,"&gt;="&amp;AJ60,Volcanic!$L$2:$L$823,"&lt;"&amp;(AJ60+1))</f>
        <v>0.94453333333333334</v>
      </c>
    </row>
    <row r="61" spans="1:48">
      <c r="A61" s="45" t="str">
        <f>Volcanic!A61</f>
        <v>2/1963</v>
      </c>
      <c r="B61" s="43">
        <f>Volcanic!B61</f>
        <v>0.17999999999999972</v>
      </c>
      <c r="C61" s="47">
        <f>Volcanic!C61</f>
        <v>0.18844614093972484</v>
      </c>
      <c r="D61" s="41">
        <v>-0.2</v>
      </c>
      <c r="E61" s="43">
        <f t="shared" si="12"/>
        <v>-0.2</v>
      </c>
      <c r="F61" s="48">
        <v>3.8899999999999998E-3</v>
      </c>
      <c r="G61" s="47">
        <f t="shared" si="13"/>
        <v>4.0499999999999998E-3</v>
      </c>
      <c r="H61" s="43">
        <f>Volcanic!D61</f>
        <v>-0.25</v>
      </c>
      <c r="I61" s="47">
        <f>Volcanic!E61</f>
        <v>4.0499999999999998E-3</v>
      </c>
      <c r="K61" s="47">
        <f t="shared" si="0"/>
        <v>0.18844614093972484</v>
      </c>
      <c r="L61" s="47">
        <f t="shared" si="1"/>
        <v>-0.2</v>
      </c>
      <c r="M61" s="47">
        <f t="shared" si="2"/>
        <v>4.0499999999999998E-3</v>
      </c>
      <c r="O61" s="47">
        <f t="shared" si="3"/>
        <v>0.18844614093972484</v>
      </c>
      <c r="P61" s="47">
        <f t="shared" si="4"/>
        <v>-0.25</v>
      </c>
      <c r="Q61" s="47">
        <f t="shared" si="5"/>
        <v>4.0499999999999998E-3</v>
      </c>
      <c r="S61" s="47">
        <f t="shared" si="6"/>
        <v>0.18844614093972484</v>
      </c>
      <c r="T61" s="47">
        <f t="shared" si="7"/>
        <v>-0.2</v>
      </c>
      <c r="U61" s="47">
        <f t="shared" si="8"/>
        <v>4.0499999999999998E-3</v>
      </c>
      <c r="W61" s="47">
        <f t="shared" si="9"/>
        <v>0.2540456114075233</v>
      </c>
      <c r="X61" s="47">
        <f t="shared" si="10"/>
        <v>0.25666254481272194</v>
      </c>
      <c r="Y61" s="47">
        <f t="shared" si="11"/>
        <v>0.25223461965614602</v>
      </c>
      <c r="AA61" s="45" t="s">
        <v>1910</v>
      </c>
      <c r="AB61" s="43">
        <f>INDEX(LINEST(Volcanic!$B$9:$B$822,Volcanic!$C$9:$E$822),1,3)</f>
        <v>2.7274258799243318</v>
      </c>
      <c r="AC61" s="43">
        <f>INDEX(LINEST($AP$9:$AP$822,Volcanic!$C$9:$E$822),1,3)</f>
        <v>2.7306080945203064</v>
      </c>
      <c r="AD61" s="43">
        <f>INDEX(LINEST($AQ$9:$AQ$803,Volcanic!$C$9:$E$803),1,3)</f>
        <v>2.800892782028102</v>
      </c>
      <c r="AE61" s="43">
        <f>INDEX(LINEST(Volcanic!$B$9:$B$803,Volcanic!$C$9:$E$803),1,3)</f>
        <v>2.6758724821063926</v>
      </c>
      <c r="AJ61" s="45">
        <v>2018</v>
      </c>
      <c r="AK61" s="47">
        <f>Forcing!B61</f>
        <v>0.85083333333333433</v>
      </c>
      <c r="AL61" s="41">
        <v>1361.2619999999999</v>
      </c>
      <c r="AM61" s="47">
        <f>Forcing!C61</f>
        <v>0.54565570832238308</v>
      </c>
      <c r="AN61" s="43">
        <f>Solar!I61</f>
        <v>1360.6391666666666</v>
      </c>
      <c r="AP61" s="48">
        <v>0.11990000000000001</v>
      </c>
      <c r="AQ61" s="48">
        <v>0.1037</v>
      </c>
      <c r="AR61" s="47">
        <f>IF(AP61="","",AP61-($AC$60+$AC$61*Volcanic!C61+$AC$62*Volcanic!D61+$AC$63*Volcanic!E61))</f>
        <v>0.20690076301248614</v>
      </c>
      <c r="AS61" s="47">
        <f>IF(AQ61="","",AQ61-($AD$60+$AD$61*Volcanic!C61+$AD$62*Volcanic!D61+$AD$63*Volcanic!E61))</f>
        <v>0.18694772932528264</v>
      </c>
      <c r="AU61" s="47">
        <f>AVERAGEIFS($AP$2:$AP$823,Volcanic!$L$2:$L$823,"&gt;="&amp;AJ61,Volcanic!$L$2:$L$823,"&lt;"&amp;(AJ61+1))</f>
        <v>0.82850833333333329</v>
      </c>
      <c r="AV61" s="47">
        <f>AVERAGEIFS($AQ$2:$AQ$823,Volcanic!$L$2:$L$823,"&gt;="&amp;AJ61,Volcanic!$L$2:$L$823,"&lt;"&amp;(AJ61+1))</f>
        <v>0.87053333333333305</v>
      </c>
    </row>
    <row r="62" spans="1:48">
      <c r="A62" s="45" t="str">
        <f>Volcanic!A62</f>
        <v>3/1963</v>
      </c>
      <c r="B62" s="43">
        <f>Volcanic!B62</f>
        <v>-0.13999999999999879</v>
      </c>
      <c r="C62" s="47">
        <f>Volcanic!C62</f>
        <v>0.19201376075129936</v>
      </c>
      <c r="D62" s="41">
        <v>0</v>
      </c>
      <c r="E62" s="43">
        <f t="shared" si="12"/>
        <v>-0.3</v>
      </c>
      <c r="F62" s="48">
        <v>5.0600000000000003E-3</v>
      </c>
      <c r="G62" s="47">
        <f t="shared" si="13"/>
        <v>4.1599999999999996E-3</v>
      </c>
      <c r="H62" s="43">
        <f>Volcanic!D62</f>
        <v>-0.32</v>
      </c>
      <c r="I62" s="47">
        <f>Volcanic!E62</f>
        <v>4.1599999999999996E-3</v>
      </c>
      <c r="K62" s="47">
        <f t="shared" si="0"/>
        <v>0.19201376075129936</v>
      </c>
      <c r="L62" s="47">
        <f t="shared" si="1"/>
        <v>-0.3</v>
      </c>
      <c r="M62" s="47">
        <f t="shared" si="2"/>
        <v>4.1599999999999996E-3</v>
      </c>
      <c r="O62" s="47">
        <f t="shared" si="3"/>
        <v>0.19201376075129936</v>
      </c>
      <c r="P62" s="47">
        <f t="shared" si="4"/>
        <v>-0.32</v>
      </c>
      <c r="Q62" s="47">
        <f t="shared" si="5"/>
        <v>4.1599999999999996E-3</v>
      </c>
      <c r="S62" s="47">
        <f t="shared" si="6"/>
        <v>0.19201376075129936</v>
      </c>
      <c r="T62" s="47">
        <f t="shared" si="7"/>
        <v>-0.3</v>
      </c>
      <c r="U62" s="47">
        <f t="shared" si="8"/>
        <v>4.1599999999999996E-3</v>
      </c>
      <c r="W62" s="47">
        <f t="shared" si="9"/>
        <v>-6.6154105796724288E-2</v>
      </c>
      <c r="X62" s="47">
        <f t="shared" si="10"/>
        <v>-6.6119860752833534E-2</v>
      </c>
      <c r="Y62" s="47">
        <f t="shared" si="11"/>
        <v>-6.7720787451032813E-2</v>
      </c>
      <c r="AA62" s="45" t="s">
        <v>1941</v>
      </c>
      <c r="AB62" s="47">
        <f>INDEX(LINEST(Volcanic!$B$9:$B$822,Volcanic!$C$9:$E$822),1,2)</f>
        <v>9.2795015553117519E-2</v>
      </c>
      <c r="AC62" s="47">
        <f>INDEX(LINEST($AP$9:$AP$822,Volcanic!$C$9:$E$822),1,2)</f>
        <v>9.3645101204993156E-2</v>
      </c>
      <c r="AD62" s="47">
        <f>INDEX(LINEST($AQ$9:$AQ$803,Volcanic!$C$9:$E$803),1,2)</f>
        <v>9.5564330115576579E-2</v>
      </c>
      <c r="AE62" s="47">
        <f>INDEX(LINEST(Volcanic!$B$9:$B$803,Volcanic!$C$9:$E$803),1,2)</f>
        <v>9.4694878196113566E-2</v>
      </c>
      <c r="AJ62" s="45">
        <v>2019</v>
      </c>
      <c r="AK62" s="47">
        <f>Forcing!B62</f>
        <v>0.97999999999999898</v>
      </c>
      <c r="AL62" s="41">
        <v>1361.2550000000001</v>
      </c>
      <c r="AM62" s="47">
        <f>Forcing!C62</f>
        <v>0.55597376133382259</v>
      </c>
      <c r="AN62" s="43">
        <f>Solar!I62</f>
        <v>1360.6483333333333</v>
      </c>
      <c r="AP62" s="48">
        <v>-0.26150000000000001</v>
      </c>
      <c r="AQ62" s="48">
        <v>-0.23930000000000001</v>
      </c>
      <c r="AR62" s="47">
        <f>IF(AP62="","",AP62-($AC$60+$AC$61*Volcanic!C62+$AC$62*Volcanic!D62+$AC$63*Volcanic!E62))</f>
        <v>-0.1774211694077753</v>
      </c>
      <c r="AS62" s="47">
        <f>IF(AQ62="","",AQ62-($AD$60+$AD$61*Volcanic!C62+$AD$62*Volcanic!D62+$AD$63*Volcanic!E62))</f>
        <v>-0.15910334899780412</v>
      </c>
      <c r="AU62" s="47">
        <f>AVERAGEIFS($AP$2:$AP$823,Volcanic!$L$2:$L$823,"&gt;="&amp;AJ62,Volcanic!$L$2:$L$823,"&lt;"&amp;(AJ62+1))</f>
        <v>0.96266666666666667</v>
      </c>
      <c r="AV62" s="47">
        <f>AVERAGEIFS($AQ$2:$AQ$823,Volcanic!$L$2:$L$823,"&gt;="&amp;AJ62,Volcanic!$L$2:$L$823,"&lt;"&amp;(AJ62+1))</f>
        <v>1.0067000000000002</v>
      </c>
    </row>
    <row r="63" spans="1:48">
      <c r="A63" s="45" t="str">
        <f>Volcanic!A63</f>
        <v>4/1963</v>
      </c>
      <c r="B63" s="43">
        <f>Volcanic!B63</f>
        <v>-7.0000000000000284E-2</v>
      </c>
      <c r="C63" s="47">
        <f>Volcanic!C63</f>
        <v>0.198853323377887</v>
      </c>
      <c r="D63" s="41">
        <v>0.1</v>
      </c>
      <c r="E63" s="43">
        <f t="shared" si="12"/>
        <v>-0.3</v>
      </c>
      <c r="F63" s="48">
        <v>2.034E-2</v>
      </c>
      <c r="G63" s="47">
        <f t="shared" si="13"/>
        <v>4.2300000000000003E-3</v>
      </c>
      <c r="H63" s="43">
        <f>Volcanic!D63</f>
        <v>-0.33</v>
      </c>
      <c r="I63" s="47">
        <f>Volcanic!E63</f>
        <v>4.2300000000000003E-3</v>
      </c>
      <c r="K63" s="47">
        <f t="shared" si="0"/>
        <v>0.198853323377887</v>
      </c>
      <c r="L63" s="47">
        <f t="shared" si="1"/>
        <v>-0.3</v>
      </c>
      <c r="M63" s="47">
        <f t="shared" si="2"/>
        <v>4.2300000000000003E-3</v>
      </c>
      <c r="O63" s="47">
        <f t="shared" si="3"/>
        <v>0.198853323377887</v>
      </c>
      <c r="P63" s="47">
        <f t="shared" si="4"/>
        <v>-0.33</v>
      </c>
      <c r="Q63" s="47">
        <f t="shared" si="5"/>
        <v>4.2300000000000003E-3</v>
      </c>
      <c r="S63" s="47">
        <f t="shared" si="6"/>
        <v>0.198853323377887</v>
      </c>
      <c r="T63" s="47">
        <f t="shared" si="7"/>
        <v>-0.3</v>
      </c>
      <c r="U63" s="47">
        <f t="shared" si="8"/>
        <v>4.2300000000000003E-3</v>
      </c>
      <c r="W63" s="47">
        <f t="shared" si="9"/>
        <v>-1.4652376212032484E-2</v>
      </c>
      <c r="X63" s="47">
        <f t="shared" si="10"/>
        <v>-1.3488902563825046E-2</v>
      </c>
      <c r="Y63" s="47">
        <f t="shared" si="11"/>
        <v>-1.6026904819660057E-2</v>
      </c>
      <c r="AA63" s="45" t="s">
        <v>1968</v>
      </c>
      <c r="AB63" s="43">
        <f>INDEX(LINEST(Volcanic!$B$9:$B$822,Volcanic!$C$9:$E$822),1,1)</f>
        <v>-2.2003522516467848</v>
      </c>
      <c r="AC63" s="43">
        <f>INDEX(LINEST($AP$9:$AP$822,Volcanic!$C$9:$E$822),1,1)</f>
        <v>-2.4062002822321515</v>
      </c>
      <c r="AD63" s="43">
        <f>INDEX(LINEST($AQ$9:$AQ$803,Volcanic!$C$9:$E$803),1,1)</f>
        <v>-2.2903558916588951</v>
      </c>
      <c r="AE63" s="43">
        <f>INDEX(LINEST(Volcanic!$B$9:$B$803,Volcanic!$C$9:$E$803),1,1)</f>
        <v>-2.2615394528561032</v>
      </c>
      <c r="AJ63" s="45">
        <v>2020</v>
      </c>
      <c r="AK63" s="47">
        <f>Forcing!B63</f>
        <v>1.0075000000000005</v>
      </c>
      <c r="AL63" s="41">
        <v>1361.3230000000001</v>
      </c>
      <c r="AM63" s="47">
        <f>Forcing!C63</f>
        <v>0.56493356806233885</v>
      </c>
      <c r="AN63" s="43">
        <f>Solar!I63</f>
        <v>1360.7483333333332</v>
      </c>
      <c r="AP63" s="48">
        <v>-9.9299999999999999E-2</v>
      </c>
      <c r="AQ63" s="48">
        <v>-8.0299999999999996E-2</v>
      </c>
      <c r="AR63" s="47">
        <f>IF(AP63="","",AP63-($AC$60+$AC$61*Volcanic!C63+$AC$62*Volcanic!D63+$AC$63*Volcanic!E63))</f>
        <v>-3.2792449447107894E-2</v>
      </c>
      <c r="AS63" s="47">
        <f>IF(AQ63="","",AQ63-($AD$60+$AD$61*Volcanic!C63+$AD$62*Volcanic!D63+$AD$63*Volcanic!E63))</f>
        <v>-1.8144262377270751E-2</v>
      </c>
      <c r="AU63" s="47">
        <f>AVERAGEIFS($AP$2:$AP$823,Volcanic!$L$2:$L$823,"&gt;="&amp;AJ63,Volcanic!$L$2:$L$823,"&lt;"&amp;(AJ63+1))</f>
        <v>0.99155833333333332</v>
      </c>
      <c r="AV63" s="47">
        <f>AVERAGEIFS($AQ$2:$AQ$823,Volcanic!$L$2:$L$823,"&gt;="&amp;AJ63,Volcanic!$L$2:$L$823,"&lt;"&amp;(AJ63+1))</f>
        <v>1.0317833333333335</v>
      </c>
    </row>
    <row r="64" spans="1:48">
      <c r="A64" s="45" t="str">
        <f>Volcanic!A64</f>
        <v>5/1963</v>
      </c>
      <c r="B64" s="43">
        <f>Volcanic!B64</f>
        <v>-6.0000000000000497E-2</v>
      </c>
      <c r="C64" s="47">
        <f>Volcanic!C64</f>
        <v>0.20270876128709345</v>
      </c>
      <c r="D64" s="41">
        <v>0.1</v>
      </c>
      <c r="E64" s="43">
        <f t="shared" si="12"/>
        <v>-0.2</v>
      </c>
      <c r="F64" s="48">
        <v>3.2120000000000003E-2</v>
      </c>
      <c r="G64" s="47">
        <f t="shared" si="13"/>
        <v>4.3E-3</v>
      </c>
      <c r="H64" s="43">
        <f>Volcanic!D64</f>
        <v>-0.17</v>
      </c>
      <c r="I64" s="47">
        <f>Volcanic!E64</f>
        <v>4.3E-3</v>
      </c>
      <c r="K64" s="47">
        <f t="shared" si="0"/>
        <v>0.20270876128709345</v>
      </c>
      <c r="L64" s="47">
        <f t="shared" si="1"/>
        <v>-0.2</v>
      </c>
      <c r="M64" s="47">
        <f t="shared" si="2"/>
        <v>4.3E-3</v>
      </c>
      <c r="O64" s="47">
        <f t="shared" si="3"/>
        <v>0.20270876128709345</v>
      </c>
      <c r="P64" s="47">
        <f t="shared" si="4"/>
        <v>-0.17</v>
      </c>
      <c r="Q64" s="47">
        <f t="shared" si="5"/>
        <v>4.3E-3</v>
      </c>
      <c r="S64" s="47">
        <f t="shared" si="6"/>
        <v>0.20270876128709345</v>
      </c>
      <c r="T64" s="47">
        <f t="shared" si="7"/>
        <v>-0.2</v>
      </c>
      <c r="U64" s="47">
        <f t="shared" si="8"/>
        <v>4.3E-3</v>
      </c>
      <c r="W64" s="47">
        <f t="shared" si="9"/>
        <v>-2.429982065319608E-2</v>
      </c>
      <c r="X64" s="47">
        <f t="shared" si="10"/>
        <v>-2.875927939354048E-2</v>
      </c>
      <c r="Y64" s="47">
        <f t="shared" si="11"/>
        <v>-2.5667221590734576E-2</v>
      </c>
      <c r="AA64" s="45" t="s">
        <v>1912</v>
      </c>
      <c r="AB64" s="47">
        <f>INDEX(LINEST(Volcanic!$B$9:$B$822,Volcanic!$C$9:$E$822,TRUE,TRUE),3,1)</f>
        <v>0.90076358738862705</v>
      </c>
      <c r="AC64" s="47">
        <f>INDEX(LINEST($AP$9:$AP$822,Volcanic!$C$9:$E$822,TRUE,TRUE),3,1)</f>
        <v>0.90900242370506545</v>
      </c>
      <c r="AD64" s="47">
        <f>INDEX(LINEST($AQ$9:$AQ$803,Volcanic!$C$9:$E$803,TRUE,TRUE),3,1)</f>
        <v>0.90066753102972497</v>
      </c>
      <c r="AE64" s="47">
        <f>INDEX(LINEST(Volcanic!$B$9:$B$803,Volcanic!$C$9:$E$803,TRUE,TRUE),3,1)</f>
        <v>0.89535268282444669</v>
      </c>
      <c r="AJ64" s="45">
        <v>2021</v>
      </c>
      <c r="AK64" s="47">
        <f>Forcing!B64</f>
        <v>0.84916666666666762</v>
      </c>
      <c r="AL64" s="41">
        <v>1361.489</v>
      </c>
      <c r="AM64" s="47">
        <f>Forcing!C64</f>
        <v>0.57257663795460223</v>
      </c>
      <c r="AN64" s="43">
        <f>Solar!I64</f>
        <v>1360.9741666666666</v>
      </c>
      <c r="AP64" s="48">
        <v>-6.6900000000000001E-2</v>
      </c>
      <c r="AQ64" s="48">
        <v>-0.1053</v>
      </c>
      <c r="AR64" s="47">
        <f>IF(AP64="","",AP64-($AC$60+$AC$61*Volcanic!C64+$AC$62*Volcanic!D64+$AC$63*Volcanic!E64))</f>
        <v>-2.5734921582950057E-2</v>
      </c>
      <c r="AS64" s="47">
        <f>IF(AQ64="","",AQ64-($AD$60+$AD$61*Volcanic!C64+$AD$62*Volcanic!D64+$AD$63*Volcanic!E64))</f>
        <v>-6.9072898494800694E-2</v>
      </c>
      <c r="AU64" s="47">
        <f>AVERAGEIFS($AP$2:$AP$823,Volcanic!$L$2:$L$823,"&gt;="&amp;AJ64,Volcanic!$L$2:$L$823,"&lt;"&amp;(AJ64+1))</f>
        <v>0.84263333333333323</v>
      </c>
      <c r="AV64" s="47">
        <f>AVERAGEIFS($AQ$2:$AQ$823,Volcanic!$L$2:$L$823,"&gt;="&amp;AJ64,Volcanic!$L$2:$L$823,"&lt;"&amp;(AJ64+1))</f>
        <v>0.87745000000000006</v>
      </c>
    </row>
    <row r="65" spans="1:48">
      <c r="A65" s="45" t="str">
        <f>Volcanic!A65</f>
        <v>6/1963</v>
      </c>
      <c r="B65" s="43">
        <f>Volcanic!B65</f>
        <v>5.0000000000004263E-2</v>
      </c>
      <c r="C65" s="47">
        <f>Volcanic!C65</f>
        <v>0.19934703581133892</v>
      </c>
      <c r="D65" s="41">
        <v>0.5</v>
      </c>
      <c r="E65" s="43">
        <f t="shared" si="12"/>
        <v>0</v>
      </c>
      <c r="F65" s="48">
        <v>5.5280000000000003E-2</v>
      </c>
      <c r="G65" s="47">
        <f t="shared" si="13"/>
        <v>4.2300000000000003E-3</v>
      </c>
      <c r="H65" s="43">
        <f>Volcanic!D65</f>
        <v>0.01</v>
      </c>
      <c r="I65" s="47">
        <f>Volcanic!E65</f>
        <v>4.2300000000000003E-3</v>
      </c>
      <c r="K65" s="47">
        <f t="shared" si="0"/>
        <v>0.19934703581133892</v>
      </c>
      <c r="L65" s="47">
        <f t="shared" si="1"/>
        <v>0</v>
      </c>
      <c r="M65" s="47">
        <f t="shared" si="2"/>
        <v>4.2300000000000003E-3</v>
      </c>
      <c r="O65" s="47">
        <f t="shared" si="3"/>
        <v>0.19934703581133892</v>
      </c>
      <c r="P65" s="47">
        <f t="shared" si="4"/>
        <v>0.01</v>
      </c>
      <c r="Q65" s="47">
        <f t="shared" si="5"/>
        <v>4.2300000000000003E-3</v>
      </c>
      <c r="S65" s="47">
        <f t="shared" si="6"/>
        <v>0.19934703581133892</v>
      </c>
      <c r="T65" s="47">
        <f t="shared" si="7"/>
        <v>0</v>
      </c>
      <c r="U65" s="47">
        <f t="shared" si="8"/>
        <v>4.2300000000000003E-3</v>
      </c>
      <c r="W65" s="47">
        <f t="shared" si="9"/>
        <v>7.6139201222993627E-2</v>
      </c>
      <c r="X65" s="47">
        <f t="shared" si="10"/>
        <v>7.3238004486909342E-2</v>
      </c>
      <c r="Y65" s="47">
        <f t="shared" si="11"/>
        <v>7.4435117415442592E-2</v>
      </c>
      <c r="AA65" s="45" t="s">
        <v>2475</v>
      </c>
      <c r="AB65" s="47">
        <f>INDEX(LINEST(Volcanic!$B$9:$B$822,Volcanic!$C$9:$E$822,TRUE,TRUE),3,2)</f>
        <v>0.12231075101819948</v>
      </c>
      <c r="AC65" s="47">
        <f>INDEX(LINEST($AP$9:$AP$822,Volcanic!$C$9:$E$822,TRUE,TRUE),3,2)</f>
        <v>0.11691169278407793</v>
      </c>
      <c r="AD65" s="47">
        <f>INDEX(LINEST($AQ$9:$AQ$803,Volcanic!$C$9:$E$803,TRUE,TRUE),3,2)</f>
        <v>0.12227436794223201</v>
      </c>
      <c r="AE65" s="47">
        <f>INDEX(LINEST(Volcanic!$B$9:$B$803,Volcanic!$C$9:$E$803,TRUE,TRUE),3,2)</f>
        <v>0.12050720825661436</v>
      </c>
      <c r="AJ65" s="45">
        <v>2022</v>
      </c>
      <c r="AK65" s="47">
        <f>Forcing!B65</f>
        <v>0.89250000000000063</v>
      </c>
      <c r="AL65" s="41">
        <v>1361.981</v>
      </c>
      <c r="AM65" s="47">
        <f>Forcing!C65</f>
        <v>0.579887058389435</v>
      </c>
      <c r="AN65" s="43">
        <f>Solar!I65</f>
        <v>1361.4933333333336</v>
      </c>
      <c r="AP65" s="48">
        <v>1.2800000000000001E-2</v>
      </c>
      <c r="AQ65" s="48">
        <v>-4.2299999999999997E-2</v>
      </c>
      <c r="AR65" s="47">
        <f>IF(AP65="","",AP65-($AC$60+$AC$61*Volcanic!C65+$AC$62*Volcanic!D65+$AC$63*Volcanic!E65))</f>
        <v>4.6120080976045391E-2</v>
      </c>
      <c r="AS65" s="47">
        <f>IF(AQ65="","",AQ65-($AD$60+$AD$61*Volcanic!C65+$AD$62*Volcanic!D65+$AD$63*Volcanic!E65))</f>
        <v>-1.4018970207819753E-2</v>
      </c>
      <c r="AU65" s="47">
        <f>AVERAGEIFS($AP$2:$AP$823,Volcanic!$L$2:$L$823,"&gt;="&amp;AJ65,Volcanic!$L$2:$L$823,"&lt;"&amp;(AJ65+1))</f>
        <v>0.87715833333333337</v>
      </c>
      <c r="AV65" s="47">
        <f>AVERAGEIFS($AQ$2:$AQ$823,Volcanic!$L$2:$L$823,"&gt;="&amp;AJ65,Volcanic!$L$2:$L$823,"&lt;"&amp;(AJ65+1))</f>
        <v>0.91894999999999982</v>
      </c>
    </row>
    <row r="66" spans="1:48">
      <c r="A66" s="45" t="str">
        <f>Volcanic!A66</f>
        <v>7/1963</v>
      </c>
      <c r="B66" s="43">
        <f>Volcanic!B66</f>
        <v>5.9999999999998721E-2</v>
      </c>
      <c r="C66" s="47">
        <f>Volcanic!C66</f>
        <v>0.19147241176149948</v>
      </c>
      <c r="D66" s="41">
        <v>0.8</v>
      </c>
      <c r="E66" s="43">
        <f t="shared" si="12"/>
        <v>0.1</v>
      </c>
      <c r="F66" s="48">
        <v>6.9760000000000003E-2</v>
      </c>
      <c r="G66" s="47">
        <f t="shared" si="13"/>
        <v>4.1099999999999999E-3</v>
      </c>
      <c r="H66" s="43">
        <f>Volcanic!D66</f>
        <v>0.13</v>
      </c>
      <c r="I66" s="47">
        <f>Volcanic!E66</f>
        <v>4.1099999999999999E-3</v>
      </c>
      <c r="K66" s="47">
        <f t="shared" ref="K66:K129" si="14">C66</f>
        <v>0.19147241176149948</v>
      </c>
      <c r="L66" s="47">
        <f t="shared" ref="L66:L129" si="15">E66</f>
        <v>0.1</v>
      </c>
      <c r="M66" s="47">
        <f t="shared" ref="M66:M129" si="16">I66</f>
        <v>4.1099999999999999E-3</v>
      </c>
      <c r="O66" s="47">
        <f t="shared" ref="O66:O129" si="17">C66</f>
        <v>0.19147241176149948</v>
      </c>
      <c r="P66" s="47">
        <f t="shared" ref="P66:P129" si="18">H66</f>
        <v>0.13</v>
      </c>
      <c r="Q66" s="47">
        <f t="shared" ref="Q66:Q129" si="19">G66</f>
        <v>4.1099999999999999E-3</v>
      </c>
      <c r="S66" s="47">
        <f t="shared" ref="S66:S129" si="20">C66</f>
        <v>0.19147241176149948</v>
      </c>
      <c r="T66" s="47">
        <f t="shared" ref="T66:T129" si="21">E66</f>
        <v>0.1</v>
      </c>
      <c r="U66" s="47">
        <f t="shared" ref="U66:U129" si="22">G66</f>
        <v>4.1099999999999999E-3</v>
      </c>
      <c r="W66" s="47">
        <f t="shared" ref="W66:W129" si="23">IF(OR(L66="",M66=""),"",B66-($AB$6+$AB$7*K66+$AB$8*L66+$AB$9*M66))</f>
        <v>9.8062732272818365E-2</v>
      </c>
      <c r="X66" s="47">
        <f t="shared" ref="X66:X129" si="24">IF(OR(P66="",Q66=""),"",B66-($AC$6+$AC$7*O66+$AC$8*P66+$AC$9*Q66))</f>
        <v>9.2941798555310748E-2</v>
      </c>
      <c r="Y66" s="47">
        <f t="shared" ref="Y66:Y129" si="25">IF(OR(T66="",U66=""),"",B66-($AD$6+$AD$7*S66+$AD$8*T66+$AD$9*U66))</f>
        <v>9.6007387547362238E-2</v>
      </c>
      <c r="AA66" s="45" t="s">
        <v>2476</v>
      </c>
      <c r="AB66" s="43">
        <f>Volcanic!N39</f>
        <v>0.15129879294277743</v>
      </c>
      <c r="AC66" s="43">
        <f>AVERAGEIFS($AR$9:$AR$822,Volcanic!$L$9:$L$822,"&gt;=2023",Volcanic!$L$9:$L$822,"&lt;2026")</f>
        <v>0.12778150187577864</v>
      </c>
      <c r="AD66" s="43">
        <f>AVERAGEIFS($AS$9:$AS$803,Volcanic!$L$9:$L$803,"&gt;=2023",Volcanic!$L$9:$L$803,"&lt;2026")</f>
        <v>0.15228529424856377</v>
      </c>
      <c r="AJ66" s="45">
        <v>2023</v>
      </c>
      <c r="AK66" s="47">
        <f>Forcing!B66</f>
        <v>1.1724999999999992</v>
      </c>
      <c r="AL66" s="41">
        <v>1362.4480000000001</v>
      </c>
      <c r="AM66" s="47">
        <f>Forcing!C66</f>
        <v>0.58865435505823871</v>
      </c>
      <c r="AN66" s="43">
        <f>Solar!I66</f>
        <v>1362.0025000000001</v>
      </c>
      <c r="AP66" s="48">
        <v>0.14080000000000001</v>
      </c>
      <c r="AQ66" s="48">
        <v>4.7699999999999999E-2</v>
      </c>
      <c r="AR66" s="47">
        <f>IF(AP66="","",AP66-($AC$60+$AC$61*Volcanic!C66+$AC$62*Volcanic!D66+$AC$63*Volcanic!E66))</f>
        <v>0.18409643696937414</v>
      </c>
      <c r="AS66" s="47">
        <f>IF(AQ66="","",AQ66-($AD$60+$AD$61*Volcanic!C66+$AD$62*Volcanic!D66+$AD$63*Volcanic!E66))</f>
        <v>8.6294445133692194E-2</v>
      </c>
      <c r="AU66" s="47">
        <f>AVERAGEIFS($AP$2:$AP$823,Volcanic!$L$2:$L$823,"&gt;="&amp;AJ66,Volcanic!$L$2:$L$823,"&lt;"&amp;(AJ66+1))</f>
        <v>1.1851333333333334</v>
      </c>
      <c r="AV66" s="47">
        <f>AVERAGEIFS($AQ$2:$AQ$823,Volcanic!$L$2:$L$823,"&gt;="&amp;AJ66,Volcanic!$L$2:$L$823,"&lt;"&amp;(AJ66+1))</f>
        <v>1.2114500000000001</v>
      </c>
    </row>
    <row r="67" spans="1:48">
      <c r="A67" s="45" t="str">
        <f>Volcanic!A67</f>
        <v>8/1963</v>
      </c>
      <c r="B67" s="43">
        <f>Volcanic!B67</f>
        <v>0.22000000000000242</v>
      </c>
      <c r="C67" s="47">
        <f>Volcanic!C67</f>
        <v>0.18255610212855772</v>
      </c>
      <c r="D67" s="41">
        <v>1.1000000000000001</v>
      </c>
      <c r="E67" s="43">
        <f t="shared" si="12"/>
        <v>0.1</v>
      </c>
      <c r="F67" s="48">
        <v>7.7710000000000001E-2</v>
      </c>
      <c r="G67" s="47">
        <f t="shared" si="13"/>
        <v>4.0200000000000001E-3</v>
      </c>
      <c r="H67" s="43">
        <f>Volcanic!D67</f>
        <v>0.12</v>
      </c>
      <c r="I67" s="47">
        <f>Volcanic!E67</f>
        <v>4.0200000000000001E-3</v>
      </c>
      <c r="K67" s="47">
        <f t="shared" si="14"/>
        <v>0.18255610212855772</v>
      </c>
      <c r="L67" s="47">
        <f t="shared" si="15"/>
        <v>0.1</v>
      </c>
      <c r="M67" s="47">
        <f t="shared" si="16"/>
        <v>4.0200000000000001E-3</v>
      </c>
      <c r="O67" s="47">
        <f t="shared" si="17"/>
        <v>0.18255610212855772</v>
      </c>
      <c r="P67" s="47">
        <f t="shared" si="18"/>
        <v>0.12</v>
      </c>
      <c r="Q67" s="47">
        <f t="shared" si="19"/>
        <v>4.0200000000000001E-3</v>
      </c>
      <c r="S67" s="47">
        <f t="shared" si="20"/>
        <v>0.18255610212855772</v>
      </c>
      <c r="T67" s="47">
        <f t="shared" si="21"/>
        <v>0.1</v>
      </c>
      <c r="U67" s="47">
        <f t="shared" si="22"/>
        <v>4.0200000000000001E-3</v>
      </c>
      <c r="W67" s="47">
        <f t="shared" si="23"/>
        <v>0.28218053398536558</v>
      </c>
      <c r="X67" s="47">
        <f t="shared" si="24"/>
        <v>0.27775195811253439</v>
      </c>
      <c r="Y67" s="47">
        <f t="shared" si="25"/>
        <v>0.27987520865282556</v>
      </c>
      <c r="AA67" s="45" t="s">
        <v>1942</v>
      </c>
      <c r="AB67" s="45">
        <f>COUNT(Volcanic!$B$9:$B$822)</f>
        <v>814</v>
      </c>
      <c r="AC67" s="45">
        <f>COUNT($AP$9:$AP$822)</f>
        <v>814</v>
      </c>
      <c r="AD67" s="45">
        <f>COUNT($AQ$9:$AQ$803)</f>
        <v>795</v>
      </c>
      <c r="AE67" s="45">
        <f>COUNT(Volcanic!$B$9:$B$803)</f>
        <v>795</v>
      </c>
      <c r="AJ67" s="45">
        <v>2024</v>
      </c>
      <c r="AK67" s="47">
        <f>Forcing!B67</f>
        <v>1.2858333333333338</v>
      </c>
      <c r="AL67" s="41">
        <v>1362.5650000000001</v>
      </c>
      <c r="AM67" s="47">
        <f>Forcing!C67</f>
        <v>0.6006802435656321</v>
      </c>
      <c r="AP67" s="48">
        <v>0.22700000000000001</v>
      </c>
      <c r="AQ67" s="48">
        <v>0.23469999999999999</v>
      </c>
      <c r="AR67" s="47">
        <f>IF(AP67="","",AP67-($AC$60+$AC$61*Volcanic!C67+$AC$62*Volcanic!D67+$AC$63*Volcanic!E67))</f>
        <v>0.29536327721298339</v>
      </c>
      <c r="AS67" s="47">
        <f>IF(AQ67="","",AQ67-($AD$60+$AD$61*Volcanic!C67+$AD$62*Volcanic!D67+$AD$63*Volcanic!E67))</f>
        <v>0.29901758369783282</v>
      </c>
      <c r="AU67" s="47">
        <f>AVERAGEIFS($AP$2:$AP$823,Volcanic!$L$2:$L$823,"&gt;="&amp;AJ67,Volcanic!$L$2:$L$823,"&lt;"&amp;(AJ67+1))</f>
        <v>1.2443166666666667</v>
      </c>
      <c r="AV67" s="47">
        <f>AVERAGEIFS($AQ$2:$AQ$823,Volcanic!$L$2:$L$823,"&gt;="&amp;AJ67,Volcanic!$L$2:$L$823,"&lt;"&amp;(AJ67+1))</f>
        <v>1.2932833333333333</v>
      </c>
    </row>
    <row r="68" spans="1:48">
      <c r="A68" s="45" t="str">
        <f>Volcanic!A68</f>
        <v>9/1963</v>
      </c>
      <c r="B68" s="43">
        <f>Volcanic!B68</f>
        <v>0.16999999999999993</v>
      </c>
      <c r="C68" s="47">
        <f>Volcanic!C68</f>
        <v>0.17545616583370666</v>
      </c>
      <c r="D68" s="41">
        <v>1.1000000000000001</v>
      </c>
      <c r="E68" s="43">
        <f t="shared" si="12"/>
        <v>0.5</v>
      </c>
      <c r="F68" s="48">
        <v>8.0869999999999997E-2</v>
      </c>
      <c r="G68" s="47">
        <f t="shared" si="13"/>
        <v>3.8899999999999998E-3</v>
      </c>
      <c r="H68" s="43">
        <f>Volcanic!D68</f>
        <v>0.45</v>
      </c>
      <c r="I68" s="47">
        <f>Volcanic!E68</f>
        <v>3.8899999999999998E-3</v>
      </c>
      <c r="K68" s="47">
        <f t="shared" si="14"/>
        <v>0.17545616583370666</v>
      </c>
      <c r="L68" s="47">
        <f t="shared" si="15"/>
        <v>0.5</v>
      </c>
      <c r="M68" s="47">
        <f t="shared" si="16"/>
        <v>3.8899999999999998E-3</v>
      </c>
      <c r="O68" s="47">
        <f t="shared" si="17"/>
        <v>0.17545616583370666</v>
      </c>
      <c r="P68" s="47">
        <f t="shared" si="18"/>
        <v>0.45</v>
      </c>
      <c r="Q68" s="47">
        <f t="shared" si="19"/>
        <v>3.8899999999999998E-3</v>
      </c>
      <c r="S68" s="47">
        <f t="shared" si="20"/>
        <v>0.17545616583370666</v>
      </c>
      <c r="T68" s="47">
        <f t="shared" si="21"/>
        <v>0.5</v>
      </c>
      <c r="U68" s="47">
        <f t="shared" si="22"/>
        <v>3.8899999999999998E-3</v>
      </c>
      <c r="W68" s="47">
        <f t="shared" si="23"/>
        <v>0.21410734520953795</v>
      </c>
      <c r="X68" s="47">
        <f t="shared" si="24"/>
        <v>0.21560859669113566</v>
      </c>
      <c r="Y68" s="47">
        <f t="shared" si="25"/>
        <v>0.21112378881936628</v>
      </c>
      <c r="AJ68" s="45">
        <v>2025</v>
      </c>
      <c r="AK68" s="47">
        <f>Forcing!B68</f>
        <v>1.193333333333334</v>
      </c>
      <c r="AL68" s="41">
        <v>1362.4159999999999</v>
      </c>
      <c r="AM68" s="47">
        <f>Forcing!C68</f>
        <v>0.60997494216523618</v>
      </c>
      <c r="AP68" s="48">
        <v>0.20269999999999999</v>
      </c>
      <c r="AQ68" s="48">
        <v>0.15870000000000001</v>
      </c>
      <c r="AR68" s="47">
        <f>IF(AP68="","",AP68-($AC$60+$AC$61*Volcanic!C68+$AC$62*Volcanic!D68+$AC$63*Volcanic!E68))</f>
        <v>0.25923473129594421</v>
      </c>
      <c r="AS68" s="47">
        <f>IF(AQ68="","",AQ68-($AD$60+$AD$61*Volcanic!C68+$AD$62*Volcanic!D68+$AD$63*Volcanic!E68))</f>
        <v>0.21106976881488465</v>
      </c>
      <c r="AU68" s="47">
        <f>AVERAGEIFS($AP$2:$AP$823,Volcanic!$L$2:$L$823,"&gt;="&amp;AJ68,Volcanic!$L$2:$L$823,"&lt;"&amp;(AJ68+1))</f>
        <v>1.1233250000000001</v>
      </c>
    </row>
    <row r="69" spans="1:48">
      <c r="A69" s="45" t="str">
        <f>Volcanic!A69</f>
        <v>10/1963</v>
      </c>
      <c r="B69" s="43">
        <f>Volcanic!B69</f>
        <v>0.14999999999999858</v>
      </c>
      <c r="C69" s="47">
        <f>Volcanic!C69</f>
        <v>0.17445207560337639</v>
      </c>
      <c r="D69" s="41">
        <v>1.1000000000000001</v>
      </c>
      <c r="E69" s="43">
        <f t="shared" ref="E69:E132" si="26">IF(D66="","",D66)</f>
        <v>0.8</v>
      </c>
      <c r="F69" s="48">
        <v>8.0670000000000006E-2</v>
      </c>
      <c r="G69" s="47">
        <f t="shared" si="13"/>
        <v>5.0600000000000003E-3</v>
      </c>
      <c r="H69" s="43">
        <f>Volcanic!D69</f>
        <v>0.76</v>
      </c>
      <c r="I69" s="47">
        <f>Volcanic!E69</f>
        <v>5.0600000000000003E-3</v>
      </c>
      <c r="K69" s="47">
        <f t="shared" si="14"/>
        <v>0.17445207560337639</v>
      </c>
      <c r="L69" s="47">
        <f t="shared" si="15"/>
        <v>0.8</v>
      </c>
      <c r="M69" s="47">
        <f t="shared" si="16"/>
        <v>5.0600000000000003E-3</v>
      </c>
      <c r="O69" s="47">
        <f t="shared" si="17"/>
        <v>0.17445207560337639</v>
      </c>
      <c r="P69" s="47">
        <f t="shared" si="18"/>
        <v>0.76</v>
      </c>
      <c r="Q69" s="47">
        <f t="shared" si="19"/>
        <v>5.0600000000000003E-3</v>
      </c>
      <c r="S69" s="47">
        <f t="shared" si="20"/>
        <v>0.17445207560337639</v>
      </c>
      <c r="T69" s="47">
        <f t="shared" si="21"/>
        <v>0.8</v>
      </c>
      <c r="U69" s="47">
        <f t="shared" si="22"/>
        <v>5.0600000000000003E-3</v>
      </c>
      <c r="W69" s="47">
        <f t="shared" si="23"/>
        <v>0.17156178032621439</v>
      </c>
      <c r="X69" s="47">
        <f t="shared" si="24"/>
        <v>0.17225993684755556</v>
      </c>
      <c r="Y69" s="47">
        <f t="shared" si="25"/>
        <v>0.16869531152006809</v>
      </c>
      <c r="AA69" s="40" t="s">
        <v>2477</v>
      </c>
      <c r="AP69" s="48">
        <v>0.14510000000000001</v>
      </c>
      <c r="AQ69" s="48">
        <v>0.1197</v>
      </c>
      <c r="AR69" s="47">
        <f>IF(AP69="","",AP69-($AC$60+$AC$61*Volcanic!C69+$AC$62*Volcanic!D69+$AC$63*Volcanic!E69))</f>
        <v>0.17816178116317657</v>
      </c>
      <c r="AS69" s="47">
        <f>IF(AQ69="","",AQ69-($AD$60+$AD$61*Volcanic!C69+$AD$62*Volcanic!D69+$AD$63*Volcanic!E69))</f>
        <v>0.14793689195093376</v>
      </c>
    </row>
    <row r="70" spans="1:48">
      <c r="A70" s="45" t="str">
        <f>Volcanic!A70</f>
        <v>11/1963</v>
      </c>
      <c r="B70" s="43">
        <f>Volcanic!B70</f>
        <v>0.14999999999999858</v>
      </c>
      <c r="C70" s="47">
        <f>Volcanic!C70</f>
        <v>0.179374554217585</v>
      </c>
      <c r="D70" s="41">
        <v>1.2</v>
      </c>
      <c r="E70" s="43">
        <f t="shared" si="26"/>
        <v>1.1000000000000001</v>
      </c>
      <c r="F70" s="48">
        <v>7.8039999999999998E-2</v>
      </c>
      <c r="G70" s="47">
        <f t="shared" si="13"/>
        <v>2.034E-2</v>
      </c>
      <c r="H70" s="43">
        <f>Volcanic!D70</f>
        <v>1.0900000000000001</v>
      </c>
      <c r="I70" s="47">
        <f>Volcanic!E70</f>
        <v>2.034E-2</v>
      </c>
      <c r="K70" s="47">
        <f t="shared" si="14"/>
        <v>0.179374554217585</v>
      </c>
      <c r="L70" s="47">
        <f t="shared" si="15"/>
        <v>1.1000000000000001</v>
      </c>
      <c r="M70" s="47">
        <f t="shared" si="16"/>
        <v>2.034E-2</v>
      </c>
      <c r="O70" s="47">
        <f t="shared" si="17"/>
        <v>0.179374554217585</v>
      </c>
      <c r="P70" s="47">
        <f t="shared" si="18"/>
        <v>1.0900000000000001</v>
      </c>
      <c r="Q70" s="47">
        <f t="shared" si="19"/>
        <v>2.034E-2</v>
      </c>
      <c r="S70" s="47">
        <f t="shared" si="20"/>
        <v>0.179374554217585</v>
      </c>
      <c r="T70" s="47">
        <f t="shared" si="21"/>
        <v>1.1000000000000001</v>
      </c>
      <c r="U70" s="47">
        <f t="shared" si="22"/>
        <v>2.034E-2</v>
      </c>
      <c r="W70" s="47">
        <f t="shared" si="23"/>
        <v>0.16394530793255496</v>
      </c>
      <c r="X70" s="47">
        <f t="shared" si="24"/>
        <v>0.16787554159939622</v>
      </c>
      <c r="Y70" s="47">
        <f t="shared" si="25"/>
        <v>0.16715510797705546</v>
      </c>
      <c r="AA70" s="45" t="s">
        <v>2020</v>
      </c>
      <c r="AB70" s="47">
        <f>INDEX(LINEST(Forcing!$B$2:$B$68,Forcing!$AN$2:$AO$68),1,2)</f>
        <v>0.40882660364013163</v>
      </c>
      <c r="AC70" s="47">
        <f>INDEX(LINEST($AU$2:$AU$68,Forcing!$AN$2:$AO$68),1,2)</f>
        <v>0.4114775288914162</v>
      </c>
      <c r="AD70" s="47">
        <f>INDEX(LINEST($AV$2:$AV$67,Forcing!$AN$2:$AO$67),1,2)</f>
        <v>0.4228973795174466</v>
      </c>
      <c r="AE70" s="47">
        <f>INDEX(LINEST(Forcing!$B$2:$B$67,Forcing!$AN$2:$AO$67),1,2)</f>
        <v>0.40458087637631024</v>
      </c>
      <c r="AP70" s="48">
        <v>0.1263</v>
      </c>
      <c r="AQ70" s="48">
        <v>9.3700000000000006E-2</v>
      </c>
      <c r="AR70" s="47">
        <f>IF(AP70="","",AP70-($AC$60+$AC$61*Volcanic!C70+$AC$62*Volcanic!D70+$AC$63*Volcanic!E70))</f>
        <v>0.15178427812897499</v>
      </c>
      <c r="AS70" s="47">
        <f>IF(AQ70="","",AQ70-($AD$60+$AD$61*Volcanic!C70+$AD$62*Volcanic!D70+$AD$63*Volcanic!E70))</f>
        <v>0.11160996621711677</v>
      </c>
    </row>
    <row r="71" spans="1:48">
      <c r="A71" s="45" t="str">
        <f>Volcanic!A71</f>
        <v>12/1963</v>
      </c>
      <c r="B71" s="43">
        <f>Volcanic!B71</f>
        <v>-2.9999999999999361E-2</v>
      </c>
      <c r="C71" s="47">
        <f>Volcanic!C71</f>
        <v>0.18518693705150802</v>
      </c>
      <c r="D71" s="41">
        <v>1.1000000000000001</v>
      </c>
      <c r="E71" s="43">
        <f t="shared" si="26"/>
        <v>1.1000000000000001</v>
      </c>
      <c r="F71" s="48">
        <v>7.3910000000000003E-2</v>
      </c>
      <c r="G71" s="47">
        <f t="shared" si="13"/>
        <v>3.2120000000000003E-2</v>
      </c>
      <c r="H71" s="43">
        <f>Volcanic!D71</f>
        <v>1.0900000000000001</v>
      </c>
      <c r="I71" s="47">
        <f>Volcanic!E71</f>
        <v>3.2120000000000003E-2</v>
      </c>
      <c r="K71" s="47">
        <f t="shared" si="14"/>
        <v>0.18518693705150802</v>
      </c>
      <c r="L71" s="47">
        <f t="shared" si="15"/>
        <v>1.1000000000000001</v>
      </c>
      <c r="M71" s="47">
        <f t="shared" si="16"/>
        <v>3.2120000000000003E-2</v>
      </c>
      <c r="O71" s="47">
        <f t="shared" si="17"/>
        <v>0.18518693705150802</v>
      </c>
      <c r="P71" s="47">
        <f t="shared" si="18"/>
        <v>1.0900000000000001</v>
      </c>
      <c r="Q71" s="47">
        <f t="shared" si="19"/>
        <v>3.2120000000000003E-2</v>
      </c>
      <c r="S71" s="47">
        <f t="shared" si="20"/>
        <v>0.18518693705150802</v>
      </c>
      <c r="T71" s="47">
        <f t="shared" si="21"/>
        <v>1.1000000000000001</v>
      </c>
      <c r="U71" s="47">
        <f t="shared" si="22"/>
        <v>3.2120000000000003E-2</v>
      </c>
      <c r="W71" s="47">
        <f t="shared" si="23"/>
        <v>-5.9484104468685434E-3</v>
      </c>
      <c r="X71" s="47">
        <f t="shared" si="24"/>
        <v>2.9395280481086666E-3</v>
      </c>
      <c r="Y71" s="47">
        <f t="shared" si="25"/>
        <v>2.257163567647949E-3</v>
      </c>
      <c r="AA71" s="45" t="s">
        <v>2478</v>
      </c>
      <c r="AB71" s="43">
        <f>AB70*Forcing!$T$3</f>
        <v>1.6066885523057173</v>
      </c>
      <c r="AC71" s="43">
        <f>AC70*Forcing!$T$3</f>
        <v>1.6171066885432657</v>
      </c>
      <c r="AD71" s="43">
        <f>AD70*Forcing!$T$3</f>
        <v>1.6619867015035652</v>
      </c>
      <c r="AE71" s="43">
        <f>AE70*Forcing!$T$3</f>
        <v>1.5900028441588994</v>
      </c>
      <c r="AP71" s="48">
        <v>1.8700000000000001E-2</v>
      </c>
      <c r="AQ71" s="48">
        <v>2.7699999999999999E-2</v>
      </c>
      <c r="AR71" s="47">
        <f>IF(AP71="","",AP71-($AC$60+$AC$61*Volcanic!C71+$AC$62*Volcanic!D71+$AC$63*Volcanic!E71))</f>
        <v>5.6657977838908642E-2</v>
      </c>
      <c r="AS71" s="47">
        <f>IF(AQ71="","",AQ71-($AD$60+$AD$61*Volcanic!C71+$AD$62*Volcanic!D71+$AD$63*Volcanic!E71))</f>
        <v>5.6310497494939604E-2</v>
      </c>
    </row>
    <row r="72" spans="1:48">
      <c r="A72" s="45" t="str">
        <f>Volcanic!A72</f>
        <v>1/1964</v>
      </c>
      <c r="B72" s="43">
        <f>Volcanic!B72</f>
        <v>-9.0000000000001634E-2</v>
      </c>
      <c r="C72" s="47">
        <f>Volcanic!C72</f>
        <v>0.1907051528018969</v>
      </c>
      <c r="D72" s="41">
        <v>0.9</v>
      </c>
      <c r="E72" s="43">
        <f t="shared" si="26"/>
        <v>1.1000000000000001</v>
      </c>
      <c r="F72" s="48">
        <v>6.8930000000000005E-2</v>
      </c>
      <c r="G72" s="47">
        <f t="shared" si="13"/>
        <v>5.5280000000000003E-2</v>
      </c>
      <c r="H72" s="43">
        <f>Volcanic!D72</f>
        <v>1.1299999999999999</v>
      </c>
      <c r="I72" s="47">
        <f>Volcanic!E72</f>
        <v>5.5280000000000003E-2</v>
      </c>
      <c r="K72" s="47">
        <f t="shared" si="14"/>
        <v>0.1907051528018969</v>
      </c>
      <c r="L72" s="47">
        <f t="shared" si="15"/>
        <v>1.1000000000000001</v>
      </c>
      <c r="M72" s="47">
        <f t="shared" si="16"/>
        <v>5.5280000000000003E-2</v>
      </c>
      <c r="O72" s="47">
        <f t="shared" si="17"/>
        <v>0.1907051528018969</v>
      </c>
      <c r="P72" s="47">
        <f t="shared" si="18"/>
        <v>1.1299999999999999</v>
      </c>
      <c r="Q72" s="47">
        <f t="shared" si="19"/>
        <v>5.5280000000000003E-2</v>
      </c>
      <c r="S72" s="47">
        <f t="shared" si="20"/>
        <v>0.1907051528018969</v>
      </c>
      <c r="T72" s="47">
        <f t="shared" si="21"/>
        <v>1.1000000000000001</v>
      </c>
      <c r="U72" s="47">
        <f t="shared" si="22"/>
        <v>5.5280000000000003E-2</v>
      </c>
      <c r="W72" s="47">
        <f t="shared" si="23"/>
        <v>-2.9963776082513729E-2</v>
      </c>
      <c r="X72" s="47">
        <f t="shared" si="24"/>
        <v>-1.5225508591590275E-2</v>
      </c>
      <c r="Y72" s="47">
        <f t="shared" si="25"/>
        <v>-1.2077368975022193E-2</v>
      </c>
      <c r="AA72" s="45" t="s">
        <v>1941</v>
      </c>
      <c r="AB72" s="47">
        <f>INDEX(LINEST(Forcing!$B$2:$B$68,Forcing!$AN$2:$AO$68),1,1)</f>
        <v>0.10122491798538621</v>
      </c>
      <c r="AC72" s="47">
        <f>INDEX(LINEST($AU$2:$AU$68,Forcing!$AN$2:$AO$68),1,1)</f>
        <v>0.10323216125426148</v>
      </c>
      <c r="AD72" s="47">
        <f>INDEX(LINEST($AV$2:$AV$67,Forcing!$AN$2:$AO$67),1,1)</f>
        <v>0.10488241077133471</v>
      </c>
      <c r="AE72" s="47">
        <f>INDEX(LINEST(Forcing!$B$2:$B$67,Forcing!$AN$2:$AO$67),1,1)</f>
        <v>0.10247321136422037</v>
      </c>
      <c r="AP72" s="48">
        <v>-0.1113</v>
      </c>
      <c r="AQ72" s="48">
        <v>-9.6299999999999997E-2</v>
      </c>
      <c r="AR72" s="47">
        <f>IF(AP72="","",AP72-($AC$60+$AC$61*Volcanic!C72+$AC$62*Volcanic!D72+$AC$63*Volcanic!E72))</f>
        <v>-3.6428312268115701E-2</v>
      </c>
      <c r="AS72" s="47">
        <f>IF(AQ72="","",AQ72-($AD$60+$AD$61*Volcanic!C72+$AD$62*Volcanic!D72+$AD$63*Volcanic!E72))</f>
        <v>-3.3923363923801422E-2</v>
      </c>
    </row>
    <row r="73" spans="1:48">
      <c r="A73" s="45" t="str">
        <f>Volcanic!A73</f>
        <v>2/1964</v>
      </c>
      <c r="B73" s="43">
        <f>Volcanic!B73</f>
        <v>-0.10000000000000142</v>
      </c>
      <c r="C73" s="47">
        <f>Volcanic!C73</f>
        <v>0.19282540355239119</v>
      </c>
      <c r="D73" s="41">
        <v>0.5</v>
      </c>
      <c r="E73" s="43">
        <f t="shared" si="26"/>
        <v>1.2</v>
      </c>
      <c r="F73" s="48">
        <v>6.3469999999999999E-2</v>
      </c>
      <c r="G73" s="47">
        <f t="shared" ref="G73:G136" si="27">IF(F66="","",F66)</f>
        <v>6.9760000000000003E-2</v>
      </c>
      <c r="H73" s="43">
        <f>Volcanic!D73</f>
        <v>1.19</v>
      </c>
      <c r="I73" s="47">
        <f>Volcanic!E73</f>
        <v>6.9760000000000003E-2</v>
      </c>
      <c r="K73" s="47">
        <f t="shared" si="14"/>
        <v>0.19282540355239119</v>
      </c>
      <c r="L73" s="47">
        <f t="shared" si="15"/>
        <v>1.2</v>
      </c>
      <c r="M73" s="47">
        <f t="shared" si="16"/>
        <v>6.9760000000000003E-2</v>
      </c>
      <c r="O73" s="47">
        <f t="shared" si="17"/>
        <v>0.19282540355239119</v>
      </c>
      <c r="P73" s="47">
        <f t="shared" si="18"/>
        <v>1.19</v>
      </c>
      <c r="Q73" s="47">
        <f t="shared" si="19"/>
        <v>6.9760000000000003E-2</v>
      </c>
      <c r="S73" s="47">
        <f t="shared" si="20"/>
        <v>0.19282540355239119</v>
      </c>
      <c r="T73" s="47">
        <f t="shared" si="21"/>
        <v>1.2</v>
      </c>
      <c r="U73" s="47">
        <f t="shared" si="22"/>
        <v>6.9760000000000003E-2</v>
      </c>
      <c r="W73" s="47">
        <f t="shared" si="23"/>
        <v>-2.3126308216544433E-2</v>
      </c>
      <c r="X73" s="47">
        <f t="shared" si="24"/>
        <v>1.2387077630222343E-3</v>
      </c>
      <c r="Y73" s="47">
        <f t="shared" si="25"/>
        <v>6.6717981474254118E-4</v>
      </c>
      <c r="AA73" s="45" t="s">
        <v>1912</v>
      </c>
      <c r="AB73" s="47">
        <f>INDEX(LINEST(Forcing!$B$2:$B$68,Forcing!$AN$2:$AO$68,TRUE,TRUE),3,1)</f>
        <v>0.95321835462445192</v>
      </c>
      <c r="AC73" s="47">
        <f>INDEX(LINEST($AU$2:$AU$68,Forcing!$AN$2:$AO$68,TRUE,TRUE),3,1)</f>
        <v>0.95208996342429786</v>
      </c>
      <c r="AD73" s="47">
        <f>INDEX(LINEST($AV$2:$AV$67,Forcing!$AN$2:$AO$67,TRUE,TRUE),3,1)</f>
        <v>0.95401548191184848</v>
      </c>
      <c r="AE73" s="47">
        <f>INDEX(LINEST(Forcing!$B$2:$B$67,Forcing!$AN$2:$AO$67,TRUE,TRUE),3,1)</f>
        <v>0.95132612808063777</v>
      </c>
      <c r="AP73" s="48">
        <v>-0.14430000000000001</v>
      </c>
      <c r="AQ73" s="48">
        <v>-0.14130000000000001</v>
      </c>
      <c r="AR73" s="47">
        <f>IF(AP73="","",AP73-($AC$60+$AC$61*Volcanic!C73+$AC$62*Volcanic!D73+$AC$63*Volcanic!E73))</f>
        <v>-4.5994812115406306E-2</v>
      </c>
      <c r="AS73" s="47">
        <f>IF(AQ73="","",AQ73-($AD$60+$AD$61*Volcanic!C73+$AD$62*Volcanic!D73+$AD$63*Volcanic!E73))</f>
        <v>-5.7431465442664448E-2</v>
      </c>
    </row>
    <row r="74" spans="1:48">
      <c r="A74" s="45" t="str">
        <f>Volcanic!A74</f>
        <v>3/1964</v>
      </c>
      <c r="B74" s="43">
        <f>Volcanic!B74</f>
        <v>-0.20999999999999908</v>
      </c>
      <c r="C74" s="47">
        <f>Volcanic!C74</f>
        <v>0.19602243814471609</v>
      </c>
      <c r="D74" s="41">
        <v>0.1</v>
      </c>
      <c r="E74" s="43">
        <f t="shared" si="26"/>
        <v>1.1000000000000001</v>
      </c>
      <c r="F74" s="48">
        <v>5.7950000000000002E-2</v>
      </c>
      <c r="G74" s="47">
        <f t="shared" si="27"/>
        <v>7.7710000000000001E-2</v>
      </c>
      <c r="H74" s="43">
        <f>Volcanic!D74</f>
        <v>1.1299999999999999</v>
      </c>
      <c r="I74" s="47">
        <f>Volcanic!E74</f>
        <v>7.7710000000000001E-2</v>
      </c>
      <c r="K74" s="47">
        <f t="shared" si="14"/>
        <v>0.19602243814471609</v>
      </c>
      <c r="L74" s="47">
        <f t="shared" si="15"/>
        <v>1.1000000000000001</v>
      </c>
      <c r="M74" s="47">
        <f t="shared" si="16"/>
        <v>7.7710000000000001E-2</v>
      </c>
      <c r="O74" s="47">
        <f t="shared" si="17"/>
        <v>0.19602243814471609</v>
      </c>
      <c r="P74" s="47">
        <f t="shared" si="18"/>
        <v>1.1299999999999999</v>
      </c>
      <c r="Q74" s="47">
        <f t="shared" si="19"/>
        <v>7.7710000000000001E-2</v>
      </c>
      <c r="S74" s="47">
        <f t="shared" si="20"/>
        <v>0.19602243814471609</v>
      </c>
      <c r="T74" s="47">
        <f t="shared" si="21"/>
        <v>1.1000000000000001</v>
      </c>
      <c r="U74" s="47">
        <f t="shared" si="22"/>
        <v>7.7710000000000001E-2</v>
      </c>
      <c r="W74" s="47">
        <f t="shared" si="23"/>
        <v>-0.11503974751112071</v>
      </c>
      <c r="X74" s="47">
        <f t="shared" si="24"/>
        <v>-9.0997175823096049E-2</v>
      </c>
      <c r="Y74" s="47">
        <f t="shared" si="25"/>
        <v>-8.777829037321562E-2</v>
      </c>
      <c r="AA74" s="45" t="s">
        <v>2479</v>
      </c>
      <c r="AB74" s="43">
        <f>Forcing!T31</f>
        <v>0.13648317597795803</v>
      </c>
      <c r="AC74" s="43">
        <f>AVERAGE($AU$66:$AU$68)-(INDEX(LINEST($AU$2:$AU$68,Forcing!$AN$2:$AO$68),1,3)+AC70*AVERAGE(Forcing!$L$66:$L$68)+AC72*AVERAGE(Forcing!$D$66:$D$68))</f>
        <v>0.10768926172988236</v>
      </c>
      <c r="AD74" s="43">
        <f>AVERAGE($AV$66:$AV$67)-(INDEX(LINEST($AV$2:$AV$67,Forcing!$AN$2:$AO$67),1,3)+AD70*AVERAGE(Forcing!$L$66:$L$67)+AD72*AVERAGE(Forcing!$D$66:$D$67))</f>
        <v>0.13791095602519543</v>
      </c>
      <c r="AP74" s="48">
        <v>-0.30409999999999998</v>
      </c>
      <c r="AQ74" s="48">
        <v>-0.31130000000000002</v>
      </c>
      <c r="AR74" s="47">
        <f>IF(AP74="","",AP74-($AC$60+$AC$61*Volcanic!C74+$AC$62*Volcanic!D74+$AC$63*Volcanic!E74))</f>
        <v>-0.18977666233562487</v>
      </c>
      <c r="AS74" s="47">
        <f>IF(AQ74="","",AQ74-($AD$60+$AD$61*Volcanic!C74+$AD$62*Volcanic!D74+$AD$63*Volcanic!E74))</f>
        <v>-0.2124438274105786</v>
      </c>
    </row>
    <row r="75" spans="1:48">
      <c r="A75" s="45" t="str">
        <f>Volcanic!A75</f>
        <v>4/1964</v>
      </c>
      <c r="B75" s="43">
        <f>Volcanic!B75</f>
        <v>-0.32000000000000206</v>
      </c>
      <c r="C75" s="47">
        <f>Volcanic!C75</f>
        <v>0.20091681590593874</v>
      </c>
      <c r="D75" s="41">
        <v>-0.3</v>
      </c>
      <c r="E75" s="43">
        <f t="shared" si="26"/>
        <v>0.9</v>
      </c>
      <c r="F75" s="48">
        <v>5.262E-2</v>
      </c>
      <c r="G75" s="47">
        <f t="shared" si="27"/>
        <v>8.0869999999999997E-2</v>
      </c>
      <c r="H75" s="43">
        <f>Volcanic!D75</f>
        <v>0.95</v>
      </c>
      <c r="I75" s="47">
        <f>Volcanic!E75</f>
        <v>8.0869999999999997E-2</v>
      </c>
      <c r="K75" s="47">
        <f t="shared" si="14"/>
        <v>0.20091681590593874</v>
      </c>
      <c r="L75" s="47">
        <f t="shared" si="15"/>
        <v>0.9</v>
      </c>
      <c r="M75" s="47">
        <f t="shared" si="16"/>
        <v>8.0869999999999997E-2</v>
      </c>
      <c r="O75" s="47">
        <f t="shared" si="17"/>
        <v>0.20091681590593874</v>
      </c>
      <c r="P75" s="47">
        <f t="shared" si="18"/>
        <v>0.95</v>
      </c>
      <c r="Q75" s="47">
        <f t="shared" si="19"/>
        <v>8.0869999999999997E-2</v>
      </c>
      <c r="S75" s="47">
        <f t="shared" si="20"/>
        <v>0.20091681590593874</v>
      </c>
      <c r="T75" s="47">
        <f t="shared" si="21"/>
        <v>0.9</v>
      </c>
      <c r="U75" s="47">
        <f t="shared" si="22"/>
        <v>8.0869999999999997E-2</v>
      </c>
      <c r="W75" s="47">
        <f t="shared" si="23"/>
        <v>-0.21284965061806752</v>
      </c>
      <c r="X75" s="47">
        <f t="shared" si="24"/>
        <v>-0.18906470149041354</v>
      </c>
      <c r="Y75" s="47">
        <f t="shared" si="25"/>
        <v>-0.1839408828623505</v>
      </c>
      <c r="AA75" s="45" t="s">
        <v>2480</v>
      </c>
      <c r="AB75" s="43">
        <f>Forcing!T40</f>
        <v>1.5868032338555966</v>
      </c>
      <c r="AC75" s="43">
        <f>INDEX(LINEST($AU$2:$AU$68,Forcing!$AU$2:$AW$68),1,3)*Forcing!$T$3</f>
        <v>1.5954100544320886</v>
      </c>
      <c r="AD75" s="43">
        <f>INDEX(LINEST($AV$2:$AV$67,Forcing!$AU$2:$AW$67),1,3)*Forcing!$T$3</f>
        <v>1.6410019230303945</v>
      </c>
      <c r="AE75" s="43">
        <f>INDEX(LINEST(Forcing!$B$2:$B$67,Forcing!$AU$2:$AW$67),1,3)*Forcing!$T$3</f>
        <v>1.5699465560675692</v>
      </c>
      <c r="AP75" s="48">
        <v>-0.36249999999999999</v>
      </c>
      <c r="AQ75" s="48">
        <v>-0.3513</v>
      </c>
      <c r="AR75" s="47">
        <f>IF(AP75="","",AP75-($AC$60+$AC$61*Volcanic!C75+$AC$62*Volcanic!D75+$AC$63*Volcanic!E75))</f>
        <v>-0.23708157875930724</v>
      </c>
      <c r="AS75" s="47">
        <f>IF(AQ75="","",AQ75-($AD$60+$AD$61*Volcanic!C75+$AD$62*Volcanic!D75+$AD$63*Volcanic!E75))</f>
        <v>-0.24171335071606009</v>
      </c>
    </row>
    <row r="76" spans="1:48">
      <c r="A76" s="45" t="str">
        <f>Volcanic!A76</f>
        <v>5/1964</v>
      </c>
      <c r="B76" s="43">
        <f>Volcanic!B76</f>
        <v>-0.25</v>
      </c>
      <c r="C76" s="47">
        <f>Volcanic!C76</f>
        <v>0.20275353141668456</v>
      </c>
      <c r="D76" s="41">
        <v>-0.6</v>
      </c>
      <c r="E76" s="43">
        <f t="shared" si="26"/>
        <v>0.5</v>
      </c>
      <c r="F76" s="48">
        <v>4.7509999999999997E-2</v>
      </c>
      <c r="G76" s="47">
        <f t="shared" si="27"/>
        <v>8.0670000000000006E-2</v>
      </c>
      <c r="H76" s="43">
        <f>Volcanic!D76</f>
        <v>0.52</v>
      </c>
      <c r="I76" s="47">
        <f>Volcanic!E76</f>
        <v>8.0670000000000006E-2</v>
      </c>
      <c r="K76" s="47">
        <f t="shared" si="14"/>
        <v>0.20275353141668456</v>
      </c>
      <c r="L76" s="47">
        <f t="shared" si="15"/>
        <v>0.5</v>
      </c>
      <c r="M76" s="47">
        <f t="shared" si="16"/>
        <v>8.0670000000000006E-2</v>
      </c>
      <c r="O76" s="47">
        <f t="shared" si="17"/>
        <v>0.20275353141668456</v>
      </c>
      <c r="P76" s="47">
        <f t="shared" si="18"/>
        <v>0.52</v>
      </c>
      <c r="Q76" s="47">
        <f t="shared" si="19"/>
        <v>8.0670000000000006E-2</v>
      </c>
      <c r="S76" s="47">
        <f t="shared" si="20"/>
        <v>0.20275353141668456</v>
      </c>
      <c r="T76" s="47">
        <f t="shared" si="21"/>
        <v>0.5</v>
      </c>
      <c r="U76" s="47">
        <f t="shared" si="22"/>
        <v>8.0670000000000006E-2</v>
      </c>
      <c r="W76" s="47">
        <f t="shared" si="23"/>
        <v>-0.11115002950019034</v>
      </c>
      <c r="X76" s="47">
        <f t="shared" si="24"/>
        <v>-8.4160397956291988E-2</v>
      </c>
      <c r="Y76" s="47">
        <f t="shared" si="25"/>
        <v>-8.1824749776827049E-2</v>
      </c>
      <c r="AA76" s="45" t="s">
        <v>2481</v>
      </c>
      <c r="AB76" s="43">
        <f>Forcing!T45</f>
        <v>0.12607973676228715</v>
      </c>
      <c r="AC76" s="43">
        <f>AVERAGE($AU$66:$AU$68)-(INDEX(LINEST($AU$2:$AU$68,Forcing!$AU$2:$AW$68),1,4)+INDEX(LINEST($AU$2:$AU$68,Forcing!$AU$2:$AW$68),1,3)*AVERAGE(Forcing!$L$66:$L$68)+INDEX(LINEST($AU$2:$AU$68,Forcing!$AU$2:$AW$68),1,2)*AVERAGE(Forcing!$N$66:$N$68)+INDEX(LINEST($AU$2:$AU$68,Forcing!$AU$2:$AW$68),1,1)*AVERAGE(Forcing!$D$66:$D$68))</f>
        <v>9.6338193114789528E-2</v>
      </c>
      <c r="AD76" s="43">
        <f>AVERAGE($AV$66:$AV$67)-(INDEX(LINEST($AV$2:$AV$67,Forcing!$AU$2:$AW$67),1,4)+INDEX(LINEST($AV$2:$AV$67,Forcing!$AU$2:$AW$67),1,3)*AVERAGE(Forcing!$L$66:$L$67)+INDEX(LINEST($AV$2:$AV$67,Forcing!$AU$2:$AW$67),1,2)*AVERAGE(Forcing!$N$66:$N$67)+INDEX(LINEST($AV$2:$AV$67,Forcing!$AU$2:$AW$67),1,1)*AVERAGE(Forcing!$D$66:$D$67))</f>
        <v>0.12110987388925998</v>
      </c>
      <c r="AP76" s="48">
        <v>-0.29470000000000002</v>
      </c>
      <c r="AQ76" s="48">
        <v>-0.2923</v>
      </c>
      <c r="AR76" s="47">
        <f>IF(AP76="","",AP76-($AC$60+$AC$61*Volcanic!C76+$AC$62*Volcanic!D76+$AC$63*Volcanic!E76))</f>
        <v>-0.13451077553858018</v>
      </c>
      <c r="AS76" s="47">
        <f>IF(AQ76="","",AQ76-($AD$60+$AD$61*Volcanic!C76+$AD$62*Volcanic!D76+$AD$63*Volcanic!E76))</f>
        <v>-0.14722320316138088</v>
      </c>
    </row>
    <row r="77" spans="1:48">
      <c r="A77" s="45" t="str">
        <f>Volcanic!A77</f>
        <v>6/1964</v>
      </c>
      <c r="B77" s="43">
        <f>Volcanic!B77</f>
        <v>-3.9999999999999147E-2</v>
      </c>
      <c r="C77" s="47">
        <f>Volcanic!C77</f>
        <v>0.20114093083670029</v>
      </c>
      <c r="D77" s="41">
        <v>-0.7</v>
      </c>
      <c r="E77" s="43">
        <f t="shared" si="26"/>
        <v>0.1</v>
      </c>
      <c r="F77" s="48">
        <v>4.2759999999999999E-2</v>
      </c>
      <c r="G77" s="47">
        <f t="shared" si="27"/>
        <v>7.8039999999999998E-2</v>
      </c>
      <c r="H77" s="43">
        <f>Volcanic!D77</f>
        <v>0.06</v>
      </c>
      <c r="I77" s="47">
        <f>Volcanic!E77</f>
        <v>7.8039999999999998E-2</v>
      </c>
      <c r="K77" s="47">
        <f t="shared" si="14"/>
        <v>0.20114093083670029</v>
      </c>
      <c r="L77" s="47">
        <f t="shared" si="15"/>
        <v>0.1</v>
      </c>
      <c r="M77" s="47">
        <f t="shared" si="16"/>
        <v>7.8039999999999998E-2</v>
      </c>
      <c r="O77" s="47">
        <f t="shared" si="17"/>
        <v>0.20114093083670029</v>
      </c>
      <c r="P77" s="47">
        <f t="shared" si="18"/>
        <v>0.06</v>
      </c>
      <c r="Q77" s="47">
        <f t="shared" si="19"/>
        <v>7.8039999999999998E-2</v>
      </c>
      <c r="S77" s="47">
        <f t="shared" si="20"/>
        <v>0.20114093083670029</v>
      </c>
      <c r="T77" s="47">
        <f t="shared" si="21"/>
        <v>0.1</v>
      </c>
      <c r="U77" s="47">
        <f t="shared" si="22"/>
        <v>7.8039999999999998E-2</v>
      </c>
      <c r="W77" s="47">
        <f t="shared" si="23"/>
        <v>0.13460183017001326</v>
      </c>
      <c r="X77" s="47">
        <f t="shared" si="24"/>
        <v>0.16653850092204536</v>
      </c>
      <c r="Y77" s="47">
        <f t="shared" si="25"/>
        <v>0.16325935893179197</v>
      </c>
      <c r="AP77" s="48">
        <v>-9.0399999999999994E-2</v>
      </c>
      <c r="AQ77" s="48">
        <v>-5.8299999999999998E-2</v>
      </c>
      <c r="AR77" s="47">
        <f>IF(AP77="","",AP77-($AC$60+$AC$61*Volcanic!C77+$AC$62*Volcanic!D77+$AC$63*Volcanic!E77))</f>
        <v>0.11094104447037932</v>
      </c>
      <c r="AS77" s="47">
        <f>IF(AQ77="","",AQ77-($AD$60+$AD$61*Volcanic!C77+$AD$62*Volcanic!D77+$AD$63*Volcanic!E77))</f>
        <v>0.12922947402149368</v>
      </c>
    </row>
    <row r="78" spans="1:48">
      <c r="A78" s="45" t="str">
        <f>Volcanic!A78</f>
        <v>7/1964</v>
      </c>
      <c r="B78" s="43">
        <f>Volcanic!B78</f>
        <v>-3.9999999999999147E-2</v>
      </c>
      <c r="C78" s="47">
        <f>Volcanic!C78</f>
        <v>0.19462742107482237</v>
      </c>
      <c r="D78" s="41">
        <v>-0.7</v>
      </c>
      <c r="E78" s="43">
        <f t="shared" si="26"/>
        <v>-0.3</v>
      </c>
      <c r="F78" s="48">
        <v>3.8379999999999997E-2</v>
      </c>
      <c r="G78" s="47">
        <f t="shared" si="27"/>
        <v>7.3910000000000003E-2</v>
      </c>
      <c r="H78" s="43">
        <f>Volcanic!D78</f>
        <v>-0.35</v>
      </c>
      <c r="I78" s="47">
        <f>Volcanic!E78</f>
        <v>7.3910000000000003E-2</v>
      </c>
      <c r="K78" s="47">
        <f t="shared" si="14"/>
        <v>0.19462742107482237</v>
      </c>
      <c r="L78" s="47">
        <f t="shared" si="15"/>
        <v>-0.3</v>
      </c>
      <c r="M78" s="47">
        <f t="shared" si="16"/>
        <v>7.3910000000000003E-2</v>
      </c>
      <c r="O78" s="47">
        <f t="shared" si="17"/>
        <v>0.19462742107482237</v>
      </c>
      <c r="P78" s="47">
        <f t="shared" si="18"/>
        <v>-0.35</v>
      </c>
      <c r="Q78" s="47">
        <f t="shared" si="19"/>
        <v>7.3910000000000003E-2</v>
      </c>
      <c r="S78" s="47">
        <f t="shared" si="20"/>
        <v>0.19462742107482237</v>
      </c>
      <c r="T78" s="47">
        <f t="shared" si="21"/>
        <v>-0.3</v>
      </c>
      <c r="U78" s="47">
        <f t="shared" si="22"/>
        <v>7.3910000000000003E-2</v>
      </c>
      <c r="W78" s="47">
        <f t="shared" si="23"/>
        <v>0.18041391960496436</v>
      </c>
      <c r="X78" s="47">
        <f t="shared" si="24"/>
        <v>0.21187145627614623</v>
      </c>
      <c r="Y78" s="47">
        <f t="shared" si="25"/>
        <v>0.20766822620952541</v>
      </c>
      <c r="AA78" s="40" t="s">
        <v>2482</v>
      </c>
      <c r="AP78" s="48">
        <v>-0.12189999999999999</v>
      </c>
      <c r="AQ78" s="48">
        <v>-0.1123</v>
      </c>
      <c r="AR78" s="47">
        <f>IF(AP78="","",AP78-($AC$60+$AC$61*Volcanic!C78+$AC$62*Volcanic!D78+$AC$63*Volcanic!E78))</f>
        <v>0.12568377127832864</v>
      </c>
      <c r="AS78" s="47">
        <f>IF(AQ78="","",AQ78-($AD$60+$AD$61*Volcanic!C78+$AD$62*Volcanic!D78+$AD$63*Volcanic!E78))</f>
        <v>0.12319532201404233</v>
      </c>
    </row>
    <row r="79" spans="1:48">
      <c r="A79" s="45" t="str">
        <f>Volcanic!A79</f>
        <v>8/1964</v>
      </c>
      <c r="B79" s="43">
        <f>Volcanic!B79</f>
        <v>-0.21999999999999886</v>
      </c>
      <c r="C79" s="47">
        <f>Volcanic!C79</f>
        <v>0.18672692311353747</v>
      </c>
      <c r="D79" s="41">
        <v>-0.7</v>
      </c>
      <c r="E79" s="43">
        <f t="shared" si="26"/>
        <v>-0.6</v>
      </c>
      <c r="F79" s="48">
        <v>3.44E-2</v>
      </c>
      <c r="G79" s="47">
        <f t="shared" si="27"/>
        <v>6.8930000000000005E-2</v>
      </c>
      <c r="H79" s="43">
        <f>Volcanic!D79</f>
        <v>-0.6</v>
      </c>
      <c r="I79" s="47">
        <f>Volcanic!E79</f>
        <v>6.8930000000000005E-2</v>
      </c>
      <c r="K79" s="47">
        <f t="shared" si="14"/>
        <v>0.18672692311353747</v>
      </c>
      <c r="L79" s="47">
        <f t="shared" si="15"/>
        <v>-0.6</v>
      </c>
      <c r="M79" s="47">
        <f t="shared" si="16"/>
        <v>6.8930000000000005E-2</v>
      </c>
      <c r="O79" s="47">
        <f t="shared" si="17"/>
        <v>0.18672692311353747</v>
      </c>
      <c r="P79" s="47">
        <f t="shared" si="18"/>
        <v>-0.6</v>
      </c>
      <c r="Q79" s="47">
        <f t="shared" si="19"/>
        <v>6.8930000000000005E-2</v>
      </c>
      <c r="S79" s="47">
        <f t="shared" si="20"/>
        <v>0.18672692311353747</v>
      </c>
      <c r="T79" s="47">
        <f t="shared" si="21"/>
        <v>-0.6</v>
      </c>
      <c r="U79" s="47">
        <f t="shared" si="22"/>
        <v>6.8930000000000005E-2</v>
      </c>
      <c r="W79" s="47">
        <f t="shared" si="23"/>
        <v>3.8848206963347953E-2</v>
      </c>
      <c r="X79" s="47">
        <f t="shared" si="24"/>
        <v>6.370361467286223E-2</v>
      </c>
      <c r="Y79" s="47">
        <f t="shared" si="25"/>
        <v>6.4201933843028414E-2</v>
      </c>
      <c r="AA79" s="45" t="s">
        <v>2483</v>
      </c>
      <c r="AB79" s="47">
        <f>CORREL(Volcanic!$B$2:$B$823,$AP$2:$AP$823)</f>
        <v>0.99420823175345374</v>
      </c>
      <c r="AC79" s="47">
        <f>AVERAGE($AP$2:$AP$823)-AVERAGE(Volcanic!$B$2:$B$823)</f>
        <v>-1.0548708624875003E-2</v>
      </c>
      <c r="AP79" s="48">
        <v>-0.22070000000000001</v>
      </c>
      <c r="AQ79" s="48">
        <v>-0.30230000000000001</v>
      </c>
      <c r="AR79" s="47">
        <f>IF(AP79="","",AP79-($AC$60+$AC$61*Volcanic!C79+$AC$62*Volcanic!D79+$AC$63*Volcanic!E79))</f>
        <v>5.9885332857886553E-2</v>
      </c>
      <c r="AS79" s="47">
        <f>IF(AQ79="","",AQ79-($AD$60+$AD$61*Volcanic!C79+$AD$62*Volcanic!D79+$AD$63*Volcanic!E79))</f>
        <v>-3.2191120083334357E-2</v>
      </c>
    </row>
    <row r="80" spans="1:48">
      <c r="A80" s="45" t="str">
        <f>Volcanic!A80</f>
        <v>9/1964</v>
      </c>
      <c r="B80" s="43">
        <f>Volcanic!B80</f>
        <v>-0.30000000000000249</v>
      </c>
      <c r="C80" s="47">
        <f>Volcanic!C80</f>
        <v>0.17773559347228587</v>
      </c>
      <c r="D80" s="41">
        <v>-0.7</v>
      </c>
      <c r="E80" s="43">
        <f t="shared" si="26"/>
        <v>-0.7</v>
      </c>
      <c r="F80" s="48">
        <v>3.0769999999999999E-2</v>
      </c>
      <c r="G80" s="47">
        <f t="shared" si="27"/>
        <v>6.3469999999999999E-2</v>
      </c>
      <c r="H80" s="43">
        <f>Volcanic!D80</f>
        <v>-0.66</v>
      </c>
      <c r="I80" s="47">
        <f>Volcanic!E80</f>
        <v>6.3469999999999999E-2</v>
      </c>
      <c r="K80" s="47">
        <f t="shared" si="14"/>
        <v>0.17773559347228587</v>
      </c>
      <c r="L80" s="47">
        <f t="shared" si="15"/>
        <v>-0.7</v>
      </c>
      <c r="M80" s="47">
        <f t="shared" si="16"/>
        <v>6.3469999999999999E-2</v>
      </c>
      <c r="O80" s="47">
        <f t="shared" si="17"/>
        <v>0.17773559347228587</v>
      </c>
      <c r="P80" s="47">
        <f t="shared" si="18"/>
        <v>-0.66</v>
      </c>
      <c r="Q80" s="47">
        <f t="shared" si="19"/>
        <v>6.3469999999999999E-2</v>
      </c>
      <c r="S80" s="47">
        <f t="shared" si="20"/>
        <v>0.17773559347228587</v>
      </c>
      <c r="T80" s="47">
        <f t="shared" si="21"/>
        <v>-0.7</v>
      </c>
      <c r="U80" s="47">
        <f t="shared" si="22"/>
        <v>6.3469999999999999E-2</v>
      </c>
      <c r="W80" s="47">
        <f t="shared" si="23"/>
        <v>-1.9374998390046416E-2</v>
      </c>
      <c r="X80" s="47">
        <f t="shared" si="24"/>
        <v>-6.1707355512707895E-4</v>
      </c>
      <c r="Y80" s="47">
        <f t="shared" si="25"/>
        <v>3.6266355302050357E-3</v>
      </c>
      <c r="AA80" s="45" t="s">
        <v>2484</v>
      </c>
      <c r="AB80" s="47">
        <f>CORREL(Volcanic!$B$2:$B$803,$AQ$2:$AQ$803)</f>
        <v>0.99273960810110529</v>
      </c>
      <c r="AC80" s="47">
        <f>AVERAGE($AQ$2:$AQ$803)-AVERAGE(Volcanic!$B$2:$B$803)</f>
        <v>1.0448129675809936E-2</v>
      </c>
      <c r="AP80" s="48">
        <v>-0.32490000000000002</v>
      </c>
      <c r="AQ80" s="48">
        <v>-0.36030000000000001</v>
      </c>
      <c r="AR80" s="47">
        <f>IF(AP80="","",AP80-($AC$60+$AC$61*Volcanic!C80+$AC$62*Volcanic!D80+$AC$63*Volcanic!E80))</f>
        <v>-2.7282017111899537E-2</v>
      </c>
      <c r="AS80" s="47">
        <f>IF(AQ80="","",AQ80-($AD$60+$AD$61*Volcanic!C80+$AD$62*Volcanic!D80+$AD$63*Volcanic!E80))</f>
        <v>-7.1778853151840349E-2</v>
      </c>
    </row>
    <row r="81" spans="1:45">
      <c r="A81" s="45" t="str">
        <f>Volcanic!A81</f>
        <v>10/1964</v>
      </c>
      <c r="B81" s="43">
        <f>Volcanic!B81</f>
        <v>-0.31000000000000227</v>
      </c>
      <c r="C81" s="47">
        <f>Volcanic!C81</f>
        <v>0.17846425034734256</v>
      </c>
      <c r="D81" s="41">
        <v>-0.8</v>
      </c>
      <c r="E81" s="43">
        <f t="shared" si="26"/>
        <v>-0.7</v>
      </c>
      <c r="F81" s="48">
        <v>2.7529999999999999E-2</v>
      </c>
      <c r="G81" s="47">
        <f t="shared" si="27"/>
        <v>5.7950000000000002E-2</v>
      </c>
      <c r="H81" s="43">
        <f>Volcanic!D81</f>
        <v>-0.67</v>
      </c>
      <c r="I81" s="47">
        <f>Volcanic!E81</f>
        <v>5.7950000000000002E-2</v>
      </c>
      <c r="K81" s="47">
        <f t="shared" si="14"/>
        <v>0.17846425034734256</v>
      </c>
      <c r="L81" s="47">
        <f t="shared" si="15"/>
        <v>-0.7</v>
      </c>
      <c r="M81" s="47">
        <f t="shared" si="16"/>
        <v>5.7950000000000002E-2</v>
      </c>
      <c r="O81" s="47">
        <f t="shared" si="17"/>
        <v>0.17846425034734256</v>
      </c>
      <c r="P81" s="47">
        <f t="shared" si="18"/>
        <v>-0.67</v>
      </c>
      <c r="Q81" s="47">
        <f t="shared" si="19"/>
        <v>5.7950000000000002E-2</v>
      </c>
      <c r="S81" s="47">
        <f t="shared" si="20"/>
        <v>0.17846425034734256</v>
      </c>
      <c r="T81" s="47">
        <f t="shared" si="21"/>
        <v>-0.7</v>
      </c>
      <c r="U81" s="47">
        <f t="shared" si="22"/>
        <v>5.7950000000000002E-2</v>
      </c>
      <c r="W81" s="47">
        <f t="shared" si="23"/>
        <v>-4.3525613559039555E-2</v>
      </c>
      <c r="X81" s="47">
        <f t="shared" si="24"/>
        <v>-2.6070085286265088E-2</v>
      </c>
      <c r="Y81" s="47">
        <f t="shared" si="25"/>
        <v>-2.2782531790331184E-2</v>
      </c>
      <c r="AP81" s="48">
        <v>-0.23350000000000001</v>
      </c>
      <c r="AQ81" s="48">
        <v>-0.30130000000000001</v>
      </c>
      <c r="AR81" s="47">
        <f>IF(AP81="","",AP81-($AC$60+$AC$61*Volcanic!C81+$AC$62*Volcanic!D81+$AC$63*Volcanic!E81))</f>
        <v>4.9782531981071271E-2</v>
      </c>
      <c r="AS81" s="47">
        <f>IF(AQ81="","",AQ81-($AD$60+$AD$61*Volcanic!C81+$AD$62*Volcanic!D81+$AD$63*Volcanic!E81))</f>
        <v>-2.6506864154563103E-2</v>
      </c>
    </row>
    <row r="82" spans="1:45">
      <c r="A82" s="45" t="str">
        <f>Volcanic!A82</f>
        <v>11/1964</v>
      </c>
      <c r="B82" s="43">
        <f>Volcanic!B82</f>
        <v>-0.20999999999999908</v>
      </c>
      <c r="C82" s="47">
        <f>Volcanic!C82</f>
        <v>0.18214743880477707</v>
      </c>
      <c r="D82" s="41">
        <v>-0.8</v>
      </c>
      <c r="E82" s="43">
        <f t="shared" si="26"/>
        <v>-0.7</v>
      </c>
      <c r="F82" s="48">
        <v>2.462E-2</v>
      </c>
      <c r="G82" s="47">
        <f t="shared" si="27"/>
        <v>5.262E-2</v>
      </c>
      <c r="H82" s="43">
        <f>Volcanic!D82</f>
        <v>-0.7</v>
      </c>
      <c r="I82" s="47">
        <f>Volcanic!E82</f>
        <v>5.262E-2</v>
      </c>
      <c r="K82" s="47">
        <f t="shared" si="14"/>
        <v>0.18214743880477707</v>
      </c>
      <c r="L82" s="47">
        <f t="shared" si="15"/>
        <v>-0.7</v>
      </c>
      <c r="M82" s="47">
        <f t="shared" si="16"/>
        <v>5.262E-2</v>
      </c>
      <c r="O82" s="47">
        <f t="shared" si="17"/>
        <v>0.18214743880477707</v>
      </c>
      <c r="P82" s="47">
        <f t="shared" si="18"/>
        <v>-0.7</v>
      </c>
      <c r="Q82" s="47">
        <f t="shared" si="19"/>
        <v>5.262E-2</v>
      </c>
      <c r="S82" s="47">
        <f t="shared" si="20"/>
        <v>0.18214743880477707</v>
      </c>
      <c r="T82" s="47">
        <f t="shared" si="21"/>
        <v>-0.7</v>
      </c>
      <c r="U82" s="47">
        <f t="shared" si="22"/>
        <v>5.262E-2</v>
      </c>
      <c r="W82" s="47">
        <f t="shared" si="23"/>
        <v>3.4684988515935211E-2</v>
      </c>
      <c r="X82" s="47">
        <f t="shared" si="24"/>
        <v>5.2864240724717404E-2</v>
      </c>
      <c r="Y82" s="47">
        <f t="shared" si="25"/>
        <v>5.3318395009280151E-2</v>
      </c>
      <c r="AA82" s="63" t="s">
        <v>2285</v>
      </c>
      <c r="AB82" s="53"/>
      <c r="AC82" s="53"/>
      <c r="AD82" s="53"/>
      <c r="AE82" s="53"/>
      <c r="AF82" s="53"/>
      <c r="AG82" s="53"/>
      <c r="AH82" s="53"/>
      <c r="AP82" s="48">
        <v>-0.21940000000000001</v>
      </c>
      <c r="AQ82" s="48">
        <v>-0.27129999999999999</v>
      </c>
      <c r="AR82" s="47">
        <f>IF(AP82="","",AP82-($AC$60+$AC$61*Volcanic!C82+$AC$62*Volcanic!D82+$AC$63*Volcanic!E82))</f>
        <v>4.3809493297409324E-2</v>
      </c>
      <c r="AS82" s="47">
        <f>IF(AQ82="","",AQ82-($AD$60+$AD$61*Volcanic!C82+$AD$62*Volcanic!D82+$AD$63*Volcanic!E82))</f>
        <v>-1.6163747118915162E-2</v>
      </c>
    </row>
    <row r="83" spans="1:45" ht="45" customHeight="1">
      <c r="A83" s="45" t="str">
        <f>Volcanic!A83</f>
        <v>12/1964</v>
      </c>
      <c r="B83" s="43">
        <f>Volcanic!B83</f>
        <v>-0.30000000000000249</v>
      </c>
      <c r="C83" s="47">
        <f>Volcanic!C83</f>
        <v>0.18681745935711205</v>
      </c>
      <c r="D83" s="41">
        <v>-0.7</v>
      </c>
      <c r="E83" s="43">
        <f t="shared" si="26"/>
        <v>-0.7</v>
      </c>
      <c r="F83" s="48">
        <v>2.2419999999999999E-2</v>
      </c>
      <c r="G83" s="47">
        <f t="shared" si="27"/>
        <v>4.7509999999999997E-2</v>
      </c>
      <c r="H83" s="43">
        <f>Volcanic!D83</f>
        <v>-0.72</v>
      </c>
      <c r="I83" s="47">
        <f>Volcanic!E83</f>
        <v>4.7509999999999997E-2</v>
      </c>
      <c r="K83" s="47">
        <f t="shared" si="14"/>
        <v>0.18681745935711205</v>
      </c>
      <c r="L83" s="47">
        <f t="shared" si="15"/>
        <v>-0.7</v>
      </c>
      <c r="M83" s="47">
        <f t="shared" si="16"/>
        <v>4.7509999999999997E-2</v>
      </c>
      <c r="O83" s="47">
        <f t="shared" si="17"/>
        <v>0.18681745935711205</v>
      </c>
      <c r="P83" s="47">
        <f t="shared" si="18"/>
        <v>-0.72</v>
      </c>
      <c r="Q83" s="47">
        <f t="shared" si="19"/>
        <v>4.7509999999999997E-2</v>
      </c>
      <c r="S83" s="47">
        <f t="shared" si="20"/>
        <v>0.18681745935711205</v>
      </c>
      <c r="T83" s="47">
        <f t="shared" si="21"/>
        <v>-0.7</v>
      </c>
      <c r="U83" s="47">
        <f t="shared" si="22"/>
        <v>4.7509999999999997E-2</v>
      </c>
      <c r="W83" s="47">
        <f t="shared" si="23"/>
        <v>-7.9310873620608208E-2</v>
      </c>
      <c r="X83" s="47">
        <f t="shared" si="24"/>
        <v>-6.1233967911894505E-2</v>
      </c>
      <c r="Y83" s="47">
        <f t="shared" si="25"/>
        <v>-6.2672874152478214E-2</v>
      </c>
      <c r="AA83" s="62" t="s">
        <v>2485</v>
      </c>
      <c r="AB83" s="53"/>
      <c r="AC83" s="53"/>
      <c r="AD83" s="53"/>
      <c r="AE83" s="53"/>
      <c r="AF83" s="53"/>
      <c r="AG83" s="53"/>
      <c r="AH83" s="53"/>
      <c r="AP83" s="48">
        <v>-0.29389999999999999</v>
      </c>
      <c r="AQ83" s="48">
        <v>-0.25230000000000002</v>
      </c>
      <c r="AR83" s="47">
        <f>IF(AP83="","",AP83-($AC$60+$AC$61*Volcanic!C83+$AC$62*Volcanic!D83+$AC$63*Volcanic!E83))</f>
        <v>-5.3865284042479228E-2</v>
      </c>
      <c r="AS83" s="47">
        <f>IF(AQ83="","",AQ83-($AD$60+$AD$61*Volcanic!C83+$AD$62*Volcanic!D83+$AD$63*Volcanic!E83))</f>
        <v>-2.003640597993861E-2</v>
      </c>
    </row>
    <row r="84" spans="1:45" ht="45" customHeight="1">
      <c r="A84" s="45" t="str">
        <f>Volcanic!A84</f>
        <v>1/1965</v>
      </c>
      <c r="B84" s="43">
        <f>Volcanic!B84</f>
        <v>-8.0000000000001847E-2</v>
      </c>
      <c r="C84" s="47">
        <f>Volcanic!C84</f>
        <v>0.19011814991335674</v>
      </c>
      <c r="D84" s="41">
        <v>-0.5</v>
      </c>
      <c r="E84" s="43">
        <f t="shared" si="26"/>
        <v>-0.8</v>
      </c>
      <c r="F84" s="48">
        <v>2.01E-2</v>
      </c>
      <c r="G84" s="47">
        <f t="shared" si="27"/>
        <v>4.2759999999999999E-2</v>
      </c>
      <c r="H84" s="43">
        <f>Volcanic!D84</f>
        <v>-0.8</v>
      </c>
      <c r="I84" s="47">
        <f>Volcanic!E84</f>
        <v>4.2759999999999999E-2</v>
      </c>
      <c r="K84" s="47">
        <f t="shared" si="14"/>
        <v>0.19011814991335674</v>
      </c>
      <c r="L84" s="47">
        <f t="shared" si="15"/>
        <v>-0.8</v>
      </c>
      <c r="M84" s="47">
        <f t="shared" si="16"/>
        <v>4.2759999999999999E-2</v>
      </c>
      <c r="O84" s="47">
        <f t="shared" si="17"/>
        <v>0.19011814991335674</v>
      </c>
      <c r="P84" s="47">
        <f t="shared" si="18"/>
        <v>-0.8</v>
      </c>
      <c r="Q84" s="47">
        <f t="shared" si="19"/>
        <v>4.2759999999999999E-2</v>
      </c>
      <c r="S84" s="47">
        <f t="shared" si="20"/>
        <v>0.19011814991335674</v>
      </c>
      <c r="T84" s="47">
        <f t="shared" si="21"/>
        <v>-0.8</v>
      </c>
      <c r="U84" s="47">
        <f t="shared" si="22"/>
        <v>4.2759999999999999E-2</v>
      </c>
      <c r="W84" s="47">
        <f t="shared" si="23"/>
        <v>0.13050823381472204</v>
      </c>
      <c r="X84" s="47">
        <f t="shared" si="24"/>
        <v>0.14494667678815407</v>
      </c>
      <c r="Y84" s="47">
        <f t="shared" si="25"/>
        <v>0.14538034634862529</v>
      </c>
      <c r="AA84" s="62" t="s">
        <v>2486</v>
      </c>
      <c r="AB84" s="53"/>
      <c r="AC84" s="53"/>
      <c r="AD84" s="53"/>
      <c r="AE84" s="53"/>
      <c r="AF84" s="53"/>
      <c r="AG84" s="53"/>
      <c r="AH84" s="53"/>
      <c r="AP84" s="48">
        <v>-8.3900000000000002E-2</v>
      </c>
      <c r="AQ84" s="48">
        <v>-4.8300000000000003E-2</v>
      </c>
      <c r="AR84" s="47">
        <f>IF(AP84="","",AP84-($AC$60+$AC$61*Volcanic!C84+$AC$62*Volcanic!D84+$AC$63*Volcanic!E84))</f>
        <v>0.14318398036292904</v>
      </c>
      <c r="AS84" s="47">
        <f>IF(AQ84="","",AQ84-($AD$60+$AD$61*Volcanic!C84+$AD$62*Volcanic!D84+$AD$63*Volcanic!E84))</f>
        <v>0.17148466958923375</v>
      </c>
    </row>
    <row r="85" spans="1:45" ht="90" customHeight="1">
      <c r="A85" s="45" t="str">
        <f>Volcanic!A85</f>
        <v>2/1965</v>
      </c>
      <c r="B85" s="43">
        <f>Volcanic!B85</f>
        <v>-0.16999999999999638</v>
      </c>
      <c r="C85" s="47">
        <f>Volcanic!C85</f>
        <v>0.19462742107482237</v>
      </c>
      <c r="D85" s="41">
        <v>-0.2</v>
      </c>
      <c r="E85" s="43">
        <f t="shared" si="26"/>
        <v>-0.8</v>
      </c>
      <c r="F85" s="48">
        <v>1.789E-2</v>
      </c>
      <c r="G85" s="47">
        <f t="shared" si="27"/>
        <v>3.8379999999999997E-2</v>
      </c>
      <c r="H85" s="43">
        <f>Volcanic!D85</f>
        <v>-0.79</v>
      </c>
      <c r="I85" s="47">
        <f>Volcanic!E85</f>
        <v>3.8379999999999997E-2</v>
      </c>
      <c r="K85" s="47">
        <f t="shared" si="14"/>
        <v>0.19462742107482237</v>
      </c>
      <c r="L85" s="47">
        <f t="shared" si="15"/>
        <v>-0.8</v>
      </c>
      <c r="M85" s="47">
        <f t="shared" si="16"/>
        <v>3.8379999999999997E-2</v>
      </c>
      <c r="O85" s="47">
        <f t="shared" si="17"/>
        <v>0.19462742107482237</v>
      </c>
      <c r="P85" s="47">
        <f t="shared" si="18"/>
        <v>-0.79</v>
      </c>
      <c r="Q85" s="47">
        <f t="shared" si="19"/>
        <v>3.8379999999999997E-2</v>
      </c>
      <c r="S85" s="47">
        <f t="shared" si="20"/>
        <v>0.19462742107482237</v>
      </c>
      <c r="T85" s="47">
        <f t="shared" si="21"/>
        <v>-0.8</v>
      </c>
      <c r="U85" s="47">
        <f t="shared" si="22"/>
        <v>3.8379999999999997E-2</v>
      </c>
      <c r="W85" s="47">
        <f t="shared" si="23"/>
        <v>1.8559332742352108E-2</v>
      </c>
      <c r="X85" s="47">
        <f t="shared" si="24"/>
        <v>3.0372290405659114E-2</v>
      </c>
      <c r="Y85" s="47">
        <f t="shared" si="25"/>
        <v>3.1733186376401601E-2</v>
      </c>
      <c r="AA85" s="62" t="s">
        <v>2487</v>
      </c>
      <c r="AB85" s="53"/>
      <c r="AC85" s="53"/>
      <c r="AD85" s="53"/>
      <c r="AE85" s="53"/>
      <c r="AF85" s="53"/>
      <c r="AG85" s="53"/>
      <c r="AH85" s="53"/>
      <c r="AP85" s="48">
        <v>-0.18709999999999999</v>
      </c>
      <c r="AQ85" s="48">
        <v>-0.18529999999999999</v>
      </c>
      <c r="AR85" s="47">
        <f>IF(AP85="","",AP85-($AC$60+$AC$61*Volcanic!C85+$AC$62*Volcanic!D85+$AC$63*Volcanic!E85))</f>
        <v>1.6195319780817258E-2</v>
      </c>
      <c r="AS85" s="47">
        <f>IF(AQ85="","",AQ85-($AD$60+$AD$61*Volcanic!C85+$AD$62*Volcanic!D85+$AD$63*Volcanic!E85))</f>
        <v>1.0867282434255471E-2</v>
      </c>
    </row>
    <row r="86" spans="1:45" ht="45" customHeight="1">
      <c r="A86" s="45" t="str">
        <f>Volcanic!A86</f>
        <v>3/1965</v>
      </c>
      <c r="B86" s="43">
        <f>Volcanic!B86</f>
        <v>-0.13000000000000256</v>
      </c>
      <c r="C86" s="47">
        <f>Volcanic!C86</f>
        <v>0.19665200397268703</v>
      </c>
      <c r="D86" s="41">
        <v>0</v>
      </c>
      <c r="E86" s="43">
        <f t="shared" si="26"/>
        <v>-0.7</v>
      </c>
      <c r="F86" s="48">
        <v>1.5949999999999999E-2</v>
      </c>
      <c r="G86" s="47">
        <f t="shared" si="27"/>
        <v>3.44E-2</v>
      </c>
      <c r="H86" s="43">
        <f>Volcanic!D86</f>
        <v>-0.75</v>
      </c>
      <c r="I86" s="47">
        <f>Volcanic!E86</f>
        <v>3.44E-2</v>
      </c>
      <c r="K86" s="47">
        <f t="shared" si="14"/>
        <v>0.19665200397268703</v>
      </c>
      <c r="L86" s="47">
        <f t="shared" si="15"/>
        <v>-0.7</v>
      </c>
      <c r="M86" s="47">
        <f t="shared" si="16"/>
        <v>3.44E-2</v>
      </c>
      <c r="O86" s="47">
        <f t="shared" si="17"/>
        <v>0.19665200397268703</v>
      </c>
      <c r="P86" s="47">
        <f t="shared" si="18"/>
        <v>-0.75</v>
      </c>
      <c r="Q86" s="47">
        <f t="shared" si="19"/>
        <v>3.44E-2</v>
      </c>
      <c r="S86" s="47">
        <f t="shared" si="20"/>
        <v>0.19665200397268703</v>
      </c>
      <c r="T86" s="47">
        <f t="shared" si="21"/>
        <v>-0.7</v>
      </c>
      <c r="U86" s="47">
        <f t="shared" si="22"/>
        <v>3.44E-2</v>
      </c>
      <c r="W86" s="47">
        <f t="shared" si="23"/>
        <v>3.4980629241709943E-2</v>
      </c>
      <c r="X86" s="47">
        <f t="shared" si="24"/>
        <v>5.0742469837560367E-2</v>
      </c>
      <c r="Y86" s="47">
        <f t="shared" si="25"/>
        <v>4.6448046216734595E-2</v>
      </c>
      <c r="AA86" s="62" t="s">
        <v>2488</v>
      </c>
      <c r="AB86" s="53"/>
      <c r="AC86" s="53"/>
      <c r="AD86" s="53"/>
      <c r="AE86" s="53"/>
      <c r="AF86" s="53"/>
      <c r="AG86" s="53"/>
      <c r="AH86" s="53"/>
      <c r="AP86" s="48">
        <v>-0.18140000000000001</v>
      </c>
      <c r="AQ86" s="48">
        <v>-0.1943</v>
      </c>
      <c r="AR86" s="47">
        <f>IF(AP86="","",AP86-($AC$60+$AC$61*Volcanic!C86+$AC$62*Volcanic!D86+$AC$63*Volcanic!E86))</f>
        <v>3.0444961603969256E-3</v>
      </c>
      <c r="AS86" s="47">
        <f>IF(AQ86="","",AQ86-($AD$60+$AD$61*Volcanic!C86+$AD$62*Volcanic!D86+$AD$63*Volcanic!E86))</f>
        <v>-1.6741546844416727E-2</v>
      </c>
    </row>
    <row r="87" spans="1:45">
      <c r="A87" s="45" t="str">
        <f>Volcanic!A87</f>
        <v>4/1965</v>
      </c>
      <c r="B87" s="43">
        <f>Volcanic!B87</f>
        <v>-0.18999999999999773</v>
      </c>
      <c r="C87" s="47">
        <f>Volcanic!C87</f>
        <v>0.20226098356200239</v>
      </c>
      <c r="D87" s="41">
        <v>0.2</v>
      </c>
      <c r="E87" s="43">
        <f t="shared" si="26"/>
        <v>-0.5</v>
      </c>
      <c r="F87" s="48">
        <v>1.4330000000000001E-2</v>
      </c>
      <c r="G87" s="47">
        <f t="shared" si="27"/>
        <v>3.0769999999999999E-2</v>
      </c>
      <c r="H87" s="43">
        <f>Volcanic!D87</f>
        <v>-0.51</v>
      </c>
      <c r="I87" s="47">
        <f>Volcanic!E87</f>
        <v>3.0769999999999999E-2</v>
      </c>
      <c r="K87" s="47">
        <f t="shared" si="14"/>
        <v>0.20226098356200239</v>
      </c>
      <c r="L87" s="47">
        <f t="shared" si="15"/>
        <v>-0.5</v>
      </c>
      <c r="M87" s="47">
        <f t="shared" si="16"/>
        <v>3.0769999999999999E-2</v>
      </c>
      <c r="O87" s="47">
        <f t="shared" si="17"/>
        <v>0.20226098356200239</v>
      </c>
      <c r="P87" s="47">
        <f t="shared" si="18"/>
        <v>-0.51</v>
      </c>
      <c r="Q87" s="47">
        <f t="shared" si="19"/>
        <v>3.0769999999999999E-2</v>
      </c>
      <c r="S87" s="47">
        <f t="shared" si="20"/>
        <v>0.20226098356200239</v>
      </c>
      <c r="T87" s="47">
        <f t="shared" si="21"/>
        <v>-0.5</v>
      </c>
      <c r="U87" s="47">
        <f t="shared" si="22"/>
        <v>3.0769999999999999E-2</v>
      </c>
      <c r="W87" s="47">
        <f t="shared" si="23"/>
        <v>-6.6889361478867315E-2</v>
      </c>
      <c r="X87" s="47">
        <f t="shared" si="24"/>
        <v>-5.6450823006420514E-2</v>
      </c>
      <c r="Y87" s="47">
        <f t="shared" si="25"/>
        <v>-5.7012277813122431E-2</v>
      </c>
      <c r="AP87" s="48">
        <v>-0.2225</v>
      </c>
      <c r="AQ87" s="48">
        <v>-0.20030000000000001</v>
      </c>
      <c r="AR87" s="47">
        <f>IF(AP87="","",AP87-($AC$60+$AC$61*Volcanic!C87+$AC$62*Volcanic!D87+$AC$63*Volcanic!E87))</f>
        <v>-8.4580760221887846E-2</v>
      </c>
      <c r="AS87" s="47">
        <f>IF(AQ87="","",AQ87-($AD$60+$AD$61*Volcanic!C87+$AD$62*Volcanic!D87+$AD$63*Volcanic!E87))</f>
        <v>-6.9701128405133234E-2</v>
      </c>
    </row>
    <row r="88" spans="1:45">
      <c r="A88" s="45" t="str">
        <f>Volcanic!A88</f>
        <v>5/1965</v>
      </c>
      <c r="B88" s="43">
        <f>Volcanic!B88</f>
        <v>-0.11999999999999744</v>
      </c>
      <c r="C88" s="47">
        <f>Volcanic!C88</f>
        <v>0.20239533147297081</v>
      </c>
      <c r="D88" s="41">
        <v>0.5</v>
      </c>
      <c r="E88" s="43">
        <f t="shared" si="26"/>
        <v>-0.2</v>
      </c>
      <c r="F88" s="48">
        <v>1.295E-2</v>
      </c>
      <c r="G88" s="47">
        <f t="shared" si="27"/>
        <v>2.7529999999999999E-2</v>
      </c>
      <c r="H88" s="43">
        <f>Volcanic!D88</f>
        <v>-0.25</v>
      </c>
      <c r="I88" s="47">
        <f>Volcanic!E88</f>
        <v>2.7529999999999999E-2</v>
      </c>
      <c r="K88" s="47">
        <f t="shared" si="14"/>
        <v>0.20239533147297081</v>
      </c>
      <c r="L88" s="47">
        <f t="shared" si="15"/>
        <v>-0.2</v>
      </c>
      <c r="M88" s="47">
        <f t="shared" si="16"/>
        <v>2.7529999999999999E-2</v>
      </c>
      <c r="O88" s="47">
        <f t="shared" si="17"/>
        <v>0.20239533147297081</v>
      </c>
      <c r="P88" s="47">
        <f t="shared" si="18"/>
        <v>-0.25</v>
      </c>
      <c r="Q88" s="47">
        <f t="shared" si="19"/>
        <v>2.7529999999999999E-2</v>
      </c>
      <c r="S88" s="47">
        <f t="shared" si="20"/>
        <v>0.20239533147297081</v>
      </c>
      <c r="T88" s="47">
        <f t="shared" si="21"/>
        <v>-0.2</v>
      </c>
      <c r="U88" s="47">
        <f t="shared" si="22"/>
        <v>2.7529999999999999E-2</v>
      </c>
      <c r="W88" s="47">
        <f t="shared" si="23"/>
        <v>-3.2257163967644692E-2</v>
      </c>
      <c r="X88" s="47">
        <f t="shared" si="24"/>
        <v>-1.9702768184100092E-2</v>
      </c>
      <c r="Y88" s="47">
        <f t="shared" si="25"/>
        <v>-2.4054097975754363E-2</v>
      </c>
      <c r="AP88" s="48">
        <v>-0.11260000000000001</v>
      </c>
      <c r="AQ88" s="48">
        <v>-9.1300000000000006E-2</v>
      </c>
      <c r="AR88" s="47">
        <f>IF(AP88="","",AP88-($AC$60+$AC$61*Volcanic!C88+$AC$62*Volcanic!D88+$AC$63*Volcanic!E88))</f>
        <v>-7.191426942790527E-3</v>
      </c>
      <c r="AS88" s="47">
        <f>IF(AQ88="","",AQ88-($AD$60+$AD$61*Volcanic!C88+$AD$62*Volcanic!D88+$AD$63*Volcanic!E88))</f>
        <v>6.6550985817300373E-3</v>
      </c>
    </row>
    <row r="89" spans="1:45">
      <c r="A89" s="45" t="str">
        <f>Volcanic!A89</f>
        <v>6/1965</v>
      </c>
      <c r="B89" s="43">
        <f>Volcanic!B89</f>
        <v>-8.0000000000001847E-2</v>
      </c>
      <c r="C89" s="47">
        <f>Volcanic!C89</f>
        <v>0.20105128904215877</v>
      </c>
      <c r="D89" s="41">
        <v>0.8</v>
      </c>
      <c r="E89" s="43">
        <f t="shared" si="26"/>
        <v>0</v>
      </c>
      <c r="F89" s="48">
        <v>1.1809999999999999E-2</v>
      </c>
      <c r="G89" s="47">
        <f t="shared" si="27"/>
        <v>2.462E-2</v>
      </c>
      <c r="H89" s="43">
        <f>Volcanic!D89</f>
        <v>-0.04</v>
      </c>
      <c r="I89" s="47">
        <f>Volcanic!E89</f>
        <v>2.462E-2</v>
      </c>
      <c r="K89" s="47">
        <f t="shared" si="14"/>
        <v>0.20105128904215877</v>
      </c>
      <c r="L89" s="47">
        <f t="shared" si="15"/>
        <v>0</v>
      </c>
      <c r="M89" s="47">
        <f t="shared" si="16"/>
        <v>2.462E-2</v>
      </c>
      <c r="O89" s="47">
        <f t="shared" si="17"/>
        <v>0.20105128904215877</v>
      </c>
      <c r="P89" s="47">
        <f t="shared" si="18"/>
        <v>-0.04</v>
      </c>
      <c r="Q89" s="47">
        <f t="shared" si="19"/>
        <v>2.462E-2</v>
      </c>
      <c r="S89" s="47">
        <f t="shared" si="20"/>
        <v>0.20105128904215877</v>
      </c>
      <c r="T89" s="47">
        <f t="shared" si="21"/>
        <v>0</v>
      </c>
      <c r="U89" s="47">
        <f t="shared" si="22"/>
        <v>2.462E-2</v>
      </c>
      <c r="W89" s="47">
        <f t="shared" si="23"/>
        <v>-1.3578678650643924E-2</v>
      </c>
      <c r="X89" s="47">
        <f t="shared" si="24"/>
        <v>-3.3987511950397398E-3</v>
      </c>
      <c r="Y89" s="47">
        <f t="shared" si="25"/>
        <v>-6.8350832920230226E-3</v>
      </c>
      <c r="AP89" s="48">
        <v>-0.1295</v>
      </c>
      <c r="AQ89" s="48">
        <v>-0.1103</v>
      </c>
      <c r="AR89" s="47">
        <f>IF(AP89="","",AP89-($AC$60+$AC$61*Volcanic!C89+$AC$62*Volcanic!D89+$AC$63*Volcanic!E89))</f>
        <v>-4.7088887876180499E-2</v>
      </c>
      <c r="AS89" s="47">
        <f>IF(AQ89="","",AQ89-($AD$60+$AD$61*Volcanic!C89+$AD$62*Volcanic!D89+$AD$63*Volcanic!E89))</f>
        <v>-3.5313827644067472E-2</v>
      </c>
    </row>
    <row r="90" spans="1:45">
      <c r="A90" s="45" t="str">
        <f>Volcanic!A90</f>
        <v>7/1965</v>
      </c>
      <c r="B90" s="43">
        <f>Volcanic!B90</f>
        <v>-0.13000000000000256</v>
      </c>
      <c r="C90" s="47">
        <f>Volcanic!C90</f>
        <v>0.19808998077164383</v>
      </c>
      <c r="D90" s="41">
        <v>1.1000000000000001</v>
      </c>
      <c r="E90" s="43">
        <f t="shared" si="26"/>
        <v>0.2</v>
      </c>
      <c r="F90" s="48">
        <v>1.0829999999999999E-2</v>
      </c>
      <c r="G90" s="47">
        <f t="shared" si="27"/>
        <v>2.2419999999999999E-2</v>
      </c>
      <c r="H90" s="43">
        <f>Volcanic!D90</f>
        <v>0.16</v>
      </c>
      <c r="I90" s="47">
        <f>Volcanic!E90</f>
        <v>2.2419999999999999E-2</v>
      </c>
      <c r="K90" s="47">
        <f t="shared" si="14"/>
        <v>0.19808998077164383</v>
      </c>
      <c r="L90" s="47">
        <f t="shared" si="15"/>
        <v>0.2</v>
      </c>
      <c r="M90" s="47">
        <f t="shared" si="16"/>
        <v>2.2419999999999999E-2</v>
      </c>
      <c r="O90" s="47">
        <f t="shared" si="17"/>
        <v>0.19808998077164383</v>
      </c>
      <c r="P90" s="47">
        <f t="shared" si="18"/>
        <v>0.16</v>
      </c>
      <c r="Q90" s="47">
        <f t="shared" si="19"/>
        <v>2.2419999999999999E-2</v>
      </c>
      <c r="S90" s="47">
        <f t="shared" si="20"/>
        <v>0.19808998077164383</v>
      </c>
      <c r="T90" s="47">
        <f t="shared" si="21"/>
        <v>0.2</v>
      </c>
      <c r="U90" s="47">
        <f t="shared" si="22"/>
        <v>2.2419999999999999E-2</v>
      </c>
      <c r="W90" s="47">
        <f t="shared" si="23"/>
        <v>-7.8925163095388912E-2</v>
      </c>
      <c r="X90" s="47">
        <f t="shared" si="24"/>
        <v>-6.9927912696470557E-2</v>
      </c>
      <c r="Y90" s="47">
        <f t="shared" si="25"/>
        <v>-7.3386910088593743E-2</v>
      </c>
      <c r="AP90" s="48">
        <v>-0.18959999999999999</v>
      </c>
      <c r="AQ90" s="48">
        <v>-0.17130000000000001</v>
      </c>
      <c r="AR90" s="47">
        <f>IF(AP90="","",AP90-($AC$60+$AC$61*Volcanic!C90+$AC$62*Volcanic!D90+$AC$63*Volcanic!E90))</f>
        <v>-0.12312537640425184</v>
      </c>
      <c r="AS90" s="47">
        <f>IF(AQ90="","",AQ90-($AD$60+$AD$61*Volcanic!C90+$AD$62*Volcanic!D90+$AD$63*Volcanic!E90))</f>
        <v>-0.11217116966858691</v>
      </c>
    </row>
    <row r="91" spans="1:45">
      <c r="A91" s="45" t="str">
        <f>Volcanic!A91</f>
        <v>8/1965</v>
      </c>
      <c r="B91" s="43">
        <f>Volcanic!B91</f>
        <v>-3.9999999999999147E-2</v>
      </c>
      <c r="C91" s="47">
        <f>Volcanic!C91</f>
        <v>0.18754154484093474</v>
      </c>
      <c r="D91" s="41">
        <v>1.3</v>
      </c>
      <c r="E91" s="43">
        <f t="shared" si="26"/>
        <v>0.5</v>
      </c>
      <c r="F91" s="48">
        <v>1.001E-2</v>
      </c>
      <c r="G91" s="47">
        <f t="shared" si="27"/>
        <v>2.01E-2</v>
      </c>
      <c r="H91" s="43">
        <f>Volcanic!D91</f>
        <v>0.47</v>
      </c>
      <c r="I91" s="47">
        <f>Volcanic!E91</f>
        <v>2.01E-2</v>
      </c>
      <c r="K91" s="47">
        <f t="shared" si="14"/>
        <v>0.18754154484093474</v>
      </c>
      <c r="L91" s="47">
        <f t="shared" si="15"/>
        <v>0.5</v>
      </c>
      <c r="M91" s="47">
        <f t="shared" si="16"/>
        <v>2.01E-2</v>
      </c>
      <c r="O91" s="47">
        <f t="shared" si="17"/>
        <v>0.18754154484093474</v>
      </c>
      <c r="P91" s="47">
        <f t="shared" si="18"/>
        <v>0.47</v>
      </c>
      <c r="Q91" s="47">
        <f t="shared" si="19"/>
        <v>2.01E-2</v>
      </c>
      <c r="S91" s="47">
        <f t="shared" si="20"/>
        <v>0.18754154484093474</v>
      </c>
      <c r="T91" s="47">
        <f t="shared" si="21"/>
        <v>0.5</v>
      </c>
      <c r="U91" s="47">
        <f t="shared" si="22"/>
        <v>2.01E-2</v>
      </c>
      <c r="W91" s="47">
        <f t="shared" si="23"/>
        <v>6.8678375646385389E-3</v>
      </c>
      <c r="X91" s="47">
        <f t="shared" si="24"/>
        <v>1.340881257347875E-2</v>
      </c>
      <c r="Y91" s="47">
        <f t="shared" si="25"/>
        <v>1.0856351144473593E-2</v>
      </c>
      <c r="AP91" s="48">
        <v>-8.3799999999999999E-2</v>
      </c>
      <c r="AQ91" s="48">
        <v>-7.8299999999999995E-2</v>
      </c>
      <c r="AR91" s="47">
        <f>IF(AP91="","",AP91-($AC$60+$AC$61*Volcanic!C91+$AC$62*Volcanic!D91+$AC$63*Volcanic!E91))</f>
        <v>-2.3134097895655237E-2</v>
      </c>
      <c r="AS91" s="47">
        <f>IF(AQ91="","",AQ91-($AD$60+$AD$61*Volcanic!C91+$AD$62*Volcanic!D91+$AD$63*Volcanic!E91))</f>
        <v>-2.456469961305531E-2</v>
      </c>
    </row>
    <row r="92" spans="1:45">
      <c r="A92" s="45" t="str">
        <f>Volcanic!A92</f>
        <v>9/1965</v>
      </c>
      <c r="B92" s="43">
        <f>Volcanic!B92</f>
        <v>-0.14999999999999858</v>
      </c>
      <c r="C92" s="47">
        <f>Volcanic!C92</f>
        <v>0.18278308729885059</v>
      </c>
      <c r="D92" s="41">
        <v>1.6</v>
      </c>
      <c r="E92" s="43">
        <f t="shared" si="26"/>
        <v>0.8</v>
      </c>
      <c r="F92" s="48">
        <v>9.2800000000000001E-3</v>
      </c>
      <c r="G92" s="47">
        <f t="shared" si="27"/>
        <v>1.789E-2</v>
      </c>
      <c r="H92" s="43">
        <f>Volcanic!D92</f>
        <v>0.79</v>
      </c>
      <c r="I92" s="47">
        <f>Volcanic!E92</f>
        <v>1.789E-2</v>
      </c>
      <c r="K92" s="47">
        <f t="shared" si="14"/>
        <v>0.18278308729885059</v>
      </c>
      <c r="L92" s="47">
        <f t="shared" si="15"/>
        <v>0.8</v>
      </c>
      <c r="M92" s="47">
        <f t="shared" si="16"/>
        <v>1.789E-2</v>
      </c>
      <c r="O92" s="47">
        <f t="shared" si="17"/>
        <v>0.18278308729885059</v>
      </c>
      <c r="P92" s="47">
        <f t="shared" si="18"/>
        <v>0.79</v>
      </c>
      <c r="Q92" s="47">
        <f t="shared" si="19"/>
        <v>1.789E-2</v>
      </c>
      <c r="S92" s="47">
        <f t="shared" si="20"/>
        <v>0.18278308729885059</v>
      </c>
      <c r="T92" s="47">
        <f t="shared" si="21"/>
        <v>0.8</v>
      </c>
      <c r="U92" s="47">
        <f t="shared" si="22"/>
        <v>1.789E-2</v>
      </c>
      <c r="W92" s="47">
        <f t="shared" si="23"/>
        <v>-0.12288691692880899</v>
      </c>
      <c r="X92" s="47">
        <f t="shared" si="24"/>
        <v>-0.1195600838927563</v>
      </c>
      <c r="Y92" s="47">
        <f t="shared" si="25"/>
        <v>-0.12026455568503312</v>
      </c>
      <c r="AP92" s="48">
        <v>-0.16900000000000001</v>
      </c>
      <c r="AQ92" s="48">
        <v>-0.21929999999999999</v>
      </c>
      <c r="AR92" s="47">
        <f>IF(AP92="","",AP92-($AC$60+$AC$61*Volcanic!C92+$AC$62*Volcanic!D92+$AC$63*Volcanic!E92))</f>
        <v>-0.13062475022313993</v>
      </c>
      <c r="AS92" s="47">
        <f>IF(AQ92="","",AQ92-($AD$60+$AD$61*Volcanic!C92+$AD$62*Volcanic!D92+$AD$63*Volcanic!E92))</f>
        <v>-0.18787904238739528</v>
      </c>
    </row>
    <row r="93" spans="1:45">
      <c r="A93" s="45" t="str">
        <f>Volcanic!A93</f>
        <v>10/1965</v>
      </c>
      <c r="B93" s="43">
        <f>Volcanic!B93</f>
        <v>-5.0000000000000711E-2</v>
      </c>
      <c r="C93" s="47">
        <f>Volcanic!C93</f>
        <v>0.18042069408530895</v>
      </c>
      <c r="D93" s="41">
        <v>1.7</v>
      </c>
      <c r="E93" s="43">
        <f t="shared" si="26"/>
        <v>1.1000000000000001</v>
      </c>
      <c r="F93" s="48">
        <v>9.1400000000000006E-3</v>
      </c>
      <c r="G93" s="47">
        <f t="shared" si="27"/>
        <v>1.5949999999999999E-2</v>
      </c>
      <c r="H93" s="43">
        <f>Volcanic!D93</f>
        <v>1.1000000000000001</v>
      </c>
      <c r="I93" s="47">
        <f>Volcanic!E93</f>
        <v>1.5949999999999999E-2</v>
      </c>
      <c r="K93" s="47">
        <f t="shared" si="14"/>
        <v>0.18042069408530895</v>
      </c>
      <c r="L93" s="47">
        <f t="shared" si="15"/>
        <v>1.1000000000000001</v>
      </c>
      <c r="M93" s="47">
        <f t="shared" si="16"/>
        <v>1.5949999999999999E-2</v>
      </c>
      <c r="O93" s="47">
        <f t="shared" si="17"/>
        <v>0.18042069408530895</v>
      </c>
      <c r="P93" s="47">
        <f t="shared" si="18"/>
        <v>1.1000000000000001</v>
      </c>
      <c r="Q93" s="47">
        <f t="shared" si="19"/>
        <v>1.5949999999999999E-2</v>
      </c>
      <c r="S93" s="47">
        <f t="shared" si="20"/>
        <v>0.18042069408530895</v>
      </c>
      <c r="T93" s="47">
        <f t="shared" si="21"/>
        <v>1.1000000000000001</v>
      </c>
      <c r="U93" s="47">
        <f t="shared" si="22"/>
        <v>1.5949999999999999E-2</v>
      </c>
      <c r="W93" s="47">
        <f t="shared" si="23"/>
        <v>-4.8581147882266099E-2</v>
      </c>
      <c r="X93" s="47">
        <f t="shared" si="24"/>
        <v>-4.7362124066016503E-2</v>
      </c>
      <c r="Y93" s="47">
        <f t="shared" si="25"/>
        <v>-4.715641048385491E-2</v>
      </c>
      <c r="AP93" s="48">
        <v>-2.8400000000000002E-2</v>
      </c>
      <c r="AQ93" s="48">
        <v>-2.8299999999999999E-2</v>
      </c>
      <c r="AR93" s="47">
        <f>IF(AP93="","",AP93-($AC$60+$AC$61*Volcanic!C93+$AC$62*Volcanic!D93+$AC$63*Volcanic!E93))</f>
        <v>-1.7271990112881531E-2</v>
      </c>
      <c r="AS93" s="47">
        <f>IF(AQ93="","",AQ93-($AD$60+$AD$61*Volcanic!C93+$AD$62*Volcanic!D93+$AD$63*Volcanic!E93))</f>
        <v>-2.4330465052921336E-2</v>
      </c>
    </row>
    <row r="94" spans="1:45">
      <c r="A94" s="45" t="str">
        <f>Volcanic!A94</f>
        <v>11/1965</v>
      </c>
      <c r="B94" s="43">
        <f>Volcanic!B94</f>
        <v>-6.0000000000000497E-2</v>
      </c>
      <c r="C94" s="47">
        <f>Volcanic!C94</f>
        <v>0.18754154484093474</v>
      </c>
      <c r="D94" s="41">
        <v>1.8</v>
      </c>
      <c r="E94" s="43">
        <f t="shared" si="26"/>
        <v>1.3</v>
      </c>
      <c r="F94" s="48">
        <v>8.7299999999999999E-3</v>
      </c>
      <c r="G94" s="47">
        <f t="shared" si="27"/>
        <v>1.4330000000000001E-2</v>
      </c>
      <c r="H94" s="43">
        <f>Volcanic!D94</f>
        <v>1.27</v>
      </c>
      <c r="I94" s="47">
        <f>Volcanic!E94</f>
        <v>1.4330000000000001E-2</v>
      </c>
      <c r="K94" s="47">
        <f t="shared" si="14"/>
        <v>0.18754154484093474</v>
      </c>
      <c r="L94" s="47">
        <f t="shared" si="15"/>
        <v>1.3</v>
      </c>
      <c r="M94" s="47">
        <f t="shared" si="16"/>
        <v>1.4330000000000001E-2</v>
      </c>
      <c r="O94" s="47">
        <f t="shared" si="17"/>
        <v>0.18754154484093474</v>
      </c>
      <c r="P94" s="47">
        <f t="shared" si="18"/>
        <v>1.27</v>
      </c>
      <c r="Q94" s="47">
        <f t="shared" si="19"/>
        <v>1.4330000000000001E-2</v>
      </c>
      <c r="S94" s="47">
        <f t="shared" si="20"/>
        <v>0.18754154484093474</v>
      </c>
      <c r="T94" s="47">
        <f t="shared" si="21"/>
        <v>1.3</v>
      </c>
      <c r="U94" s="47">
        <f t="shared" si="22"/>
        <v>1.4330000000000001E-2</v>
      </c>
      <c r="W94" s="47">
        <f t="shared" si="23"/>
        <v>-0.10014515362210663</v>
      </c>
      <c r="X94" s="47">
        <f t="shared" si="24"/>
        <v>-9.6815714846332196E-2</v>
      </c>
      <c r="Y94" s="47">
        <f t="shared" si="25"/>
        <v>-9.9445912195700176E-2</v>
      </c>
      <c r="AP94" s="48">
        <v>-6.7400000000000002E-2</v>
      </c>
      <c r="AQ94" s="48">
        <v>-8.2299999999999998E-2</v>
      </c>
      <c r="AR94" s="47">
        <f>IF(AP94="","",AP94-($AC$60+$AC$61*Volcanic!C94+$AC$62*Volcanic!D94+$AC$63*Volcanic!E94))</f>
        <v>-9.5533954488129291E-2</v>
      </c>
      <c r="AS94" s="47">
        <f>IF(AQ94="","",AQ94-($AD$60+$AD$61*Volcanic!C94+$AD$62*Volcanic!D94+$AD$63*Volcanic!E94))</f>
        <v>-0.11823151720038841</v>
      </c>
    </row>
    <row r="95" spans="1:45">
      <c r="A95" s="45" t="str">
        <f>Volcanic!A95</f>
        <v>12/1965</v>
      </c>
      <c r="B95" s="43">
        <f>Volcanic!B95</f>
        <v>-8.0000000000001847E-2</v>
      </c>
      <c r="C95" s="47">
        <f>Volcanic!C95</f>
        <v>0.19002782057413631</v>
      </c>
      <c r="D95" s="41">
        <v>1.6</v>
      </c>
      <c r="E95" s="43">
        <f t="shared" si="26"/>
        <v>1.6</v>
      </c>
      <c r="F95" s="48">
        <v>8.1399999999999997E-3</v>
      </c>
      <c r="G95" s="47">
        <f t="shared" si="27"/>
        <v>1.295E-2</v>
      </c>
      <c r="H95" s="43">
        <f>Volcanic!D95</f>
        <v>1.55</v>
      </c>
      <c r="I95" s="47">
        <f>Volcanic!E95</f>
        <v>1.295E-2</v>
      </c>
      <c r="K95" s="47">
        <f t="shared" si="14"/>
        <v>0.19002782057413631</v>
      </c>
      <c r="L95" s="47">
        <f t="shared" si="15"/>
        <v>1.6</v>
      </c>
      <c r="M95" s="47">
        <f t="shared" si="16"/>
        <v>1.295E-2</v>
      </c>
      <c r="O95" s="47">
        <f t="shared" si="17"/>
        <v>0.19002782057413631</v>
      </c>
      <c r="P95" s="47">
        <f t="shared" si="18"/>
        <v>1.55</v>
      </c>
      <c r="Q95" s="47">
        <f t="shared" si="19"/>
        <v>1.295E-2</v>
      </c>
      <c r="S95" s="47">
        <f t="shared" si="20"/>
        <v>0.19002782057413631</v>
      </c>
      <c r="T95" s="47">
        <f t="shared" si="21"/>
        <v>1.6</v>
      </c>
      <c r="U95" s="47">
        <f t="shared" si="22"/>
        <v>1.295E-2</v>
      </c>
      <c r="W95" s="47">
        <f t="shared" si="23"/>
        <v>-0.15782846087862396</v>
      </c>
      <c r="X95" s="47">
        <f t="shared" si="24"/>
        <v>-0.15344528667760424</v>
      </c>
      <c r="Y95" s="47">
        <f t="shared" si="25"/>
        <v>-0.15798019025283552</v>
      </c>
      <c r="AP95" s="48">
        <v>-6.8500000000000005E-2</v>
      </c>
      <c r="AQ95" s="48">
        <v>-1.9300000000000001E-2</v>
      </c>
      <c r="AR95" s="47">
        <f>IF(AP95="","",AP95-($AC$60+$AC$61*Volcanic!C95+$AC$62*Volcanic!D95+$AC$63*Volcanic!E95))</f>
        <v>-0.13296418385729733</v>
      </c>
      <c r="AS95" s="47">
        <f>IF(AQ95="","",AQ95-($AD$60+$AD$61*Volcanic!C95+$AD$62*Volcanic!D95+$AD$63*Volcanic!E95))</f>
        <v>-9.2114012518494978E-2</v>
      </c>
    </row>
    <row r="96" spans="1:45">
      <c r="A96" s="45" t="str">
        <f>Volcanic!A96</f>
        <v>1/1966</v>
      </c>
      <c r="B96" s="43">
        <f>Volcanic!B96</f>
        <v>-0.18999999999999773</v>
      </c>
      <c r="C96" s="47">
        <f>Volcanic!C96</f>
        <v>0.19543759520574477</v>
      </c>
      <c r="D96" s="41">
        <v>1.2</v>
      </c>
      <c r="E96" s="43">
        <f t="shared" si="26"/>
        <v>1.7</v>
      </c>
      <c r="F96" s="48">
        <v>7.5900000000000004E-3</v>
      </c>
      <c r="G96" s="47">
        <f t="shared" si="27"/>
        <v>1.1809999999999999E-2</v>
      </c>
      <c r="H96" s="43">
        <f>Volcanic!D96</f>
        <v>1.7</v>
      </c>
      <c r="I96" s="47">
        <f>Volcanic!E96</f>
        <v>1.1809999999999999E-2</v>
      </c>
      <c r="K96" s="47">
        <f t="shared" si="14"/>
        <v>0.19543759520574477</v>
      </c>
      <c r="L96" s="47">
        <f t="shared" si="15"/>
        <v>1.7</v>
      </c>
      <c r="M96" s="47">
        <f t="shared" si="16"/>
        <v>1.1809999999999999E-2</v>
      </c>
      <c r="O96" s="47">
        <f t="shared" si="17"/>
        <v>0.19543759520574477</v>
      </c>
      <c r="P96" s="47">
        <f t="shared" si="18"/>
        <v>1.7</v>
      </c>
      <c r="Q96" s="47">
        <f t="shared" si="19"/>
        <v>1.1809999999999999E-2</v>
      </c>
      <c r="S96" s="47">
        <f t="shared" si="20"/>
        <v>0.19543759520574477</v>
      </c>
      <c r="T96" s="47">
        <f t="shared" si="21"/>
        <v>1.7</v>
      </c>
      <c r="U96" s="47">
        <f t="shared" si="22"/>
        <v>1.1809999999999999E-2</v>
      </c>
      <c r="W96" s="47">
        <f t="shared" si="23"/>
        <v>-0.29438108089315207</v>
      </c>
      <c r="X96" s="47">
        <f t="shared" si="24"/>
        <v>-0.29514000363032011</v>
      </c>
      <c r="Y96" s="47">
        <f t="shared" si="25"/>
        <v>-0.29498746803723785</v>
      </c>
      <c r="AP96" s="48">
        <v>-0.2056</v>
      </c>
      <c r="AQ96" s="48">
        <v>-0.1673</v>
      </c>
      <c r="AR96" s="47">
        <f>IF(AP96="","",AP96-($AC$60+$AC$61*Volcanic!C96+$AC$62*Volcanic!D96+$AC$63*Volcanic!E96))</f>
        <v>-0.30162599175839161</v>
      </c>
      <c r="AS96" s="47">
        <f>IF(AQ96="","",AQ96-($AD$60+$AD$61*Volcanic!C96+$AD$62*Volcanic!D96+$AD$63*Volcanic!E96))</f>
        <v>-0.27221186647039353</v>
      </c>
    </row>
    <row r="97" spans="1:45">
      <c r="A97" s="45" t="str">
        <f>Volcanic!A97</f>
        <v>2/1966</v>
      </c>
      <c r="B97" s="43">
        <f>Volcanic!B97</f>
        <v>-3.9999999999999147E-2</v>
      </c>
      <c r="C97" s="47">
        <f>Volcanic!C97</f>
        <v>0.19984057934659985</v>
      </c>
      <c r="D97" s="41">
        <v>1</v>
      </c>
      <c r="E97" s="43">
        <f t="shared" si="26"/>
        <v>1.8</v>
      </c>
      <c r="F97" s="48">
        <v>7.0299999999999998E-3</v>
      </c>
      <c r="G97" s="47">
        <f t="shared" si="27"/>
        <v>1.0829999999999999E-2</v>
      </c>
      <c r="H97" s="43">
        <f>Volcanic!D97</f>
        <v>1.82</v>
      </c>
      <c r="I97" s="47">
        <f>Volcanic!E97</f>
        <v>1.0829999999999999E-2</v>
      </c>
      <c r="K97" s="47">
        <f t="shared" si="14"/>
        <v>0.19984057934659985</v>
      </c>
      <c r="L97" s="47">
        <f t="shared" si="15"/>
        <v>1.8</v>
      </c>
      <c r="M97" s="47">
        <f t="shared" si="16"/>
        <v>1.0829999999999999E-2</v>
      </c>
      <c r="O97" s="47">
        <f t="shared" si="17"/>
        <v>0.19984057934659985</v>
      </c>
      <c r="P97" s="47">
        <f t="shared" si="18"/>
        <v>1.82</v>
      </c>
      <c r="Q97" s="47">
        <f t="shared" si="19"/>
        <v>1.0829999999999999E-2</v>
      </c>
      <c r="S97" s="47">
        <f t="shared" si="20"/>
        <v>0.19984057934659985</v>
      </c>
      <c r="T97" s="47">
        <f t="shared" si="21"/>
        <v>1.8</v>
      </c>
      <c r="U97" s="47">
        <f t="shared" si="22"/>
        <v>1.0829999999999999E-2</v>
      </c>
      <c r="W97" s="47">
        <f t="shared" si="23"/>
        <v>-0.16783546763497775</v>
      </c>
      <c r="X97" s="47">
        <f t="shared" si="24"/>
        <v>-0.17087665731634108</v>
      </c>
      <c r="Y97" s="47">
        <f t="shared" si="25"/>
        <v>-0.16885457968266204</v>
      </c>
      <c r="AP97" s="48">
        <v>-8.6800000000000002E-2</v>
      </c>
      <c r="AQ97" s="48">
        <v>-5.5300000000000002E-2</v>
      </c>
      <c r="AR97" s="47">
        <f>IF(AP97="","",AP97-($AC$60+$AC$61*Volcanic!C97+$AC$62*Volcanic!D97+$AC$63*Volcanic!E97))</f>
        <v>-0.20844430431464173</v>
      </c>
      <c r="AS97" s="47">
        <f>IF(AQ97="","",AQ97-($AD$60+$AD$61*Volcanic!C97+$AD$62*Volcanic!D97+$AD$63*Volcanic!E97))</f>
        <v>-0.18625642135759357</v>
      </c>
    </row>
    <row r="98" spans="1:45">
      <c r="A98" s="45" t="str">
        <f>Volcanic!A98</f>
        <v>3/1966</v>
      </c>
      <c r="B98" s="43">
        <f>Volcanic!B98</f>
        <v>2.9999999999997584E-2</v>
      </c>
      <c r="C98" s="47">
        <f>Volcanic!C98</f>
        <v>0.20338016739614553</v>
      </c>
      <c r="D98" s="41">
        <v>0.8</v>
      </c>
      <c r="E98" s="43">
        <f t="shared" si="26"/>
        <v>1.6</v>
      </c>
      <c r="F98" s="48">
        <v>6.5900000000000004E-3</v>
      </c>
      <c r="G98" s="47">
        <f t="shared" si="27"/>
        <v>1.001E-2</v>
      </c>
      <c r="H98" s="43">
        <f>Volcanic!D98</f>
        <v>1.6</v>
      </c>
      <c r="I98" s="47">
        <f>Volcanic!E98</f>
        <v>1.001E-2</v>
      </c>
      <c r="K98" s="47">
        <f t="shared" si="14"/>
        <v>0.20338016739614553</v>
      </c>
      <c r="L98" s="47">
        <f t="shared" si="15"/>
        <v>1.6</v>
      </c>
      <c r="M98" s="47">
        <f t="shared" si="16"/>
        <v>1.001E-2</v>
      </c>
      <c r="O98" s="47">
        <f t="shared" si="17"/>
        <v>0.20338016739614553</v>
      </c>
      <c r="P98" s="47">
        <f t="shared" si="18"/>
        <v>1.6</v>
      </c>
      <c r="Q98" s="47">
        <f t="shared" si="19"/>
        <v>1.001E-2</v>
      </c>
      <c r="S98" s="47">
        <f t="shared" si="20"/>
        <v>0.20338016739614553</v>
      </c>
      <c r="T98" s="47">
        <f t="shared" si="21"/>
        <v>1.6</v>
      </c>
      <c r="U98" s="47">
        <f t="shared" si="22"/>
        <v>1.001E-2</v>
      </c>
      <c r="W98" s="47">
        <f t="shared" si="23"/>
        <v>-9.0720684806406368E-2</v>
      </c>
      <c r="X98" s="47">
        <f t="shared" si="24"/>
        <v>-9.1922708807658335E-2</v>
      </c>
      <c r="Y98" s="47">
        <f t="shared" si="25"/>
        <v>-9.1765823061768642E-2</v>
      </c>
      <c r="AP98" s="48">
        <v>-9.4500000000000001E-2</v>
      </c>
      <c r="AQ98" s="48">
        <v>-7.4300000000000005E-2</v>
      </c>
      <c r="AR98" s="47">
        <f>IF(AP98="","",AP98-($AC$60+$AC$61*Volcanic!C98+$AC$62*Volcanic!D98+$AC$63*Volcanic!E98))</f>
        <v>-0.20718069406033043</v>
      </c>
      <c r="AS98" s="47">
        <f>IF(AQ98="","",AQ98-($AD$60+$AD$61*Volcanic!C98+$AD$62*Volcanic!D98+$AD$63*Volcanic!E98))</f>
        <v>-0.19602436718265256</v>
      </c>
    </row>
    <row r="99" spans="1:45">
      <c r="A99" s="45" t="str">
        <f>Volcanic!A99</f>
        <v>4/1966</v>
      </c>
      <c r="B99" s="43">
        <f>Volcanic!B99</f>
        <v>-0.13000000000000256</v>
      </c>
      <c r="C99" s="47">
        <f>Volcanic!C99</f>
        <v>0.20923053837684438</v>
      </c>
      <c r="D99" s="41">
        <v>0.4</v>
      </c>
      <c r="E99" s="43">
        <f t="shared" si="26"/>
        <v>1.2</v>
      </c>
      <c r="F99" s="48">
        <v>6.28E-3</v>
      </c>
      <c r="G99" s="47">
        <f t="shared" si="27"/>
        <v>9.2800000000000001E-3</v>
      </c>
      <c r="H99" s="43">
        <f>Volcanic!D99</f>
        <v>1.24</v>
      </c>
      <c r="I99" s="47">
        <f>Volcanic!E99</f>
        <v>9.2800000000000001E-3</v>
      </c>
      <c r="K99" s="47">
        <f t="shared" si="14"/>
        <v>0.20923053837684438</v>
      </c>
      <c r="L99" s="47">
        <f t="shared" si="15"/>
        <v>1.2</v>
      </c>
      <c r="M99" s="47">
        <f t="shared" si="16"/>
        <v>9.2800000000000001E-3</v>
      </c>
      <c r="O99" s="47">
        <f t="shared" si="17"/>
        <v>0.20923053837684438</v>
      </c>
      <c r="P99" s="47">
        <f t="shared" si="18"/>
        <v>1.24</v>
      </c>
      <c r="Q99" s="47">
        <f t="shared" si="19"/>
        <v>9.2800000000000001E-3</v>
      </c>
      <c r="S99" s="47">
        <f t="shared" si="20"/>
        <v>0.20923053837684438</v>
      </c>
      <c r="T99" s="47">
        <f t="shared" si="21"/>
        <v>1.2</v>
      </c>
      <c r="U99" s="47">
        <f t="shared" si="22"/>
        <v>9.2800000000000001E-3</v>
      </c>
      <c r="W99" s="47">
        <f t="shared" si="23"/>
        <v>-0.23113477478599628</v>
      </c>
      <c r="X99" s="47">
        <f t="shared" si="24"/>
        <v>-0.23582993053648044</v>
      </c>
      <c r="Y99" s="47">
        <f t="shared" si="25"/>
        <v>-0.2318861009539474</v>
      </c>
      <c r="AP99" s="48">
        <v>-9.3700000000000006E-2</v>
      </c>
      <c r="AQ99" s="48">
        <v>-3.1300000000000001E-2</v>
      </c>
      <c r="AR99" s="47">
        <f>IF(AP99="","",AP99-($AC$60+$AC$61*Volcanic!C99+$AC$62*Volcanic!D99+$AC$63*Volcanic!E99))</f>
        <v>-0.19040005418840533</v>
      </c>
      <c r="AS99" s="47">
        <f>IF(AQ99="","",AQ99-($AD$60+$AD$61*Volcanic!C99+$AD$62*Volcanic!D99+$AD$63*Volcanic!E99))</f>
        <v>-0.13667942999398205</v>
      </c>
    </row>
    <row r="100" spans="1:45">
      <c r="A100" s="45" t="str">
        <f>Volcanic!A100</f>
        <v>5/1966</v>
      </c>
      <c r="B100" s="43">
        <f>Volcanic!B100</f>
        <v>-0.11999999999999744</v>
      </c>
      <c r="C100" s="47">
        <f>Volcanic!C100</f>
        <v>0.21092316296674554</v>
      </c>
      <c r="D100" s="41">
        <v>0.2</v>
      </c>
      <c r="E100" s="43">
        <f t="shared" si="26"/>
        <v>1</v>
      </c>
      <c r="F100" s="48">
        <v>6.5799999999999999E-3</v>
      </c>
      <c r="G100" s="47">
        <f t="shared" si="27"/>
        <v>9.1400000000000006E-3</v>
      </c>
      <c r="H100" s="43">
        <f>Volcanic!D100</f>
        <v>0.95</v>
      </c>
      <c r="I100" s="47">
        <f>Volcanic!E100</f>
        <v>9.1400000000000006E-3</v>
      </c>
      <c r="K100" s="47">
        <f t="shared" si="14"/>
        <v>0.21092316296674554</v>
      </c>
      <c r="L100" s="47">
        <f t="shared" si="15"/>
        <v>1</v>
      </c>
      <c r="M100" s="47">
        <f t="shared" si="16"/>
        <v>9.1400000000000006E-3</v>
      </c>
      <c r="O100" s="47">
        <f t="shared" si="17"/>
        <v>0.21092316296674554</v>
      </c>
      <c r="P100" s="47">
        <f t="shared" si="18"/>
        <v>0.95</v>
      </c>
      <c r="Q100" s="47">
        <f t="shared" si="19"/>
        <v>9.1400000000000006E-3</v>
      </c>
      <c r="S100" s="47">
        <f t="shared" si="20"/>
        <v>0.21092316296674554</v>
      </c>
      <c r="T100" s="47">
        <f t="shared" si="21"/>
        <v>1</v>
      </c>
      <c r="U100" s="47">
        <f t="shared" si="22"/>
        <v>9.1400000000000006E-3</v>
      </c>
      <c r="W100" s="47">
        <f t="shared" si="23"/>
        <v>-0.20748464747310491</v>
      </c>
      <c r="X100" s="47">
        <f t="shared" si="24"/>
        <v>-0.20353036644791889</v>
      </c>
      <c r="Y100" s="47">
        <f t="shared" si="25"/>
        <v>-0.20802572477658426</v>
      </c>
      <c r="AP100" s="48">
        <v>-0.1394</v>
      </c>
      <c r="AQ100" s="48">
        <v>-0.10829999999999999</v>
      </c>
      <c r="AR100" s="47">
        <f>IF(AP100="","",AP100-($AC$60+$AC$61*Volcanic!C100+$AC$62*Volcanic!D100+$AC$63*Volcanic!E100))</f>
        <v>-0.21390173728463804</v>
      </c>
      <c r="AS100" s="47">
        <f>IF(AQ100="","",AQ100-($AD$60+$AD$61*Volcanic!C100+$AD$62*Volcanic!D100+$AD$63*Volcanic!E100))</f>
        <v>-0.19102728408183445</v>
      </c>
    </row>
    <row r="101" spans="1:45">
      <c r="A101" s="45" t="str">
        <f>Volcanic!A101</f>
        <v>6/1966</v>
      </c>
      <c r="B101" s="43">
        <f>Volcanic!B101</f>
        <v>1.0000000000001563E-2</v>
      </c>
      <c r="C101" s="47">
        <f>Volcanic!C101</f>
        <v>0.20945336562894978</v>
      </c>
      <c r="D101" s="41">
        <v>0.2</v>
      </c>
      <c r="E101" s="43">
        <f t="shared" si="26"/>
        <v>0.8</v>
      </c>
      <c r="F101" s="48">
        <v>6.6E-3</v>
      </c>
      <c r="G101" s="47">
        <f t="shared" si="27"/>
        <v>8.7299999999999999E-3</v>
      </c>
      <c r="H101" s="43">
        <f>Volcanic!D101</f>
        <v>0.76</v>
      </c>
      <c r="I101" s="47">
        <f>Volcanic!E101</f>
        <v>8.7299999999999999E-3</v>
      </c>
      <c r="K101" s="47">
        <f t="shared" si="14"/>
        <v>0.20945336562894978</v>
      </c>
      <c r="L101" s="47">
        <f t="shared" si="15"/>
        <v>0.8</v>
      </c>
      <c r="M101" s="47">
        <f t="shared" si="16"/>
        <v>8.7299999999999999E-3</v>
      </c>
      <c r="O101" s="47">
        <f t="shared" si="17"/>
        <v>0.20945336562894978</v>
      </c>
      <c r="P101" s="47">
        <f t="shared" si="18"/>
        <v>0.76</v>
      </c>
      <c r="Q101" s="47">
        <f t="shared" si="19"/>
        <v>8.7299999999999999E-3</v>
      </c>
      <c r="S101" s="47">
        <f t="shared" si="20"/>
        <v>0.20945336562894978</v>
      </c>
      <c r="T101" s="47">
        <f t="shared" si="21"/>
        <v>0.8</v>
      </c>
      <c r="U101" s="47">
        <f t="shared" si="22"/>
        <v>8.7299999999999999E-3</v>
      </c>
      <c r="W101" s="47">
        <f t="shared" si="23"/>
        <v>-5.5805071131075884E-2</v>
      </c>
      <c r="X101" s="47">
        <f t="shared" si="24"/>
        <v>-5.2780007061079243E-2</v>
      </c>
      <c r="Y101" s="47">
        <f t="shared" si="25"/>
        <v>-5.6322724492511606E-2</v>
      </c>
      <c r="AP101" s="48">
        <v>-2.5999999999999999E-2</v>
      </c>
      <c r="AQ101" s="48">
        <v>-1.1299999999999999E-2</v>
      </c>
      <c r="AR101" s="47">
        <f>IF(AP101="","",AP101-($AC$60+$AC$61*Volcanic!C101+$AC$62*Volcanic!D101+$AC$63*Volcanic!E101))</f>
        <v>-7.9682269663515007E-2</v>
      </c>
      <c r="AS101" s="47">
        <f>IF(AQ101="","",AQ101-($AD$60+$AD$61*Volcanic!C101+$AD$62*Volcanic!D101+$AD$63*Volcanic!E101))</f>
        <v>-7.2692362520978868E-2</v>
      </c>
    </row>
    <row r="102" spans="1:45">
      <c r="A102" s="45" t="str">
        <f>Volcanic!A102</f>
        <v>7/1966</v>
      </c>
      <c r="B102" s="43">
        <f>Volcanic!B102</f>
        <v>8.0000000000000071E-2</v>
      </c>
      <c r="C102" s="47">
        <f>Volcanic!C102</f>
        <v>0.20329066463286302</v>
      </c>
      <c r="D102" s="41">
        <v>0.3</v>
      </c>
      <c r="E102" s="43">
        <f t="shared" si="26"/>
        <v>0.4</v>
      </c>
      <c r="F102" s="48">
        <v>6.4799999999999996E-3</v>
      </c>
      <c r="G102" s="47">
        <f t="shared" si="27"/>
        <v>8.1399999999999997E-3</v>
      </c>
      <c r="H102" s="43">
        <f>Volcanic!D102</f>
        <v>0.43</v>
      </c>
      <c r="I102" s="47">
        <f>Volcanic!E102</f>
        <v>8.1399999999999997E-3</v>
      </c>
      <c r="K102" s="47">
        <f t="shared" si="14"/>
        <v>0.20329066463286302</v>
      </c>
      <c r="L102" s="47">
        <f t="shared" si="15"/>
        <v>0.4</v>
      </c>
      <c r="M102" s="47">
        <f t="shared" si="16"/>
        <v>8.1399999999999997E-3</v>
      </c>
      <c r="O102" s="47">
        <f t="shared" si="17"/>
        <v>0.20329066463286302</v>
      </c>
      <c r="P102" s="47">
        <f t="shared" si="18"/>
        <v>0.43</v>
      </c>
      <c r="Q102" s="47">
        <f t="shared" si="19"/>
        <v>8.1399999999999997E-3</v>
      </c>
      <c r="S102" s="47">
        <f t="shared" si="20"/>
        <v>0.20329066463286302</v>
      </c>
      <c r="T102" s="47">
        <f t="shared" si="21"/>
        <v>0.4</v>
      </c>
      <c r="U102" s="47">
        <f t="shared" si="22"/>
        <v>8.1399999999999997E-3</v>
      </c>
      <c r="W102" s="47">
        <f t="shared" si="23"/>
        <v>6.6850788572703462E-2</v>
      </c>
      <c r="X102" s="47">
        <f t="shared" si="24"/>
        <v>6.333875735271062E-2</v>
      </c>
      <c r="Y102" s="47">
        <f t="shared" si="25"/>
        <v>6.6397864116307548E-2</v>
      </c>
      <c r="AP102" s="48">
        <v>8.0799999999999997E-2</v>
      </c>
      <c r="AQ102" s="48">
        <v>8.0699999999999994E-2</v>
      </c>
      <c r="AR102" s="47">
        <f>IF(AP102="","",AP102-($AC$60+$AC$61*Volcanic!C102+$AC$62*Volcanic!D102+$AC$63*Volcanic!E102))</f>
        <v>7.3428876791638648E-2</v>
      </c>
      <c r="AS102" s="47">
        <f>IF(AQ102="","",AQ102-($AD$60+$AD$61*Volcanic!C102+$AD$62*Volcanic!D102+$AD$63*Volcanic!E102))</f>
        <v>6.6753621178819472E-2</v>
      </c>
    </row>
    <row r="103" spans="1:45">
      <c r="A103" s="45" t="str">
        <f>Volcanic!A103</f>
        <v>8/1966</v>
      </c>
      <c r="B103" s="43">
        <f>Volcanic!B103</f>
        <v>-9.0000000000001634E-2</v>
      </c>
      <c r="C103" s="47">
        <f>Volcanic!C103</f>
        <v>0.19426719759207978</v>
      </c>
      <c r="D103" s="41">
        <v>0.1</v>
      </c>
      <c r="E103" s="43">
        <f t="shared" si="26"/>
        <v>0.2</v>
      </c>
      <c r="F103" s="48">
        <v>6.5500000000000003E-3</v>
      </c>
      <c r="G103" s="47">
        <f t="shared" si="27"/>
        <v>7.5900000000000004E-3</v>
      </c>
      <c r="H103" s="43">
        <f>Volcanic!D103</f>
        <v>0.24</v>
      </c>
      <c r="I103" s="47">
        <f>Volcanic!E103</f>
        <v>7.5900000000000004E-3</v>
      </c>
      <c r="K103" s="47">
        <f t="shared" si="14"/>
        <v>0.19426719759207978</v>
      </c>
      <c r="L103" s="47">
        <f t="shared" si="15"/>
        <v>0.2</v>
      </c>
      <c r="M103" s="47">
        <f t="shared" si="16"/>
        <v>7.5900000000000004E-3</v>
      </c>
      <c r="O103" s="47">
        <f t="shared" si="17"/>
        <v>0.19426719759207978</v>
      </c>
      <c r="P103" s="47">
        <f t="shared" si="18"/>
        <v>0.24</v>
      </c>
      <c r="Q103" s="47">
        <f t="shared" si="19"/>
        <v>7.5900000000000004E-3</v>
      </c>
      <c r="S103" s="47">
        <f t="shared" si="20"/>
        <v>0.19426719759207978</v>
      </c>
      <c r="T103" s="47">
        <f t="shared" si="21"/>
        <v>0.2</v>
      </c>
      <c r="U103" s="47">
        <f t="shared" si="22"/>
        <v>7.5900000000000004E-3</v>
      </c>
      <c r="W103" s="47">
        <f t="shared" si="23"/>
        <v>-6.1178133896050924E-2</v>
      </c>
      <c r="X103" s="47">
        <f t="shared" si="24"/>
        <v>-6.5854727537048269E-2</v>
      </c>
      <c r="Y103" s="47">
        <f t="shared" si="25"/>
        <v>-6.1845698097565363E-2</v>
      </c>
      <c r="AP103" s="48">
        <v>-2.12E-2</v>
      </c>
      <c r="AQ103" s="48">
        <v>-5.6300000000000003E-2</v>
      </c>
      <c r="AR103" s="47">
        <f>IF(AP103="","",AP103-($AC$60+$AC$61*Volcanic!C103+$AC$62*Volcanic!D103+$AC$63*Volcanic!E103))</f>
        <v>1.2537588007559598E-2</v>
      </c>
      <c r="AS103" s="47">
        <f>IF(AQ103="","",AQ103-($AD$60+$AD$61*Volcanic!C103+$AD$62*Volcanic!D103+$AD$63*Volcanic!E103))</f>
        <v>-2.8075088136235077E-2</v>
      </c>
    </row>
    <row r="104" spans="1:45">
      <c r="A104" s="45" t="str">
        <f>Volcanic!A104</f>
        <v>9/1966</v>
      </c>
      <c r="B104" s="43">
        <f>Volcanic!B104</f>
        <v>-2.9999999999999361E-2</v>
      </c>
      <c r="C104" s="47">
        <f>Volcanic!C104</f>
        <v>0.18650055764449477</v>
      </c>
      <c r="D104" s="41">
        <v>-0.1</v>
      </c>
      <c r="E104" s="43">
        <f t="shared" si="26"/>
        <v>0.2</v>
      </c>
      <c r="F104" s="48">
        <v>6.9100000000000003E-3</v>
      </c>
      <c r="G104" s="47">
        <f t="shared" si="27"/>
        <v>7.0299999999999998E-3</v>
      </c>
      <c r="H104" s="43">
        <f>Volcanic!D104</f>
        <v>0.18</v>
      </c>
      <c r="I104" s="47">
        <f>Volcanic!E104</f>
        <v>7.0299999999999998E-3</v>
      </c>
      <c r="K104" s="47">
        <f t="shared" si="14"/>
        <v>0.18650055764449477</v>
      </c>
      <c r="L104" s="47">
        <f t="shared" si="15"/>
        <v>0.2</v>
      </c>
      <c r="M104" s="47">
        <f t="shared" si="16"/>
        <v>7.0299999999999998E-3</v>
      </c>
      <c r="O104" s="47">
        <f t="shared" si="17"/>
        <v>0.18650055764449477</v>
      </c>
      <c r="P104" s="47">
        <f t="shared" si="18"/>
        <v>0.18</v>
      </c>
      <c r="Q104" s="47">
        <f t="shared" si="19"/>
        <v>7.0299999999999998E-3</v>
      </c>
      <c r="S104" s="47">
        <f t="shared" si="20"/>
        <v>0.18650055764449477</v>
      </c>
      <c r="T104" s="47">
        <f t="shared" si="21"/>
        <v>0.2</v>
      </c>
      <c r="U104" s="47">
        <f t="shared" si="22"/>
        <v>7.0299999999999998E-3</v>
      </c>
      <c r="W104" s="47">
        <f t="shared" si="23"/>
        <v>1.8768688707205938E-2</v>
      </c>
      <c r="X104" s="47">
        <f t="shared" si="24"/>
        <v>1.9316025110006095E-2</v>
      </c>
      <c r="Y104" s="47">
        <f t="shared" si="25"/>
        <v>1.7684806258595698E-2</v>
      </c>
      <c r="AP104" s="48">
        <v>-7.0000000000000001E-3</v>
      </c>
      <c r="AQ104" s="48">
        <v>-1.43E-2</v>
      </c>
      <c r="AR104" s="47">
        <f>IF(AP104="","",AP104-($AC$60+$AC$61*Volcanic!C104+$AC$62*Volcanic!D104+$AC$63*Volcanic!E104))</f>
        <v>5.2216471829909496E-2</v>
      </c>
      <c r="AS104" s="47">
        <f>IF(AQ104="","",AQ104-($AD$60+$AD$61*Volcanic!C104+$AD$62*Volcanic!D104+$AD$63*Volcanic!E104))</f>
        <v>4.0129698141172475E-2</v>
      </c>
    </row>
    <row r="105" spans="1:45">
      <c r="A105" s="45" t="str">
        <f>Volcanic!A105</f>
        <v>10/1966</v>
      </c>
      <c r="B105" s="43">
        <f>Volcanic!B105</f>
        <v>-0.16999999999999638</v>
      </c>
      <c r="C105" s="47">
        <f>Volcanic!C105</f>
        <v>0.18405354470718463</v>
      </c>
      <c r="D105" s="41">
        <v>-0.1</v>
      </c>
      <c r="E105" s="43">
        <f t="shared" si="26"/>
        <v>0.3</v>
      </c>
      <c r="F105" s="48">
        <v>6.8799999999999998E-3</v>
      </c>
      <c r="G105" s="47">
        <f t="shared" si="27"/>
        <v>6.5900000000000004E-3</v>
      </c>
      <c r="H105" s="43">
        <f>Volcanic!D105</f>
        <v>0.25</v>
      </c>
      <c r="I105" s="47">
        <f>Volcanic!E105</f>
        <v>6.5900000000000004E-3</v>
      </c>
      <c r="K105" s="47">
        <f t="shared" si="14"/>
        <v>0.18405354470718463</v>
      </c>
      <c r="L105" s="47">
        <f t="shared" si="15"/>
        <v>0.3</v>
      </c>
      <c r="M105" s="47">
        <f t="shared" si="16"/>
        <v>6.5900000000000004E-3</v>
      </c>
      <c r="O105" s="47">
        <f t="shared" si="17"/>
        <v>0.18405354470718463</v>
      </c>
      <c r="P105" s="47">
        <f t="shared" si="18"/>
        <v>0.25</v>
      </c>
      <c r="Q105" s="47">
        <f t="shared" si="19"/>
        <v>6.5900000000000004E-3</v>
      </c>
      <c r="S105" s="47">
        <f t="shared" si="20"/>
        <v>0.18405354470718463</v>
      </c>
      <c r="T105" s="47">
        <f t="shared" si="21"/>
        <v>0.3</v>
      </c>
      <c r="U105" s="47">
        <f t="shared" si="22"/>
        <v>6.5900000000000004E-3</v>
      </c>
      <c r="W105" s="47">
        <f t="shared" si="23"/>
        <v>-0.12481482103193695</v>
      </c>
      <c r="X105" s="47">
        <f t="shared" si="24"/>
        <v>-0.12179342651393726</v>
      </c>
      <c r="Y105" s="47">
        <f t="shared" si="25"/>
        <v>-0.12625232174732334</v>
      </c>
      <c r="AP105" s="48">
        <v>-0.15609999999999999</v>
      </c>
      <c r="AQ105" s="48">
        <v>-0.17530000000000001</v>
      </c>
      <c r="AR105" s="47">
        <f>IF(AP105="","",AP105-($AC$60+$AC$61*Volcanic!C105+$AC$62*Volcanic!D105+$AC$63*Volcanic!E105))</f>
        <v>-9.7815580044607095E-2</v>
      </c>
      <c r="AS105" s="47">
        <f>IF(AQ105="","",AQ105-($AD$60+$AD$61*Volcanic!C105+$AD$62*Volcanic!D105+$AD$63*Volcanic!E105))</f>
        <v>-0.12171374068560642</v>
      </c>
    </row>
    <row r="106" spans="1:45">
      <c r="A106" s="45" t="str">
        <f>Volcanic!A106</f>
        <v>11/1966</v>
      </c>
      <c r="B106" s="43">
        <f>Volcanic!B106</f>
        <v>-9.9999999999980105E-3</v>
      </c>
      <c r="C106" s="47">
        <f>Volcanic!C106</f>
        <v>0.19165288399602148</v>
      </c>
      <c r="D106" s="41">
        <v>-0.2</v>
      </c>
      <c r="E106" s="43">
        <f t="shared" si="26"/>
        <v>0.1</v>
      </c>
      <c r="F106" s="48">
        <v>6.6100000000000004E-3</v>
      </c>
      <c r="G106" s="47">
        <f t="shared" si="27"/>
        <v>6.28E-3</v>
      </c>
      <c r="H106" s="43">
        <f>Volcanic!D106</f>
        <v>0.13</v>
      </c>
      <c r="I106" s="47">
        <f>Volcanic!E106</f>
        <v>6.28E-3</v>
      </c>
      <c r="K106" s="47">
        <f t="shared" si="14"/>
        <v>0.19165288399602148</v>
      </c>
      <c r="L106" s="47">
        <f t="shared" si="15"/>
        <v>0.1</v>
      </c>
      <c r="M106" s="47">
        <f t="shared" si="16"/>
        <v>6.28E-3</v>
      </c>
      <c r="O106" s="47">
        <f t="shared" si="17"/>
        <v>0.19165288399602148</v>
      </c>
      <c r="P106" s="47">
        <f t="shared" si="18"/>
        <v>0.13</v>
      </c>
      <c r="Q106" s="47">
        <f t="shared" si="19"/>
        <v>6.28E-3</v>
      </c>
      <c r="S106" s="47">
        <f t="shared" si="20"/>
        <v>0.19165288399602148</v>
      </c>
      <c r="T106" s="47">
        <f t="shared" si="21"/>
        <v>0.1</v>
      </c>
      <c r="U106" s="47">
        <f t="shared" si="22"/>
        <v>6.28E-3</v>
      </c>
      <c r="W106" s="47">
        <f t="shared" si="23"/>
        <v>3.2352206623714269E-2</v>
      </c>
      <c r="X106" s="47">
        <f t="shared" si="24"/>
        <v>2.8123549993784705E-2</v>
      </c>
      <c r="Y106" s="47">
        <f t="shared" si="25"/>
        <v>3.1195882226048535E-2</v>
      </c>
      <c r="AP106" s="48">
        <v>-2.8799999999999999E-2</v>
      </c>
      <c r="AQ106" s="48">
        <v>-4.4299999999999999E-2</v>
      </c>
      <c r="AR106" s="47">
        <f>IF(AP106="","",AP106-($AC$60+$AC$61*Volcanic!C106+$AC$62*Volcanic!D106+$AC$63*Volcanic!E106))</f>
        <v>1.922509263739601E-2</v>
      </c>
      <c r="AS106" s="47">
        <f>IF(AQ106="","",AQ106-($AD$60+$AD$61*Volcanic!C106+$AD$62*Volcanic!D106+$AD$63*Volcanic!E106))</f>
        <v>-1.2409659604372195E-3</v>
      </c>
    </row>
    <row r="107" spans="1:45">
      <c r="A107" s="45" t="str">
        <f>Volcanic!A107</f>
        <v>12/1966</v>
      </c>
      <c r="B107" s="43">
        <f>Volcanic!B107</f>
        <v>-2.9999999999999361E-2</v>
      </c>
      <c r="C107" s="47">
        <f>Volcanic!C107</f>
        <v>0.19723635491870628</v>
      </c>
      <c r="D107" s="41">
        <v>-0.3</v>
      </c>
      <c r="E107" s="43">
        <f t="shared" si="26"/>
        <v>-0.1</v>
      </c>
      <c r="F107" s="48">
        <v>6.3E-3</v>
      </c>
      <c r="G107" s="47">
        <f t="shared" si="27"/>
        <v>6.5799999999999999E-3</v>
      </c>
      <c r="H107" s="43">
        <f>Volcanic!D107</f>
        <v>-0.09</v>
      </c>
      <c r="I107" s="47">
        <f>Volcanic!E107</f>
        <v>6.5799999999999999E-3</v>
      </c>
      <c r="K107" s="47">
        <f t="shared" si="14"/>
        <v>0.19723635491870628</v>
      </c>
      <c r="L107" s="47">
        <f t="shared" si="15"/>
        <v>-0.1</v>
      </c>
      <c r="M107" s="47">
        <f t="shared" si="16"/>
        <v>6.5799999999999999E-3</v>
      </c>
      <c r="O107" s="47">
        <f t="shared" si="17"/>
        <v>0.19723635491870628</v>
      </c>
      <c r="P107" s="47">
        <f t="shared" si="18"/>
        <v>-0.09</v>
      </c>
      <c r="Q107" s="47">
        <f t="shared" si="19"/>
        <v>6.5799999999999999E-3</v>
      </c>
      <c r="S107" s="47">
        <f t="shared" si="20"/>
        <v>0.19723635491870628</v>
      </c>
      <c r="T107" s="47">
        <f t="shared" si="21"/>
        <v>-0.1</v>
      </c>
      <c r="U107" s="47">
        <f t="shared" si="22"/>
        <v>6.5799999999999999E-3</v>
      </c>
      <c r="W107" s="47">
        <f t="shared" si="23"/>
        <v>1.6360961125089592E-2</v>
      </c>
      <c r="X107" s="47">
        <f t="shared" si="24"/>
        <v>1.4477982658807093E-2</v>
      </c>
      <c r="Y107" s="47">
        <f t="shared" si="25"/>
        <v>1.5689193925391622E-2</v>
      </c>
      <c r="AP107" s="48">
        <v>-6.2300000000000001E-2</v>
      </c>
      <c r="AQ107" s="48">
        <v>-2.0299999999999999E-2</v>
      </c>
      <c r="AR107" s="47">
        <f>IF(AP107="","",AP107-($AC$60+$AC$61*Volcanic!C107+$AC$62*Volcanic!D107+$AC$63*Volcanic!E107))</f>
        <v>-8.1973959098377777E-3</v>
      </c>
      <c r="AS107" s="47">
        <f>IF(AQ107="","",AQ107-($AD$60+$AD$61*Volcanic!C107+$AD$62*Volcanic!D107+$AD$63*Volcanic!E107))</f>
        <v>2.8831590026475701E-2</v>
      </c>
    </row>
    <row r="108" spans="1:45">
      <c r="A108" s="45" t="str">
        <f>Volcanic!A108</f>
        <v>1/1967</v>
      </c>
      <c r="B108" s="43">
        <f>Volcanic!B108</f>
        <v>-8.0000000000001847E-2</v>
      </c>
      <c r="C108" s="47">
        <f>Volcanic!C108</f>
        <v>0.20311164244670007</v>
      </c>
      <c r="D108" s="41">
        <v>-0.5</v>
      </c>
      <c r="E108" s="43">
        <f t="shared" si="26"/>
        <v>-0.1</v>
      </c>
      <c r="F108" s="48">
        <v>6.0000000000000001E-3</v>
      </c>
      <c r="G108" s="47">
        <f t="shared" si="27"/>
        <v>6.6E-3</v>
      </c>
      <c r="H108" s="43">
        <f>Volcanic!D108</f>
        <v>-0.12</v>
      </c>
      <c r="I108" s="47">
        <f>Volcanic!E108</f>
        <v>6.6E-3</v>
      </c>
      <c r="K108" s="47">
        <f t="shared" si="14"/>
        <v>0.20311164244670007</v>
      </c>
      <c r="L108" s="47">
        <f t="shared" si="15"/>
        <v>-0.1</v>
      </c>
      <c r="M108" s="47">
        <f t="shared" si="16"/>
        <v>6.6E-3</v>
      </c>
      <c r="O108" s="47">
        <f t="shared" si="17"/>
        <v>0.20311164244670007</v>
      </c>
      <c r="P108" s="47">
        <f t="shared" si="18"/>
        <v>-0.12</v>
      </c>
      <c r="Q108" s="47">
        <f t="shared" si="19"/>
        <v>6.6E-3</v>
      </c>
      <c r="S108" s="47">
        <f t="shared" si="20"/>
        <v>0.20311164244670007</v>
      </c>
      <c r="T108" s="47">
        <f t="shared" si="21"/>
        <v>-0.1</v>
      </c>
      <c r="U108" s="47">
        <f t="shared" si="22"/>
        <v>6.6E-3</v>
      </c>
      <c r="W108" s="47">
        <f t="shared" si="23"/>
        <v>-4.9617762149552075E-2</v>
      </c>
      <c r="X108" s="47">
        <f t="shared" si="24"/>
        <v>-4.8535979403597163E-2</v>
      </c>
      <c r="Y108" s="47">
        <f t="shared" si="25"/>
        <v>-5.0141013398182804E-2</v>
      </c>
      <c r="AP108" s="48">
        <v>-0.14199999999999999</v>
      </c>
      <c r="AQ108" s="48">
        <v>-0.1003</v>
      </c>
      <c r="AR108" s="47">
        <f>IF(AP108="","",AP108-($AC$60+$AC$61*Volcanic!C108+$AC$62*Volcanic!D108+$AC$63*Volcanic!E108))</f>
        <v>-0.10108302654961734</v>
      </c>
      <c r="AS108" s="47">
        <f>IF(AQ108="","",AQ108-($AD$60+$AD$61*Volcanic!C108+$AD$62*Volcanic!D108+$AD$63*Volcanic!E108))</f>
        <v>-6.4711723381721431E-2</v>
      </c>
    </row>
    <row r="109" spans="1:45">
      <c r="A109" s="45" t="str">
        <f>Volcanic!A109</f>
        <v>2/1967</v>
      </c>
      <c r="B109" s="43">
        <f>Volcanic!B109</f>
        <v>-0.20999999999999908</v>
      </c>
      <c r="C109" s="47">
        <f>Volcanic!C109</f>
        <v>0.20387233336564989</v>
      </c>
      <c r="D109" s="41">
        <v>-0.5</v>
      </c>
      <c r="E109" s="43">
        <f t="shared" si="26"/>
        <v>-0.2</v>
      </c>
      <c r="F109" s="48">
        <v>5.6800000000000002E-3</v>
      </c>
      <c r="G109" s="47">
        <f t="shared" si="27"/>
        <v>6.4799999999999996E-3</v>
      </c>
      <c r="H109" s="43">
        <f>Volcanic!D109</f>
        <v>-0.23</v>
      </c>
      <c r="I109" s="47">
        <f>Volcanic!E109</f>
        <v>6.4799999999999996E-3</v>
      </c>
      <c r="K109" s="47">
        <f t="shared" si="14"/>
        <v>0.20387233336564989</v>
      </c>
      <c r="L109" s="47">
        <f t="shared" si="15"/>
        <v>-0.2</v>
      </c>
      <c r="M109" s="47">
        <f t="shared" si="16"/>
        <v>6.4799999999999996E-3</v>
      </c>
      <c r="O109" s="47">
        <f t="shared" si="17"/>
        <v>0.20387233336564989</v>
      </c>
      <c r="P109" s="47">
        <f t="shared" si="18"/>
        <v>-0.23</v>
      </c>
      <c r="Q109" s="47">
        <f t="shared" si="19"/>
        <v>6.4799999999999996E-3</v>
      </c>
      <c r="S109" s="47">
        <f t="shared" si="20"/>
        <v>0.20387233336564989</v>
      </c>
      <c r="T109" s="47">
        <f t="shared" si="21"/>
        <v>-0.2</v>
      </c>
      <c r="U109" s="47">
        <f t="shared" si="22"/>
        <v>6.4799999999999996E-3</v>
      </c>
      <c r="W109" s="47">
        <f t="shared" si="23"/>
        <v>-0.17266937235946678</v>
      </c>
      <c r="X109" s="47">
        <f t="shared" si="24"/>
        <v>-0.17057311726996749</v>
      </c>
      <c r="Y109" s="47">
        <f t="shared" si="25"/>
        <v>-0.17311015882195285</v>
      </c>
      <c r="AP109" s="48">
        <v>-0.24979999999999999</v>
      </c>
      <c r="AQ109" s="48">
        <v>-0.24429999999999999</v>
      </c>
      <c r="AR109" s="47">
        <f>IF(AP109="","",AP109-($AC$60+$AC$61*Volcanic!C109+$AC$62*Volcanic!D109+$AC$63*Volcanic!E109))</f>
        <v>-0.20094795823164838</v>
      </c>
      <c r="AS109" s="47">
        <f>IF(AQ109="","",AQ109-($AD$60+$AD$61*Volcanic!C109+$AD$62*Volcanic!D109+$AD$63*Volcanic!E109))</f>
        <v>-0.2006051034802479</v>
      </c>
    </row>
    <row r="110" spans="1:45">
      <c r="A110" s="45" t="str">
        <f>Volcanic!A110</f>
        <v>3/1967</v>
      </c>
      <c r="B110" s="43">
        <f>Volcanic!B110</f>
        <v>5.0000000000004263E-2</v>
      </c>
      <c r="C110" s="47">
        <f>Volcanic!C110</f>
        <v>0.20624132797002478</v>
      </c>
      <c r="D110" s="41">
        <v>-0.5</v>
      </c>
      <c r="E110" s="43">
        <f t="shared" si="26"/>
        <v>-0.3</v>
      </c>
      <c r="F110" s="48">
        <v>5.4299999999999999E-3</v>
      </c>
      <c r="G110" s="47">
        <f t="shared" si="27"/>
        <v>6.5500000000000003E-3</v>
      </c>
      <c r="H110" s="43">
        <f>Volcanic!D110</f>
        <v>-0.35</v>
      </c>
      <c r="I110" s="47">
        <f>Volcanic!E110</f>
        <v>6.5500000000000003E-3</v>
      </c>
      <c r="K110" s="47">
        <f t="shared" si="14"/>
        <v>0.20624132797002478</v>
      </c>
      <c r="L110" s="47">
        <f t="shared" si="15"/>
        <v>-0.3</v>
      </c>
      <c r="M110" s="47">
        <f t="shared" si="16"/>
        <v>6.5500000000000003E-3</v>
      </c>
      <c r="O110" s="47">
        <f t="shared" si="17"/>
        <v>0.20624132797002478</v>
      </c>
      <c r="P110" s="47">
        <f t="shared" si="18"/>
        <v>-0.35</v>
      </c>
      <c r="Q110" s="47">
        <f t="shared" si="19"/>
        <v>6.5500000000000003E-3</v>
      </c>
      <c r="S110" s="47">
        <f t="shared" si="20"/>
        <v>0.20624132797002478</v>
      </c>
      <c r="T110" s="47">
        <f t="shared" si="21"/>
        <v>-0.3</v>
      </c>
      <c r="U110" s="47">
        <f t="shared" si="22"/>
        <v>6.5500000000000003E-3</v>
      </c>
      <c r="W110" s="47">
        <f t="shared" si="23"/>
        <v>9.0311600861260444E-2</v>
      </c>
      <c r="X110" s="47">
        <f t="shared" si="24"/>
        <v>9.4477353927846966E-2</v>
      </c>
      <c r="Y110" s="47">
        <f t="shared" si="25"/>
        <v>9.007001549533511E-2</v>
      </c>
      <c r="AP110" s="48">
        <v>-1.8800000000000001E-2</v>
      </c>
      <c r="AQ110" s="48">
        <v>2.9700000000000001E-2</v>
      </c>
      <c r="AR110" s="47">
        <f>IF(AP110="","",AP110-($AC$60+$AC$61*Volcanic!C110+$AC$62*Volcanic!D110+$AC$63*Volcanic!E110))</f>
        <v>3.4989092090125962E-2</v>
      </c>
      <c r="AS110" s="47">
        <f>IF(AQ110="","",AQ110-($AD$60+$AD$61*Volcanic!C110+$AD$62*Volcanic!D110+$AD$63*Volcanic!E110))</f>
        <v>7.838764115798029E-2</v>
      </c>
    </row>
    <row r="111" spans="1:45">
      <c r="A111" s="45" t="str">
        <f>Volcanic!A111</f>
        <v>4/1967</v>
      </c>
      <c r="B111" s="43">
        <f>Volcanic!B111</f>
        <v>-5.0000000000000711E-2</v>
      </c>
      <c r="C111" s="47">
        <f>Volcanic!C111</f>
        <v>0.21239146441962328</v>
      </c>
      <c r="D111" s="41">
        <v>-0.4</v>
      </c>
      <c r="E111" s="43">
        <f t="shared" si="26"/>
        <v>-0.5</v>
      </c>
      <c r="F111" s="48">
        <v>5.2900000000000004E-3</v>
      </c>
      <c r="G111" s="47">
        <f t="shared" si="27"/>
        <v>6.9100000000000003E-3</v>
      </c>
      <c r="H111" s="43">
        <f>Volcanic!D111</f>
        <v>-0.46</v>
      </c>
      <c r="I111" s="47">
        <f>Volcanic!E111</f>
        <v>6.9100000000000003E-3</v>
      </c>
      <c r="K111" s="47">
        <f t="shared" si="14"/>
        <v>0.21239146441962328</v>
      </c>
      <c r="L111" s="47">
        <f t="shared" si="15"/>
        <v>-0.5</v>
      </c>
      <c r="M111" s="47">
        <f t="shared" si="16"/>
        <v>6.9100000000000003E-3</v>
      </c>
      <c r="O111" s="47">
        <f t="shared" si="17"/>
        <v>0.21239146441962328</v>
      </c>
      <c r="P111" s="47">
        <f t="shared" si="18"/>
        <v>-0.46</v>
      </c>
      <c r="Q111" s="47">
        <f t="shared" si="19"/>
        <v>6.9100000000000003E-3</v>
      </c>
      <c r="S111" s="47">
        <f t="shared" si="20"/>
        <v>0.21239146441962328</v>
      </c>
      <c r="T111" s="47">
        <f t="shared" si="21"/>
        <v>-0.5</v>
      </c>
      <c r="U111" s="47">
        <f t="shared" si="22"/>
        <v>6.9100000000000003E-3</v>
      </c>
      <c r="W111" s="47">
        <f t="shared" si="23"/>
        <v>-7.0928153547180767E-3</v>
      </c>
      <c r="X111" s="47">
        <f t="shared" si="24"/>
        <v>-1.0876453380279621E-2</v>
      </c>
      <c r="Y111" s="47">
        <f t="shared" si="25"/>
        <v>-6.8115760758082275E-3</v>
      </c>
      <c r="AP111" s="48">
        <v>-5.6300000000000003E-2</v>
      </c>
      <c r="AQ111" s="48">
        <v>-5.3E-3</v>
      </c>
      <c r="AR111" s="47">
        <f>IF(AP111="","",AP111-($AC$60+$AC$61*Volcanic!C111+$AC$62*Volcanic!D111+$AC$63*Volcanic!E111))</f>
        <v>-8.1373270473991954E-3</v>
      </c>
      <c r="AS111" s="47">
        <f>IF(AQ111="","",AQ111-($AD$60+$AD$61*Volcanic!C111+$AD$62*Volcanic!D111+$AD$63*Volcanic!E111))</f>
        <v>3.7498372801522517E-2</v>
      </c>
    </row>
    <row r="112" spans="1:45">
      <c r="A112" s="45" t="str">
        <f>Volcanic!A112</f>
        <v>5/1967</v>
      </c>
      <c r="B112" s="43">
        <f>Volcanic!B112</f>
        <v>0.11999999999999744</v>
      </c>
      <c r="C112" s="47">
        <f>Volcanic!C112</f>
        <v>0.21501289097085052</v>
      </c>
      <c r="D112" s="41">
        <v>-0.1</v>
      </c>
      <c r="E112" s="43">
        <f t="shared" si="26"/>
        <v>-0.5</v>
      </c>
      <c r="F112" s="48">
        <v>5.1799999999999997E-3</v>
      </c>
      <c r="G112" s="47">
        <f t="shared" si="27"/>
        <v>6.8799999999999998E-3</v>
      </c>
      <c r="H112" s="43">
        <f>Volcanic!D112</f>
        <v>-0.48</v>
      </c>
      <c r="I112" s="47">
        <f>Volcanic!E112</f>
        <v>6.8799999999999998E-3</v>
      </c>
      <c r="K112" s="47">
        <f t="shared" si="14"/>
        <v>0.21501289097085052</v>
      </c>
      <c r="L112" s="47">
        <f t="shared" si="15"/>
        <v>-0.5</v>
      </c>
      <c r="M112" s="47">
        <f t="shared" si="16"/>
        <v>6.8799999999999998E-3</v>
      </c>
      <c r="O112" s="47">
        <f t="shared" si="17"/>
        <v>0.21501289097085052</v>
      </c>
      <c r="P112" s="47">
        <f t="shared" si="18"/>
        <v>-0.48</v>
      </c>
      <c r="Q112" s="47">
        <f t="shared" si="19"/>
        <v>6.8799999999999998E-3</v>
      </c>
      <c r="S112" s="47">
        <f t="shared" si="20"/>
        <v>0.21501289097085052</v>
      </c>
      <c r="T112" s="47">
        <f t="shared" si="21"/>
        <v>-0.5</v>
      </c>
      <c r="U112" s="47">
        <f t="shared" si="22"/>
        <v>6.8799999999999998E-3</v>
      </c>
      <c r="W112" s="47">
        <f t="shared" si="23"/>
        <v>0.15569205396129701</v>
      </c>
      <c r="X112" s="47">
        <f t="shared" si="24"/>
        <v>0.15383665456114162</v>
      </c>
      <c r="Y112" s="47">
        <f t="shared" si="25"/>
        <v>0.15602350929625158</v>
      </c>
      <c r="AP112" s="48">
        <v>0.13669999999999999</v>
      </c>
      <c r="AQ112" s="48">
        <v>0.19670000000000001</v>
      </c>
      <c r="AR112" s="47">
        <f>IF(AP112="","",AP112-($AC$60+$AC$61*Volcanic!C112+$AC$62*Volcanic!D112+$AC$63*Volcanic!E112))</f>
        <v>0.17950530040826213</v>
      </c>
      <c r="AS112" s="47">
        <f>IF(AQ112="","",AQ112-($AD$60+$AD$61*Volcanic!C112+$AD$62*Volcanic!D112+$AD$63*Volcanic!E112))</f>
        <v>0.23399861402113514</v>
      </c>
    </row>
    <row r="113" spans="1:45">
      <c r="A113" s="45" t="str">
        <f>Volcanic!A113</f>
        <v>6/1967</v>
      </c>
      <c r="B113" s="43">
        <f>Volcanic!B113</f>
        <v>-8.0000000000001847E-2</v>
      </c>
      <c r="C113" s="47">
        <f>Volcanic!C113</f>
        <v>0.21096767891290158</v>
      </c>
      <c r="D113" s="41">
        <v>0.1</v>
      </c>
      <c r="E113" s="43">
        <f t="shared" si="26"/>
        <v>-0.5</v>
      </c>
      <c r="F113" s="48">
        <v>5.11E-3</v>
      </c>
      <c r="G113" s="47">
        <f t="shared" si="27"/>
        <v>6.6100000000000004E-3</v>
      </c>
      <c r="H113" s="43">
        <f>Volcanic!D113</f>
        <v>-0.5</v>
      </c>
      <c r="I113" s="47">
        <f>Volcanic!E113</f>
        <v>6.6100000000000004E-3</v>
      </c>
      <c r="K113" s="47">
        <f t="shared" si="14"/>
        <v>0.21096767891290158</v>
      </c>
      <c r="L113" s="47">
        <f t="shared" si="15"/>
        <v>-0.5</v>
      </c>
      <c r="M113" s="47">
        <f t="shared" si="16"/>
        <v>6.6100000000000004E-3</v>
      </c>
      <c r="O113" s="47">
        <f t="shared" si="17"/>
        <v>0.21096767891290158</v>
      </c>
      <c r="P113" s="47">
        <f t="shared" si="18"/>
        <v>-0.5</v>
      </c>
      <c r="Q113" s="47">
        <f t="shared" si="19"/>
        <v>6.6100000000000004E-3</v>
      </c>
      <c r="S113" s="47">
        <f t="shared" si="20"/>
        <v>0.21096767891290158</v>
      </c>
      <c r="T113" s="47">
        <f t="shared" si="21"/>
        <v>-0.5</v>
      </c>
      <c r="U113" s="47">
        <f t="shared" si="22"/>
        <v>6.6100000000000004E-3</v>
      </c>
      <c r="W113" s="47">
        <f t="shared" si="23"/>
        <v>-3.3870995395994336E-2</v>
      </c>
      <c r="X113" s="47">
        <f t="shared" si="24"/>
        <v>-3.4053515429588052E-2</v>
      </c>
      <c r="Y113" s="47">
        <f t="shared" si="25"/>
        <v>-3.3747441187802124E-2</v>
      </c>
      <c r="AP113" s="48">
        <v>-3.27E-2</v>
      </c>
      <c r="AQ113" s="48">
        <v>-1.83E-2</v>
      </c>
      <c r="AR113" s="47">
        <f>IF(AP113="","",AP113-($AC$60+$AC$61*Volcanic!C113+$AC$62*Volcanic!D113+$AC$63*Volcanic!E113))</f>
        <v>2.2374417145645843E-2</v>
      </c>
      <c r="AS113" s="47">
        <f>IF(AQ113="","",AQ113-($AD$60+$AD$61*Volcanic!C113+$AD$62*Volcanic!D113+$AD$63*Volcanic!E113))</f>
        <v>3.1621709787580929E-2</v>
      </c>
    </row>
    <row r="114" spans="1:45">
      <c r="A114" s="45" t="str">
        <f>Volcanic!A114</f>
        <v>7/1967</v>
      </c>
      <c r="B114" s="43">
        <f>Volcanic!B114</f>
        <v>2.0000000000003126E-2</v>
      </c>
      <c r="C114" s="47">
        <f>Volcanic!C114</f>
        <v>0.20405126118938038</v>
      </c>
      <c r="D114" s="41">
        <v>0</v>
      </c>
      <c r="E114" s="43">
        <f t="shared" si="26"/>
        <v>-0.4</v>
      </c>
      <c r="F114" s="48">
        <v>5.0600000000000003E-3</v>
      </c>
      <c r="G114" s="47">
        <f t="shared" si="27"/>
        <v>6.3E-3</v>
      </c>
      <c r="H114" s="43">
        <f>Volcanic!D114</f>
        <v>-0.37</v>
      </c>
      <c r="I114" s="47">
        <f>Volcanic!E114</f>
        <v>6.3E-3</v>
      </c>
      <c r="K114" s="47">
        <f t="shared" si="14"/>
        <v>0.20405126118938038</v>
      </c>
      <c r="L114" s="47">
        <f t="shared" si="15"/>
        <v>-0.4</v>
      </c>
      <c r="M114" s="47">
        <f t="shared" si="16"/>
        <v>6.3E-3</v>
      </c>
      <c r="O114" s="47">
        <f t="shared" si="17"/>
        <v>0.20405126118938038</v>
      </c>
      <c r="P114" s="47">
        <f t="shared" si="18"/>
        <v>-0.37</v>
      </c>
      <c r="Q114" s="47">
        <f t="shared" si="19"/>
        <v>6.3E-3</v>
      </c>
      <c r="S114" s="47">
        <f t="shared" si="20"/>
        <v>0.20405126118938038</v>
      </c>
      <c r="T114" s="47">
        <f t="shared" si="21"/>
        <v>-0.4</v>
      </c>
      <c r="U114" s="47">
        <f t="shared" si="22"/>
        <v>6.3E-3</v>
      </c>
      <c r="W114" s="47">
        <f t="shared" si="23"/>
        <v>7.5020692962409194E-2</v>
      </c>
      <c r="X114" s="47">
        <f t="shared" si="24"/>
        <v>7.1623907596929701E-2</v>
      </c>
      <c r="Y114" s="47">
        <f t="shared" si="25"/>
        <v>7.4737524176756137E-2</v>
      </c>
      <c r="AP114" s="48">
        <v>8.6E-3</v>
      </c>
      <c r="AQ114" s="48">
        <v>7.7000000000000002E-3</v>
      </c>
      <c r="AR114" s="47">
        <f>IF(AP114="","",AP114-($AC$60+$AC$61*Volcanic!C114+$AC$62*Volcanic!D114+$AC$63*Volcanic!E114))</f>
        <v>6.9640658122435375E-2</v>
      </c>
      <c r="AS114" s="47">
        <f>IF(AQ114="","",AQ114-($AD$60+$AD$61*Volcanic!C114+$AD$62*Volcanic!D114+$AD$63*Volcanic!E114))</f>
        <v>6.3860481025443505E-2</v>
      </c>
    </row>
    <row r="115" spans="1:45">
      <c r="A115" s="45" t="str">
        <f>Volcanic!A115</f>
        <v>8/1967</v>
      </c>
      <c r="B115" s="43">
        <f>Volcanic!B115</f>
        <v>1.0000000000001563E-2</v>
      </c>
      <c r="C115" s="47">
        <f>Volcanic!C115</f>
        <v>0.1967868752001786</v>
      </c>
      <c r="D115" s="41">
        <v>-0.3</v>
      </c>
      <c r="E115" s="43">
        <f t="shared" si="26"/>
        <v>-0.1</v>
      </c>
      <c r="F115" s="48">
        <v>5.0499999999999998E-3</v>
      </c>
      <c r="G115" s="47">
        <f t="shared" si="27"/>
        <v>6.0000000000000001E-3</v>
      </c>
      <c r="H115" s="43">
        <f>Volcanic!D115</f>
        <v>-0.15</v>
      </c>
      <c r="I115" s="47">
        <f>Volcanic!E115</f>
        <v>6.0000000000000001E-3</v>
      </c>
      <c r="K115" s="47">
        <f t="shared" si="14"/>
        <v>0.1967868752001786</v>
      </c>
      <c r="L115" s="47">
        <f t="shared" si="15"/>
        <v>-0.1</v>
      </c>
      <c r="M115" s="47">
        <f t="shared" si="16"/>
        <v>6.0000000000000001E-3</v>
      </c>
      <c r="O115" s="47">
        <f t="shared" si="17"/>
        <v>0.1967868752001786</v>
      </c>
      <c r="P115" s="47">
        <f t="shared" si="18"/>
        <v>-0.15</v>
      </c>
      <c r="Q115" s="47">
        <f t="shared" si="19"/>
        <v>6.0000000000000001E-3</v>
      </c>
      <c r="S115" s="47">
        <f t="shared" si="20"/>
        <v>0.1967868752001786</v>
      </c>
      <c r="T115" s="47">
        <f t="shared" si="21"/>
        <v>-0.1</v>
      </c>
      <c r="U115" s="47">
        <f t="shared" si="22"/>
        <v>6.0000000000000001E-3</v>
      </c>
      <c r="W115" s="47">
        <f t="shared" si="23"/>
        <v>5.6308715483163116E-2</v>
      </c>
      <c r="X115" s="47">
        <f t="shared" si="24"/>
        <v>5.9813961217927286E-2</v>
      </c>
      <c r="Y115" s="47">
        <f t="shared" si="25"/>
        <v>5.5387077648069064E-2</v>
      </c>
      <c r="AP115" s="48">
        <v>-2.23E-2</v>
      </c>
      <c r="AQ115" s="48">
        <v>-2.23E-2</v>
      </c>
      <c r="AR115" s="47">
        <f>IF(AP115="","",AP115-($AC$60+$AC$61*Volcanic!C115+$AC$62*Volcanic!D115+$AC$63*Volcanic!E115))</f>
        <v>3.7253066956501629E-2</v>
      </c>
      <c r="AS115" s="47">
        <f>IF(AQ115="","",AQ115-($AD$60+$AD$61*Volcanic!C115+$AD$62*Volcanic!D115+$AD$63*Volcanic!E115))</f>
        <v>3.2495987915540342E-2</v>
      </c>
    </row>
    <row r="116" spans="1:45">
      <c r="A116" s="45" t="str">
        <f>Volcanic!A116</f>
        <v>9/1967</v>
      </c>
      <c r="B116" s="43">
        <f>Volcanic!B116</f>
        <v>-6.0000000000000497E-2</v>
      </c>
      <c r="C116" s="47">
        <f>Volcanic!C116</f>
        <v>0.18925979275775742</v>
      </c>
      <c r="D116" s="41">
        <v>-0.4</v>
      </c>
      <c r="E116" s="43">
        <f t="shared" si="26"/>
        <v>0.1</v>
      </c>
      <c r="F116" s="48">
        <v>5.0200000000000002E-3</v>
      </c>
      <c r="G116" s="47">
        <f t="shared" si="27"/>
        <v>5.6800000000000002E-3</v>
      </c>
      <c r="H116" s="43">
        <f>Volcanic!D116</f>
        <v>0.05</v>
      </c>
      <c r="I116" s="47">
        <f>Volcanic!E116</f>
        <v>5.6800000000000002E-3</v>
      </c>
      <c r="K116" s="47">
        <f t="shared" si="14"/>
        <v>0.18925979275775742</v>
      </c>
      <c r="L116" s="47">
        <f t="shared" si="15"/>
        <v>0.1</v>
      </c>
      <c r="M116" s="47">
        <f t="shared" si="16"/>
        <v>5.6800000000000002E-3</v>
      </c>
      <c r="O116" s="47">
        <f t="shared" si="17"/>
        <v>0.18925979275775742</v>
      </c>
      <c r="P116" s="47">
        <f t="shared" si="18"/>
        <v>0.05</v>
      </c>
      <c r="Q116" s="47">
        <f t="shared" si="19"/>
        <v>5.6800000000000002E-3</v>
      </c>
      <c r="S116" s="47">
        <f t="shared" si="20"/>
        <v>0.18925979275775742</v>
      </c>
      <c r="T116" s="47">
        <f t="shared" si="21"/>
        <v>0.1</v>
      </c>
      <c r="U116" s="47">
        <f t="shared" si="22"/>
        <v>5.6800000000000002E-3</v>
      </c>
      <c r="W116" s="47">
        <f t="shared" si="23"/>
        <v>-1.2443588240199602E-2</v>
      </c>
      <c r="X116" s="47">
        <f t="shared" si="24"/>
        <v>-9.4592959758647566E-3</v>
      </c>
      <c r="Y116" s="47">
        <f t="shared" si="25"/>
        <v>-1.3904432285758168E-2</v>
      </c>
      <c r="AP116" s="48">
        <v>-4.6699999999999998E-2</v>
      </c>
      <c r="AQ116" s="48">
        <v>-5.4300000000000001E-2</v>
      </c>
      <c r="AR116" s="47">
        <f>IF(AP116="","",AP116-($AC$60+$AC$61*Volcanic!C116+$AC$62*Volcanic!D116+$AC$63*Volcanic!E116))</f>
        <v>1.390757487058563E-2</v>
      </c>
      <c r="AS116" s="47">
        <f>IF(AQ116="","",AQ116-($AD$60+$AD$61*Volcanic!C116+$AD$62*Volcanic!D116+$AD$63*Volcanic!E116))</f>
        <v>1.7327588898021148E-3</v>
      </c>
    </row>
    <row r="117" spans="1:45">
      <c r="A117" s="45" t="str">
        <f>Volcanic!A117</f>
        <v>10/1967</v>
      </c>
      <c r="B117" s="43">
        <f>Volcanic!B117</f>
        <v>8.9999999999999858E-2</v>
      </c>
      <c r="C117" s="47">
        <f>Volcanic!C117</f>
        <v>0.18989231596006176</v>
      </c>
      <c r="D117" s="41">
        <v>-0.4</v>
      </c>
      <c r="E117" s="43">
        <f t="shared" si="26"/>
        <v>0</v>
      </c>
      <c r="F117" s="48">
        <v>5.0000000000000001E-3</v>
      </c>
      <c r="G117" s="47">
        <f t="shared" si="27"/>
        <v>5.4299999999999999E-3</v>
      </c>
      <c r="H117" s="43">
        <f>Volcanic!D117</f>
        <v>-0.02</v>
      </c>
      <c r="I117" s="47">
        <f>Volcanic!E117</f>
        <v>5.4299999999999999E-3</v>
      </c>
      <c r="K117" s="47">
        <f t="shared" si="14"/>
        <v>0.18989231596006176</v>
      </c>
      <c r="L117" s="47">
        <f t="shared" si="15"/>
        <v>0</v>
      </c>
      <c r="M117" s="47">
        <f t="shared" si="16"/>
        <v>5.4299999999999999E-3</v>
      </c>
      <c r="O117" s="47">
        <f t="shared" si="17"/>
        <v>0.18989231596006176</v>
      </c>
      <c r="P117" s="47">
        <f t="shared" si="18"/>
        <v>-0.02</v>
      </c>
      <c r="Q117" s="47">
        <f t="shared" si="19"/>
        <v>5.4299999999999999E-3</v>
      </c>
      <c r="S117" s="47">
        <f t="shared" si="20"/>
        <v>0.18989231596006176</v>
      </c>
      <c r="T117" s="47">
        <f t="shared" si="21"/>
        <v>0</v>
      </c>
      <c r="U117" s="47">
        <f t="shared" si="22"/>
        <v>5.4299999999999999E-3</v>
      </c>
      <c r="W117" s="47">
        <f t="shared" si="23"/>
        <v>0.14456787595879064</v>
      </c>
      <c r="X117" s="47">
        <f t="shared" si="24"/>
        <v>0.1447529725328697</v>
      </c>
      <c r="Y117" s="47">
        <f t="shared" si="25"/>
        <v>0.14313283651835251</v>
      </c>
      <c r="AP117" s="48">
        <v>5.8000000000000003E-2</v>
      </c>
      <c r="AQ117" s="48">
        <v>3.6700000000000003E-2</v>
      </c>
      <c r="AR117" s="47">
        <f>IF(AP117="","",AP117-($AC$60+$AC$61*Volcanic!C117+$AC$62*Volcanic!D117+$AC$63*Volcanic!E117))</f>
        <v>0.12283400890819293</v>
      </c>
      <c r="AS117" s="47">
        <f>IF(AQ117="","",AQ117-($AD$60+$AD$61*Volcanic!C117+$AD$62*Volcanic!D117+$AD$63*Volcanic!E117))</f>
        <v>9.7078043353178212E-2</v>
      </c>
    </row>
    <row r="118" spans="1:45">
      <c r="A118" s="45" t="str">
        <f>Volcanic!A118</f>
        <v>11/1967</v>
      </c>
      <c r="B118" s="43">
        <f>Volcanic!B118</f>
        <v>-5.0000000000000711E-2</v>
      </c>
      <c r="C118" s="47">
        <f>Volcanic!C118</f>
        <v>0.19593247773807179</v>
      </c>
      <c r="D118" s="41">
        <v>-0.4</v>
      </c>
      <c r="E118" s="43">
        <f t="shared" si="26"/>
        <v>-0.3</v>
      </c>
      <c r="F118" s="48">
        <v>4.8399999999999997E-3</v>
      </c>
      <c r="G118" s="47">
        <f t="shared" si="27"/>
        <v>5.2900000000000004E-3</v>
      </c>
      <c r="H118" s="43">
        <f>Volcanic!D118</f>
        <v>-0.26</v>
      </c>
      <c r="I118" s="47">
        <f>Volcanic!E118</f>
        <v>5.2900000000000004E-3</v>
      </c>
      <c r="K118" s="47">
        <f t="shared" si="14"/>
        <v>0.19593247773807179</v>
      </c>
      <c r="L118" s="47">
        <f t="shared" si="15"/>
        <v>-0.3</v>
      </c>
      <c r="M118" s="47">
        <f t="shared" si="16"/>
        <v>5.2900000000000004E-3</v>
      </c>
      <c r="O118" s="47">
        <f t="shared" si="17"/>
        <v>0.19593247773807179</v>
      </c>
      <c r="P118" s="47">
        <f t="shared" si="18"/>
        <v>-0.26</v>
      </c>
      <c r="Q118" s="47">
        <f t="shared" si="19"/>
        <v>5.2900000000000004E-3</v>
      </c>
      <c r="S118" s="47">
        <f t="shared" si="20"/>
        <v>0.19593247773807179</v>
      </c>
      <c r="T118" s="47">
        <f t="shared" si="21"/>
        <v>-0.3</v>
      </c>
      <c r="U118" s="47">
        <f t="shared" si="22"/>
        <v>5.2900000000000004E-3</v>
      </c>
      <c r="W118" s="47">
        <f t="shared" si="23"/>
        <v>1.5648946190561341E-2</v>
      </c>
      <c r="X118" s="47">
        <f t="shared" si="24"/>
        <v>1.0601818192374178E-2</v>
      </c>
      <c r="Y118" s="47">
        <f t="shared" si="25"/>
        <v>1.4641731830667915E-2</v>
      </c>
      <c r="AP118" s="48">
        <v>-4.3400000000000001E-2</v>
      </c>
      <c r="AQ118" s="48">
        <v>-0.1173</v>
      </c>
      <c r="AR118" s="47">
        <f>IF(AP118="","",AP118-($AC$60+$AC$61*Volcanic!C118+$AC$62*Volcanic!D118+$AC$63*Volcanic!E118))</f>
        <v>2.707865051463245E-2</v>
      </c>
      <c r="AS118" s="47">
        <f>IF(AQ118="","",AQ118-($AD$60+$AD$61*Volcanic!C118+$AD$62*Volcanic!D118+$AD$63*Volcanic!E118))</f>
        <v>-5.1225012770225925E-2</v>
      </c>
    </row>
    <row r="119" spans="1:45">
      <c r="A119" s="45" t="str">
        <f>Volcanic!A119</f>
        <v>12/1967</v>
      </c>
      <c r="B119" s="43">
        <f>Volcanic!B119</f>
        <v>-5.0000000000000711E-2</v>
      </c>
      <c r="C119" s="47">
        <f>Volcanic!C119</f>
        <v>0.20145463326198595</v>
      </c>
      <c r="D119" s="41">
        <v>-0.4</v>
      </c>
      <c r="E119" s="43">
        <f t="shared" si="26"/>
        <v>-0.4</v>
      </c>
      <c r="F119" s="48">
        <v>4.6499999999999996E-3</v>
      </c>
      <c r="G119" s="47">
        <f t="shared" si="27"/>
        <v>5.1799999999999997E-3</v>
      </c>
      <c r="H119" s="43">
        <f>Volcanic!D119</f>
        <v>-0.4</v>
      </c>
      <c r="I119" s="47">
        <f>Volcanic!E119</f>
        <v>5.1799999999999997E-3</v>
      </c>
      <c r="K119" s="47">
        <f t="shared" si="14"/>
        <v>0.20145463326198595</v>
      </c>
      <c r="L119" s="47">
        <f t="shared" si="15"/>
        <v>-0.4</v>
      </c>
      <c r="M119" s="47">
        <f t="shared" si="16"/>
        <v>5.1799999999999997E-3</v>
      </c>
      <c r="O119" s="47">
        <f t="shared" si="17"/>
        <v>0.20145463326198595</v>
      </c>
      <c r="P119" s="47">
        <f t="shared" si="18"/>
        <v>-0.4</v>
      </c>
      <c r="Q119" s="47">
        <f t="shared" si="19"/>
        <v>5.1799999999999997E-3</v>
      </c>
      <c r="S119" s="47">
        <f t="shared" si="20"/>
        <v>0.20145463326198595</v>
      </c>
      <c r="T119" s="47">
        <f t="shared" si="21"/>
        <v>-0.4</v>
      </c>
      <c r="U119" s="47">
        <f t="shared" si="22"/>
        <v>5.1799999999999997E-3</v>
      </c>
      <c r="W119" s="47">
        <f t="shared" si="23"/>
        <v>9.6341402835486978E-3</v>
      </c>
      <c r="X119" s="47">
        <f t="shared" si="24"/>
        <v>8.5358987482207077E-3</v>
      </c>
      <c r="Y119" s="47">
        <f t="shared" si="25"/>
        <v>8.8271915608102505E-3</v>
      </c>
      <c r="AP119" s="48">
        <v>-7.5999999999999998E-2</v>
      </c>
      <c r="AQ119" s="48">
        <v>-2.7300000000000001E-2</v>
      </c>
      <c r="AR119" s="47">
        <f>IF(AP119="","",AP119-($AC$60+$AC$61*Volcanic!C119+$AC$62*Volcanic!D119+$AC$63*Volcanic!E119))</f>
        <v>-7.7545599205140481E-3</v>
      </c>
      <c r="AS119" s="47">
        <f>IF(AQ119="","",AQ119-($AD$60+$AD$61*Volcanic!C119+$AD$62*Volcanic!D119+$AD$63*Volcanic!E119))</f>
        <v>3.643508874970447E-2</v>
      </c>
    </row>
    <row r="120" spans="1:45">
      <c r="A120" s="45" t="str">
        <f>Volcanic!A120</f>
        <v>1/1968</v>
      </c>
      <c r="B120" s="43">
        <f>Volcanic!B120</f>
        <v>-0.25999999999999979</v>
      </c>
      <c r="C120" s="47">
        <f>Volcanic!C120</f>
        <v>0.20418544249569365</v>
      </c>
      <c r="D120" s="41">
        <v>-0.6</v>
      </c>
      <c r="E120" s="43">
        <f t="shared" si="26"/>
        <v>-0.4</v>
      </c>
      <c r="F120" s="48">
        <v>4.4999999999999997E-3</v>
      </c>
      <c r="G120" s="47">
        <f t="shared" si="27"/>
        <v>5.11E-3</v>
      </c>
      <c r="H120" s="43">
        <f>Volcanic!D120</f>
        <v>-0.4</v>
      </c>
      <c r="I120" s="47">
        <f>Volcanic!E120</f>
        <v>5.11E-3</v>
      </c>
      <c r="K120" s="47">
        <f t="shared" si="14"/>
        <v>0.20418544249569365</v>
      </c>
      <c r="L120" s="47">
        <f t="shared" si="15"/>
        <v>-0.4</v>
      </c>
      <c r="M120" s="47">
        <f t="shared" si="16"/>
        <v>5.11E-3</v>
      </c>
      <c r="O120" s="47">
        <f t="shared" si="17"/>
        <v>0.20418544249569365</v>
      </c>
      <c r="P120" s="47">
        <f t="shared" si="18"/>
        <v>-0.4</v>
      </c>
      <c r="Q120" s="47">
        <f t="shared" si="19"/>
        <v>5.11E-3</v>
      </c>
      <c r="S120" s="47">
        <f t="shared" si="20"/>
        <v>0.20418544249569365</v>
      </c>
      <c r="T120" s="47">
        <f t="shared" si="21"/>
        <v>-0.4</v>
      </c>
      <c r="U120" s="47">
        <f t="shared" si="22"/>
        <v>5.11E-3</v>
      </c>
      <c r="W120" s="47">
        <f t="shared" si="23"/>
        <v>-0.20796743444722987</v>
      </c>
      <c r="X120" s="47">
        <f t="shared" si="24"/>
        <v>-0.20902995177385628</v>
      </c>
      <c r="Y120" s="47">
        <f t="shared" si="25"/>
        <v>-0.20873804803358953</v>
      </c>
      <c r="AP120" s="48">
        <v>-0.2429</v>
      </c>
      <c r="AQ120" s="48">
        <v>-0.21229999999999999</v>
      </c>
      <c r="AR120" s="47">
        <f>IF(AP120="","",AP120-($AC$60+$AC$61*Volcanic!C120+$AC$62*Volcanic!D120+$AC$63*Volcanic!E120))</f>
        <v>-0.18227976373842331</v>
      </c>
      <c r="AS120" s="47">
        <f>IF(AQ120="","",AQ120-($AD$60+$AD$61*Volcanic!C120+$AD$62*Volcanic!D120+$AD$63*Volcanic!E120))</f>
        <v>-0.15637394003449914</v>
      </c>
    </row>
    <row r="121" spans="1:45">
      <c r="A121" s="45" t="str">
        <f>Volcanic!A121</f>
        <v>2/1968</v>
      </c>
      <c r="B121" s="43">
        <f>Volcanic!B121</f>
        <v>-0.13999999999999879</v>
      </c>
      <c r="C121" s="47">
        <f>Volcanic!C121</f>
        <v>0.20677716444561006</v>
      </c>
      <c r="D121" s="41">
        <v>-0.7</v>
      </c>
      <c r="E121" s="43">
        <f t="shared" si="26"/>
        <v>-0.4</v>
      </c>
      <c r="F121" s="48">
        <v>4.3099999999999996E-3</v>
      </c>
      <c r="G121" s="47">
        <f t="shared" si="27"/>
        <v>5.0600000000000003E-3</v>
      </c>
      <c r="H121" s="43">
        <f>Volcanic!D121</f>
        <v>-0.36</v>
      </c>
      <c r="I121" s="47">
        <f>Volcanic!E121</f>
        <v>5.0600000000000003E-3</v>
      </c>
      <c r="K121" s="47">
        <f t="shared" si="14"/>
        <v>0.20677716444561006</v>
      </c>
      <c r="L121" s="47">
        <f t="shared" si="15"/>
        <v>-0.4</v>
      </c>
      <c r="M121" s="47">
        <f t="shared" si="16"/>
        <v>5.0600000000000003E-3</v>
      </c>
      <c r="O121" s="47">
        <f t="shared" si="17"/>
        <v>0.20677716444561006</v>
      </c>
      <c r="P121" s="47">
        <f t="shared" si="18"/>
        <v>-0.36</v>
      </c>
      <c r="Q121" s="47">
        <f t="shared" si="19"/>
        <v>5.0600000000000003E-3</v>
      </c>
      <c r="S121" s="47">
        <f t="shared" si="20"/>
        <v>0.20677716444561006</v>
      </c>
      <c r="T121" s="47">
        <f t="shared" si="21"/>
        <v>-0.4</v>
      </c>
      <c r="U121" s="47">
        <f t="shared" si="22"/>
        <v>5.0600000000000003E-3</v>
      </c>
      <c r="W121" s="47">
        <f t="shared" si="23"/>
        <v>-9.5145626711139991E-2</v>
      </c>
      <c r="X121" s="47">
        <f t="shared" si="24"/>
        <v>-9.9924961176357824E-2</v>
      </c>
      <c r="Y121" s="47">
        <f t="shared" si="25"/>
        <v>-9.5874979615217237E-2</v>
      </c>
      <c r="AP121" s="48">
        <v>-0.18609999999999999</v>
      </c>
      <c r="AQ121" s="48">
        <v>-0.1673</v>
      </c>
      <c r="AR121" s="47">
        <f>IF(AP121="","",AP121-($AC$60+$AC$61*Volcanic!C121+$AC$62*Volcanic!D121+$AC$63*Volcanic!E121))</f>
        <v>-0.13642285473592236</v>
      </c>
      <c r="AS121" s="47">
        <f>IF(AQ121="","",AQ121-($AD$60+$AD$61*Volcanic!C121+$AD$62*Volcanic!D121+$AD$63*Volcanic!E121))</f>
        <v>-0.12257016633624992</v>
      </c>
    </row>
    <row r="122" spans="1:45">
      <c r="A122" s="45" t="str">
        <f>Volcanic!A122</f>
        <v>3/1968</v>
      </c>
      <c r="B122" s="43">
        <f>Volcanic!B122</f>
        <v>0.20000000000000107</v>
      </c>
      <c r="C122" s="47">
        <f>Volcanic!C122</f>
        <v>0.21007709890320869</v>
      </c>
      <c r="D122" s="41">
        <v>-0.6</v>
      </c>
      <c r="E122" s="43">
        <f t="shared" si="26"/>
        <v>-0.4</v>
      </c>
      <c r="F122" s="48">
        <v>4.1900000000000001E-3</v>
      </c>
      <c r="G122" s="47">
        <f t="shared" si="27"/>
        <v>5.0499999999999998E-3</v>
      </c>
      <c r="H122" s="43">
        <f>Volcanic!D122</f>
        <v>-0.42</v>
      </c>
      <c r="I122" s="47">
        <f>Volcanic!E122</f>
        <v>5.0499999999999998E-3</v>
      </c>
      <c r="K122" s="47">
        <f t="shared" si="14"/>
        <v>0.21007709890320869</v>
      </c>
      <c r="L122" s="47">
        <f t="shared" si="15"/>
        <v>-0.4</v>
      </c>
      <c r="M122" s="47">
        <f t="shared" si="16"/>
        <v>5.0499999999999998E-3</v>
      </c>
      <c r="O122" s="47">
        <f t="shared" si="17"/>
        <v>0.21007709890320869</v>
      </c>
      <c r="P122" s="47">
        <f t="shared" si="18"/>
        <v>-0.42</v>
      </c>
      <c r="Q122" s="47">
        <f t="shared" si="19"/>
        <v>5.0499999999999998E-3</v>
      </c>
      <c r="S122" s="47">
        <f t="shared" si="20"/>
        <v>0.21007709890320869</v>
      </c>
      <c r="T122" s="47">
        <f t="shared" si="21"/>
        <v>-0.4</v>
      </c>
      <c r="U122" s="47">
        <f t="shared" si="22"/>
        <v>5.0499999999999998E-3</v>
      </c>
      <c r="W122" s="47">
        <f t="shared" si="23"/>
        <v>0.23583291987669824</v>
      </c>
      <c r="X122" s="47">
        <f t="shared" si="24"/>
        <v>0.23676344959203735</v>
      </c>
      <c r="Y122" s="47">
        <f t="shared" si="25"/>
        <v>0.23517822827999002</v>
      </c>
      <c r="AP122" s="48">
        <v>7.6700000000000004E-2</v>
      </c>
      <c r="AQ122" s="48">
        <v>9.3700000000000006E-2</v>
      </c>
      <c r="AR122" s="47">
        <f>IF(AP122="","",AP122-($AC$60+$AC$61*Volcanic!C122+$AC$62*Volcanic!D122+$AC$63*Volcanic!E122))</f>
        <v>0.12296096159224955</v>
      </c>
      <c r="AS122" s="47">
        <f>IF(AQ122="","",AQ122-($AD$60+$AD$61*Volcanic!C122+$AD$62*Volcanic!D122+$AD$63*Volcanic!E122))</f>
        <v>0.13489802730831429</v>
      </c>
    </row>
    <row r="123" spans="1:45">
      <c r="A123" s="45" t="str">
        <f>Volcanic!A123</f>
        <v>4/1968</v>
      </c>
      <c r="B123" s="43">
        <f>Volcanic!B123</f>
        <v>-6.0000000000000497E-2</v>
      </c>
      <c r="C123" s="47">
        <f>Volcanic!C123</f>
        <v>0.21510166947251774</v>
      </c>
      <c r="D123" s="41">
        <v>-0.5</v>
      </c>
      <c r="E123" s="43">
        <f t="shared" si="26"/>
        <v>-0.6</v>
      </c>
      <c r="F123" s="48">
        <v>4.1799999999999997E-3</v>
      </c>
      <c r="G123" s="47">
        <f t="shared" si="27"/>
        <v>5.0200000000000002E-3</v>
      </c>
      <c r="H123" s="43">
        <f>Volcanic!D123</f>
        <v>-0.62</v>
      </c>
      <c r="I123" s="47">
        <f>Volcanic!E123</f>
        <v>5.0200000000000002E-3</v>
      </c>
      <c r="K123" s="47">
        <f t="shared" si="14"/>
        <v>0.21510166947251774</v>
      </c>
      <c r="L123" s="47">
        <f t="shared" si="15"/>
        <v>-0.6</v>
      </c>
      <c r="M123" s="47">
        <f t="shared" si="16"/>
        <v>5.0200000000000002E-3</v>
      </c>
      <c r="O123" s="47">
        <f t="shared" si="17"/>
        <v>0.21510166947251774</v>
      </c>
      <c r="P123" s="47">
        <f t="shared" si="18"/>
        <v>-0.62</v>
      </c>
      <c r="Q123" s="47">
        <f t="shared" si="19"/>
        <v>5.0200000000000002E-3</v>
      </c>
      <c r="S123" s="47">
        <f t="shared" si="20"/>
        <v>0.21510166947251774</v>
      </c>
      <c r="T123" s="47">
        <f t="shared" si="21"/>
        <v>-0.6</v>
      </c>
      <c r="U123" s="47">
        <f t="shared" si="22"/>
        <v>5.0200000000000002E-3</v>
      </c>
      <c r="W123" s="47">
        <f t="shared" si="23"/>
        <v>-1.9361283459478483E-2</v>
      </c>
      <c r="X123" s="47">
        <f t="shared" si="24"/>
        <v>-1.8112018525970726E-2</v>
      </c>
      <c r="Y123" s="47">
        <f t="shared" si="25"/>
        <v>-1.9680823482913709E-2</v>
      </c>
      <c r="AP123" s="48">
        <v>-0.1013</v>
      </c>
      <c r="AQ123" s="48">
        <v>-5.7299999999999997E-2</v>
      </c>
      <c r="AR123" s="47">
        <f>IF(AP123="","",AP123-($AC$60+$AC$61*Volcanic!C123+$AC$62*Volcanic!D123+$AC$63*Volcanic!E123))</f>
        <v>-5.0102337243262553E-2</v>
      </c>
      <c r="AS123" s="47">
        <f>IF(AQ123="","",AQ123-($AD$60+$AD$61*Volcanic!C123+$AD$62*Volcanic!D123+$AD$63*Volcanic!E123))</f>
        <v>-1.1131100785688665E-2</v>
      </c>
    </row>
    <row r="124" spans="1:45">
      <c r="A124" s="45" t="str">
        <f>Volcanic!A124</f>
        <v>5/1968</v>
      </c>
      <c r="B124" s="43">
        <f>Volcanic!B124</f>
        <v>-0.13999999999999879</v>
      </c>
      <c r="C124" s="47">
        <f>Volcanic!C124</f>
        <v>0.21754093986252426</v>
      </c>
      <c r="D124" s="41">
        <v>-0.1</v>
      </c>
      <c r="E124" s="43">
        <f t="shared" si="26"/>
        <v>-0.7</v>
      </c>
      <c r="F124" s="48">
        <v>4.1900000000000001E-3</v>
      </c>
      <c r="G124" s="47">
        <f t="shared" si="27"/>
        <v>5.0000000000000001E-3</v>
      </c>
      <c r="H124" s="43">
        <f>Volcanic!D124</f>
        <v>-0.73</v>
      </c>
      <c r="I124" s="47">
        <f>Volcanic!E124</f>
        <v>5.0000000000000001E-3</v>
      </c>
      <c r="K124" s="47">
        <f t="shared" si="14"/>
        <v>0.21754093986252426</v>
      </c>
      <c r="L124" s="47">
        <f t="shared" si="15"/>
        <v>-0.7</v>
      </c>
      <c r="M124" s="47">
        <f t="shared" si="16"/>
        <v>5.0000000000000001E-3</v>
      </c>
      <c r="O124" s="47">
        <f t="shared" si="17"/>
        <v>0.21754093986252426</v>
      </c>
      <c r="P124" s="47">
        <f t="shared" si="18"/>
        <v>-0.73</v>
      </c>
      <c r="Q124" s="47">
        <f t="shared" si="19"/>
        <v>5.0000000000000001E-3</v>
      </c>
      <c r="S124" s="47">
        <f t="shared" si="20"/>
        <v>0.21754093986252426</v>
      </c>
      <c r="T124" s="47">
        <f t="shared" si="21"/>
        <v>-0.7</v>
      </c>
      <c r="U124" s="47">
        <f t="shared" si="22"/>
        <v>5.0000000000000001E-3</v>
      </c>
      <c r="W124" s="47">
        <f t="shared" si="23"/>
        <v>-9.6770280140592996E-2</v>
      </c>
      <c r="X124" s="47">
        <f t="shared" si="24"/>
        <v>-9.4426052989020529E-2</v>
      </c>
      <c r="Y124" s="47">
        <f t="shared" si="25"/>
        <v>-9.6926049121639435E-2</v>
      </c>
      <c r="AP124" s="48">
        <v>-0.14649999999999999</v>
      </c>
      <c r="AQ124" s="48">
        <v>-0.1333</v>
      </c>
      <c r="AR124" s="47">
        <f>IF(AP124="","",AP124-($AC$60+$AC$61*Volcanic!C124+$AC$62*Volcanic!D124+$AC$63*Volcanic!E124))</f>
        <v>-9.171019158803341E-2</v>
      </c>
      <c r="AS124" s="47">
        <f>IF(AQ124="","",AQ124-($AD$60+$AD$61*Volcanic!C124+$AD$62*Volcanic!D124+$AD$63*Volcanic!E124))</f>
        <v>-8.3496966419592616E-2</v>
      </c>
    </row>
    <row r="125" spans="1:45">
      <c r="A125" s="45" t="str">
        <f>Volcanic!A125</f>
        <v>6/1968</v>
      </c>
      <c r="B125" s="43">
        <f>Volcanic!B125</f>
        <v>-9.0000000000001634E-2</v>
      </c>
      <c r="C125" s="47">
        <f>Volcanic!C125</f>
        <v>0.21661006874244201</v>
      </c>
      <c r="D125" s="41">
        <v>0.2</v>
      </c>
      <c r="E125" s="43">
        <f t="shared" si="26"/>
        <v>-0.6</v>
      </c>
      <c r="F125" s="48">
        <v>5.4400000000000004E-3</v>
      </c>
      <c r="G125" s="47">
        <f t="shared" si="27"/>
        <v>4.8399999999999997E-3</v>
      </c>
      <c r="H125" s="43">
        <f>Volcanic!D125</f>
        <v>-0.63</v>
      </c>
      <c r="I125" s="47">
        <f>Volcanic!E125</f>
        <v>4.8399999999999997E-3</v>
      </c>
      <c r="K125" s="47">
        <f t="shared" si="14"/>
        <v>0.21661006874244201</v>
      </c>
      <c r="L125" s="47">
        <f t="shared" si="15"/>
        <v>-0.6</v>
      </c>
      <c r="M125" s="47">
        <f t="shared" si="16"/>
        <v>4.8399999999999997E-3</v>
      </c>
      <c r="O125" s="47">
        <f t="shared" si="17"/>
        <v>0.21661006874244201</v>
      </c>
      <c r="P125" s="47">
        <f t="shared" si="18"/>
        <v>-0.63</v>
      </c>
      <c r="Q125" s="47">
        <f t="shared" si="19"/>
        <v>4.8399999999999997E-3</v>
      </c>
      <c r="S125" s="47">
        <f t="shared" si="20"/>
        <v>0.21661006874244201</v>
      </c>
      <c r="T125" s="47">
        <f t="shared" si="21"/>
        <v>-0.6</v>
      </c>
      <c r="U125" s="47">
        <f t="shared" si="22"/>
        <v>4.8399999999999997E-3</v>
      </c>
      <c r="W125" s="47">
        <f t="shared" si="23"/>
        <v>-5.3871549904551425E-2</v>
      </c>
      <c r="X125" s="47">
        <f t="shared" si="24"/>
        <v>-5.1721028330396331E-2</v>
      </c>
      <c r="Y125" s="47">
        <f t="shared" si="25"/>
        <v>-5.4229293307842236E-2</v>
      </c>
      <c r="AP125" s="48">
        <v>-7.2999999999999995E-2</v>
      </c>
      <c r="AQ125" s="48">
        <v>-8.3299999999999999E-2</v>
      </c>
      <c r="AR125" s="47">
        <f>IF(AP125="","",AP125-($AC$60+$AC$61*Volcanic!C125+$AC$62*Volcanic!D125+$AC$63*Volcanic!E125))</f>
        <v>-2.5417849538238085E-2</v>
      </c>
      <c r="AS125" s="47">
        <f>IF(AQ125="","",AQ125-($AD$60+$AD$61*Volcanic!C125+$AD$62*Volcanic!D125+$AD$63*Volcanic!E125))</f>
        <v>-4.0812586172578949E-2</v>
      </c>
    </row>
    <row r="126" spans="1:45">
      <c r="A126" s="45" t="str">
        <f>Volcanic!A126</f>
        <v>7/1968</v>
      </c>
      <c r="B126" s="43">
        <f>Volcanic!B126</f>
        <v>-0.13000000000000256</v>
      </c>
      <c r="C126" s="47">
        <f>Volcanic!C126</f>
        <v>0.21119023804218459</v>
      </c>
      <c r="D126" s="41">
        <v>0.4</v>
      </c>
      <c r="E126" s="43">
        <f t="shared" si="26"/>
        <v>-0.5</v>
      </c>
      <c r="F126" s="48">
        <v>1.0580000000000001E-2</v>
      </c>
      <c r="G126" s="47">
        <f t="shared" si="27"/>
        <v>4.6499999999999996E-3</v>
      </c>
      <c r="H126" s="43">
        <f>Volcanic!D126</f>
        <v>-0.48</v>
      </c>
      <c r="I126" s="47">
        <f>Volcanic!E126</f>
        <v>4.6499999999999996E-3</v>
      </c>
      <c r="K126" s="47">
        <f t="shared" si="14"/>
        <v>0.21119023804218459</v>
      </c>
      <c r="L126" s="47">
        <f t="shared" si="15"/>
        <v>-0.5</v>
      </c>
      <c r="M126" s="47">
        <f t="shared" si="16"/>
        <v>4.6499999999999996E-3</v>
      </c>
      <c r="O126" s="47">
        <f t="shared" si="17"/>
        <v>0.21119023804218459</v>
      </c>
      <c r="P126" s="47">
        <f t="shared" si="18"/>
        <v>-0.48</v>
      </c>
      <c r="Q126" s="47">
        <f t="shared" si="19"/>
        <v>4.6499999999999996E-3</v>
      </c>
      <c r="S126" s="47">
        <f t="shared" si="20"/>
        <v>0.21119023804218459</v>
      </c>
      <c r="T126" s="47">
        <f t="shared" si="21"/>
        <v>-0.5</v>
      </c>
      <c r="U126" s="47">
        <f t="shared" si="22"/>
        <v>4.6499999999999996E-3</v>
      </c>
      <c r="W126" s="47">
        <f t="shared" si="23"/>
        <v>-8.8796856707697588E-2</v>
      </c>
      <c r="X126" s="47">
        <f t="shared" si="24"/>
        <v>-9.1654939614267655E-2</v>
      </c>
      <c r="Y126" s="47">
        <f t="shared" si="25"/>
        <v>-8.9476115643548543E-2</v>
      </c>
      <c r="AP126" s="48">
        <v>-0.1166</v>
      </c>
      <c r="AQ126" s="48">
        <v>-0.1983</v>
      </c>
      <c r="AR126" s="47">
        <f>IF(AP126="","",AP126-($AC$60+$AC$61*Volcanic!C126+$AC$62*Volcanic!D126+$AC$63*Volcanic!E126))</f>
        <v>-6.8722359191558655E-2</v>
      </c>
      <c r="AS126" s="47">
        <f>IF(AQ126="","",AQ126-($AD$60+$AD$61*Volcanic!C126+$AD$62*Volcanic!D126+$AD$63*Volcanic!E126))</f>
        <v>-0.15540203862116522</v>
      </c>
    </row>
    <row r="127" spans="1:45">
      <c r="A127" s="45" t="str">
        <f>Volcanic!A127</f>
        <v>8/1968</v>
      </c>
      <c r="B127" s="43">
        <f>Volcanic!B127</f>
        <v>-8.0000000000001847E-2</v>
      </c>
      <c r="C127" s="47">
        <f>Volcanic!C127</f>
        <v>0.20212662313900553</v>
      </c>
      <c r="D127" s="41">
        <v>0.4</v>
      </c>
      <c r="E127" s="43">
        <f t="shared" si="26"/>
        <v>-0.1</v>
      </c>
      <c r="F127" s="48">
        <v>1.392E-2</v>
      </c>
      <c r="G127" s="47">
        <f t="shared" si="27"/>
        <v>4.4999999999999997E-3</v>
      </c>
      <c r="H127" s="43">
        <f>Volcanic!D127</f>
        <v>-0.1</v>
      </c>
      <c r="I127" s="47">
        <f>Volcanic!E127</f>
        <v>4.4999999999999997E-3</v>
      </c>
      <c r="K127" s="47">
        <f t="shared" si="14"/>
        <v>0.20212662313900553</v>
      </c>
      <c r="L127" s="47">
        <f t="shared" si="15"/>
        <v>-0.1</v>
      </c>
      <c r="M127" s="47">
        <f t="shared" si="16"/>
        <v>4.4999999999999997E-3</v>
      </c>
      <c r="O127" s="47">
        <f t="shared" si="17"/>
        <v>0.20212662313900553</v>
      </c>
      <c r="P127" s="47">
        <f t="shared" si="18"/>
        <v>-0.1</v>
      </c>
      <c r="Q127" s="47">
        <f t="shared" si="19"/>
        <v>4.4999999999999997E-3</v>
      </c>
      <c r="S127" s="47">
        <f t="shared" si="20"/>
        <v>0.20212662313900553</v>
      </c>
      <c r="T127" s="47">
        <f t="shared" si="21"/>
        <v>-0.1</v>
      </c>
      <c r="U127" s="47">
        <f t="shared" si="22"/>
        <v>4.4999999999999997E-3</v>
      </c>
      <c r="W127" s="47">
        <f t="shared" si="23"/>
        <v>-5.1558868733263985E-2</v>
      </c>
      <c r="X127" s="47">
        <f t="shared" si="24"/>
        <v>-5.3238405476643831E-2</v>
      </c>
      <c r="Y127" s="47">
        <f t="shared" si="25"/>
        <v>-5.2971486831662813E-2</v>
      </c>
      <c r="AP127" s="48">
        <v>-4.9000000000000002E-2</v>
      </c>
      <c r="AQ127" s="48">
        <v>-0.1343</v>
      </c>
      <c r="AR127" s="47">
        <f>IF(AP127="","",AP127-($AC$60+$AC$61*Volcanic!C127+$AC$62*Volcanic!D127+$AC$63*Volcanic!E127))</f>
        <v>-1.2319247471555238E-2</v>
      </c>
      <c r="AS127" s="47">
        <f>IF(AQ127="","",AQ127-($AD$60+$AD$61*Volcanic!C127+$AD$62*Volcanic!D127+$AD$63*Volcanic!E127))</f>
        <v>-0.10267382388743668</v>
      </c>
    </row>
    <row r="128" spans="1:45">
      <c r="A128" s="45" t="str">
        <f>Volcanic!A128</f>
        <v>9/1968</v>
      </c>
      <c r="B128" s="43">
        <f>Volcanic!B128</f>
        <v>-0.18999999999999773</v>
      </c>
      <c r="C128" s="47">
        <f>Volcanic!C128</f>
        <v>0.19413209059412975</v>
      </c>
      <c r="D128" s="41">
        <v>0.3</v>
      </c>
      <c r="E128" s="43">
        <f t="shared" si="26"/>
        <v>0.2</v>
      </c>
      <c r="F128" s="48">
        <v>1.6070000000000001E-2</v>
      </c>
      <c r="G128" s="47">
        <f t="shared" si="27"/>
        <v>4.3099999999999996E-3</v>
      </c>
      <c r="H128" s="43">
        <f>Volcanic!D128</f>
        <v>0.17</v>
      </c>
      <c r="I128" s="47">
        <f>Volcanic!E128</f>
        <v>4.3099999999999996E-3</v>
      </c>
      <c r="K128" s="47">
        <f t="shared" si="14"/>
        <v>0.19413209059412975</v>
      </c>
      <c r="L128" s="47">
        <f t="shared" si="15"/>
        <v>0.2</v>
      </c>
      <c r="M128" s="47">
        <f t="shared" si="16"/>
        <v>4.3099999999999996E-3</v>
      </c>
      <c r="O128" s="47">
        <f t="shared" si="17"/>
        <v>0.19413209059412975</v>
      </c>
      <c r="P128" s="47">
        <f t="shared" si="18"/>
        <v>0.17</v>
      </c>
      <c r="Q128" s="47">
        <f t="shared" si="19"/>
        <v>4.3099999999999996E-3</v>
      </c>
      <c r="S128" s="47">
        <f t="shared" si="20"/>
        <v>0.19413209059412975</v>
      </c>
      <c r="T128" s="47">
        <f t="shared" si="21"/>
        <v>0.2</v>
      </c>
      <c r="U128" s="47">
        <f t="shared" si="22"/>
        <v>4.3099999999999996E-3</v>
      </c>
      <c r="W128" s="47">
        <f t="shared" si="23"/>
        <v>-0.16803723885849237</v>
      </c>
      <c r="X128" s="47">
        <f t="shared" si="24"/>
        <v>-0.16748374957487489</v>
      </c>
      <c r="Y128" s="47">
        <f t="shared" si="25"/>
        <v>-0.17006040387010529</v>
      </c>
      <c r="AP128" s="48">
        <v>-0.1459</v>
      </c>
      <c r="AQ128" s="48">
        <v>-0.24429999999999999</v>
      </c>
      <c r="AR128" s="47">
        <f>IF(AP128="","",AP128-($AC$60+$AC$61*Volcanic!C128+$AC$62*Volcanic!D128+$AC$63*Volcanic!E128))</f>
        <v>-0.11313066757158366</v>
      </c>
      <c r="AS128" s="47">
        <f>IF(AQ128="","",AQ128-($AD$60+$AD$61*Volcanic!C128+$AD$62*Volcanic!D128+$AD$63*Volcanic!E128))</f>
        <v>-0.21651953213742617</v>
      </c>
    </row>
    <row r="129" spans="1:45">
      <c r="A129" s="45" t="str">
        <f>Volcanic!A129</f>
        <v>10/1968</v>
      </c>
      <c r="B129" s="43">
        <f>Volcanic!B129</f>
        <v>8.9999999999999858E-2</v>
      </c>
      <c r="C129" s="47">
        <f>Volcanic!C129</f>
        <v>0.19377174339668018</v>
      </c>
      <c r="D129" s="41">
        <v>0.5</v>
      </c>
      <c r="E129" s="43">
        <f t="shared" si="26"/>
        <v>0.4</v>
      </c>
      <c r="F129" s="48">
        <v>1.738E-2</v>
      </c>
      <c r="G129" s="47">
        <f t="shared" si="27"/>
        <v>4.1900000000000001E-3</v>
      </c>
      <c r="H129" s="43">
        <f>Volcanic!D129</f>
        <v>0.44</v>
      </c>
      <c r="I129" s="47">
        <f>Volcanic!E129</f>
        <v>4.1900000000000001E-3</v>
      </c>
      <c r="K129" s="47">
        <f t="shared" si="14"/>
        <v>0.19377174339668018</v>
      </c>
      <c r="L129" s="47">
        <f t="shared" si="15"/>
        <v>0.4</v>
      </c>
      <c r="M129" s="47">
        <f t="shared" si="16"/>
        <v>4.1900000000000001E-3</v>
      </c>
      <c r="O129" s="47">
        <f t="shared" si="17"/>
        <v>0.19377174339668018</v>
      </c>
      <c r="P129" s="47">
        <f t="shared" si="18"/>
        <v>0.44</v>
      </c>
      <c r="Q129" s="47">
        <f t="shared" si="19"/>
        <v>4.1900000000000001E-3</v>
      </c>
      <c r="S129" s="47">
        <f t="shared" si="20"/>
        <v>0.19377174339668018</v>
      </c>
      <c r="T129" s="47">
        <f t="shared" si="21"/>
        <v>0.4</v>
      </c>
      <c r="U129" s="47">
        <f t="shared" si="22"/>
        <v>4.1900000000000001E-3</v>
      </c>
      <c r="W129" s="47">
        <f t="shared" si="23"/>
        <v>9.4106396261220859E-2</v>
      </c>
      <c r="X129" s="47">
        <f t="shared" si="24"/>
        <v>8.7814177560491244E-2</v>
      </c>
      <c r="Y129" s="47">
        <f t="shared" si="25"/>
        <v>9.1797589416446917E-2</v>
      </c>
      <c r="AP129" s="48">
        <v>8.77E-2</v>
      </c>
      <c r="AQ129" s="48">
        <v>7.17E-2</v>
      </c>
      <c r="AR129" s="47">
        <f>IF(AP129="","",AP129-($AC$60+$AC$61*Volcanic!C129+$AC$62*Volcanic!D129+$AC$63*Volcanic!E129))</f>
        <v>9.5880378043393777E-2</v>
      </c>
      <c r="AS129" s="47">
        <f>IF(AQ129="","",AQ129-($AD$60+$AD$61*Volcanic!C129+$AD$62*Volcanic!D129+$AD$63*Volcanic!E129))</f>
        <v>7.441254988872964E-2</v>
      </c>
    </row>
    <row r="130" spans="1:45">
      <c r="A130" s="45" t="str">
        <f>Volcanic!A130</f>
        <v>11/1968</v>
      </c>
      <c r="B130" s="43">
        <f>Volcanic!B130</f>
        <v>-5.0000000000000711E-2</v>
      </c>
      <c r="C130" s="47">
        <f>Volcanic!C130</f>
        <v>0.19858395445706917</v>
      </c>
      <c r="D130" s="41">
        <v>0.7</v>
      </c>
      <c r="E130" s="43">
        <f t="shared" si="26"/>
        <v>0.4</v>
      </c>
      <c r="F130" s="48">
        <v>1.7930000000000001E-2</v>
      </c>
      <c r="G130" s="47">
        <f t="shared" si="27"/>
        <v>4.1799999999999997E-3</v>
      </c>
      <c r="H130" s="43">
        <f>Volcanic!D130</f>
        <v>0.38</v>
      </c>
      <c r="I130" s="47">
        <f>Volcanic!E130</f>
        <v>4.1799999999999997E-3</v>
      </c>
      <c r="K130" s="47">
        <f t="shared" ref="K130:K193" si="28">C130</f>
        <v>0.19858395445706917</v>
      </c>
      <c r="L130" s="47">
        <f t="shared" ref="L130:L193" si="29">E130</f>
        <v>0.4</v>
      </c>
      <c r="M130" s="47">
        <f t="shared" ref="M130:M193" si="30">I130</f>
        <v>4.1799999999999997E-3</v>
      </c>
      <c r="O130" s="47">
        <f t="shared" ref="O130:O193" si="31">C130</f>
        <v>0.19858395445706917</v>
      </c>
      <c r="P130" s="47">
        <f t="shared" ref="P130:P193" si="32">H130</f>
        <v>0.38</v>
      </c>
      <c r="Q130" s="47">
        <f t="shared" ref="Q130:Q193" si="33">G130</f>
        <v>4.1799999999999997E-3</v>
      </c>
      <c r="S130" s="47">
        <f t="shared" ref="S130:S193" si="34">C130</f>
        <v>0.19858395445706917</v>
      </c>
      <c r="T130" s="47">
        <f t="shared" ref="T130:T193" si="35">E130</f>
        <v>0.4</v>
      </c>
      <c r="U130" s="47">
        <f t="shared" ref="U130:U193" si="36">G130</f>
        <v>4.1799999999999997E-3</v>
      </c>
      <c r="W130" s="47">
        <f t="shared" ref="W130:W193" si="37">IF(OR(L130="",M130=""),"",B130-($AB$6+$AB$7*K130+$AB$8*L130+$AB$9*M130))</f>
        <v>-5.9039263161642735E-2</v>
      </c>
      <c r="X130" s="47">
        <f t="shared" ref="X130:X193" si="38">IF(OR(P130="",Q130=""),"",B130-($AC$6+$AC$7*O130+$AC$8*P130+$AC$9*Q130))</f>
        <v>-5.9585970586999229E-2</v>
      </c>
      <c r="Y130" s="47">
        <f t="shared" ref="Y130:Y193" si="39">IF(OR(T130="",U130=""),"",B130-($AD$6+$AD$7*S130+$AD$8*T130+$AD$9*U130))</f>
        <v>-6.1237303797555931E-2</v>
      </c>
      <c r="AP130" s="48">
        <v>-5.5300000000000002E-2</v>
      </c>
      <c r="AQ130" s="48">
        <v>-9.8299999999999998E-2</v>
      </c>
      <c r="AR130" s="47">
        <f>IF(AP130="","",AP130-($AC$60+$AC$61*Volcanic!C130+$AC$62*Volcanic!D130+$AC$63*Volcanic!E130))</f>
        <v>-5.466524036116728E-2</v>
      </c>
      <c r="AS130" s="47">
        <f>IF(AQ130="","",AQ130-($AD$60+$AD$61*Volcanic!C130+$AD$62*Volcanic!D130+$AD$63*Volcanic!E130))</f>
        <v>-0.10335498108789165</v>
      </c>
    </row>
    <row r="131" spans="1:45">
      <c r="A131" s="45" t="str">
        <f>Volcanic!A131</f>
        <v>12/1968</v>
      </c>
      <c r="B131" s="43">
        <f>Volcanic!B131</f>
        <v>-0.13999999999999879</v>
      </c>
      <c r="C131" s="47">
        <f>Volcanic!C131</f>
        <v>0.20561593377604628</v>
      </c>
      <c r="D131" s="41">
        <v>0.9</v>
      </c>
      <c r="E131" s="43">
        <f t="shared" si="26"/>
        <v>0.3</v>
      </c>
      <c r="F131" s="48">
        <v>1.7989999999999999E-2</v>
      </c>
      <c r="G131" s="47">
        <f t="shared" si="27"/>
        <v>4.1900000000000001E-3</v>
      </c>
      <c r="H131" s="43">
        <f>Volcanic!D131</f>
        <v>0.34</v>
      </c>
      <c r="I131" s="47">
        <f>Volcanic!E131</f>
        <v>4.1900000000000001E-3</v>
      </c>
      <c r="K131" s="47">
        <f t="shared" si="28"/>
        <v>0.20561593377604628</v>
      </c>
      <c r="L131" s="47">
        <f t="shared" si="29"/>
        <v>0.3</v>
      </c>
      <c r="M131" s="47">
        <f t="shared" si="30"/>
        <v>4.1900000000000001E-3</v>
      </c>
      <c r="O131" s="47">
        <f t="shared" si="31"/>
        <v>0.20561593377604628</v>
      </c>
      <c r="P131" s="47">
        <f t="shared" si="32"/>
        <v>0.34</v>
      </c>
      <c r="Q131" s="47">
        <f t="shared" si="33"/>
        <v>4.1900000000000001E-3</v>
      </c>
      <c r="S131" s="47">
        <f t="shared" si="34"/>
        <v>0.20561593377604628</v>
      </c>
      <c r="T131" s="47">
        <f t="shared" si="35"/>
        <v>0.3</v>
      </c>
      <c r="U131" s="47">
        <f t="shared" si="36"/>
        <v>4.1900000000000001E-3</v>
      </c>
      <c r="W131" s="47">
        <f t="shared" si="37"/>
        <v>-0.15890716290005413</v>
      </c>
      <c r="X131" s="47">
        <f t="shared" si="38"/>
        <v>-0.16481390570174681</v>
      </c>
      <c r="Y131" s="47">
        <f t="shared" si="39"/>
        <v>-0.16081941441574849</v>
      </c>
      <c r="AP131" s="48">
        <v>-0.1116</v>
      </c>
      <c r="AQ131" s="48">
        <v>-6.6299999999999998E-2</v>
      </c>
      <c r="AR131" s="47">
        <f>IF(AP131="","",AP131-($AC$60+$AC$61*Volcanic!C131+$AC$62*Volcanic!D131+$AC$63*Volcanic!E131))</f>
        <v>-0.12639695395904346</v>
      </c>
      <c r="AS131" s="47">
        <f>IF(AQ131="","",AQ131-($AD$60+$AD$61*Volcanic!C131+$AD$62*Volcanic!D131+$AD$63*Volcanic!E131))</f>
        <v>-8.7205324442245949E-2</v>
      </c>
    </row>
    <row r="132" spans="1:45">
      <c r="A132" s="45" t="str">
        <f>Volcanic!A132</f>
        <v>1/1969</v>
      </c>
      <c r="B132" s="43">
        <f>Volcanic!B132</f>
        <v>-0.10999999999999766</v>
      </c>
      <c r="C132" s="47">
        <f>Volcanic!C132</f>
        <v>0.21056698593965839</v>
      </c>
      <c r="D132" s="41">
        <v>1</v>
      </c>
      <c r="E132" s="43">
        <f t="shared" si="26"/>
        <v>0.5</v>
      </c>
      <c r="F132" s="48">
        <v>1.7749999999999998E-2</v>
      </c>
      <c r="G132" s="47">
        <f t="shared" si="27"/>
        <v>5.4400000000000004E-3</v>
      </c>
      <c r="H132" s="43">
        <f>Volcanic!D132</f>
        <v>0.5</v>
      </c>
      <c r="I132" s="47">
        <f>Volcanic!E132</f>
        <v>5.4400000000000004E-3</v>
      </c>
      <c r="K132" s="47">
        <f t="shared" si="28"/>
        <v>0.21056698593965839</v>
      </c>
      <c r="L132" s="47">
        <f t="shared" si="29"/>
        <v>0.5</v>
      </c>
      <c r="M132" s="47">
        <f t="shared" si="30"/>
        <v>5.4400000000000004E-3</v>
      </c>
      <c r="O132" s="47">
        <f t="shared" si="31"/>
        <v>0.21056698593965839</v>
      </c>
      <c r="P132" s="47">
        <f t="shared" si="32"/>
        <v>0.5</v>
      </c>
      <c r="Q132" s="47">
        <f t="shared" si="33"/>
        <v>5.4400000000000004E-3</v>
      </c>
      <c r="S132" s="47">
        <f t="shared" si="34"/>
        <v>0.21056698593965839</v>
      </c>
      <c r="T132" s="47">
        <f t="shared" si="35"/>
        <v>0.5</v>
      </c>
      <c r="U132" s="47">
        <f t="shared" si="36"/>
        <v>5.4400000000000004E-3</v>
      </c>
      <c r="W132" s="47">
        <f t="shared" si="37"/>
        <v>-0.15822968432784332</v>
      </c>
      <c r="X132" s="47">
        <f t="shared" si="38"/>
        <v>-0.15996331433655109</v>
      </c>
      <c r="Y132" s="47">
        <f t="shared" si="39"/>
        <v>-0.15973590645501518</v>
      </c>
      <c r="AP132" s="48">
        <v>-8.2900000000000001E-2</v>
      </c>
      <c r="AQ132" s="48">
        <v>-5.0299999999999997E-2</v>
      </c>
      <c r="AR132" s="47">
        <f>IF(AP132="","",AP132-($AC$60+$AC$61*Volcanic!C132+$AC$62*Volcanic!D132+$AC$63*Volcanic!E132))</f>
        <v>-0.1231918029134037</v>
      </c>
      <c r="AS132" s="47">
        <f>IF(AQ132="","",AQ132-($AD$60+$AD$61*Volcanic!C132+$AD$62*Volcanic!D132+$AD$63*Volcanic!E132))</f>
        <v>-9.7500038664670288E-2</v>
      </c>
    </row>
    <row r="133" spans="1:45">
      <c r="A133" s="45" t="str">
        <f>Volcanic!A133</f>
        <v>2/1969</v>
      </c>
      <c r="B133" s="43">
        <f>Volcanic!B133</f>
        <v>-0.17999999999999794</v>
      </c>
      <c r="C133" s="47">
        <f>Volcanic!C133</f>
        <v>0.21239146441962328</v>
      </c>
      <c r="D133" s="41">
        <v>1</v>
      </c>
      <c r="E133" s="43">
        <f t="shared" ref="E133:E196" si="40">IF(D130="","",D130)</f>
        <v>0.7</v>
      </c>
      <c r="F133" s="48">
        <v>1.7219999999999999E-2</v>
      </c>
      <c r="G133" s="47">
        <f t="shared" si="27"/>
        <v>1.0580000000000001E-2</v>
      </c>
      <c r="H133" s="43">
        <f>Volcanic!D133</f>
        <v>0.66</v>
      </c>
      <c r="I133" s="47">
        <f>Volcanic!E133</f>
        <v>1.0580000000000001E-2</v>
      </c>
      <c r="K133" s="47">
        <f t="shared" si="28"/>
        <v>0.21239146441962328</v>
      </c>
      <c r="L133" s="47">
        <f t="shared" si="29"/>
        <v>0.7</v>
      </c>
      <c r="M133" s="47">
        <f t="shared" si="30"/>
        <v>1.0580000000000001E-2</v>
      </c>
      <c r="O133" s="47">
        <f t="shared" si="31"/>
        <v>0.21239146441962328</v>
      </c>
      <c r="P133" s="47">
        <f t="shared" si="32"/>
        <v>0.66</v>
      </c>
      <c r="Q133" s="47">
        <f t="shared" si="33"/>
        <v>1.0580000000000001E-2</v>
      </c>
      <c r="S133" s="47">
        <f t="shared" si="34"/>
        <v>0.21239146441962328</v>
      </c>
      <c r="T133" s="47">
        <f t="shared" si="35"/>
        <v>0.7</v>
      </c>
      <c r="U133" s="47">
        <f t="shared" si="36"/>
        <v>1.0580000000000001E-2</v>
      </c>
      <c r="W133" s="47">
        <f t="shared" si="37"/>
        <v>-0.24045385617189086</v>
      </c>
      <c r="X133" s="47">
        <f t="shared" si="38"/>
        <v>-0.23649617856463406</v>
      </c>
      <c r="Y133" s="47">
        <f t="shared" si="39"/>
        <v>-0.24002481041058926</v>
      </c>
      <c r="AP133" s="48">
        <v>-0.1176</v>
      </c>
      <c r="AQ133" s="48">
        <v>-0.1283</v>
      </c>
      <c r="AR133" s="47">
        <f>IF(AP133="","",AP133-($AC$60+$AC$61*Volcanic!C133+$AC$62*Volcanic!D133+$AC$63*Volcanic!E133))</f>
        <v>-0.16548908536119952</v>
      </c>
      <c r="AS133" s="47">
        <f>IF(AQ133="","",AQ133-($AD$60+$AD$61*Volcanic!C133+$AD$62*Volcanic!D133+$AD$63*Volcanic!E133))</f>
        <v>-0.18412807080553512</v>
      </c>
    </row>
    <row r="134" spans="1:45">
      <c r="A134" s="45" t="str">
        <f>Volcanic!A134</f>
        <v>3/1969</v>
      </c>
      <c r="B134" s="43">
        <f>Volcanic!B134</f>
        <v>1.0000000000001563E-2</v>
      </c>
      <c r="C134" s="47">
        <f>Volcanic!C134</f>
        <v>0.21780679275778927</v>
      </c>
      <c r="D134" s="41">
        <v>0.8</v>
      </c>
      <c r="E134" s="43">
        <f t="shared" si="40"/>
        <v>0.9</v>
      </c>
      <c r="F134" s="48">
        <v>1.6590000000000001E-2</v>
      </c>
      <c r="G134" s="47">
        <f t="shared" si="27"/>
        <v>1.392E-2</v>
      </c>
      <c r="H134" s="43">
        <f>Volcanic!D134</f>
        <v>0.93</v>
      </c>
      <c r="I134" s="47">
        <f>Volcanic!E134</f>
        <v>1.392E-2</v>
      </c>
      <c r="K134" s="47">
        <f t="shared" si="28"/>
        <v>0.21780679275778927</v>
      </c>
      <c r="L134" s="47">
        <f t="shared" si="29"/>
        <v>0.9</v>
      </c>
      <c r="M134" s="47">
        <f t="shared" si="30"/>
        <v>1.392E-2</v>
      </c>
      <c r="O134" s="47">
        <f t="shared" si="31"/>
        <v>0.21780679275778927</v>
      </c>
      <c r="P134" s="47">
        <f t="shared" si="32"/>
        <v>0.93</v>
      </c>
      <c r="Q134" s="47">
        <f t="shared" si="33"/>
        <v>1.392E-2</v>
      </c>
      <c r="S134" s="47">
        <f t="shared" si="34"/>
        <v>0.21780679275778927</v>
      </c>
      <c r="T134" s="47">
        <f t="shared" si="35"/>
        <v>0.9</v>
      </c>
      <c r="U134" s="47">
        <f t="shared" si="36"/>
        <v>1.392E-2</v>
      </c>
      <c r="W134" s="47">
        <f t="shared" si="37"/>
        <v>-7.6437161329948919E-2</v>
      </c>
      <c r="X134" s="47">
        <f t="shared" si="38"/>
        <v>-7.7773122465570069E-2</v>
      </c>
      <c r="Y134" s="47">
        <f t="shared" si="39"/>
        <v>-7.472927492589479E-2</v>
      </c>
      <c r="AP134" s="48">
        <v>-5.4100000000000002E-2</v>
      </c>
      <c r="AQ134" s="48">
        <v>-5.4300000000000001E-2</v>
      </c>
      <c r="AR134" s="47">
        <f>IF(AP134="","",AP134-($AC$60+$AC$61*Volcanic!C134+$AC$62*Volcanic!D134+$AC$63*Volcanic!E134))</f>
        <v>-0.13402369313857365</v>
      </c>
      <c r="AS134" s="47">
        <f>IF(AQ134="","",AQ134-($AD$60+$AD$61*Volcanic!C134+$AD$62*Volcanic!D134+$AD$63*Volcanic!E134))</f>
        <v>-0.14344840531328149</v>
      </c>
    </row>
    <row r="135" spans="1:45">
      <c r="A135" s="45" t="str">
        <f>Volcanic!A135</f>
        <v>4/1969</v>
      </c>
      <c r="B135" s="43">
        <f>Volcanic!B135</f>
        <v>0.16999999999999993</v>
      </c>
      <c r="C135" s="47">
        <f>Volcanic!C135</f>
        <v>0.22236297828007129</v>
      </c>
      <c r="D135" s="41">
        <v>0.7</v>
      </c>
      <c r="E135" s="43">
        <f t="shared" si="40"/>
        <v>1</v>
      </c>
      <c r="F135" s="48">
        <v>1.593E-2</v>
      </c>
      <c r="G135" s="47">
        <f t="shared" si="27"/>
        <v>1.6070000000000001E-2</v>
      </c>
      <c r="H135" s="43">
        <f>Volcanic!D135</f>
        <v>0.98</v>
      </c>
      <c r="I135" s="47">
        <f>Volcanic!E135</f>
        <v>1.6070000000000001E-2</v>
      </c>
      <c r="K135" s="47">
        <f t="shared" si="28"/>
        <v>0.22236297828007129</v>
      </c>
      <c r="L135" s="47">
        <f t="shared" si="29"/>
        <v>1</v>
      </c>
      <c r="M135" s="47">
        <f t="shared" si="30"/>
        <v>1.6070000000000001E-2</v>
      </c>
      <c r="O135" s="47">
        <f t="shared" si="31"/>
        <v>0.22236297828007129</v>
      </c>
      <c r="P135" s="47">
        <f t="shared" si="32"/>
        <v>0.98</v>
      </c>
      <c r="Q135" s="47">
        <f t="shared" si="33"/>
        <v>1.6070000000000001E-2</v>
      </c>
      <c r="S135" s="47">
        <f t="shared" si="34"/>
        <v>0.22236297828007129</v>
      </c>
      <c r="T135" s="47">
        <f t="shared" si="35"/>
        <v>1</v>
      </c>
      <c r="U135" s="47">
        <f t="shared" si="36"/>
        <v>1.6070000000000001E-2</v>
      </c>
      <c r="W135" s="47">
        <f t="shared" si="37"/>
        <v>6.6587682028208361E-2</v>
      </c>
      <c r="X135" s="47">
        <f t="shared" si="38"/>
        <v>7.0829479194433734E-2</v>
      </c>
      <c r="Y135" s="47">
        <f t="shared" si="39"/>
        <v>6.9177029907241977E-2</v>
      </c>
      <c r="AP135" s="48">
        <v>0.12659999999999999</v>
      </c>
      <c r="AQ135" s="48">
        <v>0.16070000000000001</v>
      </c>
      <c r="AR135" s="47">
        <f>IF(AP135="","",AP135-($AC$60+$AC$61*Volcanic!C135+$AC$62*Volcanic!D135+$AC$63*Volcanic!E135))</f>
        <v>3.4726225340696359E-2</v>
      </c>
      <c r="AS135" s="47">
        <f>IF(AQ135="","",AQ135-($AD$60+$AD$61*Volcanic!C135+$AD$62*Volcanic!D135+$AD$63*Volcanic!E135))</f>
        <v>5.8936256205065735E-2</v>
      </c>
    </row>
    <row r="136" spans="1:45">
      <c r="A136" s="45" t="str">
        <f>Volcanic!A136</f>
        <v>5/1969</v>
      </c>
      <c r="B136" s="43">
        <f>Volcanic!B136</f>
        <v>0.17999999999999972</v>
      </c>
      <c r="C136" s="47">
        <f>Volcanic!C136</f>
        <v>0.22553936152588727</v>
      </c>
      <c r="D136" s="41">
        <v>0.6</v>
      </c>
      <c r="E136" s="43">
        <f t="shared" si="40"/>
        <v>1</v>
      </c>
      <c r="F136" s="48">
        <v>1.52E-2</v>
      </c>
      <c r="G136" s="47">
        <f t="shared" si="27"/>
        <v>1.738E-2</v>
      </c>
      <c r="H136" s="43">
        <f>Volcanic!D136</f>
        <v>0.98</v>
      </c>
      <c r="I136" s="47">
        <f>Volcanic!E136</f>
        <v>1.738E-2</v>
      </c>
      <c r="K136" s="47">
        <f t="shared" si="28"/>
        <v>0.22553936152588727</v>
      </c>
      <c r="L136" s="47">
        <f t="shared" si="29"/>
        <v>1</v>
      </c>
      <c r="M136" s="47">
        <f t="shared" si="30"/>
        <v>1.738E-2</v>
      </c>
      <c r="O136" s="47">
        <f t="shared" si="31"/>
        <v>0.22553936152588727</v>
      </c>
      <c r="P136" s="47">
        <f t="shared" si="32"/>
        <v>0.98</v>
      </c>
      <c r="Q136" s="47">
        <f t="shared" si="33"/>
        <v>1.738E-2</v>
      </c>
      <c r="S136" s="47">
        <f t="shared" si="34"/>
        <v>0.22553936152588727</v>
      </c>
      <c r="T136" s="47">
        <f t="shared" si="35"/>
        <v>1</v>
      </c>
      <c r="U136" s="47">
        <f t="shared" si="36"/>
        <v>1.738E-2</v>
      </c>
      <c r="W136" s="47">
        <f t="shared" si="37"/>
        <v>7.0811824410808577E-2</v>
      </c>
      <c r="X136" s="47">
        <f t="shared" si="38"/>
        <v>7.5664582311309125E-2</v>
      </c>
      <c r="Y136" s="47">
        <f t="shared" si="39"/>
        <v>7.4017132422806206E-2</v>
      </c>
      <c r="AP136" s="48">
        <v>0.1421</v>
      </c>
      <c r="AQ136" s="48">
        <v>0.2167</v>
      </c>
      <c r="AR136" s="47">
        <f>IF(AP136="","",AP136-($AC$60+$AC$61*Volcanic!C136+$AC$62*Volcanic!D136+$AC$63*Volcanic!E136))</f>
        <v>4.4704889908096623E-2</v>
      </c>
      <c r="AS136" s="47">
        <f>IF(AQ136="","",AQ136-($AD$60+$AD$61*Volcanic!C136+$AD$62*Volcanic!D136+$AD$63*Volcanic!E136))</f>
        <v>0.10903991351697798</v>
      </c>
    </row>
    <row r="137" spans="1:45">
      <c r="A137" s="45" t="str">
        <f>Volcanic!A137</f>
        <v>6/1969</v>
      </c>
      <c r="B137" s="43">
        <f>Volcanic!B137</f>
        <v>2.9999999999997584E-2</v>
      </c>
      <c r="C137" s="47">
        <f>Volcanic!C137</f>
        <v>0.22258378655772451</v>
      </c>
      <c r="D137" s="41">
        <v>0.5</v>
      </c>
      <c r="E137" s="43">
        <f t="shared" si="40"/>
        <v>0.8</v>
      </c>
      <c r="F137" s="48">
        <v>1.4449999999999999E-2</v>
      </c>
      <c r="G137" s="47">
        <f t="shared" ref="G137:G200" si="41">IF(F130="","",F130)</f>
        <v>1.7930000000000001E-2</v>
      </c>
      <c r="H137" s="43">
        <f>Volcanic!D137</f>
        <v>0.77</v>
      </c>
      <c r="I137" s="47">
        <f>Volcanic!E137</f>
        <v>1.7930000000000001E-2</v>
      </c>
      <c r="K137" s="47">
        <f t="shared" si="28"/>
        <v>0.22258378655772451</v>
      </c>
      <c r="L137" s="47">
        <f t="shared" si="29"/>
        <v>0.8</v>
      </c>
      <c r="M137" s="47">
        <f t="shared" si="30"/>
        <v>1.7930000000000001E-2</v>
      </c>
      <c r="O137" s="47">
        <f t="shared" si="31"/>
        <v>0.22258378655772451</v>
      </c>
      <c r="P137" s="47">
        <f t="shared" si="32"/>
        <v>0.77</v>
      </c>
      <c r="Q137" s="47">
        <f t="shared" si="33"/>
        <v>1.7930000000000001E-2</v>
      </c>
      <c r="S137" s="47">
        <f t="shared" si="34"/>
        <v>0.22258378655772451</v>
      </c>
      <c r="T137" s="47">
        <f t="shared" si="35"/>
        <v>0.8</v>
      </c>
      <c r="U137" s="47">
        <f t="shared" si="36"/>
        <v>1.7930000000000001E-2</v>
      </c>
      <c r="W137" s="47">
        <f t="shared" si="37"/>
        <v>-5.1341275898088359E-2</v>
      </c>
      <c r="X137" s="47">
        <f t="shared" si="38"/>
        <v>-4.5181175627718104E-2</v>
      </c>
      <c r="Y137" s="47">
        <f t="shared" si="39"/>
        <v>-4.7752199065140999E-2</v>
      </c>
      <c r="AP137" s="48">
        <v>8.4900000000000003E-2</v>
      </c>
      <c r="AQ137" s="48">
        <v>0.1027</v>
      </c>
      <c r="AR137" s="47">
        <f>IF(AP137="","",AP137-($AC$60+$AC$61*Volcanic!C137+$AC$62*Volcanic!D137+$AC$63*Volcanic!E137))</f>
        <v>1.6564288248399756E-2</v>
      </c>
      <c r="AS137" s="47">
        <f>IF(AQ137="","",AQ137-($AD$60+$AD$61*Volcanic!C137+$AD$62*Volcanic!D137+$AD$63*Volcanic!E137))</f>
        <v>2.464636717673141E-2</v>
      </c>
    </row>
    <row r="138" spans="1:45">
      <c r="A138" s="45" t="str">
        <f>Volcanic!A138</f>
        <v>7/1969</v>
      </c>
      <c r="B138" s="43">
        <f>Volcanic!B138</f>
        <v>-3.9999999999999147E-2</v>
      </c>
      <c r="C138" s="47">
        <f>Volcanic!C138</f>
        <v>0.21891398613294744</v>
      </c>
      <c r="D138" s="41">
        <v>0.4</v>
      </c>
      <c r="E138" s="43">
        <f t="shared" si="40"/>
        <v>0.7</v>
      </c>
      <c r="F138" s="48">
        <v>1.37E-2</v>
      </c>
      <c r="G138" s="47">
        <f t="shared" si="41"/>
        <v>1.7989999999999999E-2</v>
      </c>
      <c r="H138" s="43">
        <f>Volcanic!D138</f>
        <v>0.69</v>
      </c>
      <c r="I138" s="47">
        <f>Volcanic!E138</f>
        <v>1.7989999999999999E-2</v>
      </c>
      <c r="K138" s="47">
        <f t="shared" si="28"/>
        <v>0.21891398613294744</v>
      </c>
      <c r="L138" s="47">
        <f t="shared" si="29"/>
        <v>0.7</v>
      </c>
      <c r="M138" s="47">
        <f t="shared" si="30"/>
        <v>1.7989999999999999E-2</v>
      </c>
      <c r="O138" s="47">
        <f t="shared" si="31"/>
        <v>0.21891398613294744</v>
      </c>
      <c r="P138" s="47">
        <f t="shared" si="32"/>
        <v>0.69</v>
      </c>
      <c r="Q138" s="47">
        <f t="shared" si="33"/>
        <v>1.7989999999999999E-2</v>
      </c>
      <c r="S138" s="47">
        <f t="shared" si="34"/>
        <v>0.21891398613294744</v>
      </c>
      <c r="T138" s="47">
        <f t="shared" si="35"/>
        <v>0.7</v>
      </c>
      <c r="U138" s="47">
        <f t="shared" si="36"/>
        <v>1.7989999999999999E-2</v>
      </c>
      <c r="W138" s="47">
        <f t="shared" si="37"/>
        <v>-0.10191363457623213</v>
      </c>
      <c r="X138" s="47">
        <f t="shared" si="38"/>
        <v>-9.7587921274649686E-2</v>
      </c>
      <c r="Y138" s="47">
        <f t="shared" si="39"/>
        <v>-9.8273653168336333E-2</v>
      </c>
      <c r="AP138" s="48">
        <v>-2.9100000000000001E-2</v>
      </c>
      <c r="AQ138" s="48">
        <v>-0.1013</v>
      </c>
      <c r="AR138" s="47">
        <f>IF(AP138="","",AP138-($AC$60+$AC$61*Volcanic!C138+$AC$62*Volcanic!D138+$AC$63*Volcanic!E138))</f>
        <v>-7.9778944893096504E-2</v>
      </c>
      <c r="AS138" s="47">
        <f>IF(AQ138="","",AQ138-($AD$60+$AD$61*Volcanic!C138+$AD$62*Volcanic!D138+$AD$63*Volcanic!E138))</f>
        <v>-0.16129234753928118</v>
      </c>
    </row>
    <row r="139" spans="1:45">
      <c r="A139" s="45" t="str">
        <f>Volcanic!A139</f>
        <v>8/1969</v>
      </c>
      <c r="B139" s="43">
        <f>Volcanic!B139</f>
        <v>3.9999999999999147E-2</v>
      </c>
      <c r="C139" s="47">
        <f>Volcanic!C139</f>
        <v>0.20905225179222678</v>
      </c>
      <c r="D139" s="41">
        <v>0.4</v>
      </c>
      <c r="E139" s="43">
        <f t="shared" si="40"/>
        <v>0.6</v>
      </c>
      <c r="F139" s="48">
        <v>1.3010000000000001E-2</v>
      </c>
      <c r="G139" s="47">
        <f t="shared" si="41"/>
        <v>1.7749999999999998E-2</v>
      </c>
      <c r="H139" s="43">
        <f>Volcanic!D139</f>
        <v>0.62</v>
      </c>
      <c r="I139" s="47">
        <f>Volcanic!E139</f>
        <v>1.7749999999999998E-2</v>
      </c>
      <c r="K139" s="47">
        <f t="shared" si="28"/>
        <v>0.20905225179222678</v>
      </c>
      <c r="L139" s="47">
        <f t="shared" si="29"/>
        <v>0.6</v>
      </c>
      <c r="M139" s="47">
        <f t="shared" si="30"/>
        <v>1.7749999999999998E-2</v>
      </c>
      <c r="O139" s="47">
        <f t="shared" si="31"/>
        <v>0.20905225179222678</v>
      </c>
      <c r="P139" s="47">
        <f t="shared" si="32"/>
        <v>0.62</v>
      </c>
      <c r="Q139" s="47">
        <f t="shared" si="33"/>
        <v>1.7749999999999998E-2</v>
      </c>
      <c r="S139" s="47">
        <f t="shared" si="34"/>
        <v>0.20905225179222678</v>
      </c>
      <c r="T139" s="47">
        <f t="shared" si="35"/>
        <v>0.6</v>
      </c>
      <c r="U139" s="47">
        <f t="shared" si="36"/>
        <v>1.7749999999999998E-2</v>
      </c>
      <c r="W139" s="47">
        <f t="shared" si="37"/>
        <v>1.3739285392354438E-2</v>
      </c>
      <c r="X139" s="47">
        <f t="shared" si="38"/>
        <v>1.5022526644224675E-2</v>
      </c>
      <c r="Y139" s="47">
        <f t="shared" si="39"/>
        <v>1.7158648975849899E-2</v>
      </c>
      <c r="AP139" s="48">
        <v>7.6E-3</v>
      </c>
      <c r="AQ139" s="48">
        <v>-1.9300000000000001E-2</v>
      </c>
      <c r="AR139" s="47">
        <f>IF(AP139="","",AP139-($AC$60+$AC$61*Volcanic!C139+$AC$62*Volcanic!D139+$AC$63*Volcanic!E139))</f>
        <v>-1.0172744259702039E-2</v>
      </c>
      <c r="AS139" s="47">
        <f>IF(AQ139="","",AQ139-($AD$60+$AD$61*Volcanic!C139+$AD$62*Volcanic!D139+$AD$63*Volcanic!E139))</f>
        <v>-4.5530869311985814E-2</v>
      </c>
    </row>
    <row r="140" spans="1:45">
      <c r="A140" s="45" t="str">
        <f>Volcanic!A140</f>
        <v>9/1969</v>
      </c>
      <c r="B140" s="43">
        <f>Volcanic!B140</f>
        <v>8.0000000000000071E-2</v>
      </c>
      <c r="C140" s="47">
        <f>Volcanic!C140</f>
        <v>0.20333541670858227</v>
      </c>
      <c r="D140" s="41">
        <v>0.6</v>
      </c>
      <c r="E140" s="43">
        <f t="shared" si="40"/>
        <v>0.5</v>
      </c>
      <c r="F140" s="48">
        <v>1.23E-2</v>
      </c>
      <c r="G140" s="47">
        <f t="shared" si="41"/>
        <v>1.7219999999999999E-2</v>
      </c>
      <c r="H140" s="43">
        <f>Volcanic!D140</f>
        <v>0.48</v>
      </c>
      <c r="I140" s="47">
        <f>Volcanic!E140</f>
        <v>1.7219999999999999E-2</v>
      </c>
      <c r="K140" s="47">
        <f t="shared" si="28"/>
        <v>0.20333541670858227</v>
      </c>
      <c r="L140" s="47">
        <f t="shared" si="29"/>
        <v>0.5</v>
      </c>
      <c r="M140" s="47">
        <f t="shared" si="30"/>
        <v>1.7219999999999999E-2</v>
      </c>
      <c r="O140" s="47">
        <f t="shared" si="31"/>
        <v>0.20333541670858227</v>
      </c>
      <c r="P140" s="47">
        <f t="shared" si="32"/>
        <v>0.48</v>
      </c>
      <c r="Q140" s="47">
        <f t="shared" si="33"/>
        <v>1.7219999999999999E-2</v>
      </c>
      <c r="S140" s="47">
        <f t="shared" si="34"/>
        <v>0.20333541670858227</v>
      </c>
      <c r="T140" s="47">
        <f t="shared" si="35"/>
        <v>0.5</v>
      </c>
      <c r="U140" s="47">
        <f t="shared" si="36"/>
        <v>1.7219999999999999E-2</v>
      </c>
      <c r="W140" s="47">
        <f t="shared" si="37"/>
        <v>7.7449418700207856E-2</v>
      </c>
      <c r="X140" s="47">
        <f t="shared" si="38"/>
        <v>8.2244747652829381E-2</v>
      </c>
      <c r="Y140" s="47">
        <f t="shared" si="39"/>
        <v>8.0627552245962103E-2</v>
      </c>
      <c r="AP140" s="48">
        <v>6.6600000000000006E-2</v>
      </c>
      <c r="AQ140" s="48">
        <v>1.47E-2</v>
      </c>
      <c r="AR140" s="47">
        <f>IF(AP140="","",AP140-($AC$60+$AC$61*Volcanic!C140+$AC$62*Volcanic!D140+$AC$63*Volcanic!E140))</f>
        <v>7.6272719913851331E-2</v>
      </c>
      <c r="AS140" s="47">
        <f>IF(AQ140="","",AQ140-($AD$60+$AD$61*Volcanic!C140+$AD$62*Volcanic!D140+$AD$63*Volcanic!E140))</f>
        <v>1.6646490403440649E-2</v>
      </c>
    </row>
    <row r="141" spans="1:45">
      <c r="A141" s="45" t="str">
        <f>Volcanic!A141</f>
        <v>10/1969</v>
      </c>
      <c r="B141" s="43">
        <f>Volcanic!B141</f>
        <v>8.9999999999999858E-2</v>
      </c>
      <c r="C141" s="47">
        <f>Volcanic!C141</f>
        <v>0.20064783202506462</v>
      </c>
      <c r="D141" s="41">
        <v>0.7</v>
      </c>
      <c r="E141" s="43">
        <f t="shared" si="40"/>
        <v>0.4</v>
      </c>
      <c r="F141" s="48">
        <v>1.163E-2</v>
      </c>
      <c r="G141" s="47">
        <f t="shared" si="41"/>
        <v>1.6590000000000001E-2</v>
      </c>
      <c r="H141" s="43">
        <f>Volcanic!D141</f>
        <v>0.37</v>
      </c>
      <c r="I141" s="47">
        <f>Volcanic!E141</f>
        <v>1.6590000000000001E-2</v>
      </c>
      <c r="K141" s="47">
        <f t="shared" si="28"/>
        <v>0.20064783202506462</v>
      </c>
      <c r="L141" s="47">
        <f t="shared" si="29"/>
        <v>0.4</v>
      </c>
      <c r="M141" s="47">
        <f t="shared" si="30"/>
        <v>1.6590000000000001E-2</v>
      </c>
      <c r="O141" s="47">
        <f t="shared" si="31"/>
        <v>0.20064783202506462</v>
      </c>
      <c r="P141" s="47">
        <f t="shared" si="32"/>
        <v>0.37</v>
      </c>
      <c r="Q141" s="47">
        <f t="shared" si="33"/>
        <v>1.6590000000000001E-2</v>
      </c>
      <c r="S141" s="47">
        <f t="shared" si="34"/>
        <v>0.20064783202506462</v>
      </c>
      <c r="T141" s="47">
        <f t="shared" si="35"/>
        <v>0.4</v>
      </c>
      <c r="U141" s="47">
        <f t="shared" si="36"/>
        <v>1.6590000000000001E-2</v>
      </c>
      <c r="W141" s="47">
        <f t="shared" si="37"/>
        <v>0.10267797752709604</v>
      </c>
      <c r="X141" s="47">
        <f t="shared" si="38"/>
        <v>0.10819779085679074</v>
      </c>
      <c r="Y141" s="47">
        <f t="shared" si="39"/>
        <v>0.10564597203041626</v>
      </c>
      <c r="AP141" s="48">
        <v>7.9000000000000001E-2</v>
      </c>
      <c r="AQ141" s="48">
        <v>6.0699999999999997E-2</v>
      </c>
      <c r="AR141" s="47">
        <f>IF(AP141="","",AP141-($AC$60+$AC$61*Volcanic!C141+$AC$62*Volcanic!D141+$AC$63*Volcanic!E141))</f>
        <v>0.10479651536011649</v>
      </c>
      <c r="AS141" s="47">
        <f>IF(AQ141="","",AQ141-($AD$60+$AD$61*Volcanic!C141+$AD$62*Volcanic!D141+$AD$63*Volcanic!E141))</f>
        <v>7.9243279045562831E-2</v>
      </c>
    </row>
    <row r="142" spans="1:45">
      <c r="A142" s="45" t="str">
        <f>Volcanic!A142</f>
        <v>11/1969</v>
      </c>
      <c r="B142" s="43">
        <f>Volcanic!B142</f>
        <v>0.11999999999999744</v>
      </c>
      <c r="C142" s="47">
        <f>Volcanic!C142</f>
        <v>0.2054371999150208</v>
      </c>
      <c r="D142" s="41">
        <v>0.8</v>
      </c>
      <c r="E142" s="43">
        <f t="shared" si="40"/>
        <v>0.4</v>
      </c>
      <c r="F142" s="48">
        <v>1.0840000000000001E-2</v>
      </c>
      <c r="G142" s="47">
        <f t="shared" si="41"/>
        <v>1.593E-2</v>
      </c>
      <c r="H142" s="43">
        <f>Volcanic!D142</f>
        <v>0.41</v>
      </c>
      <c r="I142" s="47">
        <f>Volcanic!E142</f>
        <v>1.593E-2</v>
      </c>
      <c r="K142" s="47">
        <f t="shared" si="28"/>
        <v>0.2054371999150208</v>
      </c>
      <c r="L142" s="47">
        <f t="shared" si="29"/>
        <v>0.4</v>
      </c>
      <c r="M142" s="47">
        <f t="shared" si="30"/>
        <v>1.593E-2</v>
      </c>
      <c r="O142" s="47">
        <f t="shared" si="31"/>
        <v>0.2054371999150208</v>
      </c>
      <c r="P142" s="47">
        <f t="shared" si="32"/>
        <v>0.41</v>
      </c>
      <c r="Q142" s="47">
        <f t="shared" si="33"/>
        <v>1.593E-2</v>
      </c>
      <c r="S142" s="47">
        <f t="shared" si="34"/>
        <v>0.2054371999150208</v>
      </c>
      <c r="T142" s="47">
        <f t="shared" si="35"/>
        <v>0.4</v>
      </c>
      <c r="U142" s="47">
        <f t="shared" si="36"/>
        <v>1.593E-2</v>
      </c>
      <c r="W142" s="47">
        <f t="shared" si="37"/>
        <v>0.11816232360184686</v>
      </c>
      <c r="X142" s="47">
        <f t="shared" si="38"/>
        <v>0.11976749368883671</v>
      </c>
      <c r="Y142" s="47">
        <f t="shared" si="39"/>
        <v>0.12097253776234951</v>
      </c>
      <c r="AP142" s="48">
        <v>0.10100000000000001</v>
      </c>
      <c r="AQ142" s="48">
        <v>5.9700000000000003E-2</v>
      </c>
      <c r="AR142" s="47">
        <f>IF(AP142="","",AP142-($AC$60+$AC$61*Volcanic!C142+$AC$62*Volcanic!D142+$AC$63*Volcanic!E142))</f>
        <v>0.10838473239769347</v>
      </c>
      <c r="AS142" s="47">
        <f>IF(AQ142="","",AQ142-($AD$60+$AD$61*Volcanic!C142+$AD$62*Volcanic!D142+$AD$63*Volcanic!E142))</f>
        <v>5.9494564998989502E-2</v>
      </c>
    </row>
    <row r="143" spans="1:45">
      <c r="A143" s="45" t="str">
        <f>Volcanic!A143</f>
        <v>12/1969</v>
      </c>
      <c r="B143" s="43">
        <f>Volcanic!B143</f>
        <v>0.24000000000000199</v>
      </c>
      <c r="C143" s="47">
        <f>Volcanic!C143</f>
        <v>0.21105670668466028</v>
      </c>
      <c r="D143" s="41">
        <v>0.7</v>
      </c>
      <c r="E143" s="43">
        <f t="shared" si="40"/>
        <v>0.6</v>
      </c>
      <c r="F143" s="48">
        <v>1.0059999999999999E-2</v>
      </c>
      <c r="G143" s="47">
        <f t="shared" si="41"/>
        <v>1.52E-2</v>
      </c>
      <c r="H143" s="43">
        <f>Volcanic!D143</f>
        <v>0.61</v>
      </c>
      <c r="I143" s="47">
        <f>Volcanic!E143</f>
        <v>1.52E-2</v>
      </c>
      <c r="K143" s="47">
        <f t="shared" si="28"/>
        <v>0.21105670668466028</v>
      </c>
      <c r="L143" s="47">
        <f t="shared" si="29"/>
        <v>0.6</v>
      </c>
      <c r="M143" s="47">
        <f t="shared" si="30"/>
        <v>1.52E-2</v>
      </c>
      <c r="O143" s="47">
        <f t="shared" si="31"/>
        <v>0.21105670668466028</v>
      </c>
      <c r="P143" s="47">
        <f t="shared" si="32"/>
        <v>0.61</v>
      </c>
      <c r="Q143" s="47">
        <f t="shared" si="33"/>
        <v>1.52E-2</v>
      </c>
      <c r="S143" s="47">
        <f t="shared" si="34"/>
        <v>0.21105670668466028</v>
      </c>
      <c r="T143" s="47">
        <f t="shared" si="35"/>
        <v>0.6</v>
      </c>
      <c r="U143" s="47">
        <f t="shared" si="36"/>
        <v>1.52E-2</v>
      </c>
      <c r="W143" s="47">
        <f t="shared" si="37"/>
        <v>0.20265384625488386</v>
      </c>
      <c r="X143" s="47">
        <f t="shared" si="38"/>
        <v>0.20388016860445746</v>
      </c>
      <c r="Y143" s="47">
        <f t="shared" si="39"/>
        <v>0.2050696760170673</v>
      </c>
      <c r="AP143" s="48">
        <v>0.24629999999999999</v>
      </c>
      <c r="AQ143" s="48">
        <v>0.2727</v>
      </c>
      <c r="AR143" s="47">
        <f>IF(AP143="","",AP143-($AC$60+$AC$61*Volcanic!C143+$AC$62*Volcanic!D143+$AC$63*Volcanic!E143))</f>
        <v>0.21785451527827615</v>
      </c>
      <c r="AS143" s="47">
        <f>IF(AQ143="","",AQ143-($AD$60+$AD$61*Volcanic!C143+$AD$62*Volcanic!D143+$AD$63*Volcanic!E143))</f>
        <v>0.23597010322532186</v>
      </c>
    </row>
    <row r="144" spans="1:45">
      <c r="A144" s="45" t="str">
        <f>Volcanic!A144</f>
        <v>1/1970</v>
      </c>
      <c r="B144" s="43">
        <f>Volcanic!B144</f>
        <v>8.0000000000000071E-2</v>
      </c>
      <c r="C144" s="47">
        <f>Volcanic!C144</f>
        <v>0.21527921008816014</v>
      </c>
      <c r="D144" s="41">
        <v>0.5</v>
      </c>
      <c r="E144" s="43">
        <f t="shared" si="40"/>
        <v>0.7</v>
      </c>
      <c r="F144" s="48">
        <v>9.3399999999999993E-3</v>
      </c>
      <c r="G144" s="47">
        <f t="shared" si="41"/>
        <v>1.4449999999999999E-2</v>
      </c>
      <c r="H144" s="43">
        <f>Volcanic!D144</f>
        <v>0.71</v>
      </c>
      <c r="I144" s="47">
        <f>Volcanic!E144</f>
        <v>1.4449999999999999E-2</v>
      </c>
      <c r="K144" s="47">
        <f t="shared" si="28"/>
        <v>0.21527921008816014</v>
      </c>
      <c r="L144" s="47">
        <f t="shared" si="29"/>
        <v>0.7</v>
      </c>
      <c r="M144" s="47">
        <f t="shared" si="30"/>
        <v>1.4449999999999999E-2</v>
      </c>
      <c r="O144" s="47">
        <f t="shared" si="31"/>
        <v>0.21527921008816014</v>
      </c>
      <c r="P144" s="47">
        <f t="shared" si="32"/>
        <v>0.71</v>
      </c>
      <c r="Q144" s="47">
        <f t="shared" si="33"/>
        <v>1.4449999999999999E-2</v>
      </c>
      <c r="S144" s="47">
        <f t="shared" si="34"/>
        <v>0.21527921008816014</v>
      </c>
      <c r="T144" s="47">
        <f t="shared" si="35"/>
        <v>0.7</v>
      </c>
      <c r="U144" s="47">
        <f t="shared" si="36"/>
        <v>1.4449999999999999E-2</v>
      </c>
      <c r="W144" s="47">
        <f t="shared" si="37"/>
        <v>2.019846841647726E-2</v>
      </c>
      <c r="X144" s="47">
        <f t="shared" si="38"/>
        <v>2.1111115497386999E-2</v>
      </c>
      <c r="Y144" s="47">
        <f t="shared" si="39"/>
        <v>2.2292095568618164E-2</v>
      </c>
      <c r="AP144" s="48">
        <v>9.0200000000000002E-2</v>
      </c>
      <c r="AQ144" s="48">
        <v>0.13070000000000001</v>
      </c>
      <c r="AR144" s="47">
        <f>IF(AP144="","",AP144-($AC$60+$AC$61*Volcanic!C144+$AC$62*Volcanic!D144+$AC$63*Volcanic!E144))</f>
        <v>3.9055352973366493E-2</v>
      </c>
      <c r="AS144" s="47">
        <f>IF(AQ144="","",AQ144-($AD$60+$AD$61*Volcanic!C144+$AD$62*Volcanic!D144+$AD$63*Volcanic!E144))</f>
        <v>7.0869123990068228E-2</v>
      </c>
    </row>
    <row r="145" spans="1:45">
      <c r="A145" s="45" t="str">
        <f>Volcanic!A145</f>
        <v>2/1970</v>
      </c>
      <c r="B145" s="43">
        <f>Volcanic!B145</f>
        <v>0.22000000000000242</v>
      </c>
      <c r="C145" s="47">
        <f>Volcanic!C145</f>
        <v>0.21940088215824097</v>
      </c>
      <c r="D145" s="41">
        <v>0.2</v>
      </c>
      <c r="E145" s="43">
        <f t="shared" si="40"/>
        <v>0.8</v>
      </c>
      <c r="F145" s="48">
        <v>8.6400000000000001E-3</v>
      </c>
      <c r="G145" s="47">
        <f t="shared" si="41"/>
        <v>1.37E-2</v>
      </c>
      <c r="H145" s="43">
        <f>Volcanic!D145</f>
        <v>0.81</v>
      </c>
      <c r="I145" s="47">
        <f>Volcanic!E145</f>
        <v>1.37E-2</v>
      </c>
      <c r="K145" s="47">
        <f t="shared" si="28"/>
        <v>0.21940088215824097</v>
      </c>
      <c r="L145" s="47">
        <f t="shared" si="29"/>
        <v>0.8</v>
      </c>
      <c r="M145" s="47">
        <f t="shared" si="30"/>
        <v>1.37E-2</v>
      </c>
      <c r="O145" s="47">
        <f t="shared" si="31"/>
        <v>0.21940088215824097</v>
      </c>
      <c r="P145" s="47">
        <f t="shared" si="32"/>
        <v>0.81</v>
      </c>
      <c r="Q145" s="47">
        <f t="shared" si="33"/>
        <v>1.37E-2</v>
      </c>
      <c r="S145" s="47">
        <f t="shared" si="34"/>
        <v>0.21940088215824097</v>
      </c>
      <c r="T145" s="47">
        <f t="shared" si="35"/>
        <v>0.8</v>
      </c>
      <c r="U145" s="47">
        <f t="shared" si="36"/>
        <v>1.37E-2</v>
      </c>
      <c r="W145" s="47">
        <f t="shared" si="37"/>
        <v>0.13801807280724301</v>
      </c>
      <c r="X145" s="47">
        <f t="shared" si="38"/>
        <v>0.13861466784258417</v>
      </c>
      <c r="Y145" s="47">
        <f t="shared" si="39"/>
        <v>0.13978709004808851</v>
      </c>
      <c r="AP145" s="48">
        <v>0.1396</v>
      </c>
      <c r="AQ145" s="48">
        <v>0.1517</v>
      </c>
      <c r="AR145" s="47">
        <f>IF(AP145="","",AP145-($AC$60+$AC$61*Volcanic!C145+$AC$62*Volcanic!D145+$AC$63*Volcanic!E145))</f>
        <v>6.6031521523672088E-2</v>
      </c>
      <c r="AS145" s="47">
        <f>IF(AQ145="","",AQ145-($AD$60+$AD$61*Volcanic!C145+$AD$62*Volcanic!D145+$AD$63*Volcanic!E145))</f>
        <v>6.9050562508790131E-2</v>
      </c>
    </row>
    <row r="146" spans="1:45">
      <c r="A146" s="45" t="str">
        <f>Volcanic!A146</f>
        <v>3/1970</v>
      </c>
      <c r="B146" s="43">
        <f>Volcanic!B146</f>
        <v>5.9999999999998721E-2</v>
      </c>
      <c r="C146" s="47">
        <f>Volcanic!C146</f>
        <v>0.22355494169199039</v>
      </c>
      <c r="D146" s="41">
        <v>0.2</v>
      </c>
      <c r="E146" s="43">
        <f t="shared" si="40"/>
        <v>0.7</v>
      </c>
      <c r="F146" s="48">
        <v>8.0499999999999999E-3</v>
      </c>
      <c r="G146" s="47">
        <f t="shared" si="41"/>
        <v>1.3010000000000001E-2</v>
      </c>
      <c r="H146" s="43">
        <f>Volcanic!D146</f>
        <v>0.71</v>
      </c>
      <c r="I146" s="47">
        <f>Volcanic!E146</f>
        <v>1.3010000000000001E-2</v>
      </c>
      <c r="K146" s="47">
        <f t="shared" si="28"/>
        <v>0.22355494169199039</v>
      </c>
      <c r="L146" s="47">
        <f t="shared" si="29"/>
        <v>0.7</v>
      </c>
      <c r="M146" s="47">
        <f t="shared" si="30"/>
        <v>1.3010000000000001E-2</v>
      </c>
      <c r="O146" s="47">
        <f t="shared" si="31"/>
        <v>0.22355494169199039</v>
      </c>
      <c r="P146" s="47">
        <f t="shared" si="32"/>
        <v>0.71</v>
      </c>
      <c r="Q146" s="47">
        <f t="shared" si="33"/>
        <v>1.3010000000000001E-2</v>
      </c>
      <c r="S146" s="47">
        <f t="shared" si="34"/>
        <v>0.22355494169199039</v>
      </c>
      <c r="T146" s="47">
        <f t="shared" si="35"/>
        <v>0.7</v>
      </c>
      <c r="U146" s="47">
        <f t="shared" si="36"/>
        <v>1.3010000000000001E-2</v>
      </c>
      <c r="W146" s="47">
        <f t="shared" si="37"/>
        <v>-2.5543773845967246E-2</v>
      </c>
      <c r="X146" s="47">
        <f t="shared" si="38"/>
        <v>-2.5025339975025637E-2</v>
      </c>
      <c r="Y146" s="47">
        <f t="shared" si="39"/>
        <v>-2.3846293140182703E-2</v>
      </c>
      <c r="AP146" s="48">
        <v>-1.34E-2</v>
      </c>
      <c r="AQ146" s="48">
        <v>7.7000000000000002E-3</v>
      </c>
      <c r="AR146" s="47">
        <f>IF(AP146="","",AP146-($AC$60+$AC$61*Volcanic!C146+$AC$62*Volcanic!D146+$AC$63*Volcanic!E146))</f>
        <v>-9.0607355138544177E-2</v>
      </c>
      <c r="AS146" s="47">
        <f>IF(AQ146="","",AQ146-($AD$60+$AD$61*Volcanic!C146+$AD$62*Volcanic!D146+$AD$63*Volcanic!E146))</f>
        <v>-7.8608425409090577E-2</v>
      </c>
    </row>
    <row r="147" spans="1:45">
      <c r="A147" s="45" t="str">
        <f>Volcanic!A147</f>
        <v>4/1970</v>
      </c>
      <c r="B147" s="43">
        <f>Volcanic!B147</f>
        <v>5.0000000000004263E-2</v>
      </c>
      <c r="C147" s="47">
        <f>Volcanic!C147</f>
        <v>0.22884067425281851</v>
      </c>
      <c r="D147" s="41">
        <v>0.3</v>
      </c>
      <c r="E147" s="43">
        <f t="shared" si="40"/>
        <v>0.5</v>
      </c>
      <c r="F147" s="48">
        <v>7.6099999999999996E-3</v>
      </c>
      <c r="G147" s="47">
        <f t="shared" si="41"/>
        <v>1.23E-2</v>
      </c>
      <c r="H147" s="43">
        <f>Volcanic!D147</f>
        <v>0.46</v>
      </c>
      <c r="I147" s="47">
        <f>Volcanic!E147</f>
        <v>1.23E-2</v>
      </c>
      <c r="K147" s="47">
        <f t="shared" si="28"/>
        <v>0.22884067425281851</v>
      </c>
      <c r="L147" s="47">
        <f t="shared" si="29"/>
        <v>0.5</v>
      </c>
      <c r="M147" s="47">
        <f t="shared" si="30"/>
        <v>1.23E-2</v>
      </c>
      <c r="O147" s="47">
        <f t="shared" si="31"/>
        <v>0.22884067425281851</v>
      </c>
      <c r="P147" s="47">
        <f t="shared" si="32"/>
        <v>0.46</v>
      </c>
      <c r="Q147" s="47">
        <f t="shared" si="33"/>
        <v>1.23E-2</v>
      </c>
      <c r="S147" s="47">
        <f t="shared" si="34"/>
        <v>0.22884067425281851</v>
      </c>
      <c r="T147" s="47">
        <f t="shared" si="35"/>
        <v>0.5</v>
      </c>
      <c r="U147" s="47">
        <f t="shared" si="36"/>
        <v>1.23E-2</v>
      </c>
      <c r="W147" s="47">
        <f t="shared" si="37"/>
        <v>-3.2948602276784769E-2</v>
      </c>
      <c r="X147" s="47">
        <f t="shared" si="38"/>
        <v>-2.768674243459826E-2</v>
      </c>
      <c r="Y147" s="47">
        <f t="shared" si="39"/>
        <v>-3.1190105343378918E-2</v>
      </c>
      <c r="AP147" s="48">
        <v>-2.3999999999999998E-3</v>
      </c>
      <c r="AQ147" s="48">
        <v>5.3699999999999998E-2</v>
      </c>
      <c r="AR147" s="47">
        <f>IF(AP147="","",AP147-($AC$60+$AC$61*Volcanic!C147+$AC$62*Volcanic!D147+$AC$63*Volcanic!E147))</f>
        <v>-7.2337746153747537E-2</v>
      </c>
      <c r="AS147" s="47">
        <f>IF(AQ147="","",AQ147-($AD$60+$AD$61*Volcanic!C147+$AD$62*Volcanic!D147+$AD$63*Volcanic!E147))</f>
        <v>-2.5148265740628617E-2</v>
      </c>
    </row>
    <row r="148" spans="1:45">
      <c r="A148" s="45" t="str">
        <f>Volcanic!A148</f>
        <v>5/1970</v>
      </c>
      <c r="B148" s="43">
        <f>Volcanic!B148</f>
        <v>-2.9999999999999361E-2</v>
      </c>
      <c r="C148" s="47">
        <f>Volcanic!C148</f>
        <v>0.22862082160752503</v>
      </c>
      <c r="D148" s="41">
        <v>0.1</v>
      </c>
      <c r="E148" s="43">
        <f t="shared" si="40"/>
        <v>0.2</v>
      </c>
      <c r="F148" s="48">
        <v>7.2300000000000003E-3</v>
      </c>
      <c r="G148" s="47">
        <f t="shared" si="41"/>
        <v>1.163E-2</v>
      </c>
      <c r="H148" s="43">
        <f>Volcanic!D148</f>
        <v>0.23</v>
      </c>
      <c r="I148" s="47">
        <f>Volcanic!E148</f>
        <v>1.163E-2</v>
      </c>
      <c r="K148" s="47">
        <f t="shared" si="28"/>
        <v>0.22862082160752503</v>
      </c>
      <c r="L148" s="47">
        <f t="shared" si="29"/>
        <v>0.2</v>
      </c>
      <c r="M148" s="47">
        <f t="shared" si="30"/>
        <v>1.163E-2</v>
      </c>
      <c r="O148" s="47">
        <f t="shared" si="31"/>
        <v>0.22862082160752503</v>
      </c>
      <c r="P148" s="47">
        <f t="shared" si="32"/>
        <v>0.23</v>
      </c>
      <c r="Q148" s="47">
        <f t="shared" si="33"/>
        <v>1.163E-2</v>
      </c>
      <c r="S148" s="47">
        <f t="shared" si="34"/>
        <v>0.22862082160752503</v>
      </c>
      <c r="T148" s="47">
        <f t="shared" si="35"/>
        <v>0.2</v>
      </c>
      <c r="U148" s="47">
        <f t="shared" si="36"/>
        <v>1.163E-2</v>
      </c>
      <c r="W148" s="47">
        <f t="shared" si="37"/>
        <v>-8.5963398359622273E-2</v>
      </c>
      <c r="X148" s="47">
        <f t="shared" si="38"/>
        <v>-8.7237575208021695E-2</v>
      </c>
      <c r="Y148" s="47">
        <f t="shared" si="39"/>
        <v>-8.4145055322845982E-2</v>
      </c>
      <c r="AP148" s="48">
        <v>-6.5299999999999997E-2</v>
      </c>
      <c r="AQ148" s="48">
        <v>-1.03E-2</v>
      </c>
      <c r="AR148" s="47">
        <f>IF(AP148="","",AP148-($AC$60+$AC$61*Volcanic!C148+$AC$62*Volcanic!D148+$AC$63*Volcanic!E148))</f>
        <v>-0.11471119565285455</v>
      </c>
      <c r="AS148" s="47">
        <f>IF(AQ148="","",AQ148-($AD$60+$AD$61*Volcanic!C148+$AD$62*Volcanic!D148+$AD$63*Volcanic!E148))</f>
        <v>-6.8087224574145289E-2</v>
      </c>
    </row>
    <row r="149" spans="1:45">
      <c r="A149" s="45" t="str">
        <f>Volcanic!A149</f>
        <v>6/1970</v>
      </c>
      <c r="B149" s="43">
        <f>Volcanic!B149</f>
        <v>-1.9999999999999574E-2</v>
      </c>
      <c r="C149" s="47">
        <f>Volcanic!C149</f>
        <v>0.22681676504986711</v>
      </c>
      <c r="D149" s="41">
        <v>-0.3</v>
      </c>
      <c r="E149" s="43">
        <f t="shared" si="40"/>
        <v>0.2</v>
      </c>
      <c r="F149" s="48">
        <v>6.9100000000000003E-3</v>
      </c>
      <c r="G149" s="47">
        <f t="shared" si="41"/>
        <v>1.0840000000000001E-2</v>
      </c>
      <c r="H149" s="43">
        <f>Volcanic!D149</f>
        <v>0.23</v>
      </c>
      <c r="I149" s="47">
        <f>Volcanic!E149</f>
        <v>1.0840000000000001E-2</v>
      </c>
      <c r="K149" s="47">
        <f t="shared" si="28"/>
        <v>0.22681676504986711</v>
      </c>
      <c r="L149" s="47">
        <f t="shared" si="29"/>
        <v>0.2</v>
      </c>
      <c r="M149" s="47">
        <f t="shared" si="30"/>
        <v>1.0840000000000001E-2</v>
      </c>
      <c r="O149" s="47">
        <f t="shared" si="31"/>
        <v>0.22681676504986711</v>
      </c>
      <c r="P149" s="47">
        <f t="shared" si="32"/>
        <v>0.23</v>
      </c>
      <c r="Q149" s="47">
        <f t="shared" si="33"/>
        <v>1.0840000000000001E-2</v>
      </c>
      <c r="S149" s="47">
        <f t="shared" si="34"/>
        <v>0.22681676504986711</v>
      </c>
      <c r="T149" s="47">
        <f t="shared" si="35"/>
        <v>0.2</v>
      </c>
      <c r="U149" s="47">
        <f t="shared" si="36"/>
        <v>1.0840000000000001E-2</v>
      </c>
      <c r="W149" s="47">
        <f t="shared" si="37"/>
        <v>-7.2784249248150162E-2</v>
      </c>
      <c r="X149" s="47">
        <f t="shared" si="38"/>
        <v>-7.4424240463048699E-2</v>
      </c>
      <c r="Y149" s="47">
        <f t="shared" si="39"/>
        <v>-7.1334701736780914E-2</v>
      </c>
      <c r="AP149" s="48">
        <v>-6.1100000000000002E-2</v>
      </c>
      <c r="AQ149" s="48">
        <v>-5.6300000000000003E-2</v>
      </c>
      <c r="AR149" s="47">
        <f>IF(AP149="","",AP149-($AC$60+$AC$61*Volcanic!C149+$AC$62*Volcanic!D149+$AC$63*Volcanic!E149))</f>
        <v>-0.10748592243650489</v>
      </c>
      <c r="AS149" s="47">
        <f>IF(AQ149="","",AQ149-($AD$60+$AD$61*Volcanic!C149+$AD$62*Volcanic!D149+$AD$63*Volcanic!E149))</f>
        <v>-0.1108436367378412</v>
      </c>
    </row>
    <row r="150" spans="1:45">
      <c r="A150" s="45" t="str">
        <f>Volcanic!A150</f>
        <v>7/1970</v>
      </c>
      <c r="B150" s="43">
        <f>Volcanic!B150</f>
        <v>2.0000000000003126E-2</v>
      </c>
      <c r="C150" s="47">
        <f>Volcanic!C150</f>
        <v>0.2209490044667792</v>
      </c>
      <c r="D150" s="41">
        <v>-0.5</v>
      </c>
      <c r="E150" s="43">
        <f t="shared" si="40"/>
        <v>0.3</v>
      </c>
      <c r="F150" s="48">
        <v>6.6499999999999997E-3</v>
      </c>
      <c r="G150" s="47">
        <f t="shared" si="41"/>
        <v>1.0059999999999999E-2</v>
      </c>
      <c r="H150" s="43">
        <f>Volcanic!D150</f>
        <v>0.28000000000000003</v>
      </c>
      <c r="I150" s="47">
        <f>Volcanic!E150</f>
        <v>1.0059999999999999E-2</v>
      </c>
      <c r="K150" s="47">
        <f t="shared" si="28"/>
        <v>0.2209490044667792</v>
      </c>
      <c r="L150" s="47">
        <f t="shared" si="29"/>
        <v>0.3</v>
      </c>
      <c r="M150" s="47">
        <f t="shared" si="30"/>
        <v>1.0059999999999999E-2</v>
      </c>
      <c r="O150" s="47">
        <f t="shared" si="31"/>
        <v>0.2209490044667792</v>
      </c>
      <c r="P150" s="47">
        <f t="shared" si="32"/>
        <v>0.28000000000000003</v>
      </c>
      <c r="Q150" s="47">
        <f t="shared" si="33"/>
        <v>1.0059999999999999E-2</v>
      </c>
      <c r="S150" s="47">
        <f t="shared" si="34"/>
        <v>0.2209490044667792</v>
      </c>
      <c r="T150" s="47">
        <f t="shared" si="35"/>
        <v>0.3</v>
      </c>
      <c r="U150" s="47">
        <f t="shared" si="36"/>
        <v>1.0059999999999999E-2</v>
      </c>
      <c r="W150" s="47">
        <f t="shared" si="37"/>
        <v>-2.7788063578811029E-2</v>
      </c>
      <c r="X150" s="47">
        <f t="shared" si="38"/>
        <v>-2.5295043460483321E-2</v>
      </c>
      <c r="Y150" s="47">
        <f t="shared" si="39"/>
        <v>-2.69139883288919E-2</v>
      </c>
      <c r="AP150" s="48">
        <v>-3.4299999999999997E-2</v>
      </c>
      <c r="AQ150" s="48">
        <v>-4.9299999999999997E-2</v>
      </c>
      <c r="AR150" s="47">
        <f>IF(AP150="","",AP150-($AC$60+$AC$61*Volcanic!C150+$AC$62*Volcanic!D150+$AC$63*Volcanic!E150))</f>
        <v>-7.122245917200852E-2</v>
      </c>
      <c r="AS150" s="47">
        <f>IF(AQ150="","",AQ150-($AD$60+$AD$61*Volcanic!C150+$AD$62*Volcanic!D150+$AD$63*Volcanic!E150))</f>
        <v>-9.3973362575274028E-2</v>
      </c>
    </row>
    <row r="151" spans="1:45">
      <c r="A151" s="45" t="str">
        <f>Volcanic!A151</f>
        <v>8/1970</v>
      </c>
      <c r="B151" s="43">
        <f>Volcanic!B151</f>
        <v>-0.10000000000000142</v>
      </c>
      <c r="C151" s="47">
        <f>Volcanic!C151</f>
        <v>0.21359169145595572</v>
      </c>
      <c r="D151" s="41">
        <v>-0.7</v>
      </c>
      <c r="E151" s="43">
        <f t="shared" si="40"/>
        <v>0.1</v>
      </c>
      <c r="F151" s="48">
        <v>6.45E-3</v>
      </c>
      <c r="G151" s="47">
        <f t="shared" si="41"/>
        <v>9.3399999999999993E-3</v>
      </c>
      <c r="H151" s="43">
        <f>Volcanic!D151</f>
        <v>0.11</v>
      </c>
      <c r="I151" s="47">
        <f>Volcanic!E151</f>
        <v>9.3399999999999993E-3</v>
      </c>
      <c r="K151" s="47">
        <f t="shared" si="28"/>
        <v>0.21359169145595572</v>
      </c>
      <c r="L151" s="47">
        <f t="shared" si="29"/>
        <v>0.1</v>
      </c>
      <c r="M151" s="47">
        <f t="shared" si="30"/>
        <v>9.3399999999999993E-3</v>
      </c>
      <c r="O151" s="47">
        <f t="shared" si="31"/>
        <v>0.21359169145595572</v>
      </c>
      <c r="P151" s="47">
        <f t="shared" si="32"/>
        <v>0.11</v>
      </c>
      <c r="Q151" s="47">
        <f t="shared" si="33"/>
        <v>9.3399999999999993E-3</v>
      </c>
      <c r="S151" s="47">
        <f t="shared" si="34"/>
        <v>0.21359169145595572</v>
      </c>
      <c r="T151" s="47">
        <f t="shared" si="35"/>
        <v>0.1</v>
      </c>
      <c r="U151" s="47">
        <f t="shared" si="36"/>
        <v>9.3399999999999993E-3</v>
      </c>
      <c r="W151" s="47">
        <f t="shared" si="37"/>
        <v>-0.1107354382273065</v>
      </c>
      <c r="X151" s="47">
        <f t="shared" si="38"/>
        <v>-0.11131599856665524</v>
      </c>
      <c r="Y151" s="47">
        <f t="shared" si="39"/>
        <v>-0.11010631668563589</v>
      </c>
      <c r="AP151" s="48">
        <v>-0.1217</v>
      </c>
      <c r="AQ151" s="48">
        <v>-0.1173</v>
      </c>
      <c r="AR151" s="47">
        <f>IF(AP151="","",AP151-($AC$60+$AC$61*Volcanic!C151+$AC$62*Volcanic!D151+$AC$63*Volcanic!E151))</f>
        <v>-0.12434531770909267</v>
      </c>
      <c r="AS151" s="47">
        <f>IF(AQ151="","",AQ151-($AD$60+$AD$61*Volcanic!C151+$AD$62*Volcanic!D151+$AD$63*Volcanic!E151))</f>
        <v>-0.12676943779048347</v>
      </c>
    </row>
    <row r="152" spans="1:45">
      <c r="A152" s="45" t="str">
        <f>Volcanic!A152</f>
        <v>9/1970</v>
      </c>
      <c r="B152" s="43">
        <f>Volcanic!B152</f>
        <v>0.11999999999999744</v>
      </c>
      <c r="C152" s="47">
        <f>Volcanic!C152</f>
        <v>0.20655392343303489</v>
      </c>
      <c r="D152" s="41">
        <v>-0.7</v>
      </c>
      <c r="E152" s="43">
        <f t="shared" si="40"/>
        <v>-0.3</v>
      </c>
      <c r="F152" s="48">
        <v>6.2500000000000003E-3</v>
      </c>
      <c r="G152" s="47">
        <f t="shared" si="41"/>
        <v>8.6400000000000001E-3</v>
      </c>
      <c r="H152" s="43">
        <f>Volcanic!D152</f>
        <v>-0.26</v>
      </c>
      <c r="I152" s="47">
        <f>Volcanic!E152</f>
        <v>8.6400000000000001E-3</v>
      </c>
      <c r="K152" s="47">
        <f t="shared" si="28"/>
        <v>0.20655392343303489</v>
      </c>
      <c r="L152" s="47">
        <f t="shared" si="29"/>
        <v>-0.3</v>
      </c>
      <c r="M152" s="47">
        <f t="shared" si="30"/>
        <v>8.6400000000000001E-3</v>
      </c>
      <c r="O152" s="47">
        <f t="shared" si="31"/>
        <v>0.20655392343303489</v>
      </c>
      <c r="P152" s="47">
        <f t="shared" si="32"/>
        <v>-0.26</v>
      </c>
      <c r="Q152" s="47">
        <f t="shared" si="33"/>
        <v>8.6400000000000001E-3</v>
      </c>
      <c r="S152" s="47">
        <f t="shared" si="34"/>
        <v>0.20655392343303489</v>
      </c>
      <c r="T152" s="47">
        <f t="shared" si="35"/>
        <v>-0.3</v>
      </c>
      <c r="U152" s="47">
        <f t="shared" si="36"/>
        <v>8.6400000000000001E-3</v>
      </c>
      <c r="W152" s="47">
        <f t="shared" si="37"/>
        <v>0.16406447327107476</v>
      </c>
      <c r="X152" s="47">
        <f t="shared" si="38"/>
        <v>0.16063862308933133</v>
      </c>
      <c r="Y152" s="47">
        <f t="shared" si="39"/>
        <v>0.16469207785284176</v>
      </c>
      <c r="AP152" s="48">
        <v>4.6300000000000001E-2</v>
      </c>
      <c r="AQ152" s="48">
        <v>6.6699999999999995E-2</v>
      </c>
      <c r="AR152" s="47">
        <f>IF(AP152="","",AP152-($AC$60+$AC$61*Volcanic!C152+$AC$62*Volcanic!D152+$AC$63*Volcanic!E152))</f>
        <v>9.5836415869936062E-2</v>
      </c>
      <c r="AS152" s="47">
        <f>IF(AQ152="","",AQ152-($AD$60+$AD$61*Volcanic!C152+$AD$62*Volcanic!D152+$AD$63*Volcanic!E152))</f>
        <v>0.11069814888510579</v>
      </c>
    </row>
    <row r="153" spans="1:45">
      <c r="A153" s="45" t="str">
        <f>Volcanic!A153</f>
        <v>10/1970</v>
      </c>
      <c r="B153" s="43">
        <f>Volcanic!B153</f>
        <v>2.9999999999997584E-2</v>
      </c>
      <c r="C153" s="47">
        <f>Volcanic!C153</f>
        <v>0.20637530574791263</v>
      </c>
      <c r="D153" s="41">
        <v>-0.7</v>
      </c>
      <c r="E153" s="43">
        <f t="shared" si="40"/>
        <v>-0.5</v>
      </c>
      <c r="F153" s="48">
        <v>6.0899999999999999E-3</v>
      </c>
      <c r="G153" s="47">
        <f t="shared" si="41"/>
        <v>8.0499999999999999E-3</v>
      </c>
      <c r="H153" s="43">
        <f>Volcanic!D153</f>
        <v>-0.55000000000000004</v>
      </c>
      <c r="I153" s="47">
        <f>Volcanic!E153</f>
        <v>8.0499999999999999E-3</v>
      </c>
      <c r="K153" s="47">
        <f t="shared" si="28"/>
        <v>0.20637530574791263</v>
      </c>
      <c r="L153" s="47">
        <f t="shared" si="29"/>
        <v>-0.5</v>
      </c>
      <c r="M153" s="47">
        <f t="shared" si="30"/>
        <v>8.0499999999999999E-3</v>
      </c>
      <c r="O153" s="47">
        <f t="shared" si="31"/>
        <v>0.20637530574791263</v>
      </c>
      <c r="P153" s="47">
        <f t="shared" si="32"/>
        <v>-0.55000000000000004</v>
      </c>
      <c r="Q153" s="47">
        <f t="shared" si="33"/>
        <v>8.0499999999999999E-3</v>
      </c>
      <c r="S153" s="47">
        <f t="shared" si="34"/>
        <v>0.20637530574791263</v>
      </c>
      <c r="T153" s="47">
        <f t="shared" si="35"/>
        <v>-0.5</v>
      </c>
      <c r="U153" s="47">
        <f t="shared" si="36"/>
        <v>8.0499999999999999E-3</v>
      </c>
      <c r="W153" s="47">
        <f t="shared" si="37"/>
        <v>9.1826173772671799E-2</v>
      </c>
      <c r="X153" s="47">
        <f t="shared" si="38"/>
        <v>9.6821499560252738E-2</v>
      </c>
      <c r="Y153" s="47">
        <f t="shared" si="39"/>
        <v>9.2433812899156045E-2</v>
      </c>
      <c r="AP153" s="48">
        <v>1.6299999999999999E-2</v>
      </c>
      <c r="AQ153" s="48">
        <v>5.7000000000000002E-3</v>
      </c>
      <c r="AR153" s="47">
        <f>IF(AP153="","",AP153-($AC$60+$AC$61*Volcanic!C153+$AC$62*Volcanic!D153+$AC$63*Volcanic!E153))</f>
        <v>9.2061571949686408E-2</v>
      </c>
      <c r="AS153" s="47">
        <f>IF(AQ153="","",AQ153-($AD$60+$AD$61*Volcanic!C153+$AD$62*Volcanic!D153+$AD$63*Volcanic!E153))</f>
        <v>7.6560783627545675E-2</v>
      </c>
    </row>
    <row r="154" spans="1:45">
      <c r="A154" s="45" t="str">
        <f>Volcanic!A154</f>
        <v>11/1970</v>
      </c>
      <c r="B154" s="43">
        <f>Volcanic!B154</f>
        <v>2.0000000000003126E-2</v>
      </c>
      <c r="C154" s="47">
        <f>Volcanic!C154</f>
        <v>0.21061151287723645</v>
      </c>
      <c r="D154" s="41">
        <v>-0.8</v>
      </c>
      <c r="E154" s="43">
        <f t="shared" si="40"/>
        <v>-0.7</v>
      </c>
      <c r="F154" s="48">
        <v>5.79E-3</v>
      </c>
      <c r="G154" s="47">
        <f t="shared" si="41"/>
        <v>7.6099999999999996E-3</v>
      </c>
      <c r="H154" s="43">
        <f>Volcanic!D154</f>
        <v>-0.72</v>
      </c>
      <c r="I154" s="47">
        <f>Volcanic!E154</f>
        <v>7.6099999999999996E-3</v>
      </c>
      <c r="K154" s="47">
        <f t="shared" si="28"/>
        <v>0.21061151287723645</v>
      </c>
      <c r="L154" s="47">
        <f t="shared" si="29"/>
        <v>-0.7</v>
      </c>
      <c r="M154" s="47">
        <f t="shared" si="30"/>
        <v>7.6099999999999996E-3</v>
      </c>
      <c r="O154" s="47">
        <f t="shared" si="31"/>
        <v>0.21061151287723645</v>
      </c>
      <c r="P154" s="47">
        <f t="shared" si="32"/>
        <v>-0.72</v>
      </c>
      <c r="Q154" s="47">
        <f t="shared" si="33"/>
        <v>7.6099999999999996E-3</v>
      </c>
      <c r="S154" s="47">
        <f t="shared" si="34"/>
        <v>0.21061151287723645</v>
      </c>
      <c r="T154" s="47">
        <f t="shared" si="35"/>
        <v>-0.7</v>
      </c>
      <c r="U154" s="47">
        <f t="shared" si="36"/>
        <v>7.6099999999999996E-3</v>
      </c>
      <c r="W154" s="47">
        <f t="shared" si="37"/>
        <v>8.7878510985928276E-2</v>
      </c>
      <c r="X154" s="47">
        <f t="shared" si="38"/>
        <v>9.0188120171844119E-2</v>
      </c>
      <c r="Y154" s="47">
        <f t="shared" si="39"/>
        <v>8.8633432975563822E-2</v>
      </c>
      <c r="AP154" s="48">
        <v>1.66E-2</v>
      </c>
      <c r="AQ154" s="48">
        <v>-8.3299999999999999E-2</v>
      </c>
      <c r="AR154" s="47">
        <f>IF(AP154="","",AP154-($AC$60+$AC$61*Volcanic!C154+$AC$62*Volcanic!D154+$AC$63*Volcanic!E154))</f>
        <v>9.5655089552956901E-2</v>
      </c>
      <c r="AS154" s="47">
        <f>IF(AQ154="","",AQ154-($AD$60+$AD$61*Volcanic!C154+$AD$62*Volcanic!D154+$AD$63*Volcanic!E154))</f>
        <v>-9.0661988168352914E-3</v>
      </c>
    </row>
    <row r="155" spans="1:45">
      <c r="A155" s="45" t="str">
        <f>Volcanic!A155</f>
        <v>12/1970</v>
      </c>
      <c r="B155" s="43">
        <f>Volcanic!B155</f>
        <v>-0.11999999999999744</v>
      </c>
      <c r="C155" s="47">
        <f>Volcanic!C155</f>
        <v>0.21558985360237096</v>
      </c>
      <c r="D155" s="41">
        <v>-1.1000000000000001</v>
      </c>
      <c r="E155" s="43">
        <f t="shared" si="40"/>
        <v>-0.7</v>
      </c>
      <c r="F155" s="48">
        <v>5.4900000000000001E-3</v>
      </c>
      <c r="G155" s="47">
        <f t="shared" si="41"/>
        <v>7.2300000000000003E-3</v>
      </c>
      <c r="H155" s="43">
        <f>Volcanic!D155</f>
        <v>-0.69</v>
      </c>
      <c r="I155" s="47">
        <f>Volcanic!E155</f>
        <v>7.2300000000000003E-3</v>
      </c>
      <c r="K155" s="47">
        <f t="shared" si="28"/>
        <v>0.21558985360237096</v>
      </c>
      <c r="L155" s="47">
        <f t="shared" si="29"/>
        <v>-0.7</v>
      </c>
      <c r="M155" s="47">
        <f t="shared" si="30"/>
        <v>7.2300000000000003E-3</v>
      </c>
      <c r="O155" s="47">
        <f t="shared" si="31"/>
        <v>0.21558985360237096</v>
      </c>
      <c r="P155" s="47">
        <f t="shared" si="32"/>
        <v>-0.69</v>
      </c>
      <c r="Q155" s="47">
        <f t="shared" si="33"/>
        <v>7.2300000000000003E-3</v>
      </c>
      <c r="S155" s="47">
        <f t="shared" si="34"/>
        <v>0.21558985360237096</v>
      </c>
      <c r="T155" s="47">
        <f t="shared" si="35"/>
        <v>-0.7</v>
      </c>
      <c r="U155" s="47">
        <f t="shared" si="36"/>
        <v>7.2300000000000003E-3</v>
      </c>
      <c r="W155" s="47">
        <f t="shared" si="37"/>
        <v>-6.6535513308237829E-2</v>
      </c>
      <c r="X155" s="47">
        <f t="shared" si="38"/>
        <v>-6.7082147478526394E-2</v>
      </c>
      <c r="Y155" s="47">
        <f t="shared" si="39"/>
        <v>-6.5818413359910774E-2</v>
      </c>
      <c r="AP155" s="48">
        <v>-0.11509999999999999</v>
      </c>
      <c r="AQ155" s="48">
        <v>-0.12429999999999999</v>
      </c>
      <c r="AR155" s="47">
        <f>IF(AP155="","",AP155-($AC$60+$AC$61*Volcanic!C155+$AC$62*Volcanic!D155+$AC$63*Volcanic!E155))</f>
        <v>-5.3362517071773551E-2</v>
      </c>
      <c r="AS155" s="47">
        <f>IF(AQ155="","",AQ155-($AD$60+$AD$61*Volcanic!C155+$AD$62*Volcanic!D155+$AD$63*Volcanic!E155))</f>
        <v>-6.7747262562638771E-2</v>
      </c>
    </row>
    <row r="156" spans="1:45">
      <c r="A156" s="45" t="str">
        <f>Volcanic!A156</f>
        <v>1/1971</v>
      </c>
      <c r="B156" s="43">
        <f>Volcanic!B156</f>
        <v>-1.9999999999999574E-2</v>
      </c>
      <c r="C156" s="47">
        <f>Volcanic!C156</f>
        <v>0.22019726683057364</v>
      </c>
      <c r="D156" s="41">
        <v>-1.3</v>
      </c>
      <c r="E156" s="43">
        <f t="shared" si="40"/>
        <v>-0.7</v>
      </c>
      <c r="F156" s="48">
        <v>5.2199999999999998E-3</v>
      </c>
      <c r="G156" s="47">
        <f t="shared" si="41"/>
        <v>6.9100000000000003E-3</v>
      </c>
      <c r="H156" s="43">
        <f>Volcanic!D156</f>
        <v>-0.72</v>
      </c>
      <c r="I156" s="47">
        <f>Volcanic!E156</f>
        <v>6.9100000000000003E-3</v>
      </c>
      <c r="K156" s="47">
        <f t="shared" si="28"/>
        <v>0.22019726683057364</v>
      </c>
      <c r="L156" s="47">
        <f t="shared" si="29"/>
        <v>-0.7</v>
      </c>
      <c r="M156" s="47">
        <f t="shared" si="30"/>
        <v>6.9100000000000003E-3</v>
      </c>
      <c r="O156" s="47">
        <f t="shared" si="31"/>
        <v>0.22019726683057364</v>
      </c>
      <c r="P156" s="47">
        <f t="shared" si="32"/>
        <v>-0.72</v>
      </c>
      <c r="Q156" s="47">
        <f t="shared" si="33"/>
        <v>6.9100000000000003E-3</v>
      </c>
      <c r="S156" s="47">
        <f t="shared" si="34"/>
        <v>0.22019726683057364</v>
      </c>
      <c r="T156" s="47">
        <f t="shared" si="35"/>
        <v>-0.7</v>
      </c>
      <c r="U156" s="47">
        <f t="shared" si="36"/>
        <v>6.9100000000000003E-3</v>
      </c>
      <c r="W156" s="47">
        <f t="shared" si="37"/>
        <v>2.019424903672315E-2</v>
      </c>
      <c r="X156" s="47">
        <f t="shared" si="38"/>
        <v>2.2443352739161343E-2</v>
      </c>
      <c r="Y156" s="47">
        <f t="shared" si="39"/>
        <v>2.0889409792644018E-2</v>
      </c>
      <c r="AP156" s="48">
        <v>-6.59E-2</v>
      </c>
      <c r="AQ156" s="48">
        <v>-6.6299999999999998E-2</v>
      </c>
      <c r="AR156" s="47">
        <f>IF(AP156="","",AP156-($AC$60+$AC$61*Volcanic!C156+$AC$62*Volcanic!D156+$AC$63*Volcanic!E156))</f>
        <v>-1.4704187981668171E-2</v>
      </c>
      <c r="AS156" s="47">
        <f>IF(AQ156="","",AQ156-($AD$60+$AD$61*Volcanic!C156+$AD$62*Volcanic!D156+$AD$63*Volcanic!E156))</f>
        <v>-2.0518116999196007E-2</v>
      </c>
    </row>
    <row r="157" spans="1:45">
      <c r="A157" s="45" t="str">
        <f>Volcanic!A157</f>
        <v>2/1971</v>
      </c>
      <c r="B157" s="43">
        <f>Volcanic!B157</f>
        <v>-0.14999999999999858</v>
      </c>
      <c r="C157" s="47">
        <f>Volcanic!C157</f>
        <v>0.22249546730205641</v>
      </c>
      <c r="D157" s="41">
        <v>-1.4</v>
      </c>
      <c r="E157" s="43">
        <f t="shared" si="40"/>
        <v>-0.8</v>
      </c>
      <c r="F157" s="48">
        <v>4.9500000000000004E-3</v>
      </c>
      <c r="G157" s="47">
        <f t="shared" si="41"/>
        <v>6.6499999999999997E-3</v>
      </c>
      <c r="H157" s="43">
        <f>Volcanic!D157</f>
        <v>-0.78</v>
      </c>
      <c r="I157" s="47">
        <f>Volcanic!E157</f>
        <v>6.6499999999999997E-3</v>
      </c>
      <c r="K157" s="47">
        <f t="shared" si="28"/>
        <v>0.22249546730205641</v>
      </c>
      <c r="L157" s="47">
        <f t="shared" si="29"/>
        <v>-0.8</v>
      </c>
      <c r="M157" s="47">
        <f t="shared" si="30"/>
        <v>6.6499999999999997E-3</v>
      </c>
      <c r="O157" s="47">
        <f t="shared" si="31"/>
        <v>0.22249546730205641</v>
      </c>
      <c r="P157" s="47">
        <f t="shared" si="32"/>
        <v>-0.78</v>
      </c>
      <c r="Q157" s="47">
        <f t="shared" si="33"/>
        <v>6.6499999999999997E-3</v>
      </c>
      <c r="S157" s="47">
        <f t="shared" si="34"/>
        <v>0.22249546730205641</v>
      </c>
      <c r="T157" s="47">
        <f t="shared" si="35"/>
        <v>-0.8</v>
      </c>
      <c r="U157" s="47">
        <f t="shared" si="36"/>
        <v>6.6499999999999997E-3</v>
      </c>
      <c r="W157" s="47">
        <f t="shared" si="37"/>
        <v>-0.10735887474119699</v>
      </c>
      <c r="X157" s="47">
        <f t="shared" si="38"/>
        <v>-0.10881315781318893</v>
      </c>
      <c r="Y157" s="47">
        <f t="shared" si="39"/>
        <v>-0.10660226520410461</v>
      </c>
      <c r="AP157" s="48">
        <v>-0.1966</v>
      </c>
      <c r="AQ157" s="48">
        <v>-0.21929999999999999</v>
      </c>
      <c r="AR157" s="47">
        <f>IF(AP157="","",AP157-($AC$60+$AC$61*Volcanic!C157+$AC$62*Volcanic!D157+$AC$63*Volcanic!E157))</f>
        <v>-0.14668657879301022</v>
      </c>
      <c r="AS157" s="47">
        <f>IF(AQ157="","",AQ157-($AD$60+$AD$61*Volcanic!C157+$AD$62*Volcanic!D157+$AD$63*Volcanic!E157))</f>
        <v>-0.17481676283632236</v>
      </c>
    </row>
    <row r="158" spans="1:45">
      <c r="A158" s="45" t="str">
        <f>Volcanic!A158</f>
        <v>3/1971</v>
      </c>
      <c r="B158" s="43">
        <f>Volcanic!B158</f>
        <v>-0.17999999999999794</v>
      </c>
      <c r="C158" s="47">
        <f>Volcanic!C158</f>
        <v>0.22465773412073844</v>
      </c>
      <c r="D158" s="41">
        <v>-1.1000000000000001</v>
      </c>
      <c r="E158" s="43">
        <f t="shared" si="40"/>
        <v>-1.1000000000000001</v>
      </c>
      <c r="F158" s="48">
        <v>4.7499999999999999E-3</v>
      </c>
      <c r="G158" s="47">
        <f t="shared" si="41"/>
        <v>6.45E-3</v>
      </c>
      <c r="H158" s="43">
        <f>Volcanic!D158</f>
        <v>-1.1000000000000001</v>
      </c>
      <c r="I158" s="47">
        <f>Volcanic!E158</f>
        <v>6.45E-3</v>
      </c>
      <c r="K158" s="47">
        <f t="shared" si="28"/>
        <v>0.22465773412073844</v>
      </c>
      <c r="L158" s="47">
        <f t="shared" si="29"/>
        <v>-1.1000000000000001</v>
      </c>
      <c r="M158" s="47">
        <f t="shared" si="30"/>
        <v>6.45E-3</v>
      </c>
      <c r="O158" s="47">
        <f t="shared" si="31"/>
        <v>0.22465773412073844</v>
      </c>
      <c r="P158" s="47">
        <f t="shared" si="32"/>
        <v>-1.1000000000000001</v>
      </c>
      <c r="Q158" s="47">
        <f t="shared" si="33"/>
        <v>6.45E-3</v>
      </c>
      <c r="S158" s="47">
        <f t="shared" si="34"/>
        <v>0.22465773412073844</v>
      </c>
      <c r="T158" s="47">
        <f t="shared" si="35"/>
        <v>-1.1000000000000001</v>
      </c>
      <c r="U158" s="47">
        <f t="shared" si="36"/>
        <v>6.45E-3</v>
      </c>
      <c r="W158" s="47">
        <f t="shared" si="37"/>
        <v>-0.11583441253309575</v>
      </c>
      <c r="X158" s="47">
        <f t="shared" si="38"/>
        <v>-0.11512198810275348</v>
      </c>
      <c r="Y158" s="47">
        <f t="shared" si="39"/>
        <v>-0.11476729942707392</v>
      </c>
      <c r="AP158" s="48">
        <v>-0.26150000000000001</v>
      </c>
      <c r="AQ158" s="48">
        <v>-0.24529999999999999</v>
      </c>
      <c r="AR158" s="47">
        <f>IF(AP158="","",AP158-($AC$60+$AC$61*Volcanic!C158+$AC$62*Volcanic!D158+$AC$63*Volcanic!E158))</f>
        <v>-0.1880056897414647</v>
      </c>
      <c r="AS158" s="47">
        <f>IF(AQ158="","",AQ158-($AD$60+$AD$61*Volcanic!C158+$AD$62*Volcanic!D158+$AD$63*Volcanic!E158))</f>
        <v>-0.17675052590293502</v>
      </c>
    </row>
    <row r="159" spans="1:45">
      <c r="A159" s="45" t="str">
        <f>Volcanic!A159</f>
        <v>4/1971</v>
      </c>
      <c r="B159" s="43">
        <f>Volcanic!B159</f>
        <v>-7.0000000000000284E-2</v>
      </c>
      <c r="C159" s="47">
        <f>Volcanic!C159</f>
        <v>0.22730100169945941</v>
      </c>
      <c r="D159" s="41">
        <v>-0.8</v>
      </c>
      <c r="E159" s="43">
        <f t="shared" si="40"/>
        <v>-1.3</v>
      </c>
      <c r="F159" s="48">
        <v>4.6699999999999997E-3</v>
      </c>
      <c r="G159" s="47">
        <f t="shared" si="41"/>
        <v>6.2500000000000003E-3</v>
      </c>
      <c r="H159" s="43">
        <f>Volcanic!D159</f>
        <v>-1.29</v>
      </c>
      <c r="I159" s="47">
        <f>Volcanic!E159</f>
        <v>6.2500000000000003E-3</v>
      </c>
      <c r="K159" s="47">
        <f t="shared" si="28"/>
        <v>0.22730100169945941</v>
      </c>
      <c r="L159" s="47">
        <f t="shared" si="29"/>
        <v>-1.3</v>
      </c>
      <c r="M159" s="47">
        <f t="shared" si="30"/>
        <v>6.2500000000000003E-3</v>
      </c>
      <c r="O159" s="47">
        <f t="shared" si="31"/>
        <v>0.22730100169945941</v>
      </c>
      <c r="P159" s="47">
        <f t="shared" si="32"/>
        <v>-1.29</v>
      </c>
      <c r="Q159" s="47">
        <f t="shared" si="33"/>
        <v>6.2500000000000003E-3</v>
      </c>
      <c r="S159" s="47">
        <f t="shared" si="34"/>
        <v>0.22730100169945941</v>
      </c>
      <c r="T159" s="47">
        <f t="shared" si="35"/>
        <v>-1.3</v>
      </c>
      <c r="U159" s="47">
        <f t="shared" si="36"/>
        <v>6.2500000000000003E-3</v>
      </c>
      <c r="W159" s="47">
        <f t="shared" si="37"/>
        <v>5.0909567021478475E-3</v>
      </c>
      <c r="X159" s="47">
        <f t="shared" si="38"/>
        <v>5.0570542694127196E-3</v>
      </c>
      <c r="Y159" s="47">
        <f t="shared" si="39"/>
        <v>6.3662762618500734E-3</v>
      </c>
      <c r="AP159" s="48">
        <v>-0.15640000000000001</v>
      </c>
      <c r="AQ159" s="48">
        <v>-8.7300000000000003E-2</v>
      </c>
      <c r="AR159" s="47">
        <f>IF(AP159="","",AP159-($AC$60+$AC$61*Volcanic!C159+$AC$62*Volcanic!D159+$AC$63*Volcanic!E159))</f>
        <v>-7.2812088415400905E-2</v>
      </c>
      <c r="AS159" s="47">
        <f>IF(AQ159="","",AQ159-($AD$60+$AD$61*Volcanic!C159+$AD$62*Volcanic!D159+$AD$63*Volcanic!E159))</f>
        <v>-8.4548834415157093E-3</v>
      </c>
    </row>
    <row r="160" spans="1:45">
      <c r="A160" s="45" t="str">
        <f>Volcanic!A160</f>
        <v>5/1971</v>
      </c>
      <c r="B160" s="43">
        <f>Volcanic!B160</f>
        <v>-5.0000000000000711E-2</v>
      </c>
      <c r="C160" s="47">
        <f>Volcanic!C160</f>
        <v>0.23235376773902855</v>
      </c>
      <c r="D160" s="41">
        <v>-0.7</v>
      </c>
      <c r="E160" s="43">
        <f t="shared" si="40"/>
        <v>-1.4</v>
      </c>
      <c r="F160" s="48">
        <v>4.62E-3</v>
      </c>
      <c r="G160" s="47">
        <f t="shared" si="41"/>
        <v>6.0899999999999999E-3</v>
      </c>
      <c r="H160" s="43">
        <f>Volcanic!D160</f>
        <v>-1.36</v>
      </c>
      <c r="I160" s="47">
        <f>Volcanic!E160</f>
        <v>6.0899999999999999E-3</v>
      </c>
      <c r="K160" s="47">
        <f t="shared" si="28"/>
        <v>0.23235376773902855</v>
      </c>
      <c r="L160" s="47">
        <f t="shared" si="29"/>
        <v>-1.4</v>
      </c>
      <c r="M160" s="47">
        <f t="shared" si="30"/>
        <v>6.0899999999999999E-3</v>
      </c>
      <c r="O160" s="47">
        <f t="shared" si="31"/>
        <v>0.23235376773902855</v>
      </c>
      <c r="P160" s="47">
        <f t="shared" si="32"/>
        <v>-1.36</v>
      </c>
      <c r="Q160" s="47">
        <f t="shared" si="33"/>
        <v>6.0899999999999999E-3</v>
      </c>
      <c r="S160" s="47">
        <f t="shared" si="34"/>
        <v>0.23235376773902855</v>
      </c>
      <c r="T160" s="47">
        <f t="shared" si="35"/>
        <v>-1.4</v>
      </c>
      <c r="U160" s="47">
        <f t="shared" si="36"/>
        <v>6.0899999999999999E-3</v>
      </c>
      <c r="W160" s="47">
        <f t="shared" si="37"/>
        <v>2.0246070347087031E-2</v>
      </c>
      <c r="X160" s="47">
        <f t="shared" si="38"/>
        <v>1.7553995791035254E-2</v>
      </c>
      <c r="Y160" s="47">
        <f t="shared" si="39"/>
        <v>2.168983361251331E-2</v>
      </c>
      <c r="AP160" s="48">
        <v>-0.1205</v>
      </c>
      <c r="AQ160" s="48">
        <v>-8.0299999999999996E-2</v>
      </c>
      <c r="AR160" s="47">
        <f>IF(AP160="","",AP160-($AC$60+$AC$61*Volcanic!C160+$AC$62*Volcanic!D160+$AC$63*Volcanic!E160))</f>
        <v>-4.4539047223573366E-2</v>
      </c>
      <c r="AS160" s="47">
        <f>IF(AQ160="","",AQ160-($AD$60+$AD$61*Volcanic!C160+$AD$62*Volcanic!D160+$AD$63*Volcanic!E160))</f>
        <v>-9.2840932055966163E-3</v>
      </c>
    </row>
    <row r="161" spans="1:45">
      <c r="A161" s="45" t="str">
        <f>Volcanic!A161</f>
        <v>6/1971</v>
      </c>
      <c r="B161" s="43">
        <f>Volcanic!B161</f>
        <v>-0.16000000000000014</v>
      </c>
      <c r="C161" s="47">
        <f>Volcanic!C161</f>
        <v>0.23077393422839654</v>
      </c>
      <c r="D161" s="41">
        <v>-0.7</v>
      </c>
      <c r="E161" s="43">
        <f t="shared" si="40"/>
        <v>-1.1000000000000001</v>
      </c>
      <c r="F161" s="48">
        <v>4.5999999999999999E-3</v>
      </c>
      <c r="G161" s="47">
        <f t="shared" si="41"/>
        <v>5.79E-3</v>
      </c>
      <c r="H161" s="43">
        <f>Volcanic!D161</f>
        <v>-1.08</v>
      </c>
      <c r="I161" s="47">
        <f>Volcanic!E161</f>
        <v>5.79E-3</v>
      </c>
      <c r="K161" s="47">
        <f t="shared" si="28"/>
        <v>0.23077393422839654</v>
      </c>
      <c r="L161" s="47">
        <f t="shared" si="29"/>
        <v>-1.1000000000000001</v>
      </c>
      <c r="M161" s="47">
        <f t="shared" si="30"/>
        <v>5.79E-3</v>
      </c>
      <c r="O161" s="47">
        <f t="shared" si="31"/>
        <v>0.23077393422839654</v>
      </c>
      <c r="P161" s="47">
        <f t="shared" si="32"/>
        <v>-1.08</v>
      </c>
      <c r="Q161" s="47">
        <f t="shared" si="33"/>
        <v>5.79E-3</v>
      </c>
      <c r="S161" s="47">
        <f t="shared" si="34"/>
        <v>0.23077393422839654</v>
      </c>
      <c r="T161" s="47">
        <f t="shared" si="35"/>
        <v>-1.1000000000000001</v>
      </c>
      <c r="U161" s="47">
        <f t="shared" si="36"/>
        <v>5.79E-3</v>
      </c>
      <c r="W161" s="47">
        <f t="shared" si="37"/>
        <v>-0.11396853770715035</v>
      </c>
      <c r="X161" s="47">
        <f t="shared" si="38"/>
        <v>-0.11526075700801854</v>
      </c>
      <c r="Y161" s="47">
        <f t="shared" si="39"/>
        <v>-0.113027527441016</v>
      </c>
      <c r="AP161" s="48">
        <v>-0.1827</v>
      </c>
      <c r="AQ161" s="48">
        <v>-0.14030000000000001</v>
      </c>
      <c r="AR161" s="47">
        <f>IF(AP161="","",AP161-($AC$60+$AC$61*Volcanic!C161+$AC$62*Volcanic!D161+$AC$63*Volcanic!E161))</f>
        <v>-0.12936762947351488</v>
      </c>
      <c r="AS161" s="47">
        <f>IF(AQ161="","",AQ161-($AD$60+$AD$61*Volcanic!C161+$AD$62*Volcanic!D161+$AD$63*Volcanic!E161))</f>
        <v>-9.2304268128720515E-2</v>
      </c>
    </row>
    <row r="162" spans="1:45">
      <c r="A162" s="45" t="str">
        <f>Volcanic!A162</f>
        <v>7/1971</v>
      </c>
      <c r="B162" s="43">
        <f>Volcanic!B162</f>
        <v>-7.0000000000000284E-2</v>
      </c>
      <c r="C162" s="47">
        <f>Volcanic!C162</f>
        <v>0.22545122302563764</v>
      </c>
      <c r="D162" s="41">
        <v>-0.7</v>
      </c>
      <c r="E162" s="43">
        <f t="shared" si="40"/>
        <v>-0.8</v>
      </c>
      <c r="F162" s="48">
        <v>4.6100000000000004E-3</v>
      </c>
      <c r="G162" s="47">
        <f t="shared" si="41"/>
        <v>5.4900000000000001E-3</v>
      </c>
      <c r="H162" s="43">
        <f>Volcanic!D162</f>
        <v>-0.81</v>
      </c>
      <c r="I162" s="47">
        <f>Volcanic!E162</f>
        <v>5.4900000000000001E-3</v>
      </c>
      <c r="K162" s="47">
        <f t="shared" si="28"/>
        <v>0.22545122302563764</v>
      </c>
      <c r="L162" s="47">
        <f t="shared" si="29"/>
        <v>-0.8</v>
      </c>
      <c r="M162" s="47">
        <f t="shared" si="30"/>
        <v>5.4900000000000001E-3</v>
      </c>
      <c r="O162" s="47">
        <f t="shared" si="31"/>
        <v>0.22545122302563764</v>
      </c>
      <c r="P162" s="47">
        <f t="shared" si="32"/>
        <v>-0.81</v>
      </c>
      <c r="Q162" s="47">
        <f t="shared" si="33"/>
        <v>5.4900000000000001E-3</v>
      </c>
      <c r="S162" s="47">
        <f t="shared" si="34"/>
        <v>0.22545122302563764</v>
      </c>
      <c r="T162" s="47">
        <f t="shared" si="35"/>
        <v>-0.8</v>
      </c>
      <c r="U162" s="47">
        <f t="shared" si="36"/>
        <v>5.4900000000000001E-3</v>
      </c>
      <c r="W162" s="47">
        <f t="shared" si="37"/>
        <v>-3.7975754701639483E-2</v>
      </c>
      <c r="X162" s="47">
        <f t="shared" si="38"/>
        <v>-3.7016983306227685E-2</v>
      </c>
      <c r="Y162" s="47">
        <f t="shared" si="39"/>
        <v>-3.7626856901260122E-2</v>
      </c>
      <c r="AP162" s="48">
        <v>-0.1069</v>
      </c>
      <c r="AQ162" s="48">
        <v>-0.12130000000000001</v>
      </c>
      <c r="AR162" s="47">
        <f>IF(AP162="","",AP162-($AC$60+$AC$61*Volcanic!C162+$AC$62*Volcanic!D162+$AC$63*Volcanic!E162))</f>
        <v>-6.5039428588485368E-2</v>
      </c>
      <c r="AS162" s="47">
        <f>IF(AQ162="","",AQ162-($AD$60+$AD$61*Volcanic!C162+$AD$62*Volcanic!D162+$AD$63*Volcanic!E162))</f>
        <v>-8.4885400638796293E-2</v>
      </c>
    </row>
    <row r="163" spans="1:45">
      <c r="A163" s="45" t="str">
        <f>Volcanic!A163</f>
        <v>8/1971</v>
      </c>
      <c r="B163" s="43">
        <f>Volcanic!B163</f>
        <v>-9.9999999999980105E-3</v>
      </c>
      <c r="C163" s="47">
        <f>Volcanic!C163</f>
        <v>0.21692042585687715</v>
      </c>
      <c r="D163" s="41">
        <v>-0.6</v>
      </c>
      <c r="E163" s="43">
        <f t="shared" si="40"/>
        <v>-0.7</v>
      </c>
      <c r="F163" s="48">
        <v>4.6600000000000001E-3</v>
      </c>
      <c r="G163" s="47">
        <f t="shared" si="41"/>
        <v>5.2199999999999998E-3</v>
      </c>
      <c r="H163" s="43">
        <f>Volcanic!D163</f>
        <v>-0.72</v>
      </c>
      <c r="I163" s="47">
        <f>Volcanic!E163</f>
        <v>5.2199999999999998E-3</v>
      </c>
      <c r="K163" s="47">
        <f t="shared" si="28"/>
        <v>0.21692042585687715</v>
      </c>
      <c r="L163" s="47">
        <f t="shared" si="29"/>
        <v>-0.7</v>
      </c>
      <c r="M163" s="47">
        <f t="shared" si="30"/>
        <v>5.2199999999999998E-3</v>
      </c>
      <c r="O163" s="47">
        <f t="shared" si="31"/>
        <v>0.21692042585687715</v>
      </c>
      <c r="P163" s="47">
        <f t="shared" si="32"/>
        <v>-0.72</v>
      </c>
      <c r="Q163" s="47">
        <f t="shared" si="33"/>
        <v>5.2199999999999998E-3</v>
      </c>
      <c r="S163" s="47">
        <f t="shared" si="34"/>
        <v>0.21692042585687715</v>
      </c>
      <c r="T163" s="47">
        <f t="shared" si="35"/>
        <v>-0.7</v>
      </c>
      <c r="U163" s="47">
        <f t="shared" si="36"/>
        <v>5.2199999999999998E-3</v>
      </c>
      <c r="W163" s="47">
        <f t="shared" si="37"/>
        <v>3.5406730494312713E-2</v>
      </c>
      <c r="X163" s="47">
        <f t="shared" si="38"/>
        <v>3.6886999154976244E-2</v>
      </c>
      <c r="Y163" s="47">
        <f t="shared" si="39"/>
        <v>3.5326855121820565E-2</v>
      </c>
      <c r="AP163" s="48">
        <v>-0.1036</v>
      </c>
      <c r="AQ163" s="48">
        <v>-9.6299999999999997E-2</v>
      </c>
      <c r="AR163" s="47">
        <f>IF(AP163="","",AP163-($AC$60+$AC$61*Volcanic!C163+$AC$62*Volcanic!D163+$AC$63*Volcanic!E163))</f>
        <v>-4.7522897971409059E-2</v>
      </c>
      <c r="AS163" s="47">
        <f>IF(AQ163="","",AQ163-($AD$60+$AD$61*Volcanic!C163+$AD$62*Volcanic!D163+$AD$63*Volcanic!E163))</f>
        <v>-4.5210738225019073E-2</v>
      </c>
    </row>
    <row r="164" spans="1:45">
      <c r="A164" s="45" t="str">
        <f>Volcanic!A164</f>
        <v>9/1971</v>
      </c>
      <c r="B164" s="43">
        <f>Volcanic!B164</f>
        <v>-5.0000000000000711E-2</v>
      </c>
      <c r="C164" s="47">
        <f>Volcanic!C164</f>
        <v>0.2077143996600441</v>
      </c>
      <c r="D164" s="41">
        <v>-0.7</v>
      </c>
      <c r="E164" s="43">
        <f t="shared" si="40"/>
        <v>-0.7</v>
      </c>
      <c r="F164" s="48">
        <v>4.6699999999999997E-3</v>
      </c>
      <c r="G164" s="47">
        <f t="shared" si="41"/>
        <v>4.9500000000000004E-3</v>
      </c>
      <c r="H164" s="43">
        <f>Volcanic!D164</f>
        <v>-0.69</v>
      </c>
      <c r="I164" s="47">
        <f>Volcanic!E164</f>
        <v>4.9500000000000004E-3</v>
      </c>
      <c r="K164" s="47">
        <f t="shared" si="28"/>
        <v>0.2077143996600441</v>
      </c>
      <c r="L164" s="47">
        <f t="shared" si="29"/>
        <v>-0.7</v>
      </c>
      <c r="M164" s="47">
        <f t="shared" si="30"/>
        <v>4.9500000000000004E-3</v>
      </c>
      <c r="O164" s="47">
        <f t="shared" si="31"/>
        <v>0.2077143996600441</v>
      </c>
      <c r="P164" s="47">
        <f t="shared" si="32"/>
        <v>-0.69</v>
      </c>
      <c r="Q164" s="47">
        <f t="shared" si="33"/>
        <v>4.9500000000000004E-3</v>
      </c>
      <c r="S164" s="47">
        <f t="shared" si="34"/>
        <v>0.2077143996600441</v>
      </c>
      <c r="T164" s="47">
        <f t="shared" si="35"/>
        <v>-0.7</v>
      </c>
      <c r="U164" s="47">
        <f t="shared" si="36"/>
        <v>4.9500000000000004E-3</v>
      </c>
      <c r="W164" s="47">
        <f t="shared" si="37"/>
        <v>1.9917998396457373E-2</v>
      </c>
      <c r="X164" s="47">
        <f t="shared" si="38"/>
        <v>1.8252687509318841E-2</v>
      </c>
      <c r="Y164" s="47">
        <f t="shared" si="39"/>
        <v>1.9507009856655544E-2</v>
      </c>
      <c r="AP164" s="48">
        <v>-4.7E-2</v>
      </c>
      <c r="AQ164" s="48">
        <v>-6.3299999999999995E-2</v>
      </c>
      <c r="AR164" s="47">
        <f>IF(AP164="","",AP164-($AC$60+$AC$61*Volcanic!C164+$AC$62*Volcanic!D164+$AC$63*Volcanic!E164))</f>
        <v>3.0756124567676749E-2</v>
      </c>
      <c r="AS164" s="47">
        <f>IF(AQ164="","",AQ164-($AD$60+$AD$61*Volcanic!C164+$AD$62*Volcanic!D164+$AD$63*Volcanic!E164))</f>
        <v>1.0089028106637074E-2</v>
      </c>
    </row>
    <row r="165" spans="1:45">
      <c r="A165" s="45" t="str">
        <f>Volcanic!A165</f>
        <v>10/1971</v>
      </c>
      <c r="B165" s="43">
        <f>Volcanic!B165</f>
        <v>-3.9999999999999147E-2</v>
      </c>
      <c r="C165" s="47">
        <f>Volcanic!C165</f>
        <v>0.20860643891488381</v>
      </c>
      <c r="D165" s="41">
        <v>-0.8</v>
      </c>
      <c r="E165" s="43">
        <f t="shared" si="40"/>
        <v>-0.7</v>
      </c>
      <c r="F165" s="48">
        <v>4.7000000000000002E-3</v>
      </c>
      <c r="G165" s="47">
        <f t="shared" si="41"/>
        <v>4.7499999999999999E-3</v>
      </c>
      <c r="H165" s="43">
        <f>Volcanic!D165</f>
        <v>-0.68</v>
      </c>
      <c r="I165" s="47">
        <f>Volcanic!E165</f>
        <v>4.7499999999999999E-3</v>
      </c>
      <c r="K165" s="47">
        <f t="shared" si="28"/>
        <v>0.20860643891488381</v>
      </c>
      <c r="L165" s="47">
        <f t="shared" si="29"/>
        <v>-0.7</v>
      </c>
      <c r="M165" s="47">
        <f t="shared" si="30"/>
        <v>4.7499999999999999E-3</v>
      </c>
      <c r="O165" s="47">
        <f t="shared" si="31"/>
        <v>0.20860643891488381</v>
      </c>
      <c r="P165" s="47">
        <f t="shared" si="32"/>
        <v>-0.68</v>
      </c>
      <c r="Q165" s="47">
        <f t="shared" si="33"/>
        <v>4.7499999999999999E-3</v>
      </c>
      <c r="S165" s="47">
        <f t="shared" si="34"/>
        <v>0.20860643891488381</v>
      </c>
      <c r="T165" s="47">
        <f t="shared" si="35"/>
        <v>-0.7</v>
      </c>
      <c r="U165" s="47">
        <f t="shared" si="36"/>
        <v>4.7499999999999999E-3</v>
      </c>
      <c r="W165" s="47">
        <f t="shared" si="37"/>
        <v>2.7044568021949836E-2</v>
      </c>
      <c r="X165" s="47">
        <f t="shared" si="38"/>
        <v>2.437907683476595E-2</v>
      </c>
      <c r="Y165" s="47">
        <f t="shared" si="39"/>
        <v>2.6572414603007161E-2</v>
      </c>
      <c r="AP165" s="48">
        <v>-7.85E-2</v>
      </c>
      <c r="AQ165" s="48">
        <v>-7.2300000000000003E-2</v>
      </c>
      <c r="AR165" s="47">
        <f>IF(AP165="","",AP165-($AC$60+$AC$61*Volcanic!C165+$AC$62*Volcanic!D165+$AC$63*Volcanic!E165))</f>
        <v>-4.5973761107147987E-3</v>
      </c>
      <c r="AS165" s="47">
        <f>IF(AQ165="","",AQ165-($AD$60+$AD$61*Volcanic!C165+$AD$62*Volcanic!D165+$AD$63*Volcanic!E165))</f>
        <v>-2.8231926830168258E-3</v>
      </c>
    </row>
    <row r="166" spans="1:45">
      <c r="A166" s="45" t="str">
        <f>Volcanic!A166</f>
        <v>11/1971</v>
      </c>
      <c r="B166" s="43">
        <f>Volcanic!B166</f>
        <v>-7.0000000000000284E-2</v>
      </c>
      <c r="C166" s="47">
        <f>Volcanic!C166</f>
        <v>0.21412480535284761</v>
      </c>
      <c r="D166" s="41">
        <v>-0.9</v>
      </c>
      <c r="E166" s="43">
        <f t="shared" si="40"/>
        <v>-0.6</v>
      </c>
      <c r="F166" s="48">
        <v>4.5799999999999999E-3</v>
      </c>
      <c r="G166" s="47">
        <f t="shared" si="41"/>
        <v>4.6699999999999997E-3</v>
      </c>
      <c r="H166" s="43">
        <f>Volcanic!D166</f>
        <v>-0.6</v>
      </c>
      <c r="I166" s="47">
        <f>Volcanic!E166</f>
        <v>4.6699999999999997E-3</v>
      </c>
      <c r="K166" s="47">
        <f t="shared" si="28"/>
        <v>0.21412480535284761</v>
      </c>
      <c r="L166" s="47">
        <f t="shared" si="29"/>
        <v>-0.6</v>
      </c>
      <c r="M166" s="47">
        <f t="shared" si="30"/>
        <v>4.6699999999999997E-3</v>
      </c>
      <c r="O166" s="47">
        <f t="shared" si="31"/>
        <v>0.21412480535284761</v>
      </c>
      <c r="P166" s="47">
        <f t="shared" si="32"/>
        <v>-0.6</v>
      </c>
      <c r="Q166" s="47">
        <f t="shared" si="33"/>
        <v>4.6699999999999997E-3</v>
      </c>
      <c r="S166" s="47">
        <f t="shared" si="34"/>
        <v>0.21412480535284761</v>
      </c>
      <c r="T166" s="47">
        <f t="shared" si="35"/>
        <v>-0.6</v>
      </c>
      <c r="U166" s="47">
        <f t="shared" si="36"/>
        <v>4.6699999999999997E-3</v>
      </c>
      <c r="W166" s="47">
        <f t="shared" si="37"/>
        <v>-2.7468461670937527E-2</v>
      </c>
      <c r="X166" s="47">
        <f t="shared" si="38"/>
        <v>-2.82641763889208E-2</v>
      </c>
      <c r="Y166" s="47">
        <f t="shared" si="39"/>
        <v>-2.7955632200061177E-2</v>
      </c>
      <c r="AP166" s="48">
        <v>-7.3800000000000004E-2</v>
      </c>
      <c r="AQ166" s="48">
        <v>-0.10829999999999999</v>
      </c>
      <c r="AR166" s="47">
        <f>IF(AP166="","",AP166-($AC$60+$AC$61*Volcanic!C166+$AC$62*Volcanic!D166+$AC$63*Volcanic!E166))</f>
        <v>-2.264997629372599E-2</v>
      </c>
      <c r="AS166" s="47">
        <f>IF(AQ166="","",AQ166-($AD$60+$AD$61*Volcanic!C166+$AD$62*Volcanic!D166+$AD$63*Volcanic!E166))</f>
        <v>-6.2107920288274596E-2</v>
      </c>
    </row>
    <row r="167" spans="1:45">
      <c r="A167" s="45" t="str">
        <f>Volcanic!A167</f>
        <v>12/1971</v>
      </c>
      <c r="B167" s="43">
        <f>Volcanic!B167</f>
        <v>-8.0000000000001847E-2</v>
      </c>
      <c r="C167" s="47">
        <f>Volcanic!C167</f>
        <v>0.21948939105648271</v>
      </c>
      <c r="D167" s="41">
        <v>-0.8</v>
      </c>
      <c r="E167" s="43">
        <f t="shared" si="40"/>
        <v>-0.7</v>
      </c>
      <c r="F167" s="48">
        <v>4.4299999999999999E-3</v>
      </c>
      <c r="G167" s="47">
        <f t="shared" si="41"/>
        <v>4.62E-3</v>
      </c>
      <c r="H167" s="43">
        <f>Volcanic!D167</f>
        <v>-0.68</v>
      </c>
      <c r="I167" s="47">
        <f>Volcanic!E167</f>
        <v>4.62E-3</v>
      </c>
      <c r="K167" s="47">
        <f t="shared" si="28"/>
        <v>0.21948939105648271</v>
      </c>
      <c r="L167" s="47">
        <f t="shared" si="29"/>
        <v>-0.7</v>
      </c>
      <c r="M167" s="47">
        <f t="shared" si="30"/>
        <v>4.62E-3</v>
      </c>
      <c r="O167" s="47">
        <f t="shared" si="31"/>
        <v>0.21948939105648271</v>
      </c>
      <c r="P167" s="47">
        <f t="shared" si="32"/>
        <v>-0.68</v>
      </c>
      <c r="Q167" s="47">
        <f t="shared" si="33"/>
        <v>4.62E-3</v>
      </c>
      <c r="S167" s="47">
        <f t="shared" si="34"/>
        <v>0.21948939105648271</v>
      </c>
      <c r="T167" s="47">
        <f t="shared" si="35"/>
        <v>-0.7</v>
      </c>
      <c r="U167" s="47">
        <f t="shared" si="36"/>
        <v>4.62E-3</v>
      </c>
      <c r="W167" s="47">
        <f t="shared" si="37"/>
        <v>-4.2921339449929569E-2</v>
      </c>
      <c r="X167" s="47">
        <f t="shared" si="38"/>
        <v>-4.538349930729222E-2</v>
      </c>
      <c r="Y167" s="47">
        <f t="shared" si="39"/>
        <v>-4.3187267677562924E-2</v>
      </c>
      <c r="AP167" s="48">
        <v>-0.1517</v>
      </c>
      <c r="AQ167" s="48">
        <v>-0.1323</v>
      </c>
      <c r="AR167" s="47">
        <f>IF(AP167="","",AP167-($AC$60+$AC$61*Volcanic!C167+$AC$62*Volcanic!D167+$AC$63*Volcanic!E167))</f>
        <v>-0.10782725935753204</v>
      </c>
      <c r="AS167" s="47">
        <f>IF(AQ167="","",AQ167-($AD$60+$AD$61*Volcanic!C167+$AD$62*Volcanic!D167+$AD$63*Volcanic!E167))</f>
        <v>-9.3602921049494109E-2</v>
      </c>
    </row>
    <row r="168" spans="1:45">
      <c r="A168" s="45" t="str">
        <f>Volcanic!A168</f>
        <v>1/1972</v>
      </c>
      <c r="B168" s="43">
        <f>Volcanic!B168</f>
        <v>-0.21999999999999886</v>
      </c>
      <c r="C168" s="47">
        <f>Volcanic!C168</f>
        <v>0.22284871188886418</v>
      </c>
      <c r="D168" s="41">
        <v>-0.6</v>
      </c>
      <c r="E168" s="43">
        <f t="shared" si="40"/>
        <v>-0.8</v>
      </c>
      <c r="F168" s="48">
        <v>4.3E-3</v>
      </c>
      <c r="G168" s="47">
        <f t="shared" si="41"/>
        <v>4.5999999999999999E-3</v>
      </c>
      <c r="H168" s="43">
        <f>Volcanic!D168</f>
        <v>-0.78</v>
      </c>
      <c r="I168" s="47">
        <f>Volcanic!E168</f>
        <v>4.5999999999999999E-3</v>
      </c>
      <c r="K168" s="47">
        <f t="shared" si="28"/>
        <v>0.22284871188886418</v>
      </c>
      <c r="L168" s="47">
        <f t="shared" si="29"/>
        <v>-0.8</v>
      </c>
      <c r="M168" s="47">
        <f t="shared" si="30"/>
        <v>4.5999999999999999E-3</v>
      </c>
      <c r="O168" s="47">
        <f t="shared" si="31"/>
        <v>0.22284871188886418</v>
      </c>
      <c r="P168" s="47">
        <f t="shared" si="32"/>
        <v>-0.78</v>
      </c>
      <c r="Q168" s="47">
        <f t="shared" si="33"/>
        <v>4.5999999999999999E-3</v>
      </c>
      <c r="S168" s="47">
        <f t="shared" si="34"/>
        <v>0.22284871188886418</v>
      </c>
      <c r="T168" s="47">
        <f t="shared" si="35"/>
        <v>-0.8</v>
      </c>
      <c r="U168" s="47">
        <f t="shared" si="36"/>
        <v>4.5999999999999999E-3</v>
      </c>
      <c r="W168" s="47">
        <f t="shared" si="37"/>
        <v>-0.18283945222633249</v>
      </c>
      <c r="X168" s="47">
        <f t="shared" si="38"/>
        <v>-0.18512432445071392</v>
      </c>
      <c r="Y168" s="47">
        <f t="shared" si="39"/>
        <v>-0.18291964363459673</v>
      </c>
      <c r="AP168" s="48">
        <v>-0.2999</v>
      </c>
      <c r="AQ168" s="48">
        <v>-0.27229999999999999</v>
      </c>
      <c r="AR168" s="47">
        <f>IF(AP168="","",AP168-($AC$60+$AC$61*Volcanic!C168+$AC$62*Volcanic!D168+$AC$63*Volcanic!E168))</f>
        <v>-0.25588386189966894</v>
      </c>
      <c r="AS168" s="47">
        <f>IF(AQ168="","",AQ168-($AD$60+$AD$61*Volcanic!C168+$AD$62*Volcanic!D168+$AD$63*Volcanic!E168))</f>
        <v>-0.23350139262770347</v>
      </c>
    </row>
    <row r="169" spans="1:45">
      <c r="A169" s="45" t="str">
        <f>Volcanic!A169</f>
        <v>2/1972</v>
      </c>
      <c r="B169" s="43">
        <f>Volcanic!B169</f>
        <v>-0.17999999999999794</v>
      </c>
      <c r="C169" s="47">
        <f>Volcanic!C169</f>
        <v>0.22664063869031495</v>
      </c>
      <c r="D169" s="41">
        <v>-0.3</v>
      </c>
      <c r="E169" s="43">
        <f t="shared" si="40"/>
        <v>-0.9</v>
      </c>
      <c r="F169" s="48">
        <v>4.15E-3</v>
      </c>
      <c r="G169" s="47">
        <f t="shared" si="41"/>
        <v>4.6100000000000004E-3</v>
      </c>
      <c r="H169" s="43">
        <f>Volcanic!D169</f>
        <v>-0.86</v>
      </c>
      <c r="I169" s="47">
        <f>Volcanic!E169</f>
        <v>4.6100000000000004E-3</v>
      </c>
      <c r="K169" s="47">
        <f t="shared" si="28"/>
        <v>0.22664063869031495</v>
      </c>
      <c r="L169" s="47">
        <f t="shared" si="29"/>
        <v>-0.9</v>
      </c>
      <c r="M169" s="47">
        <f t="shared" si="30"/>
        <v>4.6100000000000004E-3</v>
      </c>
      <c r="O169" s="47">
        <f t="shared" si="31"/>
        <v>0.22664063869031495</v>
      </c>
      <c r="P169" s="47">
        <f t="shared" si="32"/>
        <v>-0.86</v>
      </c>
      <c r="Q169" s="47">
        <f t="shared" si="33"/>
        <v>4.6100000000000004E-3</v>
      </c>
      <c r="S169" s="47">
        <f t="shared" si="34"/>
        <v>0.22664063869031495</v>
      </c>
      <c r="T169" s="47">
        <f t="shared" si="35"/>
        <v>-0.9</v>
      </c>
      <c r="U169" s="47">
        <f t="shared" si="36"/>
        <v>4.6100000000000004E-3</v>
      </c>
      <c r="W169" s="47">
        <f t="shared" si="37"/>
        <v>-0.14387124087030995</v>
      </c>
      <c r="X169" s="47">
        <f t="shared" si="38"/>
        <v>-0.14783507501671639</v>
      </c>
      <c r="Y169" s="47">
        <f t="shared" si="39"/>
        <v>-0.1437429979073194</v>
      </c>
      <c r="AP169" s="48">
        <v>-0.20080000000000001</v>
      </c>
      <c r="AQ169" s="48">
        <v>-0.21729999999999999</v>
      </c>
      <c r="AR169" s="47">
        <f>IF(AP169="","",AP169-($AC$60+$AC$61*Volcanic!C169+$AC$62*Volcanic!D169+$AC$63*Volcanic!E169))</f>
        <v>-0.1596224578183171</v>
      </c>
      <c r="AS169" s="47">
        <f>IF(AQ169="","",AQ169-($AD$60+$AD$61*Volcanic!C169+$AD$62*Volcanic!D169+$AD$63*Volcanic!E169))</f>
        <v>-0.18145412306770314</v>
      </c>
    </row>
    <row r="170" spans="1:45">
      <c r="A170" s="45" t="str">
        <f>Volcanic!A170</f>
        <v>3/1972</v>
      </c>
      <c r="B170" s="43">
        <f>Volcanic!B170</f>
        <v>2.9999999999997584E-2</v>
      </c>
      <c r="C170" s="47">
        <f>Volcanic!C170</f>
        <v>0.22716895327678804</v>
      </c>
      <c r="D170" s="41">
        <v>0</v>
      </c>
      <c r="E170" s="43">
        <f t="shared" si="40"/>
        <v>-0.8</v>
      </c>
      <c r="F170" s="48">
        <v>4.0499999999999998E-3</v>
      </c>
      <c r="G170" s="47">
        <f t="shared" si="41"/>
        <v>4.6600000000000001E-3</v>
      </c>
      <c r="H170" s="43">
        <f>Volcanic!D170</f>
        <v>-0.78</v>
      </c>
      <c r="I170" s="47">
        <f>Volcanic!E170</f>
        <v>4.6600000000000001E-3</v>
      </c>
      <c r="K170" s="47">
        <f t="shared" si="28"/>
        <v>0.22716895327678804</v>
      </c>
      <c r="L170" s="47">
        <f t="shared" si="29"/>
        <v>-0.8</v>
      </c>
      <c r="M170" s="47">
        <f t="shared" si="30"/>
        <v>4.6600000000000001E-3</v>
      </c>
      <c r="O170" s="47">
        <f t="shared" si="31"/>
        <v>0.22716895327678804</v>
      </c>
      <c r="P170" s="47">
        <f t="shared" si="32"/>
        <v>-0.78</v>
      </c>
      <c r="Q170" s="47">
        <f t="shared" si="33"/>
        <v>4.6600000000000001E-3</v>
      </c>
      <c r="S170" s="47">
        <f t="shared" si="34"/>
        <v>0.22716895327678804</v>
      </c>
      <c r="T170" s="47">
        <f t="shared" si="35"/>
        <v>-0.8</v>
      </c>
      <c r="U170" s="47">
        <f t="shared" si="36"/>
        <v>4.6600000000000001E-3</v>
      </c>
      <c r="W170" s="47">
        <f t="shared" si="37"/>
        <v>5.5510810479116116E-2</v>
      </c>
      <c r="X170" s="47">
        <f t="shared" si="38"/>
        <v>5.3352327790547119E-2</v>
      </c>
      <c r="Y170" s="47">
        <f t="shared" si="39"/>
        <v>5.5558501397995549E-2</v>
      </c>
      <c r="AP170" s="48">
        <v>-6.4199999999999993E-2</v>
      </c>
      <c r="AQ170" s="48">
        <v>-2.23E-2</v>
      </c>
      <c r="AR170" s="47">
        <f>IF(AP170="","",AP170-($AC$60+$AC$61*Volcanic!C170+$AC$62*Volcanic!D170+$AC$63*Volcanic!E170))</f>
        <v>-3.1836375986881535E-2</v>
      </c>
      <c r="AS170" s="47">
        <f>IF(AQ170="","",AQ170-($AD$60+$AD$61*Volcanic!C170+$AD$62*Volcanic!D170+$AD$63*Volcanic!E170))</f>
        <v>4.5354958057410785E-3</v>
      </c>
    </row>
    <row r="171" spans="1:45">
      <c r="A171" s="45" t="str">
        <f>Volcanic!A171</f>
        <v>4/1972</v>
      </c>
      <c r="B171" s="43">
        <f>Volcanic!B171</f>
        <v>0</v>
      </c>
      <c r="C171" s="47">
        <f>Volcanic!C171</f>
        <v>0.23581457280650558</v>
      </c>
      <c r="D171" s="41">
        <v>0.3</v>
      </c>
      <c r="E171" s="43">
        <f t="shared" si="40"/>
        <v>-0.6</v>
      </c>
      <c r="F171" s="48">
        <v>4.0699999999999998E-3</v>
      </c>
      <c r="G171" s="47">
        <f t="shared" si="41"/>
        <v>4.6699999999999997E-3</v>
      </c>
      <c r="H171" s="43">
        <f>Volcanic!D171</f>
        <v>-0.56999999999999995</v>
      </c>
      <c r="I171" s="47">
        <f>Volcanic!E171</f>
        <v>4.6699999999999997E-3</v>
      </c>
      <c r="K171" s="47">
        <f t="shared" si="28"/>
        <v>0.23581457280650558</v>
      </c>
      <c r="L171" s="47">
        <f t="shared" si="29"/>
        <v>-0.6</v>
      </c>
      <c r="M171" s="47">
        <f t="shared" si="30"/>
        <v>4.6699999999999997E-3</v>
      </c>
      <c r="O171" s="47">
        <f t="shared" si="31"/>
        <v>0.23581457280650558</v>
      </c>
      <c r="P171" s="47">
        <f t="shared" si="32"/>
        <v>-0.56999999999999995</v>
      </c>
      <c r="Q171" s="47">
        <f t="shared" si="33"/>
        <v>4.6699999999999997E-3</v>
      </c>
      <c r="S171" s="47">
        <f t="shared" si="34"/>
        <v>0.23581457280650558</v>
      </c>
      <c r="T171" s="47">
        <f t="shared" si="35"/>
        <v>-0.6</v>
      </c>
      <c r="U171" s="47">
        <f t="shared" si="36"/>
        <v>4.6699999999999997E-3</v>
      </c>
      <c r="W171" s="47">
        <f t="shared" si="37"/>
        <v>-1.6619723508909834E-2</v>
      </c>
      <c r="X171" s="47">
        <f t="shared" si="38"/>
        <v>-1.9722256691622669E-2</v>
      </c>
      <c r="Y171" s="47">
        <f t="shared" si="39"/>
        <v>-1.6589060914219668E-2</v>
      </c>
      <c r="AP171" s="48">
        <v>-4.9799999999999997E-2</v>
      </c>
      <c r="AQ171" s="48">
        <v>3.7000000000000002E-3</v>
      </c>
      <c r="AR171" s="47">
        <f>IF(AP171="","",AP171-($AC$60+$AC$61*Volcanic!C171+$AC$62*Volcanic!D171+$AC$63*Volcanic!E171))</f>
        <v>-6.0685583907097301E-2</v>
      </c>
      <c r="AS171" s="47">
        <f>IF(AQ171="","",AQ171-($AD$60+$AD$61*Volcanic!C171+$AD$62*Volcanic!D171+$AD$63*Volcanic!E171))</f>
        <v>-1.372556329656051E-2</v>
      </c>
    </row>
    <row r="172" spans="1:45">
      <c r="A172" s="45" t="str">
        <f>Volcanic!A172</f>
        <v>5/1972</v>
      </c>
      <c r="B172" s="43">
        <f>Volcanic!B172</f>
        <v>-2.9999999999999361E-2</v>
      </c>
      <c r="C172" s="47">
        <f>Volcanic!C172</f>
        <v>0.23734519106890656</v>
      </c>
      <c r="D172" s="41">
        <v>0.5</v>
      </c>
      <c r="E172" s="43">
        <f t="shared" si="40"/>
        <v>-0.3</v>
      </c>
      <c r="F172" s="48">
        <v>4.0899999999999999E-3</v>
      </c>
      <c r="G172" s="47">
        <f t="shared" si="41"/>
        <v>4.7000000000000002E-3</v>
      </c>
      <c r="H172" s="43">
        <f>Volcanic!D172</f>
        <v>-0.27</v>
      </c>
      <c r="I172" s="47">
        <f>Volcanic!E172</f>
        <v>4.7000000000000002E-3</v>
      </c>
      <c r="K172" s="47">
        <f t="shared" si="28"/>
        <v>0.23734519106890656</v>
      </c>
      <c r="L172" s="47">
        <f t="shared" si="29"/>
        <v>-0.3</v>
      </c>
      <c r="M172" s="47">
        <f t="shared" si="30"/>
        <v>4.7000000000000002E-3</v>
      </c>
      <c r="O172" s="47">
        <f t="shared" si="31"/>
        <v>0.23734519106890656</v>
      </c>
      <c r="P172" s="47">
        <f t="shared" si="32"/>
        <v>-0.27</v>
      </c>
      <c r="Q172" s="47">
        <f t="shared" si="33"/>
        <v>4.7000000000000002E-3</v>
      </c>
      <c r="S172" s="47">
        <f t="shared" si="34"/>
        <v>0.23734519106890656</v>
      </c>
      <c r="T172" s="47">
        <f t="shared" si="35"/>
        <v>-0.3</v>
      </c>
      <c r="U172" s="47">
        <f t="shared" si="36"/>
        <v>4.7000000000000002E-3</v>
      </c>
      <c r="W172" s="47">
        <f t="shared" si="37"/>
        <v>-7.8589838653339086E-2</v>
      </c>
      <c r="X172" s="47">
        <f t="shared" si="38"/>
        <v>-8.1962876305885002E-2</v>
      </c>
      <c r="Y172" s="47">
        <f t="shared" si="39"/>
        <v>-7.885160632820859E-2</v>
      </c>
      <c r="AP172" s="48">
        <v>-3.8999999999999998E-3</v>
      </c>
      <c r="AQ172" s="48">
        <v>4.3700000000000003E-2</v>
      </c>
      <c r="AR172" s="47">
        <f>IF(AP172="","",AP172-($AC$60+$AC$61*Volcanic!C172+$AC$62*Volcanic!D172+$AC$63*Volcanic!E172))</f>
        <v>-4.6986446877060946E-2</v>
      </c>
      <c r="AS172" s="47">
        <f>IF(AQ172="","",AQ172-($AD$60+$AD$61*Volcanic!C172+$AD$62*Volcanic!D172+$AD$63*Volcanic!E172))</f>
        <v>-6.6132492976830465E-3</v>
      </c>
    </row>
    <row r="173" spans="1:45">
      <c r="A173" s="45" t="str">
        <f>Volcanic!A173</f>
        <v>6/1972</v>
      </c>
      <c r="B173" s="43">
        <f>Volcanic!B173</f>
        <v>3.9999999999999147E-2</v>
      </c>
      <c r="C173" s="47">
        <f>Volcanic!C173</f>
        <v>0.23305536103738234</v>
      </c>
      <c r="D173" s="41">
        <v>0.7</v>
      </c>
      <c r="E173" s="43">
        <f t="shared" si="40"/>
        <v>0</v>
      </c>
      <c r="F173" s="48">
        <v>4.15E-3</v>
      </c>
      <c r="G173" s="47">
        <f t="shared" si="41"/>
        <v>4.5799999999999999E-3</v>
      </c>
      <c r="H173" s="43">
        <f>Volcanic!D173</f>
        <v>0.04</v>
      </c>
      <c r="I173" s="47">
        <f>Volcanic!E173</f>
        <v>4.5799999999999999E-3</v>
      </c>
      <c r="K173" s="47">
        <f t="shared" si="28"/>
        <v>0.23305536103738234</v>
      </c>
      <c r="L173" s="47">
        <f t="shared" si="29"/>
        <v>0</v>
      </c>
      <c r="M173" s="47">
        <f t="shared" si="30"/>
        <v>4.5799999999999999E-3</v>
      </c>
      <c r="O173" s="47">
        <f t="shared" si="31"/>
        <v>0.23305536103738234</v>
      </c>
      <c r="P173" s="47">
        <f t="shared" si="32"/>
        <v>0.04</v>
      </c>
      <c r="Q173" s="47">
        <f t="shared" si="33"/>
        <v>4.5799999999999999E-3</v>
      </c>
      <c r="S173" s="47">
        <f t="shared" si="34"/>
        <v>0.23305536103738234</v>
      </c>
      <c r="T173" s="47">
        <f t="shared" si="35"/>
        <v>0</v>
      </c>
      <c r="U173" s="47">
        <f t="shared" si="36"/>
        <v>4.5799999999999999E-3</v>
      </c>
      <c r="W173" s="47">
        <f t="shared" si="37"/>
        <v>-2.5017243625557919E-2</v>
      </c>
      <c r="X173" s="47">
        <f t="shared" si="38"/>
        <v>-2.9798730160380829E-2</v>
      </c>
      <c r="Y173" s="47">
        <f t="shared" si="39"/>
        <v>-2.577224849613062E-2</v>
      </c>
      <c r="AP173" s="48">
        <v>4.5699999999999998E-2</v>
      </c>
      <c r="AQ173" s="48">
        <v>2.9700000000000001E-2</v>
      </c>
      <c r="AR173" s="47">
        <f>IF(AP173="","",AP173-($AC$60+$AC$61*Volcanic!C173+$AC$62*Volcanic!D173+$AC$63*Volcanic!E173))</f>
        <v>-1.4991327676280336E-2</v>
      </c>
      <c r="AS173" s="47">
        <f>IF(AQ173="","",AQ173-($AD$60+$AD$61*Volcanic!C173+$AD$62*Volcanic!D173+$AD$63*Volcanic!E173))</f>
        <v>-3.8497680369087239E-2</v>
      </c>
    </row>
    <row r="174" spans="1:45">
      <c r="A174" s="45" t="str">
        <f>Volcanic!A174</f>
        <v>7/1972</v>
      </c>
      <c r="B174" s="43">
        <f>Volcanic!B174</f>
        <v>1.0000000000001563E-2</v>
      </c>
      <c r="C174" s="47">
        <f>Volcanic!C174</f>
        <v>0.2284449153656577</v>
      </c>
      <c r="D174" s="41">
        <v>1</v>
      </c>
      <c r="E174" s="43">
        <f t="shared" si="40"/>
        <v>0.3</v>
      </c>
      <c r="F174" s="48">
        <v>4.2199999999999998E-3</v>
      </c>
      <c r="G174" s="47">
        <f t="shared" si="41"/>
        <v>4.4299999999999999E-3</v>
      </c>
      <c r="H174" s="43">
        <f>Volcanic!D174</f>
        <v>0.25</v>
      </c>
      <c r="I174" s="47">
        <f>Volcanic!E174</f>
        <v>4.4299999999999999E-3</v>
      </c>
      <c r="K174" s="47">
        <f t="shared" si="28"/>
        <v>0.2284449153656577</v>
      </c>
      <c r="L174" s="47">
        <f t="shared" si="29"/>
        <v>0.3</v>
      </c>
      <c r="M174" s="47">
        <f t="shared" si="30"/>
        <v>4.4299999999999999E-3</v>
      </c>
      <c r="O174" s="47">
        <f t="shared" si="31"/>
        <v>0.2284449153656577</v>
      </c>
      <c r="P174" s="47">
        <f t="shared" si="32"/>
        <v>0.25</v>
      </c>
      <c r="Q174" s="47">
        <f t="shared" si="33"/>
        <v>4.4299999999999999E-3</v>
      </c>
      <c r="S174" s="47">
        <f t="shared" si="34"/>
        <v>0.2284449153656577</v>
      </c>
      <c r="T174" s="47">
        <f t="shared" si="35"/>
        <v>0.3</v>
      </c>
      <c r="U174" s="47">
        <f t="shared" si="36"/>
        <v>4.4299999999999999E-3</v>
      </c>
      <c r="W174" s="47">
        <f t="shared" si="37"/>
        <v>-7.0636387220254088E-2</v>
      </c>
      <c r="X174" s="47">
        <f t="shared" si="38"/>
        <v>-6.7452538562728093E-2</v>
      </c>
      <c r="Y174" s="47">
        <f t="shared" si="39"/>
        <v>-7.1904653121329237E-2</v>
      </c>
      <c r="AP174" s="48">
        <v>-1.3599999999999999E-2</v>
      </c>
      <c r="AQ174" s="48">
        <v>-4.8300000000000003E-2</v>
      </c>
      <c r="AR174" s="47">
        <f>IF(AP174="","",AP174-($AC$60+$AC$61*Volcanic!C174+$AC$62*Volcanic!D174+$AC$63*Volcanic!E174))</f>
        <v>-8.1728408701106342E-2</v>
      </c>
      <c r="AS174" s="47">
        <f>IF(AQ174="","",AQ174-($AD$60+$AD$61*Volcanic!C174+$AD$62*Volcanic!D174+$AD$63*Volcanic!E174))</f>
        <v>-0.12399637907324093</v>
      </c>
    </row>
    <row r="175" spans="1:45">
      <c r="A175" s="45" t="str">
        <f>Volcanic!A175</f>
        <v>8/1972</v>
      </c>
      <c r="B175" s="43">
        <f>Volcanic!B175</f>
        <v>0.16000000000000014</v>
      </c>
      <c r="C175" s="47">
        <f>Volcanic!C175</f>
        <v>0.22086058507283202</v>
      </c>
      <c r="D175" s="41">
        <v>1.3</v>
      </c>
      <c r="E175" s="43">
        <f t="shared" si="40"/>
        <v>0.5</v>
      </c>
      <c r="F175" s="48">
        <v>4.3200000000000001E-3</v>
      </c>
      <c r="G175" s="47">
        <f t="shared" si="41"/>
        <v>4.3E-3</v>
      </c>
      <c r="H175" s="43">
        <f>Volcanic!D175</f>
        <v>0.48</v>
      </c>
      <c r="I175" s="47">
        <f>Volcanic!E175</f>
        <v>4.3E-3</v>
      </c>
      <c r="K175" s="47">
        <f t="shared" si="28"/>
        <v>0.22086058507283202</v>
      </c>
      <c r="L175" s="47">
        <f t="shared" si="29"/>
        <v>0.5</v>
      </c>
      <c r="M175" s="47">
        <f t="shared" si="30"/>
        <v>4.3E-3</v>
      </c>
      <c r="O175" s="47">
        <f t="shared" si="31"/>
        <v>0.22086058507283202</v>
      </c>
      <c r="P175" s="47">
        <f t="shared" si="32"/>
        <v>0.48</v>
      </c>
      <c r="Q175" s="47">
        <f t="shared" si="33"/>
        <v>4.3E-3</v>
      </c>
      <c r="S175" s="47">
        <f t="shared" si="34"/>
        <v>0.22086058507283202</v>
      </c>
      <c r="T175" s="47">
        <f t="shared" si="35"/>
        <v>0.5</v>
      </c>
      <c r="U175" s="47">
        <f t="shared" si="36"/>
        <v>4.3E-3</v>
      </c>
      <c r="W175" s="47">
        <f t="shared" si="37"/>
        <v>8.1186102319887085E-2</v>
      </c>
      <c r="X175" s="47">
        <f t="shared" si="38"/>
        <v>8.1107315725802681E-2</v>
      </c>
      <c r="Y175" s="47">
        <f t="shared" si="39"/>
        <v>7.9455602249436097E-2</v>
      </c>
      <c r="AP175" s="48">
        <v>0.14199999999999999</v>
      </c>
      <c r="AQ175" s="48">
        <v>0.15770000000000001</v>
      </c>
      <c r="AR175" s="47">
        <f>IF(AP175="","",AP175-($AC$60+$AC$61*Volcanic!C175+$AC$62*Volcanic!D175+$AC$63*Volcanic!E175))</f>
        <v>7.2730245674160435E-2</v>
      </c>
      <c r="AS175" s="47">
        <f>IF(AQ175="","",AQ175-($AD$60+$AD$61*Volcanic!C175+$AD$62*Volcanic!D175+$AD$63*Volcanic!E175))</f>
        <v>8.0968974707953348E-2</v>
      </c>
    </row>
    <row r="176" spans="1:45">
      <c r="A176" s="45" t="str">
        <f>Volcanic!A176</f>
        <v>9/1972</v>
      </c>
      <c r="B176" s="43">
        <f>Volcanic!B176</f>
        <v>2.0000000000003126E-2</v>
      </c>
      <c r="C176" s="47">
        <f>Volcanic!C176</f>
        <v>0.21430246621642873</v>
      </c>
      <c r="D176" s="41">
        <v>1.5</v>
      </c>
      <c r="E176" s="43">
        <f t="shared" si="40"/>
        <v>0.7</v>
      </c>
      <c r="F176" s="48">
        <v>4.3800000000000002E-3</v>
      </c>
      <c r="G176" s="47">
        <f t="shared" si="41"/>
        <v>4.15E-3</v>
      </c>
      <c r="H176" s="43">
        <f>Volcanic!D176</f>
        <v>0.7</v>
      </c>
      <c r="I176" s="47">
        <f>Volcanic!E176</f>
        <v>4.15E-3</v>
      </c>
      <c r="K176" s="47">
        <f t="shared" si="28"/>
        <v>0.21430246621642873</v>
      </c>
      <c r="L176" s="47">
        <f t="shared" si="29"/>
        <v>0.7</v>
      </c>
      <c r="M176" s="47">
        <f t="shared" si="30"/>
        <v>4.15E-3</v>
      </c>
      <c r="O176" s="47">
        <f t="shared" si="31"/>
        <v>0.21430246621642873</v>
      </c>
      <c r="P176" s="47">
        <f t="shared" si="32"/>
        <v>0.7</v>
      </c>
      <c r="Q176" s="47">
        <f t="shared" si="33"/>
        <v>4.15E-3</v>
      </c>
      <c r="S176" s="47">
        <f t="shared" si="34"/>
        <v>0.21430246621642873</v>
      </c>
      <c r="T176" s="47">
        <f t="shared" si="35"/>
        <v>0.7</v>
      </c>
      <c r="U176" s="47">
        <f t="shared" si="36"/>
        <v>4.15E-3</v>
      </c>
      <c r="W176" s="47">
        <f t="shared" si="37"/>
        <v>-5.9834111752034208E-2</v>
      </c>
      <c r="X176" s="47">
        <f t="shared" si="38"/>
        <v>-6.2220166643975658E-2</v>
      </c>
      <c r="Y176" s="47">
        <f t="shared" si="39"/>
        <v>-6.2010591860658812E-2</v>
      </c>
      <c r="AP176" s="48">
        <v>2.64E-2</v>
      </c>
      <c r="AQ176" s="48">
        <v>1.6999999999999999E-3</v>
      </c>
      <c r="AR176" s="47">
        <f>IF(AP176="","",AP176-($AC$60+$AC$61*Volcanic!C176+$AC$62*Volcanic!D176+$AC$63*Volcanic!E176))</f>
        <v>-4.5924954199151803E-2</v>
      </c>
      <c r="AS176" s="47">
        <f>IF(AQ176="","",AQ176-($AD$60+$AD$61*Volcanic!C176+$AD$62*Volcanic!D176+$AD$63*Volcanic!E176))</f>
        <v>-7.8030143532639915E-2</v>
      </c>
    </row>
    <row r="177" spans="1:45">
      <c r="A177" s="45" t="str">
        <f>Volcanic!A177</f>
        <v>10/1972</v>
      </c>
      <c r="B177" s="43">
        <f>Volcanic!B177</f>
        <v>8.0000000000000071E-2</v>
      </c>
      <c r="C177" s="47">
        <f>Volcanic!C177</f>
        <v>0.21590043024269898</v>
      </c>
      <c r="D177" s="41">
        <v>1.7</v>
      </c>
      <c r="E177" s="43">
        <f t="shared" si="40"/>
        <v>1</v>
      </c>
      <c r="F177" s="48">
        <v>4.45E-3</v>
      </c>
      <c r="G177" s="47">
        <f t="shared" si="41"/>
        <v>4.0499999999999998E-3</v>
      </c>
      <c r="H177" s="43">
        <f>Volcanic!D177</f>
        <v>1</v>
      </c>
      <c r="I177" s="47">
        <f>Volcanic!E177</f>
        <v>4.0499999999999998E-3</v>
      </c>
      <c r="K177" s="47">
        <f t="shared" si="28"/>
        <v>0.21590043024269898</v>
      </c>
      <c r="L177" s="47">
        <f t="shared" si="29"/>
        <v>1</v>
      </c>
      <c r="M177" s="47">
        <f t="shared" si="30"/>
        <v>4.0499999999999998E-3</v>
      </c>
      <c r="O177" s="47">
        <f t="shared" si="31"/>
        <v>0.21590043024269898</v>
      </c>
      <c r="P177" s="47">
        <f t="shared" si="32"/>
        <v>1</v>
      </c>
      <c r="Q177" s="47">
        <f t="shared" si="33"/>
        <v>4.0499999999999998E-3</v>
      </c>
      <c r="S177" s="47">
        <f t="shared" si="34"/>
        <v>0.21590043024269898</v>
      </c>
      <c r="T177" s="47">
        <f t="shared" si="35"/>
        <v>1</v>
      </c>
      <c r="U177" s="47">
        <f t="shared" si="36"/>
        <v>4.0499999999999998E-3</v>
      </c>
      <c r="W177" s="47">
        <f t="shared" si="37"/>
        <v>-3.2274347188862657E-2</v>
      </c>
      <c r="X177" s="47">
        <f t="shared" si="38"/>
        <v>-3.4982518625567602E-2</v>
      </c>
      <c r="Y177" s="47">
        <f t="shared" si="39"/>
        <v>-3.4795249954533147E-2</v>
      </c>
      <c r="AP177" s="48">
        <v>2.3199999999999998E-2</v>
      </c>
      <c r="AQ177" s="48">
        <v>-2.9999999999999997E-4</v>
      </c>
      <c r="AR177" s="47">
        <f>IF(AP177="","",AP177-($AC$60+$AC$61*Volcanic!C177+$AC$62*Volcanic!D177+$AC$63*Volcanic!E177))</f>
        <v>-8.1822518093758762E-2</v>
      </c>
      <c r="AS177" s="47">
        <f>IF(AQ177="","",AQ177-($AD$60+$AD$61*Volcanic!C177+$AD$62*Volcanic!D177+$AD$63*Volcanic!E177))</f>
        <v>-0.11340420406359976</v>
      </c>
    </row>
    <row r="178" spans="1:45">
      <c r="A178" s="45" t="str">
        <f>Volcanic!A178</f>
        <v>11/1972</v>
      </c>
      <c r="B178" s="43">
        <f>Volcanic!B178</f>
        <v>2.0000000000003126E-2</v>
      </c>
      <c r="C178" s="47">
        <f>Volcanic!C178</f>
        <v>0.22165616460146442</v>
      </c>
      <c r="D178" s="41">
        <v>1.8</v>
      </c>
      <c r="E178" s="43">
        <f t="shared" si="40"/>
        <v>1.3</v>
      </c>
      <c r="F178" s="48">
        <v>4.3699999999999998E-3</v>
      </c>
      <c r="G178" s="47">
        <f t="shared" si="41"/>
        <v>4.0699999999999998E-3</v>
      </c>
      <c r="H178" s="43">
        <f>Volcanic!D178</f>
        <v>1.26</v>
      </c>
      <c r="I178" s="47">
        <f>Volcanic!E178</f>
        <v>4.0699999999999998E-3</v>
      </c>
      <c r="K178" s="47">
        <f t="shared" si="28"/>
        <v>0.22165616460146442</v>
      </c>
      <c r="L178" s="47">
        <f t="shared" si="29"/>
        <v>1.3</v>
      </c>
      <c r="M178" s="47">
        <f t="shared" si="30"/>
        <v>4.0699999999999998E-3</v>
      </c>
      <c r="O178" s="47">
        <f t="shared" si="31"/>
        <v>0.22165616460146442</v>
      </c>
      <c r="P178" s="47">
        <f t="shared" si="32"/>
        <v>1.26</v>
      </c>
      <c r="Q178" s="47">
        <f t="shared" si="33"/>
        <v>4.0699999999999998E-3</v>
      </c>
      <c r="S178" s="47">
        <f t="shared" si="34"/>
        <v>0.22165616460146442</v>
      </c>
      <c r="T178" s="47">
        <f t="shared" si="35"/>
        <v>1.3</v>
      </c>
      <c r="U178" s="47">
        <f t="shared" si="36"/>
        <v>4.0699999999999998E-3</v>
      </c>
      <c r="W178" s="47">
        <f t="shared" si="37"/>
        <v>-0.13578902538594176</v>
      </c>
      <c r="X178" s="47">
        <f t="shared" si="38"/>
        <v>-0.13491475258355268</v>
      </c>
      <c r="Y178" s="47">
        <f t="shared" si="39"/>
        <v>-0.13850560883189203</v>
      </c>
      <c r="AP178" s="48">
        <v>2.76E-2</v>
      </c>
      <c r="AQ178" s="48">
        <v>-2.0299999999999999E-2</v>
      </c>
      <c r="AR178" s="47">
        <f>IF(AP178="","",AP178-($AC$60+$AC$61*Volcanic!C178+$AC$62*Volcanic!D178+$AC$63*Volcanic!E178))</f>
        <v>-0.11743877523136599</v>
      </c>
      <c r="AS178" s="47">
        <f>IF(AQ178="","",AQ178-($AD$60+$AD$61*Volcanic!C178+$AD$62*Volcanic!D178+$AD$63*Volcanic!E178))</f>
        <v>-0.17432631759655376</v>
      </c>
    </row>
    <row r="179" spans="1:45">
      <c r="A179" s="45" t="str">
        <f>Volcanic!A179</f>
        <v>12/1972</v>
      </c>
      <c r="B179" s="43">
        <f>Volcanic!B179</f>
        <v>0.17999999999999972</v>
      </c>
      <c r="C179" s="47">
        <f>Volcanic!C179</f>
        <v>0.22628832145277814</v>
      </c>
      <c r="D179" s="41">
        <v>1.8</v>
      </c>
      <c r="E179" s="43">
        <f t="shared" si="40"/>
        <v>1.5</v>
      </c>
      <c r="F179" s="48">
        <v>4.2500000000000003E-3</v>
      </c>
      <c r="G179" s="47">
        <f t="shared" si="41"/>
        <v>4.0899999999999999E-3</v>
      </c>
      <c r="H179" s="43">
        <f>Volcanic!D179</f>
        <v>1.49</v>
      </c>
      <c r="I179" s="47">
        <f>Volcanic!E179</f>
        <v>4.0899999999999999E-3</v>
      </c>
      <c r="K179" s="47">
        <f t="shared" si="28"/>
        <v>0.22628832145277814</v>
      </c>
      <c r="L179" s="47">
        <f t="shared" si="29"/>
        <v>1.5</v>
      </c>
      <c r="M179" s="47">
        <f t="shared" si="30"/>
        <v>4.0899999999999999E-3</v>
      </c>
      <c r="O179" s="47">
        <f t="shared" si="31"/>
        <v>0.22628832145277814</v>
      </c>
      <c r="P179" s="47">
        <f t="shared" si="32"/>
        <v>1.49</v>
      </c>
      <c r="Q179" s="47">
        <f t="shared" si="33"/>
        <v>4.0899999999999999E-3</v>
      </c>
      <c r="S179" s="47">
        <f t="shared" si="34"/>
        <v>0.22628832145277814</v>
      </c>
      <c r="T179" s="47">
        <f t="shared" si="35"/>
        <v>1.5</v>
      </c>
      <c r="U179" s="47">
        <f t="shared" si="36"/>
        <v>4.0899999999999999E-3</v>
      </c>
      <c r="W179" s="47">
        <f t="shared" si="37"/>
        <v>-6.9522070623511678E-3</v>
      </c>
      <c r="X179" s="47">
        <f t="shared" si="38"/>
        <v>-8.9912207328971261E-3</v>
      </c>
      <c r="Y179" s="47">
        <f t="shared" si="39"/>
        <v>-9.7775152947224553E-3</v>
      </c>
      <c r="AP179" s="48">
        <v>0.18909999999999999</v>
      </c>
      <c r="AQ179" s="48">
        <v>0.22170000000000001</v>
      </c>
      <c r="AR179" s="47">
        <f>IF(AP179="","",AP179-($AC$60+$AC$61*Volcanic!C179+$AC$62*Volcanic!D179+$AC$63*Volcanic!E179))</f>
        <v>9.9223705038453125E-3</v>
      </c>
      <c r="AS179" s="47">
        <f>IF(AQ179="","",AQ179-($AD$60+$AD$61*Volcanic!C179+$AD$62*Volcanic!D179+$AD$63*Volcanic!E179))</f>
        <v>3.2765518904630253E-2</v>
      </c>
    </row>
    <row r="180" spans="1:45">
      <c r="A180" s="45" t="str">
        <f>Volcanic!A180</f>
        <v>1/1973</v>
      </c>
      <c r="B180" s="43">
        <f>Volcanic!B180</f>
        <v>0.28999999999999559</v>
      </c>
      <c r="C180" s="47">
        <f>Volcanic!C180</f>
        <v>0.23068611495390581</v>
      </c>
      <c r="D180" s="41">
        <v>1.6</v>
      </c>
      <c r="E180" s="43">
        <f t="shared" si="40"/>
        <v>1.7</v>
      </c>
      <c r="F180" s="48">
        <v>4.15E-3</v>
      </c>
      <c r="G180" s="47">
        <f t="shared" si="41"/>
        <v>4.15E-3</v>
      </c>
      <c r="H180" s="43">
        <f>Volcanic!D180</f>
        <v>1.69</v>
      </c>
      <c r="I180" s="47">
        <f>Volcanic!E180</f>
        <v>4.15E-3</v>
      </c>
      <c r="K180" s="47">
        <f t="shared" si="28"/>
        <v>0.23068611495390581</v>
      </c>
      <c r="L180" s="47">
        <f t="shared" si="29"/>
        <v>1.7</v>
      </c>
      <c r="M180" s="47">
        <f t="shared" si="30"/>
        <v>4.15E-3</v>
      </c>
      <c r="O180" s="47">
        <f t="shared" si="31"/>
        <v>0.23068611495390581</v>
      </c>
      <c r="P180" s="47">
        <f t="shared" si="32"/>
        <v>1.69</v>
      </c>
      <c r="Q180" s="47">
        <f t="shared" si="33"/>
        <v>4.15E-3</v>
      </c>
      <c r="S180" s="47">
        <f t="shared" si="34"/>
        <v>0.23068611495390581</v>
      </c>
      <c r="T180" s="47">
        <f t="shared" si="35"/>
        <v>1.7</v>
      </c>
      <c r="U180" s="47">
        <f t="shared" si="36"/>
        <v>4.15E-3</v>
      </c>
      <c r="W180" s="47">
        <f t="shared" si="37"/>
        <v>7.2611896408149551E-2</v>
      </c>
      <c r="X180" s="47">
        <f t="shared" si="38"/>
        <v>7.0488526499106335E-2</v>
      </c>
      <c r="Y180" s="47">
        <f t="shared" si="39"/>
        <v>6.9688760453631093E-2</v>
      </c>
      <c r="AP180" s="48">
        <v>0.17910000000000001</v>
      </c>
      <c r="AQ180" s="48">
        <v>0.23469999999999999</v>
      </c>
      <c r="AR180" s="47">
        <f>IF(AP180="","",AP180-($AC$60+$AC$61*Volcanic!C180+$AC$62*Volcanic!D180+$AC$63*Volcanic!E180))</f>
        <v>-3.0670928252427399E-2</v>
      </c>
      <c r="AS180" s="47">
        <f>IF(AQ180="","",AQ180-($AD$60+$AD$61*Volcanic!C180+$AD$62*Volcanic!D180+$AD$63*Volcanic!E180))</f>
        <v>1.4472326160855808E-2</v>
      </c>
    </row>
    <row r="181" spans="1:45">
      <c r="A181" s="45" t="str">
        <f>Volcanic!A181</f>
        <v>2/1973</v>
      </c>
      <c r="B181" s="43">
        <f>Volcanic!B181</f>
        <v>0.32000000000000028</v>
      </c>
      <c r="C181" s="47">
        <f>Volcanic!C181</f>
        <v>0.23515809611228167</v>
      </c>
      <c r="D181" s="41">
        <v>1.1000000000000001</v>
      </c>
      <c r="E181" s="43">
        <f t="shared" si="40"/>
        <v>1.8</v>
      </c>
      <c r="F181" s="48">
        <v>4.0099999999999997E-3</v>
      </c>
      <c r="G181" s="47">
        <f t="shared" si="41"/>
        <v>4.2199999999999998E-3</v>
      </c>
      <c r="H181" s="43">
        <f>Volcanic!D181</f>
        <v>1.84</v>
      </c>
      <c r="I181" s="47">
        <f>Volcanic!E181</f>
        <v>4.2199999999999998E-3</v>
      </c>
      <c r="K181" s="47">
        <f t="shared" si="28"/>
        <v>0.23515809611228167</v>
      </c>
      <c r="L181" s="47">
        <f t="shared" si="29"/>
        <v>1.8</v>
      </c>
      <c r="M181" s="47">
        <f t="shared" si="30"/>
        <v>4.2199999999999998E-3</v>
      </c>
      <c r="O181" s="47">
        <f t="shared" si="31"/>
        <v>0.23515809611228167</v>
      </c>
      <c r="P181" s="47">
        <f t="shared" si="32"/>
        <v>1.84</v>
      </c>
      <c r="Q181" s="47">
        <f t="shared" si="33"/>
        <v>4.2199999999999998E-3</v>
      </c>
      <c r="S181" s="47">
        <f t="shared" si="34"/>
        <v>0.23515809611228167</v>
      </c>
      <c r="T181" s="47">
        <f t="shared" si="35"/>
        <v>1.8</v>
      </c>
      <c r="U181" s="47">
        <f t="shared" si="36"/>
        <v>4.2199999999999998E-3</v>
      </c>
      <c r="W181" s="47">
        <f t="shared" si="37"/>
        <v>8.1283045688939598E-2</v>
      </c>
      <c r="X181" s="47">
        <f t="shared" si="38"/>
        <v>7.449063826900898E-2</v>
      </c>
      <c r="Y181" s="47">
        <f t="shared" si="39"/>
        <v>7.838175708822126E-2</v>
      </c>
      <c r="AP181" s="48">
        <v>0.23710000000000001</v>
      </c>
      <c r="AQ181" s="48">
        <v>0.24970000000000001</v>
      </c>
      <c r="AR181" s="47">
        <f>IF(AP181="","",AP181-($AC$60+$AC$61*Volcanic!C181+$AC$62*Volcanic!D181+$AC$63*Volcanic!E181))</f>
        <v>1.2395126369764975E-3</v>
      </c>
      <c r="AS181" s="47">
        <f>IF(AQ181="","",AQ181-($AD$60+$AD$61*Volcanic!C181+$AD$62*Volcanic!D181+$AD$63*Volcanic!E181))</f>
        <v>2.7724618080748331E-3</v>
      </c>
    </row>
    <row r="182" spans="1:45">
      <c r="A182" s="45" t="str">
        <f>Volcanic!A182</f>
        <v>3/1973</v>
      </c>
      <c r="B182" s="43">
        <f>Volcanic!B182</f>
        <v>0.28999999999999559</v>
      </c>
      <c r="C182" s="47">
        <f>Volcanic!C182</f>
        <v>0.23835014245319641</v>
      </c>
      <c r="D182" s="41">
        <v>0.6</v>
      </c>
      <c r="E182" s="43">
        <f t="shared" si="40"/>
        <v>1.8</v>
      </c>
      <c r="F182" s="48">
        <v>3.9399999999999999E-3</v>
      </c>
      <c r="G182" s="47">
        <f t="shared" si="41"/>
        <v>4.3200000000000001E-3</v>
      </c>
      <c r="H182" s="43">
        <f>Volcanic!D182</f>
        <v>1.77</v>
      </c>
      <c r="I182" s="47">
        <f>Volcanic!E182</f>
        <v>4.3200000000000001E-3</v>
      </c>
      <c r="K182" s="47">
        <f t="shared" si="28"/>
        <v>0.23835014245319641</v>
      </c>
      <c r="L182" s="47">
        <f t="shared" si="29"/>
        <v>1.8</v>
      </c>
      <c r="M182" s="47">
        <f t="shared" si="30"/>
        <v>4.3200000000000001E-3</v>
      </c>
      <c r="O182" s="47">
        <f t="shared" si="31"/>
        <v>0.23835014245319641</v>
      </c>
      <c r="P182" s="47">
        <f t="shared" si="32"/>
        <v>1.77</v>
      </c>
      <c r="Q182" s="47">
        <f t="shared" si="33"/>
        <v>4.3200000000000001E-3</v>
      </c>
      <c r="S182" s="47">
        <f t="shared" si="34"/>
        <v>0.23835014245319641</v>
      </c>
      <c r="T182" s="47">
        <f t="shared" si="35"/>
        <v>1.8</v>
      </c>
      <c r="U182" s="47">
        <f t="shared" si="36"/>
        <v>4.3200000000000001E-3</v>
      </c>
      <c r="W182" s="47">
        <f t="shared" si="37"/>
        <v>4.2798207169513658E-2</v>
      </c>
      <c r="X182" s="47">
        <f t="shared" si="38"/>
        <v>4.2697497642550153E-2</v>
      </c>
      <c r="Y182" s="47">
        <f t="shared" si="39"/>
        <v>4.0014358143604684E-2</v>
      </c>
      <c r="AP182" s="48">
        <v>0.19420000000000001</v>
      </c>
      <c r="AQ182" s="48">
        <v>0.1757</v>
      </c>
      <c r="AR182" s="47">
        <f>IF(AP182="","",AP182-($AC$60+$AC$61*Volcanic!C182+$AC$62*Volcanic!D182+$AC$63*Volcanic!E182))</f>
        <v>-4.3580937827036509E-2</v>
      </c>
      <c r="AS182" s="47">
        <f>IF(AQ182="","",AQ182-($AD$60+$AD$61*Volcanic!C182+$AD$62*Volcanic!D182+$AD$63*Volcanic!E182))</f>
        <v>-7.324957905083615E-2</v>
      </c>
    </row>
    <row r="183" spans="1:45">
      <c r="A183" s="45" t="str">
        <f>Volcanic!A183</f>
        <v>4/1973</v>
      </c>
      <c r="B183" s="43">
        <f>Volcanic!B183</f>
        <v>0.27000000000000135</v>
      </c>
      <c r="C183" s="47">
        <f>Volcanic!C183</f>
        <v>0.24358204316762133</v>
      </c>
      <c r="D183" s="41">
        <v>0</v>
      </c>
      <c r="E183" s="43">
        <f t="shared" si="40"/>
        <v>1.6</v>
      </c>
      <c r="F183" s="48">
        <v>3.9699999999999996E-3</v>
      </c>
      <c r="G183" s="47">
        <f t="shared" si="41"/>
        <v>4.3800000000000002E-3</v>
      </c>
      <c r="H183" s="43">
        <f>Volcanic!D183</f>
        <v>1.55</v>
      </c>
      <c r="I183" s="47">
        <f>Volcanic!E183</f>
        <v>4.3800000000000002E-3</v>
      </c>
      <c r="K183" s="47">
        <f t="shared" si="28"/>
        <v>0.24358204316762133</v>
      </c>
      <c r="L183" s="47">
        <f t="shared" si="29"/>
        <v>1.6</v>
      </c>
      <c r="M183" s="47">
        <f t="shared" si="30"/>
        <v>4.3800000000000002E-3</v>
      </c>
      <c r="O183" s="47">
        <f t="shared" si="31"/>
        <v>0.24358204316762133</v>
      </c>
      <c r="P183" s="47">
        <f t="shared" si="32"/>
        <v>1.55</v>
      </c>
      <c r="Q183" s="47">
        <f t="shared" si="33"/>
        <v>4.3800000000000002E-3</v>
      </c>
      <c r="S183" s="47">
        <f t="shared" si="34"/>
        <v>0.24358204316762133</v>
      </c>
      <c r="T183" s="47">
        <f t="shared" si="35"/>
        <v>1.6</v>
      </c>
      <c r="U183" s="47">
        <f t="shared" si="36"/>
        <v>4.3800000000000002E-3</v>
      </c>
      <c r="W183" s="47">
        <f t="shared" si="37"/>
        <v>2.7236900560817567E-2</v>
      </c>
      <c r="X183" s="47">
        <f t="shared" si="38"/>
        <v>2.93753675230711E-2</v>
      </c>
      <c r="Y183" s="47">
        <f t="shared" si="39"/>
        <v>2.4830260875011667E-2</v>
      </c>
      <c r="AP183" s="48">
        <v>0.2712</v>
      </c>
      <c r="AQ183" s="48">
        <v>0.28970000000000001</v>
      </c>
      <c r="AR183" s="47">
        <f>IF(AP183="","",AP183-($AC$60+$AC$61*Volcanic!C183+$AC$62*Volcanic!D183+$AC$63*Volcanic!E183))</f>
        <v>3.9879086014460691E-2</v>
      </c>
      <c r="AS183" s="47">
        <f>IF(AQ183="","",AQ183-($AD$60+$AD$61*Volcanic!C183+$AD$62*Volcanic!D183+$AD$63*Volcanic!E183))</f>
        <v>4.7258001980769737E-2</v>
      </c>
    </row>
    <row r="184" spans="1:45">
      <c r="A184" s="45" t="str">
        <f>Volcanic!A184</f>
        <v>5/1973</v>
      </c>
      <c r="B184" s="43">
        <f>Volcanic!B184</f>
        <v>0.2300000000000022</v>
      </c>
      <c r="C184" s="47">
        <f>Volcanic!C184</f>
        <v>0.24784073218452071</v>
      </c>
      <c r="D184" s="41">
        <v>-0.5</v>
      </c>
      <c r="E184" s="43">
        <f t="shared" si="40"/>
        <v>1.1000000000000001</v>
      </c>
      <c r="F184" s="48">
        <v>4.0099999999999997E-3</v>
      </c>
      <c r="G184" s="47">
        <f t="shared" si="41"/>
        <v>4.45E-3</v>
      </c>
      <c r="H184" s="43">
        <f>Volcanic!D184</f>
        <v>1.1299999999999999</v>
      </c>
      <c r="I184" s="47">
        <f>Volcanic!E184</f>
        <v>4.45E-3</v>
      </c>
      <c r="K184" s="47">
        <f t="shared" si="28"/>
        <v>0.24784073218452071</v>
      </c>
      <c r="L184" s="47">
        <f t="shared" si="29"/>
        <v>1.1000000000000001</v>
      </c>
      <c r="M184" s="47">
        <f t="shared" si="30"/>
        <v>4.45E-3</v>
      </c>
      <c r="O184" s="47">
        <f t="shared" si="31"/>
        <v>0.24784073218452071</v>
      </c>
      <c r="P184" s="47">
        <f t="shared" si="32"/>
        <v>1.1299999999999999</v>
      </c>
      <c r="Q184" s="47">
        <f t="shared" si="33"/>
        <v>4.45E-3</v>
      </c>
      <c r="S184" s="47">
        <f t="shared" si="34"/>
        <v>0.24784073218452071</v>
      </c>
      <c r="T184" s="47">
        <f t="shared" si="35"/>
        <v>1.1000000000000001</v>
      </c>
      <c r="U184" s="47">
        <f t="shared" si="36"/>
        <v>4.45E-3</v>
      </c>
      <c r="W184" s="47">
        <f t="shared" si="37"/>
        <v>2.2213718462318122E-2</v>
      </c>
      <c r="X184" s="47">
        <f t="shared" si="38"/>
        <v>1.7497756171409889E-2</v>
      </c>
      <c r="Y184" s="47">
        <f t="shared" si="39"/>
        <v>2.0506518589421041E-2</v>
      </c>
      <c r="AP184" s="48">
        <v>0.18609999999999999</v>
      </c>
      <c r="AQ184" s="48">
        <v>0.25169999999999998</v>
      </c>
      <c r="AR184" s="47">
        <f>IF(AP184="","",AP184-($AC$60+$AC$61*Volcanic!C184+$AC$62*Volcanic!D184+$AC$63*Volcanic!E184))</f>
        <v>-1.7350348161276202E-2</v>
      </c>
      <c r="AS184" s="47">
        <f>IF(AQ184="","",AQ184-($AD$60+$AD$61*Volcanic!C184+$AD$62*Volcanic!D184+$AD$63*Volcanic!E184))</f>
        <v>3.7627214213392185E-2</v>
      </c>
    </row>
    <row r="185" spans="1:45">
      <c r="A185" s="45" t="str">
        <f>Volcanic!A185</f>
        <v>6/1973</v>
      </c>
      <c r="B185" s="43">
        <f>Volcanic!B185</f>
        <v>0.19000000000000128</v>
      </c>
      <c r="C185" s="47">
        <f>Volcanic!C185</f>
        <v>0.24606056502835677</v>
      </c>
      <c r="D185" s="41">
        <v>-0.8</v>
      </c>
      <c r="E185" s="43">
        <f t="shared" si="40"/>
        <v>0.6</v>
      </c>
      <c r="F185" s="48">
        <v>4.0800000000000003E-3</v>
      </c>
      <c r="G185" s="47">
        <f t="shared" si="41"/>
        <v>4.3699999999999998E-3</v>
      </c>
      <c r="H185" s="43">
        <f>Volcanic!D185</f>
        <v>0.56000000000000005</v>
      </c>
      <c r="I185" s="47">
        <f>Volcanic!E185</f>
        <v>4.3699999999999998E-3</v>
      </c>
      <c r="K185" s="47">
        <f t="shared" si="28"/>
        <v>0.24606056502835677</v>
      </c>
      <c r="L185" s="47">
        <f t="shared" si="29"/>
        <v>0.6</v>
      </c>
      <c r="M185" s="47">
        <f t="shared" si="30"/>
        <v>4.3699999999999998E-3</v>
      </c>
      <c r="O185" s="47">
        <f t="shared" si="31"/>
        <v>0.24606056502835677</v>
      </c>
      <c r="P185" s="47">
        <f t="shared" si="32"/>
        <v>0.56000000000000005</v>
      </c>
      <c r="Q185" s="47">
        <f t="shared" si="33"/>
        <v>4.3699999999999998E-3</v>
      </c>
      <c r="S185" s="47">
        <f t="shared" si="34"/>
        <v>0.24606056502835677</v>
      </c>
      <c r="T185" s="47">
        <f t="shared" si="35"/>
        <v>0.6</v>
      </c>
      <c r="U185" s="47">
        <f t="shared" si="36"/>
        <v>4.3699999999999998E-3</v>
      </c>
      <c r="W185" s="47">
        <f t="shared" si="37"/>
        <v>3.3328877709760479E-2</v>
      </c>
      <c r="X185" s="47">
        <f t="shared" si="38"/>
        <v>3.5645182894514016E-2</v>
      </c>
      <c r="Y185" s="47">
        <f t="shared" si="39"/>
        <v>3.2115096336957333E-2</v>
      </c>
      <c r="AP185" s="48">
        <v>0.18190000000000001</v>
      </c>
      <c r="AQ185" s="48">
        <v>0.16270000000000001</v>
      </c>
      <c r="AR185" s="47">
        <f>IF(AP185="","",AP185-($AC$60+$AC$61*Volcanic!C185+$AC$62*Volcanic!D185+$AC$63*Volcanic!E185))</f>
        <v>3.6495802349211875E-2</v>
      </c>
      <c r="AS185" s="47">
        <f>IF(AQ185="","",AQ185-($AD$60+$AD$61*Volcanic!C185+$AD$62*Volcanic!D185+$AD$63*Volcanic!E185))</f>
        <v>7.9017112464412342E-3</v>
      </c>
    </row>
    <row r="186" spans="1:45">
      <c r="A186" s="45" t="str">
        <f>Volcanic!A186</f>
        <v>7/1973</v>
      </c>
      <c r="B186" s="43">
        <f>Volcanic!B186</f>
        <v>0.12999999999999901</v>
      </c>
      <c r="C186" s="47">
        <f>Volcanic!C186</f>
        <v>0.24083766117617278</v>
      </c>
      <c r="D186" s="41">
        <v>-1</v>
      </c>
      <c r="E186" s="43">
        <f t="shared" si="40"/>
        <v>0</v>
      </c>
      <c r="F186" s="48">
        <v>4.3400000000000001E-3</v>
      </c>
      <c r="G186" s="47">
        <f t="shared" si="41"/>
        <v>4.2500000000000003E-3</v>
      </c>
      <c r="H186" s="43">
        <f>Volcanic!D186</f>
        <v>-0.03</v>
      </c>
      <c r="I186" s="47">
        <f>Volcanic!E186</f>
        <v>4.2500000000000003E-3</v>
      </c>
      <c r="K186" s="47">
        <f t="shared" si="28"/>
        <v>0.24083766117617278</v>
      </c>
      <c r="L186" s="47">
        <f t="shared" si="29"/>
        <v>0</v>
      </c>
      <c r="M186" s="47">
        <f t="shared" si="30"/>
        <v>4.2500000000000003E-3</v>
      </c>
      <c r="O186" s="47">
        <f t="shared" si="31"/>
        <v>0.24083766117617278</v>
      </c>
      <c r="P186" s="47">
        <f t="shared" si="32"/>
        <v>-0.03</v>
      </c>
      <c r="Q186" s="47">
        <f t="shared" si="33"/>
        <v>4.2500000000000003E-3</v>
      </c>
      <c r="S186" s="47">
        <f t="shared" si="34"/>
        <v>0.24083766117617278</v>
      </c>
      <c r="T186" s="47">
        <f t="shared" si="35"/>
        <v>0</v>
      </c>
      <c r="U186" s="47">
        <f t="shared" si="36"/>
        <v>4.2500000000000003E-3</v>
      </c>
      <c r="W186" s="47">
        <f t="shared" si="37"/>
        <v>4.3032088797294143E-2</v>
      </c>
      <c r="X186" s="47">
        <f t="shared" si="38"/>
        <v>4.4874533042643563E-2</v>
      </c>
      <c r="Y186" s="47">
        <f t="shared" si="39"/>
        <v>4.2326820589579733E-2</v>
      </c>
      <c r="AP186" s="48">
        <v>9.5799999999999996E-2</v>
      </c>
      <c r="AQ186" s="48">
        <v>3.8699999999999998E-2</v>
      </c>
      <c r="AR186" s="47">
        <f>IF(AP186="","",AP186-($AC$60+$AC$61*Volcanic!C186+$AC$62*Volcanic!D186+$AC$63*Volcanic!E186))</f>
        <v>1.961937156196486E-2</v>
      </c>
      <c r="AS186" s="47">
        <f>IF(AQ186="","",AQ186-($AD$60+$AD$61*Volcanic!C186+$AD$62*Volcanic!D186+$AD$63*Volcanic!E186))</f>
        <v>-4.5361382991558716E-2</v>
      </c>
    </row>
    <row r="187" spans="1:45">
      <c r="A187" s="45" t="str">
        <f>Volcanic!A187</f>
        <v>8/1973</v>
      </c>
      <c r="B187" s="43">
        <f>Volcanic!B187</f>
        <v>5.0000000000004263E-2</v>
      </c>
      <c r="C187" s="47">
        <f>Volcanic!C187</f>
        <v>0.23401949506170835</v>
      </c>
      <c r="D187" s="41">
        <v>-1.1000000000000001</v>
      </c>
      <c r="E187" s="43">
        <f t="shared" si="40"/>
        <v>-0.5</v>
      </c>
      <c r="F187" s="48">
        <v>5.0800000000000003E-3</v>
      </c>
      <c r="G187" s="47">
        <f t="shared" si="41"/>
        <v>4.15E-3</v>
      </c>
      <c r="H187" s="43">
        <f>Volcanic!D187</f>
        <v>-0.51</v>
      </c>
      <c r="I187" s="47">
        <f>Volcanic!E187</f>
        <v>4.15E-3</v>
      </c>
      <c r="K187" s="47">
        <f t="shared" si="28"/>
        <v>0.23401949506170835</v>
      </c>
      <c r="L187" s="47">
        <f t="shared" si="29"/>
        <v>-0.5</v>
      </c>
      <c r="M187" s="47">
        <f t="shared" si="30"/>
        <v>4.15E-3</v>
      </c>
      <c r="O187" s="47">
        <f t="shared" si="31"/>
        <v>0.23401949506170835</v>
      </c>
      <c r="P187" s="47">
        <f t="shared" si="32"/>
        <v>-0.51</v>
      </c>
      <c r="Q187" s="47">
        <f t="shared" si="33"/>
        <v>4.15E-3</v>
      </c>
      <c r="S187" s="47">
        <f t="shared" si="34"/>
        <v>0.23401949506170835</v>
      </c>
      <c r="T187" s="47">
        <f t="shared" si="35"/>
        <v>-0.5</v>
      </c>
      <c r="U187" s="47">
        <f t="shared" si="36"/>
        <v>4.15E-3</v>
      </c>
      <c r="W187" s="47">
        <f t="shared" si="37"/>
        <v>2.7842559312974247E-2</v>
      </c>
      <c r="X187" s="47">
        <f t="shared" si="38"/>
        <v>2.8136075199001478E-2</v>
      </c>
      <c r="Y187" s="47">
        <f t="shared" si="39"/>
        <v>2.7502183529996591E-2</v>
      </c>
      <c r="AP187" s="48">
        <v>5.3900000000000003E-2</v>
      </c>
      <c r="AQ187" s="48">
        <v>2.9700000000000001E-2</v>
      </c>
      <c r="AR187" s="47">
        <f>IF(AP187="","",AP187-($AC$60+$AC$61*Volcanic!C187+$AC$62*Volcanic!D187+$AC$63*Volcanic!E187))</f>
        <v>4.1046139694078942E-2</v>
      </c>
      <c r="AS187" s="47">
        <f>IF(AQ187="","",AQ187-($AD$60+$AD$61*Volcanic!C187+$AD$62*Volcanic!D187+$AD$63*Volcanic!E187))</f>
        <v>1.0377412131424121E-2</v>
      </c>
    </row>
    <row r="188" spans="1:45">
      <c r="A188" s="45" t="str">
        <f>Volcanic!A188</f>
        <v>9/1973</v>
      </c>
      <c r="B188" s="43">
        <f>Volcanic!B188</f>
        <v>8.9999999999999858E-2</v>
      </c>
      <c r="C188" s="47">
        <f>Volcanic!C188</f>
        <v>0.22615618030371948</v>
      </c>
      <c r="D188" s="41">
        <v>-1.3</v>
      </c>
      <c r="E188" s="43">
        <f t="shared" si="40"/>
        <v>-0.8</v>
      </c>
      <c r="F188" s="48">
        <v>5.13E-3</v>
      </c>
      <c r="G188" s="47">
        <f t="shared" si="41"/>
        <v>4.0099999999999997E-3</v>
      </c>
      <c r="H188" s="43">
        <f>Volcanic!D188</f>
        <v>-0.8</v>
      </c>
      <c r="I188" s="47">
        <f>Volcanic!E188</f>
        <v>4.0099999999999997E-3</v>
      </c>
      <c r="K188" s="47">
        <f t="shared" si="28"/>
        <v>0.22615618030371948</v>
      </c>
      <c r="L188" s="47">
        <f t="shared" si="29"/>
        <v>-0.8</v>
      </c>
      <c r="M188" s="47">
        <f t="shared" si="30"/>
        <v>4.0099999999999997E-3</v>
      </c>
      <c r="O188" s="47">
        <f t="shared" si="31"/>
        <v>0.22615618030371948</v>
      </c>
      <c r="P188" s="47">
        <f t="shared" si="32"/>
        <v>-0.8</v>
      </c>
      <c r="Q188" s="47">
        <f t="shared" si="33"/>
        <v>4.0099999999999997E-3</v>
      </c>
      <c r="S188" s="47">
        <f t="shared" si="34"/>
        <v>0.22615618030371948</v>
      </c>
      <c r="T188" s="47">
        <f t="shared" si="35"/>
        <v>-0.8</v>
      </c>
      <c r="U188" s="47">
        <f t="shared" si="36"/>
        <v>4.0099999999999997E-3</v>
      </c>
      <c r="W188" s="47">
        <f t="shared" si="37"/>
        <v>0.1168405036097179</v>
      </c>
      <c r="X188" s="47">
        <f t="shared" si="38"/>
        <v>0.11627087402462785</v>
      </c>
      <c r="Y188" s="47">
        <f t="shared" si="39"/>
        <v>0.11659601386266889</v>
      </c>
      <c r="AP188" s="48">
        <v>4.3400000000000001E-2</v>
      </c>
      <c r="AQ188" s="48">
        <v>1.17E-2</v>
      </c>
      <c r="AR188" s="47">
        <f>IF(AP188="","",AP188-($AC$60+$AC$61*Volcanic!C188+$AC$62*Volcanic!D188+$AC$63*Volcanic!E188))</f>
        <v>7.8837981931939943E-2</v>
      </c>
      <c r="AS188" s="47">
        <f>IF(AQ188="","",AQ188-($AD$60+$AD$61*Volcanic!C188+$AD$62*Volcanic!D188+$AD$63*Volcanic!E188))</f>
        <v>4.1794719588575217E-2</v>
      </c>
    </row>
    <row r="189" spans="1:45">
      <c r="A189" s="45" t="str">
        <f>Volcanic!A189</f>
        <v>10/1973</v>
      </c>
      <c r="B189" s="43">
        <f>Volcanic!B189</f>
        <v>9.9999999999997868E-2</v>
      </c>
      <c r="C189" s="47">
        <f>Volcanic!C189</f>
        <v>0.22470182828890004</v>
      </c>
      <c r="D189" s="41">
        <v>-1.6</v>
      </c>
      <c r="E189" s="43">
        <f t="shared" si="40"/>
        <v>-1</v>
      </c>
      <c r="F189" s="48">
        <v>5.13E-3</v>
      </c>
      <c r="G189" s="47">
        <f t="shared" si="41"/>
        <v>3.9399999999999999E-3</v>
      </c>
      <c r="H189" s="43">
        <f>Volcanic!D189</f>
        <v>-0.99</v>
      </c>
      <c r="I189" s="47">
        <f>Volcanic!E189</f>
        <v>3.9399999999999999E-3</v>
      </c>
      <c r="K189" s="47">
        <f t="shared" si="28"/>
        <v>0.22470182828890004</v>
      </c>
      <c r="L189" s="47">
        <f t="shared" si="29"/>
        <v>-1</v>
      </c>
      <c r="M189" s="47">
        <f t="shared" si="30"/>
        <v>3.9399999999999999E-3</v>
      </c>
      <c r="O189" s="47">
        <f t="shared" si="31"/>
        <v>0.22470182828890004</v>
      </c>
      <c r="P189" s="47">
        <f t="shared" si="32"/>
        <v>-0.99</v>
      </c>
      <c r="Q189" s="47">
        <f t="shared" si="33"/>
        <v>3.9399999999999999E-3</v>
      </c>
      <c r="S189" s="47">
        <f t="shared" si="34"/>
        <v>0.22470182828890004</v>
      </c>
      <c r="T189" s="47">
        <f t="shared" si="35"/>
        <v>-1</v>
      </c>
      <c r="U189" s="47">
        <f t="shared" si="36"/>
        <v>3.9399999999999999E-3</v>
      </c>
      <c r="W189" s="47">
        <f t="shared" si="37"/>
        <v>0.14922715673959319</v>
      </c>
      <c r="X189" s="47">
        <f t="shared" si="38"/>
        <v>0.14786781152254463</v>
      </c>
      <c r="Y189" s="47">
        <f t="shared" si="39"/>
        <v>0.14914664491794943</v>
      </c>
      <c r="AP189" s="48">
        <v>9.0200000000000002E-2</v>
      </c>
      <c r="AQ189" s="48">
        <v>6.3700000000000007E-2</v>
      </c>
      <c r="AR189" s="47">
        <f>IF(AP189="","",AP189-($AC$60+$AC$61*Volcanic!C189+$AC$62*Volcanic!D189+$AC$63*Volcanic!E189))</f>
        <v>0.14723338252508025</v>
      </c>
      <c r="AS189" s="47">
        <f>IF(AQ189="","",AQ189-($AD$60+$AD$61*Volcanic!C189+$AD$62*Volcanic!D189+$AD$63*Volcanic!E189))</f>
        <v>0.11586510145895437</v>
      </c>
    </row>
    <row r="190" spans="1:45">
      <c r="A190" s="45" t="str">
        <f>Volcanic!A190</f>
        <v>11/1973</v>
      </c>
      <c r="B190" s="43">
        <f>Volcanic!B190</f>
        <v>3.9999999999999147E-2</v>
      </c>
      <c r="C190" s="47">
        <f>Volcanic!C190</f>
        <v>0.22901653224979263</v>
      </c>
      <c r="D190" s="41">
        <v>-1.9</v>
      </c>
      <c r="E190" s="43">
        <f t="shared" si="40"/>
        <v>-1.1000000000000001</v>
      </c>
      <c r="F190" s="48">
        <v>4.9699999999999996E-3</v>
      </c>
      <c r="G190" s="47">
        <f t="shared" si="41"/>
        <v>3.9699999999999996E-3</v>
      </c>
      <c r="H190" s="43">
        <f>Volcanic!D190</f>
        <v>-1.1100000000000001</v>
      </c>
      <c r="I190" s="47">
        <f>Volcanic!E190</f>
        <v>3.9699999999999996E-3</v>
      </c>
      <c r="K190" s="47">
        <f t="shared" si="28"/>
        <v>0.22901653224979263</v>
      </c>
      <c r="L190" s="47">
        <f t="shared" si="29"/>
        <v>-1.1000000000000001</v>
      </c>
      <c r="M190" s="47">
        <f t="shared" si="30"/>
        <v>3.9699999999999996E-3</v>
      </c>
      <c r="O190" s="47">
        <f t="shared" si="31"/>
        <v>0.22901653224979263</v>
      </c>
      <c r="P190" s="47">
        <f t="shared" si="32"/>
        <v>-1.1100000000000001</v>
      </c>
      <c r="Q190" s="47">
        <f t="shared" si="33"/>
        <v>3.9699999999999996E-3</v>
      </c>
      <c r="S190" s="47">
        <f t="shared" si="34"/>
        <v>0.22901653224979263</v>
      </c>
      <c r="T190" s="47">
        <f t="shared" si="35"/>
        <v>-1.1000000000000001</v>
      </c>
      <c r="U190" s="47">
        <f t="shared" si="36"/>
        <v>3.9699999999999996E-3</v>
      </c>
      <c r="W190" s="47">
        <f t="shared" si="37"/>
        <v>8.681374656386745E-2</v>
      </c>
      <c r="X190" s="47">
        <f t="shared" si="38"/>
        <v>8.7553394124565864E-2</v>
      </c>
      <c r="Y190" s="47">
        <f t="shared" si="39"/>
        <v>8.6962396365551156E-2</v>
      </c>
      <c r="AP190" s="48">
        <v>5.2400000000000002E-2</v>
      </c>
      <c r="AQ190" s="48">
        <v>-2.9999999999999997E-4</v>
      </c>
      <c r="AR190" s="47">
        <f>IF(AP190="","",AP190-($AC$60+$AC$61*Volcanic!C190+$AC$62*Volcanic!D190+$AC$63*Volcanic!E190))</f>
        <v>0.10896121511707428</v>
      </c>
      <c r="AS190" s="47">
        <f>IF(AQ190="","",AQ190-($AD$60+$AD$61*Volcanic!C190+$AD$62*Volcanic!D190+$AD$63*Volcanic!E190))</f>
        <v>5.1316508568921268E-2</v>
      </c>
    </row>
    <row r="191" spans="1:45">
      <c r="A191" s="45" t="str">
        <f>Volcanic!A191</f>
        <v>12/1973</v>
      </c>
      <c r="B191" s="43">
        <f>Volcanic!B191</f>
        <v>-7.0000000000000284E-2</v>
      </c>
      <c r="C191" s="47">
        <f>Volcanic!C191</f>
        <v>0.23112515787904964</v>
      </c>
      <c r="D191" s="41">
        <v>-2</v>
      </c>
      <c r="E191" s="43">
        <f t="shared" si="40"/>
        <v>-1.3</v>
      </c>
      <c r="F191" s="48">
        <v>4.7800000000000004E-3</v>
      </c>
      <c r="G191" s="47">
        <f t="shared" si="41"/>
        <v>4.0099999999999997E-3</v>
      </c>
      <c r="H191" s="43">
        <f>Volcanic!D191</f>
        <v>-1.26</v>
      </c>
      <c r="I191" s="47">
        <f>Volcanic!E191</f>
        <v>4.0099999999999997E-3</v>
      </c>
      <c r="K191" s="47">
        <f t="shared" si="28"/>
        <v>0.23112515787904964</v>
      </c>
      <c r="L191" s="47">
        <f t="shared" si="29"/>
        <v>-1.3</v>
      </c>
      <c r="M191" s="47">
        <f t="shared" si="30"/>
        <v>4.0099999999999997E-3</v>
      </c>
      <c r="O191" s="47">
        <f t="shared" si="31"/>
        <v>0.23112515787904964</v>
      </c>
      <c r="P191" s="47">
        <f t="shared" si="32"/>
        <v>-1.26</v>
      </c>
      <c r="Q191" s="47">
        <f t="shared" si="33"/>
        <v>4.0099999999999997E-3</v>
      </c>
      <c r="S191" s="47">
        <f t="shared" si="34"/>
        <v>0.23112515787904964</v>
      </c>
      <c r="T191" s="47">
        <f t="shared" si="35"/>
        <v>-1.3</v>
      </c>
      <c r="U191" s="47">
        <f t="shared" si="36"/>
        <v>4.0099999999999997E-3</v>
      </c>
      <c r="W191" s="47">
        <f t="shared" si="37"/>
        <v>-1.0273989093047227E-2</v>
      </c>
      <c r="X191" s="47">
        <f t="shared" si="38"/>
        <v>-1.3952503696969987E-2</v>
      </c>
      <c r="Y191" s="47">
        <f t="shared" si="39"/>
        <v>-9.8309428834690987E-3</v>
      </c>
      <c r="AP191" s="48">
        <v>-5.16E-2</v>
      </c>
      <c r="AQ191" s="48">
        <v>-1.1299999999999999E-2</v>
      </c>
      <c r="AR191" s="47">
        <f>IF(AP191="","",AP191-($AC$60+$AC$61*Volcanic!C191+$AC$62*Volcanic!D191+$AC$63*Volcanic!E191))</f>
        <v>1.3346398097550345E-2</v>
      </c>
      <c r="AS191" s="47">
        <f>IF(AQ191="","",AQ191-($AD$60+$AD$61*Volcanic!C191+$AD$62*Volcanic!D191+$AD$63*Volcanic!E191))</f>
        <v>4.8836738016938629E-2</v>
      </c>
    </row>
    <row r="192" spans="1:45">
      <c r="A192" s="45" t="str">
        <f>Volcanic!A192</f>
        <v>1/1974</v>
      </c>
      <c r="B192" s="43">
        <f>Volcanic!B192</f>
        <v>-0.10000000000000142</v>
      </c>
      <c r="C192" s="47">
        <f>Volcanic!C192</f>
        <v>0.23423852660157829</v>
      </c>
      <c r="D192" s="41">
        <v>-1.9</v>
      </c>
      <c r="E192" s="43">
        <f t="shared" si="40"/>
        <v>-1.6</v>
      </c>
      <c r="F192" s="48">
        <v>4.6100000000000004E-3</v>
      </c>
      <c r="G192" s="47">
        <f t="shared" si="41"/>
        <v>4.0800000000000003E-3</v>
      </c>
      <c r="H192" s="43">
        <f>Volcanic!D192</f>
        <v>-1.58</v>
      </c>
      <c r="I192" s="47">
        <f>Volcanic!E192</f>
        <v>4.0800000000000003E-3</v>
      </c>
      <c r="K192" s="47">
        <f t="shared" si="28"/>
        <v>0.23423852660157829</v>
      </c>
      <c r="L192" s="47">
        <f t="shared" si="29"/>
        <v>-1.6</v>
      </c>
      <c r="M192" s="47">
        <f t="shared" si="30"/>
        <v>4.0800000000000003E-3</v>
      </c>
      <c r="O192" s="47">
        <f t="shared" si="31"/>
        <v>0.23423852660157829</v>
      </c>
      <c r="P192" s="47">
        <f t="shared" si="32"/>
        <v>-1.58</v>
      </c>
      <c r="Q192" s="47">
        <f t="shared" si="33"/>
        <v>4.0800000000000003E-3</v>
      </c>
      <c r="S192" s="47">
        <f t="shared" si="34"/>
        <v>0.23423852660157829</v>
      </c>
      <c r="T192" s="47">
        <f t="shared" si="35"/>
        <v>-1.6</v>
      </c>
      <c r="U192" s="47">
        <f t="shared" si="36"/>
        <v>4.0800000000000003E-3</v>
      </c>
      <c r="W192" s="47">
        <f t="shared" si="37"/>
        <v>-2.074837323392012E-2</v>
      </c>
      <c r="X192" s="47">
        <f t="shared" si="38"/>
        <v>-2.2127269798536325E-2</v>
      </c>
      <c r="Y192" s="47">
        <f t="shared" si="39"/>
        <v>-1.9860792771472999E-2</v>
      </c>
      <c r="AP192" s="48">
        <v>-0.20599999999999999</v>
      </c>
      <c r="AQ192" s="48">
        <v>-0.1673</v>
      </c>
      <c r="AR192" s="47">
        <f>IF(AP192="","",AP192-($AC$60+$AC$61*Volcanic!C192+$AC$62*Volcanic!D192+$AC$63*Volcanic!E192))</f>
        <v>-0.11942012533205863</v>
      </c>
      <c r="AS192" s="47">
        <f>IF(AQ192="","",AQ192-($AD$60+$AD$61*Volcanic!C192+$AD$62*Volcanic!D192+$AD$63*Volcanic!E192))</f>
        <v>-8.5142563416383307E-2</v>
      </c>
    </row>
    <row r="193" spans="1:45">
      <c r="A193" s="45" t="str">
        <f>Volcanic!A193</f>
        <v>2/1974</v>
      </c>
      <c r="B193" s="43">
        <f>Volcanic!B193</f>
        <v>-0.27000000000000135</v>
      </c>
      <c r="C193" s="47">
        <f>Volcanic!C193</f>
        <v>0.24013984319182427</v>
      </c>
      <c r="D193" s="41">
        <v>-1.6</v>
      </c>
      <c r="E193" s="43">
        <f t="shared" si="40"/>
        <v>-1.9</v>
      </c>
      <c r="F193" s="48">
        <v>4.4099999999999999E-3</v>
      </c>
      <c r="G193" s="47">
        <f t="shared" si="41"/>
        <v>4.3400000000000001E-3</v>
      </c>
      <c r="H193" s="43">
        <f>Volcanic!D193</f>
        <v>-1.89</v>
      </c>
      <c r="I193" s="47">
        <f>Volcanic!E193</f>
        <v>4.3400000000000001E-3</v>
      </c>
      <c r="K193" s="47">
        <f t="shared" si="28"/>
        <v>0.24013984319182427</v>
      </c>
      <c r="L193" s="47">
        <f t="shared" si="29"/>
        <v>-1.9</v>
      </c>
      <c r="M193" s="47">
        <f t="shared" si="30"/>
        <v>4.3400000000000001E-3</v>
      </c>
      <c r="O193" s="47">
        <f t="shared" si="31"/>
        <v>0.24013984319182427</v>
      </c>
      <c r="P193" s="47">
        <f t="shared" si="32"/>
        <v>-1.89</v>
      </c>
      <c r="Q193" s="47">
        <f t="shared" si="33"/>
        <v>4.3400000000000001E-3</v>
      </c>
      <c r="S193" s="47">
        <f t="shared" si="34"/>
        <v>0.24013984319182427</v>
      </c>
      <c r="T193" s="47">
        <f t="shared" si="35"/>
        <v>-1.9</v>
      </c>
      <c r="U193" s="47">
        <f t="shared" si="36"/>
        <v>4.3400000000000001E-3</v>
      </c>
      <c r="W193" s="47">
        <f t="shared" si="37"/>
        <v>-0.17840724125718163</v>
      </c>
      <c r="X193" s="47">
        <f t="shared" si="38"/>
        <v>-0.17828241147817525</v>
      </c>
      <c r="Y193" s="47">
        <f t="shared" si="39"/>
        <v>-0.17693022677450099</v>
      </c>
      <c r="AP193" s="48">
        <v>-0.36809999999999998</v>
      </c>
      <c r="AQ193" s="48">
        <v>-0.31430000000000002</v>
      </c>
      <c r="AR193" s="47">
        <f>IF(AP193="","",AP193-($AC$60+$AC$61*Volcanic!C193+$AC$62*Volcanic!D193+$AC$63*Volcanic!E193))</f>
        <v>-0.26797871473478313</v>
      </c>
      <c r="AS193" s="47">
        <f>IF(AQ193="","",AQ193-($AD$60+$AD$61*Volcanic!C193+$AD$62*Volcanic!D193+$AD$63*Volcanic!E193))</f>
        <v>-0.21845108359080589</v>
      </c>
    </row>
    <row r="194" spans="1:45">
      <c r="A194" s="45" t="str">
        <f>Volcanic!A194</f>
        <v>3/1974</v>
      </c>
      <c r="B194" s="43">
        <f>Volcanic!B194</f>
        <v>-5.0000000000000711E-2</v>
      </c>
      <c r="C194" s="47">
        <f>Volcanic!C194</f>
        <v>0.24353852229879974</v>
      </c>
      <c r="D194" s="41">
        <v>-1.2</v>
      </c>
      <c r="E194" s="43">
        <f t="shared" si="40"/>
        <v>-2</v>
      </c>
      <c r="F194" s="48">
        <v>4.2900000000000004E-3</v>
      </c>
      <c r="G194" s="47">
        <f t="shared" si="41"/>
        <v>5.0800000000000003E-3</v>
      </c>
      <c r="H194" s="43">
        <f>Volcanic!D194</f>
        <v>-2.04</v>
      </c>
      <c r="I194" s="47">
        <f>Volcanic!E194</f>
        <v>5.0800000000000003E-3</v>
      </c>
      <c r="K194" s="47">
        <f t="shared" ref="K194:K257" si="42">C194</f>
        <v>0.24353852229879974</v>
      </c>
      <c r="L194" s="47">
        <f t="shared" ref="L194:L257" si="43">E194</f>
        <v>-2</v>
      </c>
      <c r="M194" s="47">
        <f t="shared" ref="M194:M257" si="44">I194</f>
        <v>5.0800000000000003E-3</v>
      </c>
      <c r="O194" s="47">
        <f t="shared" ref="O194:O257" si="45">C194</f>
        <v>0.24353852229879974</v>
      </c>
      <c r="P194" s="47">
        <f t="shared" ref="P194:P257" si="46">H194</f>
        <v>-2.04</v>
      </c>
      <c r="Q194" s="47">
        <f t="shared" ref="Q194:Q257" si="47">G194</f>
        <v>5.0800000000000003E-3</v>
      </c>
      <c r="S194" s="47">
        <f t="shared" ref="S194:S257" si="48">C194</f>
        <v>0.24353852229879974</v>
      </c>
      <c r="T194" s="47">
        <f t="shared" ref="T194:T257" si="49">E194</f>
        <v>-2</v>
      </c>
      <c r="U194" s="47">
        <f t="shared" ref="U194:U257" si="50">G194</f>
        <v>5.0800000000000003E-3</v>
      </c>
      <c r="W194" s="47">
        <f t="shared" ref="W194:W257" si="51">IF(OR(L194="",M194=""),"",B194-($AB$6+$AB$7*K194+$AB$8*L194+$AB$9*M194))</f>
        <v>4.3241989045961521E-2</v>
      </c>
      <c r="X194" s="47">
        <f t="shared" ref="X194:X257" si="52">IF(OR(P194="",Q194=""),"",B194-($AC$6+$AC$7*O194+$AC$8*P194+$AC$9*Q194))</f>
        <v>4.8552856068606737E-2</v>
      </c>
      <c r="Y194" s="47">
        <f t="shared" ref="Y194:Y257" si="53">IF(OR(T194="",U194=""),"",B194-($AD$6+$AD$7*S194+$AD$8*T194+$AD$9*U194))</f>
        <v>4.5219035236246707E-2</v>
      </c>
      <c r="AP194" s="48">
        <v>-0.1608</v>
      </c>
      <c r="AQ194" s="48">
        <v>-0.14030000000000001</v>
      </c>
      <c r="AR194" s="47">
        <f>IF(AP194="","",AP194-($AC$60+$AC$61*Volcanic!C194+$AC$62*Volcanic!D194+$AC$63*Volcanic!E194))</f>
        <v>-5.4131822025366635E-2</v>
      </c>
      <c r="AS194" s="47">
        <f>IF(AQ194="","",AQ194-($AD$60+$AD$61*Volcanic!C194+$AD$62*Volcanic!D194+$AD$63*Volcanic!E194))</f>
        <v>-3.7940906492799131E-2</v>
      </c>
    </row>
    <row r="195" spans="1:45">
      <c r="A195" s="45" t="str">
        <f>Volcanic!A195</f>
        <v>4/1974</v>
      </c>
      <c r="B195" s="43">
        <f>Volcanic!B195</f>
        <v>-0.11999999999999744</v>
      </c>
      <c r="C195" s="47">
        <f>Volcanic!C195</f>
        <v>0.24857820654980772</v>
      </c>
      <c r="D195" s="41">
        <v>-1</v>
      </c>
      <c r="E195" s="43">
        <f t="shared" si="40"/>
        <v>-1.9</v>
      </c>
      <c r="F195" s="48">
        <v>4.2700000000000004E-3</v>
      </c>
      <c r="G195" s="47">
        <f t="shared" si="41"/>
        <v>5.13E-3</v>
      </c>
      <c r="H195" s="43">
        <f>Volcanic!D195</f>
        <v>-1.87</v>
      </c>
      <c r="I195" s="47">
        <f>Volcanic!E195</f>
        <v>5.13E-3</v>
      </c>
      <c r="K195" s="47">
        <f t="shared" si="42"/>
        <v>0.24857820654980772</v>
      </c>
      <c r="L195" s="47">
        <f t="shared" si="43"/>
        <v>-1.9</v>
      </c>
      <c r="M195" s="47">
        <f t="shared" si="44"/>
        <v>5.13E-3</v>
      </c>
      <c r="O195" s="47">
        <f t="shared" si="45"/>
        <v>0.24857820654980772</v>
      </c>
      <c r="P195" s="47">
        <f t="shared" si="46"/>
        <v>-1.87</v>
      </c>
      <c r="Q195" s="47">
        <f t="shared" si="47"/>
        <v>5.13E-3</v>
      </c>
      <c r="S195" s="47">
        <f t="shared" si="48"/>
        <v>0.24857820654980772</v>
      </c>
      <c r="T195" s="47">
        <f t="shared" si="49"/>
        <v>-1.9</v>
      </c>
      <c r="U195" s="47">
        <f t="shared" si="50"/>
        <v>5.13E-3</v>
      </c>
      <c r="W195" s="47">
        <f t="shared" si="51"/>
        <v>-4.9679143990741761E-2</v>
      </c>
      <c r="X195" s="47">
        <f t="shared" si="52"/>
        <v>-5.0910840910586147E-2</v>
      </c>
      <c r="Y195" s="47">
        <f t="shared" si="53"/>
        <v>-4.7674942989201052E-2</v>
      </c>
      <c r="AP195" s="48">
        <v>-0.1225</v>
      </c>
      <c r="AQ195" s="48">
        <v>-7.8299999999999995E-2</v>
      </c>
      <c r="AR195" s="47">
        <f>IF(AP195="","",AP195-($AC$60+$AC$61*Volcanic!C195+$AC$62*Volcanic!D195+$AC$63*Volcanic!E195))</f>
        <v>-4.5392581825732747E-2</v>
      </c>
      <c r="AS195" s="47">
        <f>IF(AQ195="","",AQ195-($AD$60+$AD$61*Volcanic!C195+$AD$62*Volcanic!D195+$AD$63*Volcanic!E195))</f>
        <v>-6.1879400602131152E-3</v>
      </c>
    </row>
    <row r="196" spans="1:45">
      <c r="A196" s="45" t="str">
        <f>Volcanic!A196</f>
        <v>5/1974</v>
      </c>
      <c r="B196" s="43">
        <f>Volcanic!B196</f>
        <v>-3.9999999999999147E-2</v>
      </c>
      <c r="C196" s="47">
        <f>Volcanic!C196</f>
        <v>0.25091827471297862</v>
      </c>
      <c r="D196" s="41">
        <v>-0.7</v>
      </c>
      <c r="E196" s="43">
        <f t="shared" si="40"/>
        <v>-1.6</v>
      </c>
      <c r="F196" s="48">
        <v>4.2700000000000004E-3</v>
      </c>
      <c r="G196" s="47">
        <f t="shared" si="41"/>
        <v>5.13E-3</v>
      </c>
      <c r="H196" s="43">
        <f>Volcanic!D196</f>
        <v>-1.59</v>
      </c>
      <c r="I196" s="47">
        <f>Volcanic!E196</f>
        <v>5.13E-3</v>
      </c>
      <c r="K196" s="47">
        <f t="shared" si="42"/>
        <v>0.25091827471297862</v>
      </c>
      <c r="L196" s="47">
        <f t="shared" si="43"/>
        <v>-1.6</v>
      </c>
      <c r="M196" s="47">
        <f t="shared" si="44"/>
        <v>5.13E-3</v>
      </c>
      <c r="O196" s="47">
        <f t="shared" si="45"/>
        <v>0.25091827471297862</v>
      </c>
      <c r="P196" s="47">
        <f t="shared" si="46"/>
        <v>-1.59</v>
      </c>
      <c r="Q196" s="47">
        <f t="shared" si="47"/>
        <v>5.13E-3</v>
      </c>
      <c r="S196" s="47">
        <f t="shared" si="48"/>
        <v>0.25091827471297862</v>
      </c>
      <c r="T196" s="47">
        <f t="shared" si="49"/>
        <v>-1.6</v>
      </c>
      <c r="U196" s="47">
        <f t="shared" si="50"/>
        <v>5.13E-3</v>
      </c>
      <c r="W196" s="47">
        <f t="shared" si="51"/>
        <v>-3.9228566503709955E-3</v>
      </c>
      <c r="X196" s="47">
        <f t="shared" si="52"/>
        <v>-3.5395309816562692E-3</v>
      </c>
      <c r="Y196" s="47">
        <f t="shared" si="53"/>
        <v>-2.2041299632748201E-3</v>
      </c>
      <c r="AP196" s="48">
        <v>-5.2299999999999999E-2</v>
      </c>
      <c r="AQ196" s="48">
        <v>-3.9300000000000002E-2</v>
      </c>
      <c r="AR196" s="47">
        <f>IF(AP196="","",AP196-($AC$60+$AC$61*Volcanic!C196+$AC$62*Volcanic!D196+$AC$63*Volcanic!E196))</f>
        <v>-7.8030192312145835E-3</v>
      </c>
      <c r="AS196" s="47">
        <f>IF(AQ196="","",AQ196-($AD$60+$AD$61*Volcanic!C196+$AD$62*Volcanic!D196+$AD$63*Volcanic!E196))</f>
        <v>-5.002325202536767E-4</v>
      </c>
    </row>
    <row r="197" spans="1:45">
      <c r="A197" s="45" t="str">
        <f>Volcanic!A197</f>
        <v>6/1974</v>
      </c>
      <c r="B197" s="43">
        <f>Volcanic!B197</f>
        <v>-5.0000000000000711E-2</v>
      </c>
      <c r="C197" s="47">
        <f>Volcanic!C197</f>
        <v>0.24662524613004733</v>
      </c>
      <c r="D197" s="41">
        <v>-0.6</v>
      </c>
      <c r="E197" s="43">
        <f t="shared" ref="E197:E260" si="54">IF(D194="","",D194)</f>
        <v>-1.2</v>
      </c>
      <c r="F197" s="48">
        <v>4.3E-3</v>
      </c>
      <c r="G197" s="47">
        <f t="shared" si="41"/>
        <v>4.9699999999999996E-3</v>
      </c>
      <c r="H197" s="43">
        <f>Volcanic!D197</f>
        <v>-1.24</v>
      </c>
      <c r="I197" s="47">
        <f>Volcanic!E197</f>
        <v>4.9699999999999996E-3</v>
      </c>
      <c r="K197" s="47">
        <f t="shared" si="42"/>
        <v>0.24662524613004733</v>
      </c>
      <c r="L197" s="47">
        <f t="shared" si="43"/>
        <v>-1.2</v>
      </c>
      <c r="M197" s="47">
        <f t="shared" si="44"/>
        <v>4.9699999999999996E-3</v>
      </c>
      <c r="O197" s="47">
        <f t="shared" si="45"/>
        <v>0.24662524613004733</v>
      </c>
      <c r="P197" s="47">
        <f t="shared" si="46"/>
        <v>-1.24</v>
      </c>
      <c r="Q197" s="47">
        <f t="shared" si="47"/>
        <v>4.9699999999999996E-3</v>
      </c>
      <c r="S197" s="47">
        <f t="shared" si="48"/>
        <v>0.24662524613004733</v>
      </c>
      <c r="T197" s="47">
        <f t="shared" si="49"/>
        <v>-1.2</v>
      </c>
      <c r="U197" s="47">
        <f t="shared" si="50"/>
        <v>4.9699999999999996E-3</v>
      </c>
      <c r="W197" s="47">
        <f t="shared" si="51"/>
        <v>-3.9717011164686587E-2</v>
      </c>
      <c r="X197" s="47">
        <f t="shared" si="52"/>
        <v>-3.5228694742199571E-2</v>
      </c>
      <c r="Y197" s="47">
        <f t="shared" si="53"/>
        <v>-3.8621871202615218E-2</v>
      </c>
      <c r="AP197" s="48">
        <v>-3.7100000000000001E-2</v>
      </c>
      <c r="AQ197" s="48">
        <v>-1.6299999999999999E-2</v>
      </c>
      <c r="AR197" s="47">
        <f>IF(AP197="","",AP197-($AC$60+$AC$61*Volcanic!C197+$AC$62*Volcanic!D197+$AC$63*Volcanic!E197))</f>
        <v>-1.4041218099560042E-2</v>
      </c>
      <c r="AS197" s="47">
        <f>IF(AQ197="","",AQ197-($AD$60+$AD$61*Volcanic!C197+$AD$62*Volcanic!D197+$AD$63*Volcanic!E197))</f>
        <v>7.1010776760168162E-4</v>
      </c>
    </row>
    <row r="198" spans="1:45">
      <c r="A198" s="45" t="str">
        <f>Volcanic!A198</f>
        <v>7/1974</v>
      </c>
      <c r="B198" s="43">
        <f>Volcanic!B198</f>
        <v>-2.9999999999999361E-2</v>
      </c>
      <c r="C198" s="47">
        <f>Volcanic!C198</f>
        <v>0.24170945927557155</v>
      </c>
      <c r="D198" s="41">
        <v>-0.5</v>
      </c>
      <c r="E198" s="43">
        <f t="shared" si="54"/>
        <v>-1</v>
      </c>
      <c r="F198" s="48">
        <v>4.3600000000000002E-3</v>
      </c>
      <c r="G198" s="47">
        <f t="shared" si="41"/>
        <v>4.7800000000000004E-3</v>
      </c>
      <c r="H198" s="43">
        <f>Volcanic!D198</f>
        <v>-0.99</v>
      </c>
      <c r="I198" s="47">
        <f>Volcanic!E198</f>
        <v>4.7800000000000004E-3</v>
      </c>
      <c r="K198" s="47">
        <f t="shared" si="42"/>
        <v>0.24170945927557155</v>
      </c>
      <c r="L198" s="47">
        <f t="shared" si="43"/>
        <v>-1</v>
      </c>
      <c r="M198" s="47">
        <f t="shared" si="44"/>
        <v>4.7800000000000004E-3</v>
      </c>
      <c r="O198" s="47">
        <f t="shared" si="45"/>
        <v>0.24170945927557155</v>
      </c>
      <c r="P198" s="47">
        <f t="shared" si="46"/>
        <v>-0.99</v>
      </c>
      <c r="Q198" s="47">
        <f t="shared" si="47"/>
        <v>4.7800000000000004E-3</v>
      </c>
      <c r="S198" s="47">
        <f t="shared" si="48"/>
        <v>0.24170945927557155</v>
      </c>
      <c r="T198" s="47">
        <f t="shared" si="49"/>
        <v>-1</v>
      </c>
      <c r="U198" s="47">
        <f t="shared" si="50"/>
        <v>4.7800000000000004E-3</v>
      </c>
      <c r="W198" s="47">
        <f t="shared" si="51"/>
        <v>-2.530425290527686E-2</v>
      </c>
      <c r="X198" s="47">
        <f t="shared" si="52"/>
        <v>-2.5918946647338691E-2</v>
      </c>
      <c r="Y198" s="47">
        <f t="shared" si="53"/>
        <v>-2.4632375448044943E-2</v>
      </c>
      <c r="AP198" s="48">
        <v>-5.62E-2</v>
      </c>
      <c r="AQ198" s="48">
        <v>-6.4299999999999996E-2</v>
      </c>
      <c r="AR198" s="47">
        <f>IF(AP198="","",AP198-($AC$60+$AC$61*Volcanic!C198+$AC$62*Volcanic!D198+$AC$63*Volcanic!E198))</f>
        <v>-4.3586584078664406E-2</v>
      </c>
      <c r="AS198" s="47">
        <f>IF(AQ198="","",AQ198-($AD$60+$AD$61*Volcanic!C198+$AD$62*Volcanic!D198+$AD$63*Volcanic!E198))</f>
        <v>-5.7847550462017915E-2</v>
      </c>
    </row>
    <row r="199" spans="1:45">
      <c r="A199" s="45" t="str">
        <f>Volcanic!A199</f>
        <v>8/1974</v>
      </c>
      <c r="B199" s="43">
        <f>Volcanic!B199</f>
        <v>9.9999999999997868E-2</v>
      </c>
      <c r="C199" s="47">
        <f>Volcanic!C199</f>
        <v>0.23331837058615809</v>
      </c>
      <c r="D199" s="41">
        <v>-0.4</v>
      </c>
      <c r="E199" s="43">
        <f t="shared" si="54"/>
        <v>-0.7</v>
      </c>
      <c r="F199" s="48">
        <v>4.4400000000000004E-3</v>
      </c>
      <c r="G199" s="47">
        <f t="shared" si="41"/>
        <v>4.6100000000000004E-3</v>
      </c>
      <c r="H199" s="43">
        <f>Volcanic!D199</f>
        <v>-0.71</v>
      </c>
      <c r="I199" s="47">
        <f>Volcanic!E199</f>
        <v>4.6100000000000004E-3</v>
      </c>
      <c r="K199" s="47">
        <f t="shared" si="42"/>
        <v>0.23331837058615809</v>
      </c>
      <c r="L199" s="47">
        <f t="shared" si="43"/>
        <v>-0.7</v>
      </c>
      <c r="M199" s="47">
        <f t="shared" si="44"/>
        <v>4.6100000000000004E-3</v>
      </c>
      <c r="O199" s="47">
        <f t="shared" si="45"/>
        <v>0.23331837058615809</v>
      </c>
      <c r="P199" s="47">
        <f t="shared" si="46"/>
        <v>-0.71</v>
      </c>
      <c r="Q199" s="47">
        <f t="shared" si="47"/>
        <v>4.6100000000000004E-3</v>
      </c>
      <c r="S199" s="47">
        <f t="shared" si="48"/>
        <v>0.23331837058615809</v>
      </c>
      <c r="T199" s="47">
        <f t="shared" si="49"/>
        <v>-0.7</v>
      </c>
      <c r="U199" s="47">
        <f t="shared" si="50"/>
        <v>4.6100000000000004E-3</v>
      </c>
      <c r="W199" s="47">
        <f t="shared" si="51"/>
        <v>9.9342915788639574E-2</v>
      </c>
      <c r="X199" s="47">
        <f t="shared" si="52"/>
        <v>0.100020723233923</v>
      </c>
      <c r="Y199" s="47">
        <f t="shared" si="53"/>
        <v>9.940302492909589E-2</v>
      </c>
      <c r="AP199" s="48">
        <v>0.1027</v>
      </c>
      <c r="AQ199" s="48">
        <v>0.15970000000000001</v>
      </c>
      <c r="AR199" s="47">
        <f>IF(AP199="","",AP199-($AC$60+$AC$61*Volcanic!C199+$AC$62*Volcanic!D199+$AC$63*Volcanic!E199))</f>
        <v>0.1115965082331082</v>
      </c>
      <c r="AS199" s="47">
        <f>IF(AQ199="","",AQ199-($AD$60+$AD$61*Volcanic!C199+$AD$62*Volcanic!D199+$AD$63*Volcanic!E199))</f>
        <v>0.16250761634757452</v>
      </c>
    </row>
    <row r="200" spans="1:45">
      <c r="A200" s="45" t="str">
        <f>Volcanic!A200</f>
        <v>9/1974</v>
      </c>
      <c r="B200" s="43">
        <f>Volcanic!B200</f>
        <v>-8.0000000000001847E-2</v>
      </c>
      <c r="C200" s="47">
        <f>Volcanic!C200</f>
        <v>0.22531900517823794</v>
      </c>
      <c r="D200" s="41">
        <v>-0.5</v>
      </c>
      <c r="E200" s="43">
        <f t="shared" si="54"/>
        <v>-0.6</v>
      </c>
      <c r="F200" s="48">
        <v>4.4799999999999996E-3</v>
      </c>
      <c r="G200" s="47">
        <f t="shared" si="41"/>
        <v>4.4099999999999999E-3</v>
      </c>
      <c r="H200" s="43">
        <f>Volcanic!D200</f>
        <v>-0.64</v>
      </c>
      <c r="I200" s="47">
        <f>Volcanic!E200</f>
        <v>4.4099999999999999E-3</v>
      </c>
      <c r="K200" s="47">
        <f t="shared" si="42"/>
        <v>0.22531900517823794</v>
      </c>
      <c r="L200" s="47">
        <f t="shared" si="43"/>
        <v>-0.6</v>
      </c>
      <c r="M200" s="47">
        <f t="shared" si="44"/>
        <v>4.4099999999999999E-3</v>
      </c>
      <c r="O200" s="47">
        <f t="shared" si="45"/>
        <v>0.22531900517823794</v>
      </c>
      <c r="P200" s="47">
        <f t="shared" si="46"/>
        <v>-0.64</v>
      </c>
      <c r="Q200" s="47">
        <f t="shared" si="47"/>
        <v>4.4099999999999999E-3</v>
      </c>
      <c r="S200" s="47">
        <f t="shared" si="48"/>
        <v>0.22531900517823794</v>
      </c>
      <c r="T200" s="47">
        <f t="shared" si="49"/>
        <v>-0.6</v>
      </c>
      <c r="U200" s="47">
        <f t="shared" si="50"/>
        <v>4.4099999999999999E-3</v>
      </c>
      <c r="W200" s="47">
        <f t="shared" si="51"/>
        <v>-6.8569646696990255E-2</v>
      </c>
      <c r="X200" s="47">
        <f t="shared" si="52"/>
        <v>-6.5450445598174936E-2</v>
      </c>
      <c r="Y200" s="47">
        <f t="shared" si="53"/>
        <v>-6.8896761377236743E-2</v>
      </c>
      <c r="AP200" s="48">
        <v>-1.18E-2</v>
      </c>
      <c r="AQ200" s="48">
        <v>-5.9299999999999999E-2</v>
      </c>
      <c r="AR200" s="47">
        <f>IF(AP200="","",AP200-($AC$60+$AC$61*Volcanic!C200+$AC$62*Volcanic!D200+$AC$63*Volcanic!E200))</f>
        <v>1.1903243026204774E-2</v>
      </c>
      <c r="AS200" s="47">
        <f>IF(AQ200="","",AQ200-($AD$60+$AD$61*Volcanic!C200+$AD$62*Volcanic!D200+$AD$63*Volcanic!E200))</f>
        <v>-4.1234593106998764E-2</v>
      </c>
    </row>
    <row r="201" spans="1:45">
      <c r="A201" s="45" t="str">
        <f>Volcanic!A201</f>
        <v>10/1974</v>
      </c>
      <c r="B201" s="43">
        <f>Volcanic!B201</f>
        <v>-6.0000000000000497E-2</v>
      </c>
      <c r="C201" s="47">
        <f>Volcanic!C201</f>
        <v>0.22509861516835514</v>
      </c>
      <c r="D201" s="41">
        <v>-0.7</v>
      </c>
      <c r="E201" s="43">
        <f t="shared" si="54"/>
        <v>-0.5</v>
      </c>
      <c r="F201" s="48">
        <v>4.6800000000000001E-3</v>
      </c>
      <c r="G201" s="47">
        <f t="shared" ref="G201:G264" si="55">IF(F194="","",F194)</f>
        <v>4.2900000000000004E-3</v>
      </c>
      <c r="H201" s="43">
        <f>Volcanic!D201</f>
        <v>-0.46</v>
      </c>
      <c r="I201" s="47">
        <f>Volcanic!E201</f>
        <v>4.2900000000000004E-3</v>
      </c>
      <c r="K201" s="47">
        <f t="shared" si="42"/>
        <v>0.22509861516835514</v>
      </c>
      <c r="L201" s="47">
        <f t="shared" si="43"/>
        <v>-0.5</v>
      </c>
      <c r="M201" s="47">
        <f t="shared" si="44"/>
        <v>4.2900000000000004E-3</v>
      </c>
      <c r="O201" s="47">
        <f t="shared" si="45"/>
        <v>0.22509861516835514</v>
      </c>
      <c r="P201" s="47">
        <f t="shared" si="46"/>
        <v>-0.46</v>
      </c>
      <c r="Q201" s="47">
        <f t="shared" si="47"/>
        <v>4.2900000000000004E-3</v>
      </c>
      <c r="S201" s="47">
        <f t="shared" si="48"/>
        <v>0.22509861516835514</v>
      </c>
      <c r="T201" s="47">
        <f t="shared" si="49"/>
        <v>-0.5</v>
      </c>
      <c r="U201" s="47">
        <f t="shared" si="50"/>
        <v>4.2900000000000004E-3</v>
      </c>
      <c r="W201" s="47">
        <f t="shared" si="51"/>
        <v>-5.7520364429860013E-2</v>
      </c>
      <c r="X201" s="47">
        <f t="shared" si="52"/>
        <v>-6.2076647200519156E-2</v>
      </c>
      <c r="Y201" s="47">
        <f t="shared" si="53"/>
        <v>-5.8015998745432923E-2</v>
      </c>
      <c r="AP201" s="48">
        <v>-3.2500000000000001E-2</v>
      </c>
      <c r="AQ201" s="48">
        <v>-6.3299999999999995E-2</v>
      </c>
      <c r="AR201" s="47">
        <f>IF(AP201="","",AP201-($AC$60+$AC$61*Volcanic!C201+$AC$62*Volcanic!D201+$AC$63*Volcanic!E201))</f>
        <v>-2.5339820479624478E-2</v>
      </c>
      <c r="AS201" s="47">
        <f>IF(AQ201="","",AQ201-($AD$60+$AD$61*Volcanic!C201+$AD$62*Volcanic!D201+$AD$63*Volcanic!E201))</f>
        <v>-6.2093726446889833E-2</v>
      </c>
    </row>
    <row r="202" spans="1:45">
      <c r="A202" s="45" t="str">
        <f>Volcanic!A202</f>
        <v>11/1974</v>
      </c>
      <c r="B202" s="43">
        <f>Volcanic!B202</f>
        <v>-8.0000000000001847E-2</v>
      </c>
      <c r="C202" s="47">
        <f>Volcanic!C202</f>
        <v>0.22963186648323872</v>
      </c>
      <c r="D202" s="41">
        <v>-0.9</v>
      </c>
      <c r="E202" s="43">
        <f t="shared" si="54"/>
        <v>-0.4</v>
      </c>
      <c r="F202" s="48">
        <v>5.1799999999999997E-3</v>
      </c>
      <c r="G202" s="47">
        <f t="shared" si="55"/>
        <v>4.2700000000000004E-3</v>
      </c>
      <c r="H202" s="43">
        <f>Volcanic!D202</f>
        <v>-0.4</v>
      </c>
      <c r="I202" s="47">
        <f>Volcanic!E202</f>
        <v>4.2700000000000004E-3</v>
      </c>
      <c r="K202" s="47">
        <f t="shared" si="42"/>
        <v>0.22963186648323872</v>
      </c>
      <c r="L202" s="47">
        <f t="shared" si="43"/>
        <v>-0.4</v>
      </c>
      <c r="M202" s="47">
        <f t="shared" si="44"/>
        <v>4.2700000000000004E-3</v>
      </c>
      <c r="O202" s="47">
        <f t="shared" si="45"/>
        <v>0.22963186648323872</v>
      </c>
      <c r="P202" s="47">
        <f t="shared" si="46"/>
        <v>-0.4</v>
      </c>
      <c r="Q202" s="47">
        <f t="shared" si="47"/>
        <v>4.2700000000000004E-3</v>
      </c>
      <c r="S202" s="47">
        <f t="shared" si="48"/>
        <v>0.22963186648323872</v>
      </c>
      <c r="T202" s="47">
        <f t="shared" si="49"/>
        <v>-0.4</v>
      </c>
      <c r="U202" s="47">
        <f t="shared" si="50"/>
        <v>4.2700000000000004E-3</v>
      </c>
      <c r="W202" s="47">
        <f t="shared" si="51"/>
        <v>-9.9214625344249824E-2</v>
      </c>
      <c r="X202" s="47">
        <f t="shared" si="52"/>
        <v>-0.10002107528252477</v>
      </c>
      <c r="Y202" s="47">
        <f t="shared" si="53"/>
        <v>-9.9724057365406862E-2</v>
      </c>
      <c r="AP202" s="48">
        <v>-4.3900000000000002E-2</v>
      </c>
      <c r="AQ202" s="48">
        <v>-9.6299999999999997E-2</v>
      </c>
      <c r="AR202" s="47">
        <f>IF(AP202="","",AP202-($AC$60+$AC$61*Volcanic!C202+$AC$62*Volcanic!D202+$AC$63*Volcanic!E202))</f>
        <v>-5.4785183292484552E-2</v>
      </c>
      <c r="AS202" s="47">
        <f>IF(AQ202="","",AQ202-($AD$60+$AD$61*Volcanic!C202+$AD$62*Volcanic!D202+$AD$63*Volcanic!E202))</f>
        <v>-0.11357054425863436</v>
      </c>
    </row>
    <row r="203" spans="1:45">
      <c r="A203" s="45" t="str">
        <f>Volcanic!A203</f>
        <v>12/1974</v>
      </c>
      <c r="B203" s="43">
        <f>Volcanic!B203</f>
        <v>-8.0000000000001847E-2</v>
      </c>
      <c r="C203" s="47">
        <f>Volcanic!C203</f>
        <v>0.23520187051995831</v>
      </c>
      <c r="D203" s="41">
        <v>-0.7</v>
      </c>
      <c r="E203" s="43">
        <f t="shared" si="54"/>
        <v>-0.5</v>
      </c>
      <c r="F203" s="48">
        <v>5.13E-3</v>
      </c>
      <c r="G203" s="47">
        <f t="shared" si="55"/>
        <v>4.2700000000000004E-3</v>
      </c>
      <c r="H203" s="43">
        <f>Volcanic!D203</f>
        <v>-0.47</v>
      </c>
      <c r="I203" s="47">
        <f>Volcanic!E203</f>
        <v>4.2700000000000004E-3</v>
      </c>
      <c r="K203" s="47">
        <f t="shared" si="42"/>
        <v>0.23520187051995831</v>
      </c>
      <c r="L203" s="47">
        <f t="shared" si="43"/>
        <v>-0.5</v>
      </c>
      <c r="M203" s="47">
        <f t="shared" si="44"/>
        <v>4.2700000000000004E-3</v>
      </c>
      <c r="O203" s="47">
        <f t="shared" si="45"/>
        <v>0.23520187051995831</v>
      </c>
      <c r="P203" s="47">
        <f t="shared" si="46"/>
        <v>-0.47</v>
      </c>
      <c r="Q203" s="47">
        <f t="shared" si="47"/>
        <v>4.2700000000000004E-3</v>
      </c>
      <c r="S203" s="47">
        <f t="shared" si="48"/>
        <v>0.23520187051995831</v>
      </c>
      <c r="T203" s="47">
        <f t="shared" si="49"/>
        <v>-0.5</v>
      </c>
      <c r="U203" s="47">
        <f t="shared" si="50"/>
        <v>4.2700000000000004E-3</v>
      </c>
      <c r="W203" s="47">
        <f t="shared" si="51"/>
        <v>-0.10511753359757811</v>
      </c>
      <c r="X203" s="47">
        <f t="shared" si="52"/>
        <v>-0.10850448707155141</v>
      </c>
      <c r="Y203" s="47">
        <f t="shared" si="53"/>
        <v>-0.10538020357444502</v>
      </c>
      <c r="AP203" s="48">
        <v>-0.1318</v>
      </c>
      <c r="AQ203" s="48">
        <v>-8.5300000000000001E-2</v>
      </c>
      <c r="AR203" s="47">
        <f>IF(AP203="","",AP203-($AC$60+$AC$61*Volcanic!C203+$AC$62*Volcanic!D203+$AC$63*Volcanic!E203))</f>
        <v>-0.15133952431731243</v>
      </c>
      <c r="AS203" s="47">
        <f>IF(AQ203="","",AQ203-($AD$60+$AD$61*Volcanic!C203+$AD$62*Volcanic!D203+$AD$63*Volcanic!E203))</f>
        <v>-0.11148202525285937</v>
      </c>
    </row>
    <row r="204" spans="1:45">
      <c r="A204" s="45" t="str">
        <f>Volcanic!A204</f>
        <v>1/1975</v>
      </c>
      <c r="B204" s="43">
        <f>Volcanic!B204</f>
        <v>9.9999999999997868E-2</v>
      </c>
      <c r="C204" s="47">
        <f>Volcanic!C204</f>
        <v>0.24022708890066147</v>
      </c>
      <c r="D204" s="41">
        <v>-0.6</v>
      </c>
      <c r="E204" s="43">
        <f t="shared" si="54"/>
        <v>-0.7</v>
      </c>
      <c r="F204" s="48">
        <v>5.0000000000000001E-3</v>
      </c>
      <c r="G204" s="47">
        <f t="shared" si="55"/>
        <v>4.3E-3</v>
      </c>
      <c r="H204" s="43">
        <f>Volcanic!D204</f>
        <v>-0.69</v>
      </c>
      <c r="I204" s="47">
        <f>Volcanic!E204</f>
        <v>4.3E-3</v>
      </c>
      <c r="K204" s="47">
        <f t="shared" si="42"/>
        <v>0.24022708890066147</v>
      </c>
      <c r="L204" s="47">
        <f t="shared" si="43"/>
        <v>-0.7</v>
      </c>
      <c r="M204" s="47">
        <f t="shared" si="44"/>
        <v>4.3E-3</v>
      </c>
      <c r="O204" s="47">
        <f t="shared" si="45"/>
        <v>0.24022708890066147</v>
      </c>
      <c r="P204" s="47">
        <f t="shared" si="46"/>
        <v>-0.69</v>
      </c>
      <c r="Q204" s="47">
        <f t="shared" si="47"/>
        <v>4.3E-3</v>
      </c>
      <c r="S204" s="47">
        <f t="shared" si="48"/>
        <v>0.24022708890066147</v>
      </c>
      <c r="T204" s="47">
        <f t="shared" si="49"/>
        <v>-0.7</v>
      </c>
      <c r="U204" s="47">
        <f t="shared" si="50"/>
        <v>4.3E-3</v>
      </c>
      <c r="W204" s="47">
        <f t="shared" si="51"/>
        <v>7.981870788867397E-2</v>
      </c>
      <c r="X204" s="47">
        <f t="shared" si="52"/>
        <v>7.8653782211389994E-2</v>
      </c>
      <c r="Y204" s="47">
        <f t="shared" si="53"/>
        <v>7.9915943521884886E-2</v>
      </c>
      <c r="AP204" s="48">
        <v>-1.5100000000000001E-2</v>
      </c>
      <c r="AQ204" s="48">
        <v>4.07E-2</v>
      </c>
      <c r="AR204" s="47">
        <f>IF(AP204="","",AP204-($AC$60+$AC$61*Volcanic!C204+$AC$62*Volcanic!D204+$AC$63*Volcanic!E204))</f>
        <v>-2.7687318030827194E-2</v>
      </c>
      <c r="AS204" s="47">
        <f>IF(AQ204="","",AQ204-($AD$60+$AD$61*Volcanic!C204+$AD$62*Volcanic!D204+$AD$63*Volcanic!E204))</f>
        <v>2.1535740158690801E-2</v>
      </c>
    </row>
    <row r="205" spans="1:45">
      <c r="A205" s="45" t="str">
        <f>Volcanic!A205</f>
        <v>2/1975</v>
      </c>
      <c r="B205" s="43">
        <f>Volcanic!B205</f>
        <v>8.0000000000000071E-2</v>
      </c>
      <c r="C205" s="47">
        <f>Volcanic!C205</f>
        <v>0.24340795181458158</v>
      </c>
      <c r="D205" s="41">
        <v>-0.5</v>
      </c>
      <c r="E205" s="43">
        <f t="shared" si="54"/>
        <v>-0.9</v>
      </c>
      <c r="F205" s="48">
        <v>4.8300000000000001E-3</v>
      </c>
      <c r="G205" s="47">
        <f t="shared" si="55"/>
        <v>4.3600000000000002E-3</v>
      </c>
      <c r="H205" s="43">
        <f>Volcanic!D205</f>
        <v>-0.88</v>
      </c>
      <c r="I205" s="47">
        <f>Volcanic!E205</f>
        <v>4.3600000000000002E-3</v>
      </c>
      <c r="K205" s="47">
        <f t="shared" si="42"/>
        <v>0.24340795181458158</v>
      </c>
      <c r="L205" s="47">
        <f t="shared" si="43"/>
        <v>-0.9</v>
      </c>
      <c r="M205" s="47">
        <f t="shared" si="44"/>
        <v>4.3600000000000002E-3</v>
      </c>
      <c r="O205" s="47">
        <f t="shared" si="45"/>
        <v>0.24340795181458158</v>
      </c>
      <c r="P205" s="47">
        <f t="shared" si="46"/>
        <v>-0.88</v>
      </c>
      <c r="Q205" s="47">
        <f t="shared" si="47"/>
        <v>4.3600000000000002E-3</v>
      </c>
      <c r="S205" s="47">
        <f t="shared" si="48"/>
        <v>0.24340795181458158</v>
      </c>
      <c r="T205" s="47">
        <f t="shared" si="49"/>
        <v>-0.9</v>
      </c>
      <c r="U205" s="47">
        <f t="shared" si="50"/>
        <v>4.3600000000000002E-3</v>
      </c>
      <c r="W205" s="47">
        <f t="shared" si="51"/>
        <v>6.9850890202179328E-2</v>
      </c>
      <c r="X205" s="47">
        <f t="shared" si="52"/>
        <v>6.805870882901835E-2</v>
      </c>
      <c r="Y205" s="47">
        <f t="shared" si="53"/>
        <v>7.0276367600642042E-2</v>
      </c>
      <c r="AP205" s="48">
        <v>5.7099999999999998E-2</v>
      </c>
      <c r="AQ205" s="48">
        <v>0.1167</v>
      </c>
      <c r="AR205" s="47">
        <f>IF(AP205="","",AP205-($AC$60+$AC$61*Volcanic!C205+$AC$62*Volcanic!D205+$AC$63*Volcanic!E205))</f>
        <v>5.3763933194745712E-2</v>
      </c>
      <c r="AS205" s="47">
        <f>IF(AQ205="","",AQ205-($AD$60+$AD$61*Volcanic!C205+$AD$62*Volcanic!D205+$AD$63*Volcanic!E205))</f>
        <v>0.10692112825793015</v>
      </c>
    </row>
    <row r="206" spans="1:45">
      <c r="A206" s="45" t="str">
        <f>Volcanic!A206</f>
        <v>3/1975</v>
      </c>
      <c r="B206" s="43">
        <f>Volcanic!B206</f>
        <v>0.11999999999999744</v>
      </c>
      <c r="C206" s="47">
        <f>Volcanic!C206</f>
        <v>0.24549566281992086</v>
      </c>
      <c r="D206" s="41">
        <v>-0.6</v>
      </c>
      <c r="E206" s="43">
        <f t="shared" si="54"/>
        <v>-0.7</v>
      </c>
      <c r="F206" s="48">
        <v>4.7099999999999998E-3</v>
      </c>
      <c r="G206" s="47">
        <f t="shared" si="55"/>
        <v>4.4400000000000004E-3</v>
      </c>
      <c r="H206" s="43">
        <f>Volcanic!D206</f>
        <v>-0.71</v>
      </c>
      <c r="I206" s="47">
        <f>Volcanic!E206</f>
        <v>4.4400000000000004E-3</v>
      </c>
      <c r="K206" s="47">
        <f t="shared" si="42"/>
        <v>0.24549566281992086</v>
      </c>
      <c r="L206" s="47">
        <f t="shared" si="43"/>
        <v>-0.7</v>
      </c>
      <c r="M206" s="47">
        <f t="shared" si="44"/>
        <v>4.4400000000000004E-3</v>
      </c>
      <c r="O206" s="47">
        <f t="shared" si="45"/>
        <v>0.24549566281992086</v>
      </c>
      <c r="P206" s="47">
        <f t="shared" si="46"/>
        <v>-0.71</v>
      </c>
      <c r="Q206" s="47">
        <f t="shared" si="47"/>
        <v>4.4400000000000004E-3</v>
      </c>
      <c r="S206" s="47">
        <f t="shared" si="48"/>
        <v>0.24549566281992086</v>
      </c>
      <c r="T206" s="47">
        <f t="shared" si="49"/>
        <v>-0.7</v>
      </c>
      <c r="U206" s="47">
        <f t="shared" si="50"/>
        <v>4.4400000000000004E-3</v>
      </c>
      <c r="W206" s="47">
        <f t="shared" si="51"/>
        <v>8.5759006985786673E-2</v>
      </c>
      <c r="X206" s="47">
        <f t="shared" si="52"/>
        <v>8.6654286609843895E-2</v>
      </c>
      <c r="Y206" s="47">
        <f t="shared" si="53"/>
        <v>8.603975070567102E-2</v>
      </c>
      <c r="AP206" s="48">
        <v>6.9800000000000001E-2</v>
      </c>
      <c r="AQ206" s="48">
        <v>0.13070000000000001</v>
      </c>
      <c r="AR206" s="47">
        <f>IF(AP206="","",AP206-($AC$60+$AC$61*Volcanic!C206+$AC$62*Volcanic!D206+$AC$63*Volcanic!E206))</f>
        <v>4.5036041442276908E-2</v>
      </c>
      <c r="AS206" s="47">
        <f>IF(AQ206="","",AQ206-($AD$60+$AD$61*Volcanic!C206+$AD$62*Volcanic!D206+$AD$63*Volcanic!E206))</f>
        <v>9.9010965923799488E-2</v>
      </c>
    </row>
    <row r="207" spans="1:45">
      <c r="A207" s="45" t="str">
        <f>Volcanic!A207</f>
        <v>4/1975</v>
      </c>
      <c r="B207" s="43">
        <f>Volcanic!B207</f>
        <v>3.9999999999999147E-2</v>
      </c>
      <c r="C207" s="47">
        <f>Volcanic!C207</f>
        <v>0.25057183736095789</v>
      </c>
      <c r="D207" s="41">
        <v>-0.7</v>
      </c>
      <c r="E207" s="43">
        <f t="shared" si="54"/>
        <v>-0.6</v>
      </c>
      <c r="F207" s="48">
        <v>4.6800000000000001E-3</v>
      </c>
      <c r="G207" s="47">
        <f t="shared" si="55"/>
        <v>4.4799999999999996E-3</v>
      </c>
      <c r="H207" s="43">
        <f>Volcanic!D207</f>
        <v>-0.56000000000000005</v>
      </c>
      <c r="I207" s="47">
        <f>Volcanic!E207</f>
        <v>4.4799999999999996E-3</v>
      </c>
      <c r="K207" s="47">
        <f t="shared" si="42"/>
        <v>0.25057183736095789</v>
      </c>
      <c r="L207" s="47">
        <f t="shared" si="43"/>
        <v>-0.6</v>
      </c>
      <c r="M207" s="47">
        <f t="shared" si="44"/>
        <v>4.4799999999999996E-3</v>
      </c>
      <c r="O207" s="47">
        <f t="shared" si="45"/>
        <v>0.25057183736095789</v>
      </c>
      <c r="P207" s="47">
        <f t="shared" si="46"/>
        <v>-0.56000000000000005</v>
      </c>
      <c r="Q207" s="47">
        <f t="shared" si="47"/>
        <v>4.4799999999999996E-3</v>
      </c>
      <c r="S207" s="47">
        <f t="shared" si="48"/>
        <v>0.25057183736095789</v>
      </c>
      <c r="T207" s="47">
        <f t="shared" si="49"/>
        <v>-0.6</v>
      </c>
      <c r="U207" s="47">
        <f t="shared" si="50"/>
        <v>4.4799999999999996E-3</v>
      </c>
      <c r="W207" s="47">
        <f t="shared" si="51"/>
        <v>-1.7283675816719718E-2</v>
      </c>
      <c r="X207" s="47">
        <f t="shared" si="52"/>
        <v>-2.1055468588793383E-2</v>
      </c>
      <c r="Y207" s="47">
        <f t="shared" si="53"/>
        <v>-1.6979029191955465E-2</v>
      </c>
      <c r="AP207" s="48">
        <v>3.0200000000000001E-2</v>
      </c>
      <c r="AQ207" s="48">
        <v>9.5699999999999993E-2</v>
      </c>
      <c r="AR207" s="47">
        <f>IF(AP207="","",AP207-($AC$60+$AC$61*Volcanic!C207+$AC$62*Volcanic!D207+$AC$63*Volcanic!E207))</f>
        <v>-2.2375519018136395E-2</v>
      </c>
      <c r="AS207" s="47">
        <f>IF(AQ207="","",AQ207-($AD$60+$AD$61*Volcanic!C207+$AD$62*Volcanic!D207+$AD$63*Volcanic!E207))</f>
        <v>3.5550110009823867E-2</v>
      </c>
    </row>
    <row r="208" spans="1:45">
      <c r="A208" s="45" t="str">
        <f>Volcanic!A208</f>
        <v>5/1975</v>
      </c>
      <c r="B208" s="43">
        <f>Volcanic!B208</f>
        <v>0.16000000000000014</v>
      </c>
      <c r="C208" s="47">
        <f>Volcanic!C208</f>
        <v>0.25420528705036982</v>
      </c>
      <c r="D208" s="41">
        <v>-0.8</v>
      </c>
      <c r="E208" s="43">
        <f t="shared" si="54"/>
        <v>-0.5</v>
      </c>
      <c r="F208" s="48">
        <v>4.6699999999999997E-3</v>
      </c>
      <c r="G208" s="47">
        <f t="shared" si="55"/>
        <v>4.6800000000000001E-3</v>
      </c>
      <c r="H208" s="43">
        <f>Volcanic!D208</f>
        <v>-0.55000000000000004</v>
      </c>
      <c r="I208" s="47">
        <f>Volcanic!E208</f>
        <v>4.6800000000000001E-3</v>
      </c>
      <c r="K208" s="47">
        <f t="shared" si="42"/>
        <v>0.25420528705036982</v>
      </c>
      <c r="L208" s="47">
        <f t="shared" si="43"/>
        <v>-0.5</v>
      </c>
      <c r="M208" s="47">
        <f t="shared" si="44"/>
        <v>4.6800000000000001E-3</v>
      </c>
      <c r="O208" s="47">
        <f t="shared" si="45"/>
        <v>0.25420528705036982</v>
      </c>
      <c r="P208" s="47">
        <f t="shared" si="46"/>
        <v>-0.55000000000000004</v>
      </c>
      <c r="Q208" s="47">
        <f t="shared" si="47"/>
        <v>4.6800000000000001E-3</v>
      </c>
      <c r="S208" s="47">
        <f t="shared" si="48"/>
        <v>0.25420528705036982</v>
      </c>
      <c r="T208" s="47">
        <f t="shared" si="49"/>
        <v>-0.5</v>
      </c>
      <c r="U208" s="47">
        <f t="shared" si="50"/>
        <v>4.6800000000000001E-3</v>
      </c>
      <c r="W208" s="47">
        <f t="shared" si="51"/>
        <v>8.3960733297502296E-2</v>
      </c>
      <c r="X208" s="47">
        <f t="shared" si="52"/>
        <v>8.8704402581307448E-2</v>
      </c>
      <c r="Y208" s="47">
        <f t="shared" si="53"/>
        <v>8.4320807963032651E-2</v>
      </c>
      <c r="AP208" s="48">
        <v>0.13250000000000001</v>
      </c>
      <c r="AQ208" s="48">
        <v>0.19470000000000001</v>
      </c>
      <c r="AR208" s="47">
        <f>IF(AP208="","",AP208-($AC$60+$AC$61*Volcanic!C208+$AC$62*Volcanic!D208+$AC$63*Volcanic!E208))</f>
        <v>6.9547742893319636E-2</v>
      </c>
      <c r="AS208" s="47">
        <f>IF(AQ208="","",AQ208-($AD$60+$AD$61*Volcanic!C208+$AD$62*Volcanic!D208+$AD$63*Volcanic!E208))</f>
        <v>0.12387563487806387</v>
      </c>
    </row>
    <row r="209" spans="1:45">
      <c r="A209" s="45" t="str">
        <f>Volcanic!A209</f>
        <v>6/1975</v>
      </c>
      <c r="B209" s="43">
        <f>Volcanic!B209</f>
        <v>-9.9999999999980105E-3</v>
      </c>
      <c r="C209" s="47">
        <f>Volcanic!C209</f>
        <v>0.25191381895195386</v>
      </c>
      <c r="D209" s="41">
        <v>-0.9</v>
      </c>
      <c r="E209" s="43">
        <f t="shared" si="54"/>
        <v>-0.6</v>
      </c>
      <c r="F209" s="48">
        <v>4.6800000000000001E-3</v>
      </c>
      <c r="G209" s="47">
        <f t="shared" si="55"/>
        <v>5.1799999999999997E-3</v>
      </c>
      <c r="H209" s="43">
        <f>Volcanic!D209</f>
        <v>-0.61</v>
      </c>
      <c r="I209" s="47">
        <f>Volcanic!E209</f>
        <v>5.1799999999999997E-3</v>
      </c>
      <c r="K209" s="47">
        <f t="shared" si="42"/>
        <v>0.25191381895195386</v>
      </c>
      <c r="L209" s="47">
        <f t="shared" si="43"/>
        <v>-0.6</v>
      </c>
      <c r="M209" s="47">
        <f t="shared" si="44"/>
        <v>5.1799999999999997E-3</v>
      </c>
      <c r="O209" s="47">
        <f t="shared" si="45"/>
        <v>0.25191381895195386</v>
      </c>
      <c r="P209" s="47">
        <f t="shared" si="46"/>
        <v>-0.61</v>
      </c>
      <c r="Q209" s="47">
        <f t="shared" si="47"/>
        <v>5.1799999999999997E-3</v>
      </c>
      <c r="S209" s="47">
        <f t="shared" si="48"/>
        <v>0.25191381895195386</v>
      </c>
      <c r="T209" s="47">
        <f t="shared" si="49"/>
        <v>-0.6</v>
      </c>
      <c r="U209" s="47">
        <f t="shared" si="50"/>
        <v>5.1799999999999997E-3</v>
      </c>
      <c r="W209" s="47">
        <f t="shared" si="51"/>
        <v>-6.9400994168457478E-2</v>
      </c>
      <c r="X209" s="47">
        <f t="shared" si="52"/>
        <v>-6.8157885774404292E-2</v>
      </c>
      <c r="Y209" s="47">
        <f t="shared" si="53"/>
        <v>-6.8775691699410557E-2</v>
      </c>
      <c r="AP209" s="48">
        <v>1.95E-2</v>
      </c>
      <c r="AQ209" s="48">
        <v>1.9699999999999999E-2</v>
      </c>
      <c r="AR209" s="47">
        <f>IF(AP209="","",AP209-($AC$60+$AC$61*Volcanic!C209+$AC$62*Volcanic!D209+$AC$63*Volcanic!E209))</f>
        <v>-3.0373349555395102E-2</v>
      </c>
      <c r="AS209" s="47">
        <f>IF(AQ209="","",AQ209-($AD$60+$AD$61*Volcanic!C209+$AD$62*Volcanic!D209+$AD$63*Volcanic!E209))</f>
        <v>-3.7827170912071245E-2</v>
      </c>
    </row>
    <row r="210" spans="1:45">
      <c r="A210" s="45" t="str">
        <f>Volcanic!A210</f>
        <v>7/1975</v>
      </c>
      <c r="B210" s="43">
        <f>Volcanic!B210</f>
        <v>-9.9999999999980105E-3</v>
      </c>
      <c r="C210" s="47">
        <f>Volcanic!C210</f>
        <v>0.24562604450194436</v>
      </c>
      <c r="D210" s="41">
        <v>-1.1000000000000001</v>
      </c>
      <c r="E210" s="43">
        <f t="shared" si="54"/>
        <v>-0.7</v>
      </c>
      <c r="F210" s="48">
        <v>5.0499999999999998E-3</v>
      </c>
      <c r="G210" s="47">
        <f t="shared" si="55"/>
        <v>5.13E-3</v>
      </c>
      <c r="H210" s="43">
        <f>Volcanic!D210</f>
        <v>-0.66</v>
      </c>
      <c r="I210" s="47">
        <f>Volcanic!E210</f>
        <v>5.13E-3</v>
      </c>
      <c r="K210" s="47">
        <f t="shared" si="42"/>
        <v>0.24562604450194436</v>
      </c>
      <c r="L210" s="47">
        <f t="shared" si="43"/>
        <v>-0.7</v>
      </c>
      <c r="M210" s="47">
        <f t="shared" si="44"/>
        <v>5.13E-3</v>
      </c>
      <c r="O210" s="47">
        <f t="shared" si="45"/>
        <v>0.24562604450194436</v>
      </c>
      <c r="P210" s="47">
        <f t="shared" si="46"/>
        <v>-0.66</v>
      </c>
      <c r="Q210" s="47">
        <f t="shared" si="47"/>
        <v>5.13E-3</v>
      </c>
      <c r="S210" s="47">
        <f t="shared" si="48"/>
        <v>0.24562604450194436</v>
      </c>
      <c r="T210" s="47">
        <f t="shared" si="49"/>
        <v>-0.7</v>
      </c>
      <c r="U210" s="47">
        <f t="shared" si="50"/>
        <v>5.13E-3</v>
      </c>
      <c r="W210" s="47">
        <f t="shared" si="51"/>
        <v>-4.3076131224720746E-2</v>
      </c>
      <c r="X210" s="47">
        <f t="shared" si="52"/>
        <v>-4.6592220689130312E-2</v>
      </c>
      <c r="Y210" s="47">
        <f t="shared" si="53"/>
        <v>-4.2507781140735973E-2</v>
      </c>
      <c r="AP210" s="48">
        <v>-2.4799999999999999E-2</v>
      </c>
      <c r="AQ210" s="48">
        <v>-6.3299999999999995E-2</v>
      </c>
      <c r="AR210" s="47">
        <f>IF(AP210="","",AP210-($AC$60+$AC$61*Volcanic!C210+$AC$62*Volcanic!D210+$AC$63*Volcanic!E210))</f>
        <v>-5.2941956699543075E-2</v>
      </c>
      <c r="AS210" s="47">
        <f>IF(AQ210="","",AQ210-($AD$60+$AD$61*Volcanic!C210+$AD$62*Volcanic!D210+$AD$63*Volcanic!E210))</f>
        <v>-9.8552090128822975E-2</v>
      </c>
    </row>
    <row r="211" spans="1:45">
      <c r="A211" s="45" t="str">
        <f>Volcanic!A211</f>
        <v>8/1975</v>
      </c>
      <c r="B211" s="43">
        <f>Volcanic!B211</f>
        <v>-0.16999999999999638</v>
      </c>
      <c r="C211" s="47">
        <f>Volcanic!C211</f>
        <v>0.23682059058160543</v>
      </c>
      <c r="D211" s="41">
        <v>-1.1000000000000001</v>
      </c>
      <c r="E211" s="43">
        <f t="shared" si="54"/>
        <v>-0.8</v>
      </c>
      <c r="F211" s="48">
        <v>5.5100000000000001E-3</v>
      </c>
      <c r="G211" s="47">
        <f t="shared" si="55"/>
        <v>5.0000000000000001E-3</v>
      </c>
      <c r="H211" s="43">
        <f>Volcanic!D211</f>
        <v>-0.8</v>
      </c>
      <c r="I211" s="47">
        <f>Volcanic!E211</f>
        <v>5.0000000000000001E-3</v>
      </c>
      <c r="K211" s="47">
        <f t="shared" si="42"/>
        <v>0.23682059058160543</v>
      </c>
      <c r="L211" s="47">
        <f t="shared" si="43"/>
        <v>-0.8</v>
      </c>
      <c r="M211" s="47">
        <f t="shared" si="44"/>
        <v>5.0000000000000001E-3</v>
      </c>
      <c r="O211" s="47">
        <f t="shared" si="45"/>
        <v>0.23682059058160543</v>
      </c>
      <c r="P211" s="47">
        <f t="shared" si="46"/>
        <v>-0.8</v>
      </c>
      <c r="Q211" s="47">
        <f t="shared" si="47"/>
        <v>5.0000000000000001E-3</v>
      </c>
      <c r="S211" s="47">
        <f t="shared" si="48"/>
        <v>0.23682059058160543</v>
      </c>
      <c r="T211" s="47">
        <f t="shared" si="49"/>
        <v>-0.8</v>
      </c>
      <c r="U211" s="47">
        <f t="shared" si="50"/>
        <v>5.0000000000000001E-3</v>
      </c>
      <c r="W211" s="47">
        <f t="shared" si="51"/>
        <v>-0.17006145926160401</v>
      </c>
      <c r="X211" s="47">
        <f t="shared" si="52"/>
        <v>-0.16997457447648276</v>
      </c>
      <c r="Y211" s="47">
        <f t="shared" si="53"/>
        <v>-0.16964315475147251</v>
      </c>
      <c r="AP211" s="48">
        <v>-0.15290000000000001</v>
      </c>
      <c r="AQ211" s="48">
        <v>-0.20630000000000001</v>
      </c>
      <c r="AR211" s="47">
        <f>IF(AP211="","",AP211-($AC$60+$AC$61*Volcanic!C211+$AC$62*Volcanic!D211+$AC$63*Volcanic!E211))</f>
        <v>-0.14420020481673118</v>
      </c>
      <c r="AS211" s="47">
        <f>IF(AQ211="","",AQ211-($AD$60+$AD$61*Volcanic!C211+$AD$62*Volcanic!D211+$AD$63*Volcanic!E211))</f>
        <v>-0.20380769785059957</v>
      </c>
    </row>
    <row r="212" spans="1:45">
      <c r="A212" s="45" t="str">
        <f>Volcanic!A212</f>
        <v>9/1975</v>
      </c>
      <c r="B212" s="43">
        <f>Volcanic!B212</f>
        <v>-1.9999999999999574E-2</v>
      </c>
      <c r="C212" s="47">
        <f>Volcanic!C212</f>
        <v>0.23042262505163516</v>
      </c>
      <c r="D212" s="41">
        <v>-1.3</v>
      </c>
      <c r="E212" s="43">
        <f t="shared" si="54"/>
        <v>-0.9</v>
      </c>
      <c r="F212" s="48">
        <v>5.5500000000000002E-3</v>
      </c>
      <c r="G212" s="47">
        <f t="shared" si="55"/>
        <v>4.8300000000000001E-3</v>
      </c>
      <c r="H212" s="43">
        <f>Volcanic!D212</f>
        <v>-0.92</v>
      </c>
      <c r="I212" s="47">
        <f>Volcanic!E212</f>
        <v>4.8300000000000001E-3</v>
      </c>
      <c r="K212" s="47">
        <f t="shared" si="42"/>
        <v>0.23042262505163516</v>
      </c>
      <c r="L212" s="47">
        <f t="shared" si="43"/>
        <v>-0.9</v>
      </c>
      <c r="M212" s="47">
        <f t="shared" si="44"/>
        <v>4.8300000000000001E-3</v>
      </c>
      <c r="O212" s="47">
        <f t="shared" si="45"/>
        <v>0.23042262505163516</v>
      </c>
      <c r="P212" s="47">
        <f t="shared" si="46"/>
        <v>-0.92</v>
      </c>
      <c r="Q212" s="47">
        <f t="shared" si="47"/>
        <v>4.8300000000000001E-3</v>
      </c>
      <c r="S212" s="47">
        <f t="shared" si="48"/>
        <v>0.23042262505163516</v>
      </c>
      <c r="T212" s="47">
        <f t="shared" si="49"/>
        <v>-0.9</v>
      </c>
      <c r="U212" s="47">
        <f t="shared" si="50"/>
        <v>4.8300000000000001E-3</v>
      </c>
      <c r="W212" s="47">
        <f t="shared" si="51"/>
        <v>6.2994883461941417E-3</v>
      </c>
      <c r="X212" s="47">
        <f t="shared" si="52"/>
        <v>8.1510034723114196E-3</v>
      </c>
      <c r="Y212" s="47">
        <f t="shared" si="53"/>
        <v>6.6087325691919704E-3</v>
      </c>
      <c r="AP212" s="48">
        <v>-6.0100000000000001E-2</v>
      </c>
      <c r="AQ212" s="48">
        <v>-5.2299999999999999E-2</v>
      </c>
      <c r="AR212" s="47">
        <f>IF(AP212="","",AP212-($AC$60+$AC$61*Volcanic!C212+$AC$62*Volcanic!D212+$AC$63*Volcanic!E212))</f>
        <v>-2.3101510255512735E-2</v>
      </c>
      <c r="AS212" s="47">
        <f>IF(AQ212="","",AQ212-($AD$60+$AD$61*Volcanic!C212+$AD$62*Volcanic!D212+$AD$63*Volcanic!E212))</f>
        <v>-2.0809323265754104E-2</v>
      </c>
    </row>
    <row r="213" spans="1:45">
      <c r="A213" s="45" t="str">
        <f>Volcanic!A213</f>
        <v>10/1975</v>
      </c>
      <c r="B213" s="43">
        <f>Volcanic!B213</f>
        <v>-0.10999999999999766</v>
      </c>
      <c r="C213" s="47">
        <f>Volcanic!C213</f>
        <v>0.22985156512086161</v>
      </c>
      <c r="D213" s="41">
        <v>-1.3</v>
      </c>
      <c r="E213" s="43">
        <f t="shared" si="54"/>
        <v>-1.1000000000000001</v>
      </c>
      <c r="F213" s="48">
        <v>5.5300000000000002E-3</v>
      </c>
      <c r="G213" s="47">
        <f t="shared" si="55"/>
        <v>4.7099999999999998E-3</v>
      </c>
      <c r="H213" s="43">
        <f>Volcanic!D213</f>
        <v>-1.08</v>
      </c>
      <c r="I213" s="47">
        <f>Volcanic!E213</f>
        <v>4.7099999999999998E-3</v>
      </c>
      <c r="K213" s="47">
        <f t="shared" si="42"/>
        <v>0.22985156512086161</v>
      </c>
      <c r="L213" s="47">
        <f t="shared" si="43"/>
        <v>-1.1000000000000001</v>
      </c>
      <c r="M213" s="47">
        <f t="shared" si="44"/>
        <v>4.7099999999999998E-3</v>
      </c>
      <c r="O213" s="47">
        <f t="shared" si="45"/>
        <v>0.22985156512086161</v>
      </c>
      <c r="P213" s="47">
        <f t="shared" si="46"/>
        <v>-1.08</v>
      </c>
      <c r="Q213" s="47">
        <f t="shared" si="47"/>
        <v>4.7099999999999998E-3</v>
      </c>
      <c r="S213" s="47">
        <f t="shared" si="48"/>
        <v>0.22985156512086161</v>
      </c>
      <c r="T213" s="47">
        <f t="shared" si="49"/>
        <v>-1.1000000000000001</v>
      </c>
      <c r="U213" s="47">
        <f t="shared" si="50"/>
        <v>4.7099999999999998E-3</v>
      </c>
      <c r="W213" s="47">
        <f t="shared" si="51"/>
        <v>-6.383290529244072E-2</v>
      </c>
      <c r="X213" s="47">
        <f t="shared" si="52"/>
        <v>-6.5588831880760909E-2</v>
      </c>
      <c r="Y213" s="47">
        <f t="shared" si="53"/>
        <v>-6.3359210431296692E-2</v>
      </c>
      <c r="AP213" s="48">
        <v>-7.2300000000000003E-2</v>
      </c>
      <c r="AQ213" s="48">
        <v>-8.9300000000000004E-2</v>
      </c>
      <c r="AR213" s="47">
        <f>IF(AP213="","",AP213-($AC$60+$AC$61*Volcanic!C213+$AC$62*Volcanic!D213+$AC$63*Volcanic!E213))</f>
        <v>-1.9047697227155248E-2</v>
      </c>
      <c r="AS213" s="47">
        <f>IF(AQ213="","",AQ213-($AD$60+$AD$61*Volcanic!C213+$AD$62*Volcanic!D213+$AD$63*Volcanic!E213))</f>
        <v>-4.1194395516051807E-2</v>
      </c>
    </row>
    <row r="214" spans="1:45">
      <c r="A214" s="45" t="str">
        <f>Volcanic!A214</f>
        <v>11/1975</v>
      </c>
      <c r="B214" s="43">
        <f>Volcanic!B214</f>
        <v>-0.16999999999999638</v>
      </c>
      <c r="C214" s="47">
        <f>Volcanic!C214</f>
        <v>0.2343261299073639</v>
      </c>
      <c r="D214" s="41">
        <v>-1.5</v>
      </c>
      <c r="E214" s="43">
        <f t="shared" si="54"/>
        <v>-1.1000000000000001</v>
      </c>
      <c r="F214" s="48">
        <v>5.3299999999999997E-3</v>
      </c>
      <c r="G214" s="47">
        <f t="shared" si="55"/>
        <v>4.6800000000000001E-3</v>
      </c>
      <c r="H214" s="43">
        <f>Volcanic!D214</f>
        <v>-1.1200000000000001</v>
      </c>
      <c r="I214" s="47">
        <f>Volcanic!E214</f>
        <v>4.6800000000000001E-3</v>
      </c>
      <c r="K214" s="47">
        <f t="shared" si="42"/>
        <v>0.2343261299073639</v>
      </c>
      <c r="L214" s="47">
        <f t="shared" si="43"/>
        <v>-1.1000000000000001</v>
      </c>
      <c r="M214" s="47">
        <f t="shared" si="44"/>
        <v>4.6800000000000001E-3</v>
      </c>
      <c r="O214" s="47">
        <f t="shared" si="45"/>
        <v>0.2343261299073639</v>
      </c>
      <c r="P214" s="47">
        <f t="shared" si="46"/>
        <v>-1.1200000000000001</v>
      </c>
      <c r="Q214" s="47">
        <f t="shared" si="47"/>
        <v>4.6800000000000001E-3</v>
      </c>
      <c r="S214" s="47">
        <f t="shared" si="48"/>
        <v>0.2343261299073639</v>
      </c>
      <c r="T214" s="47">
        <f t="shared" si="49"/>
        <v>-1.1000000000000001</v>
      </c>
      <c r="U214" s="47">
        <f t="shared" si="50"/>
        <v>4.6800000000000001E-3</v>
      </c>
      <c r="W214" s="47">
        <f t="shared" si="51"/>
        <v>-0.13610182298501611</v>
      </c>
      <c r="X214" s="47">
        <f t="shared" si="52"/>
        <v>-0.13400710545166011</v>
      </c>
      <c r="Y214" s="47">
        <f t="shared" si="53"/>
        <v>-0.1355336692531785</v>
      </c>
      <c r="AP214" s="48">
        <v>-0.18190000000000001</v>
      </c>
      <c r="AQ214" s="48">
        <v>-0.23630000000000001</v>
      </c>
      <c r="AR214" s="47">
        <f>IF(AP214="","",AP214-($AC$60+$AC$61*Volcanic!C214+$AC$62*Volcanic!D214+$AC$63*Volcanic!E214))</f>
        <v>-0.13719236201290114</v>
      </c>
      <c r="AS214" s="47">
        <f>IF(AQ214="","",AQ214-($AD$60+$AD$61*Volcanic!C214+$AD$62*Volcanic!D214+$AD$63*Volcanic!E214))</f>
        <v>-0.19697330920140987</v>
      </c>
    </row>
    <row r="215" spans="1:45">
      <c r="A215" s="45" t="str">
        <f>Volcanic!A215</f>
        <v>12/1975</v>
      </c>
      <c r="B215" s="43">
        <f>Volcanic!B215</f>
        <v>-0.16999999999999638</v>
      </c>
      <c r="C215" s="47">
        <f>Volcanic!C215</f>
        <v>0.24040156449160882</v>
      </c>
      <c r="D215" s="41">
        <v>-1.6</v>
      </c>
      <c r="E215" s="43">
        <f t="shared" si="54"/>
        <v>-1.3</v>
      </c>
      <c r="F215" s="48">
        <v>5.1000000000000004E-3</v>
      </c>
      <c r="G215" s="47">
        <f t="shared" si="55"/>
        <v>4.6699999999999997E-3</v>
      </c>
      <c r="H215" s="43">
        <f>Volcanic!D215</f>
        <v>-1.29</v>
      </c>
      <c r="I215" s="47">
        <f>Volcanic!E215</f>
        <v>4.6699999999999997E-3</v>
      </c>
      <c r="K215" s="47">
        <f t="shared" si="42"/>
        <v>0.24040156449160882</v>
      </c>
      <c r="L215" s="47">
        <f t="shared" si="43"/>
        <v>-1.3</v>
      </c>
      <c r="M215" s="47">
        <f t="shared" si="44"/>
        <v>4.6699999999999997E-3</v>
      </c>
      <c r="O215" s="47">
        <f t="shared" si="45"/>
        <v>0.24040156449160882</v>
      </c>
      <c r="P215" s="47">
        <f t="shared" si="46"/>
        <v>-1.29</v>
      </c>
      <c r="Q215" s="47">
        <f t="shared" si="47"/>
        <v>4.6699999999999997E-3</v>
      </c>
      <c r="S215" s="47">
        <f t="shared" si="48"/>
        <v>0.24040156449160882</v>
      </c>
      <c r="T215" s="47">
        <f t="shared" si="49"/>
        <v>-1.3</v>
      </c>
      <c r="U215" s="47">
        <f t="shared" si="50"/>
        <v>4.6699999999999997E-3</v>
      </c>
      <c r="W215" s="47">
        <f t="shared" si="51"/>
        <v>-0.1341178202258923</v>
      </c>
      <c r="X215" s="47">
        <f t="shared" si="52"/>
        <v>-0.13448949767913207</v>
      </c>
      <c r="Y215" s="47">
        <f t="shared" si="53"/>
        <v>-0.13318117984031189</v>
      </c>
      <c r="AP215" s="48">
        <v>-0.1701</v>
      </c>
      <c r="AQ215" s="48">
        <v>-0.1143</v>
      </c>
      <c r="AR215" s="47">
        <f>IF(AP215="","",AP215-($AC$60+$AC$61*Volcanic!C215+$AC$62*Volcanic!D215+$AC$63*Volcanic!E215))</f>
        <v>-0.12608638766434249</v>
      </c>
      <c r="AS215" s="47">
        <f>IF(AQ215="","",AQ215-($AD$60+$AD$61*Volcanic!C215+$AD$62*Volcanic!D215+$AD$63*Volcanic!E215))</f>
        <v>-7.5766917515373983E-2</v>
      </c>
    </row>
    <row r="216" spans="1:45">
      <c r="A216" s="45" t="str">
        <f>Volcanic!A216</f>
        <v>1/1976</v>
      </c>
      <c r="B216" s="43">
        <f>Volcanic!B216</f>
        <v>-2.9999999999999361E-2</v>
      </c>
      <c r="C216" s="47">
        <f>Volcanic!C216</f>
        <v>0.2438431408139568</v>
      </c>
      <c r="D216" s="41">
        <v>-1.5</v>
      </c>
      <c r="E216" s="43">
        <f t="shared" si="54"/>
        <v>-1.3</v>
      </c>
      <c r="F216" s="48">
        <v>4.8900000000000002E-3</v>
      </c>
      <c r="G216" s="47">
        <f t="shared" si="55"/>
        <v>4.6800000000000001E-3</v>
      </c>
      <c r="H216" s="43">
        <f>Volcanic!D216</f>
        <v>-1.32</v>
      </c>
      <c r="I216" s="47">
        <f>Volcanic!E216</f>
        <v>4.6800000000000001E-3</v>
      </c>
      <c r="K216" s="47">
        <f t="shared" si="42"/>
        <v>0.2438431408139568</v>
      </c>
      <c r="L216" s="47">
        <f t="shared" si="43"/>
        <v>-1.3</v>
      </c>
      <c r="M216" s="47">
        <f t="shared" si="44"/>
        <v>4.6800000000000001E-3</v>
      </c>
      <c r="O216" s="47">
        <f t="shared" si="45"/>
        <v>0.2438431408139568</v>
      </c>
      <c r="P216" s="47">
        <f t="shared" si="46"/>
        <v>-1.32</v>
      </c>
      <c r="Q216" s="47">
        <f t="shared" si="47"/>
        <v>4.6800000000000001E-3</v>
      </c>
      <c r="S216" s="47">
        <f t="shared" si="48"/>
        <v>0.2438431408139568</v>
      </c>
      <c r="T216" s="47">
        <f t="shared" si="49"/>
        <v>-1.3</v>
      </c>
      <c r="U216" s="47">
        <f t="shared" si="50"/>
        <v>4.6800000000000001E-3</v>
      </c>
      <c r="W216" s="47">
        <f t="shared" si="51"/>
        <v>-3.4814818307637579E-3</v>
      </c>
      <c r="X216" s="47">
        <f t="shared" si="52"/>
        <v>-9.4985731882116231E-4</v>
      </c>
      <c r="Y216" s="47">
        <f t="shared" si="53"/>
        <v>-2.4585523138782005E-3</v>
      </c>
      <c r="AP216" s="48">
        <v>-8.9300000000000004E-2</v>
      </c>
      <c r="AQ216" s="48">
        <v>-4.2299999999999997E-2</v>
      </c>
      <c r="AR216" s="47">
        <f>IF(AP216="","",AP216-($AC$60+$AC$61*Volcanic!C216+$AC$62*Volcanic!D216+$AC$63*Volcanic!E216))</f>
        <v>-5.1850568789083201E-2</v>
      </c>
      <c r="AS216" s="47">
        <f>IF(AQ216="","",AQ216-($AD$60+$AD$61*Volcanic!C216+$AD$62*Volcanic!D216+$AD$63*Volcanic!E216))</f>
        <v>-1.0516570333053372E-2</v>
      </c>
    </row>
    <row r="217" spans="1:45">
      <c r="A217" s="45" t="str">
        <f>Volcanic!A217</f>
        <v>2/1976</v>
      </c>
      <c r="B217" s="43">
        <f>Volcanic!B217</f>
        <v>-6.0000000000000497E-2</v>
      </c>
      <c r="C217" s="47">
        <f>Volcanic!C217</f>
        <v>0.24896848158992504</v>
      </c>
      <c r="D217" s="41">
        <v>-1.1000000000000001</v>
      </c>
      <c r="E217" s="43">
        <f t="shared" si="54"/>
        <v>-1.5</v>
      </c>
      <c r="F217" s="48">
        <v>5.3499999999999997E-3</v>
      </c>
      <c r="G217" s="47">
        <f t="shared" si="55"/>
        <v>5.0499999999999998E-3</v>
      </c>
      <c r="H217" s="43">
        <f>Volcanic!D217</f>
        <v>-1.47</v>
      </c>
      <c r="I217" s="47">
        <f>Volcanic!E217</f>
        <v>5.0499999999999998E-3</v>
      </c>
      <c r="K217" s="47">
        <f t="shared" si="42"/>
        <v>0.24896848158992504</v>
      </c>
      <c r="L217" s="47">
        <f t="shared" si="43"/>
        <v>-1.5</v>
      </c>
      <c r="M217" s="47">
        <f t="shared" si="44"/>
        <v>5.0499999999999998E-3</v>
      </c>
      <c r="O217" s="47">
        <f t="shared" si="45"/>
        <v>0.24896848158992504</v>
      </c>
      <c r="P217" s="47">
        <f t="shared" si="46"/>
        <v>-1.47</v>
      </c>
      <c r="Q217" s="47">
        <f t="shared" si="47"/>
        <v>5.0499999999999998E-3</v>
      </c>
      <c r="S217" s="47">
        <f t="shared" si="48"/>
        <v>0.24896848158992504</v>
      </c>
      <c r="T217" s="47">
        <f t="shared" si="49"/>
        <v>-1.5</v>
      </c>
      <c r="U217" s="47">
        <f t="shared" si="50"/>
        <v>5.0499999999999998E-3</v>
      </c>
      <c r="W217" s="47">
        <f t="shared" si="51"/>
        <v>-2.8069090683261931E-2</v>
      </c>
      <c r="X217" s="47">
        <f t="shared" si="52"/>
        <v>-2.9749473926530951E-2</v>
      </c>
      <c r="Y217" s="47">
        <f t="shared" si="53"/>
        <v>-2.6543679947165819E-2</v>
      </c>
      <c r="AP217" s="48">
        <v>-0.15040000000000001</v>
      </c>
      <c r="AQ217" s="48">
        <v>-0.1133</v>
      </c>
      <c r="AR217" s="47">
        <f>IF(AP217="","",AP217-($AC$60+$AC$61*Volcanic!C217+$AC$62*Volcanic!D217+$AC$63*Volcanic!E217))</f>
        <v>-0.11200880651394221</v>
      </c>
      <c r="AS217" s="47">
        <f>IF(AQ217="","",AQ217-($AD$60+$AD$61*Volcanic!C217+$AD$62*Volcanic!D217+$AD$63*Volcanic!E217))</f>
        <v>-8.0690019120646786E-2</v>
      </c>
    </row>
    <row r="218" spans="1:45">
      <c r="A218" s="45" t="str">
        <f>Volcanic!A218</f>
        <v>3/1976</v>
      </c>
      <c r="B218" s="43">
        <f>Volcanic!B218</f>
        <v>-0.21999999999999886</v>
      </c>
      <c r="C218" s="47">
        <f>Volcanic!C218</f>
        <v>0.25165417798285766</v>
      </c>
      <c r="D218" s="41">
        <v>-0.6</v>
      </c>
      <c r="E218" s="43">
        <f t="shared" si="54"/>
        <v>-1.6</v>
      </c>
      <c r="F218" s="48">
        <v>5.3E-3</v>
      </c>
      <c r="G218" s="47">
        <f t="shared" si="55"/>
        <v>5.5100000000000001E-3</v>
      </c>
      <c r="H218" s="43">
        <f>Volcanic!D218</f>
        <v>-1.58</v>
      </c>
      <c r="I218" s="47">
        <f>Volcanic!E218</f>
        <v>5.5100000000000001E-3</v>
      </c>
      <c r="K218" s="47">
        <f t="shared" si="42"/>
        <v>0.25165417798285766</v>
      </c>
      <c r="L218" s="47">
        <f t="shared" si="43"/>
        <v>-1.6</v>
      </c>
      <c r="M218" s="47">
        <f t="shared" si="44"/>
        <v>5.5100000000000001E-3</v>
      </c>
      <c r="O218" s="47">
        <f t="shared" si="45"/>
        <v>0.25165417798285766</v>
      </c>
      <c r="P218" s="47">
        <f t="shared" si="46"/>
        <v>-1.58</v>
      </c>
      <c r="Q218" s="47">
        <f t="shared" si="47"/>
        <v>5.5100000000000001E-3</v>
      </c>
      <c r="S218" s="47">
        <f t="shared" si="48"/>
        <v>0.25165417798285766</v>
      </c>
      <c r="T218" s="47">
        <f t="shared" si="49"/>
        <v>-1.6</v>
      </c>
      <c r="U218" s="47">
        <f t="shared" si="50"/>
        <v>5.5100000000000001E-3</v>
      </c>
      <c r="W218" s="47">
        <f t="shared" si="51"/>
        <v>-0.18509243616741644</v>
      </c>
      <c r="X218" s="47">
        <f t="shared" si="52"/>
        <v>-0.18547561942855872</v>
      </c>
      <c r="Y218" s="47">
        <f t="shared" si="53"/>
        <v>-0.18319946251769828</v>
      </c>
      <c r="AP218" s="48">
        <v>-0.2571</v>
      </c>
      <c r="AQ218" s="48">
        <v>-0.24729999999999999</v>
      </c>
      <c r="AR218" s="47">
        <f>IF(AP218="","",AP218-($AC$60+$AC$61*Volcanic!C218+$AC$62*Volcanic!D218+$AC$63*Volcanic!E218))</f>
        <v>-0.21463457756153195</v>
      </c>
      <c r="AS218" s="47">
        <f>IF(AQ218="","",AQ218-($AD$60+$AD$61*Volcanic!C218+$AD$62*Volcanic!D218+$AD$63*Volcanic!E218))</f>
        <v>-0.21064672673945417</v>
      </c>
    </row>
    <row r="219" spans="1:45">
      <c r="A219" s="45" t="str">
        <f>Volcanic!A219</f>
        <v>4/1976</v>
      </c>
      <c r="B219" s="43">
        <f>Volcanic!B219</f>
        <v>-7.0000000000000284E-2</v>
      </c>
      <c r="C219" s="47">
        <f>Volcanic!C219</f>
        <v>0.25761413004954092</v>
      </c>
      <c r="D219" s="41">
        <v>-0.4</v>
      </c>
      <c r="E219" s="43">
        <f t="shared" si="54"/>
        <v>-1.5</v>
      </c>
      <c r="F219" s="48">
        <v>5.2100000000000002E-3</v>
      </c>
      <c r="G219" s="47">
        <f t="shared" si="55"/>
        <v>5.5500000000000002E-3</v>
      </c>
      <c r="H219" s="43">
        <f>Volcanic!D219</f>
        <v>-1.49</v>
      </c>
      <c r="I219" s="47">
        <f>Volcanic!E219</f>
        <v>5.5500000000000002E-3</v>
      </c>
      <c r="K219" s="47">
        <f t="shared" si="42"/>
        <v>0.25761413004954092</v>
      </c>
      <c r="L219" s="47">
        <f t="shared" si="43"/>
        <v>-1.5</v>
      </c>
      <c r="M219" s="47">
        <f t="shared" si="44"/>
        <v>5.5500000000000002E-3</v>
      </c>
      <c r="O219" s="47">
        <f t="shared" si="45"/>
        <v>0.25761413004954092</v>
      </c>
      <c r="P219" s="47">
        <f t="shared" si="46"/>
        <v>-1.49</v>
      </c>
      <c r="Q219" s="47">
        <f t="shared" si="47"/>
        <v>5.5500000000000002E-3</v>
      </c>
      <c r="S219" s="47">
        <f t="shared" si="48"/>
        <v>0.25761413004954092</v>
      </c>
      <c r="T219" s="47">
        <f t="shared" si="49"/>
        <v>-1.5</v>
      </c>
      <c r="U219" s="47">
        <f t="shared" si="50"/>
        <v>5.5500000000000002E-3</v>
      </c>
      <c r="W219" s="47">
        <f t="shared" si="51"/>
        <v>-6.0545313359409832E-2</v>
      </c>
      <c r="X219" s="47">
        <f t="shared" si="52"/>
        <v>-5.9938565753138696E-2</v>
      </c>
      <c r="Y219" s="47">
        <f t="shared" si="53"/>
        <v>-5.8607337026870807E-2</v>
      </c>
      <c r="AP219" s="48">
        <v>-0.1046</v>
      </c>
      <c r="AQ219" s="48">
        <v>-7.1300000000000002E-2</v>
      </c>
      <c r="AR219" s="47">
        <f>IF(AP219="","",AP219-($AC$60+$AC$61*Volcanic!C219+$AC$62*Volcanic!D219+$AC$63*Volcanic!E219))</f>
        <v>-8.6740682014930376E-2</v>
      </c>
      <c r="AS219" s="47">
        <f>IF(AQ219="","",AQ219-($AD$60+$AD$61*Volcanic!C219+$AD$62*Volcanic!D219+$AD$63*Volcanic!E219))</f>
        <v>-5.9849088938996306E-2</v>
      </c>
    </row>
    <row r="220" spans="1:45">
      <c r="A220" s="45" t="str">
        <f>Volcanic!A220</f>
        <v>5/1976</v>
      </c>
      <c r="B220" s="43">
        <f>Volcanic!B220</f>
        <v>-0.19999999999999751</v>
      </c>
      <c r="C220" s="47">
        <f>Volcanic!C220</f>
        <v>0.25752792952725034</v>
      </c>
      <c r="D220" s="41">
        <v>-0.2</v>
      </c>
      <c r="E220" s="43">
        <f t="shared" si="54"/>
        <v>-1.1000000000000001</v>
      </c>
      <c r="F220" s="48">
        <v>5.11E-3</v>
      </c>
      <c r="G220" s="47">
        <f t="shared" si="55"/>
        <v>5.5300000000000002E-3</v>
      </c>
      <c r="H220" s="43">
        <f>Volcanic!D220</f>
        <v>-1.1100000000000001</v>
      </c>
      <c r="I220" s="47">
        <f>Volcanic!E220</f>
        <v>5.5300000000000002E-3</v>
      </c>
      <c r="K220" s="47">
        <f t="shared" si="42"/>
        <v>0.25752792952725034</v>
      </c>
      <c r="L220" s="47">
        <f t="shared" si="43"/>
        <v>-1.1000000000000001</v>
      </c>
      <c r="M220" s="47">
        <f t="shared" si="44"/>
        <v>5.5300000000000002E-3</v>
      </c>
      <c r="O220" s="47">
        <f t="shared" si="45"/>
        <v>0.25752792952725034</v>
      </c>
      <c r="P220" s="47">
        <f t="shared" si="46"/>
        <v>-1.1100000000000001</v>
      </c>
      <c r="Q220" s="47">
        <f t="shared" si="47"/>
        <v>5.5300000000000002E-3</v>
      </c>
      <c r="S220" s="47">
        <f t="shared" si="48"/>
        <v>0.25752792952725034</v>
      </c>
      <c r="T220" s="47">
        <f t="shared" si="49"/>
        <v>-1.1000000000000001</v>
      </c>
      <c r="U220" s="47">
        <f t="shared" si="50"/>
        <v>5.5300000000000002E-3</v>
      </c>
      <c r="W220" s="47">
        <f t="shared" si="51"/>
        <v>-0.22750362794507417</v>
      </c>
      <c r="X220" s="47">
        <f t="shared" si="52"/>
        <v>-0.22545352074461128</v>
      </c>
      <c r="Y220" s="47">
        <f t="shared" si="53"/>
        <v>-0.2260310789401172</v>
      </c>
      <c r="AP220" s="48">
        <v>-0.27960000000000002</v>
      </c>
      <c r="AQ220" s="48">
        <v>-0.26429999999999998</v>
      </c>
      <c r="AR220" s="47">
        <f>IF(AP220="","",AP220-($AC$60+$AC$61*Volcanic!C220+$AC$62*Volcanic!D220+$AC$63*Volcanic!E220))</f>
        <v>-0.2971385646345539</v>
      </c>
      <c r="AS220" s="47">
        <f>IF(AQ220="","",AQ220-($AD$60+$AD$61*Volcanic!C220+$AD$62*Volcanic!D220+$AD$63*Volcanic!E220))</f>
        <v>-0.28896790308005788</v>
      </c>
    </row>
    <row r="221" spans="1:45">
      <c r="A221" s="45" t="str">
        <f>Volcanic!A221</f>
        <v>6/1976</v>
      </c>
      <c r="B221" s="43">
        <f>Volcanic!B221</f>
        <v>-0.11999999999999744</v>
      </c>
      <c r="C221" s="47">
        <f>Volcanic!C221</f>
        <v>0.25429168632221816</v>
      </c>
      <c r="D221" s="41">
        <v>0</v>
      </c>
      <c r="E221" s="43">
        <f t="shared" si="54"/>
        <v>-0.6</v>
      </c>
      <c r="F221" s="48">
        <v>5.0400000000000002E-3</v>
      </c>
      <c r="G221" s="47">
        <f t="shared" si="55"/>
        <v>5.3299999999999997E-3</v>
      </c>
      <c r="H221" s="43">
        <f>Volcanic!D221</f>
        <v>-0.65</v>
      </c>
      <c r="I221" s="47">
        <f>Volcanic!E221</f>
        <v>5.3299999999999997E-3</v>
      </c>
      <c r="K221" s="47">
        <f t="shared" si="42"/>
        <v>0.25429168632221816</v>
      </c>
      <c r="L221" s="47">
        <f t="shared" si="43"/>
        <v>-0.6</v>
      </c>
      <c r="M221" s="47">
        <f t="shared" si="44"/>
        <v>5.3299999999999997E-3</v>
      </c>
      <c r="O221" s="47">
        <f t="shared" si="45"/>
        <v>0.25429168632221816</v>
      </c>
      <c r="P221" s="47">
        <f t="shared" si="46"/>
        <v>-0.65</v>
      </c>
      <c r="Q221" s="47">
        <f t="shared" si="47"/>
        <v>5.3299999999999997E-3</v>
      </c>
      <c r="S221" s="47">
        <f t="shared" si="48"/>
        <v>0.25429168632221816</v>
      </c>
      <c r="T221" s="47">
        <f t="shared" si="49"/>
        <v>-0.6</v>
      </c>
      <c r="U221" s="47">
        <f t="shared" si="50"/>
        <v>5.3299999999999997E-3</v>
      </c>
      <c r="W221" s="47">
        <f t="shared" si="51"/>
        <v>-0.18555526778647619</v>
      </c>
      <c r="X221" s="47">
        <f t="shared" si="52"/>
        <v>-0.18043727732464443</v>
      </c>
      <c r="Y221" s="47">
        <f t="shared" si="53"/>
        <v>-0.18481134841187913</v>
      </c>
      <c r="AP221" s="48">
        <v>-0.15579999999999999</v>
      </c>
      <c r="AQ221" s="48">
        <v>-0.1883</v>
      </c>
      <c r="AR221" s="47">
        <f>IF(AP221="","",AP221-($AC$60+$AC$61*Volcanic!C221+$AC$62*Volcanic!D221+$AC$63*Volcanic!E221))</f>
        <v>-0.2080596393537999</v>
      </c>
      <c r="AS221" s="47">
        <f>IF(AQ221="","",AQ221-($AD$60+$AD$61*Volcanic!C221+$AD$62*Volcanic!D221+$AD$63*Volcanic!E221))</f>
        <v>-0.24832119587769269</v>
      </c>
    </row>
    <row r="222" spans="1:45">
      <c r="A222" s="45" t="str">
        <f>Volcanic!A222</f>
        <v>7/1976</v>
      </c>
      <c r="B222" s="43">
        <f>Volcanic!B222</f>
        <v>-0.10000000000000142</v>
      </c>
      <c r="C222" s="47">
        <f>Volcanic!C222</f>
        <v>0.2504419019033377</v>
      </c>
      <c r="D222" s="41">
        <v>0.2</v>
      </c>
      <c r="E222" s="43">
        <f t="shared" si="54"/>
        <v>-0.4</v>
      </c>
      <c r="F222" s="48">
        <v>5.0099999999999997E-3</v>
      </c>
      <c r="G222" s="47">
        <f t="shared" si="55"/>
        <v>5.1000000000000004E-3</v>
      </c>
      <c r="H222" s="43">
        <f>Volcanic!D222</f>
        <v>-0.45</v>
      </c>
      <c r="I222" s="47">
        <f>Volcanic!E222</f>
        <v>5.1000000000000004E-3</v>
      </c>
      <c r="K222" s="47">
        <f t="shared" si="42"/>
        <v>0.2504419019033377</v>
      </c>
      <c r="L222" s="47">
        <f t="shared" si="43"/>
        <v>-0.4</v>
      </c>
      <c r="M222" s="47">
        <f t="shared" si="44"/>
        <v>5.1000000000000004E-3</v>
      </c>
      <c r="O222" s="47">
        <f t="shared" si="45"/>
        <v>0.2504419019033377</v>
      </c>
      <c r="P222" s="47">
        <f t="shared" si="46"/>
        <v>-0.45</v>
      </c>
      <c r="Q222" s="47">
        <f t="shared" si="47"/>
        <v>5.1000000000000004E-3</v>
      </c>
      <c r="S222" s="47">
        <f t="shared" si="48"/>
        <v>0.2504419019033377</v>
      </c>
      <c r="T222" s="47">
        <f t="shared" si="49"/>
        <v>-0.4</v>
      </c>
      <c r="U222" s="47">
        <f t="shared" si="50"/>
        <v>5.1000000000000004E-3</v>
      </c>
      <c r="W222" s="47">
        <f t="shared" si="51"/>
        <v>-0.17413779968606244</v>
      </c>
      <c r="X222" s="47">
        <f t="shared" si="52"/>
        <v>-0.16941725168076088</v>
      </c>
      <c r="Y222" s="47">
        <f t="shared" si="53"/>
        <v>-0.17380818488368183</v>
      </c>
      <c r="AP222" s="48">
        <v>-9.2999999999999999E-2</v>
      </c>
      <c r="AQ222" s="48">
        <v>-7.2300000000000003E-2</v>
      </c>
      <c r="AR222" s="47">
        <f>IF(AP222="","",AP222-($AC$60+$AC$61*Volcanic!C222+$AC$62*Volcanic!D222+$AC$63*Volcanic!E222))</f>
        <v>-0.1540298331633588</v>
      </c>
      <c r="AS222" s="47">
        <f>IF(AQ222="","",AQ222-($AD$60+$AD$61*Volcanic!C222+$AD$62*Volcanic!D222+$AD$63*Volcanic!E222))</f>
        <v>-0.14117801036468314</v>
      </c>
    </row>
    <row r="223" spans="1:45">
      <c r="A223" s="45" t="str">
        <f>Volcanic!A223</f>
        <v>8/1976</v>
      </c>
      <c r="B223" s="43">
        <f>Volcanic!B223</f>
        <v>-0.11999999999999744</v>
      </c>
      <c r="C223" s="47">
        <f>Volcanic!C223</f>
        <v>0.24000896473507025</v>
      </c>
      <c r="D223" s="41">
        <v>0.4</v>
      </c>
      <c r="E223" s="43">
        <f t="shared" si="54"/>
        <v>-0.2</v>
      </c>
      <c r="F223" s="48">
        <v>5.0000000000000001E-3</v>
      </c>
      <c r="G223" s="47">
        <f t="shared" si="55"/>
        <v>4.8900000000000002E-3</v>
      </c>
      <c r="H223" s="43">
        <f>Volcanic!D223</f>
        <v>-0.23</v>
      </c>
      <c r="I223" s="47">
        <f>Volcanic!E223</f>
        <v>4.8900000000000002E-3</v>
      </c>
      <c r="K223" s="47">
        <f t="shared" si="42"/>
        <v>0.24000896473507025</v>
      </c>
      <c r="L223" s="47">
        <f t="shared" si="43"/>
        <v>-0.2</v>
      </c>
      <c r="M223" s="47">
        <f t="shared" si="44"/>
        <v>4.8900000000000002E-3</v>
      </c>
      <c r="O223" s="47">
        <f t="shared" si="45"/>
        <v>0.24000896473507025</v>
      </c>
      <c r="P223" s="47">
        <f t="shared" si="46"/>
        <v>-0.23</v>
      </c>
      <c r="Q223" s="47">
        <f t="shared" si="47"/>
        <v>4.8900000000000002E-3</v>
      </c>
      <c r="S223" s="47">
        <f t="shared" si="48"/>
        <v>0.24000896473507025</v>
      </c>
      <c r="T223" s="47">
        <f t="shared" si="49"/>
        <v>-0.2</v>
      </c>
      <c r="U223" s="47">
        <f t="shared" si="50"/>
        <v>4.8900000000000002E-3</v>
      </c>
      <c r="W223" s="47">
        <f t="shared" si="51"/>
        <v>-0.18472301226256127</v>
      </c>
      <c r="X223" s="47">
        <f t="shared" si="52"/>
        <v>-0.18242562266337964</v>
      </c>
      <c r="Y223" s="47">
        <f t="shared" si="53"/>
        <v>-0.18495662555644038</v>
      </c>
      <c r="AP223" s="48">
        <v>-0.16239999999999999</v>
      </c>
      <c r="AQ223" s="48">
        <v>-0.1623</v>
      </c>
      <c r="AR223" s="47">
        <f>IF(AP223="","",AP223-($AC$60+$AC$61*Volcanic!C223+$AC$62*Volcanic!D223+$AC$63*Volcanic!E223))</f>
        <v>-0.21604879480643313</v>
      </c>
      <c r="AS223" s="47">
        <f>IF(AQ223="","",AQ223-($AD$60+$AD$61*Volcanic!C223+$AD$62*Volcanic!D223+$AD$63*Volcanic!E223))</f>
        <v>-0.22346159931740533</v>
      </c>
    </row>
    <row r="224" spans="1:45">
      <c r="A224" s="45" t="str">
        <f>Volcanic!A224</f>
        <v>9/1976</v>
      </c>
      <c r="B224" s="43">
        <f>Volcanic!B224</f>
        <v>-6.0000000000000497E-2</v>
      </c>
      <c r="C224" s="47">
        <f>Volcanic!C224</f>
        <v>0.23248534247418692</v>
      </c>
      <c r="D224" s="41">
        <v>0.6</v>
      </c>
      <c r="E224" s="43">
        <f t="shared" si="54"/>
        <v>0</v>
      </c>
      <c r="F224" s="48">
        <v>4.9699999999999996E-3</v>
      </c>
      <c r="G224" s="47">
        <f t="shared" si="55"/>
        <v>5.3499999999999997E-3</v>
      </c>
      <c r="H224" s="43">
        <f>Volcanic!D224</f>
        <v>0</v>
      </c>
      <c r="I224" s="47">
        <f>Volcanic!E224</f>
        <v>5.3499999999999997E-3</v>
      </c>
      <c r="K224" s="47">
        <f t="shared" si="42"/>
        <v>0.23248534247418692</v>
      </c>
      <c r="L224" s="47">
        <f t="shared" si="43"/>
        <v>0</v>
      </c>
      <c r="M224" s="47">
        <f t="shared" si="44"/>
        <v>5.3499999999999997E-3</v>
      </c>
      <c r="O224" s="47">
        <f t="shared" si="45"/>
        <v>0.23248534247418692</v>
      </c>
      <c r="P224" s="47">
        <f t="shared" si="46"/>
        <v>0</v>
      </c>
      <c r="Q224" s="47">
        <f t="shared" si="47"/>
        <v>5.3499999999999997E-3</v>
      </c>
      <c r="S224" s="47">
        <f t="shared" si="48"/>
        <v>0.23248534247418692</v>
      </c>
      <c r="T224" s="47">
        <f t="shared" si="49"/>
        <v>0</v>
      </c>
      <c r="U224" s="47">
        <f t="shared" si="50"/>
        <v>5.3499999999999997E-3</v>
      </c>
      <c r="W224" s="47">
        <f t="shared" si="51"/>
        <v>-0.1217660029006174</v>
      </c>
      <c r="X224" s="47">
        <f t="shared" si="52"/>
        <v>-0.1224883735051386</v>
      </c>
      <c r="Y224" s="47">
        <f t="shared" si="53"/>
        <v>-0.12221713837682108</v>
      </c>
      <c r="AP224" s="48">
        <v>-7.2999999999999995E-2</v>
      </c>
      <c r="AQ224" s="48">
        <v>-4.4299999999999999E-2</v>
      </c>
      <c r="AR224" s="47">
        <f>IF(AP224="","",AP224-($AC$60+$AC$61*Volcanic!C224+$AC$62*Volcanic!D224+$AC$63*Volcanic!E224))</f>
        <v>-0.1265362521080737</v>
      </c>
      <c r="AS224" s="47">
        <f>IF(AQ224="","",AQ224-($AD$60+$AD$61*Volcanic!C224+$AD$62*Volcanic!D224+$AD$63*Volcanic!E224))</f>
        <v>-0.10531497224861078</v>
      </c>
    </row>
    <row r="225" spans="1:45">
      <c r="A225" s="45" t="str">
        <f>Volcanic!A225</f>
        <v>10/1976</v>
      </c>
      <c r="B225" s="43">
        <f>Volcanic!B225</f>
        <v>-0.24000000000000021</v>
      </c>
      <c r="C225" s="47">
        <f>Volcanic!C225</f>
        <v>0.23143240844796537</v>
      </c>
      <c r="D225" s="41">
        <v>0.8</v>
      </c>
      <c r="E225" s="43">
        <f t="shared" si="54"/>
        <v>0.2</v>
      </c>
      <c r="F225" s="48">
        <v>4.9699999999999996E-3</v>
      </c>
      <c r="G225" s="47">
        <f t="shared" si="55"/>
        <v>5.3E-3</v>
      </c>
      <c r="H225" s="43">
        <f>Volcanic!D225</f>
        <v>0.23</v>
      </c>
      <c r="I225" s="47">
        <f>Volcanic!E225</f>
        <v>5.3E-3</v>
      </c>
      <c r="K225" s="47">
        <f t="shared" si="42"/>
        <v>0.23143240844796537</v>
      </c>
      <c r="L225" s="47">
        <f t="shared" si="43"/>
        <v>0.2</v>
      </c>
      <c r="M225" s="47">
        <f t="shared" si="44"/>
        <v>5.3E-3</v>
      </c>
      <c r="O225" s="47">
        <f t="shared" si="45"/>
        <v>0.23143240844796537</v>
      </c>
      <c r="P225" s="47">
        <f t="shared" si="46"/>
        <v>0.23</v>
      </c>
      <c r="Q225" s="47">
        <f t="shared" si="47"/>
        <v>5.3E-3</v>
      </c>
      <c r="S225" s="47">
        <f t="shared" si="48"/>
        <v>0.23143240844796537</v>
      </c>
      <c r="T225" s="47">
        <f t="shared" si="49"/>
        <v>0.2</v>
      </c>
      <c r="U225" s="47">
        <f t="shared" si="50"/>
        <v>5.3E-3</v>
      </c>
      <c r="W225" s="47">
        <f t="shared" si="51"/>
        <v>-0.31757933245889935</v>
      </c>
      <c r="X225" s="47">
        <f t="shared" si="52"/>
        <v>-0.32137764331530222</v>
      </c>
      <c r="Y225" s="47">
        <f t="shared" si="53"/>
        <v>-0.3183037832914084</v>
      </c>
      <c r="AP225" s="48">
        <v>-0.25440000000000002</v>
      </c>
      <c r="AQ225" s="48">
        <v>-0.21229999999999999</v>
      </c>
      <c r="AR225" s="47">
        <f>IF(AP225="","",AP225-($AC$60+$AC$61*Volcanic!C225+$AC$62*Volcanic!D225+$AC$63*Volcanic!E225))</f>
        <v>-0.32671978522433726</v>
      </c>
      <c r="AS225" s="47">
        <f>IF(AQ225="","",AQ225-($AD$60+$AD$61*Volcanic!C225+$AD$62*Volcanic!D225+$AD$63*Volcanic!E225))</f>
        <v>-0.29246013065578058</v>
      </c>
    </row>
    <row r="226" spans="1:45">
      <c r="A226" s="45" t="str">
        <f>Volcanic!A226</f>
        <v>11/1976</v>
      </c>
      <c r="B226" s="43">
        <f>Volcanic!B226</f>
        <v>-6.0000000000000497E-2</v>
      </c>
      <c r="C226" s="47">
        <f>Volcanic!C226</f>
        <v>0.23773851628734363</v>
      </c>
      <c r="D226" s="41">
        <v>0.8</v>
      </c>
      <c r="E226" s="43">
        <f t="shared" si="54"/>
        <v>0.4</v>
      </c>
      <c r="F226" s="48">
        <v>4.8199999999999996E-3</v>
      </c>
      <c r="G226" s="47">
        <f t="shared" si="55"/>
        <v>5.2100000000000002E-3</v>
      </c>
      <c r="H226" s="43">
        <f>Volcanic!D226</f>
        <v>0.4</v>
      </c>
      <c r="I226" s="47">
        <f>Volcanic!E226</f>
        <v>5.2100000000000002E-3</v>
      </c>
      <c r="K226" s="47">
        <f t="shared" si="42"/>
        <v>0.23773851628734363</v>
      </c>
      <c r="L226" s="47">
        <f t="shared" si="43"/>
        <v>0.4</v>
      </c>
      <c r="M226" s="47">
        <f t="shared" si="44"/>
        <v>5.2100000000000002E-3</v>
      </c>
      <c r="O226" s="47">
        <f t="shared" si="45"/>
        <v>0.23773851628734363</v>
      </c>
      <c r="P226" s="47">
        <f t="shared" si="46"/>
        <v>0.4</v>
      </c>
      <c r="Q226" s="47">
        <f t="shared" si="47"/>
        <v>5.2100000000000002E-3</v>
      </c>
      <c r="S226" s="47">
        <f t="shared" si="48"/>
        <v>0.23773851628734363</v>
      </c>
      <c r="T226" s="47">
        <f t="shared" si="49"/>
        <v>0.4</v>
      </c>
      <c r="U226" s="47">
        <f t="shared" si="50"/>
        <v>5.2100000000000002E-3</v>
      </c>
      <c r="W226" s="47">
        <f t="shared" si="51"/>
        <v>-0.17355001829219735</v>
      </c>
      <c r="X226" s="47">
        <f t="shared" si="52"/>
        <v>-0.17463100153261124</v>
      </c>
      <c r="Y226" s="47">
        <f t="shared" si="53"/>
        <v>-0.17438858315489517</v>
      </c>
      <c r="AP226" s="48">
        <v>-5.62E-2</v>
      </c>
      <c r="AQ226" s="48">
        <v>-4.9299999999999997E-2</v>
      </c>
      <c r="AR226" s="47">
        <f>IF(AP226="","",AP226-($AC$60+$AC$61*Volcanic!C226+$AC$62*Volcanic!D226+$AC$63*Volcanic!E226))</f>
        <v>-0.16187551956571122</v>
      </c>
      <c r="AS226" s="47">
        <f>IF(AQ226="","",AQ226-($AD$60+$AD$61*Volcanic!C226+$AD$62*Volcanic!D226+$AD$63*Volcanic!E226))</f>
        <v>-0.16357493073568335</v>
      </c>
    </row>
    <row r="227" spans="1:45">
      <c r="A227" s="45" t="str">
        <f>Volcanic!A227</f>
        <v>12/1976</v>
      </c>
      <c r="B227" s="43">
        <f>Volcanic!B227</f>
        <v>0.10999999999999766</v>
      </c>
      <c r="C227" s="47">
        <f>Volcanic!C227</f>
        <v>0.24410419121562613</v>
      </c>
      <c r="D227" s="41">
        <v>0.8</v>
      </c>
      <c r="E227" s="43">
        <f t="shared" si="54"/>
        <v>0.6</v>
      </c>
      <c r="F227" s="48">
        <v>4.64E-3</v>
      </c>
      <c r="G227" s="47">
        <f t="shared" si="55"/>
        <v>5.11E-3</v>
      </c>
      <c r="H227" s="43">
        <f>Volcanic!D227</f>
        <v>0.6</v>
      </c>
      <c r="I227" s="47">
        <f>Volcanic!E227</f>
        <v>5.11E-3</v>
      </c>
      <c r="K227" s="47">
        <f t="shared" si="42"/>
        <v>0.24410419121562613</v>
      </c>
      <c r="L227" s="47">
        <f t="shared" si="43"/>
        <v>0.6</v>
      </c>
      <c r="M227" s="47">
        <f t="shared" si="44"/>
        <v>5.11E-3</v>
      </c>
      <c r="O227" s="47">
        <f t="shared" si="45"/>
        <v>0.24410419121562613</v>
      </c>
      <c r="P227" s="47">
        <f t="shared" si="46"/>
        <v>0.6</v>
      </c>
      <c r="Q227" s="47">
        <f t="shared" si="47"/>
        <v>5.11E-3</v>
      </c>
      <c r="S227" s="47">
        <f t="shared" si="48"/>
        <v>0.24410419121562613</v>
      </c>
      <c r="T227" s="47">
        <f t="shared" si="49"/>
        <v>0.6</v>
      </c>
      <c r="U227" s="47">
        <f t="shared" si="50"/>
        <v>5.11E-3</v>
      </c>
      <c r="W227" s="47">
        <f t="shared" si="51"/>
        <v>-3.970518779667867E-2</v>
      </c>
      <c r="X227" s="47">
        <f t="shared" si="52"/>
        <v>-4.0889617103486542E-2</v>
      </c>
      <c r="Y227" s="47">
        <f t="shared" si="53"/>
        <v>-4.0660567648086038E-2</v>
      </c>
      <c r="AP227" s="48">
        <v>0.05</v>
      </c>
      <c r="AQ227" s="48">
        <v>0.1537</v>
      </c>
      <c r="AR227" s="47">
        <f>IF(AP227="","",AP227-($AC$60+$AC$61*Volcanic!C227+$AC$62*Volcanic!D227+$AC$63*Volcanic!E227))</f>
        <v>-9.2027323321186252E-2</v>
      </c>
      <c r="AS227" s="47">
        <f>IF(AQ227="","",AQ227-($AD$60+$AD$61*Volcanic!C227+$AD$62*Volcanic!D227+$AD$63*Volcanic!E227))</f>
        <v>2.253594692671862E-3</v>
      </c>
    </row>
    <row r="228" spans="1:45">
      <c r="A228" s="45" t="str">
        <f>Volcanic!A228</f>
        <v>1/1977</v>
      </c>
      <c r="B228" s="43">
        <f>Volcanic!B228</f>
        <v>0.19000000000000128</v>
      </c>
      <c r="C228" s="47">
        <f>Volcanic!C228</f>
        <v>0.248708309960915</v>
      </c>
      <c r="D228" s="41">
        <v>0.7</v>
      </c>
      <c r="E228" s="43">
        <f t="shared" si="54"/>
        <v>0.8</v>
      </c>
      <c r="F228" s="48">
        <v>4.4799999999999996E-3</v>
      </c>
      <c r="G228" s="47">
        <f t="shared" si="55"/>
        <v>5.0400000000000002E-3</v>
      </c>
      <c r="H228" s="43">
        <f>Volcanic!D228</f>
        <v>0.79</v>
      </c>
      <c r="I228" s="47">
        <f>Volcanic!E228</f>
        <v>5.0400000000000002E-3</v>
      </c>
      <c r="K228" s="47">
        <f t="shared" si="42"/>
        <v>0.248708309960915</v>
      </c>
      <c r="L228" s="47">
        <f t="shared" si="43"/>
        <v>0.8</v>
      </c>
      <c r="M228" s="47">
        <f t="shared" si="44"/>
        <v>5.0400000000000002E-3</v>
      </c>
      <c r="O228" s="47">
        <f t="shared" si="45"/>
        <v>0.248708309960915</v>
      </c>
      <c r="P228" s="47">
        <f t="shared" si="46"/>
        <v>0.79</v>
      </c>
      <c r="Q228" s="47">
        <f t="shared" si="47"/>
        <v>5.0400000000000002E-3</v>
      </c>
      <c r="S228" s="47">
        <f t="shared" si="48"/>
        <v>0.248708309960915</v>
      </c>
      <c r="T228" s="47">
        <f t="shared" si="49"/>
        <v>0.8</v>
      </c>
      <c r="U228" s="47">
        <f t="shared" si="50"/>
        <v>5.0400000000000002E-3</v>
      </c>
      <c r="W228" s="47">
        <f t="shared" si="51"/>
        <v>9.0097774114899498E-3</v>
      </c>
      <c r="X228" s="47">
        <f t="shared" si="52"/>
        <v>8.6320176271061921E-3</v>
      </c>
      <c r="Y228" s="47">
        <f t="shared" si="53"/>
        <v>7.907895520990027E-3</v>
      </c>
      <c r="AP228" s="48">
        <v>0.23069999999999999</v>
      </c>
      <c r="AQ228" s="48">
        <v>0.30669999999999997</v>
      </c>
      <c r="AR228" s="47">
        <f>IF(AP228="","",AP228-($AC$60+$AC$61*Volcanic!C228+$AC$62*Volcanic!D228+$AC$63*Volcanic!E228))</f>
        <v>5.8139629516090335E-2</v>
      </c>
      <c r="AS228" s="47">
        <f>IF(AQ228="","",AQ228-($AD$60+$AD$61*Volcanic!C228+$AD$62*Volcanic!D228+$AD$63*Volcanic!E228))</f>
        <v>0.12404040409701617</v>
      </c>
    </row>
    <row r="229" spans="1:45">
      <c r="A229" s="45" t="str">
        <f>Volcanic!A229</f>
        <v>2/1977</v>
      </c>
      <c r="B229" s="43">
        <f>Volcanic!B229</f>
        <v>0.2300000000000022</v>
      </c>
      <c r="C229" s="47">
        <f>Volcanic!C229</f>
        <v>0.25083167317379135</v>
      </c>
      <c r="D229" s="41">
        <v>0.7</v>
      </c>
      <c r="E229" s="43">
        <f t="shared" si="54"/>
        <v>0.8</v>
      </c>
      <c r="F229" s="48">
        <v>4.3E-3</v>
      </c>
      <c r="G229" s="47">
        <f t="shared" si="55"/>
        <v>5.0099999999999997E-3</v>
      </c>
      <c r="H229" s="43">
        <f>Volcanic!D229</f>
        <v>0.81</v>
      </c>
      <c r="I229" s="47">
        <f>Volcanic!E229</f>
        <v>5.0099999999999997E-3</v>
      </c>
      <c r="K229" s="47">
        <f t="shared" si="42"/>
        <v>0.25083167317379135</v>
      </c>
      <c r="L229" s="47">
        <f t="shared" si="43"/>
        <v>0.8</v>
      </c>
      <c r="M229" s="47">
        <f t="shared" si="44"/>
        <v>5.0099999999999997E-3</v>
      </c>
      <c r="O229" s="47">
        <f t="shared" si="45"/>
        <v>0.25083167317379135</v>
      </c>
      <c r="P229" s="47">
        <f t="shared" si="46"/>
        <v>0.81</v>
      </c>
      <c r="Q229" s="47">
        <f t="shared" si="47"/>
        <v>5.0099999999999997E-3</v>
      </c>
      <c r="S229" s="47">
        <f t="shared" si="48"/>
        <v>0.25083167317379135</v>
      </c>
      <c r="T229" s="47">
        <f t="shared" si="49"/>
        <v>0.8</v>
      </c>
      <c r="U229" s="47">
        <f t="shared" si="50"/>
        <v>5.0099999999999997E-3</v>
      </c>
      <c r="W229" s="47">
        <f t="shared" si="51"/>
        <v>4.3152940448343335E-2</v>
      </c>
      <c r="X229" s="47">
        <f t="shared" si="52"/>
        <v>4.0934231683118216E-2</v>
      </c>
      <c r="Y229" s="47">
        <f t="shared" si="53"/>
        <v>4.2089383583018142E-2</v>
      </c>
      <c r="AP229" s="48">
        <v>0.1842</v>
      </c>
      <c r="AQ229" s="48">
        <v>0.22869999999999999</v>
      </c>
      <c r="AR229" s="47">
        <f>IF(AP229="","",AP229-($AC$60+$AC$61*Volcanic!C229+$AC$62*Volcanic!D229+$AC$63*Volcanic!E229))</f>
        <v>3.8964687068367421E-3</v>
      </c>
      <c r="AS229" s="47">
        <f>IF(AQ229="","",AQ229-($AD$60+$AD$61*Volcanic!C229+$AD$62*Volcanic!D229+$AD$63*Volcanic!E229))</f>
        <v>3.8113094121385527E-2</v>
      </c>
    </row>
    <row r="230" spans="1:45">
      <c r="A230" s="45" t="str">
        <f>Volcanic!A230</f>
        <v>3/1977</v>
      </c>
      <c r="B230" s="43">
        <f>Volcanic!B230</f>
        <v>0.24000000000000199</v>
      </c>
      <c r="C230" s="47">
        <f>Volcanic!C230</f>
        <v>0.25856199602061081</v>
      </c>
      <c r="D230" s="41">
        <v>0.3</v>
      </c>
      <c r="E230" s="43">
        <f t="shared" si="54"/>
        <v>0.8</v>
      </c>
      <c r="F230" s="48">
        <v>4.1999999999999997E-3</v>
      </c>
      <c r="G230" s="47">
        <f t="shared" si="55"/>
        <v>5.0000000000000001E-3</v>
      </c>
      <c r="H230" s="43">
        <f>Volcanic!D230</f>
        <v>0.84</v>
      </c>
      <c r="I230" s="47">
        <f>Volcanic!E230</f>
        <v>5.0000000000000001E-3</v>
      </c>
      <c r="K230" s="47">
        <f t="shared" si="42"/>
        <v>0.25856199602061081</v>
      </c>
      <c r="L230" s="47">
        <f t="shared" si="43"/>
        <v>0.8</v>
      </c>
      <c r="M230" s="47">
        <f t="shared" si="44"/>
        <v>5.0000000000000001E-3</v>
      </c>
      <c r="O230" s="47">
        <f t="shared" si="45"/>
        <v>0.25856199602061081</v>
      </c>
      <c r="P230" s="47">
        <f t="shared" si="46"/>
        <v>0.84</v>
      </c>
      <c r="Q230" s="47">
        <f t="shared" si="47"/>
        <v>5.0000000000000001E-3</v>
      </c>
      <c r="S230" s="47">
        <f t="shared" si="48"/>
        <v>0.25856199602061081</v>
      </c>
      <c r="T230" s="47">
        <f t="shared" si="49"/>
        <v>0.8</v>
      </c>
      <c r="U230" s="47">
        <f t="shared" si="50"/>
        <v>5.0000000000000001E-3</v>
      </c>
      <c r="W230" s="47">
        <f t="shared" si="51"/>
        <v>3.2049150781787134E-2</v>
      </c>
      <c r="X230" s="47">
        <f t="shared" si="52"/>
        <v>2.719048192166007E-2</v>
      </c>
      <c r="Y230" s="47">
        <f t="shared" si="53"/>
        <v>3.1166028688862313E-2</v>
      </c>
      <c r="AP230" s="48">
        <v>0.15509999999999999</v>
      </c>
      <c r="AQ230" s="48">
        <v>0.1807</v>
      </c>
      <c r="AR230" s="47">
        <f>IF(AP230="","",AP230-($AC$60+$AC$61*Volcanic!C230+$AC$62*Volcanic!D230+$AC$63*Volcanic!E230))</f>
        <v>-4.9145428470915936E-2</v>
      </c>
      <c r="AS230" s="47">
        <f>IF(AQ230="","",AQ230-($AD$60+$AD$61*Volcanic!C230+$AD$62*Volcanic!D230+$AD$63*Volcanic!E230))</f>
        <v>-3.4428544805401806E-2</v>
      </c>
    </row>
    <row r="231" spans="1:45">
      <c r="A231" s="45" t="str">
        <f>Volcanic!A231</f>
        <v>4/1977</v>
      </c>
      <c r="B231" s="43">
        <f>Volcanic!B231</f>
        <v>0.25999999999999979</v>
      </c>
      <c r="C231" s="47">
        <f>Volcanic!C231</f>
        <v>0.26363540356832926</v>
      </c>
      <c r="D231" s="41">
        <v>0.3</v>
      </c>
      <c r="E231" s="43">
        <f t="shared" si="54"/>
        <v>0.7</v>
      </c>
      <c r="F231" s="48">
        <v>4.1900000000000001E-3</v>
      </c>
      <c r="G231" s="47">
        <f t="shared" si="55"/>
        <v>4.9699999999999996E-3</v>
      </c>
      <c r="H231" s="43">
        <f>Volcanic!D231</f>
        <v>0.71</v>
      </c>
      <c r="I231" s="47">
        <f>Volcanic!E231</f>
        <v>4.9699999999999996E-3</v>
      </c>
      <c r="K231" s="47">
        <f t="shared" si="42"/>
        <v>0.26363540356832926</v>
      </c>
      <c r="L231" s="47">
        <f t="shared" si="43"/>
        <v>0.7</v>
      </c>
      <c r="M231" s="47">
        <f t="shared" si="44"/>
        <v>4.9699999999999996E-3</v>
      </c>
      <c r="O231" s="47">
        <f t="shared" si="45"/>
        <v>0.26363540356832926</v>
      </c>
      <c r="P231" s="47">
        <f t="shared" si="46"/>
        <v>0.71</v>
      </c>
      <c r="Q231" s="47">
        <f t="shared" si="47"/>
        <v>4.9699999999999996E-3</v>
      </c>
      <c r="S231" s="47">
        <f t="shared" si="48"/>
        <v>0.26363540356832926</v>
      </c>
      <c r="T231" s="47">
        <f t="shared" si="49"/>
        <v>0.7</v>
      </c>
      <c r="U231" s="47">
        <f t="shared" si="50"/>
        <v>4.9699999999999996E-3</v>
      </c>
      <c r="W231" s="47">
        <f t="shared" si="51"/>
        <v>4.743443017941823E-2</v>
      </c>
      <c r="X231" s="47">
        <f t="shared" si="52"/>
        <v>4.5607446318807754E-2</v>
      </c>
      <c r="Y231" s="47">
        <f t="shared" si="53"/>
        <v>4.6773844834956224E-2</v>
      </c>
      <c r="AP231" s="48">
        <v>0.2109</v>
      </c>
      <c r="AQ231" s="48">
        <v>0.29870000000000002</v>
      </c>
      <c r="AR231" s="47">
        <f>IF(AP231="","",AP231-($AC$60+$AC$61*Volcanic!C231+$AC$62*Volcanic!D231+$AC$63*Volcanic!E231))</f>
        <v>4.9027609606658584E-3</v>
      </c>
      <c r="AS231" s="47">
        <f>IF(AQ231="","",AQ231-($AD$60+$AD$61*Volcanic!C231+$AD$62*Volcanic!D231+$AD$63*Volcanic!E231))</f>
        <v>8.1716036852181817E-2</v>
      </c>
    </row>
    <row r="232" spans="1:45">
      <c r="A232" s="45" t="str">
        <f>Volcanic!A232</f>
        <v>5/1977</v>
      </c>
      <c r="B232" s="43">
        <f>Volcanic!B232</f>
        <v>0.32999999999999652</v>
      </c>
      <c r="C232" s="47">
        <f>Volcanic!C232</f>
        <v>0.26702206351656388</v>
      </c>
      <c r="D232" s="41">
        <v>0.3</v>
      </c>
      <c r="E232" s="43">
        <f t="shared" si="54"/>
        <v>0.7</v>
      </c>
      <c r="F232" s="48">
        <v>4.2100000000000002E-3</v>
      </c>
      <c r="G232" s="47">
        <f t="shared" si="55"/>
        <v>4.9699999999999996E-3</v>
      </c>
      <c r="H232" s="43">
        <f>Volcanic!D232</f>
        <v>0.66</v>
      </c>
      <c r="I232" s="47">
        <f>Volcanic!E232</f>
        <v>4.9699999999999996E-3</v>
      </c>
      <c r="K232" s="47">
        <f t="shared" si="42"/>
        <v>0.26702206351656388</v>
      </c>
      <c r="L232" s="47">
        <f t="shared" si="43"/>
        <v>0.7</v>
      </c>
      <c r="M232" s="47">
        <f t="shared" si="44"/>
        <v>4.9699999999999996E-3</v>
      </c>
      <c r="O232" s="47">
        <f t="shared" si="45"/>
        <v>0.26702206351656388</v>
      </c>
      <c r="P232" s="47">
        <f t="shared" si="46"/>
        <v>0.66</v>
      </c>
      <c r="Q232" s="47">
        <f t="shared" si="47"/>
        <v>4.9699999999999996E-3</v>
      </c>
      <c r="S232" s="47">
        <f t="shared" si="48"/>
        <v>0.26702206351656388</v>
      </c>
      <c r="T232" s="47">
        <f t="shared" si="49"/>
        <v>0.7</v>
      </c>
      <c r="U232" s="47">
        <f t="shared" si="50"/>
        <v>4.9699999999999996E-3</v>
      </c>
      <c r="W232" s="47">
        <f t="shared" si="51"/>
        <v>0.10819849854565206</v>
      </c>
      <c r="X232" s="47">
        <f t="shared" si="52"/>
        <v>0.11114815357617935</v>
      </c>
      <c r="Y232" s="47">
        <f t="shared" si="53"/>
        <v>0.10761876813446841</v>
      </c>
      <c r="AP232" s="48">
        <v>0.3034</v>
      </c>
      <c r="AQ232" s="48">
        <v>0.38169999999999998</v>
      </c>
      <c r="AR232" s="47">
        <f>IF(AP232="","",AP232-($AC$60+$AC$61*Volcanic!C232+$AC$62*Volcanic!D232+$AC$63*Volcanic!E232))</f>
        <v>9.2837374952878304E-2</v>
      </c>
      <c r="AS232" s="47">
        <f>IF(AQ232="","",AQ232-($AD$60+$AD$61*Volcanic!C232+$AD$62*Volcanic!D232+$AD$63*Volcanic!E232))</f>
        <v>0.16000858195376663</v>
      </c>
    </row>
    <row r="233" spans="1:45">
      <c r="A233" s="45" t="str">
        <f>Volcanic!A233</f>
        <v>6/1977</v>
      </c>
      <c r="B233" s="43">
        <f>Volcanic!B233</f>
        <v>0.27000000000000135</v>
      </c>
      <c r="C233" s="47">
        <f>Volcanic!C233</f>
        <v>0.26376415623080784</v>
      </c>
      <c r="D233" s="41">
        <v>0.5</v>
      </c>
      <c r="E233" s="43">
        <f t="shared" si="54"/>
        <v>0.3</v>
      </c>
      <c r="F233" s="48">
        <v>4.2599999999999999E-3</v>
      </c>
      <c r="G233" s="47">
        <f t="shared" si="55"/>
        <v>4.8199999999999996E-3</v>
      </c>
      <c r="H233" s="43">
        <f>Volcanic!D233</f>
        <v>0.33</v>
      </c>
      <c r="I233" s="47">
        <f>Volcanic!E233</f>
        <v>4.8199999999999996E-3</v>
      </c>
      <c r="K233" s="47">
        <f t="shared" si="42"/>
        <v>0.26376415623080784</v>
      </c>
      <c r="L233" s="47">
        <f t="shared" si="43"/>
        <v>0.3</v>
      </c>
      <c r="M233" s="47">
        <f t="shared" si="44"/>
        <v>4.8199999999999996E-3</v>
      </c>
      <c r="O233" s="47">
        <f t="shared" si="45"/>
        <v>0.26376415623080784</v>
      </c>
      <c r="P233" s="47">
        <f t="shared" si="46"/>
        <v>0.33</v>
      </c>
      <c r="Q233" s="47">
        <f t="shared" si="47"/>
        <v>4.8199999999999996E-3</v>
      </c>
      <c r="S233" s="47">
        <f t="shared" si="48"/>
        <v>0.26376415623080784</v>
      </c>
      <c r="T233" s="47">
        <f t="shared" si="49"/>
        <v>0.3</v>
      </c>
      <c r="U233" s="47">
        <f t="shared" si="50"/>
        <v>4.8199999999999996E-3</v>
      </c>
      <c r="W233" s="47">
        <f t="shared" si="51"/>
        <v>9.3902099416736384E-2</v>
      </c>
      <c r="X233" s="47">
        <f t="shared" si="52"/>
        <v>9.0563190368327384E-2</v>
      </c>
      <c r="Y233" s="47">
        <f t="shared" si="53"/>
        <v>9.3637864695714723E-2</v>
      </c>
      <c r="AP233" s="48">
        <v>0.28570000000000001</v>
      </c>
      <c r="AQ233" s="48">
        <v>0.34370000000000001</v>
      </c>
      <c r="AR233" s="47">
        <f>IF(AP233="","",AP233-($AC$60+$AC$61*Volcanic!C233+$AC$62*Volcanic!D233+$AC$63*Volcanic!E233))</f>
        <v>0.11457539631387334</v>
      </c>
      <c r="AS233" s="47">
        <f>IF(AQ233="","",AQ233-($AD$60+$AD$61*Volcanic!C233+$AD$62*Volcanic!D233+$AD$63*Volcanic!E233))</f>
        <v>0.1623263065093489</v>
      </c>
    </row>
    <row r="234" spans="1:45">
      <c r="A234" s="45" t="str">
        <f>Volcanic!A234</f>
        <v>7/1977</v>
      </c>
      <c r="B234" s="43">
        <f>Volcanic!B234</f>
        <v>0.20000000000000107</v>
      </c>
      <c r="C234" s="47">
        <f>Volcanic!C234</f>
        <v>0.25826046984839379</v>
      </c>
      <c r="D234" s="41">
        <v>0.4</v>
      </c>
      <c r="E234" s="43">
        <f t="shared" si="54"/>
        <v>0.3</v>
      </c>
      <c r="F234" s="48">
        <v>4.3200000000000001E-3</v>
      </c>
      <c r="G234" s="47">
        <f t="shared" si="55"/>
        <v>4.64E-3</v>
      </c>
      <c r="H234" s="43">
        <f>Volcanic!D234</f>
        <v>0.26</v>
      </c>
      <c r="I234" s="47">
        <f>Volcanic!E234</f>
        <v>4.64E-3</v>
      </c>
      <c r="K234" s="47">
        <f t="shared" si="42"/>
        <v>0.25826046984839379</v>
      </c>
      <c r="L234" s="47">
        <f t="shared" si="43"/>
        <v>0.3</v>
      </c>
      <c r="M234" s="47">
        <f t="shared" si="44"/>
        <v>4.64E-3</v>
      </c>
      <c r="O234" s="47">
        <f t="shared" si="45"/>
        <v>0.25826046984839379</v>
      </c>
      <c r="P234" s="47">
        <f t="shared" si="46"/>
        <v>0.26</v>
      </c>
      <c r="Q234" s="47">
        <f t="shared" si="47"/>
        <v>4.64E-3</v>
      </c>
      <c r="S234" s="47">
        <f t="shared" si="48"/>
        <v>0.25826046984839379</v>
      </c>
      <c r="T234" s="47">
        <f t="shared" si="49"/>
        <v>0.3</v>
      </c>
      <c r="U234" s="47">
        <f t="shared" si="50"/>
        <v>4.64E-3</v>
      </c>
      <c r="W234" s="47">
        <f t="shared" si="51"/>
        <v>3.8514846408205516E-2</v>
      </c>
      <c r="X234" s="47">
        <f t="shared" si="52"/>
        <v>4.154807748745909E-2</v>
      </c>
      <c r="Y234" s="47">
        <f t="shared" si="53"/>
        <v>3.8044998019248516E-2</v>
      </c>
      <c r="AP234" s="48">
        <v>0.21840000000000001</v>
      </c>
      <c r="AQ234" s="48">
        <v>0.2127</v>
      </c>
      <c r="AR234" s="47">
        <f>IF(AP234="","",AP234-($AC$60+$AC$61*Volcanic!C234+$AC$62*Volcanic!D234+$AC$63*Volcanic!E234))</f>
        <v>6.8425847932942013E-2</v>
      </c>
      <c r="AS234" s="47">
        <f>IF(AQ234="","",AQ234-($AD$60+$AD$61*Volcanic!C234+$AD$62*Volcanic!D234+$AD$63*Volcanic!E234))</f>
        <v>5.301878101999058E-2</v>
      </c>
    </row>
    <row r="235" spans="1:45">
      <c r="A235" s="45" t="str">
        <f>Volcanic!A235</f>
        <v>8/1977</v>
      </c>
      <c r="B235" s="43">
        <f>Volcanic!B235</f>
        <v>0.17999999999999972</v>
      </c>
      <c r="C235" s="47">
        <f>Volcanic!C235</f>
        <v>0.2481878259046813</v>
      </c>
      <c r="D235" s="41">
        <v>0.4</v>
      </c>
      <c r="E235" s="43">
        <f t="shared" si="54"/>
        <v>0.3</v>
      </c>
      <c r="F235" s="48">
        <v>4.4099999999999999E-3</v>
      </c>
      <c r="G235" s="47">
        <f t="shared" si="55"/>
        <v>4.4799999999999996E-3</v>
      </c>
      <c r="H235" s="43">
        <f>Volcanic!D235</f>
        <v>0.26</v>
      </c>
      <c r="I235" s="47">
        <f>Volcanic!E235</f>
        <v>4.4799999999999996E-3</v>
      </c>
      <c r="K235" s="47">
        <f t="shared" si="42"/>
        <v>0.2481878259046813</v>
      </c>
      <c r="L235" s="47">
        <f t="shared" si="43"/>
        <v>0.3</v>
      </c>
      <c r="M235" s="47">
        <f t="shared" si="44"/>
        <v>4.4799999999999996E-3</v>
      </c>
      <c r="O235" s="47">
        <f t="shared" si="45"/>
        <v>0.2481878259046813</v>
      </c>
      <c r="P235" s="47">
        <f t="shared" si="46"/>
        <v>0.26</v>
      </c>
      <c r="Q235" s="47">
        <f t="shared" si="47"/>
        <v>4.4799999999999996E-3</v>
      </c>
      <c r="S235" s="47">
        <f t="shared" si="48"/>
        <v>0.2481878259046813</v>
      </c>
      <c r="T235" s="47">
        <f t="shared" si="49"/>
        <v>0.3</v>
      </c>
      <c r="U235" s="47">
        <f t="shared" si="50"/>
        <v>4.4799999999999996E-3</v>
      </c>
      <c r="W235" s="47">
        <f t="shared" si="51"/>
        <v>4.5631899152277167E-2</v>
      </c>
      <c r="X235" s="47">
        <f t="shared" si="52"/>
        <v>4.8362223442676072E-2</v>
      </c>
      <c r="Y235" s="47">
        <f t="shared" si="53"/>
        <v>4.4855601545933405E-2</v>
      </c>
      <c r="AP235" s="48">
        <v>0.20799999999999999</v>
      </c>
      <c r="AQ235" s="48">
        <v>0.2707</v>
      </c>
      <c r="AR235" s="47">
        <f>IF(AP235="","",AP235-($AC$60+$AC$61*Volcanic!C235+$AC$62*Volcanic!D235+$AC$63*Volcanic!E235))</f>
        <v>8.5145298973707109E-2</v>
      </c>
      <c r="AS235" s="47">
        <f>IF(AQ235="","",AQ235-($AD$60+$AD$61*Volcanic!C235+$AD$62*Volcanic!D235+$AD$63*Volcanic!E235))</f>
        <v>0.13886471979520851</v>
      </c>
    </row>
    <row r="236" spans="1:45">
      <c r="A236" s="45" t="str">
        <f>Volcanic!A236</f>
        <v>9/1977</v>
      </c>
      <c r="B236" s="43">
        <f>Volcanic!B236</f>
        <v>2.0000000000003126E-2</v>
      </c>
      <c r="C236" s="47">
        <f>Volcanic!C236</f>
        <v>0.24266782910668239</v>
      </c>
      <c r="D236" s="41">
        <v>0.5</v>
      </c>
      <c r="E236" s="43">
        <f t="shared" si="54"/>
        <v>0.5</v>
      </c>
      <c r="F236" s="48">
        <v>4.47E-3</v>
      </c>
      <c r="G236" s="47">
        <f t="shared" si="55"/>
        <v>4.3E-3</v>
      </c>
      <c r="H236" s="43">
        <f>Volcanic!D236</f>
        <v>0.46</v>
      </c>
      <c r="I236" s="47">
        <f>Volcanic!E236</f>
        <v>4.3E-3</v>
      </c>
      <c r="K236" s="47">
        <f t="shared" si="42"/>
        <v>0.24266782910668239</v>
      </c>
      <c r="L236" s="47">
        <f t="shared" si="43"/>
        <v>0.5</v>
      </c>
      <c r="M236" s="47">
        <f t="shared" si="44"/>
        <v>4.3E-3</v>
      </c>
      <c r="O236" s="47">
        <f t="shared" si="45"/>
        <v>0.24266782910668239</v>
      </c>
      <c r="P236" s="47">
        <f t="shared" si="46"/>
        <v>0.46</v>
      </c>
      <c r="Q236" s="47">
        <f t="shared" si="47"/>
        <v>4.3E-3</v>
      </c>
      <c r="S236" s="47">
        <f t="shared" si="48"/>
        <v>0.24266782910668239</v>
      </c>
      <c r="T236" s="47">
        <f t="shared" si="49"/>
        <v>0.5</v>
      </c>
      <c r="U236" s="47">
        <f t="shared" si="50"/>
        <v>4.3E-3</v>
      </c>
      <c r="W236" s="47">
        <f t="shared" si="51"/>
        <v>-0.11828553584160184</v>
      </c>
      <c r="X236" s="47">
        <f t="shared" si="52"/>
        <v>-0.1159715625743076</v>
      </c>
      <c r="Y236" s="47">
        <f t="shared" si="53"/>
        <v>-0.1194953980894507</v>
      </c>
      <c r="AP236" s="48">
        <v>7.4700000000000003E-2</v>
      </c>
      <c r="AQ236" s="48">
        <v>7.17E-2</v>
      </c>
      <c r="AR236" s="47">
        <f>IF(AP236="","",AP236-($AC$60+$AC$61*Volcanic!C236+$AC$62*Volcanic!D236+$AC$63*Volcanic!E236))</f>
        <v>-5.224388937975126E-2</v>
      </c>
      <c r="AS236" s="47">
        <f>IF(AQ236="","",AQ236-($AD$60+$AD$61*Volcanic!C236+$AD$62*Volcanic!D236+$AD$63*Volcanic!E236))</f>
        <v>-6.4199491100072045E-2</v>
      </c>
    </row>
    <row r="237" spans="1:45">
      <c r="A237" s="45" t="str">
        <f>Volcanic!A237</f>
        <v>10/1977</v>
      </c>
      <c r="B237" s="43">
        <f>Volcanic!B237</f>
        <v>2.9999999999997584E-2</v>
      </c>
      <c r="C237" s="47">
        <f>Volcanic!C237</f>
        <v>0.24262428065018715</v>
      </c>
      <c r="D237" s="41">
        <v>0.7</v>
      </c>
      <c r="E237" s="43">
        <f t="shared" si="54"/>
        <v>0.4</v>
      </c>
      <c r="F237" s="48">
        <v>4.5300000000000002E-3</v>
      </c>
      <c r="G237" s="47">
        <f t="shared" si="55"/>
        <v>4.1999999999999997E-3</v>
      </c>
      <c r="H237" s="43">
        <f>Volcanic!D237</f>
        <v>0.39</v>
      </c>
      <c r="I237" s="47">
        <f>Volcanic!E237</f>
        <v>4.1999999999999997E-3</v>
      </c>
      <c r="K237" s="47">
        <f t="shared" si="42"/>
        <v>0.24262428065018715</v>
      </c>
      <c r="L237" s="47">
        <f t="shared" si="43"/>
        <v>0.4</v>
      </c>
      <c r="M237" s="47">
        <f t="shared" si="44"/>
        <v>4.1999999999999997E-3</v>
      </c>
      <c r="O237" s="47">
        <f t="shared" si="45"/>
        <v>0.24262428065018715</v>
      </c>
      <c r="P237" s="47">
        <f t="shared" si="46"/>
        <v>0.39</v>
      </c>
      <c r="Q237" s="47">
        <f t="shared" si="47"/>
        <v>4.1999999999999997E-3</v>
      </c>
      <c r="S237" s="47">
        <f t="shared" si="48"/>
        <v>0.24262428065018715</v>
      </c>
      <c r="T237" s="47">
        <f t="shared" si="49"/>
        <v>0.4</v>
      </c>
      <c r="U237" s="47">
        <f t="shared" si="50"/>
        <v>4.1999999999999997E-3</v>
      </c>
      <c r="W237" s="47">
        <f t="shared" si="51"/>
        <v>-9.9099793673750242E-2</v>
      </c>
      <c r="X237" s="47">
        <f t="shared" si="52"/>
        <v>-9.953956824808044E-2</v>
      </c>
      <c r="Y237" s="47">
        <f t="shared" si="53"/>
        <v>-0.10023814578679902</v>
      </c>
      <c r="AP237" s="48">
        <v>6.0299999999999999E-2</v>
      </c>
      <c r="AQ237" s="48">
        <v>9.8699999999999996E-2</v>
      </c>
      <c r="AR237" s="47">
        <f>IF(AP237="","",AP237-($AC$60+$AC$61*Volcanic!C237+$AC$62*Volcanic!D237+$AC$63*Volcanic!E237))</f>
        <v>-6.0210438555815142E-2</v>
      </c>
      <c r="AS237" s="47">
        <f>IF(AQ237="","",AQ237-($AD$60+$AD$61*Volcanic!C237+$AD$62*Volcanic!D237+$AD$63*Volcanic!E237))</f>
        <v>-3.0617049023681578E-2</v>
      </c>
    </row>
    <row r="238" spans="1:45">
      <c r="A238" s="45" t="str">
        <f>Volcanic!A238</f>
        <v>11/1977</v>
      </c>
      <c r="B238" s="43">
        <f>Volcanic!B238</f>
        <v>0.16000000000000014</v>
      </c>
      <c r="C238" s="47">
        <f>Volcanic!C238</f>
        <v>0.24775394570505929</v>
      </c>
      <c r="D238" s="41">
        <v>0.8</v>
      </c>
      <c r="E238" s="43">
        <f t="shared" si="54"/>
        <v>0.4</v>
      </c>
      <c r="F238" s="48">
        <v>4.4400000000000004E-3</v>
      </c>
      <c r="G238" s="47">
        <f t="shared" si="55"/>
        <v>4.1900000000000001E-3</v>
      </c>
      <c r="H238" s="43">
        <f>Volcanic!D238</f>
        <v>0.35</v>
      </c>
      <c r="I238" s="47">
        <f>Volcanic!E238</f>
        <v>4.1900000000000001E-3</v>
      </c>
      <c r="K238" s="47">
        <f t="shared" si="42"/>
        <v>0.24775394570505929</v>
      </c>
      <c r="L238" s="47">
        <f t="shared" si="43"/>
        <v>0.4</v>
      </c>
      <c r="M238" s="47">
        <f t="shared" si="44"/>
        <v>4.1900000000000001E-3</v>
      </c>
      <c r="O238" s="47">
        <f t="shared" si="45"/>
        <v>0.24775394570505929</v>
      </c>
      <c r="P238" s="47">
        <f t="shared" si="46"/>
        <v>0.35</v>
      </c>
      <c r="Q238" s="47">
        <f t="shared" si="47"/>
        <v>4.1900000000000001E-3</v>
      </c>
      <c r="S238" s="47">
        <f t="shared" si="48"/>
        <v>0.24775394570505929</v>
      </c>
      <c r="T238" s="47">
        <f t="shared" si="49"/>
        <v>0.4</v>
      </c>
      <c r="U238" s="47">
        <f t="shared" si="50"/>
        <v>4.1900000000000001E-3</v>
      </c>
      <c r="W238" s="47">
        <f t="shared" si="51"/>
        <v>1.6888802058991792E-2</v>
      </c>
      <c r="X238" s="47">
        <f t="shared" si="52"/>
        <v>2.032329804861871E-2</v>
      </c>
      <c r="Y238" s="47">
        <f t="shared" si="53"/>
        <v>1.5868795221475801E-2</v>
      </c>
      <c r="AP238" s="48">
        <v>0.19719999999999999</v>
      </c>
      <c r="AQ238" s="48">
        <v>0.17269999999999999</v>
      </c>
      <c r="AR238" s="47">
        <f>IF(AP238="","",AP238-($AC$60+$AC$61*Volcanic!C238+$AC$62*Volcanic!D238+$AC$63*Volcanic!E238))</f>
        <v>6.6404198568550371E-2</v>
      </c>
      <c r="AS238" s="47">
        <f>IF(AQ238="","",AQ238-($AD$60+$AD$61*Volcanic!C238+$AD$62*Volcanic!D238+$AD$63*Volcanic!E238))</f>
        <v>3.2814978795611738E-2</v>
      </c>
    </row>
    <row r="239" spans="1:45">
      <c r="A239" s="45" t="str">
        <f>Volcanic!A239</f>
        <v>12/1977</v>
      </c>
      <c r="B239" s="43">
        <f>Volcanic!B239</f>
        <v>2.9999999999997584E-2</v>
      </c>
      <c r="C239" s="47">
        <f>Volcanic!C239</f>
        <v>0.25269246161233488</v>
      </c>
      <c r="D239" s="41">
        <v>0.8</v>
      </c>
      <c r="E239" s="43">
        <f t="shared" si="54"/>
        <v>0.5</v>
      </c>
      <c r="F239" s="48">
        <v>4.3200000000000001E-3</v>
      </c>
      <c r="G239" s="47">
        <f t="shared" si="55"/>
        <v>4.2100000000000002E-3</v>
      </c>
      <c r="H239" s="43">
        <f>Volcanic!D239</f>
        <v>0.45</v>
      </c>
      <c r="I239" s="47">
        <f>Volcanic!E239</f>
        <v>4.2100000000000002E-3</v>
      </c>
      <c r="K239" s="47">
        <f t="shared" si="42"/>
        <v>0.25269246161233488</v>
      </c>
      <c r="L239" s="47">
        <f t="shared" si="43"/>
        <v>0.5</v>
      </c>
      <c r="M239" s="47">
        <f t="shared" si="44"/>
        <v>4.2100000000000002E-3</v>
      </c>
      <c r="O239" s="47">
        <f t="shared" si="45"/>
        <v>0.25269246161233488</v>
      </c>
      <c r="P239" s="47">
        <f t="shared" si="46"/>
        <v>0.45</v>
      </c>
      <c r="Q239" s="47">
        <f t="shared" si="47"/>
        <v>4.2100000000000002E-3</v>
      </c>
      <c r="S239" s="47">
        <f t="shared" si="48"/>
        <v>0.25269246161233488</v>
      </c>
      <c r="T239" s="47">
        <f t="shared" si="49"/>
        <v>0.5</v>
      </c>
      <c r="U239" s="47">
        <f t="shared" si="50"/>
        <v>4.2100000000000002E-3</v>
      </c>
      <c r="W239" s="47">
        <f t="shared" si="51"/>
        <v>-0.13582253542150119</v>
      </c>
      <c r="X239" s="47">
        <f t="shared" si="52"/>
        <v>-0.1323697320444194</v>
      </c>
      <c r="Y239" s="47">
        <f t="shared" si="53"/>
        <v>-0.13683017208028359</v>
      </c>
      <c r="AP239" s="48">
        <v>3.6299999999999999E-2</v>
      </c>
      <c r="AQ239" s="48">
        <v>8.6699999999999999E-2</v>
      </c>
      <c r="AR239" s="47">
        <f>IF(AP239="","",AP239-($AC$60+$AC$61*Volcanic!C239+$AC$62*Volcanic!D239+$AC$63*Volcanic!E239))</f>
        <v>-0.11729733905762829</v>
      </c>
      <c r="AS239" s="47">
        <f>IF(AQ239="","",AQ239-($AD$60+$AD$61*Volcanic!C239+$AD$62*Volcanic!D239+$AD$63*Volcanic!E239))</f>
        <v>-7.6527900656731901E-2</v>
      </c>
    </row>
    <row r="240" spans="1:45">
      <c r="A240" s="45" t="str">
        <f>Volcanic!A240</f>
        <v>1/1978</v>
      </c>
      <c r="B240" s="43">
        <f>Volcanic!B240</f>
        <v>5.9999999999998721E-2</v>
      </c>
      <c r="C240" s="47">
        <f>Volcanic!C240</f>
        <v>0.25847585211606888</v>
      </c>
      <c r="D240" s="41">
        <v>0.7</v>
      </c>
      <c r="E240" s="43">
        <f t="shared" si="54"/>
        <v>0.7</v>
      </c>
      <c r="F240" s="48">
        <v>4.2100000000000002E-3</v>
      </c>
      <c r="G240" s="47">
        <f t="shared" si="55"/>
        <v>4.2599999999999999E-3</v>
      </c>
      <c r="H240" s="43">
        <f>Volcanic!D240</f>
        <v>0.68</v>
      </c>
      <c r="I240" s="47">
        <f>Volcanic!E240</f>
        <v>4.2599999999999999E-3</v>
      </c>
      <c r="K240" s="47">
        <f t="shared" si="42"/>
        <v>0.25847585211606888</v>
      </c>
      <c r="L240" s="47">
        <f t="shared" si="43"/>
        <v>0.7</v>
      </c>
      <c r="M240" s="47">
        <f t="shared" si="44"/>
        <v>4.2599999999999999E-3</v>
      </c>
      <c r="O240" s="47">
        <f t="shared" si="45"/>
        <v>0.25847585211606888</v>
      </c>
      <c r="P240" s="47">
        <f t="shared" si="46"/>
        <v>0.68</v>
      </c>
      <c r="Q240" s="47">
        <f t="shared" si="47"/>
        <v>4.2599999999999999E-3</v>
      </c>
      <c r="S240" s="47">
        <f t="shared" si="48"/>
        <v>0.25847585211606888</v>
      </c>
      <c r="T240" s="47">
        <f t="shared" si="49"/>
        <v>0.7</v>
      </c>
      <c r="U240" s="47">
        <f t="shared" si="50"/>
        <v>4.2599999999999999E-3</v>
      </c>
      <c r="W240" s="47">
        <f t="shared" si="51"/>
        <v>-0.1400591988671662</v>
      </c>
      <c r="X240" s="47">
        <f t="shared" si="52"/>
        <v>-0.13948026848747885</v>
      </c>
      <c r="Y240" s="47">
        <f t="shared" si="53"/>
        <v>-0.14113570585832158</v>
      </c>
      <c r="AP240" s="48">
        <v>0.1125</v>
      </c>
      <c r="AQ240" s="48">
        <v>0.13070000000000001</v>
      </c>
      <c r="AR240" s="47">
        <f>IF(AP240="","",AP240-($AC$60+$AC$61*Volcanic!C240+$AC$62*Volcanic!D240+$AC$63*Volcanic!E240))</f>
        <v>-7.8307575243933072E-2</v>
      </c>
      <c r="AS240" s="47">
        <f>IF(AQ240="","",AQ240-($AD$60+$AD$61*Volcanic!C240+$AD$62*Volcanic!D240+$AD$63*Volcanic!E240))</f>
        <v>-7.0591835506289918E-2</v>
      </c>
    </row>
    <row r="241" spans="1:45">
      <c r="A241" s="45" t="str">
        <f>Volcanic!A241</f>
        <v>2/1978</v>
      </c>
      <c r="B241" s="43">
        <f>Volcanic!B241</f>
        <v>9.9999999999997868E-2</v>
      </c>
      <c r="C241" s="47">
        <f>Volcanic!C241</f>
        <v>0.25985353772683362</v>
      </c>
      <c r="D241" s="41">
        <v>0.5</v>
      </c>
      <c r="E241" s="43">
        <f t="shared" si="54"/>
        <v>0.8</v>
      </c>
      <c r="F241" s="48">
        <v>4.0699999999999998E-3</v>
      </c>
      <c r="G241" s="47">
        <f t="shared" si="55"/>
        <v>4.3200000000000001E-3</v>
      </c>
      <c r="H241" s="43">
        <f>Volcanic!D241</f>
        <v>0.84</v>
      </c>
      <c r="I241" s="47">
        <f>Volcanic!E241</f>
        <v>4.3200000000000001E-3</v>
      </c>
      <c r="K241" s="47">
        <f t="shared" si="42"/>
        <v>0.25985353772683362</v>
      </c>
      <c r="L241" s="47">
        <f t="shared" si="43"/>
        <v>0.8</v>
      </c>
      <c r="M241" s="47">
        <f t="shared" si="44"/>
        <v>4.3200000000000001E-3</v>
      </c>
      <c r="O241" s="47">
        <f t="shared" si="45"/>
        <v>0.25985353772683362</v>
      </c>
      <c r="P241" s="47">
        <f t="shared" si="46"/>
        <v>0.84</v>
      </c>
      <c r="Q241" s="47">
        <f t="shared" si="47"/>
        <v>4.3200000000000001E-3</v>
      </c>
      <c r="S241" s="47">
        <f t="shared" si="48"/>
        <v>0.25985353772683362</v>
      </c>
      <c r="T241" s="47">
        <f t="shared" si="49"/>
        <v>0.8</v>
      </c>
      <c r="U241" s="47">
        <f t="shared" si="50"/>
        <v>4.3200000000000001E-3</v>
      </c>
      <c r="W241" s="47">
        <f t="shared" si="51"/>
        <v>-0.11297147494690579</v>
      </c>
      <c r="X241" s="47">
        <f t="shared" si="52"/>
        <v>-0.11807797433104067</v>
      </c>
      <c r="Y241" s="47">
        <f t="shared" si="53"/>
        <v>-0.11410413254836918</v>
      </c>
      <c r="AP241" s="48">
        <v>0.15</v>
      </c>
      <c r="AQ241" s="48">
        <v>0.1847</v>
      </c>
      <c r="AR241" s="47">
        <f>IF(AP241="","",AP241-($AC$60+$AC$61*Volcanic!C241+$AC$62*Volcanic!D241+$AC$63*Volcanic!E241))</f>
        <v>-5.9408338900256263E-2</v>
      </c>
      <c r="AS241" s="47">
        <f>IF(AQ241="","",AQ241-($AD$60+$AD$61*Volcanic!C241+$AD$62*Volcanic!D241+$AD$63*Volcanic!E241))</f>
        <v>-3.5603456654377613E-2</v>
      </c>
    </row>
    <row r="242" spans="1:45">
      <c r="A242" s="45" t="str">
        <f>Volcanic!A242</f>
        <v>3/1978</v>
      </c>
      <c r="B242" s="43">
        <f>Volcanic!B242</f>
        <v>0.19000000000000128</v>
      </c>
      <c r="C242" s="47">
        <f>Volcanic!C242</f>
        <v>0.26586549147154565</v>
      </c>
      <c r="D242" s="41">
        <v>0.2</v>
      </c>
      <c r="E242" s="43">
        <f t="shared" si="54"/>
        <v>0.8</v>
      </c>
      <c r="F242" s="48">
        <v>4.0000000000000001E-3</v>
      </c>
      <c r="G242" s="47">
        <f t="shared" si="55"/>
        <v>4.4099999999999999E-3</v>
      </c>
      <c r="H242" s="43">
        <f>Volcanic!D242</f>
        <v>0.82</v>
      </c>
      <c r="I242" s="47">
        <f>Volcanic!E242</f>
        <v>4.4099999999999999E-3</v>
      </c>
      <c r="K242" s="47">
        <f t="shared" si="42"/>
        <v>0.26586549147154565</v>
      </c>
      <c r="L242" s="47">
        <f t="shared" si="43"/>
        <v>0.8</v>
      </c>
      <c r="M242" s="47">
        <f t="shared" si="44"/>
        <v>4.4099999999999999E-3</v>
      </c>
      <c r="O242" s="47">
        <f t="shared" si="45"/>
        <v>0.26586549147154565</v>
      </c>
      <c r="P242" s="47">
        <f t="shared" si="46"/>
        <v>0.82</v>
      </c>
      <c r="Q242" s="47">
        <f t="shared" si="47"/>
        <v>4.4099999999999999E-3</v>
      </c>
      <c r="S242" s="47">
        <f t="shared" si="48"/>
        <v>0.26586549147154565</v>
      </c>
      <c r="T242" s="47">
        <f t="shared" si="49"/>
        <v>0.8</v>
      </c>
      <c r="U242" s="47">
        <f t="shared" si="50"/>
        <v>4.4099999999999999E-3</v>
      </c>
      <c r="W242" s="47">
        <f t="shared" si="51"/>
        <v>-3.9168660821475632E-2</v>
      </c>
      <c r="X242" s="47">
        <f t="shared" si="52"/>
        <v>-4.2217893457367484E-2</v>
      </c>
      <c r="Y242" s="47">
        <f t="shared" si="53"/>
        <v>-4.0120677963714324E-2</v>
      </c>
      <c r="AP242" s="48">
        <v>0.13500000000000001</v>
      </c>
      <c r="AQ242" s="48">
        <v>0.1787</v>
      </c>
      <c r="AR242" s="47">
        <f>IF(AP242="","",AP242-($AC$60+$AC$61*Volcanic!C242+$AC$62*Volcanic!D242+$AC$63*Volcanic!E242))</f>
        <v>-8.8735168409947884E-2</v>
      </c>
      <c r="AS242" s="47">
        <f>IF(AQ242="","",AQ242-($AD$60+$AD$61*Volcanic!C242+$AD$62*Volcanic!D242+$AD$63*Volcanic!E242))</f>
        <v>-5.6324875871267527E-2</v>
      </c>
    </row>
    <row r="243" spans="1:45">
      <c r="A243" s="45" t="str">
        <f>Volcanic!A243</f>
        <v>4/1978</v>
      </c>
      <c r="B243" s="43">
        <f>Volcanic!B243</f>
        <v>0.16999999999999993</v>
      </c>
      <c r="C243" s="47">
        <f>Volcanic!C243</f>
        <v>0.27027263033914217</v>
      </c>
      <c r="D243" s="41">
        <v>-0.1</v>
      </c>
      <c r="E243" s="43">
        <f t="shared" si="54"/>
        <v>0.7</v>
      </c>
      <c r="F243" s="48">
        <v>4.0299999999999997E-3</v>
      </c>
      <c r="G243" s="47">
        <f t="shared" si="55"/>
        <v>4.47E-3</v>
      </c>
      <c r="H243" s="43">
        <f>Volcanic!D243</f>
        <v>0.71</v>
      </c>
      <c r="I243" s="47">
        <f>Volcanic!E243</f>
        <v>4.47E-3</v>
      </c>
      <c r="K243" s="47">
        <f t="shared" si="42"/>
        <v>0.27027263033914217</v>
      </c>
      <c r="L243" s="47">
        <f t="shared" si="43"/>
        <v>0.7</v>
      </c>
      <c r="M243" s="47">
        <f t="shared" si="44"/>
        <v>4.47E-3</v>
      </c>
      <c r="O243" s="47">
        <f t="shared" si="45"/>
        <v>0.27027263033914217</v>
      </c>
      <c r="P243" s="47">
        <f t="shared" si="46"/>
        <v>0.71</v>
      </c>
      <c r="Q243" s="47">
        <f t="shared" si="47"/>
        <v>4.47E-3</v>
      </c>
      <c r="S243" s="47">
        <f t="shared" si="48"/>
        <v>0.27027263033914217</v>
      </c>
      <c r="T243" s="47">
        <f t="shared" si="49"/>
        <v>0.7</v>
      </c>
      <c r="U243" s="47">
        <f t="shared" si="50"/>
        <v>4.47E-3</v>
      </c>
      <c r="W243" s="47">
        <f t="shared" si="51"/>
        <v>-6.1768049155583926E-2</v>
      </c>
      <c r="X243" s="47">
        <f t="shared" si="52"/>
        <v>-6.3643195177823908E-2</v>
      </c>
      <c r="Y243" s="47">
        <f t="shared" si="53"/>
        <v>-6.2476328548726118E-2</v>
      </c>
      <c r="AP243" s="48">
        <v>0.12839999999999999</v>
      </c>
      <c r="AQ243" s="48">
        <v>0.2127</v>
      </c>
      <c r="AR243" s="47">
        <f>IF(AP243="","",AP243-($AC$60+$AC$61*Volcanic!C243+$AC$62*Volcanic!D243+$AC$63*Volcanic!E243))</f>
        <v>-9.6924004325998875E-2</v>
      </c>
      <c r="AS243" s="47">
        <f>IF(AQ243="","",AQ243-($AD$60+$AD$61*Volcanic!C243+$AD$62*Volcanic!D243+$AD$63*Volcanic!E243))</f>
        <v>-2.4019301648701252E-2</v>
      </c>
    </row>
    <row r="244" spans="1:45">
      <c r="A244" s="45" t="str">
        <f>Volcanic!A244</f>
        <v>5/1978</v>
      </c>
      <c r="B244" s="43">
        <f>Volcanic!B244</f>
        <v>8.9999999999999858E-2</v>
      </c>
      <c r="C244" s="47">
        <f>Volcanic!C244</f>
        <v>0.27168178338214594</v>
      </c>
      <c r="D244" s="41">
        <v>-0.3</v>
      </c>
      <c r="E244" s="43">
        <f t="shared" si="54"/>
        <v>0.5</v>
      </c>
      <c r="F244" s="48">
        <v>4.0699999999999998E-3</v>
      </c>
      <c r="G244" s="47">
        <f t="shared" si="55"/>
        <v>4.5300000000000002E-3</v>
      </c>
      <c r="H244" s="43">
        <f>Volcanic!D244</f>
        <v>0.52</v>
      </c>
      <c r="I244" s="47">
        <f>Volcanic!E244</f>
        <v>4.5300000000000002E-3</v>
      </c>
      <c r="K244" s="47">
        <f t="shared" si="42"/>
        <v>0.27168178338214594</v>
      </c>
      <c r="L244" s="47">
        <f t="shared" si="43"/>
        <v>0.5</v>
      </c>
      <c r="M244" s="47">
        <f t="shared" si="44"/>
        <v>4.5300000000000002E-3</v>
      </c>
      <c r="O244" s="47">
        <f t="shared" si="45"/>
        <v>0.27168178338214594</v>
      </c>
      <c r="P244" s="47">
        <f t="shared" si="46"/>
        <v>0.52</v>
      </c>
      <c r="Q244" s="47">
        <f t="shared" si="47"/>
        <v>4.5300000000000002E-3</v>
      </c>
      <c r="S244" s="47">
        <f t="shared" si="48"/>
        <v>0.27168178338214594</v>
      </c>
      <c r="T244" s="47">
        <f t="shared" si="49"/>
        <v>0.5</v>
      </c>
      <c r="U244" s="47">
        <f t="shared" si="50"/>
        <v>4.5300000000000002E-3</v>
      </c>
      <c r="W244" s="47">
        <f t="shared" si="51"/>
        <v>-0.12690414724437632</v>
      </c>
      <c r="X244" s="47">
        <f t="shared" si="52"/>
        <v>-0.12944831136868187</v>
      </c>
      <c r="Y244" s="47">
        <f t="shared" si="53"/>
        <v>-0.12732648362253729</v>
      </c>
      <c r="AP244" s="48">
        <v>8.9700000000000002E-2</v>
      </c>
      <c r="AQ244" s="48">
        <v>0.16669999999999999</v>
      </c>
      <c r="AR244" s="47">
        <f>IF(AP244="","",AP244-($AC$60+$AC$61*Volcanic!C244+$AC$62*Volcanic!D244+$AC$63*Volcanic!E244))</f>
        <v>-0.12153490778576026</v>
      </c>
      <c r="AS244" s="47">
        <f>IF(AQ244="","",AQ244-($AD$60+$AD$61*Volcanic!C244+$AD$62*Volcanic!D244+$AD$63*Volcanic!E244))</f>
        <v>-5.567154416016426E-2</v>
      </c>
    </row>
    <row r="245" spans="1:45">
      <c r="A245" s="45" t="str">
        <f>Volcanic!A245</f>
        <v>6/1978</v>
      </c>
      <c r="B245" s="43">
        <f>Volcanic!B245</f>
        <v>-9.9999999999980105E-3</v>
      </c>
      <c r="C245" s="47">
        <f>Volcanic!C245</f>
        <v>0.27163910199105418</v>
      </c>
      <c r="D245" s="41">
        <v>-0.2</v>
      </c>
      <c r="E245" s="43">
        <f t="shared" si="54"/>
        <v>0.2</v>
      </c>
      <c r="F245" s="48">
        <v>4.1399999999999996E-3</v>
      </c>
      <c r="G245" s="47">
        <f t="shared" si="55"/>
        <v>4.4400000000000004E-3</v>
      </c>
      <c r="H245" s="43">
        <f>Volcanic!D245</f>
        <v>0.17</v>
      </c>
      <c r="I245" s="47">
        <f>Volcanic!E245</f>
        <v>4.4400000000000004E-3</v>
      </c>
      <c r="K245" s="47">
        <f t="shared" si="42"/>
        <v>0.27163910199105418</v>
      </c>
      <c r="L245" s="47">
        <f t="shared" si="43"/>
        <v>0.2</v>
      </c>
      <c r="M245" s="47">
        <f t="shared" si="44"/>
        <v>4.4400000000000004E-3</v>
      </c>
      <c r="O245" s="47">
        <f t="shared" si="45"/>
        <v>0.27163910199105418</v>
      </c>
      <c r="P245" s="47">
        <f t="shared" si="46"/>
        <v>0.17</v>
      </c>
      <c r="Q245" s="47">
        <f t="shared" si="47"/>
        <v>4.4400000000000004E-3</v>
      </c>
      <c r="S245" s="47">
        <f t="shared" si="48"/>
        <v>0.27163910199105418</v>
      </c>
      <c r="T245" s="47">
        <f t="shared" si="49"/>
        <v>0.2</v>
      </c>
      <c r="U245" s="47">
        <f t="shared" si="50"/>
        <v>4.4400000000000004E-3</v>
      </c>
      <c r="W245" s="47">
        <f t="shared" si="51"/>
        <v>-0.19912407149952485</v>
      </c>
      <c r="X245" s="47">
        <f t="shared" si="52"/>
        <v>-0.19669040223222745</v>
      </c>
      <c r="Y245" s="47">
        <f t="shared" si="53"/>
        <v>-0.19924319237702728</v>
      </c>
      <c r="AP245" s="48">
        <v>2.18E-2</v>
      </c>
      <c r="AQ245" s="48">
        <v>1.67E-2</v>
      </c>
      <c r="AR245" s="47">
        <f>IF(AP245="","",AP245-($AC$60+$AC$61*Volcanic!C245+$AC$62*Volcanic!D245+$AC$63*Volcanic!E245))</f>
        <v>-0.156759134237413</v>
      </c>
      <c r="AS245" s="47">
        <f>IF(AQ245="","",AQ245-($AD$60+$AD$61*Volcanic!C245+$AD$62*Volcanic!D245+$AD$63*Volcanic!E245))</f>
        <v>-0.17231061464972597</v>
      </c>
    </row>
    <row r="246" spans="1:45">
      <c r="A246" s="45" t="str">
        <f>Volcanic!A246</f>
        <v>7/1978</v>
      </c>
      <c r="B246" s="43">
        <f>Volcanic!B246</f>
        <v>3.9999999999999147E-2</v>
      </c>
      <c r="C246" s="47">
        <f>Volcanic!C246</f>
        <v>0.26517967766535055</v>
      </c>
      <c r="D246" s="41">
        <v>-0.4</v>
      </c>
      <c r="E246" s="43">
        <f t="shared" si="54"/>
        <v>-0.1</v>
      </c>
      <c r="F246" s="48">
        <v>4.2199999999999998E-3</v>
      </c>
      <c r="G246" s="47">
        <f t="shared" si="55"/>
        <v>4.3200000000000001E-3</v>
      </c>
      <c r="H246" s="43">
        <f>Volcanic!D246</f>
        <v>-0.06</v>
      </c>
      <c r="I246" s="47">
        <f>Volcanic!E246</f>
        <v>4.3200000000000001E-3</v>
      </c>
      <c r="K246" s="47">
        <f t="shared" si="42"/>
        <v>0.26517967766535055</v>
      </c>
      <c r="L246" s="47">
        <f t="shared" si="43"/>
        <v>-0.1</v>
      </c>
      <c r="M246" s="47">
        <f t="shared" si="44"/>
        <v>4.3200000000000001E-3</v>
      </c>
      <c r="O246" s="47">
        <f t="shared" si="45"/>
        <v>0.26517967766535055</v>
      </c>
      <c r="P246" s="47">
        <f t="shared" si="46"/>
        <v>-0.06</v>
      </c>
      <c r="Q246" s="47">
        <f t="shared" si="47"/>
        <v>4.3200000000000001E-3</v>
      </c>
      <c r="S246" s="47">
        <f t="shared" si="48"/>
        <v>0.26517967766535055</v>
      </c>
      <c r="T246" s="47">
        <f t="shared" si="49"/>
        <v>-0.1</v>
      </c>
      <c r="U246" s="47">
        <f t="shared" si="50"/>
        <v>4.3200000000000001E-3</v>
      </c>
      <c r="W246" s="47">
        <f t="shared" si="51"/>
        <v>-0.10391067730544223</v>
      </c>
      <c r="X246" s="47">
        <f t="shared" si="52"/>
        <v>-0.10793504775722118</v>
      </c>
      <c r="Y246" s="47">
        <f t="shared" si="53"/>
        <v>-0.10389214872480049</v>
      </c>
      <c r="AP246" s="48">
        <v>9.06E-2</v>
      </c>
      <c r="AQ246" s="48">
        <v>7.6700000000000004E-2</v>
      </c>
      <c r="AR246" s="47">
        <f>IF(AP246="","",AP246-($AC$60+$AC$61*Volcanic!C246+$AC$62*Volcanic!D246+$AC$63*Volcanic!E246))</f>
        <v>-4.9071348644424681E-2</v>
      </c>
      <c r="AS246" s="47">
        <f>IF(AQ246="","",AQ246-($AD$60+$AD$61*Volcanic!C246+$AD$62*Volcanic!D246+$AD$63*Volcanic!E246))</f>
        <v>-7.2513506460222407E-2</v>
      </c>
    </row>
    <row r="247" spans="1:45">
      <c r="A247" s="45" t="str">
        <f>Volcanic!A247</f>
        <v>8/1978</v>
      </c>
      <c r="B247" s="43">
        <f>Volcanic!B247</f>
        <v>-0.13999999999999879</v>
      </c>
      <c r="C247" s="47">
        <f>Volcanic!C247</f>
        <v>0.25623430325691615</v>
      </c>
      <c r="D247" s="41">
        <v>-0.4</v>
      </c>
      <c r="E247" s="43">
        <f t="shared" si="54"/>
        <v>-0.3</v>
      </c>
      <c r="F247" s="48">
        <v>4.3299999999999996E-3</v>
      </c>
      <c r="G247" s="47">
        <f t="shared" si="55"/>
        <v>4.2100000000000002E-3</v>
      </c>
      <c r="H247" s="43">
        <f>Volcanic!D247</f>
        <v>-0.28000000000000003</v>
      </c>
      <c r="I247" s="47">
        <f>Volcanic!E247</f>
        <v>4.2100000000000002E-3</v>
      </c>
      <c r="K247" s="47">
        <f t="shared" si="42"/>
        <v>0.25623430325691615</v>
      </c>
      <c r="L247" s="47">
        <f t="shared" si="43"/>
        <v>-0.3</v>
      </c>
      <c r="M247" s="47">
        <f t="shared" si="44"/>
        <v>4.2100000000000002E-3</v>
      </c>
      <c r="O247" s="47">
        <f t="shared" si="45"/>
        <v>0.25623430325691615</v>
      </c>
      <c r="P247" s="47">
        <f t="shared" si="46"/>
        <v>-0.28000000000000003</v>
      </c>
      <c r="Q247" s="47">
        <f t="shared" si="47"/>
        <v>4.2100000000000002E-3</v>
      </c>
      <c r="S247" s="47">
        <f t="shared" si="48"/>
        <v>0.25623430325691615</v>
      </c>
      <c r="T247" s="47">
        <f t="shared" si="49"/>
        <v>-0.3</v>
      </c>
      <c r="U247" s="47">
        <f t="shared" si="50"/>
        <v>4.2100000000000002E-3</v>
      </c>
      <c r="W247" s="47">
        <f t="shared" si="51"/>
        <v>-0.24118301912954032</v>
      </c>
      <c r="X247" s="47">
        <f t="shared" si="52"/>
        <v>-0.24337196573401759</v>
      </c>
      <c r="Y247" s="47">
        <f t="shared" si="53"/>
        <v>-0.24119584968422741</v>
      </c>
      <c r="AP247" s="48">
        <v>-0.14169999999999999</v>
      </c>
      <c r="AQ247" s="48">
        <v>-0.1933</v>
      </c>
      <c r="AR247" s="47">
        <f>IF(AP247="","",AP247-($AC$60+$AC$61*Volcanic!C247+$AC$62*Volcanic!D247+$AC$63*Volcanic!E247))</f>
        <v>-0.23660779664218595</v>
      </c>
      <c r="AS247" s="47">
        <f>IF(AQ247="","",AQ247-($AD$60+$AD$61*Volcanic!C247+$AD$62*Volcanic!D247+$AD$63*Volcanic!E247))</f>
        <v>-0.29668625836975515</v>
      </c>
    </row>
    <row r="248" spans="1:45">
      <c r="A248" s="45" t="str">
        <f>Volcanic!A248</f>
        <v>9/1978</v>
      </c>
      <c r="B248" s="43">
        <f>Volcanic!B248</f>
        <v>5.9999999999998721E-2</v>
      </c>
      <c r="C248" s="47">
        <f>Volcanic!C248</f>
        <v>0.24731993497981972</v>
      </c>
      <c r="D248" s="41">
        <v>-0.4</v>
      </c>
      <c r="E248" s="43">
        <f t="shared" si="54"/>
        <v>-0.2</v>
      </c>
      <c r="F248" s="48">
        <v>4.4000000000000003E-3</v>
      </c>
      <c r="G248" s="47">
        <f t="shared" si="55"/>
        <v>4.0699999999999998E-3</v>
      </c>
      <c r="H248" s="43">
        <f>Volcanic!D248</f>
        <v>-0.24</v>
      </c>
      <c r="I248" s="47">
        <f>Volcanic!E248</f>
        <v>4.0699999999999998E-3</v>
      </c>
      <c r="K248" s="47">
        <f t="shared" si="42"/>
        <v>0.24731993497981972</v>
      </c>
      <c r="L248" s="47">
        <f t="shared" si="43"/>
        <v>-0.2</v>
      </c>
      <c r="M248" s="47">
        <f t="shared" si="44"/>
        <v>4.0699999999999998E-3</v>
      </c>
      <c r="O248" s="47">
        <f t="shared" si="45"/>
        <v>0.24731993497981972</v>
      </c>
      <c r="P248" s="47">
        <f t="shared" si="46"/>
        <v>-0.24</v>
      </c>
      <c r="Q248" s="47">
        <f t="shared" si="47"/>
        <v>4.0699999999999998E-3</v>
      </c>
      <c r="S248" s="47">
        <f t="shared" si="48"/>
        <v>0.24731993497981972</v>
      </c>
      <c r="T248" s="47">
        <f t="shared" si="49"/>
        <v>-0.2</v>
      </c>
      <c r="U248" s="47">
        <f t="shared" si="50"/>
        <v>4.0699999999999998E-3</v>
      </c>
      <c r="W248" s="47">
        <f t="shared" si="51"/>
        <v>-2.6468019510402022E-2</v>
      </c>
      <c r="X248" s="47">
        <f t="shared" si="52"/>
        <v>-2.3394501587399488E-2</v>
      </c>
      <c r="Y248" s="47">
        <f t="shared" si="53"/>
        <v>-2.6865180583697884E-2</v>
      </c>
      <c r="AP248" s="48">
        <v>0.11210000000000001</v>
      </c>
      <c r="AQ248" s="48">
        <v>0.1027</v>
      </c>
      <c r="AR248" s="47">
        <f>IF(AP248="","",AP248-($AC$60+$AC$61*Volcanic!C248+$AC$62*Volcanic!D248+$AC$63*Volcanic!E248))</f>
        <v>3.7451177445076311E-2</v>
      </c>
      <c r="AS248" s="47">
        <f>IF(AQ248="","",AQ248-($AD$60+$AD$61*Volcanic!C248+$AD$62*Volcanic!D248+$AD$63*Volcanic!E248))</f>
        <v>2.0138708364449184E-2</v>
      </c>
    </row>
    <row r="249" spans="1:45">
      <c r="A249" s="45" t="str">
        <f>Volcanic!A249</f>
        <v>10/1978</v>
      </c>
      <c r="B249" s="43">
        <f>Volcanic!B249</f>
        <v>2.9999999999997584E-2</v>
      </c>
      <c r="C249" s="47">
        <f>Volcanic!C249</f>
        <v>0.24771055050748395</v>
      </c>
      <c r="D249" s="41">
        <v>-0.3</v>
      </c>
      <c r="E249" s="43">
        <f t="shared" si="54"/>
        <v>-0.4</v>
      </c>
      <c r="F249" s="48">
        <v>4.4799999999999996E-3</v>
      </c>
      <c r="G249" s="47">
        <f t="shared" si="55"/>
        <v>4.0000000000000001E-3</v>
      </c>
      <c r="H249" s="43">
        <f>Volcanic!D249</f>
        <v>-0.37</v>
      </c>
      <c r="I249" s="47">
        <f>Volcanic!E249</f>
        <v>4.0000000000000001E-3</v>
      </c>
      <c r="K249" s="47">
        <f t="shared" si="42"/>
        <v>0.24771055050748395</v>
      </c>
      <c r="L249" s="47">
        <f t="shared" si="43"/>
        <v>-0.4</v>
      </c>
      <c r="M249" s="47">
        <f t="shared" si="44"/>
        <v>4.0000000000000001E-3</v>
      </c>
      <c r="O249" s="47">
        <f t="shared" si="45"/>
        <v>0.24771055050748395</v>
      </c>
      <c r="P249" s="47">
        <f t="shared" si="46"/>
        <v>-0.37</v>
      </c>
      <c r="Q249" s="47">
        <f t="shared" si="47"/>
        <v>4.0000000000000001E-3</v>
      </c>
      <c r="S249" s="47">
        <f t="shared" si="48"/>
        <v>0.24771055050748395</v>
      </c>
      <c r="T249" s="47">
        <f t="shared" si="49"/>
        <v>-0.4</v>
      </c>
      <c r="U249" s="47">
        <f t="shared" si="50"/>
        <v>4.0000000000000001E-3</v>
      </c>
      <c r="W249" s="47">
        <f t="shared" si="51"/>
        <v>-3.9112870679554518E-2</v>
      </c>
      <c r="X249" s="47">
        <f t="shared" si="52"/>
        <v>-4.2421750195256916E-2</v>
      </c>
      <c r="Y249" s="47">
        <f t="shared" si="53"/>
        <v>-3.9302006084291546E-2</v>
      </c>
      <c r="AP249" s="48">
        <v>1.5699999999999999E-2</v>
      </c>
      <c r="AQ249" s="48">
        <v>-1.1299999999999999E-2</v>
      </c>
      <c r="AR249" s="47">
        <f>IF(AP249="","",AP249-($AC$60+$AC$61*Volcanic!C249+$AC$62*Volcanic!D249+$AC$63*Volcanic!E249))</f>
        <v>-4.8010011339716004E-2</v>
      </c>
      <c r="AS249" s="47">
        <f>IF(AQ249="","",AQ249-($AD$60+$AD$61*Volcanic!C249+$AD$62*Volcanic!D249+$AD$63*Volcanic!E249))</f>
        <v>-8.2692325844924891E-2</v>
      </c>
    </row>
    <row r="250" spans="1:45">
      <c r="A250" s="45" t="str">
        <f>Volcanic!A250</f>
        <v>11/1978</v>
      </c>
      <c r="B250" s="43">
        <f>Volcanic!B250</f>
        <v>0.12999999999999901</v>
      </c>
      <c r="C250" s="47">
        <f>Volcanic!C250</f>
        <v>0.25338423580007446</v>
      </c>
      <c r="D250" s="41">
        <v>-0.1</v>
      </c>
      <c r="E250" s="43">
        <f t="shared" si="54"/>
        <v>-0.4</v>
      </c>
      <c r="F250" s="48">
        <v>4.3899999999999998E-3</v>
      </c>
      <c r="G250" s="47">
        <f t="shared" si="55"/>
        <v>4.0299999999999997E-3</v>
      </c>
      <c r="H250" s="43">
        <f>Volcanic!D250</f>
        <v>-0.37</v>
      </c>
      <c r="I250" s="47">
        <f>Volcanic!E250</f>
        <v>4.0299999999999997E-3</v>
      </c>
      <c r="K250" s="47">
        <f t="shared" si="42"/>
        <v>0.25338423580007446</v>
      </c>
      <c r="L250" s="47">
        <f t="shared" si="43"/>
        <v>-0.4</v>
      </c>
      <c r="M250" s="47">
        <f t="shared" si="44"/>
        <v>4.0299999999999997E-3</v>
      </c>
      <c r="O250" s="47">
        <f t="shared" si="45"/>
        <v>0.25338423580007446</v>
      </c>
      <c r="P250" s="47">
        <f t="shared" si="46"/>
        <v>-0.37</v>
      </c>
      <c r="Q250" s="47">
        <f t="shared" si="47"/>
        <v>4.0299999999999997E-3</v>
      </c>
      <c r="S250" s="47">
        <f t="shared" si="48"/>
        <v>0.25338423580007446</v>
      </c>
      <c r="T250" s="47">
        <f t="shared" si="49"/>
        <v>-0.4</v>
      </c>
      <c r="U250" s="47">
        <f t="shared" si="50"/>
        <v>4.0299999999999997E-3</v>
      </c>
      <c r="W250" s="47">
        <f t="shared" si="51"/>
        <v>4.5480240948795533E-2</v>
      </c>
      <c r="X250" s="47">
        <f t="shared" si="52"/>
        <v>4.2317377273651646E-2</v>
      </c>
      <c r="Y250" s="47">
        <f t="shared" si="53"/>
        <v>4.5438931430494073E-2</v>
      </c>
      <c r="AP250" s="48">
        <v>0.1691</v>
      </c>
      <c r="AQ250" s="48">
        <v>0.14169999999999999</v>
      </c>
      <c r="AR250" s="47">
        <f>IF(AP250="","",AP250-($AC$60+$AC$61*Volcanic!C250+$AC$62*Volcanic!D250+$AC$63*Volcanic!E250))</f>
        <v>8.9969563683042431E-2</v>
      </c>
      <c r="AS250" s="47">
        <f>IF(AQ250="","",AQ250-($AD$60+$AD$61*Volcanic!C250+$AD$62*Volcanic!D250+$AD$63*Volcanic!E250))</f>
        <v>5.4485000648309106E-2</v>
      </c>
    </row>
    <row r="251" spans="1:45">
      <c r="A251" s="45" t="str">
        <f>Volcanic!A251</f>
        <v>12/1978</v>
      </c>
      <c r="B251" s="43">
        <f>Volcanic!B251</f>
        <v>8.0000000000000071E-2</v>
      </c>
      <c r="C251" s="47">
        <f>Volcanic!C251</f>
        <v>0.25834662661407437</v>
      </c>
      <c r="D251" s="41">
        <v>0.1</v>
      </c>
      <c r="E251" s="43">
        <f t="shared" si="54"/>
        <v>-0.4</v>
      </c>
      <c r="F251" s="48">
        <v>4.28E-3</v>
      </c>
      <c r="G251" s="47">
        <f t="shared" si="55"/>
        <v>4.0699999999999998E-3</v>
      </c>
      <c r="H251" s="43">
        <f>Volcanic!D251</f>
        <v>-0.44</v>
      </c>
      <c r="I251" s="47">
        <f>Volcanic!E251</f>
        <v>4.0699999999999998E-3</v>
      </c>
      <c r="K251" s="47">
        <f t="shared" si="42"/>
        <v>0.25834662661407437</v>
      </c>
      <c r="L251" s="47">
        <f t="shared" si="43"/>
        <v>-0.4</v>
      </c>
      <c r="M251" s="47">
        <f t="shared" si="44"/>
        <v>4.0699999999999998E-3</v>
      </c>
      <c r="O251" s="47">
        <f t="shared" si="45"/>
        <v>0.25834662661407437</v>
      </c>
      <c r="P251" s="47">
        <f t="shared" si="46"/>
        <v>-0.44</v>
      </c>
      <c r="Q251" s="47">
        <f t="shared" si="47"/>
        <v>4.0699999999999998E-3</v>
      </c>
      <c r="S251" s="47">
        <f t="shared" si="48"/>
        <v>0.25834662661407437</v>
      </c>
      <c r="T251" s="47">
        <f t="shared" si="49"/>
        <v>-0.4</v>
      </c>
      <c r="U251" s="47">
        <f t="shared" si="50"/>
        <v>4.0699999999999998E-3</v>
      </c>
      <c r="W251" s="47">
        <f t="shared" si="51"/>
        <v>-1.7964805024490521E-2</v>
      </c>
      <c r="X251" s="47">
        <f t="shared" si="52"/>
        <v>-1.4418794217557235E-2</v>
      </c>
      <c r="Y251" s="47">
        <f t="shared" si="53"/>
        <v>-1.7871147386559691E-2</v>
      </c>
      <c r="AP251" s="48">
        <v>8.6699999999999999E-2</v>
      </c>
      <c r="AQ251" s="48">
        <v>0.13669999999999999</v>
      </c>
      <c r="AR251" s="47">
        <f>IF(AP251="","",AP251-($AC$60+$AC$61*Volcanic!C251+$AC$62*Volcanic!D251+$AC$63*Volcanic!E251))</f>
        <v>6.7062425379987856E-4</v>
      </c>
      <c r="AS251" s="47">
        <f>IF(AQ251="","",AQ251-($AD$60+$AD$61*Volcanic!C251+$AD$62*Volcanic!D251+$AD$63*Volcanic!E251))</f>
        <v>4.2366993379530996E-2</v>
      </c>
    </row>
    <row r="252" spans="1:45">
      <c r="A252" s="45" t="str">
        <f>Volcanic!A252</f>
        <v>1/1979</v>
      </c>
      <c r="B252" s="43">
        <f>Volcanic!B252</f>
        <v>8.9999999999999858E-2</v>
      </c>
      <c r="C252" s="47">
        <f>Volcanic!C252</f>
        <v>0.26363540356832926</v>
      </c>
      <c r="D252" s="41">
        <v>0.2</v>
      </c>
      <c r="E252" s="43">
        <f t="shared" si="54"/>
        <v>-0.3</v>
      </c>
      <c r="F252" s="48">
        <v>3.8800000000000002E-3</v>
      </c>
      <c r="G252" s="47">
        <f t="shared" si="55"/>
        <v>4.1399999999999996E-3</v>
      </c>
      <c r="H252" s="43">
        <f>Volcanic!D252</f>
        <v>-0.27</v>
      </c>
      <c r="I252" s="47">
        <f>Volcanic!E252</f>
        <v>4.1399999999999996E-3</v>
      </c>
      <c r="K252" s="47">
        <f t="shared" si="42"/>
        <v>0.26363540356832926</v>
      </c>
      <c r="L252" s="47">
        <f t="shared" si="43"/>
        <v>-0.3</v>
      </c>
      <c r="M252" s="47">
        <f t="shared" si="44"/>
        <v>4.1399999999999996E-3</v>
      </c>
      <c r="O252" s="47">
        <f t="shared" si="45"/>
        <v>0.26363540356832926</v>
      </c>
      <c r="P252" s="47">
        <f t="shared" si="46"/>
        <v>-0.27</v>
      </c>
      <c r="Q252" s="47">
        <f t="shared" si="47"/>
        <v>4.1399999999999996E-3</v>
      </c>
      <c r="S252" s="47">
        <f t="shared" si="48"/>
        <v>0.26363540356832926</v>
      </c>
      <c r="T252" s="47">
        <f t="shared" si="49"/>
        <v>-0.3</v>
      </c>
      <c r="U252" s="47">
        <f t="shared" si="50"/>
        <v>4.1399999999999996E-3</v>
      </c>
      <c r="W252" s="47">
        <f t="shared" si="51"/>
        <v>-3.1521180870169876E-2</v>
      </c>
      <c r="X252" s="47">
        <f t="shared" si="52"/>
        <v>-3.4503677896110502E-2</v>
      </c>
      <c r="Y252" s="47">
        <f t="shared" si="53"/>
        <v>-3.1386175258185697E-2</v>
      </c>
      <c r="AP252" s="48">
        <v>0.1235</v>
      </c>
      <c r="AQ252" s="48">
        <v>0.17069999999999999</v>
      </c>
      <c r="AR252" s="47">
        <f>IF(AP252="","",AP252-($AC$60+$AC$61*Volcanic!C252+$AC$62*Volcanic!D252+$AC$63*Volcanic!E252))</f>
        <v>7.277813907306474E-3</v>
      </c>
      <c r="AS252" s="47">
        <f>IF(AQ252="","",AQ252-($AD$60+$AD$61*Volcanic!C252+$AD$62*Volcanic!D252+$AD$63*Volcanic!E252))</f>
        <v>4.5468084975369943E-2</v>
      </c>
    </row>
    <row r="253" spans="1:45">
      <c r="A253" s="45" t="str">
        <f>Volcanic!A253</f>
        <v>2/1979</v>
      </c>
      <c r="B253" s="43">
        <f>Volcanic!B253</f>
        <v>-0.10000000000000142</v>
      </c>
      <c r="C253" s="47">
        <f>Volcanic!C253</f>
        <v>0.2659940452734475</v>
      </c>
      <c r="D253" s="41">
        <v>0.2</v>
      </c>
      <c r="E253" s="43">
        <f t="shared" si="54"/>
        <v>-0.1</v>
      </c>
      <c r="F253" s="48">
        <v>3.8600000000000001E-3</v>
      </c>
      <c r="G253" s="47">
        <f t="shared" si="55"/>
        <v>4.2199999999999998E-3</v>
      </c>
      <c r="H253" s="43">
        <f>Volcanic!D253</f>
        <v>-7.0000000000000007E-2</v>
      </c>
      <c r="I253" s="47">
        <f>Volcanic!E253</f>
        <v>4.2199999999999998E-3</v>
      </c>
      <c r="K253" s="47">
        <f t="shared" si="42"/>
        <v>0.2659940452734475</v>
      </c>
      <c r="L253" s="47">
        <f t="shared" si="43"/>
        <v>-0.1</v>
      </c>
      <c r="M253" s="47">
        <f t="shared" si="44"/>
        <v>4.2199999999999998E-3</v>
      </c>
      <c r="O253" s="47">
        <f t="shared" si="45"/>
        <v>0.2659940452734475</v>
      </c>
      <c r="P253" s="47">
        <f t="shared" si="46"/>
        <v>-7.0000000000000007E-2</v>
      </c>
      <c r="Q253" s="47">
        <f t="shared" si="47"/>
        <v>4.2199999999999998E-3</v>
      </c>
      <c r="S253" s="47">
        <f t="shared" si="48"/>
        <v>0.2659940452734475</v>
      </c>
      <c r="T253" s="47">
        <f t="shared" si="49"/>
        <v>-0.1</v>
      </c>
      <c r="U253" s="47">
        <f t="shared" si="50"/>
        <v>4.2199999999999998E-3</v>
      </c>
      <c r="W253" s="47">
        <f t="shared" si="51"/>
        <v>-0.24635193290093696</v>
      </c>
      <c r="X253" s="47">
        <f t="shared" si="52"/>
        <v>-0.24945866811740555</v>
      </c>
      <c r="Y253" s="47">
        <f t="shared" si="53"/>
        <v>-0.24635519262291178</v>
      </c>
      <c r="AP253" s="48">
        <v>-0.10580000000000001</v>
      </c>
      <c r="AQ253" s="48">
        <v>-7.9299999999999995E-2</v>
      </c>
      <c r="AR253" s="47">
        <f>IF(AP253="","",AP253-($AC$60+$AC$61*Volcanic!C253+$AC$62*Volcanic!D253+$AC$63*Volcanic!E253))</f>
        <v>-0.24699923644318272</v>
      </c>
      <c r="AS253" s="47">
        <f>IF(AQ253="","",AQ253-($AD$60+$AD$61*Volcanic!C253+$AD$62*Volcanic!D253+$AD$63*Volcanic!E253))</f>
        <v>-0.23006785510366878</v>
      </c>
    </row>
    <row r="254" spans="1:45">
      <c r="A254" s="45" t="str">
        <f>Volcanic!A254</f>
        <v>3/1979</v>
      </c>
      <c r="B254" s="43">
        <f>Volcanic!B254</f>
        <v>0.19000000000000128</v>
      </c>
      <c r="C254" s="47">
        <f>Volcanic!C254</f>
        <v>0.27274840798594358</v>
      </c>
      <c r="D254" s="41">
        <v>0.3</v>
      </c>
      <c r="E254" s="43">
        <f t="shared" si="54"/>
        <v>0.1</v>
      </c>
      <c r="F254" s="48">
        <v>3.8700000000000002E-3</v>
      </c>
      <c r="G254" s="47">
        <f t="shared" si="55"/>
        <v>4.3299999999999996E-3</v>
      </c>
      <c r="H254" s="43">
        <f>Volcanic!D254</f>
        <v>0.11</v>
      </c>
      <c r="I254" s="47">
        <f>Volcanic!E254</f>
        <v>4.3299999999999996E-3</v>
      </c>
      <c r="K254" s="47">
        <f t="shared" si="42"/>
        <v>0.27274840798594358</v>
      </c>
      <c r="L254" s="47">
        <f t="shared" si="43"/>
        <v>0.1</v>
      </c>
      <c r="M254" s="47">
        <f t="shared" si="44"/>
        <v>4.3299999999999996E-3</v>
      </c>
      <c r="O254" s="47">
        <f t="shared" si="45"/>
        <v>0.27274840798594358</v>
      </c>
      <c r="P254" s="47">
        <f t="shared" si="46"/>
        <v>0.11</v>
      </c>
      <c r="Q254" s="47">
        <f t="shared" si="47"/>
        <v>4.3299999999999996E-3</v>
      </c>
      <c r="S254" s="47">
        <f t="shared" si="48"/>
        <v>0.27274840798594358</v>
      </c>
      <c r="T254" s="47">
        <f t="shared" si="49"/>
        <v>0.1</v>
      </c>
      <c r="U254" s="47">
        <f t="shared" si="50"/>
        <v>4.3299999999999996E-3</v>
      </c>
      <c r="W254" s="47">
        <f t="shared" si="51"/>
        <v>6.8956277351430451E-3</v>
      </c>
      <c r="X254" s="47">
        <f t="shared" si="52"/>
        <v>5.6592699152722137E-3</v>
      </c>
      <c r="Y254" s="47">
        <f t="shared" si="53"/>
        <v>6.8714177619053074E-3</v>
      </c>
      <c r="AP254" s="48">
        <v>0.1384</v>
      </c>
      <c r="AQ254" s="48">
        <v>0.1777</v>
      </c>
      <c r="AR254" s="47">
        <f>IF(AP254="","",AP254-($AC$60+$AC$61*Volcanic!C254+$AC$62*Volcanic!D254+$AC$63*Volcanic!E254))</f>
        <v>-3.7834190125103834E-2</v>
      </c>
      <c r="AS254" s="47">
        <f>IF(AQ254="","",AQ254-($AD$60+$AD$61*Volcanic!C254+$AD$62*Volcanic!D254+$AD$63*Volcanic!E254))</f>
        <v>-8.9357411450200763E-3</v>
      </c>
    </row>
    <row r="255" spans="1:45">
      <c r="A255" s="45" t="str">
        <f>Volcanic!A255</f>
        <v>4/1979</v>
      </c>
      <c r="B255" s="43">
        <f>Volcanic!B255</f>
        <v>0.14999999999999858</v>
      </c>
      <c r="C255" s="47">
        <f>Volcanic!C255</f>
        <v>0.27509220998275441</v>
      </c>
      <c r="D255" s="41">
        <v>0.3</v>
      </c>
      <c r="E255" s="43">
        <f t="shared" si="54"/>
        <v>0.2</v>
      </c>
      <c r="F255" s="48">
        <v>3.8899999999999998E-3</v>
      </c>
      <c r="G255" s="47">
        <f t="shared" si="55"/>
        <v>4.4000000000000003E-3</v>
      </c>
      <c r="H255" s="43">
        <f>Volcanic!D255</f>
        <v>0.19</v>
      </c>
      <c r="I255" s="47">
        <f>Volcanic!E255</f>
        <v>4.4000000000000003E-3</v>
      </c>
      <c r="K255" s="47">
        <f t="shared" si="42"/>
        <v>0.27509220998275441</v>
      </c>
      <c r="L255" s="47">
        <f t="shared" si="43"/>
        <v>0.2</v>
      </c>
      <c r="M255" s="47">
        <f t="shared" si="44"/>
        <v>4.4000000000000003E-3</v>
      </c>
      <c r="O255" s="47">
        <f t="shared" si="45"/>
        <v>0.27509220998275441</v>
      </c>
      <c r="P255" s="47">
        <f t="shared" si="46"/>
        <v>0.19</v>
      </c>
      <c r="Q255" s="47">
        <f t="shared" si="47"/>
        <v>4.4000000000000003E-3</v>
      </c>
      <c r="S255" s="47">
        <f t="shared" si="48"/>
        <v>0.27509220998275441</v>
      </c>
      <c r="T255" s="47">
        <f t="shared" si="49"/>
        <v>0.2</v>
      </c>
      <c r="U255" s="47">
        <f t="shared" si="50"/>
        <v>4.4000000000000003E-3</v>
      </c>
      <c r="W255" s="47">
        <f t="shared" si="51"/>
        <v>-4.8629357954501629E-2</v>
      </c>
      <c r="X255" s="47">
        <f t="shared" si="52"/>
        <v>-4.8009385450500042E-2</v>
      </c>
      <c r="Y255" s="47">
        <f t="shared" si="53"/>
        <v>-4.8682529862956514E-2</v>
      </c>
      <c r="AP255" s="48">
        <v>0.14910000000000001</v>
      </c>
      <c r="AQ255" s="48">
        <v>0.22869999999999999</v>
      </c>
      <c r="AR255" s="47">
        <f>IF(AP255="","",AP255-($AC$60+$AC$61*Volcanic!C255+$AC$62*Volcanic!D255+$AC$63*Volcanic!E255))</f>
        <v>-4.0857368906191488E-2</v>
      </c>
      <c r="AS255" s="47">
        <f>IF(AQ255="","",AQ255-($AD$60+$AD$61*Volcanic!C255+$AD$62*Volcanic!D255+$AD$63*Volcanic!E255))</f>
        <v>2.8014699262779413E-2</v>
      </c>
    </row>
    <row r="256" spans="1:45">
      <c r="A256" s="45" t="str">
        <f>Volcanic!A256</f>
        <v>5/1979</v>
      </c>
      <c r="B256" s="43">
        <f>Volcanic!B256</f>
        <v>2.9999999999997584E-2</v>
      </c>
      <c r="C256" s="47">
        <f>Volcanic!C256</f>
        <v>0.27687946183264034</v>
      </c>
      <c r="D256" s="41">
        <v>0.3</v>
      </c>
      <c r="E256" s="43">
        <f t="shared" si="54"/>
        <v>0.2</v>
      </c>
      <c r="F256" s="48">
        <v>3.8899999999999998E-3</v>
      </c>
      <c r="G256" s="47">
        <f t="shared" si="55"/>
        <v>4.4799999999999996E-3</v>
      </c>
      <c r="H256" s="43">
        <f>Volcanic!D256</f>
        <v>0.21</v>
      </c>
      <c r="I256" s="47">
        <f>Volcanic!E256</f>
        <v>4.4799999999999996E-3</v>
      </c>
      <c r="K256" s="47">
        <f t="shared" si="42"/>
        <v>0.27687946183264034</v>
      </c>
      <c r="L256" s="47">
        <f t="shared" si="43"/>
        <v>0.2</v>
      </c>
      <c r="M256" s="47">
        <f t="shared" si="44"/>
        <v>4.4799999999999996E-3</v>
      </c>
      <c r="O256" s="47">
        <f t="shared" si="45"/>
        <v>0.27687946183264034</v>
      </c>
      <c r="P256" s="47">
        <f t="shared" si="46"/>
        <v>0.21</v>
      </c>
      <c r="Q256" s="47">
        <f t="shared" si="47"/>
        <v>4.4799999999999996E-3</v>
      </c>
      <c r="S256" s="47">
        <f t="shared" si="48"/>
        <v>0.27687946183264034</v>
      </c>
      <c r="T256" s="47">
        <f t="shared" si="49"/>
        <v>0.2</v>
      </c>
      <c r="U256" s="47">
        <f t="shared" si="50"/>
        <v>4.4799999999999996E-3</v>
      </c>
      <c r="W256" s="47">
        <f t="shared" si="51"/>
        <v>-0.17332718086693669</v>
      </c>
      <c r="X256" s="47">
        <f t="shared" si="52"/>
        <v>-0.17451106510420042</v>
      </c>
      <c r="Y256" s="47">
        <f t="shared" si="53"/>
        <v>-0.17330469820678024</v>
      </c>
      <c r="AP256" s="48">
        <v>4.9599999999999998E-2</v>
      </c>
      <c r="AQ256" s="48">
        <v>6.5699999999999995E-2</v>
      </c>
      <c r="AR256" s="47">
        <f>IF(AP256="","",AP256-($AC$60+$AC$61*Volcanic!C256+$AC$62*Volcanic!D256+$AC$63*Volcanic!E256))</f>
        <v>-0.14691805927595772</v>
      </c>
      <c r="AS256" s="47">
        <f>IF(AQ256="","",AQ256-($AD$60+$AD$61*Volcanic!C256+$AD$62*Volcanic!D256+$AD$63*Volcanic!E256))</f>
        <v>-0.14171925967421134</v>
      </c>
    </row>
    <row r="257" spans="1:45">
      <c r="A257" s="45" t="str">
        <f>Volcanic!A257</f>
        <v>6/1979</v>
      </c>
      <c r="B257" s="43">
        <f>Volcanic!B257</f>
        <v>0.13999999999999879</v>
      </c>
      <c r="C257" s="47">
        <f>Volcanic!C257</f>
        <v>0.27696451386160453</v>
      </c>
      <c r="D257" s="41">
        <v>0.1</v>
      </c>
      <c r="E257" s="43">
        <f t="shared" si="54"/>
        <v>0.3</v>
      </c>
      <c r="F257" s="48">
        <v>3.9399999999999999E-3</v>
      </c>
      <c r="G257" s="47">
        <f t="shared" si="55"/>
        <v>4.3899999999999998E-3</v>
      </c>
      <c r="H257" s="43">
        <f>Volcanic!D257</f>
        <v>0.28999999999999998</v>
      </c>
      <c r="I257" s="47">
        <f>Volcanic!E257</f>
        <v>4.3899999999999998E-3</v>
      </c>
      <c r="K257" s="47">
        <f t="shared" si="42"/>
        <v>0.27696451386160453</v>
      </c>
      <c r="L257" s="47">
        <f t="shared" si="43"/>
        <v>0.3</v>
      </c>
      <c r="M257" s="47">
        <f t="shared" si="44"/>
        <v>4.3899999999999998E-3</v>
      </c>
      <c r="O257" s="47">
        <f t="shared" si="45"/>
        <v>0.27696451386160453</v>
      </c>
      <c r="P257" s="47">
        <f t="shared" si="46"/>
        <v>0.28999999999999998</v>
      </c>
      <c r="Q257" s="47">
        <f t="shared" si="47"/>
        <v>4.3899999999999998E-3</v>
      </c>
      <c r="S257" s="47">
        <f t="shared" si="48"/>
        <v>0.27696451386160453</v>
      </c>
      <c r="T257" s="47">
        <f t="shared" si="49"/>
        <v>0.3</v>
      </c>
      <c r="U257" s="47">
        <f t="shared" si="50"/>
        <v>4.3899999999999998E-3</v>
      </c>
      <c r="W257" s="47">
        <f t="shared" si="51"/>
        <v>-7.3044779281630834E-2</v>
      </c>
      <c r="X257" s="47">
        <f t="shared" si="52"/>
        <v>-7.249105236970152E-2</v>
      </c>
      <c r="Y257" s="47">
        <f t="shared" si="53"/>
        <v>-7.3171154684686268E-2</v>
      </c>
      <c r="AP257" s="48">
        <v>0.1215</v>
      </c>
      <c r="AQ257" s="48">
        <v>8.3699999999999997E-2</v>
      </c>
      <c r="AR257" s="47">
        <f>IF(AP257="","",AP257-($AC$60+$AC$61*Volcanic!C257+$AC$62*Volcanic!D257+$AC$63*Volcanic!E257))</f>
        <v>-8.295846915650304E-2</v>
      </c>
      <c r="AS257" s="47">
        <f>IF(AQ257="","",AQ257-($AD$60+$AD$61*Volcanic!C257+$AD$62*Volcanic!D257+$AD$63*Volcanic!E257))</f>
        <v>-0.1318087597277294</v>
      </c>
    </row>
    <row r="258" spans="1:45">
      <c r="A258" s="45" t="str">
        <f>Volcanic!A258</f>
        <v>7/1979</v>
      </c>
      <c r="B258" s="43">
        <f>Volcanic!B258</f>
        <v>3.9999999999999147E-2</v>
      </c>
      <c r="C258" s="47">
        <f>Volcanic!C258</f>
        <v>0.26963165094043912</v>
      </c>
      <c r="D258" s="41">
        <v>0.1</v>
      </c>
      <c r="E258" s="43">
        <f t="shared" si="54"/>
        <v>0.3</v>
      </c>
      <c r="F258" s="48">
        <v>4.0099999999999997E-3</v>
      </c>
      <c r="G258" s="47">
        <f t="shared" si="55"/>
        <v>4.28E-3</v>
      </c>
      <c r="H258" s="43">
        <f>Volcanic!D258</f>
        <v>0.32</v>
      </c>
      <c r="I258" s="47">
        <f>Volcanic!E258</f>
        <v>4.28E-3</v>
      </c>
      <c r="K258" s="47">
        <f t="shared" ref="K258:K321" si="56">C258</f>
        <v>0.26963165094043912</v>
      </c>
      <c r="L258" s="47">
        <f t="shared" ref="L258:L321" si="57">E258</f>
        <v>0.3</v>
      </c>
      <c r="M258" s="47">
        <f t="shared" ref="M258:M321" si="58">I258</f>
        <v>4.28E-3</v>
      </c>
      <c r="O258" s="47">
        <f t="shared" ref="O258:O321" si="59">C258</f>
        <v>0.26963165094043912</v>
      </c>
      <c r="P258" s="47">
        <f t="shared" ref="P258:P321" si="60">H258</f>
        <v>0.32</v>
      </c>
      <c r="Q258" s="47">
        <f t="shared" ref="Q258:Q321" si="61">G258</f>
        <v>4.28E-3</v>
      </c>
      <c r="S258" s="47">
        <f t="shared" ref="S258:S321" si="62">C258</f>
        <v>0.26963165094043912</v>
      </c>
      <c r="T258" s="47">
        <f t="shared" ref="T258:T321" si="63">E258</f>
        <v>0.3</v>
      </c>
      <c r="U258" s="47">
        <f t="shared" ref="U258:U321" si="64">G258</f>
        <v>4.28E-3</v>
      </c>
      <c r="W258" s="47">
        <f t="shared" ref="W258:W321" si="65">IF(OR(L258="",M258=""),"",B258-($AB$6+$AB$7*K258+$AB$8*L258+$AB$9*M258))</f>
        <v>-0.15328934568416158</v>
      </c>
      <c r="X258" s="47">
        <f t="shared" ref="X258:X321" si="66">IF(OR(P258="",Q258=""),"",B258-($AC$6+$AC$7*O258+$AC$8*P258+$AC$9*Q258))</f>
        <v>-0.15577156812110898</v>
      </c>
      <c r="Y258" s="47">
        <f t="shared" ref="Y258:Y321" si="67">IF(OR(T258="",U258=""),"",B258-($AD$6+$AD$7*S258+$AD$8*T258+$AD$9*U258))</f>
        <v>-0.15363614382971613</v>
      </c>
      <c r="AP258" s="48">
        <v>9.1600000000000001E-2</v>
      </c>
      <c r="AQ258" s="48">
        <v>1.67E-2</v>
      </c>
      <c r="AR258" s="47">
        <f>IF(AP258="","",AP258-($AC$60+$AC$61*Volcanic!C258+$AC$62*Volcanic!D258+$AC$63*Volcanic!E258))</f>
        <v>-9.5909329375156296E-2</v>
      </c>
      <c r="AS258" s="47">
        <f>IF(AQ258="","",AQ258-($AD$60+$AD$61*Volcanic!C258+$AD$62*Volcanic!D258+$AD$63*Volcanic!E258))</f>
        <v>-0.18138906595178542</v>
      </c>
    </row>
    <row r="259" spans="1:45">
      <c r="A259" s="45" t="str">
        <f>Volcanic!A259</f>
        <v>8/1979</v>
      </c>
      <c r="B259" s="43">
        <f>Volcanic!B259</f>
        <v>0.16999999999999993</v>
      </c>
      <c r="C259" s="47">
        <f>Volcanic!C259</f>
        <v>0.26183165875213665</v>
      </c>
      <c r="D259" s="41">
        <v>0.2</v>
      </c>
      <c r="E259" s="43">
        <f t="shared" si="54"/>
        <v>0.3</v>
      </c>
      <c r="F259" s="48">
        <v>3.9899999999999996E-3</v>
      </c>
      <c r="G259" s="47">
        <f t="shared" si="55"/>
        <v>3.8800000000000002E-3</v>
      </c>
      <c r="H259" s="43">
        <f>Volcanic!D259</f>
        <v>0.28999999999999998</v>
      </c>
      <c r="I259" s="47">
        <f>Volcanic!E259</f>
        <v>5.2700000000000004E-3</v>
      </c>
      <c r="K259" s="47">
        <f t="shared" si="56"/>
        <v>0.26183165875213665</v>
      </c>
      <c r="L259" s="47">
        <f t="shared" si="57"/>
        <v>0.3</v>
      </c>
      <c r="M259" s="47">
        <f t="shared" si="58"/>
        <v>5.2700000000000004E-3</v>
      </c>
      <c r="O259" s="47">
        <f t="shared" si="59"/>
        <v>0.26183165875213665</v>
      </c>
      <c r="P259" s="47">
        <f t="shared" si="60"/>
        <v>0.28999999999999998</v>
      </c>
      <c r="Q259" s="47">
        <f t="shared" si="61"/>
        <v>3.8800000000000002E-3</v>
      </c>
      <c r="S259" s="47">
        <f t="shared" si="62"/>
        <v>0.26183165875213665</v>
      </c>
      <c r="T259" s="47">
        <f t="shared" si="63"/>
        <v>0.3</v>
      </c>
      <c r="U259" s="47">
        <f t="shared" si="64"/>
        <v>3.8800000000000002E-3</v>
      </c>
      <c r="W259" s="47">
        <f t="shared" si="65"/>
        <v>1.638972941281347E-4</v>
      </c>
      <c r="X259" s="47">
        <f t="shared" si="66"/>
        <v>-2.9106902216656239E-3</v>
      </c>
      <c r="Y259" s="47">
        <f t="shared" si="67"/>
        <v>-3.5969456342675177E-3</v>
      </c>
      <c r="AP259" s="48">
        <v>0.189</v>
      </c>
      <c r="AQ259" s="48">
        <v>0.1517</v>
      </c>
      <c r="AR259" s="47">
        <f>IF(AP259="","",AP259-($AC$60+$AC$61*Volcanic!C259+$AC$62*Volcanic!D259+$AC$63*Volcanic!E259))</f>
        <v>2.7980883746977131E-2</v>
      </c>
      <c r="AS259" s="47">
        <f>IF(AQ259="","",AQ259-($AD$60+$AD$61*Volcanic!C259+$AD$62*Volcanic!D259+$AD$63*Volcanic!E259))</f>
        <v>-1.9407741895483832E-2</v>
      </c>
    </row>
    <row r="260" spans="1:45">
      <c r="A260" s="45" t="str">
        <f>Volcanic!A260</f>
        <v>9/1979</v>
      </c>
      <c r="B260" s="43">
        <f>Volcanic!B260</f>
        <v>0.25000000000000355</v>
      </c>
      <c r="C260" s="47">
        <f>Volcanic!C260</f>
        <v>0.25429168632221816</v>
      </c>
      <c r="D260" s="41">
        <v>0.3</v>
      </c>
      <c r="E260" s="43">
        <f t="shared" si="54"/>
        <v>0.1</v>
      </c>
      <c r="F260" s="48">
        <v>4.0299999999999997E-3</v>
      </c>
      <c r="G260" s="47">
        <f t="shared" si="55"/>
        <v>3.8600000000000001E-3</v>
      </c>
      <c r="H260" s="43">
        <f>Volcanic!D260</f>
        <v>0.14000000000000001</v>
      </c>
      <c r="I260" s="47">
        <f>Volcanic!E260</f>
        <v>5.2500000000000003E-3</v>
      </c>
      <c r="K260" s="47">
        <f t="shared" si="56"/>
        <v>0.25429168632221816</v>
      </c>
      <c r="L260" s="47">
        <f t="shared" si="57"/>
        <v>0.1</v>
      </c>
      <c r="M260" s="47">
        <f t="shared" si="58"/>
        <v>5.2500000000000003E-3</v>
      </c>
      <c r="O260" s="47">
        <f t="shared" si="59"/>
        <v>0.25429168632221816</v>
      </c>
      <c r="P260" s="47">
        <f t="shared" si="60"/>
        <v>0.14000000000000001</v>
      </c>
      <c r="Q260" s="47">
        <f t="shared" si="61"/>
        <v>3.8600000000000001E-3</v>
      </c>
      <c r="S260" s="47">
        <f t="shared" si="62"/>
        <v>0.25429168632221816</v>
      </c>
      <c r="T260" s="47">
        <f t="shared" si="63"/>
        <v>0.1</v>
      </c>
      <c r="U260" s="47">
        <f t="shared" si="64"/>
        <v>3.8600000000000001E-3</v>
      </c>
      <c r="W260" s="47">
        <f t="shared" si="65"/>
        <v>0.11925712990511253</v>
      </c>
      <c r="X260" s="47">
        <f t="shared" si="66"/>
        <v>0.11151239168462623</v>
      </c>
      <c r="Y260" s="47">
        <f t="shared" si="67"/>
        <v>0.11553558901677774</v>
      </c>
      <c r="AP260" s="48">
        <v>0.24610000000000001</v>
      </c>
      <c r="AQ260" s="48">
        <v>0.25969999999999999</v>
      </c>
      <c r="AR260" s="47">
        <f>IF(AP260="","",AP260-($AC$60+$AC$61*Volcanic!C260+$AC$62*Volcanic!D260+$AC$63*Volcanic!E260))</f>
        <v>0.11966823467167695</v>
      </c>
      <c r="AS260" s="47">
        <f>IF(AQ260="","",AQ260-($AD$60+$AD$61*Volcanic!C260+$AD$62*Volcanic!D260+$AD$63*Volcanic!E260))</f>
        <v>0.12399975485966908</v>
      </c>
    </row>
    <row r="261" spans="1:45">
      <c r="A261" s="45" t="str">
        <f>Volcanic!A261</f>
        <v>10/1979</v>
      </c>
      <c r="B261" s="43">
        <f>Volcanic!B261</f>
        <v>0.25999999999999979</v>
      </c>
      <c r="C261" s="47">
        <f>Volcanic!C261</f>
        <v>0.25545757034741712</v>
      </c>
      <c r="D261" s="41">
        <v>0.5</v>
      </c>
      <c r="E261" s="43">
        <f t="shared" ref="E261:E324" si="68">IF(D258="","",D258)</f>
        <v>0.1</v>
      </c>
      <c r="F261" s="48">
        <v>4.1599999999999996E-3</v>
      </c>
      <c r="G261" s="47">
        <f t="shared" si="55"/>
        <v>3.8700000000000002E-3</v>
      </c>
      <c r="H261" s="43">
        <f>Volcanic!D261</f>
        <v>0.09</v>
      </c>
      <c r="I261" s="47">
        <f>Volcanic!E261</f>
        <v>5.2300000000000003E-3</v>
      </c>
      <c r="K261" s="47">
        <f t="shared" si="56"/>
        <v>0.25545757034741712</v>
      </c>
      <c r="L261" s="47">
        <f t="shared" si="57"/>
        <v>0.1</v>
      </c>
      <c r="M261" s="47">
        <f t="shared" si="58"/>
        <v>5.2300000000000003E-3</v>
      </c>
      <c r="O261" s="47">
        <f t="shared" si="59"/>
        <v>0.25545757034741712</v>
      </c>
      <c r="P261" s="47">
        <f t="shared" si="60"/>
        <v>0.09</v>
      </c>
      <c r="Q261" s="47">
        <f t="shared" si="61"/>
        <v>3.8700000000000002E-3</v>
      </c>
      <c r="S261" s="47">
        <f t="shared" si="62"/>
        <v>0.25545757034741712</v>
      </c>
      <c r="T261" s="47">
        <f t="shared" si="63"/>
        <v>0.1</v>
      </c>
      <c r="U261" s="47">
        <f t="shared" si="64"/>
        <v>3.8700000000000002E-3</v>
      </c>
      <c r="W261" s="47">
        <f t="shared" si="65"/>
        <v>0.1260335181118932</v>
      </c>
      <c r="X261" s="47">
        <f t="shared" si="66"/>
        <v>0.1230832691001249</v>
      </c>
      <c r="Y261" s="47">
        <f t="shared" si="67"/>
        <v>0.12241004100907146</v>
      </c>
      <c r="AP261" s="48">
        <v>0.21809999999999999</v>
      </c>
      <c r="AQ261" s="48">
        <v>0.22670000000000001</v>
      </c>
      <c r="AR261" s="47">
        <f>IF(AP261="","",AP261-($AC$60+$AC$61*Volcanic!C261+$AC$62*Volcanic!D261+$AC$63*Volcanic!E261))</f>
        <v>9.3118793369801681E-2</v>
      </c>
      <c r="AS261" s="47">
        <f>IF(AQ261="","",AQ261-($AD$60+$AD$61*Volcanic!C261+$AD$62*Volcanic!D261+$AD$63*Volcanic!E261))</f>
        <v>9.2466648096753062E-2</v>
      </c>
    </row>
    <row r="262" spans="1:45">
      <c r="A262" s="45" t="str">
        <f>Volcanic!A262</f>
        <v>11/1979</v>
      </c>
      <c r="B262" s="43">
        <f>Volcanic!B262</f>
        <v>0.28000000000000114</v>
      </c>
      <c r="C262" s="47">
        <f>Volcanic!C262</f>
        <v>0.26011170737902828</v>
      </c>
      <c r="D262" s="41">
        <v>0.5</v>
      </c>
      <c r="E262" s="43">
        <f t="shared" si="68"/>
        <v>0.2</v>
      </c>
      <c r="F262" s="48">
        <v>4.28E-3</v>
      </c>
      <c r="G262" s="47">
        <f t="shared" si="55"/>
        <v>3.8899999999999998E-3</v>
      </c>
      <c r="H262" s="43">
        <f>Volcanic!D262</f>
        <v>0.22</v>
      </c>
      <c r="I262" s="47">
        <f>Volcanic!E262</f>
        <v>5.1700000000000001E-3</v>
      </c>
      <c r="K262" s="47">
        <f t="shared" si="56"/>
        <v>0.26011170737902828</v>
      </c>
      <c r="L262" s="47">
        <f t="shared" si="57"/>
        <v>0.2</v>
      </c>
      <c r="M262" s="47">
        <f t="shared" si="58"/>
        <v>5.1700000000000001E-3</v>
      </c>
      <c r="O262" s="47">
        <f t="shared" si="59"/>
        <v>0.26011170737902828</v>
      </c>
      <c r="P262" s="47">
        <f t="shared" si="60"/>
        <v>0.22</v>
      </c>
      <c r="Q262" s="47">
        <f t="shared" si="61"/>
        <v>3.8899999999999998E-3</v>
      </c>
      <c r="S262" s="47">
        <f t="shared" si="62"/>
        <v>0.26011170737902828</v>
      </c>
      <c r="T262" s="47">
        <f t="shared" si="63"/>
        <v>0.2</v>
      </c>
      <c r="U262" s="47">
        <f t="shared" si="64"/>
        <v>3.8899999999999998E-3</v>
      </c>
      <c r="W262" s="47">
        <f t="shared" si="65"/>
        <v>0.12392144264421928</v>
      </c>
      <c r="X262" s="47">
        <f t="shared" si="66"/>
        <v>0.11834099418325922</v>
      </c>
      <c r="Y262" s="47">
        <f t="shared" si="67"/>
        <v>0.12047982830875231</v>
      </c>
      <c r="AP262" s="48">
        <v>0.28039999999999998</v>
      </c>
      <c r="AQ262" s="48">
        <v>0.2477</v>
      </c>
      <c r="AR262" s="47">
        <f>IF(AP262="","",AP262-($AC$60+$AC$61*Volcanic!C262+$AC$62*Volcanic!D262+$AC$63*Volcanic!E262))</f>
        <v>0.13039193394469456</v>
      </c>
      <c r="AS262" s="47">
        <f>IF(AQ262="","",AQ262-($AD$60+$AD$61*Volcanic!C262+$AD$62*Volcanic!D262+$AD$63*Volcanic!E262))</f>
        <v>8.7870125009819222E-2</v>
      </c>
    </row>
    <row r="263" spans="1:45">
      <c r="A263" s="45" t="str">
        <f>Volcanic!A263</f>
        <v>12/1979</v>
      </c>
      <c r="B263" s="43">
        <f>Volcanic!B263</f>
        <v>0.47000000000000242</v>
      </c>
      <c r="C263" s="47">
        <f>Volcanic!C263</f>
        <v>0.26650814596160988</v>
      </c>
      <c r="D263" s="41">
        <v>0.6</v>
      </c>
      <c r="E263" s="43">
        <f t="shared" si="68"/>
        <v>0.3</v>
      </c>
      <c r="F263" s="48">
        <v>4.5100000000000001E-3</v>
      </c>
      <c r="G263" s="47">
        <f t="shared" si="55"/>
        <v>3.8899999999999998E-3</v>
      </c>
      <c r="H263" s="43">
        <f>Volcanic!D263</f>
        <v>0.34</v>
      </c>
      <c r="I263" s="47">
        <f>Volcanic!E263</f>
        <v>5.0899999999999999E-3</v>
      </c>
      <c r="K263" s="47">
        <f t="shared" si="56"/>
        <v>0.26650814596160988</v>
      </c>
      <c r="L263" s="47">
        <f t="shared" si="57"/>
        <v>0.3</v>
      </c>
      <c r="M263" s="47">
        <f t="shared" si="58"/>
        <v>5.0899999999999999E-3</v>
      </c>
      <c r="O263" s="47">
        <f t="shared" si="59"/>
        <v>0.26650814596160988</v>
      </c>
      <c r="P263" s="47">
        <f t="shared" si="60"/>
        <v>0.34</v>
      </c>
      <c r="Q263" s="47">
        <f t="shared" si="61"/>
        <v>3.8899999999999998E-3</v>
      </c>
      <c r="S263" s="47">
        <f t="shared" si="62"/>
        <v>0.26650814596160988</v>
      </c>
      <c r="T263" s="47">
        <f t="shared" si="63"/>
        <v>0.3</v>
      </c>
      <c r="U263" s="47">
        <f t="shared" si="64"/>
        <v>3.8899999999999998E-3</v>
      </c>
      <c r="W263" s="47">
        <f t="shared" si="65"/>
        <v>0.28701377799501737</v>
      </c>
      <c r="X263" s="47">
        <f t="shared" si="66"/>
        <v>0.27977537657782703</v>
      </c>
      <c r="Y263" s="47">
        <f t="shared" si="67"/>
        <v>0.28378737687699329</v>
      </c>
      <c r="AP263" s="48">
        <v>0.4597</v>
      </c>
      <c r="AQ263" s="48">
        <v>0.48670000000000002</v>
      </c>
      <c r="AR263" s="47">
        <f>IF(AP263="","",AP263-($AC$60+$AC$61*Volcanic!C263+$AC$62*Volcanic!D263+$AC$63*Volcanic!E263))</f>
        <v>0.28079585880781743</v>
      </c>
      <c r="AS263" s="47">
        <f>IF(AQ263="","",AQ263-($AD$60+$AD$61*Volcanic!C263+$AD$62*Volcanic!D263+$AD$63*Volcanic!E263))</f>
        <v>0.29730343826797845</v>
      </c>
    </row>
    <row r="264" spans="1:45">
      <c r="A264" s="45" t="str">
        <f>Volcanic!A264</f>
        <v>1/1980</v>
      </c>
      <c r="B264" s="43">
        <f>Volcanic!B264</f>
        <v>0.30000000000000249</v>
      </c>
      <c r="C264" s="47">
        <f>Volcanic!C264</f>
        <v>0.2711695233314726</v>
      </c>
      <c r="D264" s="41">
        <v>0.6</v>
      </c>
      <c r="E264" s="43">
        <f t="shared" si="68"/>
        <v>0.5</v>
      </c>
      <c r="F264" s="48">
        <v>4.6800000000000001E-3</v>
      </c>
      <c r="G264" s="47">
        <f t="shared" si="55"/>
        <v>3.9399999999999999E-3</v>
      </c>
      <c r="H264" s="43">
        <f>Volcanic!D264</f>
        <v>0.47</v>
      </c>
      <c r="I264" s="47">
        <f>Volcanic!E264</f>
        <v>5.1200000000000004E-3</v>
      </c>
      <c r="K264" s="47">
        <f t="shared" si="56"/>
        <v>0.2711695233314726</v>
      </c>
      <c r="L264" s="47">
        <f t="shared" si="57"/>
        <v>0.5</v>
      </c>
      <c r="M264" s="47">
        <f t="shared" si="58"/>
        <v>5.1200000000000004E-3</v>
      </c>
      <c r="O264" s="47">
        <f t="shared" si="59"/>
        <v>0.2711695233314726</v>
      </c>
      <c r="P264" s="47">
        <f t="shared" si="60"/>
        <v>0.47</v>
      </c>
      <c r="Q264" s="47">
        <f t="shared" si="61"/>
        <v>3.9399999999999999E-3</v>
      </c>
      <c r="S264" s="47">
        <f t="shared" si="62"/>
        <v>0.2711695233314726</v>
      </c>
      <c r="T264" s="47">
        <f t="shared" si="63"/>
        <v>0.5</v>
      </c>
      <c r="U264" s="47">
        <f t="shared" si="64"/>
        <v>3.9399999999999999E-3</v>
      </c>
      <c r="W264" s="47">
        <f t="shared" si="65"/>
        <v>8.5792942814848533E-2</v>
      </c>
      <c r="X264" s="47">
        <f t="shared" si="66"/>
        <v>8.5091909403097798E-2</v>
      </c>
      <c r="Y264" s="47">
        <f t="shared" si="67"/>
        <v>8.2514954322564726E-2</v>
      </c>
      <c r="AP264" s="48">
        <v>0.32390000000000002</v>
      </c>
      <c r="AQ264" s="48">
        <v>0.36770000000000003</v>
      </c>
      <c r="AR264" s="47">
        <f>IF(AP264="","",AP264-($AC$60+$AC$61*Volcanic!C264+$AC$62*Volcanic!D264+$AC$63*Volcanic!E264))</f>
        <v>0.12016578688187443</v>
      </c>
      <c r="AS264" s="47">
        <f>IF(AQ264="","",AQ264-($AD$60+$AD$61*Volcanic!C264+$AD$62*Volcanic!D264+$AD$63*Volcanic!E264))</f>
        <v>0.15289276780014557</v>
      </c>
    </row>
    <row r="265" spans="1:45">
      <c r="A265" s="45" t="str">
        <f>Volcanic!A265</f>
        <v>2/1980</v>
      </c>
      <c r="B265" s="43">
        <f>Volcanic!B265</f>
        <v>0.38999999999999879</v>
      </c>
      <c r="C265" s="47">
        <f>Volcanic!C265</f>
        <v>0.27304692161483607</v>
      </c>
      <c r="D265" s="41">
        <v>0.5</v>
      </c>
      <c r="E265" s="43">
        <f t="shared" si="68"/>
        <v>0.5</v>
      </c>
      <c r="F265" s="48">
        <v>4.6600000000000001E-3</v>
      </c>
      <c r="G265" s="47">
        <f t="shared" ref="G265:G328" si="69">IF(F258="","",F258)</f>
        <v>4.0099999999999997E-3</v>
      </c>
      <c r="H265" s="43">
        <f>Volcanic!D265</f>
        <v>0.5</v>
      </c>
      <c r="I265" s="47">
        <f>Volcanic!E265</f>
        <v>5.1500000000000001E-3</v>
      </c>
      <c r="K265" s="47">
        <f t="shared" si="56"/>
        <v>0.27304692161483607</v>
      </c>
      <c r="L265" s="47">
        <f t="shared" si="57"/>
        <v>0.5</v>
      </c>
      <c r="M265" s="47">
        <f t="shared" si="58"/>
        <v>5.1500000000000001E-3</v>
      </c>
      <c r="O265" s="47">
        <f t="shared" si="59"/>
        <v>0.27304692161483607</v>
      </c>
      <c r="P265" s="47">
        <f t="shared" si="60"/>
        <v>0.5</v>
      </c>
      <c r="Q265" s="47">
        <f t="shared" si="61"/>
        <v>4.0099999999999997E-3</v>
      </c>
      <c r="S265" s="47">
        <f t="shared" si="62"/>
        <v>0.27304692161483607</v>
      </c>
      <c r="T265" s="47">
        <f t="shared" si="63"/>
        <v>0.5</v>
      </c>
      <c r="U265" s="47">
        <f t="shared" si="64"/>
        <v>4.0099999999999997E-3</v>
      </c>
      <c r="W265" s="47">
        <f t="shared" si="65"/>
        <v>0.17073910075291834</v>
      </c>
      <c r="X265" s="47">
        <f t="shared" si="66"/>
        <v>0.16738102240532943</v>
      </c>
      <c r="Y265" s="47">
        <f t="shared" si="67"/>
        <v>0.1676229369394705</v>
      </c>
      <c r="AP265" s="48">
        <v>0.43009999999999998</v>
      </c>
      <c r="AQ265" s="48">
        <v>0.45369999999999999</v>
      </c>
      <c r="AR265" s="47">
        <f>IF(AP265="","",AP265-($AC$60+$AC$61*Volcanic!C265+$AC$62*Volcanic!D265+$AC$63*Volcanic!E265))</f>
        <v>0.2185021809050007</v>
      </c>
      <c r="AS265" s="47">
        <f>IF(AQ265="","",AQ265-($AD$60+$AD$61*Volcanic!C265+$AD$62*Volcanic!D265+$AD$63*Volcanic!E265))</f>
        <v>0.23083615727256332</v>
      </c>
    </row>
    <row r="266" spans="1:45">
      <c r="A266" s="45" t="str">
        <f>Volcanic!A266</f>
        <v>3/1980</v>
      </c>
      <c r="B266" s="43">
        <f>Volcanic!B266</f>
        <v>0.28999999999999559</v>
      </c>
      <c r="C266" s="47">
        <f>Volcanic!C266</f>
        <v>0.28040491407037693</v>
      </c>
      <c r="D266" s="41">
        <v>0.4</v>
      </c>
      <c r="E266" s="43">
        <f t="shared" si="68"/>
        <v>0.6</v>
      </c>
      <c r="F266" s="48">
        <v>4.5799999999999999E-3</v>
      </c>
      <c r="G266" s="47">
        <f t="shared" si="69"/>
        <v>3.9899999999999996E-3</v>
      </c>
      <c r="H266" s="43">
        <f>Volcanic!D266</f>
        <v>0.64</v>
      </c>
      <c r="I266" s="47">
        <f>Volcanic!E266</f>
        <v>5.3200000000000001E-3</v>
      </c>
      <c r="K266" s="47">
        <f t="shared" si="56"/>
        <v>0.28040491407037693</v>
      </c>
      <c r="L266" s="47">
        <f t="shared" si="57"/>
        <v>0.6</v>
      </c>
      <c r="M266" s="47">
        <f t="shared" si="58"/>
        <v>5.3200000000000001E-3</v>
      </c>
      <c r="O266" s="47">
        <f t="shared" si="59"/>
        <v>0.28040491407037693</v>
      </c>
      <c r="P266" s="47">
        <f t="shared" si="60"/>
        <v>0.64</v>
      </c>
      <c r="Q266" s="47">
        <f t="shared" si="61"/>
        <v>3.9899999999999996E-3</v>
      </c>
      <c r="S266" s="47">
        <f t="shared" si="62"/>
        <v>0.28040491407037693</v>
      </c>
      <c r="T266" s="47">
        <f t="shared" si="63"/>
        <v>0.6</v>
      </c>
      <c r="U266" s="47">
        <f t="shared" si="64"/>
        <v>3.9899999999999996E-3</v>
      </c>
      <c r="W266" s="47">
        <f t="shared" si="65"/>
        <v>4.1760015160589109E-2</v>
      </c>
      <c r="X266" s="47">
        <f t="shared" si="66"/>
        <v>3.4284789443023433E-2</v>
      </c>
      <c r="Y266" s="47">
        <f t="shared" si="67"/>
        <v>3.8278823269086715E-2</v>
      </c>
      <c r="AP266" s="48">
        <v>0.2853</v>
      </c>
      <c r="AQ266" s="48">
        <v>0.35470000000000002</v>
      </c>
      <c r="AR266" s="47">
        <f>IF(AP266="","",AP266-($AC$60+$AC$61*Volcanic!C266+$AC$62*Volcanic!D266+$AC$63*Volcanic!E266))</f>
        <v>4.090912702576191E-2</v>
      </c>
      <c r="AS266" s="47">
        <f>IF(AQ266="","",AQ266-($AD$60+$AD$61*Volcanic!C266+$AD$62*Volcanic!D266+$AD$63*Volcanic!E266))</f>
        <v>9.823756359902297E-2</v>
      </c>
    </row>
    <row r="267" spans="1:45">
      <c r="A267" s="45" t="str">
        <f>Volcanic!A267</f>
        <v>4/1980</v>
      </c>
      <c r="B267" s="43">
        <f>Volcanic!B267</f>
        <v>0.30000000000000249</v>
      </c>
      <c r="C267" s="47">
        <f>Volcanic!C267</f>
        <v>0.28404872727074498</v>
      </c>
      <c r="D267" s="41">
        <v>0.3</v>
      </c>
      <c r="E267" s="43">
        <f t="shared" si="68"/>
        <v>0.6</v>
      </c>
      <c r="F267" s="48">
        <v>4.5999999999999999E-3</v>
      </c>
      <c r="G267" s="47">
        <f t="shared" si="69"/>
        <v>4.0299999999999997E-3</v>
      </c>
      <c r="H267" s="43">
        <f>Volcanic!D267</f>
        <v>0.62</v>
      </c>
      <c r="I267" s="47">
        <f>Volcanic!E267</f>
        <v>5.5700000000000003E-3</v>
      </c>
      <c r="K267" s="47">
        <f t="shared" si="56"/>
        <v>0.28404872727074498</v>
      </c>
      <c r="L267" s="47">
        <f t="shared" si="57"/>
        <v>0.6</v>
      </c>
      <c r="M267" s="47">
        <f t="shared" si="58"/>
        <v>5.5700000000000003E-3</v>
      </c>
      <c r="O267" s="47">
        <f t="shared" si="59"/>
        <v>0.28404872727074498</v>
      </c>
      <c r="P267" s="47">
        <f t="shared" si="60"/>
        <v>0.62</v>
      </c>
      <c r="Q267" s="47">
        <f t="shared" si="61"/>
        <v>4.0299999999999997E-3</v>
      </c>
      <c r="S267" s="47">
        <f t="shared" si="62"/>
        <v>0.28404872727074498</v>
      </c>
      <c r="T267" s="47">
        <f t="shared" si="63"/>
        <v>0.6</v>
      </c>
      <c r="U267" s="47">
        <f t="shared" si="64"/>
        <v>4.0299999999999997E-3</v>
      </c>
      <c r="W267" s="47">
        <f t="shared" si="65"/>
        <v>4.2373669143615622E-2</v>
      </c>
      <c r="X267" s="47">
        <f t="shared" si="66"/>
        <v>3.6416687202444509E-2</v>
      </c>
      <c r="Y267" s="47">
        <f t="shared" si="67"/>
        <v>3.8533223724495413E-2</v>
      </c>
      <c r="AP267" s="48">
        <v>0.30580000000000002</v>
      </c>
      <c r="AQ267" s="48">
        <v>0.40970000000000001</v>
      </c>
      <c r="AR267" s="47">
        <f>IF(AP267="","",AP267-($AC$60+$AC$61*Volcanic!C267+$AC$62*Volcanic!D267+$AC$63*Volcanic!E267))</f>
        <v>5.3933753300574927E-2</v>
      </c>
      <c r="AS267" s="47">
        <f>IF(AQ267="","",AQ267-($AD$60+$AD$61*Volcanic!C267+$AD$62*Volcanic!D267+$AD$63*Volcanic!E267))</f>
        <v>0.14551550908227967</v>
      </c>
    </row>
    <row r="268" spans="1:45">
      <c r="A268" s="45" t="str">
        <f>Volcanic!A268</f>
        <v>5/1980</v>
      </c>
      <c r="B268" s="43">
        <f>Volcanic!B268</f>
        <v>0.34999999999999787</v>
      </c>
      <c r="C268" s="47">
        <f>Volcanic!C268</f>
        <v>0.28624750673812982</v>
      </c>
      <c r="D268" s="41">
        <v>0.5</v>
      </c>
      <c r="E268" s="43">
        <f t="shared" si="68"/>
        <v>0.5</v>
      </c>
      <c r="F268" s="48">
        <v>4.5900000000000003E-3</v>
      </c>
      <c r="G268" s="47">
        <f t="shared" si="69"/>
        <v>4.1599999999999996E-3</v>
      </c>
      <c r="H268" s="43">
        <f>Volcanic!D268</f>
        <v>0.47</v>
      </c>
      <c r="I268" s="47">
        <f>Volcanic!E268</f>
        <v>5.9100000000000003E-3</v>
      </c>
      <c r="K268" s="47">
        <f t="shared" si="56"/>
        <v>0.28624750673812982</v>
      </c>
      <c r="L268" s="47">
        <f t="shared" si="57"/>
        <v>0.5</v>
      </c>
      <c r="M268" s="47">
        <f t="shared" si="58"/>
        <v>5.9100000000000003E-3</v>
      </c>
      <c r="O268" s="47">
        <f t="shared" si="59"/>
        <v>0.28624750673812982</v>
      </c>
      <c r="P268" s="47">
        <f t="shared" si="60"/>
        <v>0.47</v>
      </c>
      <c r="Q268" s="47">
        <f t="shared" si="61"/>
        <v>4.1599999999999996E-3</v>
      </c>
      <c r="S268" s="47">
        <f t="shared" si="62"/>
        <v>0.28624750673812982</v>
      </c>
      <c r="T268" s="47">
        <f t="shared" si="63"/>
        <v>0.5</v>
      </c>
      <c r="U268" s="47">
        <f t="shared" si="64"/>
        <v>4.1599999999999996E-3</v>
      </c>
      <c r="W268" s="47">
        <f t="shared" si="65"/>
        <v>9.6413796430886711E-2</v>
      </c>
      <c r="X268" s="47">
        <f t="shared" si="66"/>
        <v>9.4902199078954474E-2</v>
      </c>
      <c r="Y268" s="47">
        <f t="shared" si="67"/>
        <v>9.2330486615841201E-2</v>
      </c>
      <c r="AP268" s="48">
        <v>0.31780000000000003</v>
      </c>
      <c r="AQ268" s="48">
        <v>0.37369999999999998</v>
      </c>
      <c r="AR268" s="47">
        <f>IF(AP268="","",AP268-($AC$60+$AC$61*Volcanic!C268+$AC$62*Volcanic!D268+$AC$63*Volcanic!E268))</f>
        <v>7.4794621565576758E-2</v>
      </c>
      <c r="AS268" s="47">
        <f>IF(AQ268="","",AQ268-($AD$60+$AD$61*Volcanic!C268+$AD$62*Volcanic!D268+$AD$63*Volcanic!E268))</f>
        <v>0.11847033406331031</v>
      </c>
    </row>
    <row r="269" spans="1:45">
      <c r="A269" s="45" t="str">
        <f>Volcanic!A269</f>
        <v>6/1980</v>
      </c>
      <c r="B269" s="43">
        <f>Volcanic!B269</f>
        <v>0.20000000000000107</v>
      </c>
      <c r="C269" s="47">
        <f>Volcanic!C269</f>
        <v>0.28586718848142018</v>
      </c>
      <c r="D269" s="41">
        <v>0.4</v>
      </c>
      <c r="E269" s="43">
        <f t="shared" si="68"/>
        <v>0.4</v>
      </c>
      <c r="F269" s="48">
        <v>5.1399999999999996E-3</v>
      </c>
      <c r="G269" s="47">
        <f t="shared" si="69"/>
        <v>4.28E-3</v>
      </c>
      <c r="H269" s="43">
        <f>Volcanic!D269</f>
        <v>0.35</v>
      </c>
      <c r="I269" s="47">
        <f>Volcanic!E269</f>
        <v>6.0800000000000003E-3</v>
      </c>
      <c r="K269" s="47">
        <f t="shared" si="56"/>
        <v>0.28586718848142018</v>
      </c>
      <c r="L269" s="47">
        <f t="shared" si="57"/>
        <v>0.4</v>
      </c>
      <c r="M269" s="47">
        <f t="shared" si="58"/>
        <v>6.0800000000000003E-3</v>
      </c>
      <c r="O269" s="47">
        <f t="shared" si="59"/>
        <v>0.28586718848142018</v>
      </c>
      <c r="P269" s="47">
        <f t="shared" si="60"/>
        <v>0.35</v>
      </c>
      <c r="Q269" s="47">
        <f t="shared" si="61"/>
        <v>4.28E-3</v>
      </c>
      <c r="S269" s="47">
        <f t="shared" si="62"/>
        <v>0.28586718848142018</v>
      </c>
      <c r="T269" s="47">
        <f t="shared" si="63"/>
        <v>0.4</v>
      </c>
      <c r="U269" s="47">
        <f t="shared" si="64"/>
        <v>4.28E-3</v>
      </c>
      <c r="W269" s="47">
        <f t="shared" si="65"/>
        <v>-4.288708768869684E-2</v>
      </c>
      <c r="X269" s="47">
        <f t="shared" si="66"/>
        <v>-4.2483708231640299E-2</v>
      </c>
      <c r="Y269" s="47">
        <f t="shared" si="67"/>
        <v>-4.6926395750643696E-2</v>
      </c>
      <c r="AP269" s="48">
        <v>0.2014</v>
      </c>
      <c r="AQ269" s="48">
        <v>0.20369999999999999</v>
      </c>
      <c r="AR269" s="47">
        <f>IF(AP269="","",AP269-($AC$60+$AC$61*Volcanic!C269+$AC$62*Volcanic!D269+$AC$63*Volcanic!E269))</f>
        <v>-2.8920412131579448E-2</v>
      </c>
      <c r="AS269" s="47">
        <f>IF(AQ269="","",AQ269-($AD$60+$AD$61*Volcanic!C269+$AD$62*Volcanic!D269+$AD$63*Volcanic!E269))</f>
        <v>-3.8607355161146856E-2</v>
      </c>
    </row>
    <row r="270" spans="1:45">
      <c r="A270" s="45" t="str">
        <f>Volcanic!A270</f>
        <v>7/1980</v>
      </c>
      <c r="B270" s="43">
        <f>Volcanic!B270</f>
        <v>0.22000000000000242</v>
      </c>
      <c r="C270" s="47">
        <f>Volcanic!C270</f>
        <v>0.27777225815571982</v>
      </c>
      <c r="D270" s="41">
        <v>0.2</v>
      </c>
      <c r="E270" s="43">
        <f t="shared" si="68"/>
        <v>0.3</v>
      </c>
      <c r="F270" s="48">
        <v>5.79E-3</v>
      </c>
      <c r="G270" s="47">
        <f t="shared" si="69"/>
        <v>4.5100000000000001E-3</v>
      </c>
      <c r="H270" s="43">
        <f>Volcanic!D270</f>
        <v>0.34</v>
      </c>
      <c r="I270" s="47">
        <f>Volcanic!E270</f>
        <v>6.1900000000000002E-3</v>
      </c>
      <c r="K270" s="47">
        <f t="shared" si="56"/>
        <v>0.27777225815571982</v>
      </c>
      <c r="L270" s="47">
        <f t="shared" si="57"/>
        <v>0.3</v>
      </c>
      <c r="M270" s="47">
        <f t="shared" si="58"/>
        <v>6.1900000000000002E-3</v>
      </c>
      <c r="O270" s="47">
        <f t="shared" si="59"/>
        <v>0.27777225815571982</v>
      </c>
      <c r="P270" s="47">
        <f t="shared" si="60"/>
        <v>0.34</v>
      </c>
      <c r="Q270" s="47">
        <f t="shared" si="61"/>
        <v>4.5100000000000001E-3</v>
      </c>
      <c r="S270" s="47">
        <f t="shared" si="62"/>
        <v>0.27777225815571982</v>
      </c>
      <c r="T270" s="47">
        <f t="shared" si="63"/>
        <v>0.3</v>
      </c>
      <c r="U270" s="47">
        <f t="shared" si="64"/>
        <v>4.5100000000000001E-3</v>
      </c>
      <c r="W270" s="47">
        <f t="shared" si="65"/>
        <v>8.7187254495251776E-3</v>
      </c>
      <c r="X270" s="47">
        <f t="shared" si="66"/>
        <v>9.4186838312154686E-4</v>
      </c>
      <c r="Y270" s="47">
        <f t="shared" si="67"/>
        <v>4.9591896614759601E-3</v>
      </c>
      <c r="AP270" s="48">
        <v>0.27739999999999998</v>
      </c>
      <c r="AQ270" s="48">
        <v>0.28970000000000001</v>
      </c>
      <c r="AR270" s="47">
        <f>IF(AP270="","",AP270-($AC$60+$AC$61*Volcanic!C270+$AC$62*Volcanic!D270+$AC$63*Volcanic!E270))</f>
        <v>7.0384803183451305E-2</v>
      </c>
      <c r="AS270" s="47">
        <f>IF(AQ270="","",AQ270-($AD$60+$AD$61*Volcanic!C270+$AD$62*Volcanic!D270+$AD$63*Volcanic!E270))</f>
        <v>7.1273259208365969E-2</v>
      </c>
    </row>
    <row r="271" spans="1:45">
      <c r="A271" s="45" t="str">
        <f>Volcanic!A271</f>
        <v>8/1980</v>
      </c>
      <c r="B271" s="43">
        <f>Volcanic!B271</f>
        <v>0.17999999999999972</v>
      </c>
      <c r="C271" s="47">
        <f>Volcanic!C271</f>
        <v>0.2701871828716399</v>
      </c>
      <c r="D271" s="41">
        <v>-0.1</v>
      </c>
      <c r="E271" s="43">
        <f t="shared" si="68"/>
        <v>0.5</v>
      </c>
      <c r="F271" s="48">
        <v>6.1799999999999997E-3</v>
      </c>
      <c r="G271" s="47">
        <f t="shared" si="69"/>
        <v>4.6800000000000001E-3</v>
      </c>
      <c r="H271" s="43">
        <f>Volcanic!D271</f>
        <v>0.45</v>
      </c>
      <c r="I271" s="47">
        <f>Volcanic!E271</f>
        <v>6.7200000000000003E-3</v>
      </c>
      <c r="K271" s="47">
        <f t="shared" si="56"/>
        <v>0.2701871828716399</v>
      </c>
      <c r="L271" s="47">
        <f t="shared" si="57"/>
        <v>0.5</v>
      </c>
      <c r="M271" s="47">
        <f t="shared" si="58"/>
        <v>6.7200000000000003E-3</v>
      </c>
      <c r="O271" s="47">
        <f t="shared" si="59"/>
        <v>0.2701871828716399</v>
      </c>
      <c r="P271" s="47">
        <f t="shared" si="60"/>
        <v>0.45</v>
      </c>
      <c r="Q271" s="47">
        <f t="shared" si="61"/>
        <v>4.6800000000000001E-3</v>
      </c>
      <c r="S271" s="47">
        <f t="shared" si="62"/>
        <v>0.2701871828716399</v>
      </c>
      <c r="T271" s="47">
        <f t="shared" si="63"/>
        <v>0.5</v>
      </c>
      <c r="U271" s="47">
        <f t="shared" si="64"/>
        <v>4.6800000000000001E-3</v>
      </c>
      <c r="W271" s="47">
        <f t="shared" si="65"/>
        <v>-2.8002426788909102E-2</v>
      </c>
      <c r="X271" s="47">
        <f t="shared" si="66"/>
        <v>-2.8440095459161402E-2</v>
      </c>
      <c r="Y271" s="47">
        <f t="shared" si="67"/>
        <v>-3.2893790689481672E-2</v>
      </c>
      <c r="AP271" s="48">
        <v>0.2366</v>
      </c>
      <c r="AQ271" s="48">
        <v>0.25369999999999998</v>
      </c>
      <c r="AR271" s="47">
        <f>IF(AP271="","",AP271-($AC$60+$AC$61*Volcanic!C271+$AC$62*Volcanic!D271+$AC$63*Volcanic!E271))</f>
        <v>4.1270996168739665E-2</v>
      </c>
      <c r="AS271" s="47">
        <f>IF(AQ271="","",AQ271-($AD$60+$AD$61*Volcanic!C271+$AD$62*Volcanic!D271+$AD$63*Volcanic!E271))</f>
        <v>4.7220054132550898E-2</v>
      </c>
    </row>
    <row r="272" spans="1:45">
      <c r="A272" s="45" t="str">
        <f>Volcanic!A272</f>
        <v>9/1980</v>
      </c>
      <c r="B272" s="43">
        <f>Volcanic!B272</f>
        <v>0.20000000000000107</v>
      </c>
      <c r="C272" s="47">
        <f>Volcanic!C272</f>
        <v>0.26410744049902013</v>
      </c>
      <c r="D272" s="41">
        <v>-0.2</v>
      </c>
      <c r="E272" s="43">
        <f t="shared" si="68"/>
        <v>0.4</v>
      </c>
      <c r="F272" s="48">
        <v>6.4799999999999996E-3</v>
      </c>
      <c r="G272" s="47">
        <f t="shared" si="69"/>
        <v>4.6600000000000001E-3</v>
      </c>
      <c r="H272" s="43">
        <f>Volcanic!D272</f>
        <v>0.4</v>
      </c>
      <c r="I272" s="47">
        <f>Volcanic!E272</f>
        <v>6.6499999999999997E-3</v>
      </c>
      <c r="K272" s="47">
        <f t="shared" si="56"/>
        <v>0.26410744049902013</v>
      </c>
      <c r="L272" s="47">
        <f t="shared" si="57"/>
        <v>0.4</v>
      </c>
      <c r="M272" s="47">
        <f t="shared" si="58"/>
        <v>6.6499999999999997E-3</v>
      </c>
      <c r="O272" s="47">
        <f t="shared" si="59"/>
        <v>0.26410744049902013</v>
      </c>
      <c r="P272" s="47">
        <f t="shared" si="60"/>
        <v>0.4</v>
      </c>
      <c r="Q272" s="47">
        <f t="shared" si="61"/>
        <v>4.6600000000000001E-3</v>
      </c>
      <c r="S272" s="47">
        <f t="shared" si="62"/>
        <v>0.26410744049902013</v>
      </c>
      <c r="T272" s="47">
        <f t="shared" si="63"/>
        <v>0.4</v>
      </c>
      <c r="U272" s="47">
        <f t="shared" si="64"/>
        <v>4.6600000000000001E-3</v>
      </c>
      <c r="W272" s="47">
        <f t="shared" si="65"/>
        <v>1.7711030854280135E-2</v>
      </c>
      <c r="X272" s="47">
        <f t="shared" si="66"/>
        <v>1.2641521085363455E-2</v>
      </c>
      <c r="Y272" s="47">
        <f t="shared" si="67"/>
        <v>1.2890226774544711E-2</v>
      </c>
      <c r="AP272" s="48">
        <v>0.19719999999999999</v>
      </c>
      <c r="AQ272" s="48">
        <v>0.1837</v>
      </c>
      <c r="AR272" s="47">
        <f>IF(AP272="","",AP272-($AC$60+$AC$61*Volcanic!C272+$AC$62*Volcanic!D272+$AC$63*Volcanic!E272))</f>
        <v>2.2986210944506702E-2</v>
      </c>
      <c r="AS272" s="47">
        <f>IF(AQ272="","",AQ272-($AD$60+$AD$61*Volcanic!C272+$AD$62*Volcanic!D272+$AD$63*Volcanic!E272))</f>
        <v>-1.1333477460252761E-3</v>
      </c>
    </row>
    <row r="273" spans="1:45">
      <c r="A273" s="45" t="str">
        <f>Volcanic!A273</f>
        <v>10/1980</v>
      </c>
      <c r="B273" s="43">
        <f>Volcanic!B273</f>
        <v>0.12999999999999901</v>
      </c>
      <c r="C273" s="47">
        <f>Volcanic!C273</f>
        <v>0.26363540356832926</v>
      </c>
      <c r="D273" s="41">
        <v>-0.1</v>
      </c>
      <c r="E273" s="43">
        <f t="shared" si="68"/>
        <v>0.2</v>
      </c>
      <c r="F273" s="48">
        <v>6.6299999999999996E-3</v>
      </c>
      <c r="G273" s="47">
        <f t="shared" si="69"/>
        <v>4.5799999999999999E-3</v>
      </c>
      <c r="H273" s="43">
        <f>Volcanic!D273</f>
        <v>0.18</v>
      </c>
      <c r="I273" s="47">
        <f>Volcanic!E273</f>
        <v>6.5399999999999998E-3</v>
      </c>
      <c r="K273" s="47">
        <f t="shared" si="56"/>
        <v>0.26363540356832926</v>
      </c>
      <c r="L273" s="47">
        <f t="shared" si="57"/>
        <v>0.2</v>
      </c>
      <c r="M273" s="47">
        <f t="shared" si="58"/>
        <v>6.5399999999999998E-3</v>
      </c>
      <c r="O273" s="47">
        <f t="shared" si="59"/>
        <v>0.26363540356832926</v>
      </c>
      <c r="P273" s="47">
        <f t="shared" si="60"/>
        <v>0.18</v>
      </c>
      <c r="Q273" s="47">
        <f t="shared" si="61"/>
        <v>4.5799999999999999E-3</v>
      </c>
      <c r="S273" s="47">
        <f t="shared" si="62"/>
        <v>0.26363540356832926</v>
      </c>
      <c r="T273" s="47">
        <f t="shared" si="63"/>
        <v>0.2</v>
      </c>
      <c r="U273" s="47">
        <f t="shared" si="64"/>
        <v>4.5799999999999999E-3</v>
      </c>
      <c r="W273" s="47">
        <f t="shared" si="65"/>
        <v>-3.2669378165949781E-2</v>
      </c>
      <c r="X273" s="47">
        <f t="shared" si="66"/>
        <v>-3.562534963038641E-2</v>
      </c>
      <c r="Y273" s="47">
        <f t="shared" si="67"/>
        <v>-3.7240769348176467E-2</v>
      </c>
      <c r="AP273" s="48">
        <v>0.16589999999999999</v>
      </c>
      <c r="AQ273" s="48">
        <v>0.14269999999999999</v>
      </c>
      <c r="AR273" s="47">
        <f>IF(AP273="","",AP273-($AC$60+$AC$61*Volcanic!C273+$AC$62*Volcanic!D273+$AC$63*Volcanic!E273))</f>
        <v>1.3312399042416739E-2</v>
      </c>
      <c r="AS273" s="47">
        <f>IF(AQ273="","",AQ273-($AD$60+$AD$61*Volcanic!C273+$AD$62*Volcanic!D273+$AD$63*Volcanic!E273))</f>
        <v>-2.0039009436658151E-2</v>
      </c>
    </row>
    <row r="274" spans="1:45">
      <c r="A274" s="45" t="str">
        <f>Volcanic!A274</f>
        <v>11/1980</v>
      </c>
      <c r="B274" s="43">
        <f>Volcanic!B274</f>
        <v>0.30000000000000249</v>
      </c>
      <c r="C274" s="47">
        <f>Volcanic!C274</f>
        <v>0.26860549118579774</v>
      </c>
      <c r="D274" s="41">
        <v>0.1</v>
      </c>
      <c r="E274" s="43">
        <f t="shared" si="68"/>
        <v>-0.1</v>
      </c>
      <c r="F274" s="48">
        <v>6.3499999999999997E-3</v>
      </c>
      <c r="G274" s="47">
        <f t="shared" si="69"/>
        <v>4.5999999999999999E-3</v>
      </c>
      <c r="H274" s="43">
        <f>Volcanic!D274</f>
        <v>-0.06</v>
      </c>
      <c r="I274" s="47">
        <f>Volcanic!E274</f>
        <v>6.45E-3</v>
      </c>
      <c r="K274" s="47">
        <f t="shared" si="56"/>
        <v>0.26860549118579774</v>
      </c>
      <c r="L274" s="47">
        <f t="shared" si="57"/>
        <v>-0.1</v>
      </c>
      <c r="M274" s="47">
        <f t="shared" si="58"/>
        <v>6.45E-3</v>
      </c>
      <c r="O274" s="47">
        <f t="shared" si="59"/>
        <v>0.26860549118579774</v>
      </c>
      <c r="P274" s="47">
        <f t="shared" si="60"/>
        <v>-0.06</v>
      </c>
      <c r="Q274" s="47">
        <f t="shared" si="61"/>
        <v>4.5999999999999999E-3</v>
      </c>
      <c r="S274" s="47">
        <f t="shared" si="62"/>
        <v>0.26860549118579774</v>
      </c>
      <c r="T274" s="47">
        <f t="shared" si="63"/>
        <v>-0.1</v>
      </c>
      <c r="U274" s="47">
        <f t="shared" si="64"/>
        <v>4.5999999999999999E-3</v>
      </c>
      <c r="W274" s="47">
        <f t="shared" si="65"/>
        <v>0.1514401216821285</v>
      </c>
      <c r="X274" s="47">
        <f t="shared" si="66"/>
        <v>0.14353456616749644</v>
      </c>
      <c r="Y274" s="47">
        <f t="shared" si="67"/>
        <v>0.147579365331515</v>
      </c>
      <c r="AP274" s="48">
        <v>0.27879999999999999</v>
      </c>
      <c r="AQ274" s="48">
        <v>0.2457</v>
      </c>
      <c r="AR274" s="47">
        <f>IF(AP274="","",AP274-($AC$60+$AC$61*Volcanic!C274+$AC$62*Volcanic!D274+$AC$63*Volcanic!E274))</f>
        <v>0.13489930382747956</v>
      </c>
      <c r="AS274" s="47">
        <f>IF(AQ274="","",AQ274-($AD$60+$AD$61*Volcanic!C274+$AD$62*Volcanic!D274+$AD$63*Volcanic!E274))</f>
        <v>9.1769615227016182E-2</v>
      </c>
    </row>
    <row r="275" spans="1:45">
      <c r="A275" s="45" t="str">
        <f>Volcanic!A275</f>
        <v>12/1980</v>
      </c>
      <c r="B275" s="43">
        <f>Volcanic!B275</f>
        <v>0.21000000000000085</v>
      </c>
      <c r="C275" s="47">
        <f>Volcanic!C275</f>
        <v>0.27283370389710077</v>
      </c>
      <c r="D275" s="41">
        <v>0</v>
      </c>
      <c r="E275" s="43">
        <f t="shared" si="68"/>
        <v>-0.2</v>
      </c>
      <c r="F275" s="48">
        <v>6.3400000000000001E-3</v>
      </c>
      <c r="G275" s="47">
        <f t="shared" si="69"/>
        <v>4.5900000000000003E-3</v>
      </c>
      <c r="H275" s="43">
        <f>Volcanic!D275</f>
        <v>-0.17</v>
      </c>
      <c r="I275" s="47">
        <f>Volcanic!E275</f>
        <v>6.3400000000000001E-3</v>
      </c>
      <c r="K275" s="47">
        <f t="shared" si="56"/>
        <v>0.27283370389710077</v>
      </c>
      <c r="L275" s="47">
        <f t="shared" si="57"/>
        <v>-0.2</v>
      </c>
      <c r="M275" s="47">
        <f t="shared" si="58"/>
        <v>6.3400000000000001E-3</v>
      </c>
      <c r="O275" s="47">
        <f t="shared" si="59"/>
        <v>0.27283370389710077</v>
      </c>
      <c r="P275" s="47">
        <f t="shared" si="60"/>
        <v>-0.17</v>
      </c>
      <c r="Q275" s="47">
        <f t="shared" si="61"/>
        <v>4.5900000000000003E-3</v>
      </c>
      <c r="S275" s="47">
        <f t="shared" si="62"/>
        <v>0.27283370389710077</v>
      </c>
      <c r="T275" s="47">
        <f t="shared" si="63"/>
        <v>-0.2</v>
      </c>
      <c r="U275" s="47">
        <f t="shared" si="64"/>
        <v>4.5900000000000003E-3</v>
      </c>
      <c r="W275" s="47">
        <f t="shared" si="65"/>
        <v>5.895409266383167E-2</v>
      </c>
      <c r="X275" s="47">
        <f t="shared" si="66"/>
        <v>5.2410112748249305E-2</v>
      </c>
      <c r="Y275" s="47">
        <f t="shared" si="67"/>
        <v>5.552429312046997E-2</v>
      </c>
      <c r="AP275" s="48">
        <v>0.18190000000000001</v>
      </c>
      <c r="AQ275" s="48">
        <v>0.2167</v>
      </c>
      <c r="AR275" s="47">
        <f>IF(AP275="","",AP275-($AC$60+$AC$61*Volcanic!C275+$AC$62*Volcanic!D275+$AC$63*Volcanic!E275))</f>
        <v>3.648999107414555E-2</v>
      </c>
      <c r="AS275" s="47">
        <f>IF(AQ275="","",AQ275-($AD$60+$AD$61*Volcanic!C275+$AD$62*Volcanic!D275+$AD$63*Volcanic!E275))</f>
        <v>6.1186981927679074E-2</v>
      </c>
    </row>
    <row r="276" spans="1:45">
      <c r="A276" s="45" t="str">
        <f>Volcanic!A276</f>
        <v>1/1981</v>
      </c>
      <c r="B276" s="43">
        <f>Volcanic!B276</f>
        <v>0.52999999999999758</v>
      </c>
      <c r="C276" s="47">
        <f>Volcanic!C276</f>
        <v>0.27709208250431316</v>
      </c>
      <c r="D276" s="41">
        <v>-0.3</v>
      </c>
      <c r="E276" s="43">
        <f t="shared" si="68"/>
        <v>-0.1</v>
      </c>
      <c r="F276" s="48">
        <v>6.2599999999999999E-3</v>
      </c>
      <c r="G276" s="47">
        <f t="shared" si="69"/>
        <v>5.1399999999999996E-3</v>
      </c>
      <c r="H276" s="43">
        <f>Volcanic!D276</f>
        <v>-7.0000000000000007E-2</v>
      </c>
      <c r="I276" s="47">
        <f>Volcanic!E276</f>
        <v>7.1399999999999996E-3</v>
      </c>
      <c r="K276" s="47">
        <f t="shared" si="56"/>
        <v>0.27709208250431316</v>
      </c>
      <c r="L276" s="47">
        <f t="shared" si="57"/>
        <v>-0.1</v>
      </c>
      <c r="M276" s="47">
        <f t="shared" si="58"/>
        <v>7.1399999999999996E-3</v>
      </c>
      <c r="O276" s="47">
        <f t="shared" si="59"/>
        <v>0.27709208250431316</v>
      </c>
      <c r="P276" s="47">
        <f t="shared" si="60"/>
        <v>-7.0000000000000007E-2</v>
      </c>
      <c r="Q276" s="47">
        <f t="shared" si="61"/>
        <v>5.1399999999999996E-3</v>
      </c>
      <c r="S276" s="47">
        <f t="shared" si="62"/>
        <v>0.27709208250431316</v>
      </c>
      <c r="T276" s="47">
        <f t="shared" si="63"/>
        <v>-0.1</v>
      </c>
      <c r="U276" s="47">
        <f t="shared" si="64"/>
        <v>5.1399999999999996E-3</v>
      </c>
      <c r="W276" s="47">
        <f t="shared" si="65"/>
        <v>0.35981634153539932</v>
      </c>
      <c r="X276" s="47">
        <f t="shared" si="66"/>
        <v>0.35294064610168374</v>
      </c>
      <c r="Y276" s="47">
        <f t="shared" si="67"/>
        <v>0.35605031699215439</v>
      </c>
      <c r="AP276" s="48">
        <v>0.51739999999999997</v>
      </c>
      <c r="AQ276" s="48">
        <v>0.56269999999999998</v>
      </c>
      <c r="AR276" s="47">
        <f>IF(AP276="","",AP276-($AC$60+$AC$61*Volcanic!C276+$AC$62*Volcanic!D276+$AC$63*Volcanic!E276))</f>
        <v>0.35292247808504562</v>
      </c>
      <c r="AS276" s="47">
        <f>IF(AQ276="","",AQ276-($AD$60+$AD$61*Volcanic!C276+$AD$62*Volcanic!D276+$AD$63*Volcanic!E276))</f>
        <v>0.38753557172536435</v>
      </c>
    </row>
    <row r="277" spans="1:45">
      <c r="A277" s="45" t="str">
        <f>Volcanic!A277</f>
        <v>2/1981</v>
      </c>
      <c r="B277" s="43">
        <f>Volcanic!B277</f>
        <v>0.42000000000000348</v>
      </c>
      <c r="C277" s="47">
        <f>Volcanic!C277</f>
        <v>0.28243980500638693</v>
      </c>
      <c r="D277" s="41">
        <v>-0.4</v>
      </c>
      <c r="E277" s="43">
        <f t="shared" si="68"/>
        <v>0.1</v>
      </c>
      <c r="F277" s="48">
        <v>6.1500000000000001E-3</v>
      </c>
      <c r="G277" s="47">
        <f t="shared" si="69"/>
        <v>5.79E-3</v>
      </c>
      <c r="H277" s="43">
        <f>Volcanic!D277</f>
        <v>0.08</v>
      </c>
      <c r="I277" s="47">
        <f>Volcanic!E277</f>
        <v>8.0099999999999998E-3</v>
      </c>
      <c r="K277" s="47">
        <f t="shared" si="56"/>
        <v>0.28243980500638693</v>
      </c>
      <c r="L277" s="47">
        <f t="shared" si="57"/>
        <v>0.1</v>
      </c>
      <c r="M277" s="47">
        <f t="shared" si="58"/>
        <v>8.0099999999999998E-3</v>
      </c>
      <c r="O277" s="47">
        <f t="shared" si="59"/>
        <v>0.28243980500638693</v>
      </c>
      <c r="P277" s="47">
        <f t="shared" si="60"/>
        <v>0.08</v>
      </c>
      <c r="Q277" s="47">
        <f t="shared" si="61"/>
        <v>5.79E-3</v>
      </c>
      <c r="S277" s="47">
        <f t="shared" si="62"/>
        <v>0.28243980500638693</v>
      </c>
      <c r="T277" s="47">
        <f t="shared" si="63"/>
        <v>0.1</v>
      </c>
      <c r="U277" s="47">
        <f t="shared" si="64"/>
        <v>5.79E-3</v>
      </c>
      <c r="W277" s="47">
        <f t="shared" si="65"/>
        <v>0.21857470085456651</v>
      </c>
      <c r="X277" s="47">
        <f t="shared" si="66"/>
        <v>0.2160905184614528</v>
      </c>
      <c r="Y277" s="47">
        <f t="shared" si="67"/>
        <v>0.21449201480781624</v>
      </c>
      <c r="AP277" s="48">
        <v>0.41189999999999999</v>
      </c>
      <c r="AQ277" s="48">
        <v>0.40770000000000001</v>
      </c>
      <c r="AR277" s="47">
        <f>IF(AP277="","",AP277-($AC$60+$AC$61*Volcanic!C277+$AC$62*Volcanic!D277+$AC$63*Volcanic!E277))</f>
        <v>0.22086657279842764</v>
      </c>
      <c r="AS277" s="47">
        <f>IF(AQ277="","",AQ277-($AD$60+$AD$61*Volcanic!C277+$AD$62*Volcanic!D277+$AD$63*Volcanic!E277))</f>
        <v>0.20521513447742351</v>
      </c>
    </row>
    <row r="278" spans="1:45">
      <c r="A278" s="45" t="str">
        <f>Volcanic!A278</f>
        <v>3/1981</v>
      </c>
      <c r="B278" s="43">
        <f>Volcanic!B278</f>
        <v>0.47999999999999865</v>
      </c>
      <c r="C278" s="47">
        <f>Volcanic!C278</f>
        <v>0.28700784260909884</v>
      </c>
      <c r="D278" s="41">
        <v>-0.4</v>
      </c>
      <c r="E278" s="43">
        <f t="shared" si="68"/>
        <v>0</v>
      </c>
      <c r="F278" s="48">
        <v>5.9199999999999999E-3</v>
      </c>
      <c r="G278" s="47">
        <f t="shared" si="69"/>
        <v>6.1799999999999997E-3</v>
      </c>
      <c r="H278" s="43">
        <f>Volcanic!D278</f>
        <v>-0.05</v>
      </c>
      <c r="I278" s="47">
        <f>Volcanic!E278</f>
        <v>8.5900000000000004E-3</v>
      </c>
      <c r="K278" s="47">
        <f t="shared" si="56"/>
        <v>0.28700784260909884</v>
      </c>
      <c r="L278" s="47">
        <f t="shared" si="57"/>
        <v>0</v>
      </c>
      <c r="M278" s="47">
        <f t="shared" si="58"/>
        <v>8.5900000000000004E-3</v>
      </c>
      <c r="O278" s="47">
        <f t="shared" si="59"/>
        <v>0.28700784260909884</v>
      </c>
      <c r="P278" s="47">
        <f t="shared" si="60"/>
        <v>-0.05</v>
      </c>
      <c r="Q278" s="47">
        <f t="shared" si="61"/>
        <v>6.1799999999999997E-3</v>
      </c>
      <c r="S278" s="47">
        <f t="shared" si="62"/>
        <v>0.28700784260909884</v>
      </c>
      <c r="T278" s="47">
        <f t="shared" si="63"/>
        <v>0</v>
      </c>
      <c r="U278" s="47">
        <f t="shared" si="64"/>
        <v>6.1799999999999997E-3</v>
      </c>
      <c r="W278" s="47">
        <f t="shared" si="65"/>
        <v>0.27668235045631712</v>
      </c>
      <c r="X278" s="47">
        <f t="shared" si="66"/>
        <v>0.27697114624910729</v>
      </c>
      <c r="Y278" s="47">
        <f t="shared" si="67"/>
        <v>0.27256463592437058</v>
      </c>
      <c r="AP278" s="48">
        <v>0.4012</v>
      </c>
      <c r="AQ278" s="48">
        <v>0.43469999999999998</v>
      </c>
      <c r="AR278" s="47">
        <f>IF(AP278="","",AP278-($AC$60+$AC$61*Volcanic!C278+$AC$62*Volcanic!D278+$AC$63*Volcanic!E278))</f>
        <v>0.21126251166473314</v>
      </c>
      <c r="AS278" s="47">
        <f>IF(AQ278="","",AQ278-($AD$60+$AD$61*Volcanic!C278+$AD$62*Volcanic!D278+$AD$63*Volcanic!E278))</f>
        <v>0.2331723202601419</v>
      </c>
    </row>
    <row r="279" spans="1:45">
      <c r="A279" s="45" t="str">
        <f>Volcanic!A279</f>
        <v>4/1981</v>
      </c>
      <c r="B279" s="43">
        <f>Volcanic!B279</f>
        <v>0.32000000000000028</v>
      </c>
      <c r="C279" s="47">
        <f>Volcanic!C279</f>
        <v>0.29109832425167037</v>
      </c>
      <c r="D279" s="41">
        <v>-0.3</v>
      </c>
      <c r="E279" s="43">
        <f t="shared" si="68"/>
        <v>-0.3</v>
      </c>
      <c r="F279" s="48">
        <v>5.7800000000000004E-3</v>
      </c>
      <c r="G279" s="47">
        <f t="shared" si="69"/>
        <v>6.4799999999999996E-3</v>
      </c>
      <c r="H279" s="43">
        <f>Volcanic!D279</f>
        <v>-0.27</v>
      </c>
      <c r="I279" s="47">
        <f>Volcanic!E279</f>
        <v>8.7600000000000004E-3</v>
      </c>
      <c r="K279" s="47">
        <f t="shared" si="56"/>
        <v>0.29109832425167037</v>
      </c>
      <c r="L279" s="47">
        <f t="shared" si="57"/>
        <v>-0.3</v>
      </c>
      <c r="M279" s="47">
        <f t="shared" si="58"/>
        <v>8.7600000000000004E-3</v>
      </c>
      <c r="O279" s="47">
        <f t="shared" si="59"/>
        <v>0.29109832425167037</v>
      </c>
      <c r="P279" s="47">
        <f t="shared" si="60"/>
        <v>-0.27</v>
      </c>
      <c r="Q279" s="47">
        <f t="shared" si="61"/>
        <v>6.4799999999999996E-3</v>
      </c>
      <c r="S279" s="47">
        <f t="shared" si="62"/>
        <v>0.29109832425167037</v>
      </c>
      <c r="T279" s="47">
        <f t="shared" si="63"/>
        <v>-0.3</v>
      </c>
      <c r="U279" s="47">
        <f t="shared" si="64"/>
        <v>6.4799999999999996E-3</v>
      </c>
      <c r="W279" s="47">
        <f t="shared" si="65"/>
        <v>0.13376358475397115</v>
      </c>
      <c r="X279" s="47">
        <f t="shared" si="66"/>
        <v>0.12736199303392076</v>
      </c>
      <c r="Y279" s="47">
        <f t="shared" si="67"/>
        <v>0.13049502203292251</v>
      </c>
      <c r="AP279" s="48">
        <v>0.26879999999999998</v>
      </c>
      <c r="AQ279" s="48">
        <v>0.31469999999999998</v>
      </c>
      <c r="AR279" s="47">
        <f>IF(AP279="","",AP279-($AC$60+$AC$61*Volcanic!C279+$AC$62*Volcanic!D279+$AC$63*Volcanic!E279))</f>
        <v>8.8703985694118581E-2</v>
      </c>
      <c r="AS279" s="47">
        <f>IF(AQ279="","",AQ279-($AD$60+$AD$61*Volcanic!C279+$AD$62*Volcanic!D279+$AD$63*Volcanic!E279))</f>
        <v>0.1231288328794537</v>
      </c>
    </row>
    <row r="280" spans="1:45">
      <c r="A280" s="45" t="str">
        <f>Volcanic!A280</f>
        <v>5/1981</v>
      </c>
      <c r="B280" s="43">
        <f>Volcanic!B280</f>
        <v>0.25000000000000355</v>
      </c>
      <c r="C280" s="47">
        <f>Volcanic!C280</f>
        <v>0.29294998373808151</v>
      </c>
      <c r="D280" s="41">
        <v>-0.3</v>
      </c>
      <c r="E280" s="43">
        <f t="shared" si="68"/>
        <v>-0.4</v>
      </c>
      <c r="F280" s="48">
        <v>5.7000000000000002E-3</v>
      </c>
      <c r="G280" s="47">
        <f t="shared" si="69"/>
        <v>6.6299999999999996E-3</v>
      </c>
      <c r="H280" s="43">
        <f>Volcanic!D280</f>
        <v>-0.42</v>
      </c>
      <c r="I280" s="47">
        <f>Volcanic!E280</f>
        <v>8.9499999999999996E-3</v>
      </c>
      <c r="K280" s="47">
        <f t="shared" si="56"/>
        <v>0.29294998373808151</v>
      </c>
      <c r="L280" s="47">
        <f t="shared" si="57"/>
        <v>-0.4</v>
      </c>
      <c r="M280" s="47">
        <f t="shared" si="58"/>
        <v>8.9499999999999996E-3</v>
      </c>
      <c r="O280" s="47">
        <f t="shared" si="59"/>
        <v>0.29294998373808151</v>
      </c>
      <c r="P280" s="47">
        <f t="shared" si="60"/>
        <v>-0.42</v>
      </c>
      <c r="Q280" s="47">
        <f t="shared" si="61"/>
        <v>6.6299999999999996E-3</v>
      </c>
      <c r="S280" s="47">
        <f t="shared" si="62"/>
        <v>0.29294998373808151</v>
      </c>
      <c r="T280" s="47">
        <f t="shared" si="63"/>
        <v>-0.4</v>
      </c>
      <c r="U280" s="47">
        <f t="shared" si="64"/>
        <v>6.6299999999999996E-3</v>
      </c>
      <c r="W280" s="47">
        <f t="shared" si="65"/>
        <v>6.8419831743725706E-2</v>
      </c>
      <c r="X280" s="47">
        <f t="shared" si="66"/>
        <v>6.6838226165840925E-2</v>
      </c>
      <c r="Y280" s="47">
        <f t="shared" si="67"/>
        <v>6.5282962743295286E-2</v>
      </c>
      <c r="AP280" s="48">
        <v>0.21779999999999999</v>
      </c>
      <c r="AQ280" s="48">
        <v>0.26569999999999999</v>
      </c>
      <c r="AR280" s="47">
        <f>IF(AP280="","",AP280-($AC$60+$AC$61*Volcanic!C280+$AC$62*Volcanic!D280+$AC$63*Volcanic!E280))</f>
        <v>4.715177254660205E-2</v>
      </c>
      <c r="AS280" s="47">
        <f>IF(AQ280="","",AQ280-($AD$60+$AD$61*Volcanic!C280+$AD$62*Volcanic!D280+$AD$63*Volcanic!E280))</f>
        <v>8.3712350325942542E-2</v>
      </c>
    </row>
    <row r="281" spans="1:45">
      <c r="A281" s="45" t="str">
        <f>Volcanic!A281</f>
        <v>6/1981</v>
      </c>
      <c r="B281" s="43">
        <f>Volcanic!B281</f>
        <v>0.28999999999999559</v>
      </c>
      <c r="C281" s="47">
        <f>Volcanic!C281</f>
        <v>0.29084564099664334</v>
      </c>
      <c r="D281" s="41">
        <v>-0.3</v>
      </c>
      <c r="E281" s="43">
        <f t="shared" si="68"/>
        <v>-0.4</v>
      </c>
      <c r="F281" s="48">
        <v>6.11E-3</v>
      </c>
      <c r="G281" s="47">
        <f t="shared" si="69"/>
        <v>6.3499999999999997E-3</v>
      </c>
      <c r="H281" s="43">
        <f>Volcanic!D281</f>
        <v>-0.41</v>
      </c>
      <c r="I281" s="47">
        <f>Volcanic!E281</f>
        <v>8.8000000000000005E-3</v>
      </c>
      <c r="K281" s="47">
        <f t="shared" si="56"/>
        <v>0.29084564099664334</v>
      </c>
      <c r="L281" s="47">
        <f t="shared" si="57"/>
        <v>-0.4</v>
      </c>
      <c r="M281" s="47">
        <f t="shared" si="58"/>
        <v>8.8000000000000005E-3</v>
      </c>
      <c r="O281" s="47">
        <f t="shared" si="59"/>
        <v>0.29084564099664334</v>
      </c>
      <c r="P281" s="47">
        <f t="shared" si="60"/>
        <v>-0.41</v>
      </c>
      <c r="Q281" s="47">
        <f t="shared" si="61"/>
        <v>6.3499999999999997E-3</v>
      </c>
      <c r="S281" s="47">
        <f t="shared" si="62"/>
        <v>0.29084564099664334</v>
      </c>
      <c r="T281" s="47">
        <f t="shared" si="63"/>
        <v>-0.4</v>
      </c>
      <c r="U281" s="47">
        <f t="shared" si="64"/>
        <v>6.3499999999999997E-3</v>
      </c>
      <c r="W281" s="47">
        <f t="shared" si="65"/>
        <v>0.11382816251226219</v>
      </c>
      <c r="X281" s="47">
        <f t="shared" si="66"/>
        <v>0.11085655006124959</v>
      </c>
      <c r="Y281" s="47">
        <f t="shared" si="67"/>
        <v>0.11023914838986884</v>
      </c>
      <c r="AP281" s="48">
        <v>0.31580000000000003</v>
      </c>
      <c r="AQ281" s="48">
        <v>0.35970000000000002</v>
      </c>
      <c r="AR281" s="47">
        <f>IF(AP281="","",AP281-($AC$60+$AC$61*Volcanic!C281+$AC$62*Volcanic!D281+$AC$63*Volcanic!E281))</f>
        <v>0.14960052681563352</v>
      </c>
      <c r="AS281" s="47">
        <f>IF(AQ281="","",AQ281-($AD$60+$AD$61*Volcanic!C281+$AD$62*Volcanic!D281+$AD$63*Volcanic!E281))</f>
        <v>0.18230719203644533</v>
      </c>
    </row>
    <row r="282" spans="1:45">
      <c r="A282" s="45" t="str">
        <f>Volcanic!A282</f>
        <v>7/1981</v>
      </c>
      <c r="B282" s="43">
        <f>Volcanic!B282</f>
        <v>0.32999999999999652</v>
      </c>
      <c r="C282" s="47">
        <f>Volcanic!C282</f>
        <v>0.28358317111122905</v>
      </c>
      <c r="D282" s="41">
        <v>-0.3</v>
      </c>
      <c r="E282" s="43">
        <f t="shared" si="68"/>
        <v>-0.3</v>
      </c>
      <c r="F282" s="48">
        <v>6.7400000000000003E-3</v>
      </c>
      <c r="G282" s="47">
        <f t="shared" si="69"/>
        <v>6.3400000000000001E-3</v>
      </c>
      <c r="H282" s="43">
        <f>Volcanic!D282</f>
        <v>-0.27</v>
      </c>
      <c r="I282" s="47">
        <f>Volcanic!E282</f>
        <v>8.8699999999999994E-3</v>
      </c>
      <c r="K282" s="47">
        <f t="shared" si="56"/>
        <v>0.28358317111122905</v>
      </c>
      <c r="L282" s="47">
        <f t="shared" si="57"/>
        <v>-0.3</v>
      </c>
      <c r="M282" s="47">
        <f t="shared" si="58"/>
        <v>8.8699999999999994E-3</v>
      </c>
      <c r="O282" s="47">
        <f t="shared" si="59"/>
        <v>0.28358317111122905</v>
      </c>
      <c r="P282" s="47">
        <f t="shared" si="60"/>
        <v>-0.27</v>
      </c>
      <c r="Q282" s="47">
        <f t="shared" si="61"/>
        <v>6.3400000000000001E-3</v>
      </c>
      <c r="S282" s="47">
        <f t="shared" si="62"/>
        <v>0.28358317111122905</v>
      </c>
      <c r="T282" s="47">
        <f t="shared" si="63"/>
        <v>-0.3</v>
      </c>
      <c r="U282" s="47">
        <f t="shared" si="64"/>
        <v>6.3400000000000001E-3</v>
      </c>
      <c r="W282" s="47">
        <f t="shared" si="65"/>
        <v>0.16450092673424693</v>
      </c>
      <c r="X282" s="47">
        <f t="shared" si="66"/>
        <v>0.15731401619657143</v>
      </c>
      <c r="Y282" s="47">
        <f t="shared" si="67"/>
        <v>0.16044433863422225</v>
      </c>
      <c r="AP282" s="48">
        <v>0.34139999999999998</v>
      </c>
      <c r="AQ282" s="48">
        <v>0.36370000000000002</v>
      </c>
      <c r="AR282" s="47">
        <f>IF(AP282="","",AP282-($AC$60+$AC$61*Volcanic!C282+$AC$62*Volcanic!D282+$AC$63*Volcanic!E282))</f>
        <v>0.18208960572201285</v>
      </c>
      <c r="AS282" s="47">
        <f>IF(AQ282="","",AQ282-($AD$60+$AD$61*Volcanic!C282+$AD$62*Volcanic!D282+$AD$63*Volcanic!E282))</f>
        <v>0.19342991021443412</v>
      </c>
    </row>
    <row r="283" spans="1:45">
      <c r="A283" s="45" t="str">
        <f>Volcanic!A283</f>
        <v>8/1981</v>
      </c>
      <c r="B283" s="43">
        <f>Volcanic!B283</f>
        <v>0.34999999999999787</v>
      </c>
      <c r="C283" s="47">
        <f>Volcanic!C283</f>
        <v>0.27364376363665927</v>
      </c>
      <c r="D283" s="41">
        <v>-0.2</v>
      </c>
      <c r="E283" s="43">
        <f t="shared" si="68"/>
        <v>-0.3</v>
      </c>
      <c r="F283" s="48">
        <v>7.0899999999999999E-3</v>
      </c>
      <c r="G283" s="47">
        <f t="shared" si="69"/>
        <v>6.2599999999999999E-3</v>
      </c>
      <c r="H283" s="43">
        <f>Volcanic!D283</f>
        <v>-0.28000000000000003</v>
      </c>
      <c r="I283" s="47">
        <f>Volcanic!E283</f>
        <v>9.2899999999999996E-3</v>
      </c>
      <c r="K283" s="47">
        <f t="shared" si="56"/>
        <v>0.27364376363665927</v>
      </c>
      <c r="L283" s="47">
        <f t="shared" si="57"/>
        <v>-0.3</v>
      </c>
      <c r="M283" s="47">
        <f t="shared" si="58"/>
        <v>9.2899999999999996E-3</v>
      </c>
      <c r="O283" s="47">
        <f t="shared" si="59"/>
        <v>0.27364376363665927</v>
      </c>
      <c r="P283" s="47">
        <f t="shared" si="60"/>
        <v>-0.28000000000000003</v>
      </c>
      <c r="Q283" s="47">
        <f t="shared" si="61"/>
        <v>6.2599999999999999E-3</v>
      </c>
      <c r="S283" s="47">
        <f t="shared" si="62"/>
        <v>0.27364376363665927</v>
      </c>
      <c r="T283" s="47">
        <f t="shared" si="63"/>
        <v>-0.3</v>
      </c>
      <c r="U283" s="47">
        <f t="shared" si="64"/>
        <v>6.2599999999999999E-3</v>
      </c>
      <c r="W283" s="47">
        <f t="shared" si="65"/>
        <v>0.21253266808045224</v>
      </c>
      <c r="X283" s="47">
        <f t="shared" si="66"/>
        <v>0.20491632887914696</v>
      </c>
      <c r="Y283" s="47">
        <f t="shared" si="67"/>
        <v>0.20710403396895999</v>
      </c>
      <c r="AP283" s="48">
        <v>0.38200000000000001</v>
      </c>
      <c r="AQ283" s="48">
        <v>0.40870000000000001</v>
      </c>
      <c r="AR283" s="47">
        <f>IF(AP283="","",AP283-($AC$60+$AC$61*Volcanic!C283+$AC$62*Volcanic!D283+$AC$63*Volcanic!E283))</f>
        <v>0.2517772873573963</v>
      </c>
      <c r="AS283" s="47">
        <f>IF(AQ283="","",AQ283-($AD$60+$AD$61*Volcanic!C283+$AD$62*Volcanic!D283+$AD$63*Volcanic!E283))</f>
        <v>0.26818671764324525</v>
      </c>
    </row>
    <row r="284" spans="1:45">
      <c r="A284" s="45" t="str">
        <f>Volcanic!A284</f>
        <v>9/1981</v>
      </c>
      <c r="B284" s="43">
        <f>Volcanic!B284</f>
        <v>0.14999999999999858</v>
      </c>
      <c r="C284" s="47">
        <f>Volcanic!C284</f>
        <v>0.26710769864693196</v>
      </c>
      <c r="D284" s="41">
        <v>-0.1</v>
      </c>
      <c r="E284" s="43">
        <f t="shared" si="68"/>
        <v>-0.3</v>
      </c>
      <c r="F284" s="48">
        <v>7.0800000000000004E-3</v>
      </c>
      <c r="G284" s="47">
        <f t="shared" si="69"/>
        <v>6.1500000000000001E-3</v>
      </c>
      <c r="H284" s="43">
        <f>Volcanic!D284</f>
        <v>-0.27</v>
      </c>
      <c r="I284" s="47">
        <f>Volcanic!E284</f>
        <v>9.3500000000000007E-3</v>
      </c>
      <c r="K284" s="47">
        <f t="shared" si="56"/>
        <v>0.26710769864693196</v>
      </c>
      <c r="L284" s="47">
        <f t="shared" si="57"/>
        <v>-0.3</v>
      </c>
      <c r="M284" s="47">
        <f t="shared" si="58"/>
        <v>9.3500000000000007E-3</v>
      </c>
      <c r="O284" s="47">
        <f t="shared" si="59"/>
        <v>0.26710769864693196</v>
      </c>
      <c r="P284" s="47">
        <f t="shared" si="60"/>
        <v>-0.27</v>
      </c>
      <c r="Q284" s="47">
        <f t="shared" si="61"/>
        <v>6.1500000000000001E-3</v>
      </c>
      <c r="S284" s="47">
        <f t="shared" si="62"/>
        <v>0.26710769864693196</v>
      </c>
      <c r="T284" s="47">
        <f t="shared" si="63"/>
        <v>-0.3</v>
      </c>
      <c r="U284" s="47">
        <f t="shared" si="64"/>
        <v>6.1500000000000001E-3</v>
      </c>
      <c r="W284" s="47">
        <f t="shared" si="65"/>
        <v>3.0489712993678225E-2</v>
      </c>
      <c r="X284" s="47">
        <f t="shared" si="66"/>
        <v>2.1360330833517432E-2</v>
      </c>
      <c r="Y284" s="47">
        <f t="shared" si="67"/>
        <v>2.4485080065553777E-2</v>
      </c>
      <c r="AP284" s="48">
        <v>0.21210000000000001</v>
      </c>
      <c r="AQ284" s="48">
        <v>0.20069999999999999</v>
      </c>
      <c r="AR284" s="47">
        <f>IF(AP284="","",AP284-($AC$60+$AC$61*Volcanic!C284+$AC$62*Volcanic!D284+$AC$63*Volcanic!E284))</f>
        <v>9.8932640329540425E-2</v>
      </c>
      <c r="AS284" s="47">
        <f>IF(AQ284="","",AQ284-($AD$60+$AD$61*Volcanic!C284+$AD$62*Volcanic!D284+$AD$63*Volcanic!E284))</f>
        <v>7.7675312948182876E-2</v>
      </c>
    </row>
    <row r="285" spans="1:45">
      <c r="A285" s="45" t="str">
        <f>Volcanic!A285</f>
        <v>10/1981</v>
      </c>
      <c r="B285" s="43">
        <f>Volcanic!B285</f>
        <v>0.11999999999999744</v>
      </c>
      <c r="C285" s="47">
        <f>Volcanic!C285</f>
        <v>0.26753579806873473</v>
      </c>
      <c r="D285" s="41">
        <v>-0.2</v>
      </c>
      <c r="E285" s="43">
        <f t="shared" si="68"/>
        <v>-0.3</v>
      </c>
      <c r="F285" s="48">
        <v>6.9800000000000001E-3</v>
      </c>
      <c r="G285" s="47">
        <f t="shared" si="69"/>
        <v>5.9199999999999999E-3</v>
      </c>
      <c r="H285" s="43">
        <f>Volcanic!D285</f>
        <v>-0.28000000000000003</v>
      </c>
      <c r="I285" s="47">
        <f>Volcanic!E285</f>
        <v>9.2200000000000008E-3</v>
      </c>
      <c r="K285" s="47">
        <f t="shared" si="56"/>
        <v>0.26753579806873473</v>
      </c>
      <c r="L285" s="47">
        <f t="shared" si="57"/>
        <v>-0.3</v>
      </c>
      <c r="M285" s="47">
        <f t="shared" si="58"/>
        <v>9.2200000000000008E-3</v>
      </c>
      <c r="O285" s="47">
        <f t="shared" si="59"/>
        <v>0.26753579806873473</v>
      </c>
      <c r="P285" s="47">
        <f t="shared" si="60"/>
        <v>-0.28000000000000003</v>
      </c>
      <c r="Q285" s="47">
        <f t="shared" si="61"/>
        <v>5.9199999999999999E-3</v>
      </c>
      <c r="S285" s="47">
        <f t="shared" si="62"/>
        <v>0.26753579806873473</v>
      </c>
      <c r="T285" s="47">
        <f t="shared" si="63"/>
        <v>-0.3</v>
      </c>
      <c r="U285" s="47">
        <f t="shared" si="64"/>
        <v>5.9199999999999999E-3</v>
      </c>
      <c r="W285" s="47">
        <f t="shared" si="65"/>
        <v>-9.642368453017941E-4</v>
      </c>
      <c r="X285" s="47">
        <f t="shared" si="66"/>
        <v>-9.4586408490916762E-3</v>
      </c>
      <c r="Y285" s="47">
        <f t="shared" si="67"/>
        <v>-7.2738327886431031E-3</v>
      </c>
      <c r="AP285" s="48">
        <v>0.1268</v>
      </c>
      <c r="AQ285" s="48">
        <v>0.12670000000000001</v>
      </c>
      <c r="AR285" s="47">
        <f>IF(AP285="","",AP285-($AC$60+$AC$61*Volcanic!C285+$AC$62*Volcanic!D285+$AC$63*Volcanic!E285))</f>
        <v>1.3087313558465999E-2</v>
      </c>
      <c r="AS285" s="47">
        <f>IF(AQ285="","",AQ285-($AD$60+$AD$61*Volcanic!C285+$AD$62*Volcanic!D285+$AD$63*Volcanic!E285))</f>
        <v>3.1341494029051287E-3</v>
      </c>
    </row>
    <row r="286" spans="1:45">
      <c r="A286" s="45" t="str">
        <f>Volcanic!A286</f>
        <v>11/1981</v>
      </c>
      <c r="B286" s="43">
        <f>Volcanic!B286</f>
        <v>0.2300000000000022</v>
      </c>
      <c r="C286" s="47">
        <f>Volcanic!C286</f>
        <v>0.27406992824581616</v>
      </c>
      <c r="D286" s="41">
        <v>-0.2</v>
      </c>
      <c r="E286" s="43">
        <f t="shared" si="68"/>
        <v>-0.2</v>
      </c>
      <c r="F286" s="48">
        <v>6.8399999999999997E-3</v>
      </c>
      <c r="G286" s="47">
        <f t="shared" si="69"/>
        <v>5.7800000000000004E-3</v>
      </c>
      <c r="H286" s="43">
        <f>Volcanic!D286</f>
        <v>-0.23</v>
      </c>
      <c r="I286" s="47">
        <f>Volcanic!E286</f>
        <v>9.0200000000000002E-3</v>
      </c>
      <c r="K286" s="47">
        <f t="shared" si="56"/>
        <v>0.27406992824581616</v>
      </c>
      <c r="L286" s="47">
        <f t="shared" si="57"/>
        <v>-0.2</v>
      </c>
      <c r="M286" s="47">
        <f t="shared" si="58"/>
        <v>9.0200000000000002E-3</v>
      </c>
      <c r="O286" s="47">
        <f t="shared" si="59"/>
        <v>0.27406992824581616</v>
      </c>
      <c r="P286" s="47">
        <f t="shared" si="60"/>
        <v>-0.23</v>
      </c>
      <c r="Q286" s="47">
        <f t="shared" si="61"/>
        <v>5.7800000000000004E-3</v>
      </c>
      <c r="S286" s="47">
        <f t="shared" si="62"/>
        <v>0.27406992824581616</v>
      </c>
      <c r="T286" s="47">
        <f t="shared" si="63"/>
        <v>-0.2</v>
      </c>
      <c r="U286" s="47">
        <f t="shared" si="64"/>
        <v>5.7800000000000004E-3</v>
      </c>
      <c r="W286" s="47">
        <f t="shared" si="65"/>
        <v>8.1488169790746773E-2</v>
      </c>
      <c r="X286" s="47">
        <f t="shared" si="66"/>
        <v>7.7813229028564218E-2</v>
      </c>
      <c r="Y286" s="47">
        <f t="shared" si="67"/>
        <v>7.5295280555745303E-2</v>
      </c>
      <c r="AP286" s="48">
        <v>0.23449999999999999</v>
      </c>
      <c r="AQ286" s="48">
        <v>0.1837</v>
      </c>
      <c r="AR286" s="47">
        <f>IF(AP286="","",AP286-($AC$60+$AC$61*Volcanic!C286+$AC$62*Volcanic!D286+$AC$63*Volcanic!E286))</f>
        <v>9.7781669689581963E-2</v>
      </c>
      <c r="AS286" s="47">
        <f>IF(AQ286="","",AQ286-($AD$60+$AD$61*Volcanic!C286+$AD$62*Volcanic!D286+$AD$63*Volcanic!E286))</f>
        <v>3.6596463668975149E-2</v>
      </c>
    </row>
    <row r="287" spans="1:45">
      <c r="A287" s="45" t="str">
        <f>Volcanic!A287</f>
        <v>12/1981</v>
      </c>
      <c r="B287" s="43">
        <f>Volcanic!B287</f>
        <v>0.41000000000000014</v>
      </c>
      <c r="C287" s="47">
        <f>Volcanic!C287</f>
        <v>0.27972597877580269</v>
      </c>
      <c r="D287" s="41">
        <v>-0.1</v>
      </c>
      <c r="E287" s="43">
        <f t="shared" si="68"/>
        <v>-0.1</v>
      </c>
      <c r="F287" s="48">
        <v>6.0400000000000002E-3</v>
      </c>
      <c r="G287" s="47">
        <f t="shared" si="69"/>
        <v>5.7000000000000002E-3</v>
      </c>
      <c r="H287" s="43">
        <f>Volcanic!D287</f>
        <v>-0.08</v>
      </c>
      <c r="I287" s="47">
        <f>Volcanic!E287</f>
        <v>8.8999999999999999E-3</v>
      </c>
      <c r="K287" s="47">
        <f t="shared" si="56"/>
        <v>0.27972597877580269</v>
      </c>
      <c r="L287" s="47">
        <f t="shared" si="57"/>
        <v>-0.1</v>
      </c>
      <c r="M287" s="47">
        <f t="shared" si="58"/>
        <v>8.8999999999999999E-3</v>
      </c>
      <c r="O287" s="47">
        <f t="shared" si="59"/>
        <v>0.27972597877580269</v>
      </c>
      <c r="P287" s="47">
        <f t="shared" si="60"/>
        <v>-0.08</v>
      </c>
      <c r="Q287" s="47">
        <f t="shared" si="61"/>
        <v>5.7000000000000002E-3</v>
      </c>
      <c r="S287" s="47">
        <f t="shared" si="62"/>
        <v>0.27972597877580269</v>
      </c>
      <c r="T287" s="47">
        <f t="shared" si="63"/>
        <v>-0.1</v>
      </c>
      <c r="U287" s="47">
        <f t="shared" si="64"/>
        <v>5.7000000000000002E-3</v>
      </c>
      <c r="W287" s="47">
        <f t="shared" si="65"/>
        <v>0.23651151384568381</v>
      </c>
      <c r="X287" s="47">
        <f t="shared" si="66"/>
        <v>0.22822220314999708</v>
      </c>
      <c r="Y287" s="47">
        <f t="shared" si="67"/>
        <v>0.23039503564534566</v>
      </c>
      <c r="AP287" s="48">
        <v>0.43769999999999998</v>
      </c>
      <c r="AQ287" s="48">
        <v>0.47570000000000001</v>
      </c>
      <c r="AR287" s="47">
        <f>IF(AP287="","",AP287-($AC$60+$AC$61*Volcanic!C287+$AC$62*Volcanic!D287+$AC$63*Volcanic!E287))</f>
        <v>0.2712017031147681</v>
      </c>
      <c r="AS287" s="47">
        <f>IF(AQ287="","",AQ287-($AD$60+$AD$61*Volcanic!C287+$AD$62*Volcanic!D287+$AD$63*Volcanic!E287))</f>
        <v>0.29814498034041415</v>
      </c>
    </row>
    <row r="288" spans="1:45">
      <c r="A288" s="45" t="str">
        <f>Volcanic!A288</f>
        <v>1/1982</v>
      </c>
      <c r="B288" s="43">
        <f>Volcanic!B288</f>
        <v>5.0000000000004263E-2</v>
      </c>
      <c r="C288" s="47">
        <f>Volcanic!C288</f>
        <v>0.28404872727074498</v>
      </c>
      <c r="D288" s="41">
        <v>0</v>
      </c>
      <c r="E288" s="43">
        <f t="shared" si="68"/>
        <v>-0.2</v>
      </c>
      <c r="F288" s="48">
        <v>5.2399999999999999E-3</v>
      </c>
      <c r="G288" s="47">
        <f t="shared" si="69"/>
        <v>6.11E-3</v>
      </c>
      <c r="H288" s="43">
        <f>Volcanic!D288</f>
        <v>-0.16</v>
      </c>
      <c r="I288" s="47">
        <f>Volcanic!E288</f>
        <v>9.2499999999999995E-3</v>
      </c>
      <c r="K288" s="47">
        <f t="shared" si="56"/>
        <v>0.28404872727074498</v>
      </c>
      <c r="L288" s="47">
        <f t="shared" si="57"/>
        <v>-0.2</v>
      </c>
      <c r="M288" s="47">
        <f t="shared" si="58"/>
        <v>9.2499999999999995E-3</v>
      </c>
      <c r="O288" s="47">
        <f t="shared" si="59"/>
        <v>0.28404872727074498</v>
      </c>
      <c r="P288" s="47">
        <f t="shared" si="60"/>
        <v>-0.16</v>
      </c>
      <c r="Q288" s="47">
        <f t="shared" si="61"/>
        <v>6.11E-3</v>
      </c>
      <c r="S288" s="47">
        <f t="shared" si="62"/>
        <v>0.28404872727074498</v>
      </c>
      <c r="T288" s="47">
        <f t="shared" si="63"/>
        <v>-0.2</v>
      </c>
      <c r="U288" s="47">
        <f t="shared" si="64"/>
        <v>6.11E-3</v>
      </c>
      <c r="W288" s="47">
        <f t="shared" si="65"/>
        <v>-0.12521870697694468</v>
      </c>
      <c r="X288" s="47">
        <f t="shared" si="66"/>
        <v>-0.13487856478437249</v>
      </c>
      <c r="Y288" s="47">
        <f t="shared" si="67"/>
        <v>-0.13081694237894109</v>
      </c>
      <c r="AP288" s="48">
        <v>4.19E-2</v>
      </c>
      <c r="AQ288" s="48">
        <v>0.1197</v>
      </c>
      <c r="AR288" s="47">
        <f>IF(AP288="","",AP288-($AC$60+$AC$61*Volcanic!C288+$AC$62*Volcanic!D288+$AC$63*Volcanic!E288))</f>
        <v>-0.12806825072091613</v>
      </c>
      <c r="AS288" s="47">
        <f>IF(AQ288="","",AQ288-($AD$60+$AD$61*Volcanic!C288+$AD$62*Volcanic!D288+$AD$63*Volcanic!E288))</f>
        <v>-6.1515803746265862E-2</v>
      </c>
    </row>
    <row r="289" spans="1:45">
      <c r="A289" s="45" t="str">
        <f>Volcanic!A289</f>
        <v>2/1982</v>
      </c>
      <c r="B289" s="43">
        <f>Volcanic!B289</f>
        <v>0.14999999999999858</v>
      </c>
      <c r="C289" s="47">
        <f>Volcanic!C289</f>
        <v>0.28755672496786289</v>
      </c>
      <c r="D289" s="41">
        <v>0</v>
      </c>
      <c r="E289" s="43">
        <f t="shared" si="68"/>
        <v>-0.2</v>
      </c>
      <c r="F289" s="48">
        <v>5.1399999999999996E-3</v>
      </c>
      <c r="G289" s="47">
        <f t="shared" si="69"/>
        <v>6.7400000000000003E-3</v>
      </c>
      <c r="H289" s="43">
        <f>Volcanic!D289</f>
        <v>-0.19</v>
      </c>
      <c r="I289" s="47">
        <f>Volcanic!E289</f>
        <v>9.6600000000000002E-3</v>
      </c>
      <c r="K289" s="47">
        <f t="shared" si="56"/>
        <v>0.28755672496786289</v>
      </c>
      <c r="L289" s="47">
        <f t="shared" si="57"/>
        <v>-0.2</v>
      </c>
      <c r="M289" s="47">
        <f t="shared" si="58"/>
        <v>9.6600000000000002E-3</v>
      </c>
      <c r="O289" s="47">
        <f t="shared" si="59"/>
        <v>0.28755672496786289</v>
      </c>
      <c r="P289" s="47">
        <f t="shared" si="60"/>
        <v>-0.19</v>
      </c>
      <c r="Q289" s="47">
        <f t="shared" si="61"/>
        <v>6.7400000000000003E-3</v>
      </c>
      <c r="S289" s="47">
        <f t="shared" si="62"/>
        <v>0.28755672496786289</v>
      </c>
      <c r="T289" s="47">
        <f t="shared" si="63"/>
        <v>-0.2</v>
      </c>
      <c r="U289" s="47">
        <f t="shared" si="64"/>
        <v>6.7400000000000003E-3</v>
      </c>
      <c r="W289" s="47">
        <f t="shared" si="65"/>
        <v>-3.3882099661415976E-2</v>
      </c>
      <c r="X289" s="47">
        <f t="shared" si="66"/>
        <v>-3.9898593459806425E-2</v>
      </c>
      <c r="Y289" s="47">
        <f t="shared" si="67"/>
        <v>-3.8652052750313221E-2</v>
      </c>
      <c r="AP289" s="48">
        <v>0.13780000000000001</v>
      </c>
      <c r="AQ289" s="48">
        <v>0.1447</v>
      </c>
      <c r="AR289" s="47">
        <f>IF(AP289="","",AP289-($AC$60+$AC$61*Volcanic!C289+$AC$62*Volcanic!D289+$AC$63*Volcanic!E289))</f>
        <v>-3.7951322476359878E-2</v>
      </c>
      <c r="AS289" s="47">
        <f>IF(AQ289="","",AQ289-($AD$60+$AD$61*Volcanic!C289+$AD$62*Volcanic!D289+$AD$63*Volcanic!E289))</f>
        <v>-4.2535353356447203E-2</v>
      </c>
    </row>
    <row r="290" spans="1:45">
      <c r="A290" s="45" t="str">
        <f>Volcanic!A290</f>
        <v>3/1982</v>
      </c>
      <c r="B290" s="43">
        <f>Volcanic!B290</f>
        <v>2.9999999999997584E-2</v>
      </c>
      <c r="C290" s="47">
        <f>Volcanic!C290</f>
        <v>0.29185610858541344</v>
      </c>
      <c r="D290" s="41">
        <v>0.1</v>
      </c>
      <c r="E290" s="43">
        <f t="shared" si="68"/>
        <v>-0.1</v>
      </c>
      <c r="F290" s="48">
        <v>5.1799999999999997E-3</v>
      </c>
      <c r="G290" s="47">
        <f t="shared" si="69"/>
        <v>7.0899999999999999E-3</v>
      </c>
      <c r="H290" s="43">
        <f>Volcanic!D290</f>
        <v>-0.14000000000000001</v>
      </c>
      <c r="I290" s="47">
        <f>Volcanic!E290</f>
        <v>9.9600000000000001E-3</v>
      </c>
      <c r="K290" s="47">
        <f t="shared" si="56"/>
        <v>0.29185610858541344</v>
      </c>
      <c r="L290" s="47">
        <f t="shared" si="57"/>
        <v>-0.1</v>
      </c>
      <c r="M290" s="47">
        <f t="shared" si="58"/>
        <v>9.9600000000000001E-3</v>
      </c>
      <c r="O290" s="47">
        <f t="shared" si="59"/>
        <v>0.29185610858541344</v>
      </c>
      <c r="P290" s="47">
        <f t="shared" si="60"/>
        <v>-0.14000000000000001</v>
      </c>
      <c r="Q290" s="47">
        <f t="shared" si="61"/>
        <v>7.0899999999999999E-3</v>
      </c>
      <c r="S290" s="47">
        <f t="shared" si="62"/>
        <v>0.29185610858541344</v>
      </c>
      <c r="T290" s="47">
        <f t="shared" si="63"/>
        <v>-0.1</v>
      </c>
      <c r="U290" s="47">
        <f t="shared" si="64"/>
        <v>7.0899999999999999E-3</v>
      </c>
      <c r="W290" s="47">
        <f t="shared" si="65"/>
        <v>-0.17423344014118142</v>
      </c>
      <c r="X290" s="47">
        <f t="shared" si="66"/>
        <v>-0.17530466163719546</v>
      </c>
      <c r="Y290" s="47">
        <f t="shared" si="67"/>
        <v>-0.17876004364818868</v>
      </c>
      <c r="AP290" s="48">
        <v>-6.5000000000000002E-2</v>
      </c>
      <c r="AQ290" s="48">
        <v>-2.8299999999999999E-2</v>
      </c>
      <c r="AR290" s="47">
        <f>IF(AP290="","",AP290-($AC$60+$AC$61*Volcanic!C290+$AC$62*Volcanic!D290+$AC$63*Volcanic!E290))</f>
        <v>-0.25645164915947144</v>
      </c>
      <c r="AS290" s="47">
        <f>IF(AQ290="","",AQ290-($AD$60+$AD$61*Volcanic!C290+$AD$62*Volcanic!D290+$AD$63*Volcanic!E290))</f>
        <v>-0.23166857563629553</v>
      </c>
    </row>
    <row r="291" spans="1:45">
      <c r="A291" s="45" t="str">
        <f>Volcanic!A291</f>
        <v>4/1982</v>
      </c>
      <c r="B291" s="43">
        <f>Volcanic!B291</f>
        <v>0.14999999999999858</v>
      </c>
      <c r="C291" s="47">
        <f>Volcanic!C291</f>
        <v>0.2968139727658512</v>
      </c>
      <c r="D291" s="41">
        <v>0.3</v>
      </c>
      <c r="E291" s="43">
        <f t="shared" si="68"/>
        <v>0</v>
      </c>
      <c r="F291" s="48">
        <v>1.8759999999999999E-2</v>
      </c>
      <c r="G291" s="47">
        <f t="shared" si="69"/>
        <v>7.0800000000000004E-3</v>
      </c>
      <c r="H291" s="43">
        <f>Volcanic!D291</f>
        <v>-0.05</v>
      </c>
      <c r="I291" s="47">
        <f>Volcanic!E291</f>
        <v>9.6900000000000007E-3</v>
      </c>
      <c r="K291" s="47">
        <f t="shared" si="56"/>
        <v>0.2968139727658512</v>
      </c>
      <c r="L291" s="47">
        <f t="shared" si="57"/>
        <v>0</v>
      </c>
      <c r="M291" s="47">
        <f t="shared" si="58"/>
        <v>9.6900000000000007E-3</v>
      </c>
      <c r="O291" s="47">
        <f t="shared" si="59"/>
        <v>0.2968139727658512</v>
      </c>
      <c r="P291" s="47">
        <f t="shared" si="60"/>
        <v>-0.05</v>
      </c>
      <c r="Q291" s="47">
        <f t="shared" si="61"/>
        <v>7.0800000000000004E-3</v>
      </c>
      <c r="S291" s="47">
        <f t="shared" si="62"/>
        <v>0.2968139727658512</v>
      </c>
      <c r="T291" s="47">
        <f t="shared" si="63"/>
        <v>0</v>
      </c>
      <c r="U291" s="47">
        <f t="shared" si="64"/>
        <v>7.0800000000000004E-3</v>
      </c>
      <c r="W291" s="47">
        <f t="shared" si="65"/>
        <v>-7.7636565533951041E-2</v>
      </c>
      <c r="X291" s="47">
        <f t="shared" si="66"/>
        <v>-7.7189022039552163E-2</v>
      </c>
      <c r="Y291" s="47">
        <f t="shared" si="67"/>
        <v>-8.1589789709364868E-2</v>
      </c>
      <c r="AP291" s="48">
        <v>9.4799999999999995E-2</v>
      </c>
      <c r="AQ291" s="48">
        <v>8.8700000000000001E-2</v>
      </c>
      <c r="AR291" s="47">
        <f>IF(AP291="","",AP291-($AC$60+$AC$61*Volcanic!C291+$AC$62*Volcanic!D291+$AC$63*Volcanic!E291))</f>
        <v>-0.11926736640675911</v>
      </c>
      <c r="AS291" s="47">
        <f>IF(AQ291="","",AQ291-($AD$60+$AD$61*Volcanic!C291+$AD$62*Volcanic!D291+$AD$63*Volcanic!E291))</f>
        <v>-0.13777420743470906</v>
      </c>
    </row>
    <row r="292" spans="1:45">
      <c r="A292" s="45" t="str">
        <f>Volcanic!A292</f>
        <v>5/1982</v>
      </c>
      <c r="B292" s="43">
        <f>Volcanic!B292</f>
        <v>0.17999999999999972</v>
      </c>
      <c r="C292" s="47">
        <f>Volcanic!C292</f>
        <v>0.30020741728518119</v>
      </c>
      <c r="D292" s="41">
        <v>0.7</v>
      </c>
      <c r="E292" s="43">
        <f t="shared" si="68"/>
        <v>0</v>
      </c>
      <c r="F292" s="48">
        <v>2.0920000000000001E-2</v>
      </c>
      <c r="G292" s="47">
        <f t="shared" si="69"/>
        <v>6.9800000000000001E-3</v>
      </c>
      <c r="H292" s="43">
        <f>Volcanic!D292</f>
        <v>0.02</v>
      </c>
      <c r="I292" s="47">
        <f>Volcanic!E292</f>
        <v>9.4999999999999998E-3</v>
      </c>
      <c r="K292" s="47">
        <f t="shared" si="56"/>
        <v>0.30020741728518119</v>
      </c>
      <c r="L292" s="47">
        <f t="shared" si="57"/>
        <v>0</v>
      </c>
      <c r="M292" s="47">
        <f t="shared" si="58"/>
        <v>9.4999999999999998E-3</v>
      </c>
      <c r="O292" s="47">
        <f t="shared" si="59"/>
        <v>0.30020741728518119</v>
      </c>
      <c r="P292" s="47">
        <f t="shared" si="60"/>
        <v>0.02</v>
      </c>
      <c r="Q292" s="47">
        <f t="shared" si="61"/>
        <v>6.9800000000000001E-3</v>
      </c>
      <c r="S292" s="47">
        <f t="shared" si="62"/>
        <v>0.30020741728518119</v>
      </c>
      <c r="T292" s="47">
        <f t="shared" si="63"/>
        <v>0</v>
      </c>
      <c r="U292" s="47">
        <f t="shared" si="64"/>
        <v>6.9800000000000001E-3</v>
      </c>
      <c r="W292" s="47">
        <f t="shared" si="65"/>
        <v>-5.730966946990354E-2</v>
      </c>
      <c r="X292" s="47">
        <f t="shared" si="66"/>
        <v>-6.3200274685103724E-2</v>
      </c>
      <c r="Y292" s="47">
        <f t="shared" si="67"/>
        <v>-6.1024790432102044E-2</v>
      </c>
      <c r="AP292" s="48">
        <v>0.16239999999999999</v>
      </c>
      <c r="AQ292" s="48">
        <v>0.1837</v>
      </c>
      <c r="AR292" s="47">
        <f>IF(AP292="","",AP292-($AC$60+$AC$61*Volcanic!C292+$AC$62*Volcanic!D292+$AC$63*Volcanic!E292))</f>
        <v>-6.7945868617520777E-2</v>
      </c>
      <c r="AS292" s="47">
        <f>IF(AQ292="","",AQ292-($AD$60+$AD$61*Volcanic!C292+$AD$62*Volcanic!D292+$AD$63*Volcanic!E292))</f>
        <v>-5.9403552422618883E-2</v>
      </c>
    </row>
    <row r="293" spans="1:45">
      <c r="A293" s="45" t="str">
        <f>Volcanic!A293</f>
        <v>6/1982</v>
      </c>
      <c r="B293" s="43">
        <f>Volcanic!B293</f>
        <v>5.9999999999998721E-2</v>
      </c>
      <c r="C293" s="47">
        <f>Volcanic!C293</f>
        <v>0.29647838424587125</v>
      </c>
      <c r="D293" s="41">
        <v>0.7</v>
      </c>
      <c r="E293" s="43">
        <f t="shared" si="68"/>
        <v>0.1</v>
      </c>
      <c r="F293" s="48">
        <v>2.3609999999999999E-2</v>
      </c>
      <c r="G293" s="47">
        <f t="shared" si="69"/>
        <v>6.8399999999999997E-3</v>
      </c>
      <c r="H293" s="43">
        <f>Volcanic!D293</f>
        <v>7.0000000000000007E-2</v>
      </c>
      <c r="I293" s="47">
        <f>Volcanic!E293</f>
        <v>9.3299999999999998E-3</v>
      </c>
      <c r="K293" s="47">
        <f t="shared" si="56"/>
        <v>0.29647838424587125</v>
      </c>
      <c r="L293" s="47">
        <f t="shared" si="57"/>
        <v>0.1</v>
      </c>
      <c r="M293" s="47">
        <f t="shared" si="58"/>
        <v>9.3299999999999998E-3</v>
      </c>
      <c r="O293" s="47">
        <f t="shared" si="59"/>
        <v>0.29647838424587125</v>
      </c>
      <c r="P293" s="47">
        <f t="shared" si="60"/>
        <v>7.0000000000000007E-2</v>
      </c>
      <c r="Q293" s="47">
        <f t="shared" si="61"/>
        <v>6.8399999999999997E-3</v>
      </c>
      <c r="S293" s="47">
        <f t="shared" si="62"/>
        <v>0.29647838424587125</v>
      </c>
      <c r="T293" s="47">
        <f t="shared" si="63"/>
        <v>0.1</v>
      </c>
      <c r="U293" s="47">
        <f t="shared" si="64"/>
        <v>6.8399999999999997E-3</v>
      </c>
      <c r="W293" s="47">
        <f t="shared" si="65"/>
        <v>-0.17680196559005934</v>
      </c>
      <c r="X293" s="47">
        <f t="shared" si="66"/>
        <v>-0.17818113463469726</v>
      </c>
      <c r="Y293" s="47">
        <f t="shared" si="67"/>
        <v>-0.18071151384964956</v>
      </c>
      <c r="AP293" s="48">
        <v>7.1499999999999994E-2</v>
      </c>
      <c r="AQ293" s="48">
        <v>9.5699999999999993E-2</v>
      </c>
      <c r="AR293" s="47">
        <f>IF(AP293="","",AP293-($AC$60+$AC$61*Volcanic!C293+$AC$62*Volcanic!D293+$AC$63*Volcanic!E293))</f>
        <v>-0.15375464992387661</v>
      </c>
      <c r="AS293" s="47">
        <f>IF(AQ293="","",AQ293-($AD$60+$AD$61*Volcanic!C293+$AD$62*Volcanic!D293+$AD$63*Volcanic!E293))</f>
        <v>-0.1421265077062322</v>
      </c>
    </row>
    <row r="294" spans="1:45">
      <c r="A294" s="45" t="str">
        <f>Volcanic!A294</f>
        <v>7/1982</v>
      </c>
      <c r="B294" s="43">
        <f>Volcanic!B294</f>
        <v>0.13999999999999879</v>
      </c>
      <c r="C294" s="47">
        <f>Volcanic!C294</f>
        <v>0.29034014167791555</v>
      </c>
      <c r="D294" s="41">
        <v>0.8</v>
      </c>
      <c r="E294" s="43">
        <f t="shared" si="68"/>
        <v>0.3</v>
      </c>
      <c r="F294" s="48">
        <v>2.4209999999999999E-2</v>
      </c>
      <c r="G294" s="47">
        <f t="shared" si="69"/>
        <v>6.0400000000000002E-3</v>
      </c>
      <c r="H294" s="43">
        <f>Volcanic!D294</f>
        <v>0.34</v>
      </c>
      <c r="I294" s="47">
        <f>Volcanic!E294</f>
        <v>8.3300000000000006E-3</v>
      </c>
      <c r="K294" s="47">
        <f t="shared" si="56"/>
        <v>0.29034014167791555</v>
      </c>
      <c r="L294" s="47">
        <f t="shared" si="57"/>
        <v>0.3</v>
      </c>
      <c r="M294" s="47">
        <f t="shared" si="58"/>
        <v>8.3300000000000006E-3</v>
      </c>
      <c r="O294" s="47">
        <f t="shared" si="59"/>
        <v>0.29034014167791555</v>
      </c>
      <c r="P294" s="47">
        <f t="shared" si="60"/>
        <v>0.34</v>
      </c>
      <c r="Q294" s="47">
        <f t="shared" si="61"/>
        <v>6.0400000000000002E-3</v>
      </c>
      <c r="S294" s="47">
        <f t="shared" si="62"/>
        <v>0.29034014167791555</v>
      </c>
      <c r="T294" s="47">
        <f t="shared" si="63"/>
        <v>0.3</v>
      </c>
      <c r="U294" s="47">
        <f t="shared" si="64"/>
        <v>6.0400000000000002E-3</v>
      </c>
      <c r="W294" s="47">
        <f t="shared" si="65"/>
        <v>-0.10084024179782539</v>
      </c>
      <c r="X294" s="47">
        <f t="shared" si="66"/>
        <v>-0.10903888376388152</v>
      </c>
      <c r="Y294" s="47">
        <f t="shared" si="67"/>
        <v>-0.10501304192033079</v>
      </c>
      <c r="AP294" s="48">
        <v>0.14879999999999999</v>
      </c>
      <c r="AQ294" s="48">
        <v>0.1177</v>
      </c>
      <c r="AR294" s="47">
        <f>IF(AP294="","",AP294-($AC$60+$AC$61*Volcanic!C294+$AC$62*Volcanic!D294+$AC$63*Volcanic!E294))</f>
        <v>-8.7383892689267884E-2</v>
      </c>
      <c r="AS294" s="47">
        <f>IF(AQ294="","",AQ294-($AD$60+$AD$61*Volcanic!C294+$AD$62*Volcanic!D294+$AD$63*Volcanic!E294))</f>
        <v>-0.13102667342617205</v>
      </c>
    </row>
    <row r="295" spans="1:45">
      <c r="A295" s="45" t="str">
        <f>Volcanic!A295</f>
        <v>8/1982</v>
      </c>
      <c r="B295" s="43">
        <f>Volcanic!B295</f>
        <v>2.9999999999997584E-2</v>
      </c>
      <c r="C295" s="47">
        <f>Volcanic!C295</f>
        <v>0.28112593290607241</v>
      </c>
      <c r="D295" s="41">
        <v>1</v>
      </c>
      <c r="E295" s="43">
        <f t="shared" si="68"/>
        <v>0.7</v>
      </c>
      <c r="F295" s="48">
        <v>2.4910000000000002E-2</v>
      </c>
      <c r="G295" s="47">
        <f t="shared" si="69"/>
        <v>5.2399999999999999E-3</v>
      </c>
      <c r="H295" s="43">
        <f>Volcanic!D295</f>
        <v>0.65</v>
      </c>
      <c r="I295" s="47">
        <f>Volcanic!E295</f>
        <v>7.4599999999999996E-3</v>
      </c>
      <c r="K295" s="47">
        <f t="shared" si="56"/>
        <v>0.28112593290607241</v>
      </c>
      <c r="L295" s="47">
        <f t="shared" si="57"/>
        <v>0.7</v>
      </c>
      <c r="M295" s="47">
        <f t="shared" si="58"/>
        <v>7.4599999999999996E-3</v>
      </c>
      <c r="O295" s="47">
        <f t="shared" si="59"/>
        <v>0.28112593290607241</v>
      </c>
      <c r="P295" s="47">
        <f t="shared" si="60"/>
        <v>0.65</v>
      </c>
      <c r="Q295" s="47">
        <f t="shared" si="61"/>
        <v>5.2399999999999999E-3</v>
      </c>
      <c r="S295" s="47">
        <f t="shared" si="62"/>
        <v>0.28112593290607241</v>
      </c>
      <c r="T295" s="47">
        <f t="shared" si="63"/>
        <v>0.7</v>
      </c>
      <c r="U295" s="47">
        <f t="shared" si="64"/>
        <v>5.2399999999999999E-3</v>
      </c>
      <c r="W295" s="47">
        <f t="shared" si="65"/>
        <v>-0.22477809968723389</v>
      </c>
      <c r="X295" s="47">
        <f t="shared" si="66"/>
        <v>-0.22533796332313755</v>
      </c>
      <c r="Y295" s="47">
        <f t="shared" si="67"/>
        <v>-0.22980160876063088</v>
      </c>
      <c r="AP295" s="48">
        <v>2.7199999999999998E-2</v>
      </c>
      <c r="AQ295" s="48">
        <v>6.0699999999999997E-2</v>
      </c>
      <c r="AR295" s="47">
        <f>IF(AP295="","",AP295-($AC$60+$AC$61*Volcanic!C295+$AC$62*Volcanic!D295+$AC$63*Volcanic!E295))</f>
        <v>-0.21494687525136283</v>
      </c>
      <c r="AS295" s="47">
        <f>IF(AQ295="","",AQ295-($AD$60+$AD$61*Volcanic!C295+$AD$62*Volcanic!D295+$AD$63*Volcanic!E295))</f>
        <v>-0.19383621454658848</v>
      </c>
    </row>
    <row r="296" spans="1:45">
      <c r="A296" s="45" t="str">
        <f>Volcanic!A296</f>
        <v>9/1982</v>
      </c>
      <c r="B296" s="43">
        <f>Volcanic!B296</f>
        <v>0.13999999999999879</v>
      </c>
      <c r="C296" s="47">
        <f>Volcanic!C296</f>
        <v>0.2731748371214936</v>
      </c>
      <c r="D296" s="41">
        <v>1.5</v>
      </c>
      <c r="E296" s="43">
        <f t="shared" si="68"/>
        <v>0.7</v>
      </c>
      <c r="F296" s="48">
        <v>2.5760000000000002E-2</v>
      </c>
      <c r="G296" s="47">
        <f t="shared" si="69"/>
        <v>5.1399999999999996E-3</v>
      </c>
      <c r="H296" s="43">
        <f>Volcanic!D296</f>
        <v>0.73</v>
      </c>
      <c r="I296" s="47">
        <f>Volcanic!E296</f>
        <v>7.3299999999999997E-3</v>
      </c>
      <c r="K296" s="47">
        <f t="shared" si="56"/>
        <v>0.2731748371214936</v>
      </c>
      <c r="L296" s="47">
        <f t="shared" si="57"/>
        <v>0.7</v>
      </c>
      <c r="M296" s="47">
        <f t="shared" si="58"/>
        <v>7.3299999999999997E-3</v>
      </c>
      <c r="O296" s="47">
        <f t="shared" si="59"/>
        <v>0.2731748371214936</v>
      </c>
      <c r="P296" s="47">
        <f t="shared" si="60"/>
        <v>0.73</v>
      </c>
      <c r="Q296" s="47">
        <f t="shared" si="61"/>
        <v>5.1399999999999996E-3</v>
      </c>
      <c r="S296" s="47">
        <f t="shared" si="62"/>
        <v>0.2731748371214936</v>
      </c>
      <c r="T296" s="47">
        <f t="shared" si="63"/>
        <v>0.7</v>
      </c>
      <c r="U296" s="47">
        <f t="shared" si="64"/>
        <v>5.1399999999999996E-3</v>
      </c>
      <c r="W296" s="47">
        <f t="shared" si="65"/>
        <v>-9.3380722479799561E-2</v>
      </c>
      <c r="X296" s="47">
        <f t="shared" si="66"/>
        <v>-0.10161771949915979</v>
      </c>
      <c r="Y296" s="47">
        <f t="shared" si="67"/>
        <v>-9.8569185472237864E-2</v>
      </c>
      <c r="AP296" s="48">
        <v>8.7300000000000003E-2</v>
      </c>
      <c r="AQ296" s="48">
        <v>0.1197</v>
      </c>
      <c r="AR296" s="47">
        <f>IF(AP296="","",AP296-($AC$60+$AC$61*Volcanic!C296+$AC$62*Volcanic!D296+$AC$63*Volcanic!E296))</f>
        <v>-0.14093996287477534</v>
      </c>
      <c r="AS296" s="47">
        <f>IF(AQ296="","",AQ296-($AD$60+$AD$61*Volcanic!C296+$AD$62*Volcanic!D296+$AD$63*Volcanic!E296))</f>
        <v>-0.12050894042950944</v>
      </c>
    </row>
    <row r="297" spans="1:45">
      <c r="A297" s="45" t="str">
        <f>Volcanic!A297</f>
        <v>10/1982</v>
      </c>
      <c r="B297" s="43">
        <f>Volcanic!B297</f>
        <v>0.12999999999999901</v>
      </c>
      <c r="C297" s="47">
        <f>Volcanic!C297</f>
        <v>0.27334537348989335</v>
      </c>
      <c r="D297" s="41">
        <v>1.8</v>
      </c>
      <c r="E297" s="43">
        <f t="shared" si="68"/>
        <v>0.8</v>
      </c>
      <c r="F297" s="48">
        <v>2.741E-2</v>
      </c>
      <c r="G297" s="47">
        <f t="shared" si="69"/>
        <v>5.1799999999999997E-3</v>
      </c>
      <c r="H297" s="43">
        <f>Volcanic!D297</f>
        <v>0.78</v>
      </c>
      <c r="I297" s="47">
        <f>Volcanic!E297</f>
        <v>7.6699999999999997E-3</v>
      </c>
      <c r="K297" s="47">
        <f t="shared" si="56"/>
        <v>0.27334537348989335</v>
      </c>
      <c r="L297" s="47">
        <f t="shared" si="57"/>
        <v>0.8</v>
      </c>
      <c r="M297" s="47">
        <f t="shared" si="58"/>
        <v>7.6699999999999997E-3</v>
      </c>
      <c r="O297" s="47">
        <f t="shared" si="59"/>
        <v>0.27334537348989335</v>
      </c>
      <c r="P297" s="47">
        <f t="shared" si="60"/>
        <v>0.78</v>
      </c>
      <c r="Q297" s="47">
        <f t="shared" si="61"/>
        <v>5.1799999999999997E-3</v>
      </c>
      <c r="S297" s="47">
        <f t="shared" si="62"/>
        <v>0.27334537348989335</v>
      </c>
      <c r="T297" s="47">
        <f t="shared" si="63"/>
        <v>0.8</v>
      </c>
      <c r="U297" s="47">
        <f t="shared" si="64"/>
        <v>5.1799999999999997E-3</v>
      </c>
      <c r="W297" s="47">
        <f t="shared" si="65"/>
        <v>-0.11238393379836692</v>
      </c>
      <c r="X297" s="47">
        <f t="shared" si="66"/>
        <v>-0.11667107710548891</v>
      </c>
      <c r="Y297" s="47">
        <f t="shared" si="67"/>
        <v>-0.11832667122702448</v>
      </c>
      <c r="AP297" s="48">
        <v>0.11409999999999999</v>
      </c>
      <c r="AQ297" s="48">
        <v>0.11070000000000001</v>
      </c>
      <c r="AR297" s="47">
        <f>IF(AP297="","",AP297-($AC$60+$AC$61*Volcanic!C297+$AC$62*Volcanic!D297+$AC$63*Volcanic!E297))</f>
        <v>-0.11846977782702849</v>
      </c>
      <c r="AS297" s="47">
        <f>IF(AQ297="","",AQ297-($AD$60+$AD$61*Volcanic!C297+$AD$62*Volcanic!D297+$AD$63*Volcanic!E297))</f>
        <v>-0.13398609001544831</v>
      </c>
    </row>
    <row r="298" spans="1:45">
      <c r="A298" s="45" t="str">
        <f>Volcanic!A298</f>
        <v>11/1982</v>
      </c>
      <c r="B298" s="43">
        <f>Volcanic!B298</f>
        <v>0.17999999999999972</v>
      </c>
      <c r="C298" s="47">
        <f>Volcanic!C298</f>
        <v>0.27772975657104493</v>
      </c>
      <c r="D298" s="41">
        <v>2</v>
      </c>
      <c r="E298" s="43">
        <f t="shared" si="68"/>
        <v>1</v>
      </c>
      <c r="F298" s="48">
        <v>3.1460000000000002E-2</v>
      </c>
      <c r="G298" s="47">
        <f t="shared" si="69"/>
        <v>1.8759999999999999E-2</v>
      </c>
      <c r="H298" s="43">
        <f>Volcanic!D298</f>
        <v>0.99</v>
      </c>
      <c r="I298" s="47">
        <f>Volcanic!E298</f>
        <v>2.0670000000000001E-2</v>
      </c>
      <c r="K298" s="47">
        <f t="shared" si="56"/>
        <v>0.27772975657104493</v>
      </c>
      <c r="L298" s="47">
        <f t="shared" si="57"/>
        <v>1</v>
      </c>
      <c r="M298" s="47">
        <f t="shared" si="58"/>
        <v>2.0670000000000001E-2</v>
      </c>
      <c r="O298" s="47">
        <f t="shared" si="59"/>
        <v>0.27772975657104493</v>
      </c>
      <c r="P298" s="47">
        <f t="shared" si="60"/>
        <v>0.99</v>
      </c>
      <c r="Q298" s="47">
        <f t="shared" si="61"/>
        <v>1.8759999999999999E-2</v>
      </c>
      <c r="S298" s="47">
        <f t="shared" si="62"/>
        <v>0.27772975657104493</v>
      </c>
      <c r="T298" s="47">
        <f t="shared" si="63"/>
        <v>1</v>
      </c>
      <c r="U298" s="47">
        <f t="shared" si="64"/>
        <v>1.8759999999999999E-2</v>
      </c>
      <c r="W298" s="47">
        <f t="shared" si="65"/>
        <v>-6.4269644238475504E-2</v>
      </c>
      <c r="X298" s="47">
        <f t="shared" si="66"/>
        <v>-6.2770025429137316E-2</v>
      </c>
      <c r="Y298" s="47">
        <f t="shared" si="67"/>
        <v>-6.345806046376784E-2</v>
      </c>
      <c r="AP298" s="48">
        <v>0.1027</v>
      </c>
      <c r="AQ298" s="48">
        <v>7.4700000000000003E-2</v>
      </c>
      <c r="AR298" s="47">
        <f>IF(AP298="","",AP298-($AC$60+$AC$61*Volcanic!C298+$AC$62*Volcanic!D298+$AC$63*Volcanic!E298))</f>
        <v>-0.13022667734192944</v>
      </c>
      <c r="AS298" s="47">
        <f>IF(AQ298="","",AQ298-($AD$60+$AD$61*Volcanic!C298+$AD$62*Volcanic!D298+$AD$63*Volcanic!E298))</f>
        <v>-0.17256015967379734</v>
      </c>
    </row>
    <row r="299" spans="1:45">
      <c r="A299" s="45" t="str">
        <f>Volcanic!A299</f>
        <v>12/1982</v>
      </c>
      <c r="B299" s="43">
        <f>Volcanic!B299</f>
        <v>0.42999999999999972</v>
      </c>
      <c r="C299" s="47">
        <f>Volcanic!C299</f>
        <v>0.28341384070717457</v>
      </c>
      <c r="D299" s="41">
        <v>2.1</v>
      </c>
      <c r="E299" s="43">
        <f t="shared" si="68"/>
        <v>1.5</v>
      </c>
      <c r="F299" s="48">
        <v>4.632E-2</v>
      </c>
      <c r="G299" s="47">
        <f t="shared" si="69"/>
        <v>2.0920000000000001E-2</v>
      </c>
      <c r="H299" s="43">
        <f>Volcanic!D299</f>
        <v>1.45</v>
      </c>
      <c r="I299" s="47">
        <f>Volcanic!E299</f>
        <v>2.3220000000000001E-2</v>
      </c>
      <c r="K299" s="47">
        <f t="shared" si="56"/>
        <v>0.28341384070717457</v>
      </c>
      <c r="L299" s="47">
        <f t="shared" si="57"/>
        <v>1.5</v>
      </c>
      <c r="M299" s="47">
        <f t="shared" si="58"/>
        <v>2.3220000000000001E-2</v>
      </c>
      <c r="O299" s="47">
        <f t="shared" si="59"/>
        <v>0.28341384070717457</v>
      </c>
      <c r="P299" s="47">
        <f t="shared" si="60"/>
        <v>1.45</v>
      </c>
      <c r="Q299" s="47">
        <f t="shared" si="61"/>
        <v>2.0920000000000001E-2</v>
      </c>
      <c r="S299" s="47">
        <f t="shared" si="62"/>
        <v>0.28341384070717457</v>
      </c>
      <c r="T299" s="47">
        <f t="shared" si="63"/>
        <v>1.5</v>
      </c>
      <c r="U299" s="47">
        <f t="shared" si="64"/>
        <v>2.0920000000000001E-2</v>
      </c>
      <c r="W299" s="47">
        <f t="shared" si="65"/>
        <v>0.12941133388522091</v>
      </c>
      <c r="X299" s="47">
        <f t="shared" si="66"/>
        <v>0.13429550564422377</v>
      </c>
      <c r="Y299" s="47">
        <f t="shared" si="67"/>
        <v>0.12982093238490555</v>
      </c>
      <c r="AP299" s="48">
        <v>0.3518</v>
      </c>
      <c r="AQ299" s="48">
        <v>0.41970000000000002</v>
      </c>
      <c r="AR299" s="47">
        <f>IF(AP299="","",AP299-($AC$60+$AC$61*Volcanic!C299+$AC$62*Volcanic!D299+$AC$63*Volcanic!E299))</f>
        <v>6.6411380671415554E-2</v>
      </c>
      <c r="AS299" s="47">
        <f>IF(AQ299="","",AQ299-($AD$60+$AD$61*Volcanic!C299+$AD$62*Volcanic!D299+$AD$63*Volcanic!E299))</f>
        <v>0.11840014576744168</v>
      </c>
    </row>
    <row r="300" spans="1:45">
      <c r="A300" s="45" t="str">
        <f>Volcanic!A300</f>
        <v>1/1983</v>
      </c>
      <c r="B300" s="43">
        <f>Volcanic!B300</f>
        <v>0.52999999999999758</v>
      </c>
      <c r="C300" s="47">
        <f>Volcanic!C300</f>
        <v>0.28675444184014132</v>
      </c>
      <c r="D300" s="41">
        <v>2.1</v>
      </c>
      <c r="E300" s="43">
        <f t="shared" si="68"/>
        <v>1.8</v>
      </c>
      <c r="F300" s="48">
        <v>4.6699999999999998E-2</v>
      </c>
      <c r="G300" s="47">
        <f t="shared" si="69"/>
        <v>2.3609999999999999E-2</v>
      </c>
      <c r="H300" s="43">
        <f>Volcanic!D300</f>
        <v>1.82</v>
      </c>
      <c r="I300" s="47">
        <f>Volcanic!E300</f>
        <v>2.6190000000000001E-2</v>
      </c>
      <c r="K300" s="47">
        <f t="shared" si="56"/>
        <v>0.28675444184014132</v>
      </c>
      <c r="L300" s="47">
        <f t="shared" si="57"/>
        <v>1.8</v>
      </c>
      <c r="M300" s="47">
        <f t="shared" si="58"/>
        <v>2.6190000000000001E-2</v>
      </c>
      <c r="O300" s="47">
        <f t="shared" si="59"/>
        <v>0.28675444184014132</v>
      </c>
      <c r="P300" s="47">
        <f t="shared" si="60"/>
        <v>1.82</v>
      </c>
      <c r="Q300" s="47">
        <f t="shared" si="61"/>
        <v>2.3609999999999999E-2</v>
      </c>
      <c r="S300" s="47">
        <f t="shared" si="62"/>
        <v>0.28675444184014132</v>
      </c>
      <c r="T300" s="47">
        <f t="shared" si="63"/>
        <v>1.8</v>
      </c>
      <c r="U300" s="47">
        <f t="shared" si="64"/>
        <v>2.3609999999999999E-2</v>
      </c>
      <c r="W300" s="47">
        <f t="shared" si="65"/>
        <v>0.19898348649059827</v>
      </c>
      <c r="X300" s="47">
        <f t="shared" si="66"/>
        <v>0.19753584283529696</v>
      </c>
      <c r="Y300" s="47">
        <f t="shared" si="67"/>
        <v>0.19962362351039176</v>
      </c>
      <c r="AP300" s="48">
        <v>0.43290000000000001</v>
      </c>
      <c r="AQ300" s="48">
        <v>0.47870000000000001</v>
      </c>
      <c r="AR300" s="47">
        <f>IF(AP300="","",AP300-($AC$60+$AC$61*Volcanic!C300+$AC$62*Volcanic!D300+$AC$63*Volcanic!E300))</f>
        <v>0.11088723556955488</v>
      </c>
      <c r="AS300" s="47">
        <f>IF(AQ300="","",AQ300-($AD$60+$AD$61*Volcanic!C300+$AD$62*Volcanic!D300+$AD$63*Volcanic!E300))</f>
        <v>0.13948703502194376</v>
      </c>
    </row>
    <row r="301" spans="1:45">
      <c r="A301" s="45" t="str">
        <f>Volcanic!A301</f>
        <v>2/1983</v>
      </c>
      <c r="B301" s="43">
        <f>Volcanic!B301</f>
        <v>0.42999999999999972</v>
      </c>
      <c r="C301" s="47">
        <f>Volcanic!C301</f>
        <v>0.29185610858541344</v>
      </c>
      <c r="D301" s="41">
        <v>1.9</v>
      </c>
      <c r="E301" s="43">
        <f t="shared" si="68"/>
        <v>2</v>
      </c>
      <c r="F301" s="48">
        <v>4.3180000000000003E-2</v>
      </c>
      <c r="G301" s="47">
        <f t="shared" si="69"/>
        <v>2.4209999999999999E-2</v>
      </c>
      <c r="H301" s="43">
        <f>Volcanic!D301</f>
        <v>2.0299999999999998</v>
      </c>
      <c r="I301" s="47">
        <f>Volcanic!E301</f>
        <v>2.7179999999999999E-2</v>
      </c>
      <c r="K301" s="47">
        <f t="shared" si="56"/>
        <v>0.29185610858541344</v>
      </c>
      <c r="L301" s="47">
        <f t="shared" si="57"/>
        <v>2</v>
      </c>
      <c r="M301" s="47">
        <f t="shared" si="58"/>
        <v>2.7179999999999999E-2</v>
      </c>
      <c r="O301" s="47">
        <f t="shared" si="59"/>
        <v>0.29185610858541344</v>
      </c>
      <c r="P301" s="47">
        <f t="shared" si="60"/>
        <v>2.0299999999999998</v>
      </c>
      <c r="Q301" s="47">
        <f t="shared" si="61"/>
        <v>2.4209999999999999E-2</v>
      </c>
      <c r="S301" s="47">
        <f t="shared" si="62"/>
        <v>0.29185610858541344</v>
      </c>
      <c r="T301" s="47">
        <f t="shared" si="63"/>
        <v>2</v>
      </c>
      <c r="U301" s="47">
        <f t="shared" si="64"/>
        <v>2.4209999999999999E-2</v>
      </c>
      <c r="W301" s="47">
        <f t="shared" si="65"/>
        <v>6.867729991232091E-2</v>
      </c>
      <c r="X301" s="47">
        <f t="shared" si="66"/>
        <v>6.5584137674817411E-2</v>
      </c>
      <c r="Y301" s="47">
        <f t="shared" si="67"/>
        <v>6.8599686231531287E-2</v>
      </c>
      <c r="AP301" s="48">
        <v>0.40789999999999998</v>
      </c>
      <c r="AQ301" s="48">
        <v>0.43369999999999997</v>
      </c>
      <c r="AR301" s="47">
        <f>IF(AP301="","",AP301-($AC$60+$AC$61*Volcanic!C301+$AC$62*Volcanic!D301+$AC$63*Volcanic!E301))</f>
        <v>5.467325008573104E-2</v>
      </c>
      <c r="AS301" s="47">
        <f>IF(AQ301="","",AQ301-($AD$60+$AD$61*Volcanic!C301+$AD$62*Volcanic!D301+$AD$63*Volcanic!E301))</f>
        <v>6.2396756467269499E-2</v>
      </c>
    </row>
    <row r="302" spans="1:45">
      <c r="A302" s="45" t="str">
        <f>Volcanic!A302</f>
        <v>3/1983</v>
      </c>
      <c r="B302" s="43">
        <f>Volcanic!B302</f>
        <v>0.42000000000000348</v>
      </c>
      <c r="C302" s="47">
        <f>Volcanic!C302</f>
        <v>0.29433717040544699</v>
      </c>
      <c r="D302" s="41">
        <v>1.5</v>
      </c>
      <c r="E302" s="43">
        <f t="shared" si="68"/>
        <v>2.1</v>
      </c>
      <c r="F302" s="48">
        <v>4.0469999999999999E-2</v>
      </c>
      <c r="G302" s="47">
        <f t="shared" si="69"/>
        <v>2.4910000000000002E-2</v>
      </c>
      <c r="H302" s="43">
        <f>Volcanic!D302</f>
        <v>2.12</v>
      </c>
      <c r="I302" s="47">
        <f>Volcanic!E302</f>
        <v>2.86E-2</v>
      </c>
      <c r="K302" s="47">
        <f t="shared" si="56"/>
        <v>0.29433717040544699</v>
      </c>
      <c r="L302" s="47">
        <f t="shared" si="57"/>
        <v>2.1</v>
      </c>
      <c r="M302" s="47">
        <f t="shared" si="58"/>
        <v>2.86E-2</v>
      </c>
      <c r="O302" s="47">
        <f t="shared" si="59"/>
        <v>0.29433717040544699</v>
      </c>
      <c r="P302" s="47">
        <f t="shared" si="60"/>
        <v>2.12</v>
      </c>
      <c r="Q302" s="47">
        <f t="shared" si="61"/>
        <v>2.4910000000000002E-2</v>
      </c>
      <c r="S302" s="47">
        <f t="shared" si="62"/>
        <v>0.29433717040544699</v>
      </c>
      <c r="T302" s="47">
        <f t="shared" si="63"/>
        <v>2.1</v>
      </c>
      <c r="U302" s="47">
        <f t="shared" si="64"/>
        <v>2.4910000000000002E-2</v>
      </c>
      <c r="W302" s="47">
        <f t="shared" si="65"/>
        <v>4.5752744803523426E-2</v>
      </c>
      <c r="X302" s="47">
        <f t="shared" si="66"/>
        <v>4.2251061632234799E-2</v>
      </c>
      <c r="Y302" s="47">
        <f t="shared" si="67"/>
        <v>4.4322663173693322E-2</v>
      </c>
      <c r="AP302" s="48">
        <v>0.32069999999999999</v>
      </c>
      <c r="AQ302" s="48">
        <v>0.35370000000000001</v>
      </c>
      <c r="AR302" s="47">
        <f>IF(AP302="","",AP302-($AC$60+$AC$61*Volcanic!C302+$AC$62*Volcanic!D302+$AC$63*Volcanic!E302))</f>
        <v>-4.4312812110737565E-2</v>
      </c>
      <c r="AS302" s="47">
        <f>IF(AQ302="","",AQ302-($AD$60+$AD$61*Volcanic!C302+$AD$62*Volcanic!D302+$AD$63*Volcanic!E302))</f>
        <v>-2.9900916020474178E-2</v>
      </c>
    </row>
    <row r="303" spans="1:45">
      <c r="A303" s="45" t="str">
        <f>Volcanic!A303</f>
        <v>4/1983</v>
      </c>
      <c r="B303" s="43">
        <f>Volcanic!B303</f>
        <v>0.28000000000000114</v>
      </c>
      <c r="C303" s="47">
        <f>Volcanic!C303</f>
        <v>0.30284125569659542</v>
      </c>
      <c r="D303" s="41">
        <v>1.2</v>
      </c>
      <c r="E303" s="43">
        <f t="shared" si="68"/>
        <v>2.1</v>
      </c>
      <c r="F303" s="48">
        <v>3.984E-2</v>
      </c>
      <c r="G303" s="47">
        <f t="shared" si="69"/>
        <v>2.5760000000000002E-2</v>
      </c>
      <c r="H303" s="43">
        <f>Volcanic!D303</f>
        <v>2.14</v>
      </c>
      <c r="I303" s="47">
        <f>Volcanic!E303</f>
        <v>2.9919999999999999E-2</v>
      </c>
      <c r="K303" s="47">
        <f t="shared" si="56"/>
        <v>0.30284125569659542</v>
      </c>
      <c r="L303" s="47">
        <f t="shared" si="57"/>
        <v>2.1</v>
      </c>
      <c r="M303" s="47">
        <f t="shared" si="58"/>
        <v>2.9919999999999999E-2</v>
      </c>
      <c r="O303" s="47">
        <f t="shared" si="59"/>
        <v>0.30284125569659542</v>
      </c>
      <c r="P303" s="47">
        <f t="shared" si="60"/>
        <v>2.14</v>
      </c>
      <c r="Q303" s="47">
        <f t="shared" si="61"/>
        <v>2.5760000000000002E-2</v>
      </c>
      <c r="S303" s="47">
        <f t="shared" si="62"/>
        <v>0.30284125569659542</v>
      </c>
      <c r="T303" s="47">
        <f t="shared" si="63"/>
        <v>2.1</v>
      </c>
      <c r="U303" s="47">
        <f t="shared" si="64"/>
        <v>2.5760000000000002E-2</v>
      </c>
      <c r="W303" s="47">
        <f t="shared" si="65"/>
        <v>-0.11453052327349883</v>
      </c>
      <c r="X303" s="47">
        <f t="shared" si="66"/>
        <v>-0.12039828708950567</v>
      </c>
      <c r="Y303" s="47">
        <f t="shared" si="67"/>
        <v>-0.11644276749611837</v>
      </c>
      <c r="AP303" s="48">
        <v>0.24879999999999999</v>
      </c>
      <c r="AQ303" s="48">
        <v>0.3337</v>
      </c>
      <c r="AR303" s="47">
        <f>IF(AP303="","",AP303-($AC$60+$AC$61*Volcanic!C303+$AC$62*Volcanic!D303+$AC$63*Volcanic!E303))</f>
        <v>-0.13813085389479204</v>
      </c>
      <c r="AS303" s="47">
        <f>IF(AQ303="","",AQ303-($AD$60+$AD$61*Volcanic!C303+$AD$62*Volcanic!D303+$AD$63*Volcanic!E303))</f>
        <v>-7.2607963955525046E-2</v>
      </c>
    </row>
    <row r="304" spans="1:45">
      <c r="A304" s="45" t="str">
        <f>Volcanic!A304</f>
        <v>5/1983</v>
      </c>
      <c r="B304" s="43">
        <f>Volcanic!B304</f>
        <v>0.33999999999999986</v>
      </c>
      <c r="C304" s="47">
        <f>Volcanic!C304</f>
        <v>0.30592884206251841</v>
      </c>
      <c r="D304" s="41">
        <v>1</v>
      </c>
      <c r="E304" s="43">
        <f t="shared" si="68"/>
        <v>1.9</v>
      </c>
      <c r="F304" s="48">
        <v>3.6949999999999997E-2</v>
      </c>
      <c r="G304" s="47">
        <f t="shared" si="69"/>
        <v>2.741E-2</v>
      </c>
      <c r="H304" s="43">
        <f>Volcanic!D304</f>
        <v>1.91</v>
      </c>
      <c r="I304" s="47">
        <f>Volcanic!E304</f>
        <v>3.2079999999999997E-2</v>
      </c>
      <c r="K304" s="47">
        <f t="shared" si="56"/>
        <v>0.30592884206251841</v>
      </c>
      <c r="L304" s="47">
        <f t="shared" si="57"/>
        <v>1.9</v>
      </c>
      <c r="M304" s="47">
        <f t="shared" si="58"/>
        <v>3.2079999999999997E-2</v>
      </c>
      <c r="O304" s="47">
        <f t="shared" si="59"/>
        <v>0.30592884206251841</v>
      </c>
      <c r="P304" s="47">
        <f t="shared" si="60"/>
        <v>1.91</v>
      </c>
      <c r="Q304" s="47">
        <f t="shared" si="61"/>
        <v>2.741E-2</v>
      </c>
      <c r="S304" s="47">
        <f t="shared" si="62"/>
        <v>0.30592884206251841</v>
      </c>
      <c r="T304" s="47">
        <f t="shared" si="63"/>
        <v>1.9</v>
      </c>
      <c r="U304" s="47">
        <f t="shared" si="64"/>
        <v>2.741E-2</v>
      </c>
      <c r="W304" s="47">
        <f t="shared" si="65"/>
        <v>-3.9616559210675473E-2</v>
      </c>
      <c r="X304" s="47">
        <f t="shared" si="66"/>
        <v>-4.2829456578160341E-2</v>
      </c>
      <c r="Y304" s="47">
        <f t="shared" si="67"/>
        <v>-4.1671014245156623E-2</v>
      </c>
      <c r="AP304" s="48">
        <v>0.29470000000000002</v>
      </c>
      <c r="AQ304" s="48">
        <v>0.37269999999999998</v>
      </c>
      <c r="AR304" s="47">
        <f>IF(AP304="","",AP304-($AC$60+$AC$61*Volcanic!C304+$AC$62*Volcanic!D304+$AC$63*Volcanic!E304))</f>
        <v>-7.3926076331342017E-2</v>
      </c>
      <c r="AS304" s="47">
        <f>IF(AQ304="","",AQ304-($AD$60+$AD$61*Volcanic!C304+$AD$62*Volcanic!D304+$AD$63*Volcanic!E304))</f>
        <v>-1.5328997669161348E-2</v>
      </c>
    </row>
    <row r="305" spans="1:45">
      <c r="A305" s="45" t="str">
        <f>Volcanic!A305</f>
        <v>6/1983</v>
      </c>
      <c r="B305" s="43">
        <f>Volcanic!B305</f>
        <v>0.2300000000000022</v>
      </c>
      <c r="C305" s="47">
        <f>Volcanic!C305</f>
        <v>0.30434415013981614</v>
      </c>
      <c r="D305" s="41">
        <v>0.6</v>
      </c>
      <c r="E305" s="43">
        <f t="shared" si="68"/>
        <v>1.5</v>
      </c>
      <c r="F305" s="48">
        <v>3.6069999999999998E-2</v>
      </c>
      <c r="G305" s="47">
        <f t="shared" si="69"/>
        <v>3.1460000000000002E-2</v>
      </c>
      <c r="H305" s="43">
        <f>Volcanic!D305</f>
        <v>1.52</v>
      </c>
      <c r="I305" s="47">
        <f>Volcanic!E305</f>
        <v>3.771E-2</v>
      </c>
      <c r="K305" s="47">
        <f t="shared" si="56"/>
        <v>0.30434415013981614</v>
      </c>
      <c r="L305" s="47">
        <f t="shared" si="57"/>
        <v>1.5</v>
      </c>
      <c r="M305" s="47">
        <f t="shared" si="58"/>
        <v>3.771E-2</v>
      </c>
      <c r="O305" s="47">
        <f t="shared" si="59"/>
        <v>0.30434415013981614</v>
      </c>
      <c r="P305" s="47">
        <f t="shared" si="60"/>
        <v>1.52</v>
      </c>
      <c r="Q305" s="47">
        <f t="shared" si="61"/>
        <v>3.1460000000000002E-2</v>
      </c>
      <c r="S305" s="47">
        <f t="shared" si="62"/>
        <v>0.30434415013981614</v>
      </c>
      <c r="T305" s="47">
        <f t="shared" si="63"/>
        <v>1.5</v>
      </c>
      <c r="U305" s="47">
        <f t="shared" si="64"/>
        <v>3.1460000000000002E-2</v>
      </c>
      <c r="W305" s="47">
        <f t="shared" si="65"/>
        <v>-9.5739693924813685E-2</v>
      </c>
      <c r="X305" s="47">
        <f t="shared" si="66"/>
        <v>-0.10132835892056385</v>
      </c>
      <c r="Y305" s="47">
        <f t="shared" si="67"/>
        <v>-9.918857563020439E-2</v>
      </c>
      <c r="AP305" s="48">
        <v>0.2384</v>
      </c>
      <c r="AQ305" s="48">
        <v>0.21970000000000001</v>
      </c>
      <c r="AR305" s="47">
        <f>IF(AP305="","",AP305-($AC$60+$AC$61*Volcanic!C305+$AC$62*Volcanic!D305+$AC$63*Volcanic!E305))</f>
        <v>-7.5830406680975904E-2</v>
      </c>
      <c r="AS305" s="47">
        <f>IF(AQ305="","",AQ305-($AD$60+$AD$61*Volcanic!C305+$AD$62*Volcanic!D305+$AD$63*Volcanic!E305))</f>
        <v>-0.11372565308601179</v>
      </c>
    </row>
    <row r="306" spans="1:45">
      <c r="A306" s="45" t="str">
        <f>Volcanic!A306</f>
        <v>7/1983</v>
      </c>
      <c r="B306" s="43">
        <f>Volcanic!B306</f>
        <v>0.17999999999999972</v>
      </c>
      <c r="C306" s="47">
        <f>Volcanic!C306</f>
        <v>0.29832315583693308</v>
      </c>
      <c r="D306" s="41">
        <v>0.3</v>
      </c>
      <c r="E306" s="43">
        <f t="shared" si="68"/>
        <v>1.2</v>
      </c>
      <c r="F306" s="48">
        <v>3.3300000000000003E-2</v>
      </c>
      <c r="G306" s="47">
        <f t="shared" si="69"/>
        <v>4.632E-2</v>
      </c>
      <c r="H306" s="43">
        <f>Volcanic!D306</f>
        <v>1.23</v>
      </c>
      <c r="I306" s="47">
        <f>Volcanic!E306</f>
        <v>5.3809999999999997E-2</v>
      </c>
      <c r="K306" s="47">
        <f t="shared" si="56"/>
        <v>0.29832315583693308</v>
      </c>
      <c r="L306" s="47">
        <f t="shared" si="57"/>
        <v>1.2</v>
      </c>
      <c r="M306" s="47">
        <f t="shared" si="58"/>
        <v>5.3809999999999997E-2</v>
      </c>
      <c r="O306" s="47">
        <f t="shared" si="59"/>
        <v>0.29832315583693308</v>
      </c>
      <c r="P306" s="47">
        <f t="shared" si="60"/>
        <v>1.23</v>
      </c>
      <c r="Q306" s="47">
        <f t="shared" si="61"/>
        <v>4.632E-2</v>
      </c>
      <c r="S306" s="47">
        <f t="shared" si="62"/>
        <v>0.29832315583693308</v>
      </c>
      <c r="T306" s="47">
        <f t="shared" si="63"/>
        <v>1.2</v>
      </c>
      <c r="U306" s="47">
        <f t="shared" si="64"/>
        <v>4.632E-2</v>
      </c>
      <c r="W306" s="47">
        <f t="shared" si="65"/>
        <v>-6.5980788475939744E-2</v>
      </c>
      <c r="X306" s="47">
        <f t="shared" si="66"/>
        <v>-6.8983135105906701E-2</v>
      </c>
      <c r="Y306" s="47">
        <f t="shared" si="67"/>
        <v>-6.5837527982057359E-2</v>
      </c>
      <c r="AP306" s="48">
        <v>0.1855</v>
      </c>
      <c r="AQ306" s="48">
        <v>0.13869999999999999</v>
      </c>
      <c r="AR306" s="47">
        <f>IF(AP306="","",AP306-($AC$60+$AC$61*Volcanic!C306+$AC$62*Volcanic!D306+$AC$63*Volcanic!E306))</f>
        <v>-4.6392527007077078E-2</v>
      </c>
      <c r="AS306" s="47">
        <f>IF(AQ306="","",AQ306-($AD$60+$AD$61*Volcanic!C306+$AD$62*Volcanic!D306+$AD$63*Volcanic!E306))</f>
        <v>-0.11327310801320895</v>
      </c>
    </row>
    <row r="307" spans="1:45">
      <c r="A307" s="45" t="str">
        <f>Volcanic!A307</f>
        <v>8/1983</v>
      </c>
      <c r="B307" s="43">
        <f>Volcanic!B307</f>
        <v>0.36000000000000121</v>
      </c>
      <c r="C307" s="47">
        <f>Volcanic!C307</f>
        <v>0.29071928277095344</v>
      </c>
      <c r="D307" s="41">
        <v>-0.1</v>
      </c>
      <c r="E307" s="43">
        <f t="shared" si="68"/>
        <v>1</v>
      </c>
      <c r="F307" s="48">
        <v>2.9260000000000001E-2</v>
      </c>
      <c r="G307" s="47">
        <f t="shared" si="69"/>
        <v>4.6699999999999998E-2</v>
      </c>
      <c r="H307" s="43">
        <f>Volcanic!D307</f>
        <v>0.95</v>
      </c>
      <c r="I307" s="47">
        <f>Volcanic!E307</f>
        <v>5.7509999999999999E-2</v>
      </c>
      <c r="K307" s="47">
        <f t="shared" si="56"/>
        <v>0.29071928277095344</v>
      </c>
      <c r="L307" s="47">
        <f t="shared" si="57"/>
        <v>1</v>
      </c>
      <c r="M307" s="47">
        <f t="shared" si="58"/>
        <v>5.7509999999999999E-2</v>
      </c>
      <c r="O307" s="47">
        <f t="shared" si="59"/>
        <v>0.29071928277095344</v>
      </c>
      <c r="P307" s="47">
        <f t="shared" si="60"/>
        <v>0.95</v>
      </c>
      <c r="Q307" s="47">
        <f t="shared" si="61"/>
        <v>4.6699999999999998E-2</v>
      </c>
      <c r="S307" s="47">
        <f t="shared" si="62"/>
        <v>0.29071928277095344</v>
      </c>
      <c r="T307" s="47">
        <f t="shared" si="63"/>
        <v>1</v>
      </c>
      <c r="U307" s="47">
        <f t="shared" si="64"/>
        <v>4.6699999999999998E-2</v>
      </c>
      <c r="W307" s="47">
        <f t="shared" si="65"/>
        <v>0.16148382389358076</v>
      </c>
      <c r="X307" s="47">
        <f t="shared" si="66"/>
        <v>0.15886951199117319</v>
      </c>
      <c r="Y307" s="47">
        <f t="shared" si="67"/>
        <v>0.15451408154254434</v>
      </c>
      <c r="AP307" s="48">
        <v>0.35539999999999999</v>
      </c>
      <c r="AQ307" s="48">
        <v>0.3427</v>
      </c>
      <c r="AR307" s="47">
        <f>IF(AP307="","",AP307-($AC$60+$AC$61*Volcanic!C307+$AC$62*Volcanic!D307+$AC$63*Volcanic!E307))</f>
        <v>0.17939423971824894</v>
      </c>
      <c r="AS307" s="47">
        <f>IF(AQ307="","",AQ307-($AD$60+$AD$61*Volcanic!C307+$AD$62*Volcanic!D307+$AD$63*Volcanic!E307))</f>
        <v>0.14725685440425071</v>
      </c>
    </row>
    <row r="308" spans="1:45">
      <c r="A308" s="45" t="str">
        <f>Volcanic!A308</f>
        <v>9/1983</v>
      </c>
      <c r="B308" s="43">
        <f>Volcanic!B308</f>
        <v>0.36999999999999744</v>
      </c>
      <c r="C308" s="47">
        <f>Volcanic!C308</f>
        <v>0.28205848151793295</v>
      </c>
      <c r="D308" s="41">
        <v>-0.4</v>
      </c>
      <c r="E308" s="43">
        <f t="shared" si="68"/>
        <v>0.6</v>
      </c>
      <c r="F308" s="48">
        <v>2.6349999999999998E-2</v>
      </c>
      <c r="G308" s="47">
        <f t="shared" si="69"/>
        <v>4.3180000000000003E-2</v>
      </c>
      <c r="H308" s="43">
        <f>Volcanic!D308</f>
        <v>0.62</v>
      </c>
      <c r="I308" s="47">
        <f>Volcanic!E308</f>
        <v>5.6910000000000002E-2</v>
      </c>
      <c r="K308" s="47">
        <f t="shared" si="56"/>
        <v>0.28205848151793295</v>
      </c>
      <c r="L308" s="47">
        <f t="shared" si="57"/>
        <v>0.6</v>
      </c>
      <c r="M308" s="47">
        <f t="shared" si="58"/>
        <v>5.6910000000000002E-2</v>
      </c>
      <c r="O308" s="47">
        <f t="shared" si="59"/>
        <v>0.28205848151793295</v>
      </c>
      <c r="P308" s="47">
        <f t="shared" si="60"/>
        <v>0.62</v>
      </c>
      <c r="Q308" s="47">
        <f t="shared" si="61"/>
        <v>4.3180000000000003E-2</v>
      </c>
      <c r="S308" s="47">
        <f t="shared" si="62"/>
        <v>0.28205848151793295</v>
      </c>
      <c r="T308" s="47">
        <f t="shared" si="63"/>
        <v>0.6</v>
      </c>
      <c r="U308" s="47">
        <f t="shared" si="64"/>
        <v>4.3180000000000003E-2</v>
      </c>
      <c r="W308" s="47">
        <f t="shared" si="65"/>
        <v>0.2309303439055358</v>
      </c>
      <c r="X308" s="47">
        <f t="shared" si="66"/>
        <v>0.21408672318675648</v>
      </c>
      <c r="Y308" s="47">
        <f t="shared" si="67"/>
        <v>0.21632332953139743</v>
      </c>
      <c r="AP308" s="48">
        <v>0.39829999999999999</v>
      </c>
      <c r="AQ308" s="48">
        <v>0.39069999999999999</v>
      </c>
      <c r="AR308" s="47">
        <f>IF(AP308="","",AP308-($AC$60+$AC$61*Volcanic!C308+$AC$62*Volcanic!D308+$AC$63*Volcanic!E308))</f>
        <v>0.2754026569530868</v>
      </c>
      <c r="AS308" s="47">
        <f>IF(AQ308="","",AQ308-($AD$60+$AD$61*Volcanic!C308+$AD$62*Volcanic!D308+$AD$63*Volcanic!E308))</f>
        <v>0.24967684552356065</v>
      </c>
    </row>
    <row r="309" spans="1:45">
      <c r="A309" s="45" t="str">
        <f>Volcanic!A309</f>
        <v>10/1983</v>
      </c>
      <c r="B309" s="43">
        <f>Volcanic!B309</f>
        <v>0.16999999999999993</v>
      </c>
      <c r="C309" s="47">
        <f>Volcanic!C309</f>
        <v>0.28235507516311997</v>
      </c>
      <c r="D309" s="41">
        <v>-0.8</v>
      </c>
      <c r="E309" s="43">
        <f t="shared" si="68"/>
        <v>0.3</v>
      </c>
      <c r="F309" s="48">
        <v>2.222E-2</v>
      </c>
      <c r="G309" s="47">
        <f t="shared" si="69"/>
        <v>4.0469999999999999E-2</v>
      </c>
      <c r="H309" s="43">
        <f>Volcanic!D309</f>
        <v>0.25</v>
      </c>
      <c r="I309" s="47">
        <f>Volcanic!E309</f>
        <v>5.6890000000000003E-2</v>
      </c>
      <c r="K309" s="47">
        <f t="shared" si="56"/>
        <v>0.28235507516311997</v>
      </c>
      <c r="L309" s="47">
        <f t="shared" si="57"/>
        <v>0.3</v>
      </c>
      <c r="M309" s="47">
        <f t="shared" si="58"/>
        <v>5.6890000000000003E-2</v>
      </c>
      <c r="O309" s="47">
        <f t="shared" si="59"/>
        <v>0.28235507516311997</v>
      </c>
      <c r="P309" s="47">
        <f t="shared" si="60"/>
        <v>0.25</v>
      </c>
      <c r="Q309" s="47">
        <f t="shared" si="61"/>
        <v>4.0469999999999999E-2</v>
      </c>
      <c r="S309" s="47">
        <f t="shared" si="62"/>
        <v>0.28235507516311997</v>
      </c>
      <c r="T309" s="47">
        <f t="shared" si="63"/>
        <v>0.3</v>
      </c>
      <c r="U309" s="47">
        <f t="shared" si="64"/>
        <v>4.0469999999999999E-2</v>
      </c>
      <c r="W309" s="47">
        <f t="shared" si="65"/>
        <v>5.7939412291174081E-2</v>
      </c>
      <c r="X309" s="47">
        <f t="shared" si="66"/>
        <v>4.0960688370799803E-2</v>
      </c>
      <c r="Y309" s="47">
        <f t="shared" si="67"/>
        <v>3.6635980211267294E-2</v>
      </c>
      <c r="AP309" s="48">
        <v>0.18679999999999999</v>
      </c>
      <c r="AQ309" s="48">
        <v>0.1457</v>
      </c>
      <c r="AR309" s="47">
        <f>IF(AP309="","",AP309-($AC$60+$AC$61*Volcanic!C309+$AC$62*Volcanic!D309+$AC$63*Volcanic!E309))</f>
        <v>9.7693339384958611E-2</v>
      </c>
      <c r="AS309" s="47">
        <f>IF(AQ309="","",AQ309-($AD$60+$AD$61*Volcanic!C309+$AD$62*Volcanic!D309+$AD$63*Volcanic!E309))</f>
        <v>3.9159113548491054E-2</v>
      </c>
    </row>
    <row r="310" spans="1:45">
      <c r="A310" s="45" t="str">
        <f>Volcanic!A310</f>
        <v>11/1983</v>
      </c>
      <c r="B310" s="43">
        <f>Volcanic!B310</f>
        <v>0.30000000000000249</v>
      </c>
      <c r="C310" s="47">
        <f>Volcanic!C310</f>
        <v>0.28768336047734855</v>
      </c>
      <c r="D310" s="41">
        <v>-1</v>
      </c>
      <c r="E310" s="43">
        <f t="shared" si="68"/>
        <v>-0.1</v>
      </c>
      <c r="F310" s="48">
        <v>2.1839999999999998E-2</v>
      </c>
      <c r="G310" s="47">
        <f t="shared" si="69"/>
        <v>3.984E-2</v>
      </c>
      <c r="H310" s="43">
        <f>Volcanic!D310</f>
        <v>-0.06</v>
      </c>
      <c r="I310" s="47">
        <f>Volcanic!E310</f>
        <v>5.74E-2</v>
      </c>
      <c r="K310" s="47">
        <f t="shared" si="56"/>
        <v>0.28768336047734855</v>
      </c>
      <c r="L310" s="47">
        <f t="shared" si="57"/>
        <v>-0.1</v>
      </c>
      <c r="M310" s="47">
        <f t="shared" si="58"/>
        <v>5.74E-2</v>
      </c>
      <c r="O310" s="47">
        <f t="shared" si="59"/>
        <v>0.28768336047734855</v>
      </c>
      <c r="P310" s="47">
        <f t="shared" si="60"/>
        <v>-0.06</v>
      </c>
      <c r="Q310" s="47">
        <f t="shared" si="61"/>
        <v>3.984E-2</v>
      </c>
      <c r="S310" s="47">
        <f t="shared" si="62"/>
        <v>0.28768336047734855</v>
      </c>
      <c r="T310" s="47">
        <f t="shared" si="63"/>
        <v>-0.1</v>
      </c>
      <c r="U310" s="47">
        <f t="shared" si="64"/>
        <v>3.984E-2</v>
      </c>
      <c r="W310" s="47">
        <f t="shared" si="65"/>
        <v>0.21168149957242663</v>
      </c>
      <c r="X310" s="47">
        <f t="shared" si="66"/>
        <v>0.18402943239776895</v>
      </c>
      <c r="Y310" s="47">
        <f t="shared" si="67"/>
        <v>0.18818862744689163</v>
      </c>
      <c r="AP310" s="48">
        <v>0.31709999999999999</v>
      </c>
      <c r="AQ310" s="48">
        <v>0.2387</v>
      </c>
      <c r="AR310" s="47">
        <f>IF(AP310="","",AP310-($AC$60+$AC$61*Volcanic!C310+$AC$62*Volcanic!D310+$AC$63*Volcanic!E310))</f>
        <v>0.24370102389349863</v>
      </c>
      <c r="AS310" s="47">
        <f>IF(AQ310="","",AQ310-($AD$60+$AD$61*Volcanic!C310+$AD$62*Volcanic!D310+$AD$63*Volcanic!E310))</f>
        <v>0.14802818151185665</v>
      </c>
    </row>
    <row r="311" spans="1:45">
      <c r="A311" s="45" t="str">
        <f>Volcanic!A311</f>
        <v>12/1983</v>
      </c>
      <c r="B311" s="43">
        <f>Volcanic!B311</f>
        <v>0.16999999999999993</v>
      </c>
      <c r="C311" s="47">
        <f>Volcanic!C311</f>
        <v>0.29362272566721687</v>
      </c>
      <c r="D311" s="41">
        <v>-0.9</v>
      </c>
      <c r="E311" s="43">
        <f t="shared" si="68"/>
        <v>-0.4</v>
      </c>
      <c r="F311" s="48">
        <v>2.5149999999999999E-2</v>
      </c>
      <c r="G311" s="47">
        <f t="shared" si="69"/>
        <v>3.6949999999999997E-2</v>
      </c>
      <c r="H311" s="43">
        <f>Volcanic!D311</f>
        <v>-0.43</v>
      </c>
      <c r="I311" s="47">
        <f>Volcanic!E311</f>
        <v>5.4690000000000003E-2</v>
      </c>
      <c r="K311" s="47">
        <f t="shared" si="56"/>
        <v>0.29362272566721687</v>
      </c>
      <c r="L311" s="47">
        <f t="shared" si="57"/>
        <v>-0.4</v>
      </c>
      <c r="M311" s="47">
        <f t="shared" si="58"/>
        <v>5.4690000000000003E-2</v>
      </c>
      <c r="O311" s="47">
        <f t="shared" si="59"/>
        <v>0.29362272566721687</v>
      </c>
      <c r="P311" s="47">
        <f t="shared" si="60"/>
        <v>-0.43</v>
      </c>
      <c r="Q311" s="47">
        <f t="shared" si="61"/>
        <v>3.6949999999999997E-2</v>
      </c>
      <c r="S311" s="47">
        <f t="shared" si="62"/>
        <v>0.29362272566721687</v>
      </c>
      <c r="T311" s="47">
        <f t="shared" si="63"/>
        <v>-0.4</v>
      </c>
      <c r="U311" s="47">
        <f t="shared" si="64"/>
        <v>3.6949999999999997E-2</v>
      </c>
      <c r="W311" s="47">
        <f t="shared" si="65"/>
        <v>8.7374397957293279E-2</v>
      </c>
      <c r="X311" s="47">
        <f t="shared" si="66"/>
        <v>6.5177424834831035E-2</v>
      </c>
      <c r="Y311" s="47">
        <f t="shared" si="67"/>
        <v>6.2776458782743752E-2</v>
      </c>
      <c r="AP311" s="48">
        <v>0.16739999999999999</v>
      </c>
      <c r="AQ311" s="48">
        <v>0.21870000000000001</v>
      </c>
      <c r="AR311" s="47">
        <f>IF(AP311="","",AP311-($AC$60+$AC$61*Volcanic!C311+$AC$62*Volcanic!D311+$AC$63*Volcanic!E311))</f>
        <v>0.10591082991073042</v>
      </c>
      <c r="AS311" s="47">
        <f>IF(AQ311="","",AQ311-($AD$60+$AD$61*Volcanic!C311+$AD$62*Volcanic!D311+$AD$63*Volcanic!E311))</f>
        <v>0.14054459409809328</v>
      </c>
    </row>
    <row r="312" spans="1:45">
      <c r="A312" s="45" t="str">
        <f>Volcanic!A312</f>
        <v>1/1984</v>
      </c>
      <c r="B312" s="43">
        <f>Volcanic!B312</f>
        <v>0.31000000000000227</v>
      </c>
      <c r="C312" s="47">
        <f>Volcanic!C312</f>
        <v>0.29786218403948628</v>
      </c>
      <c r="D312" s="41">
        <v>-0.6</v>
      </c>
      <c r="E312" s="43">
        <f t="shared" si="68"/>
        <v>-0.8</v>
      </c>
      <c r="F312" s="48">
        <v>2.4029999999999999E-2</v>
      </c>
      <c r="G312" s="47">
        <f t="shared" si="69"/>
        <v>3.6069999999999998E-2</v>
      </c>
      <c r="H312" s="43">
        <f>Volcanic!D312</f>
        <v>-0.76</v>
      </c>
      <c r="I312" s="47">
        <f>Volcanic!E312</f>
        <v>5.2319999999999998E-2</v>
      </c>
      <c r="K312" s="47">
        <f t="shared" si="56"/>
        <v>0.29786218403948628</v>
      </c>
      <c r="L312" s="47">
        <f t="shared" si="57"/>
        <v>-0.8</v>
      </c>
      <c r="M312" s="47">
        <f t="shared" si="58"/>
        <v>5.2319999999999998E-2</v>
      </c>
      <c r="O312" s="47">
        <f t="shared" si="59"/>
        <v>0.29786218403948628</v>
      </c>
      <c r="P312" s="47">
        <f t="shared" si="60"/>
        <v>-0.76</v>
      </c>
      <c r="Q312" s="47">
        <f t="shared" si="61"/>
        <v>3.6069999999999998E-2</v>
      </c>
      <c r="S312" s="47">
        <f t="shared" si="62"/>
        <v>0.29786218403948628</v>
      </c>
      <c r="T312" s="47">
        <f t="shared" si="63"/>
        <v>-0.8</v>
      </c>
      <c r="U312" s="47">
        <f t="shared" si="64"/>
        <v>3.6069999999999998E-2</v>
      </c>
      <c r="W312" s="47">
        <f t="shared" si="65"/>
        <v>0.24773972818318482</v>
      </c>
      <c r="X312" s="47">
        <f t="shared" si="66"/>
        <v>0.22241543388363716</v>
      </c>
      <c r="Y312" s="47">
        <f t="shared" si="67"/>
        <v>0.22661854717006596</v>
      </c>
      <c r="AP312" s="48">
        <v>0.22739999999999999</v>
      </c>
      <c r="AQ312" s="48">
        <v>0.2767</v>
      </c>
      <c r="AR312" s="47">
        <f>IF(AP312="","",AP312-($AC$60+$AC$61*Volcanic!C312+$AC$62*Volcanic!D312+$AC$63*Volcanic!E312))</f>
        <v>0.1795347192917873</v>
      </c>
      <c r="AS312" s="47">
        <f>IF(AQ312="","",AQ312-($AD$60+$AD$61*Volcanic!C312+$AD$62*Volcanic!D312+$AD$63*Volcanic!E312))</f>
        <v>0.21277841121840402</v>
      </c>
    </row>
    <row r="313" spans="1:45">
      <c r="A313" s="45" t="str">
        <f>Volcanic!A313</f>
        <v>2/1984</v>
      </c>
      <c r="B313" s="43">
        <f>Volcanic!B313</f>
        <v>0.13999999999999879</v>
      </c>
      <c r="C313" s="47">
        <f>Volcanic!C313</f>
        <v>0.30083495794705978</v>
      </c>
      <c r="D313" s="41">
        <v>-0.5</v>
      </c>
      <c r="E313" s="43">
        <f t="shared" si="68"/>
        <v>-1</v>
      </c>
      <c r="F313" s="48">
        <v>2.2589999999999999E-2</v>
      </c>
      <c r="G313" s="47">
        <f t="shared" si="69"/>
        <v>3.3300000000000003E-2</v>
      </c>
      <c r="H313" s="43">
        <f>Volcanic!D313</f>
        <v>-0.96</v>
      </c>
      <c r="I313" s="47">
        <f>Volcanic!E313</f>
        <v>4.7759999999999997E-2</v>
      </c>
      <c r="K313" s="47">
        <f t="shared" si="56"/>
        <v>0.30083495794705978</v>
      </c>
      <c r="L313" s="47">
        <f t="shared" si="57"/>
        <v>-1</v>
      </c>
      <c r="M313" s="47">
        <f t="shared" si="58"/>
        <v>4.7759999999999997E-2</v>
      </c>
      <c r="O313" s="47">
        <f t="shared" si="59"/>
        <v>0.30083495794705978</v>
      </c>
      <c r="P313" s="47">
        <f t="shared" si="60"/>
        <v>-0.96</v>
      </c>
      <c r="Q313" s="47">
        <f t="shared" si="61"/>
        <v>3.3300000000000003E-2</v>
      </c>
      <c r="S313" s="47">
        <f t="shared" si="62"/>
        <v>0.30083495794705978</v>
      </c>
      <c r="T313" s="47">
        <f t="shared" si="63"/>
        <v>-1</v>
      </c>
      <c r="U313" s="47">
        <f t="shared" si="64"/>
        <v>3.3300000000000003E-2</v>
      </c>
      <c r="W313" s="47">
        <f t="shared" si="65"/>
        <v>7.8159114923846501E-2</v>
      </c>
      <c r="X313" s="47">
        <f t="shared" si="66"/>
        <v>5.5928218546783828E-2</v>
      </c>
      <c r="Y313" s="47">
        <f t="shared" si="67"/>
        <v>6.0138681532973248E-2</v>
      </c>
      <c r="AP313" s="48">
        <v>9.9000000000000005E-2</v>
      </c>
      <c r="AQ313" s="48">
        <v>0.13070000000000001</v>
      </c>
      <c r="AR313" s="47">
        <f>IF(AP313="","",AP313-($AC$60+$AC$61*Volcanic!C313+$AC$62*Volcanic!D313+$AC$63*Volcanic!E313))</f>
        <v>5.0773985750608319E-2</v>
      </c>
      <c r="AS313" s="47">
        <f>IF(AQ313="","",AQ313-($AD$60+$AD$61*Volcanic!C313+$AD$62*Volcanic!D313+$AD$63*Volcanic!E313))</f>
        <v>6.7120833395230686E-2</v>
      </c>
    </row>
    <row r="314" spans="1:45">
      <c r="A314" s="45" t="str">
        <f>Volcanic!A314</f>
        <v>3/1984</v>
      </c>
      <c r="B314" s="43">
        <f>Volcanic!B314</f>
        <v>0.25999999999999979</v>
      </c>
      <c r="C314" s="47">
        <f>Volcanic!C314</f>
        <v>0.30401030887004266</v>
      </c>
      <c r="D314" s="41">
        <v>-0.4</v>
      </c>
      <c r="E314" s="43">
        <f t="shared" si="68"/>
        <v>-0.9</v>
      </c>
      <c r="F314" s="48">
        <v>2.12E-2</v>
      </c>
      <c r="G314" s="47">
        <f t="shared" si="69"/>
        <v>2.9260000000000001E-2</v>
      </c>
      <c r="H314" s="43">
        <f>Volcanic!D314</f>
        <v>-0.89</v>
      </c>
      <c r="I314" s="47">
        <f>Volcanic!E314</f>
        <v>4.1610000000000001E-2</v>
      </c>
      <c r="K314" s="47">
        <f t="shared" si="56"/>
        <v>0.30401030887004266</v>
      </c>
      <c r="L314" s="47">
        <f t="shared" si="57"/>
        <v>-0.9</v>
      </c>
      <c r="M314" s="47">
        <f t="shared" si="58"/>
        <v>4.1610000000000001E-2</v>
      </c>
      <c r="O314" s="47">
        <f t="shared" si="59"/>
        <v>0.30401030887004266</v>
      </c>
      <c r="P314" s="47">
        <f t="shared" si="60"/>
        <v>-0.89</v>
      </c>
      <c r="Q314" s="47">
        <f t="shared" si="61"/>
        <v>2.9260000000000001E-2</v>
      </c>
      <c r="S314" s="47">
        <f t="shared" si="62"/>
        <v>0.30401030887004266</v>
      </c>
      <c r="T314" s="47">
        <f t="shared" si="63"/>
        <v>-0.9</v>
      </c>
      <c r="U314" s="47">
        <f t="shared" si="64"/>
        <v>2.9260000000000001E-2</v>
      </c>
      <c r="W314" s="47">
        <f t="shared" si="65"/>
        <v>0.16666044442939515</v>
      </c>
      <c r="X314" s="47">
        <f t="shared" si="66"/>
        <v>0.1502123553299417</v>
      </c>
      <c r="Y314" s="47">
        <f t="shared" si="67"/>
        <v>0.15158574766885075</v>
      </c>
      <c r="AP314" s="48">
        <v>0.21970000000000001</v>
      </c>
      <c r="AQ314" s="48">
        <v>0.2757</v>
      </c>
      <c r="AR314" s="47">
        <f>IF(AP314="","",AP314-($AC$60+$AC$61*Volcanic!C314+$AC$62*Volcanic!D314+$AC$63*Volcanic!E314))</f>
        <v>0.14145005799729146</v>
      </c>
      <c r="AS314" s="47">
        <f>IF(AQ314="","",AQ314-($AD$60+$AD$61*Volcanic!C314+$AD$62*Volcanic!D314+$AD$63*Volcanic!E314))</f>
        <v>0.1824518240728491</v>
      </c>
    </row>
    <row r="315" spans="1:45">
      <c r="A315" s="45" t="str">
        <f>Volcanic!A315</f>
        <v>4/1984</v>
      </c>
      <c r="B315" s="43">
        <f>Volcanic!B315</f>
        <v>5.9999999999998721E-2</v>
      </c>
      <c r="C315" s="47">
        <f>Volcanic!C315</f>
        <v>0.31104633643445362</v>
      </c>
      <c r="D315" s="41">
        <v>-0.5</v>
      </c>
      <c r="E315" s="43">
        <f t="shared" si="68"/>
        <v>-0.6</v>
      </c>
      <c r="F315" s="48">
        <v>2.087E-2</v>
      </c>
      <c r="G315" s="47">
        <f t="shared" si="69"/>
        <v>2.6349999999999998E-2</v>
      </c>
      <c r="H315" s="43">
        <f>Volcanic!D315</f>
        <v>-0.63</v>
      </c>
      <c r="I315" s="47">
        <f>Volcanic!E315</f>
        <v>3.857E-2</v>
      </c>
      <c r="K315" s="47">
        <f t="shared" si="56"/>
        <v>0.31104633643445362</v>
      </c>
      <c r="L315" s="47">
        <f t="shared" si="57"/>
        <v>-0.6</v>
      </c>
      <c r="M315" s="47">
        <f t="shared" si="58"/>
        <v>3.857E-2</v>
      </c>
      <c r="O315" s="47">
        <f t="shared" si="59"/>
        <v>0.31104633643445362</v>
      </c>
      <c r="P315" s="47">
        <f t="shared" si="60"/>
        <v>-0.63</v>
      </c>
      <c r="Q315" s="47">
        <f t="shared" si="61"/>
        <v>2.6349999999999998E-2</v>
      </c>
      <c r="S315" s="47">
        <f t="shared" si="62"/>
        <v>0.31104633643445362</v>
      </c>
      <c r="T315" s="47">
        <f t="shared" si="63"/>
        <v>-0.6</v>
      </c>
      <c r="U315" s="47">
        <f t="shared" si="64"/>
        <v>2.6349999999999998E-2</v>
      </c>
      <c r="W315" s="47">
        <f t="shared" si="65"/>
        <v>-8.708857270678827E-2</v>
      </c>
      <c r="X315" s="47">
        <f t="shared" si="66"/>
        <v>-0.10083661619192436</v>
      </c>
      <c r="Y315" s="47">
        <f t="shared" si="67"/>
        <v>-0.10324999235313925</v>
      </c>
      <c r="AP315" s="48">
        <v>8.4699999999999998E-2</v>
      </c>
      <c r="AQ315" s="48">
        <v>0.16170000000000001</v>
      </c>
      <c r="AR315" s="47">
        <f>IF(AP315="","",AP315-($AC$60+$AC$61*Volcanic!C315+$AC$62*Volcanic!D315+$AC$63*Volcanic!E315))</f>
        <v>-4.4425150994641033E-2</v>
      </c>
      <c r="AS315" s="47">
        <f>IF(AQ315="","",AQ315-($AD$60+$AD$61*Volcanic!C315+$AD$62*Volcanic!D315+$AD$63*Volcanic!E315))</f>
        <v>1.6935257512846746E-2</v>
      </c>
    </row>
    <row r="316" spans="1:45">
      <c r="A316" s="45" t="str">
        <f>Volcanic!A316</f>
        <v>5/1984</v>
      </c>
      <c r="B316" s="43">
        <f>Volcanic!B316</f>
        <v>0.32999999999999652</v>
      </c>
      <c r="C316" s="47">
        <f>Volcanic!C316</f>
        <v>0.31270665832658501</v>
      </c>
      <c r="D316" s="41">
        <v>-0.5</v>
      </c>
      <c r="E316" s="43">
        <f t="shared" si="68"/>
        <v>-0.5</v>
      </c>
      <c r="F316" s="48">
        <v>2.0830000000000001E-2</v>
      </c>
      <c r="G316" s="47">
        <f t="shared" si="69"/>
        <v>2.222E-2</v>
      </c>
      <c r="H316" s="43">
        <f>Volcanic!D316</f>
        <v>-0.51</v>
      </c>
      <c r="I316" s="47">
        <f>Volcanic!E316</f>
        <v>3.4639999999999997E-2</v>
      </c>
      <c r="K316" s="47">
        <f t="shared" si="56"/>
        <v>0.31270665832658501</v>
      </c>
      <c r="L316" s="47">
        <f t="shared" si="57"/>
        <v>-0.5</v>
      </c>
      <c r="M316" s="47">
        <f t="shared" si="58"/>
        <v>3.4639999999999997E-2</v>
      </c>
      <c r="O316" s="47">
        <f t="shared" si="59"/>
        <v>0.31270665832658501</v>
      </c>
      <c r="P316" s="47">
        <f t="shared" si="60"/>
        <v>-0.51</v>
      </c>
      <c r="Q316" s="47">
        <f t="shared" si="61"/>
        <v>2.222E-2</v>
      </c>
      <c r="S316" s="47">
        <f t="shared" si="62"/>
        <v>0.31270665832658501</v>
      </c>
      <c r="T316" s="47">
        <f t="shared" si="63"/>
        <v>-0.5</v>
      </c>
      <c r="U316" s="47">
        <f t="shared" si="64"/>
        <v>2.222E-2</v>
      </c>
      <c r="W316" s="47">
        <f t="shared" si="65"/>
        <v>0.16043629465610557</v>
      </c>
      <c r="X316" s="47">
        <f t="shared" si="66"/>
        <v>0.14261156402181291</v>
      </c>
      <c r="Y316" s="47">
        <f t="shared" si="67"/>
        <v>0.1420571903563991</v>
      </c>
      <c r="AP316" s="48">
        <v>0.28770000000000001</v>
      </c>
      <c r="AQ316" s="48">
        <v>0.37169999999999997</v>
      </c>
      <c r="AR316" s="47">
        <f>IF(AP316="","",AP316-($AC$60+$AC$61*Volcanic!C316+$AC$62*Volcanic!D316+$AC$63*Volcanic!E316))</f>
        <v>0.13334738135342419</v>
      </c>
      <c r="AS316" s="47">
        <f>IF(AQ316="","",AQ316-($AD$60+$AD$61*Volcanic!C316+$AD$62*Volcanic!D316+$AD$63*Volcanic!E316))</f>
        <v>0.20181605564124394</v>
      </c>
    </row>
    <row r="317" spans="1:45">
      <c r="A317" s="45" t="str">
        <f>Volcanic!A317</f>
        <v>6/1984</v>
      </c>
      <c r="B317" s="43">
        <f>Volcanic!B317</f>
        <v>2.0000000000003126E-2</v>
      </c>
      <c r="C317" s="47">
        <f>Volcanic!C317</f>
        <v>0.31017390193106481</v>
      </c>
      <c r="D317" s="41">
        <v>-0.5</v>
      </c>
      <c r="E317" s="43">
        <f t="shared" si="68"/>
        <v>-0.4</v>
      </c>
      <c r="F317" s="48">
        <v>2.1440000000000001E-2</v>
      </c>
      <c r="G317" s="47">
        <f t="shared" si="69"/>
        <v>2.1839999999999998E-2</v>
      </c>
      <c r="H317" s="43">
        <f>Volcanic!D317</f>
        <v>-0.38</v>
      </c>
      <c r="I317" s="47">
        <f>Volcanic!E317</f>
        <v>3.4439999999999998E-2</v>
      </c>
      <c r="K317" s="47">
        <f t="shared" si="56"/>
        <v>0.31017390193106481</v>
      </c>
      <c r="L317" s="47">
        <f t="shared" si="57"/>
        <v>-0.4</v>
      </c>
      <c r="M317" s="47">
        <f t="shared" si="58"/>
        <v>3.4439999999999998E-2</v>
      </c>
      <c r="O317" s="47">
        <f t="shared" si="59"/>
        <v>0.31017390193106481</v>
      </c>
      <c r="P317" s="47">
        <f t="shared" si="60"/>
        <v>-0.38</v>
      </c>
      <c r="Q317" s="47">
        <f t="shared" si="61"/>
        <v>2.1839999999999998E-2</v>
      </c>
      <c r="S317" s="47">
        <f t="shared" si="62"/>
        <v>0.31017390193106481</v>
      </c>
      <c r="T317" s="47">
        <f t="shared" si="63"/>
        <v>-0.4</v>
      </c>
      <c r="U317" s="47">
        <f t="shared" si="64"/>
        <v>2.1839999999999998E-2</v>
      </c>
      <c r="W317" s="47">
        <f t="shared" si="65"/>
        <v>-0.15238453375487518</v>
      </c>
      <c r="X317" s="47">
        <f t="shared" si="66"/>
        <v>-0.17374547930387441</v>
      </c>
      <c r="Y317" s="47">
        <f t="shared" si="67"/>
        <v>-0.17149119934092452</v>
      </c>
      <c r="AP317" s="48">
        <v>3.61E-2</v>
      </c>
      <c r="AQ317" s="48">
        <v>7.9699999999999993E-2</v>
      </c>
      <c r="AR317" s="47">
        <f>IF(AP317="","",AP317-($AC$60+$AC$61*Volcanic!C317+$AC$62*Volcanic!D317+$AC$63*Volcanic!E317))</f>
        <v>-0.12399175674461582</v>
      </c>
      <c r="AS317" s="47">
        <f>IF(AQ317="","",AQ317-($AD$60+$AD$61*Volcanic!C317+$AD$62*Volcanic!D317+$AD$63*Volcanic!E317))</f>
        <v>-9.5971399345264718E-2</v>
      </c>
    </row>
    <row r="318" spans="1:45">
      <c r="A318" s="45" t="str">
        <f>Volcanic!A318</f>
        <v>7/1984</v>
      </c>
      <c r="B318" s="43">
        <f>Volcanic!B318</f>
        <v>0.19000000000000128</v>
      </c>
      <c r="C318" s="47">
        <f>Volcanic!C318</f>
        <v>0.30446932070233174</v>
      </c>
      <c r="D318" s="41">
        <v>-0.4</v>
      </c>
      <c r="E318" s="43">
        <f t="shared" si="68"/>
        <v>-0.5</v>
      </c>
      <c r="F318" s="48">
        <v>2.0709999999999999E-2</v>
      </c>
      <c r="G318" s="47">
        <f t="shared" si="69"/>
        <v>2.5149999999999999E-2</v>
      </c>
      <c r="H318" s="43">
        <f>Volcanic!D318</f>
        <v>-0.47</v>
      </c>
      <c r="I318" s="47">
        <f>Volcanic!E318</f>
        <v>3.7019999999999997E-2</v>
      </c>
      <c r="K318" s="47">
        <f t="shared" si="56"/>
        <v>0.30446932070233174</v>
      </c>
      <c r="L318" s="47">
        <f t="shared" si="57"/>
        <v>-0.5</v>
      </c>
      <c r="M318" s="47">
        <f t="shared" si="58"/>
        <v>3.7019999999999997E-2</v>
      </c>
      <c r="O318" s="47">
        <f t="shared" si="59"/>
        <v>0.30446932070233174</v>
      </c>
      <c r="P318" s="47">
        <f t="shared" si="60"/>
        <v>-0.47</v>
      </c>
      <c r="Q318" s="47">
        <f t="shared" si="61"/>
        <v>2.5149999999999999E-2</v>
      </c>
      <c r="S318" s="47">
        <f t="shared" si="62"/>
        <v>0.30446932070233174</v>
      </c>
      <c r="T318" s="47">
        <f t="shared" si="63"/>
        <v>-0.5</v>
      </c>
      <c r="U318" s="47">
        <f t="shared" si="64"/>
        <v>2.5149999999999999E-2</v>
      </c>
      <c r="W318" s="47">
        <f t="shared" si="65"/>
        <v>4.8145144280749896E-2</v>
      </c>
      <c r="X318" s="47">
        <f t="shared" si="66"/>
        <v>2.8779771817066452E-2</v>
      </c>
      <c r="Y318" s="47">
        <f t="shared" si="67"/>
        <v>3.1989383001025884E-2</v>
      </c>
      <c r="AP318" s="48">
        <v>9.6600000000000005E-2</v>
      </c>
      <c r="AQ318" s="48">
        <v>3.1699999999999999E-2</v>
      </c>
      <c r="AR318" s="47">
        <f>IF(AP318="","",AP318-($AC$60+$AC$61*Volcanic!C318+$AC$62*Volcanic!D318+$AC$63*Volcanic!E318))</f>
        <v>-3.3278725228980441E-2</v>
      </c>
      <c r="AS318" s="47">
        <f>IF(AQ318="","",AQ318-($AD$60+$AD$61*Volcanic!C318+$AD$62*Volcanic!D318+$AD$63*Volcanic!E318))</f>
        <v>-0.11348357104633139</v>
      </c>
    </row>
    <row r="319" spans="1:45">
      <c r="A319" s="45" t="str">
        <f>Volcanic!A319</f>
        <v>8/1984</v>
      </c>
      <c r="B319" s="43">
        <f>Volcanic!B319</f>
        <v>0.19000000000000128</v>
      </c>
      <c r="C319" s="47">
        <f>Volcanic!C319</f>
        <v>0.29589091643366305</v>
      </c>
      <c r="D319" s="41">
        <v>-0.2</v>
      </c>
      <c r="E319" s="43">
        <f t="shared" si="68"/>
        <v>-0.5</v>
      </c>
      <c r="F319" s="48">
        <v>1.966E-2</v>
      </c>
      <c r="G319" s="47">
        <f t="shared" si="69"/>
        <v>2.4029999999999999E-2</v>
      </c>
      <c r="H319" s="43">
        <f>Volcanic!D319</f>
        <v>-0.55000000000000004</v>
      </c>
      <c r="I319" s="47">
        <f>Volcanic!E319</f>
        <v>3.5860000000000003E-2</v>
      </c>
      <c r="K319" s="47">
        <f t="shared" si="56"/>
        <v>0.29589091643366305</v>
      </c>
      <c r="L319" s="47">
        <f t="shared" si="57"/>
        <v>-0.5</v>
      </c>
      <c r="M319" s="47">
        <f t="shared" si="58"/>
        <v>3.5860000000000003E-2</v>
      </c>
      <c r="O319" s="47">
        <f t="shared" si="59"/>
        <v>0.29589091643366305</v>
      </c>
      <c r="P319" s="47">
        <f t="shared" si="60"/>
        <v>-0.55000000000000004</v>
      </c>
      <c r="Q319" s="47">
        <f t="shared" si="61"/>
        <v>2.4029999999999999E-2</v>
      </c>
      <c r="S319" s="47">
        <f t="shared" si="62"/>
        <v>0.29589091643366305</v>
      </c>
      <c r="T319" s="47">
        <f t="shared" si="63"/>
        <v>-0.5</v>
      </c>
      <c r="U319" s="47">
        <f t="shared" si="64"/>
        <v>2.4029999999999999E-2</v>
      </c>
      <c r="W319" s="47">
        <f t="shared" si="65"/>
        <v>6.8983655404623534E-2</v>
      </c>
      <c r="X319" s="47">
        <f t="shared" si="66"/>
        <v>5.6560775675082664E-2</v>
      </c>
      <c r="Y319" s="47">
        <f t="shared" si="67"/>
        <v>5.2249443057089895E-2</v>
      </c>
      <c r="AP319" s="48">
        <v>0.16650000000000001</v>
      </c>
      <c r="AQ319" s="48">
        <v>0.13569999999999999</v>
      </c>
      <c r="AR319" s="47">
        <f>IF(AP319="","",AP319-($AC$60+$AC$61*Volcanic!C319+$AC$62*Volcanic!D319+$AC$63*Volcanic!E319))</f>
        <v>6.4745950674124003E-2</v>
      </c>
      <c r="AS319" s="47">
        <f>IF(AQ319="","",AQ319-($AD$60+$AD$61*Volcanic!C319+$AD$62*Volcanic!D319+$AD$63*Volcanic!E319))</f>
        <v>1.9531953126023599E-2</v>
      </c>
    </row>
    <row r="320" spans="1:45">
      <c r="A320" s="45" t="str">
        <f>Volcanic!A320</f>
        <v>9/1984</v>
      </c>
      <c r="B320" s="43">
        <f>Volcanic!B320</f>
        <v>0.21000000000000085</v>
      </c>
      <c r="C320" s="47">
        <f>Volcanic!C320</f>
        <v>0.28683891370859382</v>
      </c>
      <c r="D320" s="41">
        <v>-0.3</v>
      </c>
      <c r="E320" s="43">
        <f t="shared" si="68"/>
        <v>-0.5</v>
      </c>
      <c r="F320" s="48">
        <v>1.9369999999999998E-2</v>
      </c>
      <c r="G320" s="47">
        <f t="shared" si="69"/>
        <v>2.2589999999999999E-2</v>
      </c>
      <c r="H320" s="43">
        <f>Volcanic!D320</f>
        <v>-0.52</v>
      </c>
      <c r="I320" s="47">
        <f>Volcanic!E320</f>
        <v>3.3930000000000002E-2</v>
      </c>
      <c r="K320" s="47">
        <f t="shared" si="56"/>
        <v>0.28683891370859382</v>
      </c>
      <c r="L320" s="47">
        <f t="shared" si="57"/>
        <v>-0.5</v>
      </c>
      <c r="M320" s="47">
        <f t="shared" si="58"/>
        <v>3.3930000000000002E-2</v>
      </c>
      <c r="O320" s="47">
        <f t="shared" si="59"/>
        <v>0.28683891370859382</v>
      </c>
      <c r="P320" s="47">
        <f t="shared" si="60"/>
        <v>-0.52</v>
      </c>
      <c r="Q320" s="47">
        <f t="shared" si="61"/>
        <v>2.2589999999999999E-2</v>
      </c>
      <c r="S320" s="47">
        <f t="shared" si="62"/>
        <v>0.28683891370859382</v>
      </c>
      <c r="T320" s="47">
        <f t="shared" si="63"/>
        <v>-0.5</v>
      </c>
      <c r="U320" s="47">
        <f t="shared" si="64"/>
        <v>2.2589999999999999E-2</v>
      </c>
      <c r="W320" s="47">
        <f t="shared" si="65"/>
        <v>0.10941702656127916</v>
      </c>
      <c r="X320" s="47">
        <f t="shared" si="66"/>
        <v>9.4453129331635743E-2</v>
      </c>
      <c r="Y320" s="47">
        <f t="shared" si="67"/>
        <v>9.2952703421851635E-2</v>
      </c>
      <c r="AP320" s="48">
        <v>0.19889999999999999</v>
      </c>
      <c r="AQ320" s="48">
        <v>0.20269999999999999</v>
      </c>
      <c r="AR320" s="47">
        <f>IF(AP320="","",AP320-($AC$60+$AC$61*Volcanic!C320+$AC$62*Volcanic!D320+$AC$63*Volcanic!E320))</f>
        <v>0.11441010300596005</v>
      </c>
      <c r="AS320" s="47">
        <f>IF(AQ320="","",AQ320-($AD$60+$AD$61*Volcanic!C320+$AD$62*Volcanic!D320+$AD$63*Volcanic!E320))</f>
        <v>0.10459832544719976</v>
      </c>
    </row>
    <row r="321" spans="1:45">
      <c r="A321" s="45" t="str">
        <f>Volcanic!A321</f>
        <v>10/1984</v>
      </c>
      <c r="B321" s="43">
        <f>Volcanic!B321</f>
        <v>0.12999999999999901</v>
      </c>
      <c r="C321" s="47">
        <f>Volcanic!C321</f>
        <v>0.28797880011229388</v>
      </c>
      <c r="D321" s="41">
        <v>-0.6</v>
      </c>
      <c r="E321" s="43">
        <f t="shared" si="68"/>
        <v>-0.4</v>
      </c>
      <c r="F321" s="48">
        <v>1.873E-2</v>
      </c>
      <c r="G321" s="47">
        <f t="shared" si="69"/>
        <v>2.12E-2</v>
      </c>
      <c r="H321" s="43">
        <f>Volcanic!D321</f>
        <v>-0.39</v>
      </c>
      <c r="I321" s="47">
        <f>Volcanic!E321</f>
        <v>3.1789999999999999E-2</v>
      </c>
      <c r="K321" s="47">
        <f t="shared" si="56"/>
        <v>0.28797880011229388</v>
      </c>
      <c r="L321" s="47">
        <f t="shared" si="57"/>
        <v>-0.4</v>
      </c>
      <c r="M321" s="47">
        <f t="shared" si="58"/>
        <v>3.1789999999999999E-2</v>
      </c>
      <c r="O321" s="47">
        <f t="shared" si="59"/>
        <v>0.28797880011229388</v>
      </c>
      <c r="P321" s="47">
        <f t="shared" si="60"/>
        <v>-0.39</v>
      </c>
      <c r="Q321" s="47">
        <f t="shared" si="61"/>
        <v>2.12E-2</v>
      </c>
      <c r="S321" s="47">
        <f t="shared" si="62"/>
        <v>0.28797880011229388</v>
      </c>
      <c r="T321" s="47">
        <f t="shared" si="63"/>
        <v>-0.4</v>
      </c>
      <c r="U321" s="47">
        <f t="shared" si="64"/>
        <v>2.12E-2</v>
      </c>
      <c r="W321" s="47">
        <f t="shared" si="65"/>
        <v>1.2305509666101819E-2</v>
      </c>
      <c r="X321" s="47">
        <f t="shared" si="66"/>
        <v>-4.4720728442455004E-3</v>
      </c>
      <c r="Y321" s="47">
        <f t="shared" si="67"/>
        <v>-3.1658464483985405E-3</v>
      </c>
      <c r="AP321" s="48">
        <v>0.1118</v>
      </c>
      <c r="AQ321" s="48">
        <v>8.9700000000000002E-2</v>
      </c>
      <c r="AR321" s="47">
        <f>IF(AP321="","",AP321-($AC$60+$AC$61*Volcanic!C321+$AC$62*Volcanic!D321+$AC$63*Volcanic!E321))</f>
        <v>6.8743882045571303E-3</v>
      </c>
      <c r="AS321" s="47">
        <f>IF(AQ321="","",AQ321-($AD$60+$AD$61*Volcanic!C321+$AD$62*Volcanic!D321+$AD$63*Volcanic!E321))</f>
        <v>-2.8919098676430749E-2</v>
      </c>
    </row>
    <row r="322" spans="1:45">
      <c r="A322" s="45" t="str">
        <f>Volcanic!A322</f>
        <v>11/1984</v>
      </c>
      <c r="B322" s="43">
        <f>Volcanic!B322</f>
        <v>5.9999999999998721E-2</v>
      </c>
      <c r="C322" s="47">
        <f>Volcanic!C322</f>
        <v>0.29408505383681638</v>
      </c>
      <c r="D322" s="41">
        <v>-0.9</v>
      </c>
      <c r="E322" s="43">
        <f t="shared" si="68"/>
        <v>-0.2</v>
      </c>
      <c r="F322" s="48">
        <v>1.7330000000000002E-2</v>
      </c>
      <c r="G322" s="47">
        <f t="shared" si="69"/>
        <v>2.087E-2</v>
      </c>
      <c r="H322" s="43">
        <f>Volcanic!D322</f>
        <v>-0.22</v>
      </c>
      <c r="I322" s="47">
        <f>Volcanic!E322</f>
        <v>3.0419999999999999E-2</v>
      </c>
      <c r="K322" s="47">
        <f t="shared" ref="K322:K385" si="70">C322</f>
        <v>0.29408505383681638</v>
      </c>
      <c r="L322" s="47">
        <f t="shared" ref="L322:L385" si="71">E322</f>
        <v>-0.2</v>
      </c>
      <c r="M322" s="47">
        <f t="shared" ref="M322:M385" si="72">I322</f>
        <v>3.0419999999999999E-2</v>
      </c>
      <c r="O322" s="47">
        <f t="shared" ref="O322:O385" si="73">C322</f>
        <v>0.29408505383681638</v>
      </c>
      <c r="P322" s="47">
        <f t="shared" ref="P322:P385" si="74">H322</f>
        <v>-0.22</v>
      </c>
      <c r="Q322" s="47">
        <f t="shared" ref="Q322:Q385" si="75">G322</f>
        <v>2.087E-2</v>
      </c>
      <c r="S322" s="47">
        <f t="shared" ref="S322:S385" si="76">C322</f>
        <v>0.29408505383681638</v>
      </c>
      <c r="T322" s="47">
        <f t="shared" ref="T322:T385" si="77">E322</f>
        <v>-0.2</v>
      </c>
      <c r="U322" s="47">
        <f t="shared" ref="U322:U385" si="78">G322</f>
        <v>2.087E-2</v>
      </c>
      <c r="W322" s="47">
        <f t="shared" ref="W322:W385" si="79">IF(OR(L322="",M322=""),"",B322-($AB$6+$AB$7*K322+$AB$8*L322+$AB$9*M322))</f>
        <v>-9.5940655937539698E-2</v>
      </c>
      <c r="X322" s="47">
        <f t="shared" ref="X322:X385" si="80">IF(OR(P322="",Q322=""),"",B322-($AC$6+$AC$7*O322+$AC$8*P322+$AC$9*Q322))</f>
        <v>-0.10781217025507839</v>
      </c>
      <c r="Y322" s="47">
        <f t="shared" ref="Y322:Y385" si="81">IF(OR(T322="",U322=""),"",B322-($AD$6+$AD$7*S322+$AD$8*T322+$AD$9*U322))</f>
        <v>-0.10933818576031473</v>
      </c>
      <c r="AP322" s="48">
        <v>1.46E-2</v>
      </c>
      <c r="AQ322" s="48">
        <v>-3.4299999999999997E-2</v>
      </c>
      <c r="AR322" s="47">
        <f>IF(AP322="","",AP322-($AC$60+$AC$61*Volcanic!C322+$AC$62*Volcanic!D322+$AC$63*Volcanic!E322))</f>
        <v>-0.12621555923432565</v>
      </c>
      <c r="AS322" s="47">
        <f>IF(AQ322="","",AQ322-($AD$60+$AD$61*Volcanic!C322+$AD$62*Volcanic!D322+$AD$63*Volcanic!E322))</f>
        <v>-0.18940578434989874</v>
      </c>
    </row>
    <row r="323" spans="1:45">
      <c r="A323" s="45" t="str">
        <f>Volcanic!A323</f>
        <v>12/1984</v>
      </c>
      <c r="B323" s="43">
        <f>Volcanic!B323</f>
        <v>-3.9999999999999147E-2</v>
      </c>
      <c r="C323" s="47">
        <f>Volcanic!C323</f>
        <v>0.30116953472056501</v>
      </c>
      <c r="D323" s="41">
        <v>-1.1000000000000001</v>
      </c>
      <c r="E323" s="43">
        <f t="shared" si="68"/>
        <v>-0.3</v>
      </c>
      <c r="F323" s="48">
        <v>1.558E-2</v>
      </c>
      <c r="G323" s="47">
        <f t="shared" si="69"/>
        <v>2.0830000000000001E-2</v>
      </c>
      <c r="H323" s="43">
        <f>Volcanic!D323</f>
        <v>-0.32</v>
      </c>
      <c r="I323" s="47">
        <f>Volcanic!E323</f>
        <v>2.904E-2</v>
      </c>
      <c r="K323" s="47">
        <f t="shared" si="70"/>
        <v>0.30116953472056501</v>
      </c>
      <c r="L323" s="47">
        <f t="shared" si="71"/>
        <v>-0.3</v>
      </c>
      <c r="M323" s="47">
        <f t="shared" si="72"/>
        <v>2.904E-2</v>
      </c>
      <c r="O323" s="47">
        <f t="shared" si="73"/>
        <v>0.30116953472056501</v>
      </c>
      <c r="P323" s="47">
        <f t="shared" si="74"/>
        <v>-0.32</v>
      </c>
      <c r="Q323" s="47">
        <f t="shared" si="75"/>
        <v>2.0830000000000001E-2</v>
      </c>
      <c r="S323" s="47">
        <f t="shared" si="76"/>
        <v>0.30116953472056501</v>
      </c>
      <c r="T323" s="47">
        <f t="shared" si="77"/>
        <v>-0.3</v>
      </c>
      <c r="U323" s="47">
        <f t="shared" si="78"/>
        <v>2.0830000000000001E-2</v>
      </c>
      <c r="W323" s="47">
        <f t="shared" si="79"/>
        <v>-0.20901463513675192</v>
      </c>
      <c r="X323" s="47">
        <f t="shared" si="80"/>
        <v>-0.21767651406843785</v>
      </c>
      <c r="Y323" s="47">
        <f t="shared" si="81"/>
        <v>-0.21919301432759991</v>
      </c>
      <c r="AP323" s="48">
        <v>-8.6699999999999999E-2</v>
      </c>
      <c r="AQ323" s="48">
        <v>-4.4299999999999999E-2</v>
      </c>
      <c r="AR323" s="47">
        <f>IF(AP323="","",AP323-($AC$60+$AC$61*Volcanic!C323+$AC$62*Volcanic!D323+$AC$63*Volcanic!E323))</f>
        <v>-0.24081654634994509</v>
      </c>
      <c r="AS323" s="47">
        <f>IF(AQ323="","",AQ323-($AD$60+$AD$61*Volcanic!C323+$AD$62*Volcanic!D323+$AD$63*Volcanic!E323))</f>
        <v>-0.21285291384053792</v>
      </c>
    </row>
    <row r="324" spans="1:45">
      <c r="A324" s="45" t="str">
        <f>Volcanic!A324</f>
        <v>1/1985</v>
      </c>
      <c r="B324" s="43">
        <f>Volcanic!B324</f>
        <v>0.22000000000000242</v>
      </c>
      <c r="C324" s="47">
        <f>Volcanic!C324</f>
        <v>0.30317536756489971</v>
      </c>
      <c r="D324" s="41">
        <v>-1</v>
      </c>
      <c r="E324" s="43">
        <f t="shared" si="68"/>
        <v>-0.6</v>
      </c>
      <c r="F324" s="48">
        <v>1.4330000000000001E-2</v>
      </c>
      <c r="G324" s="47">
        <f t="shared" si="69"/>
        <v>2.1440000000000001E-2</v>
      </c>
      <c r="H324" s="43">
        <f>Volcanic!D324</f>
        <v>-0.62</v>
      </c>
      <c r="I324" s="47">
        <f>Volcanic!E324</f>
        <v>2.8459999999999999E-2</v>
      </c>
      <c r="K324" s="47">
        <f t="shared" si="70"/>
        <v>0.30317536756489971</v>
      </c>
      <c r="L324" s="47">
        <f t="shared" si="71"/>
        <v>-0.6</v>
      </c>
      <c r="M324" s="47">
        <f t="shared" si="72"/>
        <v>2.8459999999999999E-2</v>
      </c>
      <c r="O324" s="47">
        <f t="shared" si="73"/>
        <v>0.30317536756489971</v>
      </c>
      <c r="P324" s="47">
        <f t="shared" si="74"/>
        <v>-0.62</v>
      </c>
      <c r="Q324" s="47">
        <f t="shared" si="75"/>
        <v>2.1440000000000001E-2</v>
      </c>
      <c r="S324" s="47">
        <f t="shared" si="76"/>
        <v>0.30317536756489971</v>
      </c>
      <c r="T324" s="47">
        <f t="shared" si="77"/>
        <v>-0.6</v>
      </c>
      <c r="U324" s="47">
        <f t="shared" si="78"/>
        <v>2.1440000000000001E-2</v>
      </c>
      <c r="W324" s="47">
        <f t="shared" si="79"/>
        <v>7.2099106564419368E-2</v>
      </c>
      <c r="X324" s="47">
        <f t="shared" si="80"/>
        <v>6.6675192844181635E-2</v>
      </c>
      <c r="Y324" s="47">
        <f t="shared" si="81"/>
        <v>6.518366163986733E-2</v>
      </c>
      <c r="AP324" s="48">
        <v>0.1875</v>
      </c>
      <c r="AQ324" s="48">
        <v>0.2757</v>
      </c>
      <c r="AR324" s="47">
        <f>IF(AP324="","",AP324-($AC$60+$AC$61*Volcanic!C324+$AC$62*Volcanic!D324+$AC$63*Volcanic!E324))</f>
        <v>5.4604244446863182E-2</v>
      </c>
      <c r="AS324" s="47">
        <f>IF(AQ324="","",AQ324-($AD$60+$AD$61*Volcanic!C324+$AD$62*Volcanic!D324+$AD$63*Volcanic!E324))</f>
        <v>0.1288698560413209</v>
      </c>
    </row>
    <row r="325" spans="1:45">
      <c r="A325" s="45" t="str">
        <f>Volcanic!A325</f>
        <v>2/1985</v>
      </c>
      <c r="B325" s="43">
        <f>Volcanic!B325</f>
        <v>-3.9999999999999147E-2</v>
      </c>
      <c r="C325" s="47">
        <f>Volcanic!C325</f>
        <v>0.30705375053345996</v>
      </c>
      <c r="D325" s="41">
        <v>-0.9</v>
      </c>
      <c r="E325" s="43">
        <f t="shared" ref="E325:E388" si="82">IF(D322="","",D322)</f>
        <v>-0.9</v>
      </c>
      <c r="F325" s="48">
        <v>1.294E-2</v>
      </c>
      <c r="G325" s="47">
        <f t="shared" si="69"/>
        <v>2.0709999999999999E-2</v>
      </c>
      <c r="H325" s="43">
        <f>Volcanic!D325</f>
        <v>-0.95</v>
      </c>
      <c r="I325" s="47">
        <f>Volcanic!E325</f>
        <v>2.6579999999999999E-2</v>
      </c>
      <c r="K325" s="47">
        <f t="shared" si="70"/>
        <v>0.30705375053345996</v>
      </c>
      <c r="L325" s="47">
        <f t="shared" si="71"/>
        <v>-0.9</v>
      </c>
      <c r="M325" s="47">
        <f t="shared" si="72"/>
        <v>2.6579999999999999E-2</v>
      </c>
      <c r="O325" s="47">
        <f t="shared" si="73"/>
        <v>0.30705375053345996</v>
      </c>
      <c r="P325" s="47">
        <f t="shared" si="74"/>
        <v>-0.95</v>
      </c>
      <c r="Q325" s="47">
        <f t="shared" si="75"/>
        <v>2.0709999999999999E-2</v>
      </c>
      <c r="S325" s="47">
        <f t="shared" si="76"/>
        <v>0.30705375053345996</v>
      </c>
      <c r="T325" s="47">
        <f t="shared" si="77"/>
        <v>-0.9</v>
      </c>
      <c r="U325" s="47">
        <f t="shared" si="78"/>
        <v>2.0709999999999999E-2</v>
      </c>
      <c r="W325" s="47">
        <f t="shared" si="79"/>
        <v>-0.17475846042281321</v>
      </c>
      <c r="X325" s="47">
        <f t="shared" si="80"/>
        <v>-0.17471868947703742</v>
      </c>
      <c r="Y325" s="47">
        <f t="shared" si="81"/>
        <v>-0.17900690056127871</v>
      </c>
      <c r="AP325" s="48">
        <v>-2.8899999999999999E-2</v>
      </c>
      <c r="AQ325" s="48">
        <v>2.7699999999999999E-2</v>
      </c>
      <c r="AR325" s="47">
        <f>IF(AP325="","",AP325-($AC$60+$AC$61*Volcanic!C325+$AC$62*Volcanic!D325+$AC$63*Volcanic!E325))</f>
        <v>-0.14600687261368583</v>
      </c>
      <c r="AS325" s="47">
        <f>IF(AQ325="","",AQ325-($AD$60+$AD$61*Volcanic!C325+$AD$62*Volcanic!D325+$AD$63*Volcanic!E325))</f>
        <v>-0.10276271895943861</v>
      </c>
    </row>
    <row r="326" spans="1:45">
      <c r="A326" s="45" t="str">
        <f>Volcanic!A326</f>
        <v>3/1985</v>
      </c>
      <c r="B326" s="43">
        <f>Volcanic!B326</f>
        <v>0.16999999999999993</v>
      </c>
      <c r="C326" s="47">
        <f>Volcanic!C326</f>
        <v>0.31328731986192054</v>
      </c>
      <c r="D326" s="41">
        <v>-0.8</v>
      </c>
      <c r="E326" s="43">
        <f t="shared" si="82"/>
        <v>-1.1000000000000001</v>
      </c>
      <c r="F326" s="48">
        <v>1.2030000000000001E-2</v>
      </c>
      <c r="G326" s="47">
        <f t="shared" si="69"/>
        <v>1.966E-2</v>
      </c>
      <c r="H326" s="43">
        <f>Volcanic!D326</f>
        <v>-1.06</v>
      </c>
      <c r="I326" s="47">
        <f>Volcanic!E326</f>
        <v>2.4930000000000001E-2</v>
      </c>
      <c r="K326" s="47">
        <f t="shared" si="70"/>
        <v>0.31328731986192054</v>
      </c>
      <c r="L326" s="47">
        <f t="shared" si="71"/>
        <v>-1.1000000000000001</v>
      </c>
      <c r="M326" s="47">
        <f t="shared" si="72"/>
        <v>2.4930000000000001E-2</v>
      </c>
      <c r="O326" s="47">
        <f t="shared" si="73"/>
        <v>0.31328731986192054</v>
      </c>
      <c r="P326" s="47">
        <f t="shared" si="74"/>
        <v>-1.06</v>
      </c>
      <c r="Q326" s="47">
        <f t="shared" si="75"/>
        <v>1.966E-2</v>
      </c>
      <c r="S326" s="47">
        <f t="shared" si="76"/>
        <v>0.31328731986192054</v>
      </c>
      <c r="T326" s="47">
        <f t="shared" si="77"/>
        <v>-1.1000000000000001</v>
      </c>
      <c r="U326" s="47">
        <f t="shared" si="78"/>
        <v>1.966E-2</v>
      </c>
      <c r="W326" s="47">
        <f t="shared" si="79"/>
        <v>3.3180504032325364E-2</v>
      </c>
      <c r="X326" s="47">
        <f t="shared" si="80"/>
        <v>2.6017955209986732E-2</v>
      </c>
      <c r="Y326" s="47">
        <f t="shared" si="81"/>
        <v>3.0197639067073512E-2</v>
      </c>
      <c r="AP326" s="48">
        <v>0.1134</v>
      </c>
      <c r="AQ326" s="48">
        <v>0.16270000000000001</v>
      </c>
      <c r="AR326" s="47">
        <f>IF(AP326="","",AP326-($AC$60+$AC$61*Volcanic!C326+$AC$62*Volcanic!D326+$AC$63*Volcanic!E326))</f>
        <v>-1.4397576812867602E-2</v>
      </c>
      <c r="AS326" s="47">
        <f>IF(AQ326="","",AQ326-($AD$60+$AD$61*Volcanic!C326+$AD$62*Volcanic!D326+$AD$63*Volcanic!E326))</f>
        <v>2.1510710793680554E-2</v>
      </c>
    </row>
    <row r="327" spans="1:45">
      <c r="A327" s="45" t="str">
        <f>Volcanic!A327</f>
        <v>4/1985</v>
      </c>
      <c r="B327" s="43">
        <f>Volcanic!B327</f>
        <v>0.11999999999999744</v>
      </c>
      <c r="C327" s="47">
        <f>Volcanic!C327</f>
        <v>0.31639403332587512</v>
      </c>
      <c r="D327" s="41">
        <v>-0.8</v>
      </c>
      <c r="E327" s="43">
        <f t="shared" si="82"/>
        <v>-1</v>
      </c>
      <c r="F327" s="48">
        <v>1.1480000000000001E-2</v>
      </c>
      <c r="G327" s="47">
        <f t="shared" si="69"/>
        <v>1.9369999999999998E-2</v>
      </c>
      <c r="H327" s="43">
        <f>Volcanic!D327</f>
        <v>-1.01</v>
      </c>
      <c r="I327" s="47">
        <f>Volcanic!E327</f>
        <v>2.4070000000000001E-2</v>
      </c>
      <c r="K327" s="47">
        <f t="shared" si="70"/>
        <v>0.31639403332587512</v>
      </c>
      <c r="L327" s="47">
        <f t="shared" si="71"/>
        <v>-1</v>
      </c>
      <c r="M327" s="47">
        <f t="shared" si="72"/>
        <v>2.4070000000000001E-2</v>
      </c>
      <c r="O327" s="47">
        <f t="shared" si="73"/>
        <v>0.31639403332587512</v>
      </c>
      <c r="P327" s="47">
        <f t="shared" si="74"/>
        <v>-1.01</v>
      </c>
      <c r="Q327" s="47">
        <f t="shared" si="75"/>
        <v>1.9369999999999998E-2</v>
      </c>
      <c r="S327" s="47">
        <f t="shared" si="76"/>
        <v>0.31639403332587512</v>
      </c>
      <c r="T327" s="47">
        <f t="shared" si="77"/>
        <v>-1</v>
      </c>
      <c r="U327" s="47">
        <f t="shared" si="78"/>
        <v>1.9369999999999998E-2</v>
      </c>
      <c r="W327" s="47">
        <f t="shared" si="79"/>
        <v>-3.6474334381052465E-2</v>
      </c>
      <c r="X327" s="47">
        <f t="shared" si="80"/>
        <v>-3.7835796689428769E-2</v>
      </c>
      <c r="Y327" s="47">
        <f t="shared" si="81"/>
        <v>-3.8360369282612578E-2</v>
      </c>
      <c r="AP327" s="48">
        <v>7.4300000000000005E-2</v>
      </c>
      <c r="AQ327" s="48">
        <v>0.15870000000000001</v>
      </c>
      <c r="AR327" s="47">
        <f>IF(AP327="","",AP327-($AC$60+$AC$61*Volcanic!C327+$AC$62*Volcanic!D327+$AC$63*Volcanic!E327))</f>
        <v>-6.8732381047866498E-2</v>
      </c>
      <c r="AS327" s="47">
        <f>IF(AQ327="","",AQ327-($AD$60+$AD$61*Volcanic!C327+$AD$62*Volcanic!D327+$AD$63*Volcanic!E327))</f>
        <v>2.0612169040552242E-3</v>
      </c>
    </row>
    <row r="328" spans="1:45">
      <c r="A328" s="45" t="str">
        <f>Volcanic!A328</f>
        <v>5/1985</v>
      </c>
      <c r="B328" s="43">
        <f>Volcanic!B328</f>
        <v>0.14999999999999858</v>
      </c>
      <c r="C328" s="47">
        <f>Volcanic!C328</f>
        <v>0.3189572082710998</v>
      </c>
      <c r="D328" s="41">
        <v>-0.8</v>
      </c>
      <c r="E328" s="43">
        <f t="shared" si="82"/>
        <v>-0.9</v>
      </c>
      <c r="F328" s="48">
        <v>1.0919999999999999E-2</v>
      </c>
      <c r="G328" s="47">
        <f t="shared" si="69"/>
        <v>1.873E-2</v>
      </c>
      <c r="H328" s="43">
        <f>Volcanic!D328</f>
        <v>-0.86</v>
      </c>
      <c r="I328" s="47">
        <f>Volcanic!E328</f>
        <v>2.2290000000000001E-2</v>
      </c>
      <c r="K328" s="47">
        <f t="shared" si="70"/>
        <v>0.3189572082710998</v>
      </c>
      <c r="L328" s="47">
        <f t="shared" si="71"/>
        <v>-0.9</v>
      </c>
      <c r="M328" s="47">
        <f t="shared" si="72"/>
        <v>2.2290000000000001E-2</v>
      </c>
      <c r="O328" s="47">
        <f t="shared" si="73"/>
        <v>0.3189572082710998</v>
      </c>
      <c r="P328" s="47">
        <f t="shared" si="74"/>
        <v>-0.86</v>
      </c>
      <c r="Q328" s="47">
        <f t="shared" si="75"/>
        <v>1.873E-2</v>
      </c>
      <c r="S328" s="47">
        <f t="shared" si="76"/>
        <v>0.3189572082710998</v>
      </c>
      <c r="T328" s="47">
        <f t="shared" si="77"/>
        <v>-0.9</v>
      </c>
      <c r="U328" s="47">
        <f t="shared" si="78"/>
        <v>1.873E-2</v>
      </c>
      <c r="W328" s="47">
        <f t="shared" si="79"/>
        <v>-2.6674104434382367E-2</v>
      </c>
      <c r="X328" s="47">
        <f t="shared" si="80"/>
        <v>-3.0528131051487412E-2</v>
      </c>
      <c r="Y328" s="47">
        <f t="shared" si="81"/>
        <v>-2.6364585064852175E-2</v>
      </c>
      <c r="AP328" s="48">
        <v>0.13739999999999999</v>
      </c>
      <c r="AQ328" s="48">
        <v>0.19270000000000001</v>
      </c>
      <c r="AR328" s="47">
        <f>IF(AP328="","",AP328-($AC$60+$AC$61*Volcanic!C328+$AC$62*Volcanic!D328+$AC$63*Volcanic!E328))</f>
        <v>-3.0961208984090799E-2</v>
      </c>
      <c r="AS328" s="47">
        <f>IF(AQ328="","",AQ328-($AD$60+$AD$61*Volcanic!C328+$AD$62*Volcanic!D328+$AD$63*Volcanic!E328))</f>
        <v>1.0470555696410866E-2</v>
      </c>
    </row>
    <row r="329" spans="1:45">
      <c r="A329" s="45" t="str">
        <f>Volcanic!A329</f>
        <v>6/1985</v>
      </c>
      <c r="B329" s="43">
        <f>Volcanic!B329</f>
        <v>0.14999999999999858</v>
      </c>
      <c r="C329" s="47">
        <f>Volcanic!C329</f>
        <v>0.31635265445446925</v>
      </c>
      <c r="D329" s="41">
        <v>-0.6</v>
      </c>
      <c r="E329" s="43">
        <f t="shared" si="82"/>
        <v>-0.8</v>
      </c>
      <c r="F329" s="48">
        <v>1.057E-2</v>
      </c>
      <c r="G329" s="47">
        <f t="shared" ref="G329:G392" si="83">IF(F322="","",F322)</f>
        <v>1.7330000000000002E-2</v>
      </c>
      <c r="H329" s="43">
        <f>Volcanic!D329</f>
        <v>-0.85</v>
      </c>
      <c r="I329" s="47">
        <f>Volcanic!E329</f>
        <v>2.12E-2</v>
      </c>
      <c r="K329" s="47">
        <f t="shared" si="70"/>
        <v>0.31635265445446925</v>
      </c>
      <c r="L329" s="47">
        <f t="shared" si="71"/>
        <v>-0.8</v>
      </c>
      <c r="M329" s="47">
        <f t="shared" si="72"/>
        <v>2.12E-2</v>
      </c>
      <c r="O329" s="47">
        <f t="shared" si="73"/>
        <v>0.31635265445446925</v>
      </c>
      <c r="P329" s="47">
        <f t="shared" si="74"/>
        <v>-0.85</v>
      </c>
      <c r="Q329" s="47">
        <f t="shared" si="75"/>
        <v>1.7330000000000002E-2</v>
      </c>
      <c r="S329" s="47">
        <f t="shared" si="76"/>
        <v>0.31635265445446925</v>
      </c>
      <c r="T329" s="47">
        <f t="shared" si="77"/>
        <v>-0.8</v>
      </c>
      <c r="U329" s="47">
        <f t="shared" si="78"/>
        <v>1.7330000000000002E-2</v>
      </c>
      <c r="W329" s="47">
        <f t="shared" si="79"/>
        <v>-3.126026774132562E-2</v>
      </c>
      <c r="X329" s="47">
        <f t="shared" si="80"/>
        <v>-2.8083729611361352E-2</v>
      </c>
      <c r="Y329" s="47">
        <f t="shared" si="81"/>
        <v>-3.2387037742132169E-2</v>
      </c>
      <c r="AP329" s="48">
        <v>0.19359999999999999</v>
      </c>
      <c r="AQ329" s="48">
        <v>0.16370000000000001</v>
      </c>
      <c r="AR329" s="47">
        <f>IF(AP329="","",AP329-($AC$60+$AC$61*Volcanic!C329+$AC$62*Volcanic!D329+$AC$63*Volcanic!E329))</f>
        <v>2.8791597430531279E-2</v>
      </c>
      <c r="AS329" s="47">
        <f>IF(AQ329="","",AQ329-($AD$60+$AD$61*Volcanic!C329+$AD$62*Volcanic!D329+$AD$63*Volcanic!E329))</f>
        <v>-1.4686499541248871E-2</v>
      </c>
    </row>
    <row r="330" spans="1:45">
      <c r="A330" s="45" t="str">
        <f>Volcanic!A330</f>
        <v>7/1985</v>
      </c>
      <c r="B330" s="43">
        <f>Volcanic!B330</f>
        <v>3.9999999999999147E-2</v>
      </c>
      <c r="C330" s="47">
        <f>Volcanic!C330</f>
        <v>0.30909301345405343</v>
      </c>
      <c r="D330" s="41">
        <v>-0.4</v>
      </c>
      <c r="E330" s="43">
        <f t="shared" si="82"/>
        <v>-0.8</v>
      </c>
      <c r="F330" s="48">
        <v>1.026E-2</v>
      </c>
      <c r="G330" s="47">
        <f t="shared" si="83"/>
        <v>1.558E-2</v>
      </c>
      <c r="H330" s="43">
        <f>Volcanic!D330</f>
        <v>-0.8</v>
      </c>
      <c r="I330" s="47">
        <f>Volcanic!E330</f>
        <v>1.9550000000000001E-2</v>
      </c>
      <c r="K330" s="47">
        <f t="shared" si="70"/>
        <v>0.30909301345405343</v>
      </c>
      <c r="L330" s="47">
        <f t="shared" si="71"/>
        <v>-0.8</v>
      </c>
      <c r="M330" s="47">
        <f t="shared" si="72"/>
        <v>1.9550000000000001E-2</v>
      </c>
      <c r="O330" s="47">
        <f t="shared" si="73"/>
        <v>0.30909301345405343</v>
      </c>
      <c r="P330" s="47">
        <f t="shared" si="74"/>
        <v>-0.8</v>
      </c>
      <c r="Q330" s="47">
        <f t="shared" si="75"/>
        <v>1.558E-2</v>
      </c>
      <c r="S330" s="47">
        <f t="shared" si="76"/>
        <v>0.30909301345405343</v>
      </c>
      <c r="T330" s="47">
        <f t="shared" si="77"/>
        <v>-0.8</v>
      </c>
      <c r="U330" s="47">
        <f t="shared" si="78"/>
        <v>1.558E-2</v>
      </c>
      <c r="W330" s="47">
        <f t="shared" si="79"/>
        <v>-0.12509794988954237</v>
      </c>
      <c r="X330" s="47">
        <f t="shared" si="80"/>
        <v>-0.12772584392731659</v>
      </c>
      <c r="Y330" s="47">
        <f t="shared" si="81"/>
        <v>-0.12733993459287857</v>
      </c>
      <c r="AP330" s="48">
        <v>4.8800000000000003E-2</v>
      </c>
      <c r="AQ330" s="48">
        <v>-3.4299999999999997E-2</v>
      </c>
      <c r="AR330" s="47">
        <f>IF(AP330="","",AP330-($AC$60+$AC$61*Volcanic!C330+$AC$62*Volcanic!D330+$AC$63*Volcanic!E330))</f>
        <v>-0.10483765361635439</v>
      </c>
      <c r="AS330" s="47">
        <f>IF(AQ330="","",AQ330-($AD$60+$AD$61*Volcanic!C330+$AD$62*Volcanic!D330+$AD$63*Volcanic!E330))</f>
        <v>-0.20091032719008495</v>
      </c>
    </row>
    <row r="331" spans="1:45">
      <c r="A331" s="45" t="str">
        <f>Volcanic!A331</f>
        <v>8/1985</v>
      </c>
      <c r="B331" s="43">
        <f>Volcanic!B331</f>
        <v>0.16999999999999993</v>
      </c>
      <c r="C331" s="47">
        <f>Volcanic!C331</f>
        <v>0.30225637367507746</v>
      </c>
      <c r="D331" s="41">
        <v>-0.3</v>
      </c>
      <c r="E331" s="43">
        <f t="shared" si="82"/>
        <v>-0.8</v>
      </c>
      <c r="F331" s="48">
        <v>9.92E-3</v>
      </c>
      <c r="G331" s="47">
        <f t="shared" si="83"/>
        <v>1.4330000000000001E-2</v>
      </c>
      <c r="H331" s="43">
        <f>Volcanic!D331</f>
        <v>-0.79</v>
      </c>
      <c r="I331" s="47">
        <f>Volcanic!E331</f>
        <v>1.8599999999999998E-2</v>
      </c>
      <c r="K331" s="47">
        <f t="shared" si="70"/>
        <v>0.30225637367507746</v>
      </c>
      <c r="L331" s="47">
        <f t="shared" si="71"/>
        <v>-0.8</v>
      </c>
      <c r="M331" s="47">
        <f t="shared" si="72"/>
        <v>1.8599999999999998E-2</v>
      </c>
      <c r="O331" s="47">
        <f t="shared" si="73"/>
        <v>0.30225637367507746</v>
      </c>
      <c r="P331" s="47">
        <f t="shared" si="74"/>
        <v>-0.79</v>
      </c>
      <c r="Q331" s="47">
        <f t="shared" si="75"/>
        <v>1.4330000000000001E-2</v>
      </c>
      <c r="S331" s="47">
        <f t="shared" si="76"/>
        <v>0.30225637367507746</v>
      </c>
      <c r="T331" s="47">
        <f t="shared" si="77"/>
        <v>-0.8</v>
      </c>
      <c r="U331" s="47">
        <f t="shared" si="78"/>
        <v>1.4330000000000001E-2</v>
      </c>
      <c r="W331" s="47">
        <f t="shared" si="79"/>
        <v>2.1453247456084151E-2</v>
      </c>
      <c r="X331" s="47">
        <f t="shared" si="80"/>
        <v>1.6552248102990857E-2</v>
      </c>
      <c r="Y331" s="47">
        <f t="shared" si="81"/>
        <v>1.7871596757499442E-2</v>
      </c>
      <c r="AP331" s="48">
        <v>0.21390000000000001</v>
      </c>
      <c r="AQ331" s="48">
        <v>0.1847</v>
      </c>
      <c r="AR331" s="47">
        <f>IF(AP331="","",AP331-($AC$60+$AC$61*Volcanic!C331+$AC$62*Volcanic!D331+$AC$63*Volcanic!E331))</f>
        <v>7.5708189023266398E-2</v>
      </c>
      <c r="AS331" s="47">
        <f>IF(AQ331="","",AQ331-($AD$60+$AD$61*Volcanic!C331+$AD$62*Volcanic!D331+$AD$63*Volcanic!E331))</f>
        <v>3.4106886421943289E-2</v>
      </c>
    </row>
    <row r="332" spans="1:45">
      <c r="A332" s="45" t="str">
        <f>Volcanic!A332</f>
        <v>9/1985</v>
      </c>
      <c r="B332" s="43">
        <f>Volcanic!B332</f>
        <v>0.12999999999999901</v>
      </c>
      <c r="C332" s="47">
        <f>Volcanic!C332</f>
        <v>0.29475726680375902</v>
      </c>
      <c r="D332" s="41">
        <v>-0.3</v>
      </c>
      <c r="E332" s="43">
        <f t="shared" si="82"/>
        <v>-0.6</v>
      </c>
      <c r="F332" s="48">
        <v>9.3699999999999999E-3</v>
      </c>
      <c r="G332" s="47">
        <f t="shared" si="83"/>
        <v>1.294E-2</v>
      </c>
      <c r="H332" s="43">
        <f>Volcanic!D332</f>
        <v>-0.6</v>
      </c>
      <c r="I332" s="47">
        <f>Volcanic!E332</f>
        <v>1.737E-2</v>
      </c>
      <c r="K332" s="47">
        <f t="shared" si="70"/>
        <v>0.29475726680375902</v>
      </c>
      <c r="L332" s="47">
        <f t="shared" si="71"/>
        <v>-0.6</v>
      </c>
      <c r="M332" s="47">
        <f t="shared" si="72"/>
        <v>1.737E-2</v>
      </c>
      <c r="O332" s="47">
        <f t="shared" si="73"/>
        <v>0.29475726680375902</v>
      </c>
      <c r="P332" s="47">
        <f t="shared" si="74"/>
        <v>-0.6</v>
      </c>
      <c r="Q332" s="47">
        <f t="shared" si="75"/>
        <v>1.294E-2</v>
      </c>
      <c r="S332" s="47">
        <f t="shared" si="76"/>
        <v>0.29475726680375902</v>
      </c>
      <c r="T332" s="47">
        <f t="shared" si="77"/>
        <v>-0.6</v>
      </c>
      <c r="U332" s="47">
        <f t="shared" si="78"/>
        <v>1.294E-2</v>
      </c>
      <c r="W332" s="47">
        <f t="shared" si="79"/>
        <v>-1.9380557637118712E-2</v>
      </c>
      <c r="X332" s="47">
        <f t="shared" si="80"/>
        <v>-2.4652926299338795E-2</v>
      </c>
      <c r="Y332" s="47">
        <f t="shared" si="81"/>
        <v>-2.4294481822643543E-2</v>
      </c>
      <c r="AP332" s="48">
        <v>0.19020000000000001</v>
      </c>
      <c r="AQ332" s="48">
        <v>0.12970000000000001</v>
      </c>
      <c r="AR332" s="47">
        <f>IF(AP332="","",AP332-($AC$60+$AC$61*Volcanic!C332+$AC$62*Volcanic!D332+$AC$63*Volcanic!E332))</f>
        <v>5.1733115371667082E-2</v>
      </c>
      <c r="AS332" s="47">
        <f>IF(AQ332="","",AQ332-($AD$60+$AD$61*Volcanic!C332+$AD$62*Volcanic!D332+$AD$63*Volcanic!E332))</f>
        <v>-2.0863279739223528E-2</v>
      </c>
    </row>
    <row r="333" spans="1:45">
      <c r="A333" s="45" t="str">
        <f>Volcanic!A333</f>
        <v>10/1985</v>
      </c>
      <c r="B333" s="43">
        <f>Volcanic!B333</f>
        <v>0.11999999999999744</v>
      </c>
      <c r="C333" s="47">
        <f>Volcanic!C333</f>
        <v>0.29425313644451412</v>
      </c>
      <c r="D333" s="41">
        <v>-0.3</v>
      </c>
      <c r="E333" s="43">
        <f t="shared" si="82"/>
        <v>-0.4</v>
      </c>
      <c r="F333" s="48">
        <v>9.0799999999999995E-3</v>
      </c>
      <c r="G333" s="47">
        <f t="shared" si="83"/>
        <v>1.2030000000000001E-2</v>
      </c>
      <c r="H333" s="43">
        <f>Volcanic!D333</f>
        <v>-0.44</v>
      </c>
      <c r="I333" s="47">
        <f>Volcanic!E333</f>
        <v>1.609E-2</v>
      </c>
      <c r="K333" s="47">
        <f t="shared" si="70"/>
        <v>0.29425313644451412</v>
      </c>
      <c r="L333" s="47">
        <f t="shared" si="71"/>
        <v>-0.4</v>
      </c>
      <c r="M333" s="47">
        <f t="shared" si="72"/>
        <v>1.609E-2</v>
      </c>
      <c r="O333" s="47">
        <f t="shared" si="73"/>
        <v>0.29425313644451412</v>
      </c>
      <c r="P333" s="47">
        <f t="shared" si="74"/>
        <v>-0.44</v>
      </c>
      <c r="Q333" s="47">
        <f t="shared" si="75"/>
        <v>1.2030000000000001E-2</v>
      </c>
      <c r="S333" s="47">
        <f t="shared" si="76"/>
        <v>0.29425313644451412</v>
      </c>
      <c r="T333" s="47">
        <f t="shared" si="77"/>
        <v>-0.4</v>
      </c>
      <c r="U333" s="47">
        <f t="shared" si="78"/>
        <v>1.2030000000000001E-2</v>
      </c>
      <c r="W333" s="47">
        <f t="shared" si="79"/>
        <v>-4.9400893216479863E-2</v>
      </c>
      <c r="X333" s="47">
        <f t="shared" si="80"/>
        <v>-5.0697364103099996E-2</v>
      </c>
      <c r="Y333" s="47">
        <f t="shared" si="81"/>
        <v>-5.4114312244240653E-2</v>
      </c>
      <c r="AP333" s="48">
        <v>0.1101</v>
      </c>
      <c r="AQ333" s="48">
        <v>0.1157</v>
      </c>
      <c r="AR333" s="47">
        <f>IF(AP333="","",AP333-($AC$60+$AC$61*Volcanic!C333+$AC$62*Volcanic!D333+$AC$63*Volcanic!E333))</f>
        <v>-4.5053454742741444E-2</v>
      </c>
      <c r="AS333" s="47">
        <f>IF(AQ333="","",AQ333-($AD$60+$AD$61*Volcanic!C333+$AD$62*Volcanic!D333+$AD$63*Volcanic!E333))</f>
        <v>-5.1673213014628933E-2</v>
      </c>
    </row>
    <row r="334" spans="1:45">
      <c r="A334" s="45" t="str">
        <f>Volcanic!A334</f>
        <v>11/1985</v>
      </c>
      <c r="B334" s="43">
        <f>Volcanic!B334</f>
        <v>5.0000000000004263E-2</v>
      </c>
      <c r="C334" s="47">
        <f>Volcanic!C334</f>
        <v>0.30004002699743576</v>
      </c>
      <c r="D334" s="41">
        <v>-0.3</v>
      </c>
      <c r="E334" s="43">
        <f t="shared" si="82"/>
        <v>-0.3</v>
      </c>
      <c r="F334" s="48">
        <v>8.6999999999999994E-3</v>
      </c>
      <c r="G334" s="47">
        <f t="shared" si="83"/>
        <v>1.1480000000000001E-2</v>
      </c>
      <c r="H334" s="43">
        <f>Volcanic!D334</f>
        <v>-0.33</v>
      </c>
      <c r="I334" s="47">
        <f>Volcanic!E334</f>
        <v>1.4970000000000001E-2</v>
      </c>
      <c r="K334" s="47">
        <f t="shared" si="70"/>
        <v>0.30004002699743576</v>
      </c>
      <c r="L334" s="47">
        <f t="shared" si="71"/>
        <v>-0.3</v>
      </c>
      <c r="M334" s="47">
        <f t="shared" si="72"/>
        <v>1.4970000000000001E-2</v>
      </c>
      <c r="O334" s="47">
        <f t="shared" si="73"/>
        <v>0.30004002699743576</v>
      </c>
      <c r="P334" s="47">
        <f t="shared" si="74"/>
        <v>-0.33</v>
      </c>
      <c r="Q334" s="47">
        <f t="shared" si="75"/>
        <v>1.1480000000000001E-2</v>
      </c>
      <c r="S334" s="47">
        <f t="shared" si="76"/>
        <v>0.30004002699743576</v>
      </c>
      <c r="T334" s="47">
        <f t="shared" si="77"/>
        <v>-0.3</v>
      </c>
      <c r="U334" s="47">
        <f t="shared" si="78"/>
        <v>1.1480000000000001E-2</v>
      </c>
      <c r="W334" s="47">
        <f t="shared" si="79"/>
        <v>-0.14693789463306603</v>
      </c>
      <c r="X334" s="47">
        <f t="shared" si="80"/>
        <v>-0.14811267248558638</v>
      </c>
      <c r="Y334" s="47">
        <f t="shared" si="81"/>
        <v>-0.15059769608662249</v>
      </c>
      <c r="AP334" s="48">
        <v>8.7800000000000003E-2</v>
      </c>
      <c r="AQ334" s="48">
        <v>5.0700000000000002E-2</v>
      </c>
      <c r="AR334" s="47">
        <f>IF(AP334="","",AP334-($AC$60+$AC$61*Volcanic!C334+$AC$62*Volcanic!D334+$AC$63*Volcanic!E334))</f>
        <v>-9.6151090377301615E-2</v>
      </c>
      <c r="AS334" s="47">
        <f>IF(AQ334="","",AQ334-($AD$60+$AD$61*Volcanic!C334+$AD$62*Volcanic!D334+$AD$63*Volcanic!E334))</f>
        <v>-0.14595894790606509</v>
      </c>
    </row>
    <row r="335" spans="1:45">
      <c r="A335" s="45" t="str">
        <f>Volcanic!A335</f>
        <v>12/1985</v>
      </c>
      <c r="B335" s="43">
        <f>Volcanic!B335</f>
        <v>0.13999999999999879</v>
      </c>
      <c r="C335" s="47">
        <f>Volcanic!C335</f>
        <v>0.30584548060634364</v>
      </c>
      <c r="D335" s="41">
        <v>-0.4</v>
      </c>
      <c r="E335" s="43">
        <f t="shared" si="82"/>
        <v>-0.3</v>
      </c>
      <c r="F335" s="48">
        <v>1.059E-2</v>
      </c>
      <c r="G335" s="47">
        <f t="shared" si="83"/>
        <v>1.0919999999999999E-2</v>
      </c>
      <c r="H335" s="43">
        <f>Volcanic!D335</f>
        <v>-0.31</v>
      </c>
      <c r="I335" s="47">
        <f>Volcanic!E335</f>
        <v>1.376E-2</v>
      </c>
      <c r="K335" s="47">
        <f t="shared" si="70"/>
        <v>0.30584548060634364</v>
      </c>
      <c r="L335" s="47">
        <f t="shared" si="71"/>
        <v>-0.3</v>
      </c>
      <c r="M335" s="47">
        <f t="shared" si="72"/>
        <v>1.376E-2</v>
      </c>
      <c r="O335" s="47">
        <f t="shared" si="73"/>
        <v>0.30584548060634364</v>
      </c>
      <c r="P335" s="47">
        <f t="shared" si="74"/>
        <v>-0.31</v>
      </c>
      <c r="Q335" s="47">
        <f t="shared" si="75"/>
        <v>1.0919999999999999E-2</v>
      </c>
      <c r="S335" s="47">
        <f t="shared" si="76"/>
        <v>0.30584548060634364</v>
      </c>
      <c r="T335" s="47">
        <f t="shared" si="77"/>
        <v>-0.3</v>
      </c>
      <c r="U335" s="47">
        <f t="shared" si="78"/>
        <v>1.0919999999999999E-2</v>
      </c>
      <c r="W335" s="47">
        <f t="shared" si="79"/>
        <v>-7.5436506078669058E-2</v>
      </c>
      <c r="X335" s="47">
        <f t="shared" si="80"/>
        <v>-7.7150038531303505E-2</v>
      </c>
      <c r="Y335" s="47">
        <f t="shared" si="81"/>
        <v>-7.7756307081602666E-2</v>
      </c>
      <c r="AP335" s="48">
        <v>0.12759999999999999</v>
      </c>
      <c r="AQ335" s="48">
        <v>0.20269999999999999</v>
      </c>
      <c r="AR335" s="47">
        <f>IF(AP335="","",AP335-($AC$60+$AC$61*Volcanic!C335+$AC$62*Volcanic!D335+$AC$63*Volcanic!E335))</f>
        <v>-7.6987913359748333E-2</v>
      </c>
      <c r="AS335" s="47">
        <f>IF(AQ335="","",AQ335-($AD$60+$AD$61*Volcanic!C335+$AD$62*Volcanic!D335+$AD$63*Volcanic!E335))</f>
        <v>-1.4902018246873039E-2</v>
      </c>
    </row>
    <row r="336" spans="1:45">
      <c r="A336" s="45" t="str">
        <f>Volcanic!A336</f>
        <v>1/1986</v>
      </c>
      <c r="B336" s="43">
        <f>Volcanic!B336</f>
        <v>0.25999999999999979</v>
      </c>
      <c r="C336" s="47">
        <f>Volcanic!C336</f>
        <v>0.30859386858427595</v>
      </c>
      <c r="D336" s="41">
        <v>-0.4</v>
      </c>
      <c r="E336" s="43">
        <f t="shared" si="82"/>
        <v>-0.3</v>
      </c>
      <c r="F336" s="48">
        <v>1.286E-2</v>
      </c>
      <c r="G336" s="47">
        <f t="shared" si="83"/>
        <v>1.057E-2</v>
      </c>
      <c r="H336" s="43">
        <f>Volcanic!D336</f>
        <v>-0.3</v>
      </c>
      <c r="I336" s="47">
        <f>Volcanic!E336</f>
        <v>1.3259999999999999E-2</v>
      </c>
      <c r="K336" s="47">
        <f t="shared" si="70"/>
        <v>0.30859386858427595</v>
      </c>
      <c r="L336" s="47">
        <f t="shared" si="71"/>
        <v>-0.3</v>
      </c>
      <c r="M336" s="47">
        <f t="shared" si="72"/>
        <v>1.3259999999999999E-2</v>
      </c>
      <c r="O336" s="47">
        <f t="shared" si="73"/>
        <v>0.30859386858427595</v>
      </c>
      <c r="P336" s="47">
        <f t="shared" si="74"/>
        <v>-0.3</v>
      </c>
      <c r="Q336" s="47">
        <f t="shared" si="75"/>
        <v>1.057E-2</v>
      </c>
      <c r="S336" s="47">
        <f t="shared" si="76"/>
        <v>0.30859386858427595</v>
      </c>
      <c r="T336" s="47">
        <f t="shared" si="77"/>
        <v>-0.3</v>
      </c>
      <c r="U336" s="47">
        <f t="shared" si="78"/>
        <v>1.057E-2</v>
      </c>
      <c r="W336" s="47">
        <f t="shared" si="79"/>
        <v>3.5966463546297733E-2</v>
      </c>
      <c r="X336" s="47">
        <f t="shared" si="80"/>
        <v>3.356565296429817E-2</v>
      </c>
      <c r="Y336" s="47">
        <f t="shared" si="81"/>
        <v>3.3898499455368714E-2</v>
      </c>
      <c r="AP336" s="48">
        <v>0.18859999999999999</v>
      </c>
      <c r="AQ336" s="48">
        <v>0.23769999999999999</v>
      </c>
      <c r="AR336" s="47">
        <f>IF(AP336="","",AP336-($AC$60+$AC$61*Volcanic!C336+$AC$62*Volcanic!D336+$AC$63*Volcanic!E336))</f>
        <v>-2.5632234972338658E-2</v>
      </c>
      <c r="AS336" s="47">
        <f>IF(AQ336="","",AQ336-($AD$60+$AD$61*Volcanic!C336+$AD$62*Volcanic!D336+$AD$63*Volcanic!E336))</f>
        <v>1.0299220456538388E-2</v>
      </c>
    </row>
    <row r="337" spans="1:45">
      <c r="A337" s="45" t="str">
        <f>Volcanic!A337</f>
        <v>2/1986</v>
      </c>
      <c r="B337" s="43">
        <f>Volcanic!B337</f>
        <v>0.36999999999999744</v>
      </c>
      <c r="C337" s="47">
        <f>Volcanic!C337</f>
        <v>0.31150311546826975</v>
      </c>
      <c r="D337" s="41">
        <v>-0.4</v>
      </c>
      <c r="E337" s="43">
        <f t="shared" si="82"/>
        <v>-0.3</v>
      </c>
      <c r="F337" s="48">
        <v>1.372E-2</v>
      </c>
      <c r="G337" s="47">
        <f t="shared" si="83"/>
        <v>1.026E-2</v>
      </c>
      <c r="H337" s="43">
        <f>Volcanic!D337</f>
        <v>-0.28000000000000003</v>
      </c>
      <c r="I337" s="47">
        <f>Volcanic!E337</f>
        <v>1.264E-2</v>
      </c>
      <c r="K337" s="47">
        <f t="shared" si="70"/>
        <v>0.31150311546826975</v>
      </c>
      <c r="L337" s="47">
        <f t="shared" si="71"/>
        <v>-0.3</v>
      </c>
      <c r="M337" s="47">
        <f t="shared" si="72"/>
        <v>1.264E-2</v>
      </c>
      <c r="O337" s="47">
        <f t="shared" si="73"/>
        <v>0.31150311546826975</v>
      </c>
      <c r="P337" s="47">
        <f t="shared" si="74"/>
        <v>-0.28000000000000003</v>
      </c>
      <c r="Q337" s="47">
        <f t="shared" si="75"/>
        <v>1.026E-2</v>
      </c>
      <c r="S337" s="47">
        <f t="shared" si="76"/>
        <v>0.31150311546826975</v>
      </c>
      <c r="T337" s="47">
        <f t="shared" si="77"/>
        <v>-0.3</v>
      </c>
      <c r="U337" s="47">
        <f t="shared" si="78"/>
        <v>1.026E-2</v>
      </c>
      <c r="W337" s="47">
        <f t="shared" si="79"/>
        <v>0.1366663237094026</v>
      </c>
      <c r="X337" s="47">
        <f t="shared" si="80"/>
        <v>0.13301159798778522</v>
      </c>
      <c r="Y337" s="47">
        <f t="shared" si="81"/>
        <v>0.13522309334694005</v>
      </c>
      <c r="AP337" s="48">
        <v>0.37830000000000003</v>
      </c>
      <c r="AQ337" s="48">
        <v>0.41670000000000001</v>
      </c>
      <c r="AR337" s="47">
        <f>IF(AP337="","",AP337-($AC$60+$AC$61*Volcanic!C337+$AC$62*Volcanic!D337+$AC$63*Volcanic!E337))</f>
        <v>0.15275900573818618</v>
      </c>
      <c r="AS337" s="47">
        <f>IF(AQ337="","",AQ337-($AD$60+$AD$61*Volcanic!C337+$AD$62*Volcanic!D337+$AD$63*Volcanic!E337))</f>
        <v>0.17781942460288233</v>
      </c>
    </row>
    <row r="338" spans="1:45">
      <c r="A338" s="45" t="str">
        <f>Volcanic!A338</f>
        <v>3/1986</v>
      </c>
      <c r="B338" s="43">
        <f>Volcanic!B338</f>
        <v>0.30000000000000249</v>
      </c>
      <c r="C338" s="47">
        <f>Volcanic!C338</f>
        <v>0.31469652565628642</v>
      </c>
      <c r="D338" s="41">
        <v>-0.2</v>
      </c>
      <c r="E338" s="43">
        <f t="shared" si="82"/>
        <v>-0.4</v>
      </c>
      <c r="F338" s="48">
        <v>1.312E-2</v>
      </c>
      <c r="G338" s="47">
        <f t="shared" si="83"/>
        <v>9.92E-3</v>
      </c>
      <c r="H338" s="43">
        <f>Volcanic!D338</f>
        <v>-0.36</v>
      </c>
      <c r="I338" s="47">
        <f>Volcanic!E338</f>
        <v>1.2370000000000001E-2</v>
      </c>
      <c r="K338" s="47">
        <f t="shared" si="70"/>
        <v>0.31469652565628642</v>
      </c>
      <c r="L338" s="47">
        <f t="shared" si="71"/>
        <v>-0.4</v>
      </c>
      <c r="M338" s="47">
        <f t="shared" si="72"/>
        <v>1.2370000000000001E-2</v>
      </c>
      <c r="O338" s="47">
        <f t="shared" si="73"/>
        <v>0.31469652565628642</v>
      </c>
      <c r="P338" s="47">
        <f t="shared" si="74"/>
        <v>-0.36</v>
      </c>
      <c r="Q338" s="47">
        <f t="shared" si="75"/>
        <v>9.92E-3</v>
      </c>
      <c r="S338" s="47">
        <f t="shared" si="76"/>
        <v>0.31469652565628642</v>
      </c>
      <c r="T338" s="47">
        <f t="shared" si="77"/>
        <v>-0.4</v>
      </c>
      <c r="U338" s="47">
        <f t="shared" si="78"/>
        <v>9.92E-3</v>
      </c>
      <c r="W338" s="47">
        <f t="shared" si="79"/>
        <v>6.6649792985746553E-2</v>
      </c>
      <c r="X338" s="47">
        <f t="shared" si="80"/>
        <v>6.1004520949993646E-2</v>
      </c>
      <c r="Y338" s="47">
        <f t="shared" si="81"/>
        <v>6.5102152607913133E-2</v>
      </c>
      <c r="AP338" s="48">
        <v>0.20649999999999999</v>
      </c>
      <c r="AQ338" s="48">
        <v>0.24970000000000001</v>
      </c>
      <c r="AR338" s="47">
        <f>IF(AP338="","",AP338-($AC$60+$AC$61*Volcanic!C338+$AC$62*Volcanic!D338+$AC$63*Volcanic!E338))</f>
        <v>-2.091901195013901E-2</v>
      </c>
      <c r="AS338" s="47">
        <f>IF(AQ338="","",AQ338-($AD$60+$AD$61*Volcanic!C338+$AD$62*Volcanic!D338+$AD$63*Volcanic!E338))</f>
        <v>8.901775375709714E-3</v>
      </c>
    </row>
    <row r="339" spans="1:45">
      <c r="A339" s="45" t="str">
        <f>Volcanic!A339</f>
        <v>4/1986</v>
      </c>
      <c r="B339" s="43">
        <f>Volcanic!B339</f>
        <v>0.22000000000000242</v>
      </c>
      <c r="C339" s="47">
        <f>Volcanic!C339</f>
        <v>0.32135090142461681</v>
      </c>
      <c r="D339" s="41">
        <v>-0.2</v>
      </c>
      <c r="E339" s="43">
        <f t="shared" si="82"/>
        <v>-0.4</v>
      </c>
      <c r="F339" s="48">
        <v>1.2869999999999999E-2</v>
      </c>
      <c r="G339" s="47">
        <f t="shared" si="83"/>
        <v>9.3699999999999999E-3</v>
      </c>
      <c r="H339" s="43">
        <f>Volcanic!D339</f>
        <v>-0.4</v>
      </c>
      <c r="I339" s="47">
        <f>Volcanic!E339</f>
        <v>1.179E-2</v>
      </c>
      <c r="K339" s="47">
        <f t="shared" si="70"/>
        <v>0.32135090142461681</v>
      </c>
      <c r="L339" s="47">
        <f t="shared" si="71"/>
        <v>-0.4</v>
      </c>
      <c r="M339" s="47">
        <f t="shared" si="72"/>
        <v>1.179E-2</v>
      </c>
      <c r="O339" s="47">
        <f t="shared" si="73"/>
        <v>0.32135090142461681</v>
      </c>
      <c r="P339" s="47">
        <f t="shared" si="74"/>
        <v>-0.4</v>
      </c>
      <c r="Q339" s="47">
        <f t="shared" si="75"/>
        <v>9.3699999999999999E-3</v>
      </c>
      <c r="S339" s="47">
        <f t="shared" si="76"/>
        <v>0.32135090142461681</v>
      </c>
      <c r="T339" s="47">
        <f t="shared" si="77"/>
        <v>-0.4</v>
      </c>
      <c r="U339" s="47">
        <f t="shared" si="78"/>
        <v>9.3699999999999999E-3</v>
      </c>
      <c r="W339" s="47">
        <f t="shared" si="79"/>
        <v>-3.2775736249933352E-2</v>
      </c>
      <c r="X339" s="47">
        <f t="shared" si="80"/>
        <v>-3.466567447125124E-2</v>
      </c>
      <c r="Y339" s="47">
        <f t="shared" si="81"/>
        <v>-3.432517097678095E-2</v>
      </c>
      <c r="AP339" s="48">
        <v>0.2021</v>
      </c>
      <c r="AQ339" s="48">
        <v>0.31369999999999998</v>
      </c>
      <c r="AR339" s="47">
        <f>IF(AP339="","",AP339-($AC$60+$AC$61*Volcanic!C339+$AC$62*Volcanic!D339+$AC$63*Volcanic!E339))</f>
        <v>-4.1139296402616654E-2</v>
      </c>
      <c r="AS339" s="47">
        <f>IF(AQ339="","",AQ339-($AD$60+$AD$61*Volcanic!C339+$AD$62*Volcanic!D339+$AD$63*Volcanic!E339))</f>
        <v>5.6757749104751343E-2</v>
      </c>
    </row>
    <row r="340" spans="1:45">
      <c r="A340" s="45" t="str">
        <f>Volcanic!A340</f>
        <v>5/1986</v>
      </c>
      <c r="B340" s="43">
        <f>Volcanic!B340</f>
        <v>0.21000000000000085</v>
      </c>
      <c r="C340" s="47">
        <f>Volcanic!C340</f>
        <v>0.32406993683064367</v>
      </c>
      <c r="D340" s="41">
        <v>-0.1</v>
      </c>
      <c r="E340" s="43">
        <f t="shared" si="82"/>
        <v>-0.4</v>
      </c>
      <c r="F340" s="48">
        <v>1.2970000000000001E-2</v>
      </c>
      <c r="G340" s="47">
        <f t="shared" si="83"/>
        <v>9.0799999999999995E-3</v>
      </c>
      <c r="H340" s="43">
        <f>Volcanic!D340</f>
        <v>-0.38</v>
      </c>
      <c r="I340" s="47">
        <f>Volcanic!E340</f>
        <v>1.15E-2</v>
      </c>
      <c r="K340" s="47">
        <f t="shared" si="70"/>
        <v>0.32406993683064367</v>
      </c>
      <c r="L340" s="47">
        <f t="shared" si="71"/>
        <v>-0.4</v>
      </c>
      <c r="M340" s="47">
        <f t="shared" si="72"/>
        <v>1.15E-2</v>
      </c>
      <c r="O340" s="47">
        <f t="shared" si="73"/>
        <v>0.32406993683064367</v>
      </c>
      <c r="P340" s="47">
        <f t="shared" si="74"/>
        <v>-0.38</v>
      </c>
      <c r="Q340" s="47">
        <f t="shared" si="75"/>
        <v>9.0799999999999995E-3</v>
      </c>
      <c r="S340" s="47">
        <f t="shared" si="76"/>
        <v>0.32406993683064367</v>
      </c>
      <c r="T340" s="47">
        <f t="shared" si="77"/>
        <v>-0.4</v>
      </c>
      <c r="U340" s="47">
        <f t="shared" si="78"/>
        <v>9.0799999999999995E-3</v>
      </c>
      <c r="W340" s="47">
        <f t="shared" si="79"/>
        <v>-5.0829977485786992E-2</v>
      </c>
      <c r="X340" s="47">
        <f t="shared" si="80"/>
        <v>-5.4653222689737213E-2</v>
      </c>
      <c r="Y340" s="47">
        <f t="shared" si="81"/>
        <v>-5.2434066263154999E-2</v>
      </c>
      <c r="AP340" s="48">
        <v>0.2132</v>
      </c>
      <c r="AQ340" s="48">
        <v>0.26569999999999999</v>
      </c>
      <c r="AR340" s="47">
        <f>IF(AP340="","",AP340-($AC$60+$AC$61*Volcanic!C340+$AC$62*Volcanic!D340+$AC$63*Volcanic!E340))</f>
        <v>-4.0034616597548089E-2</v>
      </c>
      <c r="AS340" s="47">
        <f>IF(AQ340="","",AQ340-($AD$60+$AD$61*Volcanic!C340+$AD$62*Volcanic!D340+$AD$63*Volcanic!E340))</f>
        <v>-1.4334673489607708E-3</v>
      </c>
    </row>
    <row r="341" spans="1:45">
      <c r="A341" s="45" t="str">
        <f>Volcanic!A341</f>
        <v>6/1986</v>
      </c>
      <c r="B341" s="43">
        <f>Volcanic!B341</f>
        <v>0.11999999999999744</v>
      </c>
      <c r="C341" s="47">
        <f>Volcanic!C341</f>
        <v>0.32184565281522998</v>
      </c>
      <c r="D341" s="41">
        <v>0</v>
      </c>
      <c r="E341" s="43">
        <f t="shared" si="82"/>
        <v>-0.2</v>
      </c>
      <c r="F341" s="48">
        <v>1.2279999999999999E-2</v>
      </c>
      <c r="G341" s="47">
        <f t="shared" si="83"/>
        <v>8.6999999999999994E-3</v>
      </c>
      <c r="H341" s="43">
        <f>Volcanic!D341</f>
        <v>-0.25</v>
      </c>
      <c r="I341" s="47">
        <f>Volcanic!E341</f>
        <v>1.103E-2</v>
      </c>
      <c r="K341" s="47">
        <f t="shared" si="70"/>
        <v>0.32184565281522998</v>
      </c>
      <c r="L341" s="47">
        <f t="shared" si="71"/>
        <v>-0.2</v>
      </c>
      <c r="M341" s="47">
        <f t="shared" si="72"/>
        <v>1.103E-2</v>
      </c>
      <c r="O341" s="47">
        <f t="shared" si="73"/>
        <v>0.32184565281522998</v>
      </c>
      <c r="P341" s="47">
        <f t="shared" si="74"/>
        <v>-0.25</v>
      </c>
      <c r="Q341" s="47">
        <f t="shared" si="75"/>
        <v>8.6999999999999994E-3</v>
      </c>
      <c r="S341" s="47">
        <f t="shared" si="76"/>
        <v>0.32184565281522998</v>
      </c>
      <c r="T341" s="47">
        <f t="shared" si="77"/>
        <v>-0.2</v>
      </c>
      <c r="U341" s="47">
        <f t="shared" si="78"/>
        <v>8.6999999999999994E-3</v>
      </c>
      <c r="W341" s="47">
        <f t="shared" si="79"/>
        <v>-0.15437433975606074</v>
      </c>
      <c r="X341" s="47">
        <f t="shared" si="80"/>
        <v>-0.15184424539305752</v>
      </c>
      <c r="Y341" s="47">
        <f t="shared" si="81"/>
        <v>-0.15621745421255478</v>
      </c>
      <c r="AP341" s="48">
        <v>0.11269999999999999</v>
      </c>
      <c r="AQ341" s="48">
        <v>0.1027</v>
      </c>
      <c r="AR341" s="47">
        <f>IF(AP341="","",AP341-($AC$60+$AC$61*Volcanic!C341+$AC$62*Volcanic!D341+$AC$63*Volcanic!E341))</f>
        <v>-0.14776574594984557</v>
      </c>
      <c r="AS341" s="47">
        <f>IF(AQ341="","",AQ341-($AD$60+$AD$61*Volcanic!C341+$AD$62*Volcanic!D341+$AD$63*Volcanic!E341))</f>
        <v>-0.17170331648911269</v>
      </c>
    </row>
    <row r="342" spans="1:45">
      <c r="A342" s="45" t="str">
        <f>Volcanic!A342</f>
        <v>7/1986</v>
      </c>
      <c r="B342" s="43">
        <f>Volcanic!B342</f>
        <v>0.10999999999999766</v>
      </c>
      <c r="C342" s="47">
        <f>Volcanic!C342</f>
        <v>0.31469652565628642</v>
      </c>
      <c r="D342" s="41">
        <v>0.2</v>
      </c>
      <c r="E342" s="43">
        <f t="shared" si="82"/>
        <v>-0.2</v>
      </c>
      <c r="F342" s="48">
        <v>1.222E-2</v>
      </c>
      <c r="G342" s="47">
        <f t="shared" si="83"/>
        <v>1.059E-2</v>
      </c>
      <c r="H342" s="43">
        <f>Volcanic!D342</f>
        <v>-0.17</v>
      </c>
      <c r="I342" s="47">
        <f>Volcanic!E342</f>
        <v>1.2829999999999999E-2</v>
      </c>
      <c r="K342" s="47">
        <f t="shared" si="70"/>
        <v>0.31469652565628642</v>
      </c>
      <c r="L342" s="47">
        <f t="shared" si="71"/>
        <v>-0.2</v>
      </c>
      <c r="M342" s="47">
        <f t="shared" si="72"/>
        <v>1.2829999999999999E-2</v>
      </c>
      <c r="O342" s="47">
        <f t="shared" si="73"/>
        <v>0.31469652565628642</v>
      </c>
      <c r="P342" s="47">
        <f t="shared" si="74"/>
        <v>-0.17</v>
      </c>
      <c r="Q342" s="47">
        <f t="shared" si="75"/>
        <v>1.059E-2</v>
      </c>
      <c r="S342" s="47">
        <f t="shared" si="76"/>
        <v>0.31469652565628642</v>
      </c>
      <c r="T342" s="47">
        <f t="shared" si="77"/>
        <v>-0.2</v>
      </c>
      <c r="U342" s="47">
        <f t="shared" si="78"/>
        <v>1.059E-2</v>
      </c>
      <c r="W342" s="47">
        <f t="shared" si="79"/>
        <v>-0.14091124844627945</v>
      </c>
      <c r="X342" s="47">
        <f t="shared" si="80"/>
        <v>-0.1450928099800029</v>
      </c>
      <c r="Y342" s="47">
        <f t="shared" si="81"/>
        <v>-0.14194746276653114</v>
      </c>
      <c r="AP342" s="48">
        <v>0.1134</v>
      </c>
      <c r="AQ342" s="48">
        <v>8.77E-2</v>
      </c>
      <c r="AR342" s="47">
        <f>IF(AP342="","",AP342-($AC$60+$AC$61*Volcanic!C342+$AC$62*Volcanic!D342+$AC$63*Volcanic!E342))</f>
        <v>-0.13070472904926089</v>
      </c>
      <c r="AS342" s="47">
        <f>IF(AQ342="","",AQ342-($AD$60+$AD$61*Volcanic!C342+$AD$62*Volcanic!D342+$AD$63*Volcanic!E342))</f>
        <v>-0.17020188363608674</v>
      </c>
    </row>
    <row r="343" spans="1:45">
      <c r="A343" s="45" t="str">
        <f>Volcanic!A343</f>
        <v>8/1986</v>
      </c>
      <c r="B343" s="43">
        <f>Volcanic!B343</f>
        <v>0.16000000000000014</v>
      </c>
      <c r="C343" s="47">
        <f>Volcanic!C343</f>
        <v>0.30605387521602989</v>
      </c>
      <c r="D343" s="41">
        <v>0.5</v>
      </c>
      <c r="E343" s="43">
        <f t="shared" si="82"/>
        <v>-0.1</v>
      </c>
      <c r="F343" s="48">
        <v>1.2E-2</v>
      </c>
      <c r="G343" s="47">
        <f t="shared" si="83"/>
        <v>1.286E-2</v>
      </c>
      <c r="H343" s="43">
        <f>Volcanic!D343</f>
        <v>-0.09</v>
      </c>
      <c r="I343" s="47">
        <f>Volcanic!E343</f>
        <v>1.519E-2</v>
      </c>
      <c r="K343" s="47">
        <f t="shared" si="70"/>
        <v>0.30605387521602989</v>
      </c>
      <c r="L343" s="47">
        <f t="shared" si="71"/>
        <v>-0.1</v>
      </c>
      <c r="M343" s="47">
        <f t="shared" si="72"/>
        <v>1.519E-2</v>
      </c>
      <c r="O343" s="47">
        <f t="shared" si="73"/>
        <v>0.30605387521602989</v>
      </c>
      <c r="P343" s="47">
        <f t="shared" si="74"/>
        <v>-0.09</v>
      </c>
      <c r="Q343" s="47">
        <f t="shared" si="75"/>
        <v>1.286E-2</v>
      </c>
      <c r="S343" s="47">
        <f t="shared" si="76"/>
        <v>0.30605387521602989</v>
      </c>
      <c r="T343" s="47">
        <f t="shared" si="77"/>
        <v>-0.1</v>
      </c>
      <c r="U343" s="47">
        <f t="shared" si="78"/>
        <v>1.286E-2</v>
      </c>
      <c r="W343" s="47">
        <f t="shared" si="79"/>
        <v>-7.1428451714254548E-2</v>
      </c>
      <c r="X343" s="47">
        <f t="shared" si="80"/>
        <v>-7.3310670885279317E-2</v>
      </c>
      <c r="Y343" s="47">
        <f t="shared" si="81"/>
        <v>-7.2047160748982653E-2</v>
      </c>
      <c r="AP343" s="48">
        <v>0.16289999999999999</v>
      </c>
      <c r="AQ343" s="48">
        <v>0.16669999999999999</v>
      </c>
      <c r="AR343" s="47">
        <f>IF(AP343="","",AP343-($AC$60+$AC$61*Volcanic!C343+$AC$62*Volcanic!D343+$AC$63*Volcanic!E343))</f>
        <v>-5.94180132293185E-2</v>
      </c>
      <c r="AS343" s="47">
        <f>IF(AQ343="","",AQ343-($AD$60+$AD$61*Volcanic!C343+$AD$62*Volcanic!D343+$AD$63*Volcanic!E343))</f>
        <v>-6.9234652905311417E-2</v>
      </c>
    </row>
    <row r="344" spans="1:45">
      <c r="A344" s="45" t="str">
        <f>Volcanic!A344</f>
        <v>9/1986</v>
      </c>
      <c r="B344" s="43">
        <f>Volcanic!B344</f>
        <v>2.9999999999997584E-2</v>
      </c>
      <c r="C344" s="47">
        <f>Volcanic!C344</f>
        <v>0.30317536756489971</v>
      </c>
      <c r="D344" s="41">
        <v>0.6</v>
      </c>
      <c r="E344" s="43">
        <f t="shared" si="82"/>
        <v>0</v>
      </c>
      <c r="F344" s="48">
        <v>1.1379999999999999E-2</v>
      </c>
      <c r="G344" s="47">
        <f t="shared" si="83"/>
        <v>1.372E-2</v>
      </c>
      <c r="H344" s="43">
        <f>Volcanic!D344</f>
        <v>0.02</v>
      </c>
      <c r="I344" s="47">
        <f>Volcanic!E344</f>
        <v>1.5959999999999998E-2</v>
      </c>
      <c r="K344" s="47">
        <f t="shared" si="70"/>
        <v>0.30317536756489971</v>
      </c>
      <c r="L344" s="47">
        <f t="shared" si="71"/>
        <v>0</v>
      </c>
      <c r="M344" s="47">
        <f t="shared" si="72"/>
        <v>1.5959999999999998E-2</v>
      </c>
      <c r="O344" s="47">
        <f t="shared" si="73"/>
        <v>0.30317536756489971</v>
      </c>
      <c r="P344" s="47">
        <f t="shared" si="74"/>
        <v>0.02</v>
      </c>
      <c r="Q344" s="47">
        <f t="shared" si="75"/>
        <v>1.372E-2</v>
      </c>
      <c r="S344" s="47">
        <f t="shared" si="76"/>
        <v>0.30317536756489971</v>
      </c>
      <c r="T344" s="47">
        <f t="shared" si="77"/>
        <v>0</v>
      </c>
      <c r="U344" s="47">
        <f t="shared" si="78"/>
        <v>1.372E-2</v>
      </c>
      <c r="W344" s="47">
        <f t="shared" si="79"/>
        <v>-0.20116894511222572</v>
      </c>
      <c r="X344" s="47">
        <f t="shared" si="80"/>
        <v>-0.20361441201500077</v>
      </c>
      <c r="Y344" s="47">
        <f t="shared" si="81"/>
        <v>-0.20141725453395226</v>
      </c>
      <c r="AP344" s="48">
        <v>9.6000000000000002E-2</v>
      </c>
      <c r="AQ344" s="48">
        <v>7.7700000000000005E-2</v>
      </c>
      <c r="AR344" s="47">
        <f>IF(AP344="","",AP344-($AC$60+$AC$61*Volcanic!C344+$AC$62*Volcanic!D344+$AC$63*Volcanic!E344))</f>
        <v>-0.12690612385223432</v>
      </c>
      <c r="AS344" s="47">
        <f>IF(AQ344="","",AQ344-($AD$60+$AD$61*Volcanic!C344+$AD$62*Volcanic!D344+$AD$63*Volcanic!E344))</f>
        <v>-0.15892076387838433</v>
      </c>
    </row>
    <row r="345" spans="1:45">
      <c r="A345" s="45" t="str">
        <f>Volcanic!A345</f>
        <v>10/1986</v>
      </c>
      <c r="B345" s="43">
        <f>Volcanic!B345</f>
        <v>0.14999999999999858</v>
      </c>
      <c r="C345" s="47">
        <f>Volcanic!C345</f>
        <v>0.30041662783687401</v>
      </c>
      <c r="D345" s="41">
        <v>0.9</v>
      </c>
      <c r="E345" s="43">
        <f t="shared" si="82"/>
        <v>0.2</v>
      </c>
      <c r="F345" s="48">
        <v>1.124E-2</v>
      </c>
      <c r="G345" s="47">
        <f t="shared" si="83"/>
        <v>1.312E-2</v>
      </c>
      <c r="H345" s="43">
        <f>Volcanic!D345</f>
        <v>0.24</v>
      </c>
      <c r="I345" s="47">
        <f>Volcanic!E345</f>
        <v>1.5440000000000001E-2</v>
      </c>
      <c r="K345" s="47">
        <f t="shared" si="70"/>
        <v>0.30041662783687401</v>
      </c>
      <c r="L345" s="47">
        <f t="shared" si="71"/>
        <v>0.2</v>
      </c>
      <c r="M345" s="47">
        <f t="shared" si="72"/>
        <v>1.5440000000000001E-2</v>
      </c>
      <c r="O345" s="47">
        <f t="shared" si="73"/>
        <v>0.30041662783687401</v>
      </c>
      <c r="P345" s="47">
        <f t="shared" si="74"/>
        <v>0.24</v>
      </c>
      <c r="Q345" s="47">
        <f t="shared" si="75"/>
        <v>1.312E-2</v>
      </c>
      <c r="S345" s="47">
        <f t="shared" si="76"/>
        <v>0.30041662783687401</v>
      </c>
      <c r="T345" s="47">
        <f t="shared" si="77"/>
        <v>0.2</v>
      </c>
      <c r="U345" s="47">
        <f t="shared" si="78"/>
        <v>1.312E-2</v>
      </c>
      <c r="W345" s="47">
        <f t="shared" si="79"/>
        <v>-9.3365942428546067E-2</v>
      </c>
      <c r="X345" s="47">
        <f t="shared" si="80"/>
        <v>-9.8389553634659899E-2</v>
      </c>
      <c r="Y345" s="47">
        <f t="shared" si="81"/>
        <v>-9.4331344758194269E-2</v>
      </c>
      <c r="AP345" s="48">
        <v>0.12509999999999999</v>
      </c>
      <c r="AQ345" s="48">
        <v>0.1447</v>
      </c>
      <c r="AR345" s="47">
        <f>IF(AP345="","",AP345-($AC$60+$AC$61*Volcanic!C345+$AC$62*Volcanic!D345+$AC$63*Volcanic!E345))</f>
        <v>-0.11212623323207174</v>
      </c>
      <c r="AS345" s="47">
        <f>IF(AQ345="","",AQ345-($AD$60+$AD$61*Volcanic!C345+$AD$62*Volcanic!D345+$AD$63*Volcanic!E345))</f>
        <v>-0.10640896737575245</v>
      </c>
    </row>
    <row r="346" spans="1:45">
      <c r="A346" s="45" t="str">
        <f>Volcanic!A346</f>
        <v>11/1986</v>
      </c>
      <c r="B346" s="43">
        <f>Volcanic!B346</f>
        <v>9.9999999999997868E-2</v>
      </c>
      <c r="C346" s="47">
        <f>Volcanic!C346</f>
        <v>0.30626223972785099</v>
      </c>
      <c r="D346" s="41">
        <v>1.1000000000000001</v>
      </c>
      <c r="E346" s="43">
        <f t="shared" si="82"/>
        <v>0.5</v>
      </c>
      <c r="F346" s="48">
        <v>1.102E-2</v>
      </c>
      <c r="G346" s="47">
        <f t="shared" si="83"/>
        <v>1.2869999999999999E-2</v>
      </c>
      <c r="H346" s="43">
        <f>Volcanic!D346</f>
        <v>0.46</v>
      </c>
      <c r="I346" s="47">
        <f>Volcanic!E346</f>
        <v>1.507E-2</v>
      </c>
      <c r="K346" s="47">
        <f t="shared" si="70"/>
        <v>0.30626223972785099</v>
      </c>
      <c r="L346" s="47">
        <f t="shared" si="71"/>
        <v>0.5</v>
      </c>
      <c r="M346" s="47">
        <f t="shared" si="72"/>
        <v>1.507E-2</v>
      </c>
      <c r="O346" s="47">
        <f t="shared" si="73"/>
        <v>0.30626223972785099</v>
      </c>
      <c r="P346" s="47">
        <f t="shared" si="74"/>
        <v>0.46</v>
      </c>
      <c r="Q346" s="47">
        <f t="shared" si="75"/>
        <v>1.2869999999999999E-2</v>
      </c>
      <c r="S346" s="47">
        <f t="shared" si="76"/>
        <v>0.30626223972785099</v>
      </c>
      <c r="T346" s="47">
        <f t="shared" si="77"/>
        <v>0.5</v>
      </c>
      <c r="U346" s="47">
        <f t="shared" si="78"/>
        <v>1.2869999999999999E-2</v>
      </c>
      <c r="W346" s="47">
        <f t="shared" si="79"/>
        <v>-0.18798510495020093</v>
      </c>
      <c r="X346" s="47">
        <f t="shared" si="80"/>
        <v>-0.18551277433024788</v>
      </c>
      <c r="Y346" s="47">
        <f t="shared" si="81"/>
        <v>-0.18899094274024131</v>
      </c>
      <c r="AP346" s="48">
        <v>0.11169999999999999</v>
      </c>
      <c r="AQ346" s="48">
        <v>6.6699999999999995E-2</v>
      </c>
      <c r="AR346" s="47">
        <f>IF(AP346="","",AP346-($AC$60+$AC$61*Volcanic!C346+$AC$62*Volcanic!D346+$AC$63*Volcanic!E346))</f>
        <v>-0.16298052474852207</v>
      </c>
      <c r="AS346" s="47">
        <f>IF(AQ346="","",AQ346-($AD$60+$AD$61*Volcanic!C346+$AD$62*Volcanic!D346+$AD$63*Volcanic!E346))</f>
        <v>-0.2226534838330681</v>
      </c>
    </row>
    <row r="347" spans="1:45">
      <c r="A347" s="45" t="str">
        <f>Volcanic!A347</f>
        <v>12/1986</v>
      </c>
      <c r="B347" s="43">
        <f>Volcanic!B347</f>
        <v>0.12999999999999901</v>
      </c>
      <c r="C347" s="47">
        <f>Volcanic!C347</f>
        <v>0.31150311546826975</v>
      </c>
      <c r="D347" s="41">
        <v>1.2</v>
      </c>
      <c r="E347" s="43">
        <f t="shared" si="82"/>
        <v>0.6</v>
      </c>
      <c r="F347" s="48">
        <v>1.0500000000000001E-2</v>
      </c>
      <c r="G347" s="47">
        <f t="shared" si="83"/>
        <v>1.2970000000000001E-2</v>
      </c>
      <c r="H347" s="43">
        <f>Volcanic!D347</f>
        <v>0.64</v>
      </c>
      <c r="I347" s="47">
        <f>Volcanic!E347</f>
        <v>1.4999999999999999E-2</v>
      </c>
      <c r="K347" s="47">
        <f t="shared" si="70"/>
        <v>0.31150311546826975</v>
      </c>
      <c r="L347" s="47">
        <f t="shared" si="71"/>
        <v>0.6</v>
      </c>
      <c r="M347" s="47">
        <f t="shared" si="72"/>
        <v>1.4999999999999999E-2</v>
      </c>
      <c r="O347" s="47">
        <f t="shared" si="73"/>
        <v>0.31150311546826975</v>
      </c>
      <c r="P347" s="47">
        <f t="shared" si="74"/>
        <v>0.64</v>
      </c>
      <c r="Q347" s="47">
        <f t="shared" si="75"/>
        <v>1.2970000000000001E-2</v>
      </c>
      <c r="S347" s="47">
        <f t="shared" si="76"/>
        <v>0.31150311546826975</v>
      </c>
      <c r="T347" s="47">
        <f t="shared" si="77"/>
        <v>0.6</v>
      </c>
      <c r="U347" s="47">
        <f t="shared" si="78"/>
        <v>1.2970000000000001E-2</v>
      </c>
      <c r="W347" s="47">
        <f t="shared" si="79"/>
        <v>-0.18171934047673954</v>
      </c>
      <c r="X347" s="47">
        <f t="shared" si="80"/>
        <v>-0.18632913257528433</v>
      </c>
      <c r="Y347" s="47">
        <f t="shared" si="81"/>
        <v>-0.1822980053719927</v>
      </c>
      <c r="AP347" s="48">
        <v>0.1011</v>
      </c>
      <c r="AQ347" s="48">
        <v>0.1757</v>
      </c>
      <c r="AR347" s="47">
        <f>IF(AP347="","",AP347-($AC$60+$AC$61*Volcanic!C347+$AC$62*Volcanic!D347+$AC$63*Volcanic!E347))</f>
        <v>-0.20491585470433968</v>
      </c>
      <c r="AS347" s="47">
        <f>IF(AQ347="","",AQ347-($AD$60+$AD$61*Volcanic!C347+$AD$62*Volcanic!D347+$AD$63*Volcanic!E347))</f>
        <v>-0.14569451919913315</v>
      </c>
    </row>
    <row r="348" spans="1:45">
      <c r="A348" s="45" t="str">
        <f>Volcanic!A348</f>
        <v>1/1987</v>
      </c>
      <c r="B348" s="43">
        <f>Volcanic!B348</f>
        <v>0.32000000000000028</v>
      </c>
      <c r="C348" s="47">
        <f>Volcanic!C348</f>
        <v>0.31668365219967981</v>
      </c>
      <c r="D348" s="41">
        <v>1.2</v>
      </c>
      <c r="E348" s="43">
        <f t="shared" si="82"/>
        <v>0.9</v>
      </c>
      <c r="F348" s="48">
        <v>1.0070000000000001E-2</v>
      </c>
      <c r="G348" s="47">
        <f t="shared" si="83"/>
        <v>1.2279999999999999E-2</v>
      </c>
      <c r="H348" s="43">
        <f>Volcanic!D348</f>
        <v>0.86</v>
      </c>
      <c r="I348" s="47">
        <f>Volcanic!E348</f>
        <v>1.4019999999999999E-2</v>
      </c>
      <c r="K348" s="47">
        <f t="shared" si="70"/>
        <v>0.31668365219967981</v>
      </c>
      <c r="L348" s="47">
        <f t="shared" si="71"/>
        <v>0.9</v>
      </c>
      <c r="M348" s="47">
        <f t="shared" si="72"/>
        <v>1.4019999999999999E-2</v>
      </c>
      <c r="O348" s="47">
        <f t="shared" si="73"/>
        <v>0.31668365219967981</v>
      </c>
      <c r="P348" s="47">
        <f t="shared" si="74"/>
        <v>0.86</v>
      </c>
      <c r="Q348" s="47">
        <f t="shared" si="75"/>
        <v>1.2279999999999999E-2</v>
      </c>
      <c r="S348" s="47">
        <f t="shared" si="76"/>
        <v>0.31668365219967981</v>
      </c>
      <c r="T348" s="47">
        <f t="shared" si="77"/>
        <v>0.9</v>
      </c>
      <c r="U348" s="47">
        <f t="shared" si="78"/>
        <v>1.2279999999999999E-2</v>
      </c>
      <c r="W348" s="47">
        <f t="shared" si="79"/>
        <v>-3.5868893159597015E-2</v>
      </c>
      <c r="X348" s="47">
        <f t="shared" si="80"/>
        <v>-3.2803881171196314E-2</v>
      </c>
      <c r="Y348" s="47">
        <f t="shared" si="81"/>
        <v>-3.6310688805575086E-2</v>
      </c>
      <c r="AP348" s="48">
        <v>0.28820000000000001</v>
      </c>
      <c r="AQ348" s="48">
        <v>0.34670000000000001</v>
      </c>
      <c r="AR348" s="47">
        <f>IF(AP348="","",AP348-($AC$60+$AC$61*Volcanic!C348+$AC$62*Volcanic!D348+$AC$63*Volcanic!E348))</f>
        <v>-5.4921868778773753E-2</v>
      </c>
      <c r="AS348" s="47">
        <f>IF(AQ348="","",AQ348-($AD$60+$AD$61*Volcanic!C348+$AD$62*Volcanic!D348+$AD$63*Volcanic!E348))</f>
        <v>-1.2473348536423512E-2</v>
      </c>
    </row>
    <row r="349" spans="1:45">
      <c r="A349" s="45" t="str">
        <f>Volcanic!A349</f>
        <v>2/1987</v>
      </c>
      <c r="B349" s="43">
        <f>Volcanic!B349</f>
        <v>0.42999999999999972</v>
      </c>
      <c r="C349" s="47">
        <f>Volcanic!C349</f>
        <v>0.31746946762158468</v>
      </c>
      <c r="D349" s="41">
        <v>1.1000000000000001</v>
      </c>
      <c r="E349" s="43">
        <f t="shared" si="82"/>
        <v>1.1000000000000001</v>
      </c>
      <c r="F349" s="48">
        <v>9.4500000000000001E-3</v>
      </c>
      <c r="G349" s="47">
        <f t="shared" si="83"/>
        <v>1.222E-2</v>
      </c>
      <c r="H349" s="43">
        <f>Volcanic!D349</f>
        <v>1.06</v>
      </c>
      <c r="I349" s="47">
        <f>Volcanic!E349</f>
        <v>1.3820000000000001E-2</v>
      </c>
      <c r="K349" s="47">
        <f t="shared" si="70"/>
        <v>0.31746946762158468</v>
      </c>
      <c r="L349" s="47">
        <f t="shared" si="71"/>
        <v>1.1000000000000001</v>
      </c>
      <c r="M349" s="47">
        <f t="shared" si="72"/>
        <v>1.3820000000000001E-2</v>
      </c>
      <c r="O349" s="47">
        <f t="shared" si="73"/>
        <v>0.31746946762158468</v>
      </c>
      <c r="P349" s="47">
        <f t="shared" si="74"/>
        <v>1.06</v>
      </c>
      <c r="Q349" s="47">
        <f t="shared" si="75"/>
        <v>1.222E-2</v>
      </c>
      <c r="S349" s="47">
        <f t="shared" si="76"/>
        <v>0.31746946762158468</v>
      </c>
      <c r="T349" s="47">
        <f t="shared" si="77"/>
        <v>1.1000000000000001</v>
      </c>
      <c r="U349" s="47">
        <f t="shared" si="78"/>
        <v>1.222E-2</v>
      </c>
      <c r="W349" s="47">
        <f t="shared" si="79"/>
        <v>5.2972701908596265E-2</v>
      </c>
      <c r="X349" s="47">
        <f t="shared" si="80"/>
        <v>5.6127603041581375E-2</v>
      </c>
      <c r="Y349" s="47">
        <f t="shared" si="81"/>
        <v>5.2605860604088894E-2</v>
      </c>
      <c r="AP349" s="48">
        <v>0.3886</v>
      </c>
      <c r="AQ349" s="48">
        <v>0.39069999999999999</v>
      </c>
      <c r="AR349" s="47">
        <f>IF(AP349="","",AP349-($AC$60+$AC$61*Volcanic!C349+$AC$62*Volcanic!D349+$AC$63*Volcanic!E349))</f>
        <v>2.4122116971928842E-2</v>
      </c>
      <c r="AS349" s="47">
        <f>IF(AQ349="","",AQ349-($AD$60+$AD$61*Volcanic!C349+$AD$62*Volcanic!D349+$AD$63*Volcanic!E349))</f>
        <v>9.754729518909655E-3</v>
      </c>
    </row>
    <row r="350" spans="1:45">
      <c r="A350" s="45" t="str">
        <f>Volcanic!A350</f>
        <v>3/1987</v>
      </c>
      <c r="B350" s="43">
        <f>Volcanic!B350</f>
        <v>0.17999999999999972</v>
      </c>
      <c r="C350" s="47">
        <f>Volcanic!C350</f>
        <v>0.32114470492578934</v>
      </c>
      <c r="D350" s="41">
        <v>1</v>
      </c>
      <c r="E350" s="43">
        <f t="shared" si="82"/>
        <v>1.2</v>
      </c>
      <c r="F350" s="48">
        <v>9.0500000000000008E-3</v>
      </c>
      <c r="G350" s="47">
        <f t="shared" si="83"/>
        <v>1.2E-2</v>
      </c>
      <c r="H350" s="43">
        <f>Volcanic!D350</f>
        <v>1.21</v>
      </c>
      <c r="I350" s="47">
        <f>Volcanic!E350</f>
        <v>1.3639999999999999E-2</v>
      </c>
      <c r="K350" s="47">
        <f t="shared" si="70"/>
        <v>0.32114470492578934</v>
      </c>
      <c r="L350" s="47">
        <f t="shared" si="71"/>
        <v>1.2</v>
      </c>
      <c r="M350" s="47">
        <f t="shared" si="72"/>
        <v>1.3639999999999999E-2</v>
      </c>
      <c r="O350" s="47">
        <f t="shared" si="73"/>
        <v>0.32114470492578934</v>
      </c>
      <c r="P350" s="47">
        <f t="shared" si="74"/>
        <v>1.21</v>
      </c>
      <c r="Q350" s="47">
        <f t="shared" si="75"/>
        <v>1.2E-2</v>
      </c>
      <c r="S350" s="47">
        <f t="shared" si="76"/>
        <v>0.32114470492578934</v>
      </c>
      <c r="T350" s="47">
        <f t="shared" si="77"/>
        <v>1.2</v>
      </c>
      <c r="U350" s="47">
        <f t="shared" si="78"/>
        <v>1.2E-2</v>
      </c>
      <c r="W350" s="47">
        <f t="shared" si="79"/>
        <v>-0.21673418960541796</v>
      </c>
      <c r="X350" s="47">
        <f t="shared" si="80"/>
        <v>-0.21847392356702816</v>
      </c>
      <c r="Y350" s="47">
        <f t="shared" si="81"/>
        <v>-0.21730591620462253</v>
      </c>
      <c r="AP350" s="48">
        <v>0.17380000000000001</v>
      </c>
      <c r="AQ350" s="48">
        <v>0.2097</v>
      </c>
      <c r="AR350" s="47">
        <f>IF(AP350="","",AP350-($AC$60+$AC$61*Volcanic!C350+$AC$62*Volcanic!D350+$AC$63*Volcanic!E350))</f>
        <v>-0.21519339699176615</v>
      </c>
      <c r="AS350" s="47">
        <f>IF(AQ350="","",AQ350-($AD$60+$AD$61*Volcanic!C350+$AD$62*Volcanic!D350+$AD$63*Volcanic!E350))</f>
        <v>-0.19628612969651266</v>
      </c>
    </row>
    <row r="351" spans="1:45">
      <c r="A351" s="45" t="str">
        <f>Volcanic!A351</f>
        <v>4/1987</v>
      </c>
      <c r="B351" s="43">
        <f>Volcanic!B351</f>
        <v>0.24000000000000199</v>
      </c>
      <c r="C351" s="47">
        <f>Volcanic!C351</f>
        <v>0.32768736417604716</v>
      </c>
      <c r="D351" s="41">
        <v>0.9</v>
      </c>
      <c r="E351" s="43">
        <f t="shared" si="82"/>
        <v>1.2</v>
      </c>
      <c r="F351" s="48">
        <v>8.8900000000000003E-3</v>
      </c>
      <c r="G351" s="47">
        <f t="shared" si="83"/>
        <v>1.1379999999999999E-2</v>
      </c>
      <c r="H351" s="43">
        <f>Volcanic!D351</f>
        <v>1.18</v>
      </c>
      <c r="I351" s="47">
        <f>Volcanic!E351</f>
        <v>1.3050000000000001E-2</v>
      </c>
      <c r="K351" s="47">
        <f t="shared" si="70"/>
        <v>0.32768736417604716</v>
      </c>
      <c r="L351" s="47">
        <f t="shared" si="71"/>
        <v>1.2</v>
      </c>
      <c r="M351" s="47">
        <f t="shared" si="72"/>
        <v>1.3050000000000001E-2</v>
      </c>
      <c r="O351" s="47">
        <f t="shared" si="73"/>
        <v>0.32768736417604716</v>
      </c>
      <c r="P351" s="47">
        <f t="shared" si="74"/>
        <v>1.18</v>
      </c>
      <c r="Q351" s="47">
        <f t="shared" si="75"/>
        <v>1.1379999999999999E-2</v>
      </c>
      <c r="S351" s="47">
        <f t="shared" si="76"/>
        <v>0.32768736417604716</v>
      </c>
      <c r="T351" s="47">
        <f t="shared" si="77"/>
        <v>1.2</v>
      </c>
      <c r="U351" s="47">
        <f t="shared" si="78"/>
        <v>1.1379999999999999E-2</v>
      </c>
      <c r="W351" s="47">
        <f t="shared" si="79"/>
        <v>-0.17587708632458732</v>
      </c>
      <c r="X351" s="47">
        <f t="shared" si="80"/>
        <v>-0.17496433907614128</v>
      </c>
      <c r="Y351" s="47">
        <f t="shared" si="81"/>
        <v>-0.17661434762014194</v>
      </c>
      <c r="AP351" s="48">
        <v>0.2601</v>
      </c>
      <c r="AQ351" s="48">
        <v>0.28570000000000001</v>
      </c>
      <c r="AR351" s="47">
        <f>IF(AP351="","",AP351-($AC$60+$AC$61*Volcanic!C351+$AC$62*Volcanic!D351+$AC$63*Volcanic!E351))</f>
        <v>-0.14536914043057547</v>
      </c>
      <c r="AS351" s="47">
        <f>IF(AQ351="","",AQ351-($AD$60+$AD$61*Volcanic!C351+$AD$62*Volcanic!D351+$AD$63*Volcanic!E351))</f>
        <v>-0.13709579683844064</v>
      </c>
    </row>
    <row r="352" spans="1:45">
      <c r="A352" s="45" t="str">
        <f>Volcanic!A352</f>
        <v>5/1987</v>
      </c>
      <c r="B352" s="43">
        <f>Volcanic!B352</f>
        <v>0.25999999999999979</v>
      </c>
      <c r="C352" s="47">
        <f>Volcanic!C352</f>
        <v>0.33076325555700942</v>
      </c>
      <c r="D352" s="41">
        <v>1</v>
      </c>
      <c r="E352" s="43">
        <f t="shared" si="82"/>
        <v>1.1000000000000001</v>
      </c>
      <c r="F352" s="48">
        <v>8.7200000000000003E-3</v>
      </c>
      <c r="G352" s="47">
        <f t="shared" si="83"/>
        <v>1.124E-2</v>
      </c>
      <c r="H352" s="43">
        <f>Volcanic!D352</f>
        <v>1.1299999999999999</v>
      </c>
      <c r="I352" s="47">
        <f>Volcanic!E352</f>
        <v>1.2919999999999999E-2</v>
      </c>
      <c r="K352" s="47">
        <f t="shared" si="70"/>
        <v>0.33076325555700942</v>
      </c>
      <c r="L352" s="47">
        <f t="shared" si="71"/>
        <v>1.1000000000000001</v>
      </c>
      <c r="M352" s="47">
        <f t="shared" si="72"/>
        <v>1.2919999999999999E-2</v>
      </c>
      <c r="O352" s="47">
        <f t="shared" si="73"/>
        <v>0.33076325555700942</v>
      </c>
      <c r="P352" s="47">
        <f t="shared" si="74"/>
        <v>1.1299999999999999</v>
      </c>
      <c r="Q352" s="47">
        <f t="shared" si="75"/>
        <v>1.124E-2</v>
      </c>
      <c r="S352" s="47">
        <f t="shared" si="76"/>
        <v>0.33076325555700942</v>
      </c>
      <c r="T352" s="47">
        <f t="shared" si="77"/>
        <v>1.1000000000000001</v>
      </c>
      <c r="U352" s="47">
        <f t="shared" si="78"/>
        <v>1.124E-2</v>
      </c>
      <c r="W352" s="47">
        <f t="shared" si="79"/>
        <v>-0.15526463206188157</v>
      </c>
      <c r="X352" s="47">
        <f t="shared" si="80"/>
        <v>-0.1589492298305385</v>
      </c>
      <c r="Y352" s="47">
        <f t="shared" si="81"/>
        <v>-0.15589443567606809</v>
      </c>
      <c r="AP352" s="48">
        <v>0.23710000000000001</v>
      </c>
      <c r="AQ352" s="48">
        <v>0.30769999999999997</v>
      </c>
      <c r="AR352" s="47">
        <f>IF(AP352="","",AP352-($AC$60+$AC$61*Volcanic!C352+$AC$62*Volcanic!D352+$AC$63*Volcanic!E352))</f>
        <v>-0.17239874530973678</v>
      </c>
      <c r="AS352" s="47">
        <f>IF(AQ352="","",AQ352-($AD$60+$AD$61*Volcanic!C352+$AD$62*Volcanic!D352+$AD$63*Volcanic!E352))</f>
        <v>-0.11923056856581715</v>
      </c>
    </row>
    <row r="353" spans="1:45">
      <c r="A353" s="45" t="str">
        <f>Volcanic!A353</f>
        <v>6/1987</v>
      </c>
      <c r="B353" s="43">
        <f>Volcanic!B353</f>
        <v>0.34999999999999787</v>
      </c>
      <c r="C353" s="47">
        <f>Volcanic!C353</f>
        <v>0.32842617641262656</v>
      </c>
      <c r="D353" s="41">
        <v>1.1000000000000001</v>
      </c>
      <c r="E353" s="43">
        <f t="shared" si="82"/>
        <v>1</v>
      </c>
      <c r="F353" s="48">
        <v>8.6700000000000006E-3</v>
      </c>
      <c r="G353" s="47">
        <f t="shared" si="83"/>
        <v>1.102E-2</v>
      </c>
      <c r="H353" s="43">
        <f>Volcanic!D353</f>
        <v>1.02</v>
      </c>
      <c r="I353" s="47">
        <f>Volcanic!E353</f>
        <v>1.264E-2</v>
      </c>
      <c r="K353" s="47">
        <f t="shared" si="70"/>
        <v>0.32842617641262656</v>
      </c>
      <c r="L353" s="47">
        <f t="shared" si="71"/>
        <v>1</v>
      </c>
      <c r="M353" s="47">
        <f t="shared" si="72"/>
        <v>1.264E-2</v>
      </c>
      <c r="O353" s="47">
        <f t="shared" si="73"/>
        <v>0.32842617641262656</v>
      </c>
      <c r="P353" s="47">
        <f t="shared" si="74"/>
        <v>1.02</v>
      </c>
      <c r="Q353" s="47">
        <f t="shared" si="75"/>
        <v>1.102E-2</v>
      </c>
      <c r="S353" s="47">
        <f t="shared" si="76"/>
        <v>0.32842617641262656</v>
      </c>
      <c r="T353" s="47">
        <f t="shared" si="77"/>
        <v>1</v>
      </c>
      <c r="U353" s="47">
        <f t="shared" si="78"/>
        <v>1.102E-2</v>
      </c>
      <c r="W353" s="47">
        <f t="shared" si="79"/>
        <v>-5.022072085888124E-2</v>
      </c>
      <c r="X353" s="47">
        <f t="shared" si="80"/>
        <v>-5.2872577546050792E-2</v>
      </c>
      <c r="Y353" s="47">
        <f t="shared" si="81"/>
        <v>-5.0751036957747964E-2</v>
      </c>
      <c r="AP353" s="48">
        <v>0.3357</v>
      </c>
      <c r="AQ353" s="48">
        <v>0.37069999999999997</v>
      </c>
      <c r="AR353" s="47">
        <f>IF(AP353="","",AP353-($AC$60+$AC$61*Volcanic!C353+$AC$62*Volcanic!D353+$AC$63*Volcanic!E353))</f>
        <v>-5.7789873027026095E-2</v>
      </c>
      <c r="AS353" s="47">
        <f>IF(AQ353="","",AQ353-($AD$60+$AD$61*Volcanic!C353+$AD$62*Volcanic!D353+$AD$63*Volcanic!E353))</f>
        <v>-3.9813883796237903E-2</v>
      </c>
    </row>
    <row r="354" spans="1:45">
      <c r="A354" s="45" t="str">
        <f>Volcanic!A354</f>
        <v>7/1987</v>
      </c>
      <c r="B354" s="43">
        <f>Volcanic!B354</f>
        <v>0.40000000000000213</v>
      </c>
      <c r="C354" s="47">
        <f>Volcanic!C354</f>
        <v>0.32279345233061574</v>
      </c>
      <c r="D354" s="41">
        <v>1.3</v>
      </c>
      <c r="E354" s="43">
        <f t="shared" si="82"/>
        <v>0.9</v>
      </c>
      <c r="F354" s="48">
        <v>8.4899999999999993E-3</v>
      </c>
      <c r="G354" s="47">
        <f t="shared" si="83"/>
        <v>1.0500000000000001E-2</v>
      </c>
      <c r="H354" s="43">
        <f>Volcanic!D354</f>
        <v>0.94</v>
      </c>
      <c r="I354" s="47">
        <f>Volcanic!E354</f>
        <v>1.243E-2</v>
      </c>
      <c r="K354" s="47">
        <f t="shared" si="70"/>
        <v>0.32279345233061574</v>
      </c>
      <c r="L354" s="47">
        <f t="shared" si="71"/>
        <v>0.9</v>
      </c>
      <c r="M354" s="47">
        <f t="shared" si="72"/>
        <v>1.243E-2</v>
      </c>
      <c r="O354" s="47">
        <f t="shared" si="73"/>
        <v>0.32279345233061574</v>
      </c>
      <c r="P354" s="47">
        <f t="shared" si="74"/>
        <v>0.94</v>
      </c>
      <c r="Q354" s="47">
        <f t="shared" si="75"/>
        <v>1.0500000000000001E-2</v>
      </c>
      <c r="S354" s="47">
        <f t="shared" si="76"/>
        <v>0.32279345233061574</v>
      </c>
      <c r="T354" s="47">
        <f t="shared" si="77"/>
        <v>0.9</v>
      </c>
      <c r="U354" s="47">
        <f t="shared" si="78"/>
        <v>1.0500000000000001E-2</v>
      </c>
      <c r="W354" s="47">
        <f t="shared" si="79"/>
        <v>2.3965157091066669E-2</v>
      </c>
      <c r="X354" s="47">
        <f t="shared" si="80"/>
        <v>1.8512199237864291E-2</v>
      </c>
      <c r="Y354" s="47">
        <f t="shared" si="81"/>
        <v>2.2516649402157751E-2</v>
      </c>
      <c r="AP354" s="48">
        <v>0.41810000000000003</v>
      </c>
      <c r="AQ354" s="48">
        <v>0.42570000000000002</v>
      </c>
      <c r="AR354" s="47">
        <f>IF(AP354="","",AP354-($AC$60+$AC$61*Volcanic!C354+$AC$62*Volcanic!D354+$AC$63*Volcanic!E354))</f>
        <v>4.69771949826428E-2</v>
      </c>
      <c r="AS354" s="47">
        <f>IF(AQ354="","",AQ354-($AD$60+$AD$61*Volcanic!C354+$AD$62*Volcanic!D354+$AD$63*Volcanic!E354))</f>
        <v>3.8126944100219884E-2</v>
      </c>
    </row>
    <row r="355" spans="1:45">
      <c r="A355" s="45" t="str">
        <f>Volcanic!A355</f>
        <v>8/1987</v>
      </c>
      <c r="B355" s="43">
        <f>Volcanic!B355</f>
        <v>0.25000000000000355</v>
      </c>
      <c r="C355" s="47">
        <f>Volcanic!C355</f>
        <v>0.31448937581877229</v>
      </c>
      <c r="D355" s="41">
        <v>1.5</v>
      </c>
      <c r="E355" s="43">
        <f t="shared" si="82"/>
        <v>1</v>
      </c>
      <c r="F355" s="48">
        <v>8.3099999999999997E-3</v>
      </c>
      <c r="G355" s="47">
        <f t="shared" si="83"/>
        <v>1.0070000000000001E-2</v>
      </c>
      <c r="H355" s="43">
        <f>Volcanic!D355</f>
        <v>0.95</v>
      </c>
      <c r="I355" s="47">
        <f>Volcanic!E355</f>
        <v>1.2070000000000001E-2</v>
      </c>
      <c r="K355" s="47">
        <f t="shared" si="70"/>
        <v>0.31448937581877229</v>
      </c>
      <c r="L355" s="47">
        <f t="shared" si="71"/>
        <v>1</v>
      </c>
      <c r="M355" s="47">
        <f t="shared" si="72"/>
        <v>1.2070000000000001E-2</v>
      </c>
      <c r="O355" s="47">
        <f t="shared" si="73"/>
        <v>0.31448937581877229</v>
      </c>
      <c r="P355" s="47">
        <f t="shared" si="74"/>
        <v>0.95</v>
      </c>
      <c r="Q355" s="47">
        <f t="shared" si="75"/>
        <v>1.0070000000000001E-2</v>
      </c>
      <c r="S355" s="47">
        <f t="shared" si="76"/>
        <v>0.31448937581877229</v>
      </c>
      <c r="T355" s="47">
        <f t="shared" si="77"/>
        <v>1</v>
      </c>
      <c r="U355" s="47">
        <f t="shared" si="78"/>
        <v>1.0070000000000001E-2</v>
      </c>
      <c r="W355" s="47">
        <f t="shared" si="79"/>
        <v>-0.11346897633590142</v>
      </c>
      <c r="X355" s="47">
        <f t="shared" si="80"/>
        <v>-0.11109992110728995</v>
      </c>
      <c r="Y355" s="47">
        <f t="shared" si="81"/>
        <v>-0.11556106062084431</v>
      </c>
      <c r="AP355" s="48">
        <v>0.28289999999999998</v>
      </c>
      <c r="AQ355" s="48">
        <v>0.30470000000000003</v>
      </c>
      <c r="AR355" s="47">
        <f>IF(AP355="","",AP355-($AC$60+$AC$61*Volcanic!C355+$AC$62*Volcanic!D355+$AC$63*Volcanic!E355))</f>
        <v>-6.7350309590255009E-2</v>
      </c>
      <c r="AS355" s="47">
        <f>IF(AQ355="","",AQ355-($AD$60+$AD$61*Volcanic!C355+$AD$62*Volcanic!D355+$AD$63*Volcanic!E355))</f>
        <v>-6.1394399358501661E-2</v>
      </c>
    </row>
    <row r="356" spans="1:45">
      <c r="A356" s="45" t="str">
        <f>Volcanic!A356</f>
        <v>9/1987</v>
      </c>
      <c r="B356" s="43">
        <f>Volcanic!B356</f>
        <v>0.34999999999999787</v>
      </c>
      <c r="C356" s="47">
        <f>Volcanic!C356</f>
        <v>0.30809455096015637</v>
      </c>
      <c r="D356" s="41">
        <v>1.5</v>
      </c>
      <c r="E356" s="43">
        <f t="shared" si="82"/>
        <v>1.1000000000000001</v>
      </c>
      <c r="F356" s="48">
        <v>8.1200000000000005E-3</v>
      </c>
      <c r="G356" s="47">
        <f t="shared" si="83"/>
        <v>9.4500000000000001E-3</v>
      </c>
      <c r="H356" s="43">
        <f>Volcanic!D356</f>
        <v>1.1100000000000001</v>
      </c>
      <c r="I356" s="47">
        <f>Volcanic!E356</f>
        <v>1.136E-2</v>
      </c>
      <c r="K356" s="47">
        <f t="shared" si="70"/>
        <v>0.30809455096015637</v>
      </c>
      <c r="L356" s="47">
        <f t="shared" si="71"/>
        <v>1.1000000000000001</v>
      </c>
      <c r="M356" s="47">
        <f t="shared" si="72"/>
        <v>1.136E-2</v>
      </c>
      <c r="O356" s="47">
        <f t="shared" si="73"/>
        <v>0.30809455096015637</v>
      </c>
      <c r="P356" s="47">
        <f t="shared" si="74"/>
        <v>1.1100000000000001</v>
      </c>
      <c r="Q356" s="47">
        <f t="shared" si="75"/>
        <v>9.4500000000000001E-3</v>
      </c>
      <c r="S356" s="47">
        <f t="shared" si="76"/>
        <v>0.30809455096015637</v>
      </c>
      <c r="T356" s="47">
        <f t="shared" si="77"/>
        <v>1.1000000000000001</v>
      </c>
      <c r="U356" s="47">
        <f t="shared" si="78"/>
        <v>9.4500000000000001E-3</v>
      </c>
      <c r="W356" s="47">
        <f t="shared" si="79"/>
        <v>-6.881160271243969E-3</v>
      </c>
      <c r="X356" s="47">
        <f t="shared" si="80"/>
        <v>-1.0460704182127245E-2</v>
      </c>
      <c r="Y356" s="47">
        <f t="shared" si="81"/>
        <v>-9.2970134583212349E-3</v>
      </c>
      <c r="AP356" s="48">
        <v>0.33479999999999999</v>
      </c>
      <c r="AQ356" s="48">
        <v>0.3367</v>
      </c>
      <c r="AR356" s="47">
        <f>IF(AP356="","",AP356-($AC$60+$AC$61*Volcanic!C356+$AC$62*Volcanic!D356+$AC$63*Volcanic!E356))</f>
        <v>-1.4680167461462446E-2</v>
      </c>
      <c r="AS356" s="47">
        <f>IF(AQ356="","",AQ356-($AD$60+$AD$61*Volcanic!C356+$AD$62*Volcanic!D356+$AD$63*Volcanic!E356))</f>
        <v>-2.8399626071240525E-2</v>
      </c>
    </row>
    <row r="357" spans="1:45">
      <c r="A357" s="45" t="str">
        <f>Volcanic!A357</f>
        <v>10/1987</v>
      </c>
      <c r="B357" s="43">
        <f>Volcanic!B357</f>
        <v>0.32999999999999652</v>
      </c>
      <c r="C357" s="47">
        <f>Volcanic!C357</f>
        <v>0.30834423137398254</v>
      </c>
      <c r="D357" s="41">
        <v>1.4</v>
      </c>
      <c r="E357" s="43">
        <f t="shared" si="82"/>
        <v>1.3</v>
      </c>
      <c r="F357" s="48">
        <v>8.0300000000000007E-3</v>
      </c>
      <c r="G357" s="47">
        <f t="shared" si="83"/>
        <v>9.0500000000000008E-3</v>
      </c>
      <c r="H357" s="43">
        <f>Volcanic!D357</f>
        <v>1.3</v>
      </c>
      <c r="I357" s="47">
        <f>Volcanic!E357</f>
        <v>1.09E-2</v>
      </c>
      <c r="K357" s="47">
        <f t="shared" si="70"/>
        <v>0.30834423137398254</v>
      </c>
      <c r="L357" s="47">
        <f t="shared" si="71"/>
        <v>1.3</v>
      </c>
      <c r="M357" s="47">
        <f t="shared" si="72"/>
        <v>1.09E-2</v>
      </c>
      <c r="O357" s="47">
        <f t="shared" si="73"/>
        <v>0.30834423137398254</v>
      </c>
      <c r="P357" s="47">
        <f t="shared" si="74"/>
        <v>1.3</v>
      </c>
      <c r="Q357" s="47">
        <f t="shared" si="75"/>
        <v>9.0500000000000008E-3</v>
      </c>
      <c r="S357" s="47">
        <f t="shared" si="76"/>
        <v>0.30834423137398254</v>
      </c>
      <c r="T357" s="47">
        <f t="shared" si="77"/>
        <v>1.3</v>
      </c>
      <c r="U357" s="47">
        <f t="shared" si="78"/>
        <v>9.0500000000000008E-3</v>
      </c>
      <c r="W357" s="47">
        <f t="shared" si="79"/>
        <v>-4.7150360813258685E-2</v>
      </c>
      <c r="X357" s="47">
        <f t="shared" si="80"/>
        <v>-5.002871066451664E-2</v>
      </c>
      <c r="Y357" s="47">
        <f t="shared" si="81"/>
        <v>-4.9820526868809945E-2</v>
      </c>
      <c r="AP357" s="48">
        <v>0.34250000000000003</v>
      </c>
      <c r="AQ357" s="48">
        <v>0.30669999999999997</v>
      </c>
      <c r="AR357" s="47">
        <f>IF(AP357="","",AP357-($AC$60+$AC$61*Volcanic!C357+$AC$62*Volcanic!D357+$AC$63*Volcanic!E357))</f>
        <v>-2.6561368179274902E-2</v>
      </c>
      <c r="AS357" s="47">
        <f>IF(AQ357="","",AQ357-($AD$60+$AD$61*Volcanic!C357+$AD$62*Volcanic!D357+$AD$63*Volcanic!E357))</f>
        <v>-7.8309740572262643E-2</v>
      </c>
    </row>
    <row r="358" spans="1:45">
      <c r="A358" s="45" t="str">
        <f>Volcanic!A358</f>
        <v>11/1987</v>
      </c>
      <c r="B358" s="43">
        <f>Volcanic!B358</f>
        <v>0.28999999999999559</v>
      </c>
      <c r="C358" s="47">
        <f>Volcanic!C358</f>
        <v>0.31399209482083829</v>
      </c>
      <c r="D358" s="41">
        <v>1.2</v>
      </c>
      <c r="E358" s="43">
        <f t="shared" si="82"/>
        <v>1.5</v>
      </c>
      <c r="F358" s="48">
        <v>7.77E-3</v>
      </c>
      <c r="G358" s="47">
        <f t="shared" si="83"/>
        <v>8.8900000000000003E-3</v>
      </c>
      <c r="H358" s="43">
        <f>Volcanic!D358</f>
        <v>1.46</v>
      </c>
      <c r="I358" s="47">
        <f>Volcanic!E358</f>
        <v>1.0619999999999999E-2</v>
      </c>
      <c r="K358" s="47">
        <f t="shared" si="70"/>
        <v>0.31399209482083829</v>
      </c>
      <c r="L358" s="47">
        <f t="shared" si="71"/>
        <v>1.5</v>
      </c>
      <c r="M358" s="47">
        <f t="shared" si="72"/>
        <v>1.0619999999999999E-2</v>
      </c>
      <c r="O358" s="47">
        <f t="shared" si="73"/>
        <v>0.31399209482083829</v>
      </c>
      <c r="P358" s="47">
        <f t="shared" si="74"/>
        <v>1.46</v>
      </c>
      <c r="Q358" s="47">
        <f t="shared" si="75"/>
        <v>8.8900000000000003E-3</v>
      </c>
      <c r="S358" s="47">
        <f t="shared" si="76"/>
        <v>0.31399209482083829</v>
      </c>
      <c r="T358" s="47">
        <f t="shared" si="77"/>
        <v>1.5</v>
      </c>
      <c r="U358" s="47">
        <f t="shared" si="78"/>
        <v>8.8900000000000003E-3</v>
      </c>
      <c r="W358" s="47">
        <f t="shared" si="79"/>
        <v>-0.12174458482653605</v>
      </c>
      <c r="X358" s="47">
        <f t="shared" si="80"/>
        <v>-0.12074598413551418</v>
      </c>
      <c r="Y358" s="47">
        <f t="shared" si="81"/>
        <v>-0.12430901885383577</v>
      </c>
      <c r="AP358" s="48">
        <v>0.25869999999999999</v>
      </c>
      <c r="AQ358" s="48">
        <v>0.18870000000000001</v>
      </c>
      <c r="AR358" s="47">
        <f>IF(AP358="","",AP358-($AC$60+$AC$61*Volcanic!C358+$AC$62*Volcanic!D358+$AC$63*Volcanic!E358))</f>
        <v>-0.14144042209582836</v>
      </c>
      <c r="AS358" s="47">
        <f>IF(AQ358="","",AQ358-($AD$60+$AD$61*Volcanic!C358+$AD$62*Volcanic!D358+$AD$63*Volcanic!E358))</f>
        <v>-0.22806039300259809</v>
      </c>
    </row>
    <row r="359" spans="1:45">
      <c r="A359" s="45" t="str">
        <f>Volcanic!A359</f>
        <v>12/1987</v>
      </c>
      <c r="B359" s="43">
        <f>Volcanic!B359</f>
        <v>0.46000000000000441</v>
      </c>
      <c r="C359" s="47">
        <f>Volcanic!C359</f>
        <v>0.3189572082710998</v>
      </c>
      <c r="D359" s="41">
        <v>1</v>
      </c>
      <c r="E359" s="43">
        <f t="shared" si="82"/>
        <v>1.5</v>
      </c>
      <c r="F359" s="48">
        <v>7.45E-3</v>
      </c>
      <c r="G359" s="47">
        <f t="shared" si="83"/>
        <v>8.7200000000000003E-3</v>
      </c>
      <c r="H359" s="43">
        <f>Volcanic!D359</f>
        <v>1.49</v>
      </c>
      <c r="I359" s="47">
        <f>Volcanic!E359</f>
        <v>1.072E-2</v>
      </c>
      <c r="K359" s="47">
        <f t="shared" si="70"/>
        <v>0.3189572082710998</v>
      </c>
      <c r="L359" s="47">
        <f t="shared" si="71"/>
        <v>1.5</v>
      </c>
      <c r="M359" s="47">
        <f t="shared" si="72"/>
        <v>1.072E-2</v>
      </c>
      <c r="O359" s="47">
        <f t="shared" si="73"/>
        <v>0.3189572082710998</v>
      </c>
      <c r="P359" s="47">
        <f t="shared" si="74"/>
        <v>1.49</v>
      </c>
      <c r="Q359" s="47">
        <f t="shared" si="75"/>
        <v>8.7200000000000003E-3</v>
      </c>
      <c r="S359" s="47">
        <f t="shared" si="76"/>
        <v>0.3189572082710998</v>
      </c>
      <c r="T359" s="47">
        <f t="shared" si="77"/>
        <v>1.5</v>
      </c>
      <c r="U359" s="47">
        <f t="shared" si="78"/>
        <v>8.7200000000000003E-3</v>
      </c>
      <c r="W359" s="47">
        <f t="shared" si="79"/>
        <v>3.4935155662777551E-2</v>
      </c>
      <c r="X359" s="47">
        <f t="shared" si="80"/>
        <v>3.2568187162036022E-2</v>
      </c>
      <c r="Y359" s="47">
        <f t="shared" si="81"/>
        <v>3.1824217038852687E-2</v>
      </c>
      <c r="AP359" s="48">
        <v>0.44180000000000003</v>
      </c>
      <c r="AQ359" s="48">
        <v>0.50370000000000004</v>
      </c>
      <c r="AR359" s="47">
        <f>IF(AP359="","",AP359-($AC$60+$AC$61*Volcanic!C359+$AC$62*Volcanic!D359+$AC$63*Volcanic!E359))</f>
        <v>2.553306591874932E-2</v>
      </c>
      <c r="AS359" s="47">
        <f>IF(AQ359="","",AQ359-($AD$60+$AD$61*Volcanic!C359+$AD$62*Volcanic!D359+$AD$63*Volcanic!E359))</f>
        <v>7.0394962258312488E-2</v>
      </c>
    </row>
    <row r="360" spans="1:45">
      <c r="A360" s="45" t="str">
        <f>Volcanic!A360</f>
        <v>1/1988</v>
      </c>
      <c r="B360" s="43">
        <f>Volcanic!B360</f>
        <v>0.57000000000000028</v>
      </c>
      <c r="C360" s="47">
        <f>Volcanic!C360</f>
        <v>0.32402877753529308</v>
      </c>
      <c r="D360" s="41">
        <v>0.6</v>
      </c>
      <c r="E360" s="43">
        <f t="shared" si="82"/>
        <v>1.4</v>
      </c>
      <c r="F360" s="48">
        <v>6.94E-3</v>
      </c>
      <c r="G360" s="47">
        <f t="shared" si="83"/>
        <v>8.6700000000000006E-3</v>
      </c>
      <c r="H360" s="43">
        <f>Volcanic!D360</f>
        <v>1.41</v>
      </c>
      <c r="I360" s="47">
        <f>Volcanic!E360</f>
        <v>1.061E-2</v>
      </c>
      <c r="K360" s="47">
        <f t="shared" si="70"/>
        <v>0.32402877753529308</v>
      </c>
      <c r="L360" s="47">
        <f t="shared" si="71"/>
        <v>1.4</v>
      </c>
      <c r="M360" s="47">
        <f t="shared" si="72"/>
        <v>1.061E-2</v>
      </c>
      <c r="O360" s="47">
        <f t="shared" si="73"/>
        <v>0.32402877753529308</v>
      </c>
      <c r="P360" s="47">
        <f t="shared" si="74"/>
        <v>1.41</v>
      </c>
      <c r="Q360" s="47">
        <f t="shared" si="75"/>
        <v>8.6700000000000006E-3</v>
      </c>
      <c r="S360" s="47">
        <f t="shared" si="76"/>
        <v>0.32402877753529308</v>
      </c>
      <c r="T360" s="47">
        <f t="shared" si="77"/>
        <v>1.4</v>
      </c>
      <c r="U360" s="47">
        <f t="shared" si="78"/>
        <v>8.6700000000000006E-3</v>
      </c>
      <c r="W360" s="47">
        <f t="shared" si="79"/>
        <v>0.14014916633419067</v>
      </c>
      <c r="X360" s="47">
        <f t="shared" si="80"/>
        <v>0.13624105726825181</v>
      </c>
      <c r="Y360" s="47">
        <f t="shared" si="81"/>
        <v>0.13738468588200542</v>
      </c>
      <c r="AP360" s="48">
        <v>0.52829999999999999</v>
      </c>
      <c r="AQ360" s="48">
        <v>0.54669999999999996</v>
      </c>
      <c r="AR360" s="47">
        <f>IF(AP360="","",AP360-($AC$60+$AC$61*Volcanic!C360+$AC$62*Volcanic!D360+$AC$63*Volcanic!E360))</f>
        <v>0.10541152389937658</v>
      </c>
      <c r="AS360" s="47">
        <f>IF(AQ360="","",AQ360-($AD$60+$AD$61*Volcanic!C360+$AD$62*Volcanic!D360+$AD$63*Volcanic!E360))</f>
        <v>0.10658324777384154</v>
      </c>
    </row>
    <row r="361" spans="1:45">
      <c r="A361" s="45" t="str">
        <f>Volcanic!A361</f>
        <v>2/1988</v>
      </c>
      <c r="B361" s="43">
        <f>Volcanic!B361</f>
        <v>0.44000000000000483</v>
      </c>
      <c r="C361" s="47">
        <f>Volcanic!C361</f>
        <v>0.32891850779297804</v>
      </c>
      <c r="D361" s="41">
        <v>0.4</v>
      </c>
      <c r="E361" s="43">
        <f t="shared" si="82"/>
        <v>1.2</v>
      </c>
      <c r="F361" s="48">
        <v>6.6400000000000001E-3</v>
      </c>
      <c r="G361" s="47">
        <f t="shared" si="83"/>
        <v>8.4899999999999993E-3</v>
      </c>
      <c r="H361" s="43">
        <f>Volcanic!D361</f>
        <v>1.2</v>
      </c>
      <c r="I361" s="47">
        <f>Volcanic!E361</f>
        <v>1.0160000000000001E-2</v>
      </c>
      <c r="K361" s="47">
        <f t="shared" si="70"/>
        <v>0.32891850779297804</v>
      </c>
      <c r="L361" s="47">
        <f t="shared" si="71"/>
        <v>1.2</v>
      </c>
      <c r="M361" s="47">
        <f t="shared" si="72"/>
        <v>1.0160000000000001E-2</v>
      </c>
      <c r="O361" s="47">
        <f t="shared" si="73"/>
        <v>0.32891850779297804</v>
      </c>
      <c r="P361" s="47">
        <f t="shared" si="74"/>
        <v>1.2</v>
      </c>
      <c r="Q361" s="47">
        <f t="shared" si="75"/>
        <v>8.4899999999999993E-3</v>
      </c>
      <c r="S361" s="47">
        <f t="shared" si="76"/>
        <v>0.32891850779297804</v>
      </c>
      <c r="T361" s="47">
        <f t="shared" si="77"/>
        <v>1.2</v>
      </c>
      <c r="U361" s="47">
        <f t="shared" si="78"/>
        <v>8.4899999999999993E-3</v>
      </c>
      <c r="W361" s="47">
        <f t="shared" si="79"/>
        <v>1.4397212320225394E-2</v>
      </c>
      <c r="X361" s="47">
        <f t="shared" si="80"/>
        <v>1.2277589557495638E-2</v>
      </c>
      <c r="Y361" s="47">
        <f t="shared" si="81"/>
        <v>1.2497769522383295E-2</v>
      </c>
      <c r="AP361" s="48">
        <v>0.4022</v>
      </c>
      <c r="AQ361" s="48">
        <v>0.41770000000000002</v>
      </c>
      <c r="AR361" s="47">
        <f>IF(AP361="","",AP361-($AC$60+$AC$61*Volcanic!C361+$AC$62*Volcanic!D361+$AC$63*Volcanic!E361))</f>
        <v>-1.5457731996234736E-2</v>
      </c>
      <c r="AS361" s="47">
        <f>IF(AQ361="","",AQ361-($AD$60+$AD$61*Volcanic!C361+$AD$62*Volcanic!D361+$AD$63*Volcanic!E361))</f>
        <v>-1.7074513237948119E-2</v>
      </c>
    </row>
    <row r="362" spans="1:45">
      <c r="A362" s="45" t="str">
        <f>Volcanic!A362</f>
        <v>3/1988</v>
      </c>
      <c r="B362" s="43">
        <f>Volcanic!B362</f>
        <v>0.5199999999999978</v>
      </c>
      <c r="C362" s="47">
        <f>Volcanic!C362</f>
        <v>0.3321964303411894</v>
      </c>
      <c r="D362" s="41">
        <v>0</v>
      </c>
      <c r="E362" s="43">
        <f t="shared" si="82"/>
        <v>1</v>
      </c>
      <c r="F362" s="48">
        <v>6.3E-3</v>
      </c>
      <c r="G362" s="47">
        <f t="shared" si="83"/>
        <v>8.3099999999999997E-3</v>
      </c>
      <c r="H362" s="43">
        <f>Volcanic!D362</f>
        <v>1</v>
      </c>
      <c r="I362" s="47">
        <f>Volcanic!E362</f>
        <v>9.9299999999999996E-3</v>
      </c>
      <c r="K362" s="47">
        <f t="shared" si="70"/>
        <v>0.3321964303411894</v>
      </c>
      <c r="L362" s="47">
        <f t="shared" si="71"/>
        <v>1</v>
      </c>
      <c r="M362" s="47">
        <f t="shared" si="72"/>
        <v>9.9299999999999996E-3</v>
      </c>
      <c r="O362" s="47">
        <f t="shared" si="73"/>
        <v>0.3321964303411894</v>
      </c>
      <c r="P362" s="47">
        <f t="shared" si="74"/>
        <v>1</v>
      </c>
      <c r="Q362" s="47">
        <f t="shared" si="75"/>
        <v>8.3099999999999997E-3</v>
      </c>
      <c r="S362" s="47">
        <f t="shared" si="76"/>
        <v>0.3321964303411894</v>
      </c>
      <c r="T362" s="47">
        <f t="shared" si="77"/>
        <v>1</v>
      </c>
      <c r="U362" s="47">
        <f t="shared" si="78"/>
        <v>8.3099999999999997E-3</v>
      </c>
      <c r="W362" s="47">
        <f t="shared" si="79"/>
        <v>0.10352567613805674</v>
      </c>
      <c r="X362" s="47">
        <f t="shared" si="80"/>
        <v>0.10173240911135278</v>
      </c>
      <c r="Y362" s="47">
        <f t="shared" si="81"/>
        <v>0.10196801432809038</v>
      </c>
      <c r="AP362" s="48">
        <v>0.45579999999999998</v>
      </c>
      <c r="AQ362" s="48">
        <v>0.44969999999999999</v>
      </c>
      <c r="AR362" s="47">
        <f>IF(AP362="","",AP362-($AC$60+$AC$61*Volcanic!C362+$AC$62*Volcanic!D362+$AC$63*Volcanic!E362))</f>
        <v>4.7367140336493974E-2</v>
      </c>
      <c r="AS362" s="47">
        <f>IF(AQ362="","",AQ362-($AD$60+$AD$61*Volcanic!C362+$AD$62*Volcanic!D362+$AD$63*Volcanic!E362))</f>
        <v>2.4330461324753361E-2</v>
      </c>
    </row>
    <row r="363" spans="1:45">
      <c r="A363" s="45" t="str">
        <f>Volcanic!A363</f>
        <v>4/1988</v>
      </c>
      <c r="B363" s="43">
        <f>Volcanic!B363</f>
        <v>0.42999999999999972</v>
      </c>
      <c r="C363" s="47">
        <f>Volcanic!C363</f>
        <v>0.33697702068730562</v>
      </c>
      <c r="D363" s="41">
        <v>-0.4</v>
      </c>
      <c r="E363" s="43">
        <f t="shared" si="82"/>
        <v>0.6</v>
      </c>
      <c r="F363" s="48">
        <v>6.0899999999999999E-3</v>
      </c>
      <c r="G363" s="47">
        <f t="shared" si="83"/>
        <v>8.1200000000000005E-3</v>
      </c>
      <c r="H363" s="43">
        <f>Volcanic!D363</f>
        <v>0.63</v>
      </c>
      <c r="I363" s="47">
        <f>Volcanic!E363</f>
        <v>9.6500000000000006E-3</v>
      </c>
      <c r="K363" s="47">
        <f t="shared" si="70"/>
        <v>0.33697702068730562</v>
      </c>
      <c r="L363" s="47">
        <f t="shared" si="71"/>
        <v>0.6</v>
      </c>
      <c r="M363" s="47">
        <f t="shared" si="72"/>
        <v>9.6500000000000006E-3</v>
      </c>
      <c r="O363" s="47">
        <f t="shared" si="73"/>
        <v>0.33697702068730562</v>
      </c>
      <c r="P363" s="47">
        <f t="shared" si="74"/>
        <v>0.63</v>
      </c>
      <c r="Q363" s="47">
        <f t="shared" si="75"/>
        <v>8.1200000000000005E-3</v>
      </c>
      <c r="S363" s="47">
        <f t="shared" si="76"/>
        <v>0.33697702068730562</v>
      </c>
      <c r="T363" s="47">
        <f t="shared" si="77"/>
        <v>0.6</v>
      </c>
      <c r="U363" s="47">
        <f t="shared" si="78"/>
        <v>8.1200000000000005E-3</v>
      </c>
      <c r="W363" s="47">
        <f t="shared" si="79"/>
        <v>3.7020625296251553E-2</v>
      </c>
      <c r="X363" s="47">
        <f t="shared" si="80"/>
        <v>3.3067671636055174E-2</v>
      </c>
      <c r="Y363" s="47">
        <f t="shared" si="81"/>
        <v>3.6152199445867672E-2</v>
      </c>
      <c r="AP363" s="48">
        <v>0.39689999999999998</v>
      </c>
      <c r="AQ363" s="48">
        <v>0.49569999999999997</v>
      </c>
      <c r="AR363" s="47">
        <f>IF(AP363="","",AP363-($AC$60+$AC$61*Volcanic!C363+$AC$62*Volcanic!D363+$AC$63*Volcanic!E363))</f>
        <v>9.3881730076258441E-3</v>
      </c>
      <c r="AS363" s="47">
        <f>IF(AQ363="","",AQ363-($AD$60+$AD$61*Volcanic!C363+$AD$62*Volcanic!D363+$AD$63*Volcanic!E363))</f>
        <v>9.1658042823582031E-2</v>
      </c>
    </row>
    <row r="364" spans="1:45">
      <c r="A364" s="45" t="str">
        <f>Volcanic!A364</f>
        <v>5/1988</v>
      </c>
      <c r="B364" s="43">
        <f>Volcanic!B364</f>
        <v>0.44000000000000483</v>
      </c>
      <c r="C364" s="47">
        <f>Volcanic!C364</f>
        <v>0.33974822186649467</v>
      </c>
      <c r="D364" s="41">
        <v>-1</v>
      </c>
      <c r="E364" s="43">
        <f t="shared" si="82"/>
        <v>0.4</v>
      </c>
      <c r="F364" s="48">
        <v>6.0099999999999997E-3</v>
      </c>
      <c r="G364" s="47">
        <f t="shared" si="83"/>
        <v>8.0300000000000007E-3</v>
      </c>
      <c r="H364" s="43">
        <f>Volcanic!D364</f>
        <v>0.37</v>
      </c>
      <c r="I364" s="47">
        <f>Volcanic!E364</f>
        <v>9.5499999999999995E-3</v>
      </c>
      <c r="K364" s="47">
        <f t="shared" si="70"/>
        <v>0.33974822186649467</v>
      </c>
      <c r="L364" s="47">
        <f t="shared" si="71"/>
        <v>0.4</v>
      </c>
      <c r="M364" s="47">
        <f t="shared" si="72"/>
        <v>9.5499999999999995E-3</v>
      </c>
      <c r="O364" s="47">
        <f t="shared" si="73"/>
        <v>0.33974822186649467</v>
      </c>
      <c r="P364" s="47">
        <f t="shared" si="74"/>
        <v>0.37</v>
      </c>
      <c r="Q364" s="47">
        <f t="shared" si="75"/>
        <v>8.0300000000000007E-3</v>
      </c>
      <c r="S364" s="47">
        <f t="shared" si="76"/>
        <v>0.33974822186649467</v>
      </c>
      <c r="T364" s="47">
        <f t="shared" si="77"/>
        <v>0.4</v>
      </c>
      <c r="U364" s="47">
        <f t="shared" si="78"/>
        <v>8.0300000000000007E-3</v>
      </c>
      <c r="W364" s="47">
        <f t="shared" si="79"/>
        <v>5.7817452841841033E-2</v>
      </c>
      <c r="X364" s="47">
        <f t="shared" si="80"/>
        <v>5.9763771054417381E-2</v>
      </c>
      <c r="Y364" s="47">
        <f t="shared" si="81"/>
        <v>5.7227677096818086E-2</v>
      </c>
      <c r="AP364" s="48">
        <v>0.38950000000000001</v>
      </c>
      <c r="AQ364" s="48">
        <v>0.44069999999999998</v>
      </c>
      <c r="AR364" s="47">
        <f>IF(AP364="","",AP364-($AC$60+$AC$61*Volcanic!C364+$AC$62*Volcanic!D364+$AC$63*Volcanic!E364))</f>
        <v>1.8528214921262998E-2</v>
      </c>
      <c r="AS364" s="47">
        <f>IF(AQ364="","",AQ364-($AD$60+$AD$61*Volcanic!C364+$AD$62*Volcanic!D364+$AD$63*Volcanic!E364))</f>
        <v>5.3513895684127621E-2</v>
      </c>
    </row>
    <row r="365" spans="1:45">
      <c r="A365" s="45" t="str">
        <f>Volcanic!A365</f>
        <v>6/1988</v>
      </c>
      <c r="B365" s="43">
        <f>Volcanic!B365</f>
        <v>0.40000000000000213</v>
      </c>
      <c r="C365" s="47">
        <f>Volcanic!C365</f>
        <v>0.33783340106320175</v>
      </c>
      <c r="D365" s="41">
        <v>-1.3</v>
      </c>
      <c r="E365" s="43">
        <f t="shared" si="82"/>
        <v>0</v>
      </c>
      <c r="F365" s="48">
        <v>6.0800000000000003E-3</v>
      </c>
      <c r="G365" s="47">
        <f t="shared" si="83"/>
        <v>7.77E-3</v>
      </c>
      <c r="H365" s="43">
        <f>Volcanic!D365</f>
        <v>-0.03</v>
      </c>
      <c r="I365" s="47">
        <f>Volcanic!E365</f>
        <v>9.2300000000000004E-3</v>
      </c>
      <c r="K365" s="47">
        <f t="shared" si="70"/>
        <v>0.33783340106320175</v>
      </c>
      <c r="L365" s="47">
        <f t="shared" si="71"/>
        <v>0</v>
      </c>
      <c r="M365" s="47">
        <f t="shared" si="72"/>
        <v>9.2300000000000004E-3</v>
      </c>
      <c r="O365" s="47">
        <f t="shared" si="73"/>
        <v>0.33783340106320175</v>
      </c>
      <c r="P365" s="47">
        <f t="shared" si="74"/>
        <v>-0.03</v>
      </c>
      <c r="Q365" s="47">
        <f t="shared" si="75"/>
        <v>7.77E-3</v>
      </c>
      <c r="S365" s="47">
        <f t="shared" si="76"/>
        <v>0.33783340106320175</v>
      </c>
      <c r="T365" s="47">
        <f t="shared" si="77"/>
        <v>0</v>
      </c>
      <c r="U365" s="47">
        <f t="shared" si="78"/>
        <v>7.77E-3</v>
      </c>
      <c r="W365" s="47">
        <f t="shared" si="79"/>
        <v>5.9483655381919909E-2</v>
      </c>
      <c r="X365" s="47">
        <f t="shared" si="80"/>
        <v>6.1835797869416065E-2</v>
      </c>
      <c r="Y365" s="47">
        <f t="shared" si="81"/>
        <v>5.9328298348539976E-2</v>
      </c>
      <c r="AP365" s="48">
        <v>0.4047</v>
      </c>
      <c r="AQ365" s="48">
        <v>0.42770000000000002</v>
      </c>
      <c r="AR365" s="47">
        <f>IF(AP365="","",AP365-($AC$60+$AC$61*Volcanic!C365+$AC$62*Volcanic!D365+$AC$63*Volcanic!E365))</f>
        <v>7.5644896497973513E-2</v>
      </c>
      <c r="AS365" s="47">
        <f>IF(AQ365="","",AQ365-($AD$60+$AD$61*Volcanic!C365+$AD$62*Volcanic!D365+$AD$63*Volcanic!E365))</f>
        <v>8.3369921611847919E-2</v>
      </c>
    </row>
    <row r="366" spans="1:45">
      <c r="A366" s="45" t="str">
        <f>Volcanic!A366</f>
        <v>7/1988</v>
      </c>
      <c r="B366" s="43">
        <f>Volcanic!B366</f>
        <v>0.32999999999999652</v>
      </c>
      <c r="C366" s="47">
        <f>Volcanic!C366</f>
        <v>0.3334237337251918</v>
      </c>
      <c r="D366" s="41">
        <v>-1.3</v>
      </c>
      <c r="E366" s="43">
        <f t="shared" si="82"/>
        <v>-0.4</v>
      </c>
      <c r="F366" s="48">
        <v>6.0400000000000002E-3</v>
      </c>
      <c r="G366" s="47">
        <f t="shared" si="83"/>
        <v>7.45E-3</v>
      </c>
      <c r="H366" s="43">
        <f>Volcanic!D366</f>
        <v>-0.45</v>
      </c>
      <c r="I366" s="47">
        <f>Volcanic!E366</f>
        <v>8.9499999999999996E-3</v>
      </c>
      <c r="K366" s="47">
        <f t="shared" si="70"/>
        <v>0.3334237337251918</v>
      </c>
      <c r="L366" s="47">
        <f t="shared" si="71"/>
        <v>-0.4</v>
      </c>
      <c r="M366" s="47">
        <f t="shared" si="72"/>
        <v>8.9499999999999996E-3</v>
      </c>
      <c r="O366" s="47">
        <f t="shared" si="73"/>
        <v>0.3334237337251918</v>
      </c>
      <c r="P366" s="47">
        <f t="shared" si="74"/>
        <v>-0.45</v>
      </c>
      <c r="Q366" s="47">
        <f t="shared" si="75"/>
        <v>7.45E-3</v>
      </c>
      <c r="S366" s="47">
        <f t="shared" si="76"/>
        <v>0.3334237337251918</v>
      </c>
      <c r="T366" s="47">
        <f t="shared" si="77"/>
        <v>-0.4</v>
      </c>
      <c r="U366" s="47">
        <f t="shared" si="78"/>
        <v>7.45E-3</v>
      </c>
      <c r="W366" s="47">
        <f t="shared" si="79"/>
        <v>3.8041821091122252E-2</v>
      </c>
      <c r="X366" s="47">
        <f t="shared" si="80"/>
        <v>4.2374797349558513E-2</v>
      </c>
      <c r="Y366" s="47">
        <f t="shared" si="81"/>
        <v>3.8016228393787932E-2</v>
      </c>
      <c r="AP366" s="48">
        <v>0.3271</v>
      </c>
      <c r="AQ366" s="48">
        <v>0.31369999999999998</v>
      </c>
      <c r="AR366" s="47">
        <f>IF(AP366="","",AP366-($AC$60+$AC$61*Volcanic!C366+$AC$62*Volcanic!D366+$AC$63*Volcanic!E366))</f>
        <v>4.8743176252357356E-2</v>
      </c>
      <c r="AS366" s="47">
        <f>IF(AQ366="","",AQ366-($AD$60+$AD$61*Volcanic!C366+$AD$62*Volcanic!D366+$AD$63*Volcanic!E366))</f>
        <v>2.1216646028902608E-2</v>
      </c>
    </row>
    <row r="367" spans="1:45">
      <c r="A367" s="45" t="str">
        <f>Volcanic!A367</f>
        <v>8/1988</v>
      </c>
      <c r="B367" s="43">
        <f>Volcanic!B367</f>
        <v>0.38999999999999879</v>
      </c>
      <c r="C367" s="47">
        <f>Volcanic!C367</f>
        <v>0.32394645542166806</v>
      </c>
      <c r="D367" s="41">
        <v>-1.1000000000000001</v>
      </c>
      <c r="E367" s="43">
        <f t="shared" si="82"/>
        <v>-1</v>
      </c>
      <c r="F367" s="48">
        <v>6.0800000000000003E-3</v>
      </c>
      <c r="G367" s="47">
        <f t="shared" si="83"/>
        <v>6.94E-3</v>
      </c>
      <c r="H367" s="43">
        <f>Volcanic!D367</f>
        <v>-0.99</v>
      </c>
      <c r="I367" s="47">
        <f>Volcanic!E367</f>
        <v>8.6199999999999992E-3</v>
      </c>
      <c r="K367" s="47">
        <f t="shared" si="70"/>
        <v>0.32394645542166806</v>
      </c>
      <c r="L367" s="47">
        <f t="shared" si="71"/>
        <v>-1</v>
      </c>
      <c r="M367" s="47">
        <f t="shared" si="72"/>
        <v>8.6199999999999992E-3</v>
      </c>
      <c r="O367" s="47">
        <f t="shared" si="73"/>
        <v>0.32394645542166806</v>
      </c>
      <c r="P367" s="47">
        <f t="shared" si="74"/>
        <v>-0.99</v>
      </c>
      <c r="Q367" s="47">
        <f t="shared" si="75"/>
        <v>6.94E-3</v>
      </c>
      <c r="S367" s="47">
        <f t="shared" si="76"/>
        <v>0.32394645542166806</v>
      </c>
      <c r="T367" s="47">
        <f t="shared" si="77"/>
        <v>-1</v>
      </c>
      <c r="U367" s="47">
        <f t="shared" si="78"/>
        <v>6.94E-3</v>
      </c>
      <c r="W367" s="47">
        <f t="shared" si="79"/>
        <v>0.17888461166494921</v>
      </c>
      <c r="X367" s="47">
        <f t="shared" si="80"/>
        <v>0.17739040137843154</v>
      </c>
      <c r="Y367" s="47">
        <f t="shared" si="81"/>
        <v>0.17870852570479479</v>
      </c>
      <c r="AP367" s="48">
        <v>0.32940000000000003</v>
      </c>
      <c r="AQ367" s="48">
        <v>0.3977</v>
      </c>
      <c r="AR367" s="47">
        <f>IF(AP367="","",AP367-($AC$60+$AC$61*Volcanic!C367+$AC$62*Volcanic!D367+$AC$63*Volcanic!E367))</f>
        <v>0.1266962176595407</v>
      </c>
      <c r="AS367" s="47">
        <f>IF(AQ367="","",AQ367-($AD$60+$AD$61*Volcanic!C367+$AD$62*Volcanic!D367+$AD$63*Volcanic!E367))</f>
        <v>0.18261040724067773</v>
      </c>
    </row>
    <row r="368" spans="1:45">
      <c r="A368" s="45" t="str">
        <f>Volcanic!A368</f>
        <v>9/1988</v>
      </c>
      <c r="B368" s="43">
        <f>Volcanic!B368</f>
        <v>0.36999999999999744</v>
      </c>
      <c r="C368" s="47">
        <f>Volcanic!C368</f>
        <v>0.31767619003390707</v>
      </c>
      <c r="D368" s="41">
        <v>-1.3</v>
      </c>
      <c r="E368" s="43">
        <f t="shared" si="82"/>
        <v>-1.3</v>
      </c>
      <c r="F368" s="48">
        <v>6.0000000000000001E-3</v>
      </c>
      <c r="G368" s="47">
        <f t="shared" si="83"/>
        <v>6.6400000000000001E-3</v>
      </c>
      <c r="H368" s="43">
        <f>Volcanic!D368</f>
        <v>-1.3</v>
      </c>
      <c r="I368" s="47">
        <f>Volcanic!E368</f>
        <v>8.4200000000000004E-3</v>
      </c>
      <c r="K368" s="47">
        <f t="shared" si="70"/>
        <v>0.31767619003390707</v>
      </c>
      <c r="L368" s="47">
        <f t="shared" si="71"/>
        <v>-1.3</v>
      </c>
      <c r="M368" s="47">
        <f t="shared" si="72"/>
        <v>8.4200000000000004E-3</v>
      </c>
      <c r="O368" s="47">
        <f t="shared" si="73"/>
        <v>0.31767619003390707</v>
      </c>
      <c r="P368" s="47">
        <f t="shared" si="74"/>
        <v>-1.3</v>
      </c>
      <c r="Q368" s="47">
        <f t="shared" si="75"/>
        <v>6.6400000000000001E-3</v>
      </c>
      <c r="S368" s="47">
        <f t="shared" si="76"/>
        <v>0.31767619003390707</v>
      </c>
      <c r="T368" s="47">
        <f t="shared" si="77"/>
        <v>-1.3</v>
      </c>
      <c r="U368" s="47">
        <f t="shared" si="78"/>
        <v>6.6400000000000001E-3</v>
      </c>
      <c r="W368" s="47">
        <f t="shared" si="79"/>
        <v>0.20340585894998248</v>
      </c>
      <c r="X368" s="47">
        <f t="shared" si="80"/>
        <v>0.20267894906841244</v>
      </c>
      <c r="Y368" s="47">
        <f t="shared" si="81"/>
        <v>0.20307737031518991</v>
      </c>
      <c r="AP368" s="48">
        <v>0.32840000000000003</v>
      </c>
      <c r="AQ368" s="48">
        <v>0.37269999999999998</v>
      </c>
      <c r="AR368" s="47">
        <f>IF(AP368="","",AP368-($AC$60+$AC$61*Volcanic!C368+$AC$62*Volcanic!D368+$AC$63*Volcanic!E368))</f>
        <v>0.17136659639925281</v>
      </c>
      <c r="AS368" s="47">
        <f>IF(AQ368="","",AQ368-($AD$60+$AD$61*Volcanic!C368+$AD$62*Volcanic!D368+$AD$63*Volcanic!E368))</f>
        <v>0.20433961946415508</v>
      </c>
    </row>
    <row r="369" spans="1:45">
      <c r="A369" s="45" t="str">
        <f>Volcanic!A369</f>
        <v>10/1988</v>
      </c>
      <c r="B369" s="43">
        <f>Volcanic!B369</f>
        <v>0.38000000000000256</v>
      </c>
      <c r="C369" s="47">
        <f>Volcanic!C369</f>
        <v>0.3193289038394051</v>
      </c>
      <c r="D369" s="41">
        <v>-1.5</v>
      </c>
      <c r="E369" s="43">
        <f t="shared" si="82"/>
        <v>-1.3</v>
      </c>
      <c r="F369" s="48">
        <v>5.7600000000000004E-3</v>
      </c>
      <c r="G369" s="47">
        <f t="shared" si="83"/>
        <v>6.3E-3</v>
      </c>
      <c r="H369" s="43">
        <f>Volcanic!D369</f>
        <v>-1.3</v>
      </c>
      <c r="I369" s="47">
        <f>Volcanic!E369</f>
        <v>8.0599999999999995E-3</v>
      </c>
      <c r="K369" s="47">
        <f t="shared" si="70"/>
        <v>0.3193289038394051</v>
      </c>
      <c r="L369" s="47">
        <f t="shared" si="71"/>
        <v>-1.3</v>
      </c>
      <c r="M369" s="47">
        <f t="shared" si="72"/>
        <v>8.0599999999999995E-3</v>
      </c>
      <c r="O369" s="47">
        <f t="shared" si="73"/>
        <v>0.3193289038394051</v>
      </c>
      <c r="P369" s="47">
        <f t="shared" si="74"/>
        <v>-1.3</v>
      </c>
      <c r="Q369" s="47">
        <f t="shared" si="75"/>
        <v>6.3E-3</v>
      </c>
      <c r="S369" s="47">
        <f t="shared" si="76"/>
        <v>0.3193289038394051</v>
      </c>
      <c r="T369" s="47">
        <f t="shared" si="77"/>
        <v>-1.3</v>
      </c>
      <c r="U369" s="47">
        <f t="shared" si="78"/>
        <v>6.3E-3</v>
      </c>
      <c r="W369" s="47">
        <f t="shared" si="79"/>
        <v>0.20810539053094285</v>
      </c>
      <c r="X369" s="47">
        <f t="shared" si="80"/>
        <v>0.2073223713545852</v>
      </c>
      <c r="Y369" s="47">
        <f t="shared" si="81"/>
        <v>0.20772024493772764</v>
      </c>
      <c r="AP369" s="48">
        <v>0.3271</v>
      </c>
      <c r="AQ369" s="48">
        <v>0.30070000000000002</v>
      </c>
      <c r="AR369" s="47">
        <f>IF(AP369="","",AP369-($AC$60+$AC$61*Volcanic!C369+$AC$62*Volcanic!D369+$AC$63*Volcanic!E369))</f>
        <v>0.16468745060243087</v>
      </c>
      <c r="AS369" s="47">
        <f>IF(AQ369="","",AQ369-($AD$60+$AD$61*Volcanic!C369+$AD$62*Volcanic!D369+$AD$63*Volcanic!E369))</f>
        <v>0.12688601717458031</v>
      </c>
    </row>
    <row r="370" spans="1:45">
      <c r="A370" s="45" t="str">
        <f>Volcanic!A370</f>
        <v>11/1988</v>
      </c>
      <c r="B370" s="43">
        <f>Volcanic!B370</f>
        <v>0.11999999999999744</v>
      </c>
      <c r="C370" s="47">
        <f>Volcanic!C370</f>
        <v>0.32365829102624488</v>
      </c>
      <c r="D370" s="41">
        <v>-1.8</v>
      </c>
      <c r="E370" s="43">
        <f t="shared" si="82"/>
        <v>-1.1000000000000001</v>
      </c>
      <c r="F370" s="48">
        <v>5.7000000000000002E-3</v>
      </c>
      <c r="G370" s="47">
        <f t="shared" si="83"/>
        <v>6.0899999999999999E-3</v>
      </c>
      <c r="H370" s="43">
        <f>Volcanic!D370</f>
        <v>-1.1399999999999999</v>
      </c>
      <c r="I370" s="47">
        <f>Volcanic!E370</f>
        <v>7.8200000000000006E-3</v>
      </c>
      <c r="K370" s="47">
        <f t="shared" si="70"/>
        <v>0.32365829102624488</v>
      </c>
      <c r="L370" s="47">
        <f t="shared" si="71"/>
        <v>-1.1000000000000001</v>
      </c>
      <c r="M370" s="47">
        <f t="shared" si="72"/>
        <v>7.8200000000000006E-3</v>
      </c>
      <c r="O370" s="47">
        <f t="shared" si="73"/>
        <v>0.32365829102624488</v>
      </c>
      <c r="P370" s="47">
        <f t="shared" si="74"/>
        <v>-1.1399999999999999</v>
      </c>
      <c r="Q370" s="47">
        <f t="shared" si="75"/>
        <v>6.0899999999999999E-3</v>
      </c>
      <c r="S370" s="47">
        <f t="shared" si="76"/>
        <v>0.32365829102624488</v>
      </c>
      <c r="T370" s="47">
        <f t="shared" si="77"/>
        <v>-1.1000000000000001</v>
      </c>
      <c r="U370" s="47">
        <f t="shared" si="78"/>
        <v>6.0899999999999999E-3</v>
      </c>
      <c r="W370" s="47">
        <f t="shared" si="79"/>
        <v>-8.2805009187265355E-2</v>
      </c>
      <c r="X370" s="47">
        <f t="shared" si="80"/>
        <v>-7.9960935304168673E-2</v>
      </c>
      <c r="Y370" s="47">
        <f t="shared" si="81"/>
        <v>-8.3334833488525661E-2</v>
      </c>
      <c r="AP370" s="48">
        <v>9.9199999999999997E-2</v>
      </c>
      <c r="AQ370" s="48">
        <v>4.1700000000000001E-2</v>
      </c>
      <c r="AR370" s="47">
        <f>IF(AP370="","",AP370-($AC$60+$AC$61*Volcanic!C370+$AC$62*Volcanic!D370+$AC$63*Volcanic!E370))</f>
        <v>-9.0595113354801013E-2</v>
      </c>
      <c r="AS370" s="47">
        <f>IF(AQ370="","",AQ370-($AD$60+$AD$61*Volcanic!C370+$AD$62*Volcanic!D370+$AD$63*Volcanic!E370))</f>
        <v>-0.16008011038013464</v>
      </c>
    </row>
    <row r="371" spans="1:45">
      <c r="A371" s="45" t="str">
        <f>Volcanic!A371</f>
        <v>12/1988</v>
      </c>
      <c r="B371" s="43">
        <f>Volcanic!B371</f>
        <v>0.28999999999999559</v>
      </c>
      <c r="C371" s="47">
        <f>Volcanic!C371</f>
        <v>0.32859030554145996</v>
      </c>
      <c r="D371" s="41">
        <v>-1.8</v>
      </c>
      <c r="E371" s="43">
        <f t="shared" si="82"/>
        <v>-1.3</v>
      </c>
      <c r="F371" s="48">
        <v>5.3899999999999998E-3</v>
      </c>
      <c r="G371" s="47">
        <f t="shared" si="83"/>
        <v>6.0099999999999997E-3</v>
      </c>
      <c r="H371" s="43">
        <f>Volcanic!D371</f>
        <v>-1.27</v>
      </c>
      <c r="I371" s="47">
        <f>Volcanic!E371</f>
        <v>7.4900000000000001E-3</v>
      </c>
      <c r="K371" s="47">
        <f t="shared" si="70"/>
        <v>0.32859030554145996</v>
      </c>
      <c r="L371" s="47">
        <f t="shared" si="71"/>
        <v>-1.3</v>
      </c>
      <c r="M371" s="47">
        <f t="shared" si="72"/>
        <v>7.4900000000000001E-3</v>
      </c>
      <c r="O371" s="47">
        <f t="shared" si="73"/>
        <v>0.32859030554145996</v>
      </c>
      <c r="P371" s="47">
        <f t="shared" si="74"/>
        <v>-1.27</v>
      </c>
      <c r="Q371" s="47">
        <f t="shared" si="75"/>
        <v>6.0099999999999997E-3</v>
      </c>
      <c r="S371" s="47">
        <f t="shared" si="76"/>
        <v>0.32859030554145996</v>
      </c>
      <c r="T371" s="47">
        <f t="shared" si="77"/>
        <v>-1.3</v>
      </c>
      <c r="U371" s="47">
        <f t="shared" si="78"/>
        <v>6.0099999999999997E-3</v>
      </c>
      <c r="W371" s="47">
        <f t="shared" si="79"/>
        <v>9.1592144264709241E-2</v>
      </c>
      <c r="X371" s="47">
        <f t="shared" si="80"/>
        <v>8.8707658682191548E-2</v>
      </c>
      <c r="Y371" s="47">
        <f t="shared" si="81"/>
        <v>9.1925527585267064E-2</v>
      </c>
      <c r="AP371" s="48">
        <v>0.2465</v>
      </c>
      <c r="AQ371" s="48">
        <v>0.28170000000000001</v>
      </c>
      <c r="AR371" s="47">
        <f>IF(AP371="","",AP371-($AC$60+$AC$61*Volcanic!C371+$AC$62*Volcanic!D371+$AC$63*Volcanic!E371))</f>
        <v>5.461730495117359E-2</v>
      </c>
      <c r="AS371" s="47">
        <f>IF(AQ371="","",AQ371-($AD$60+$AD$61*Volcanic!C371+$AD$62*Volcanic!D371+$AD$63*Volcanic!E371))</f>
        <v>7.7773391234119138E-2</v>
      </c>
    </row>
    <row r="372" spans="1:45">
      <c r="A372" s="45" t="str">
        <f>Volcanic!A372</f>
        <v>1/1989</v>
      </c>
      <c r="B372" s="43">
        <f>Volcanic!B372</f>
        <v>0.11999999999999744</v>
      </c>
      <c r="C372" s="47">
        <f>Volcanic!C372</f>
        <v>0.33452741479971682</v>
      </c>
      <c r="D372" s="41">
        <v>-1.6</v>
      </c>
      <c r="E372" s="43">
        <f t="shared" si="82"/>
        <v>-1.5</v>
      </c>
      <c r="F372" s="48">
        <v>5.1599999999999997E-3</v>
      </c>
      <c r="G372" s="47">
        <f t="shared" si="83"/>
        <v>6.0800000000000003E-3</v>
      </c>
      <c r="H372" s="43">
        <f>Volcanic!D372</f>
        <v>-1.54</v>
      </c>
      <c r="I372" s="47">
        <f>Volcanic!E372</f>
        <v>7.4200000000000004E-3</v>
      </c>
      <c r="K372" s="47">
        <f t="shared" si="70"/>
        <v>0.33452741479971682</v>
      </c>
      <c r="L372" s="47">
        <f t="shared" si="71"/>
        <v>-1.5</v>
      </c>
      <c r="M372" s="47">
        <f t="shared" si="72"/>
        <v>7.4200000000000004E-3</v>
      </c>
      <c r="O372" s="47">
        <f t="shared" si="73"/>
        <v>0.33452741479971682</v>
      </c>
      <c r="P372" s="47">
        <f t="shared" si="74"/>
        <v>-1.54</v>
      </c>
      <c r="Q372" s="47">
        <f t="shared" si="75"/>
        <v>6.0800000000000003E-3</v>
      </c>
      <c r="S372" s="47">
        <f t="shared" si="76"/>
        <v>0.33452741479971682</v>
      </c>
      <c r="T372" s="47">
        <f t="shared" si="77"/>
        <v>-1.5</v>
      </c>
      <c r="U372" s="47">
        <f t="shared" si="78"/>
        <v>6.0800000000000003E-3</v>
      </c>
      <c r="W372" s="47">
        <f t="shared" si="79"/>
        <v>-7.6178830485153393E-2</v>
      </c>
      <c r="X372" s="47">
        <f t="shared" si="80"/>
        <v>-7.1798121571049867E-2</v>
      </c>
      <c r="Y372" s="47">
        <f t="shared" si="81"/>
        <v>-7.5138784699113198E-2</v>
      </c>
      <c r="AP372" s="48">
        <v>4.4299999999999999E-2</v>
      </c>
      <c r="AQ372" s="48">
        <v>6.5699999999999995E-2</v>
      </c>
      <c r="AR372" s="47">
        <f>IF(AP372="","",AP372-($AC$60+$AC$61*Volcanic!C372+$AC$62*Volcanic!D372+$AC$63*Volcanic!E372))</f>
        <v>-0.13867887034188217</v>
      </c>
      <c r="AS372" s="47">
        <f>IF(AQ372="","",AQ372-($AD$60+$AD$61*Volcanic!C372+$AD$62*Volcanic!D372+$AD$63*Volcanic!E372))</f>
        <v>-0.12921377101465514</v>
      </c>
    </row>
    <row r="373" spans="1:45">
      <c r="A373" s="45" t="str">
        <f>Volcanic!A373</f>
        <v>2/1989</v>
      </c>
      <c r="B373" s="43">
        <f>Volcanic!B373</f>
        <v>0.30000000000000249</v>
      </c>
      <c r="C373" s="47">
        <f>Volcanic!C373</f>
        <v>0.33599767738901826</v>
      </c>
      <c r="D373" s="41">
        <v>-1.4</v>
      </c>
      <c r="E373" s="43">
        <f t="shared" si="82"/>
        <v>-1.8</v>
      </c>
      <c r="F373" s="48">
        <v>5.0499999999999998E-3</v>
      </c>
      <c r="G373" s="47">
        <f t="shared" si="83"/>
        <v>6.0400000000000002E-3</v>
      </c>
      <c r="H373" s="43">
        <f>Volcanic!D373</f>
        <v>-1.81</v>
      </c>
      <c r="I373" s="47">
        <f>Volcanic!E373</f>
        <v>7.3800000000000003E-3</v>
      </c>
      <c r="K373" s="47">
        <f t="shared" si="70"/>
        <v>0.33599767738901826</v>
      </c>
      <c r="L373" s="47">
        <f t="shared" si="71"/>
        <v>-1.8</v>
      </c>
      <c r="M373" s="47">
        <f t="shared" si="72"/>
        <v>7.3800000000000003E-3</v>
      </c>
      <c r="O373" s="47">
        <f t="shared" si="73"/>
        <v>0.33599767738901826</v>
      </c>
      <c r="P373" s="47">
        <f t="shared" si="74"/>
        <v>-1.81</v>
      </c>
      <c r="Q373" s="47">
        <f t="shared" si="75"/>
        <v>6.0400000000000002E-3</v>
      </c>
      <c r="S373" s="47">
        <f t="shared" si="76"/>
        <v>0.33599767738901826</v>
      </c>
      <c r="T373" s="47">
        <f t="shared" si="77"/>
        <v>-1.8</v>
      </c>
      <c r="U373" s="47">
        <f t="shared" si="78"/>
        <v>6.0400000000000002E-3</v>
      </c>
      <c r="W373" s="47">
        <f t="shared" si="79"/>
        <v>0.12758539546115547</v>
      </c>
      <c r="X373" s="47">
        <f t="shared" si="80"/>
        <v>0.12948516724811823</v>
      </c>
      <c r="Y373" s="47">
        <f t="shared" si="81"/>
        <v>0.12898539305818352</v>
      </c>
      <c r="AP373" s="48">
        <v>0.309</v>
      </c>
      <c r="AQ373" s="48">
        <v>0.34470000000000001</v>
      </c>
      <c r="AR373" s="47">
        <f>IF(AP373="","",AP373-($AC$60+$AC$61*Volcanic!C373+$AC$62*Volcanic!D373+$AC$63*Volcanic!E373))</f>
        <v>0.14719434804475978</v>
      </c>
      <c r="AS373" s="47">
        <f>IF(AQ373="","",AQ373-($AD$60+$AD$61*Volcanic!C373+$AD$62*Volcanic!D373+$AD$63*Volcanic!E373))</f>
        <v>0.17137893600682386</v>
      </c>
    </row>
    <row r="374" spans="1:45">
      <c r="A374" s="45" t="str">
        <f>Volcanic!A374</f>
        <v>3/1989</v>
      </c>
      <c r="B374" s="43">
        <f>Volcanic!B374</f>
        <v>0.36000000000000121</v>
      </c>
      <c r="C374" s="47">
        <f>Volcanic!C374</f>
        <v>0.33864852908132032</v>
      </c>
      <c r="D374" s="41">
        <v>-1.1000000000000001</v>
      </c>
      <c r="E374" s="43">
        <f t="shared" si="82"/>
        <v>-1.8</v>
      </c>
      <c r="F374" s="48">
        <v>4.7999999999999996E-3</v>
      </c>
      <c r="G374" s="47">
        <f t="shared" si="83"/>
        <v>6.0800000000000003E-3</v>
      </c>
      <c r="H374" s="43">
        <f>Volcanic!D374</f>
        <v>-1.85</v>
      </c>
      <c r="I374" s="47">
        <f>Volcanic!E374</f>
        <v>7.62E-3</v>
      </c>
      <c r="K374" s="47">
        <f t="shared" si="70"/>
        <v>0.33864852908132032</v>
      </c>
      <c r="L374" s="47">
        <f t="shared" si="71"/>
        <v>-1.8</v>
      </c>
      <c r="M374" s="47">
        <f t="shared" si="72"/>
        <v>7.62E-3</v>
      </c>
      <c r="O374" s="47">
        <f t="shared" si="73"/>
        <v>0.33864852908132032</v>
      </c>
      <c r="P374" s="47">
        <f t="shared" si="74"/>
        <v>-1.85</v>
      </c>
      <c r="Q374" s="47">
        <f t="shared" si="75"/>
        <v>6.0800000000000003E-3</v>
      </c>
      <c r="S374" s="47">
        <f t="shared" si="76"/>
        <v>0.33864852908132032</v>
      </c>
      <c r="T374" s="47">
        <f t="shared" si="77"/>
        <v>-1.8</v>
      </c>
      <c r="U374" s="47">
        <f t="shared" si="78"/>
        <v>6.0800000000000003E-3</v>
      </c>
      <c r="W374" s="47">
        <f t="shared" si="79"/>
        <v>0.18088496974409779</v>
      </c>
      <c r="X374" s="47">
        <f t="shared" si="80"/>
        <v>0.18618033833524467</v>
      </c>
      <c r="Y374" s="47">
        <f t="shared" si="81"/>
        <v>0.18192404256897313</v>
      </c>
      <c r="AP374" s="48">
        <v>0.25669999999999998</v>
      </c>
      <c r="AQ374" s="48">
        <v>0.28770000000000001</v>
      </c>
      <c r="AR374" s="47">
        <f>IF(AP374="","",AP374-($AC$60+$AC$61*Volcanic!C374+$AC$62*Volcanic!D374+$AC$63*Volcanic!E374))</f>
        <v>9.1979203072322435E-2</v>
      </c>
      <c r="AS374" s="47">
        <f>IF(AQ374="","",AQ374-($AD$60+$AD$61*Volcanic!C374+$AD$62*Volcanic!D374+$AD$63*Volcanic!E374))</f>
        <v>0.11132644325424926</v>
      </c>
    </row>
    <row r="375" spans="1:45">
      <c r="A375" s="45" t="str">
        <f>Volcanic!A375</f>
        <v>4/1989</v>
      </c>
      <c r="B375" s="43">
        <f>Volcanic!B375</f>
        <v>0.28999999999999559</v>
      </c>
      <c r="C375" s="47">
        <f>Volcanic!C375</f>
        <v>0.3453152635906736</v>
      </c>
      <c r="D375" s="41">
        <v>-0.8</v>
      </c>
      <c r="E375" s="43">
        <f t="shared" si="82"/>
        <v>-1.6</v>
      </c>
      <c r="F375" s="48">
        <v>4.6699999999999997E-3</v>
      </c>
      <c r="G375" s="47">
        <f t="shared" si="83"/>
        <v>6.0000000000000001E-3</v>
      </c>
      <c r="H375" s="43">
        <f>Volcanic!D375</f>
        <v>-1.64</v>
      </c>
      <c r="I375" s="47">
        <f>Volcanic!E375</f>
        <v>7.7200000000000003E-3</v>
      </c>
      <c r="K375" s="47">
        <f t="shared" si="70"/>
        <v>0.3453152635906736</v>
      </c>
      <c r="L375" s="47">
        <f t="shared" si="71"/>
        <v>-1.6</v>
      </c>
      <c r="M375" s="47">
        <f t="shared" si="72"/>
        <v>7.7200000000000003E-3</v>
      </c>
      <c r="O375" s="47">
        <f t="shared" si="73"/>
        <v>0.3453152635906736</v>
      </c>
      <c r="P375" s="47">
        <f t="shared" si="74"/>
        <v>-1.64</v>
      </c>
      <c r="Q375" s="47">
        <f t="shared" si="75"/>
        <v>6.0000000000000001E-3</v>
      </c>
      <c r="S375" s="47">
        <f t="shared" si="76"/>
        <v>0.3453152635906736</v>
      </c>
      <c r="T375" s="47">
        <f t="shared" si="77"/>
        <v>-1.6</v>
      </c>
      <c r="U375" s="47">
        <f t="shared" si="78"/>
        <v>6.0000000000000001E-3</v>
      </c>
      <c r="W375" s="47">
        <f t="shared" si="79"/>
        <v>7.4349470434705051E-2</v>
      </c>
      <c r="X375" s="47">
        <f t="shared" si="80"/>
        <v>7.8220677679316175E-2</v>
      </c>
      <c r="Y375" s="47">
        <f t="shared" si="81"/>
        <v>7.4890527613804742E-2</v>
      </c>
      <c r="AP375" s="48">
        <v>0.22009999999999999</v>
      </c>
      <c r="AQ375" s="48">
        <v>0.32669999999999999</v>
      </c>
      <c r="AR375" s="47">
        <f>IF(AP375="","",AP375-($AC$60+$AC$61*Volcanic!C375+$AC$62*Volcanic!D375+$AC$63*Volcanic!E375))</f>
        <v>1.7750112632239162E-2</v>
      </c>
      <c r="AS375" s="47">
        <f>IF(AQ375="","",AQ375-($AD$60+$AD$61*Volcanic!C375+$AD$62*Volcanic!D375+$AD$63*Volcanic!E375))</f>
        <v>0.11181416095219873</v>
      </c>
    </row>
    <row r="376" spans="1:45">
      <c r="A376" s="45" t="str">
        <f>Volcanic!A376</f>
        <v>5/1989</v>
      </c>
      <c r="B376" s="43">
        <f>Volcanic!B376</f>
        <v>0.17999999999999972</v>
      </c>
      <c r="C376" s="47">
        <f>Volcanic!C376</f>
        <v>0.34624777408277535</v>
      </c>
      <c r="D376" s="41">
        <v>-0.6</v>
      </c>
      <c r="E376" s="43">
        <f t="shared" si="82"/>
        <v>-1.4</v>
      </c>
      <c r="F376" s="48">
        <v>4.64E-3</v>
      </c>
      <c r="G376" s="47">
        <f t="shared" si="83"/>
        <v>5.7600000000000004E-3</v>
      </c>
      <c r="H376" s="43">
        <f>Volcanic!D376</f>
        <v>-1.38</v>
      </c>
      <c r="I376" s="47">
        <f>Volcanic!E376</f>
        <v>7.4200000000000004E-3</v>
      </c>
      <c r="K376" s="47">
        <f t="shared" si="70"/>
        <v>0.34624777408277535</v>
      </c>
      <c r="L376" s="47">
        <f t="shared" si="71"/>
        <v>-1.4</v>
      </c>
      <c r="M376" s="47">
        <f t="shared" si="72"/>
        <v>7.4200000000000004E-3</v>
      </c>
      <c r="O376" s="47">
        <f t="shared" si="73"/>
        <v>0.34624777408277535</v>
      </c>
      <c r="P376" s="47">
        <f t="shared" si="74"/>
        <v>-1.38</v>
      </c>
      <c r="Q376" s="47">
        <f t="shared" si="75"/>
        <v>5.7600000000000004E-3</v>
      </c>
      <c r="S376" s="47">
        <f t="shared" si="76"/>
        <v>0.34624777408277535</v>
      </c>
      <c r="T376" s="47">
        <f t="shared" si="77"/>
        <v>-1.4</v>
      </c>
      <c r="U376" s="47">
        <f t="shared" si="78"/>
        <v>5.7600000000000004E-3</v>
      </c>
      <c r="W376" s="47">
        <f t="shared" si="79"/>
        <v>-5.7429346545248783E-2</v>
      </c>
      <c r="X376" s="47">
        <f t="shared" si="80"/>
        <v>-5.9350906215414473E-2</v>
      </c>
      <c r="Y376" s="47">
        <f t="shared" si="81"/>
        <v>-5.7060330462031794E-2</v>
      </c>
      <c r="AP376" s="48">
        <v>0.1091</v>
      </c>
      <c r="AQ376" s="48">
        <v>0.11169999999999999</v>
      </c>
      <c r="AR376" s="47">
        <f>IF(AP376="","",AP376-($AC$60+$AC$61*Volcanic!C376+$AC$62*Volcanic!D376+$AC$63*Volcanic!E376))</f>
        <v>-0.12086579446368684</v>
      </c>
      <c r="AS376" s="47">
        <f>IF(AQ376="","",AQ376-($AD$60+$AD$61*Volcanic!C376+$AD$62*Volcanic!D376+$AD$63*Volcanic!E376))</f>
        <v>-0.13133153355184204</v>
      </c>
    </row>
    <row r="377" spans="1:45">
      <c r="A377" s="45" t="str">
        <f>Volcanic!A377</f>
        <v>6/1989</v>
      </c>
      <c r="B377" s="43">
        <f>Volcanic!B377</f>
        <v>0.14999999999999858</v>
      </c>
      <c r="C377" s="47">
        <f>Volcanic!C377</f>
        <v>0.3441792192903127</v>
      </c>
      <c r="D377" s="41">
        <v>-0.4</v>
      </c>
      <c r="E377" s="43">
        <f t="shared" si="82"/>
        <v>-1.1000000000000001</v>
      </c>
      <c r="F377" s="48">
        <v>4.62E-3</v>
      </c>
      <c r="G377" s="47">
        <f t="shared" si="83"/>
        <v>5.7000000000000002E-3</v>
      </c>
      <c r="H377" s="43">
        <f>Volcanic!D377</f>
        <v>-1.0900000000000001</v>
      </c>
      <c r="I377" s="47">
        <f>Volcanic!E377</f>
        <v>7.1900000000000002E-3</v>
      </c>
      <c r="K377" s="47">
        <f t="shared" si="70"/>
        <v>0.3441792192903127</v>
      </c>
      <c r="L377" s="47">
        <f t="shared" si="71"/>
        <v>-1.1000000000000001</v>
      </c>
      <c r="M377" s="47">
        <f t="shared" si="72"/>
        <v>7.1900000000000002E-3</v>
      </c>
      <c r="O377" s="47">
        <f t="shared" si="73"/>
        <v>0.3441792192903127</v>
      </c>
      <c r="P377" s="47">
        <f t="shared" si="74"/>
        <v>-1.0900000000000001</v>
      </c>
      <c r="Q377" s="47">
        <f t="shared" si="75"/>
        <v>5.7000000000000002E-3</v>
      </c>
      <c r="S377" s="47">
        <f t="shared" si="76"/>
        <v>0.3441792192903127</v>
      </c>
      <c r="T377" s="47">
        <f t="shared" si="77"/>
        <v>-1.1000000000000001</v>
      </c>
      <c r="U377" s="47">
        <f t="shared" si="78"/>
        <v>5.7000000000000002E-3</v>
      </c>
      <c r="W377" s="47">
        <f t="shared" si="79"/>
        <v>-0.11015689132156758</v>
      </c>
      <c r="X377" s="47">
        <f t="shared" si="80"/>
        <v>-0.11115666383585987</v>
      </c>
      <c r="Y377" s="47">
        <f t="shared" si="81"/>
        <v>-0.10982874269415616</v>
      </c>
      <c r="AP377" s="48">
        <v>0.16800000000000001</v>
      </c>
      <c r="AQ377" s="48">
        <v>0.13769999999999999</v>
      </c>
      <c r="AR377" s="47">
        <f>IF(AP377="","",AP377-($AC$60+$AC$61*Volcanic!C377+$AC$62*Volcanic!D377+$AC$63*Volcanic!E377))</f>
        <v>-8.4027887417790964E-2</v>
      </c>
      <c r="AS377" s="47">
        <f>IF(AQ377="","",AQ377-($AD$60+$AD$61*Volcanic!C377+$AD$62*Volcanic!D377+$AD$63*Volcanic!E377))</f>
        <v>-0.12777817095300253</v>
      </c>
    </row>
    <row r="378" spans="1:45">
      <c r="A378" s="45" t="str">
        <f>Volcanic!A378</f>
        <v>7/1989</v>
      </c>
      <c r="B378" s="43">
        <f>Volcanic!B378</f>
        <v>0.34999999999999787</v>
      </c>
      <c r="C378" s="47">
        <f>Volcanic!C378</f>
        <v>0.33852628923481626</v>
      </c>
      <c r="D378" s="41">
        <v>-0.4</v>
      </c>
      <c r="E378" s="43">
        <f t="shared" si="82"/>
        <v>-0.8</v>
      </c>
      <c r="F378" s="48">
        <v>4.5500000000000002E-3</v>
      </c>
      <c r="G378" s="47">
        <f t="shared" si="83"/>
        <v>5.3899999999999998E-3</v>
      </c>
      <c r="H378" s="43">
        <f>Volcanic!D378</f>
        <v>-0.85</v>
      </c>
      <c r="I378" s="47">
        <f>Volcanic!E378</f>
        <v>6.8199999999999997E-3</v>
      </c>
      <c r="K378" s="47">
        <f t="shared" si="70"/>
        <v>0.33852628923481626</v>
      </c>
      <c r="L378" s="47">
        <f t="shared" si="71"/>
        <v>-0.8</v>
      </c>
      <c r="M378" s="47">
        <f t="shared" si="72"/>
        <v>6.8199999999999997E-3</v>
      </c>
      <c r="O378" s="47">
        <f t="shared" si="73"/>
        <v>0.33852628923481626</v>
      </c>
      <c r="P378" s="47">
        <f t="shared" si="74"/>
        <v>-0.85</v>
      </c>
      <c r="Q378" s="47">
        <f t="shared" si="75"/>
        <v>5.3899999999999998E-3</v>
      </c>
      <c r="S378" s="47">
        <f t="shared" si="76"/>
        <v>0.33852628923481626</v>
      </c>
      <c r="T378" s="47">
        <f t="shared" si="77"/>
        <v>-0.8</v>
      </c>
      <c r="U378" s="47">
        <f t="shared" si="78"/>
        <v>5.3899999999999998E-3</v>
      </c>
      <c r="W378" s="47">
        <f t="shared" si="79"/>
        <v>7.6582201466981581E-2</v>
      </c>
      <c r="X378" s="47">
        <f t="shared" si="80"/>
        <v>8.0771840537329054E-2</v>
      </c>
      <c r="Y378" s="47">
        <f t="shared" si="81"/>
        <v>7.6438442213447644E-2</v>
      </c>
      <c r="AP378" s="48">
        <v>0.33400000000000002</v>
      </c>
      <c r="AQ378" s="48">
        <v>0.30869999999999997</v>
      </c>
      <c r="AR378" s="47">
        <f>IF(AP378="","",AP378-($AC$60+$AC$61*Volcanic!C378+$AC$62*Volcanic!D378+$AC$63*Volcanic!E378))</f>
        <v>7.4042930755880476E-2</v>
      </c>
      <c r="AS378" s="47">
        <f>IF(AQ378="","",AQ378-($AD$60+$AD$61*Volcanic!C378+$AD$62*Volcanic!D378+$AD$63*Volcanic!E378))</f>
        <v>3.52722091290949E-2</v>
      </c>
    </row>
    <row r="379" spans="1:45">
      <c r="A379" s="45" t="str">
        <f>Volcanic!A379</f>
        <v>8/1989</v>
      </c>
      <c r="B379" s="43">
        <f>Volcanic!B379</f>
        <v>0.32999999999999652</v>
      </c>
      <c r="C379" s="47">
        <f>Volcanic!C379</f>
        <v>0.32949268213527677</v>
      </c>
      <c r="D379" s="41">
        <v>-0.4</v>
      </c>
      <c r="E379" s="43">
        <f t="shared" si="82"/>
        <v>-0.6</v>
      </c>
      <c r="F379" s="48">
        <v>4.5100000000000001E-3</v>
      </c>
      <c r="G379" s="47">
        <f t="shared" si="83"/>
        <v>5.1599999999999997E-3</v>
      </c>
      <c r="H379" s="43">
        <f>Volcanic!D379</f>
        <v>-0.61</v>
      </c>
      <c r="I379" s="47">
        <f>Volcanic!E379</f>
        <v>6.5199999999999998E-3</v>
      </c>
      <c r="K379" s="47">
        <f t="shared" si="70"/>
        <v>0.32949268213527677</v>
      </c>
      <c r="L379" s="47">
        <f t="shared" si="71"/>
        <v>-0.6</v>
      </c>
      <c r="M379" s="47">
        <f t="shared" si="72"/>
        <v>6.5199999999999998E-3</v>
      </c>
      <c r="O379" s="47">
        <f t="shared" si="73"/>
        <v>0.32949268213527677</v>
      </c>
      <c r="P379" s="47">
        <f t="shared" si="74"/>
        <v>-0.61</v>
      </c>
      <c r="Q379" s="47">
        <f t="shared" si="75"/>
        <v>5.1599999999999997E-3</v>
      </c>
      <c r="S379" s="47">
        <f t="shared" si="76"/>
        <v>0.32949268213527677</v>
      </c>
      <c r="T379" s="47">
        <f t="shared" si="77"/>
        <v>-0.6</v>
      </c>
      <c r="U379" s="47">
        <f t="shared" si="78"/>
        <v>5.1599999999999997E-3</v>
      </c>
      <c r="W379" s="47">
        <f t="shared" si="79"/>
        <v>6.1982487832907884E-2</v>
      </c>
      <c r="X379" s="47">
        <f t="shared" si="80"/>
        <v>6.2049291769461112E-2</v>
      </c>
      <c r="Y379" s="47">
        <f t="shared" si="81"/>
        <v>6.1454909400281255E-2</v>
      </c>
      <c r="AP379" s="48">
        <v>0.32569999999999999</v>
      </c>
      <c r="AQ379" s="48">
        <v>0.31969999999999998</v>
      </c>
      <c r="AR379" s="47">
        <f>IF(AP379="","",AP379-($AC$60+$AC$61*Volcanic!C379+$AC$62*Volcanic!D379+$AC$63*Volcanic!E379))</f>
        <v>6.7213487050731047E-2</v>
      </c>
      <c r="AS379" s="47">
        <f>IF(AQ379="","",AQ379-($AD$60+$AD$61*Volcanic!C379+$AD$62*Volcanic!D379+$AD$63*Volcanic!E379))</f>
        <v>4.7951828054636825E-2</v>
      </c>
    </row>
    <row r="380" spans="1:45">
      <c r="A380" s="45" t="str">
        <f>Volcanic!A380</f>
        <v>9/1989</v>
      </c>
      <c r="B380" s="43">
        <f>Volcanic!B380</f>
        <v>0.34999999999999787</v>
      </c>
      <c r="C380" s="47">
        <f>Volcanic!C380</f>
        <v>0.32229902592307286</v>
      </c>
      <c r="D380" s="41">
        <v>-0.3</v>
      </c>
      <c r="E380" s="43">
        <f t="shared" si="82"/>
        <v>-0.4</v>
      </c>
      <c r="F380" s="48">
        <v>4.4799999999999996E-3</v>
      </c>
      <c r="G380" s="47">
        <f t="shared" si="83"/>
        <v>5.0499999999999998E-3</v>
      </c>
      <c r="H380" s="43">
        <f>Volcanic!D380</f>
        <v>-0.4</v>
      </c>
      <c r="I380" s="47">
        <f>Volcanic!E380</f>
        <v>6.3600000000000002E-3</v>
      </c>
      <c r="K380" s="47">
        <f t="shared" si="70"/>
        <v>0.32229902592307286</v>
      </c>
      <c r="L380" s="47">
        <f t="shared" si="71"/>
        <v>-0.4</v>
      </c>
      <c r="M380" s="47">
        <f t="shared" si="72"/>
        <v>6.3600000000000002E-3</v>
      </c>
      <c r="O380" s="47">
        <f t="shared" si="73"/>
        <v>0.32229902592307286</v>
      </c>
      <c r="P380" s="47">
        <f t="shared" si="74"/>
        <v>-0.4</v>
      </c>
      <c r="Q380" s="47">
        <f t="shared" si="75"/>
        <v>5.0499999999999998E-3</v>
      </c>
      <c r="S380" s="47">
        <f t="shared" si="76"/>
        <v>0.32229902592307286</v>
      </c>
      <c r="T380" s="47">
        <f t="shared" si="77"/>
        <v>-0.4</v>
      </c>
      <c r="U380" s="47">
        <f t="shared" si="78"/>
        <v>5.0499999999999998E-3</v>
      </c>
      <c r="W380" s="47">
        <f t="shared" si="79"/>
        <v>8.2673444577631316E-2</v>
      </c>
      <c r="X380" s="47">
        <f t="shared" si="80"/>
        <v>8.1483906628959324E-2</v>
      </c>
      <c r="Y380" s="47">
        <f t="shared" si="81"/>
        <v>8.1811381579423137E-2</v>
      </c>
      <c r="AP380" s="48">
        <v>0.36809999999999998</v>
      </c>
      <c r="AQ380" s="48">
        <v>0.33169999999999999</v>
      </c>
      <c r="AR380" s="47">
        <f>IF(AP380="","",AP380-($AC$60+$AC$61*Volcanic!C380+$AC$62*Volcanic!D380+$AC$63*Volcanic!E380))</f>
        <v>0.10920607963476558</v>
      </c>
      <c r="AS380" s="47">
        <f>IF(AQ380="","",AQ380-($AD$60+$AD$61*Volcanic!C380+$AD$62*Volcanic!D380+$AD$63*Volcanic!E380))</f>
        <v>5.9665521548853906E-2</v>
      </c>
    </row>
    <row r="381" spans="1:45">
      <c r="A381" s="45" t="str">
        <f>Volcanic!A381</f>
        <v>10/1989</v>
      </c>
      <c r="B381" s="43">
        <f>Volcanic!B381</f>
        <v>0.28999999999999559</v>
      </c>
      <c r="C381" s="47">
        <f>Volcanic!C381</f>
        <v>0.32328770935119977</v>
      </c>
      <c r="D381" s="41">
        <v>-0.2</v>
      </c>
      <c r="E381" s="43">
        <f t="shared" si="82"/>
        <v>-0.4</v>
      </c>
      <c r="F381" s="48">
        <v>4.3800000000000002E-3</v>
      </c>
      <c r="G381" s="47">
        <f t="shared" si="83"/>
        <v>4.7999999999999996E-3</v>
      </c>
      <c r="H381" s="43">
        <f>Volcanic!D381</f>
        <v>-0.37</v>
      </c>
      <c r="I381" s="47">
        <f>Volcanic!E381</f>
        <v>5.9699999999999996E-3</v>
      </c>
      <c r="K381" s="47">
        <f t="shared" si="70"/>
        <v>0.32328770935119977</v>
      </c>
      <c r="L381" s="47">
        <f t="shared" si="71"/>
        <v>-0.4</v>
      </c>
      <c r="M381" s="47">
        <f t="shared" si="72"/>
        <v>5.9699999999999996E-3</v>
      </c>
      <c r="O381" s="47">
        <f t="shared" si="73"/>
        <v>0.32328770935119977</v>
      </c>
      <c r="P381" s="47">
        <f t="shared" si="74"/>
        <v>-0.37</v>
      </c>
      <c r="Q381" s="47">
        <f t="shared" si="75"/>
        <v>4.7999999999999996E-3</v>
      </c>
      <c r="S381" s="47">
        <f t="shared" si="76"/>
        <v>0.32328770935119977</v>
      </c>
      <c r="T381" s="47">
        <f t="shared" si="77"/>
        <v>-0.4</v>
      </c>
      <c r="U381" s="47">
        <f t="shared" si="78"/>
        <v>4.7999999999999996E-3</v>
      </c>
      <c r="W381" s="47">
        <f t="shared" si="79"/>
        <v>1.9117781234914089E-2</v>
      </c>
      <c r="X381" s="47">
        <f t="shared" si="80"/>
        <v>1.5339649531598387E-2</v>
      </c>
      <c r="Y381" s="47">
        <f t="shared" si="81"/>
        <v>1.8484738720645877E-2</v>
      </c>
      <c r="AP381" s="48">
        <v>0.32979999999999998</v>
      </c>
      <c r="AQ381" s="48">
        <v>0.31569999999999998</v>
      </c>
      <c r="AR381" s="47">
        <f>IF(AP381="","",AP381-($AC$60+$AC$61*Volcanic!C381+$AC$62*Volcanic!D381+$AC$63*Volcanic!E381))</f>
        <v>6.4458601516783898E-2</v>
      </c>
      <c r="AS381" s="47">
        <f>IF(AQ381="","",AQ381-($AD$60+$AD$61*Volcanic!C381+$AD$62*Volcanic!D381+$AD$63*Volcanic!E381))</f>
        <v>3.7136156570088119E-2</v>
      </c>
    </row>
    <row r="382" spans="1:45">
      <c r="A382" s="45" t="str">
        <f>Volcanic!A382</f>
        <v>11/1989</v>
      </c>
      <c r="B382" s="43">
        <f>Volcanic!B382</f>
        <v>0.20000000000000107</v>
      </c>
      <c r="C382" s="47">
        <f>Volcanic!C382</f>
        <v>0.32830306731117204</v>
      </c>
      <c r="D382" s="41">
        <v>-0.1</v>
      </c>
      <c r="E382" s="43">
        <f t="shared" si="82"/>
        <v>-0.4</v>
      </c>
      <c r="F382" s="48">
        <v>4.3E-3</v>
      </c>
      <c r="G382" s="47">
        <f t="shared" si="83"/>
        <v>4.6699999999999997E-3</v>
      </c>
      <c r="H382" s="43">
        <f>Volcanic!D382</f>
        <v>-0.36</v>
      </c>
      <c r="I382" s="47">
        <f>Volcanic!E382</f>
        <v>5.8799999999999998E-3</v>
      </c>
      <c r="K382" s="47">
        <f t="shared" si="70"/>
        <v>0.32830306731117204</v>
      </c>
      <c r="L382" s="47">
        <f t="shared" si="71"/>
        <v>-0.4</v>
      </c>
      <c r="M382" s="47">
        <f t="shared" si="72"/>
        <v>5.8799999999999998E-3</v>
      </c>
      <c r="O382" s="47">
        <f t="shared" si="73"/>
        <v>0.32830306731117204</v>
      </c>
      <c r="P382" s="47">
        <f t="shared" si="74"/>
        <v>-0.36</v>
      </c>
      <c r="Q382" s="47">
        <f t="shared" si="75"/>
        <v>4.6699999999999997E-3</v>
      </c>
      <c r="S382" s="47">
        <f t="shared" si="76"/>
        <v>0.32830306731117204</v>
      </c>
      <c r="T382" s="47">
        <f t="shared" si="77"/>
        <v>-0.4</v>
      </c>
      <c r="U382" s="47">
        <f t="shared" si="78"/>
        <v>4.6699999999999997E-3</v>
      </c>
      <c r="W382" s="47">
        <f t="shared" si="79"/>
        <v>-8.4758172374661211E-2</v>
      </c>
      <c r="X382" s="47">
        <f t="shared" si="80"/>
        <v>-8.9498785395088098E-2</v>
      </c>
      <c r="Y382" s="47">
        <f t="shared" si="81"/>
        <v>-8.5413216784509971E-2</v>
      </c>
      <c r="AP382" s="48">
        <v>0.18390000000000001</v>
      </c>
      <c r="AQ382" s="48">
        <v>0.1227</v>
      </c>
      <c r="AR382" s="47">
        <f>IF(AP382="","",AP382-($AC$60+$AC$61*Volcanic!C382+$AC$62*Volcanic!D382+$AC$63*Volcanic!E382))</f>
        <v>-9.6289384563084113E-2</v>
      </c>
      <c r="AS382" s="47">
        <f>IF(AQ382="","",AQ382-($AD$60+$AD$61*Volcanic!C382+$AD$62*Volcanic!D382+$AD$63*Volcanic!E382))</f>
        <v>-0.1710730986706904</v>
      </c>
    </row>
    <row r="383" spans="1:45">
      <c r="A383" s="45" t="str">
        <f>Volcanic!A383</f>
        <v>12/1989</v>
      </c>
      <c r="B383" s="43">
        <f>Volcanic!B383</f>
        <v>0.36999999999999744</v>
      </c>
      <c r="C383" s="47">
        <f>Volcanic!C383</f>
        <v>0.33387348349714652</v>
      </c>
      <c r="D383" s="41">
        <v>0</v>
      </c>
      <c r="E383" s="43">
        <f t="shared" si="82"/>
        <v>-0.3</v>
      </c>
      <c r="F383" s="48">
        <v>4.1900000000000001E-3</v>
      </c>
      <c r="G383" s="47">
        <f t="shared" si="83"/>
        <v>4.64E-3</v>
      </c>
      <c r="H383" s="43">
        <f>Volcanic!D383</f>
        <v>-0.33</v>
      </c>
      <c r="I383" s="47">
        <f>Volcanic!E383</f>
        <v>5.7999999999999996E-3</v>
      </c>
      <c r="K383" s="47">
        <f t="shared" si="70"/>
        <v>0.33387348349714652</v>
      </c>
      <c r="L383" s="47">
        <f t="shared" si="71"/>
        <v>-0.3</v>
      </c>
      <c r="M383" s="47">
        <f t="shared" si="72"/>
        <v>5.7999999999999996E-3</v>
      </c>
      <c r="O383" s="47">
        <f t="shared" si="73"/>
        <v>0.33387348349714652</v>
      </c>
      <c r="P383" s="47">
        <f t="shared" si="74"/>
        <v>-0.33</v>
      </c>
      <c r="Q383" s="47">
        <f t="shared" si="75"/>
        <v>4.64E-3</v>
      </c>
      <c r="S383" s="47">
        <f t="shared" si="76"/>
        <v>0.33387348349714652</v>
      </c>
      <c r="T383" s="47">
        <f t="shared" si="77"/>
        <v>-0.3</v>
      </c>
      <c r="U383" s="47">
        <f t="shared" si="78"/>
        <v>4.64E-3</v>
      </c>
      <c r="W383" s="47">
        <f t="shared" si="79"/>
        <v>6.0586850432100881E-2</v>
      </c>
      <c r="X383" s="47">
        <f t="shared" si="80"/>
        <v>6.2544687589731973E-2</v>
      </c>
      <c r="Y383" s="47">
        <f t="shared" si="81"/>
        <v>6.004882330250777E-2</v>
      </c>
      <c r="AP383" s="48">
        <v>0.3538</v>
      </c>
      <c r="AQ383" s="48">
        <v>0.43969999999999998</v>
      </c>
      <c r="AR383" s="47">
        <f>IF(AP383="","",AP383-($AC$60+$AC$61*Volcanic!C383+$AC$62*Volcanic!D383+$AC$63*Volcanic!E383))</f>
        <v>5.5398142850918763E-2</v>
      </c>
      <c r="AS383" s="47">
        <f>IF(AQ383="","",AQ383-($AD$60+$AD$61*Volcanic!C383+$AD$62*Volcanic!D383+$AD$63*Volcanic!E383))</f>
        <v>0.12727460446632122</v>
      </c>
    </row>
    <row r="384" spans="1:45">
      <c r="A384" s="45" t="str">
        <f>Volcanic!A384</f>
        <v>1/1990</v>
      </c>
      <c r="B384" s="43">
        <f>Volcanic!B384</f>
        <v>0.42000000000000348</v>
      </c>
      <c r="C384" s="47">
        <f>Volcanic!C384</f>
        <v>0.33775186292539572</v>
      </c>
      <c r="D384" s="41">
        <v>0.2</v>
      </c>
      <c r="E384" s="43">
        <f t="shared" si="82"/>
        <v>-0.2</v>
      </c>
      <c r="F384" s="48">
        <v>4.0000000000000001E-3</v>
      </c>
      <c r="G384" s="47">
        <f t="shared" si="83"/>
        <v>4.62E-3</v>
      </c>
      <c r="H384" s="43">
        <f>Volcanic!D384</f>
        <v>-0.25</v>
      </c>
      <c r="I384" s="47">
        <f>Volcanic!E384</f>
        <v>5.7400000000000003E-3</v>
      </c>
      <c r="K384" s="47">
        <f t="shared" si="70"/>
        <v>0.33775186292539572</v>
      </c>
      <c r="L384" s="47">
        <f t="shared" si="71"/>
        <v>-0.2</v>
      </c>
      <c r="M384" s="47">
        <f t="shared" si="72"/>
        <v>5.7400000000000003E-3</v>
      </c>
      <c r="O384" s="47">
        <f t="shared" si="73"/>
        <v>0.33775186292539572</v>
      </c>
      <c r="P384" s="47">
        <f t="shared" si="74"/>
        <v>-0.25</v>
      </c>
      <c r="Q384" s="47">
        <f t="shared" si="75"/>
        <v>4.62E-3</v>
      </c>
      <c r="S384" s="47">
        <f t="shared" si="76"/>
        <v>0.33775186292539572</v>
      </c>
      <c r="T384" s="47">
        <f t="shared" si="77"/>
        <v>-0.2</v>
      </c>
      <c r="U384" s="47">
        <f t="shared" si="78"/>
        <v>4.62E-3</v>
      </c>
      <c r="W384" s="47">
        <f t="shared" si="79"/>
        <v>9.0590382760471877E-2</v>
      </c>
      <c r="X384" s="47">
        <f t="shared" si="80"/>
        <v>9.4492033560482358E-2</v>
      </c>
      <c r="Y384" s="47">
        <f t="shared" si="81"/>
        <v>9.0111064164263233E-2</v>
      </c>
      <c r="AP384" s="48">
        <v>0.35539999999999999</v>
      </c>
      <c r="AQ384" s="48">
        <v>0.41170000000000001</v>
      </c>
      <c r="AR384" s="47">
        <f>IF(AP384="","",AP384-($AC$60+$AC$61*Volcanic!C384+$AC$62*Volcanic!D384+$AC$63*Volcanic!E384))</f>
        <v>3.8771828477187076E-2</v>
      </c>
      <c r="AS384" s="47">
        <f>IF(AQ384="","",AQ384-($AD$60+$AD$61*Volcanic!C384+$AD$62*Volcanic!D384+$AD$63*Volcanic!E384))</f>
        <v>8.0629111757026084E-2</v>
      </c>
    </row>
    <row r="385" spans="1:45">
      <c r="A385" s="45" t="str">
        <f>Volcanic!A385</f>
        <v>2/1990</v>
      </c>
      <c r="B385" s="43">
        <f>Volcanic!B385</f>
        <v>0.44000000000000483</v>
      </c>
      <c r="C385" s="47">
        <f>Volcanic!C385</f>
        <v>0.34279853318864284</v>
      </c>
      <c r="D385" s="41">
        <v>0.2</v>
      </c>
      <c r="E385" s="43">
        <f t="shared" si="82"/>
        <v>-0.1</v>
      </c>
      <c r="F385" s="48">
        <v>4.1000000000000003E-3</v>
      </c>
      <c r="G385" s="47">
        <f t="shared" si="83"/>
        <v>4.5500000000000002E-3</v>
      </c>
      <c r="H385" s="43">
        <f>Volcanic!D385</f>
        <v>-0.12</v>
      </c>
      <c r="I385" s="47">
        <f>Volcanic!E385</f>
        <v>5.64E-3</v>
      </c>
      <c r="K385" s="47">
        <f t="shared" si="70"/>
        <v>0.34279853318864284</v>
      </c>
      <c r="L385" s="47">
        <f t="shared" si="71"/>
        <v>-0.1</v>
      </c>
      <c r="M385" s="47">
        <f t="shared" si="72"/>
        <v>5.64E-3</v>
      </c>
      <c r="O385" s="47">
        <f t="shared" si="73"/>
        <v>0.34279853318864284</v>
      </c>
      <c r="P385" s="47">
        <f t="shared" si="74"/>
        <v>-0.12</v>
      </c>
      <c r="Q385" s="47">
        <f t="shared" si="75"/>
        <v>4.5500000000000002E-3</v>
      </c>
      <c r="S385" s="47">
        <f t="shared" si="76"/>
        <v>0.34279853318864284</v>
      </c>
      <c r="T385" s="47">
        <f t="shared" si="77"/>
        <v>-0.1</v>
      </c>
      <c r="U385" s="47">
        <f t="shared" si="78"/>
        <v>4.5500000000000002E-3</v>
      </c>
      <c r="W385" s="47">
        <f t="shared" si="79"/>
        <v>8.7319669062341176E-2</v>
      </c>
      <c r="X385" s="47">
        <f t="shared" si="80"/>
        <v>8.8453366431769154E-2</v>
      </c>
      <c r="Y385" s="47">
        <f t="shared" si="81"/>
        <v>8.6884300674790582E-2</v>
      </c>
      <c r="AP385" s="48">
        <v>0.34870000000000001</v>
      </c>
      <c r="AQ385" s="48">
        <v>0.38369999999999999</v>
      </c>
      <c r="AR385" s="47">
        <f>IF(AP385="","",AP385-($AC$60+$AC$61*Volcanic!C385+$AC$62*Volcanic!D385+$AC$63*Volcanic!E385))</f>
        <v>5.8768666211172493E-3</v>
      </c>
      <c r="AS385" s="47">
        <f>IF(AQ385="","",AQ385-($AD$60+$AD$61*Volcanic!C385+$AD$62*Volcanic!D385+$AD$63*Volcanic!E385))</f>
        <v>2.5841530939230417E-2</v>
      </c>
    </row>
    <row r="386" spans="1:45">
      <c r="A386" s="45" t="str">
        <f>Volcanic!A386</f>
        <v>3/1990</v>
      </c>
      <c r="B386" s="43">
        <f>Volcanic!B386</f>
        <v>0.79999999999999893</v>
      </c>
      <c r="C386" s="47">
        <f>Volcanic!C386</f>
        <v>0.34543692958151601</v>
      </c>
      <c r="D386" s="41">
        <v>0.3</v>
      </c>
      <c r="E386" s="43">
        <f t="shared" si="82"/>
        <v>0</v>
      </c>
      <c r="F386" s="48">
        <v>4.6699999999999997E-3</v>
      </c>
      <c r="G386" s="47">
        <f t="shared" si="83"/>
        <v>4.5100000000000001E-3</v>
      </c>
      <c r="H386" s="43">
        <f>Volcanic!D386</f>
        <v>-0.04</v>
      </c>
      <c r="I386" s="47">
        <f>Volcanic!E386</f>
        <v>5.7000000000000002E-3</v>
      </c>
      <c r="K386" s="47">
        <f t="shared" ref="K386:K449" si="84">C386</f>
        <v>0.34543692958151601</v>
      </c>
      <c r="L386" s="47">
        <f t="shared" ref="L386:L449" si="85">E386</f>
        <v>0</v>
      </c>
      <c r="M386" s="47">
        <f t="shared" ref="M386:M449" si="86">I386</f>
        <v>5.7000000000000002E-3</v>
      </c>
      <c r="O386" s="47">
        <f t="shared" ref="O386:O449" si="87">C386</f>
        <v>0.34543692958151601</v>
      </c>
      <c r="P386" s="47">
        <f t="shared" ref="P386:P449" si="88">H386</f>
        <v>-0.04</v>
      </c>
      <c r="Q386" s="47">
        <f t="shared" ref="Q386:Q449" si="89">G386</f>
        <v>4.5100000000000001E-3</v>
      </c>
      <c r="S386" s="47">
        <f t="shared" ref="S386:S449" si="90">C386</f>
        <v>0.34543692958151601</v>
      </c>
      <c r="T386" s="47">
        <f t="shared" ref="T386:T449" si="91">E386</f>
        <v>0</v>
      </c>
      <c r="U386" s="47">
        <f t="shared" ref="U386:U449" si="92">G386</f>
        <v>4.5100000000000001E-3</v>
      </c>
      <c r="W386" s="47">
        <f t="shared" ref="W386:W449" si="93">IF(OR(L386="",M386=""),"",B386-($AB$6+$AB$7*K386+$AB$8*L386+$AB$9*M386))</f>
        <v>0.4309692448450575</v>
      </c>
      <c r="X386" s="47">
        <f t="shared" ref="X386:X449" si="94">IF(OR(P386="",Q386=""),"",B386-($AC$6+$AC$7*O386+$AC$8*P386+$AC$9*Q386))</f>
        <v>0.43370084916603646</v>
      </c>
      <c r="Y386" s="47">
        <f t="shared" ref="Y386:Y449" si="95">IF(OR(T386="",U386=""),"",B386-($AD$6+$AD$7*S386+$AD$8*T386+$AD$9*U386))</f>
        <v>0.43024624127780892</v>
      </c>
      <c r="AP386" s="48">
        <v>0.70379999999999998</v>
      </c>
      <c r="AQ386" s="48">
        <v>0.72470000000000001</v>
      </c>
      <c r="AR386" s="47">
        <f>IF(AP386="","",AP386-($AC$60+$AC$61*Volcanic!C386+$AC$62*Volcanic!D386+$AC$63*Volcanic!E386))</f>
        <v>0.3464252039947191</v>
      </c>
      <c r="AS386" s="47">
        <f>IF(AQ386="","",AQ386-($AD$60+$AD$61*Volcanic!C386+$AD$62*Volcanic!D386+$AD$63*Volcanic!E386))</f>
        <v>0.35194394047055644</v>
      </c>
    </row>
    <row r="387" spans="1:45">
      <c r="A387" s="45" t="str">
        <f>Volcanic!A387</f>
        <v>4/1990</v>
      </c>
      <c r="B387" s="43">
        <f>Volcanic!B387</f>
        <v>0.55999999999999872</v>
      </c>
      <c r="C387" s="47">
        <f>Volcanic!C387</f>
        <v>0.34798954810025179</v>
      </c>
      <c r="D387" s="41">
        <v>0.3</v>
      </c>
      <c r="E387" s="43">
        <f t="shared" si="82"/>
        <v>0.2</v>
      </c>
      <c r="F387" s="48">
        <v>4.9199999999999999E-3</v>
      </c>
      <c r="G387" s="47">
        <f t="shared" si="83"/>
        <v>4.4799999999999996E-3</v>
      </c>
      <c r="H387" s="43">
        <f>Volcanic!D387</f>
        <v>0.18</v>
      </c>
      <c r="I387" s="47">
        <f>Volcanic!E387</f>
        <v>5.79E-3</v>
      </c>
      <c r="K387" s="47">
        <f t="shared" si="84"/>
        <v>0.34798954810025179</v>
      </c>
      <c r="L387" s="47">
        <f t="shared" si="85"/>
        <v>0.2</v>
      </c>
      <c r="M387" s="47">
        <f t="shared" si="86"/>
        <v>5.79E-3</v>
      </c>
      <c r="O387" s="47">
        <f t="shared" si="87"/>
        <v>0.34798954810025179</v>
      </c>
      <c r="P387" s="47">
        <f t="shared" si="88"/>
        <v>0.18</v>
      </c>
      <c r="Q387" s="47">
        <f t="shared" si="89"/>
        <v>4.4799999999999996E-3</v>
      </c>
      <c r="S387" s="47">
        <f t="shared" si="90"/>
        <v>0.34798954810025179</v>
      </c>
      <c r="T387" s="47">
        <f t="shared" si="91"/>
        <v>0.2</v>
      </c>
      <c r="U387" s="47">
        <f t="shared" si="92"/>
        <v>4.4799999999999996E-3</v>
      </c>
      <c r="W387" s="47">
        <f t="shared" si="93"/>
        <v>0.16563152408527898</v>
      </c>
      <c r="X387" s="47">
        <f t="shared" si="94"/>
        <v>0.16605530092820092</v>
      </c>
      <c r="Y387" s="47">
        <f t="shared" si="95"/>
        <v>0.16446510924099494</v>
      </c>
      <c r="AP387" s="48">
        <v>0.56489999999999996</v>
      </c>
      <c r="AQ387" s="48">
        <v>0.63770000000000004</v>
      </c>
      <c r="AR387" s="47">
        <f>IF(AP387="","",AP387-($AC$60+$AC$61*Volcanic!C387+$AC$62*Volcanic!D387+$AC$63*Volcanic!E387))</f>
        <v>0.18016963896553906</v>
      </c>
      <c r="AS387" s="47">
        <f>IF(AQ387="","",AQ387-($AD$60+$AD$61*Volcanic!C387+$AD$62*Volcanic!D387+$AD$63*Volcanic!E387))</f>
        <v>0.23697630909098066</v>
      </c>
    </row>
    <row r="388" spans="1:45">
      <c r="A388" s="45" t="str">
        <f>Volcanic!A388</f>
        <v>5/1990</v>
      </c>
      <c r="B388" s="43">
        <f>Volcanic!B388</f>
        <v>0.46000000000000441</v>
      </c>
      <c r="C388" s="47">
        <f>Volcanic!C388</f>
        <v>0.35203207215550791</v>
      </c>
      <c r="D388" s="41">
        <v>0.3</v>
      </c>
      <c r="E388" s="43">
        <f t="shared" si="82"/>
        <v>0.2</v>
      </c>
      <c r="F388" s="48">
        <v>5.1700000000000001E-3</v>
      </c>
      <c r="G388" s="47">
        <f t="shared" si="83"/>
        <v>4.3800000000000002E-3</v>
      </c>
      <c r="H388" s="43">
        <f>Volcanic!D388</f>
        <v>0.19</v>
      </c>
      <c r="I388" s="47">
        <f>Volcanic!E388</f>
        <v>5.6899999999999997E-3</v>
      </c>
      <c r="K388" s="47">
        <f t="shared" si="84"/>
        <v>0.35203207215550791</v>
      </c>
      <c r="L388" s="47">
        <f t="shared" si="85"/>
        <v>0.2</v>
      </c>
      <c r="M388" s="47">
        <f t="shared" si="86"/>
        <v>5.6899999999999997E-3</v>
      </c>
      <c r="O388" s="47">
        <f t="shared" si="87"/>
        <v>0.35203207215550791</v>
      </c>
      <c r="P388" s="47">
        <f t="shared" si="88"/>
        <v>0.19</v>
      </c>
      <c r="Q388" s="47">
        <f t="shared" si="89"/>
        <v>4.3800000000000002E-3</v>
      </c>
      <c r="S388" s="47">
        <f t="shared" si="90"/>
        <v>0.35203207215550791</v>
      </c>
      <c r="T388" s="47">
        <f t="shared" si="91"/>
        <v>0.2</v>
      </c>
      <c r="U388" s="47">
        <f t="shared" si="92"/>
        <v>4.3800000000000002E-3</v>
      </c>
      <c r="W388" s="47">
        <f t="shared" si="93"/>
        <v>5.4386599770527733E-2</v>
      </c>
      <c r="X388" s="47">
        <f t="shared" si="94"/>
        <v>5.3925381658805893E-2</v>
      </c>
      <c r="Y388" s="47">
        <f t="shared" si="95"/>
        <v>5.3275467359436723E-2</v>
      </c>
      <c r="AP388" s="48">
        <v>0.47610000000000002</v>
      </c>
      <c r="AQ388" s="48">
        <v>0.53769999999999996</v>
      </c>
      <c r="AR388" s="47">
        <f>IF(AP388="","",AP388-($AC$60+$AC$61*Volcanic!C388+$AC$62*Volcanic!D388+$AC$63*Volcanic!E388))</f>
        <v>7.9154019017690591E-2</v>
      </c>
      <c r="AS388" s="47">
        <f>IF(AQ388="","",AQ388-($AD$60+$AD$61*Volcanic!C388+$AD$62*Volcanic!D388+$AD$63*Volcanic!E388))</f>
        <v>0.12446895375311701</v>
      </c>
    </row>
    <row r="389" spans="1:45">
      <c r="A389" s="45" t="str">
        <f>Volcanic!A389</f>
        <v>6/1990</v>
      </c>
      <c r="B389" s="43">
        <f>Volcanic!B389</f>
        <v>0.36999999999999744</v>
      </c>
      <c r="C389" s="47">
        <f>Volcanic!C389</f>
        <v>0.34803002946285083</v>
      </c>
      <c r="D389" s="41">
        <v>0.3</v>
      </c>
      <c r="E389" s="43">
        <f t="shared" ref="E389:E452" si="96">IF(D386="","",D386)</f>
        <v>0.3</v>
      </c>
      <c r="F389" s="48">
        <v>5.1599999999999997E-3</v>
      </c>
      <c r="G389" s="47">
        <f t="shared" si="83"/>
        <v>4.3E-3</v>
      </c>
      <c r="H389" s="43">
        <f>Volcanic!D389</f>
        <v>0.3</v>
      </c>
      <c r="I389" s="47">
        <f>Volcanic!E389</f>
        <v>5.4999999999999997E-3</v>
      </c>
      <c r="K389" s="47">
        <f t="shared" si="84"/>
        <v>0.34803002946285083</v>
      </c>
      <c r="L389" s="47">
        <f t="shared" si="85"/>
        <v>0.3</v>
      </c>
      <c r="M389" s="47">
        <f t="shared" si="86"/>
        <v>5.4999999999999997E-3</v>
      </c>
      <c r="O389" s="47">
        <f t="shared" si="87"/>
        <v>0.34803002946285083</v>
      </c>
      <c r="P389" s="47">
        <f t="shared" si="88"/>
        <v>0.3</v>
      </c>
      <c r="Q389" s="47">
        <f t="shared" si="89"/>
        <v>4.3E-3</v>
      </c>
      <c r="S389" s="47">
        <f t="shared" si="90"/>
        <v>0.34803002946285083</v>
      </c>
      <c r="T389" s="47">
        <f t="shared" si="91"/>
        <v>0.3</v>
      </c>
      <c r="U389" s="47">
        <f t="shared" si="92"/>
        <v>4.3E-3</v>
      </c>
      <c r="W389" s="47">
        <f t="shared" si="93"/>
        <v>-3.4405228416382438E-2</v>
      </c>
      <c r="X389" s="47">
        <f t="shared" si="94"/>
        <v>-3.5796781083251128E-2</v>
      </c>
      <c r="Y389" s="47">
        <f t="shared" si="95"/>
        <v>-3.5516285530733216E-2</v>
      </c>
      <c r="AP389" s="48">
        <v>0.38600000000000001</v>
      </c>
      <c r="AQ389" s="48">
        <v>0.38669999999999999</v>
      </c>
      <c r="AR389" s="47">
        <f>IF(AP389="","",AP389-($AC$60+$AC$61*Volcanic!C389+$AC$62*Volcanic!D389+$AC$63*Volcanic!E389))</f>
        <v>-1.0776109997297501E-2</v>
      </c>
      <c r="AS389" s="47">
        <f>IF(AQ389="","",AQ389-($AD$60+$AD$61*Volcanic!C389+$AD$62*Volcanic!D389+$AD$63*Volcanic!E389))</f>
        <v>-2.626899768777996E-2</v>
      </c>
    </row>
    <row r="390" spans="1:45">
      <c r="A390" s="45" t="str">
        <f>Volcanic!A390</f>
        <v>7/1990</v>
      </c>
      <c r="B390" s="43">
        <f>Volcanic!B390</f>
        <v>0.46000000000000441</v>
      </c>
      <c r="C390" s="47">
        <f>Volcanic!C390</f>
        <v>0.34194509590805666</v>
      </c>
      <c r="D390" s="41">
        <v>0.3</v>
      </c>
      <c r="E390" s="43">
        <f t="shared" si="96"/>
        <v>0.3</v>
      </c>
      <c r="F390" s="48">
        <v>5.0699999999999999E-3</v>
      </c>
      <c r="G390" s="47">
        <f t="shared" si="83"/>
        <v>4.1900000000000001E-3</v>
      </c>
      <c r="H390" s="43">
        <f>Volcanic!D390</f>
        <v>0.27</v>
      </c>
      <c r="I390" s="47">
        <f>Volcanic!E390</f>
        <v>5.3899999999999998E-3</v>
      </c>
      <c r="K390" s="47">
        <f t="shared" si="84"/>
        <v>0.34194509590805666</v>
      </c>
      <c r="L390" s="47">
        <f t="shared" si="85"/>
        <v>0.3</v>
      </c>
      <c r="M390" s="47">
        <f t="shared" si="86"/>
        <v>5.3899999999999998E-3</v>
      </c>
      <c r="O390" s="47">
        <f t="shared" si="87"/>
        <v>0.34194509590805666</v>
      </c>
      <c r="P390" s="47">
        <f t="shared" si="88"/>
        <v>0.27</v>
      </c>
      <c r="Q390" s="47">
        <f t="shared" si="89"/>
        <v>4.1900000000000001E-3</v>
      </c>
      <c r="S390" s="47">
        <f t="shared" si="90"/>
        <v>0.34194509590805666</v>
      </c>
      <c r="T390" s="47">
        <f t="shared" si="91"/>
        <v>0.3</v>
      </c>
      <c r="U390" s="47">
        <f t="shared" si="92"/>
        <v>4.1900000000000001E-3</v>
      </c>
      <c r="W390" s="47">
        <f t="shared" si="93"/>
        <v>7.1946913888863706E-2</v>
      </c>
      <c r="X390" s="47">
        <f t="shared" si="94"/>
        <v>7.3184998854197991E-2</v>
      </c>
      <c r="Y390" s="47">
        <f t="shared" si="95"/>
        <v>7.0645227766016283E-2</v>
      </c>
      <c r="AP390" s="48">
        <v>0.44950000000000001</v>
      </c>
      <c r="AQ390" s="48">
        <v>0.44669999999999999</v>
      </c>
      <c r="AR390" s="47">
        <f>IF(AP390="","",AP390-($AC$60+$AC$61*Volcanic!C390+$AC$62*Volcanic!D390+$AC$63*Volcanic!E390))</f>
        <v>7.1884129827145871E-2</v>
      </c>
      <c r="AS390" s="47">
        <f>IF(AQ390="","",AQ390-($AD$60+$AD$61*Volcanic!C390+$AD$62*Volcanic!D390+$AD$63*Volcanic!E390))</f>
        <v>5.338923954034841E-2</v>
      </c>
    </row>
    <row r="391" spans="1:45">
      <c r="A391" s="45" t="str">
        <f>Volcanic!A391</f>
        <v>8/1990</v>
      </c>
      <c r="B391" s="43">
        <f>Volcanic!B391</f>
        <v>0.33999999999999986</v>
      </c>
      <c r="C391" s="47">
        <f>Volcanic!C391</f>
        <v>0.3344865527759821</v>
      </c>
      <c r="D391" s="41">
        <v>0.3</v>
      </c>
      <c r="E391" s="43">
        <f t="shared" si="96"/>
        <v>0.3</v>
      </c>
      <c r="F391" s="48">
        <v>5.1399999999999996E-3</v>
      </c>
      <c r="G391" s="47">
        <f t="shared" si="83"/>
        <v>4.0000000000000001E-3</v>
      </c>
      <c r="H391" s="43">
        <f>Volcanic!D391</f>
        <v>0.25</v>
      </c>
      <c r="I391" s="47">
        <f>Volcanic!E391</f>
        <v>5.2399999999999999E-3</v>
      </c>
      <c r="K391" s="47">
        <f t="shared" si="84"/>
        <v>0.3344865527759821</v>
      </c>
      <c r="L391" s="47">
        <f t="shared" si="85"/>
        <v>0.3</v>
      </c>
      <c r="M391" s="47">
        <f t="shared" si="86"/>
        <v>5.2399999999999999E-3</v>
      </c>
      <c r="O391" s="47">
        <f t="shared" si="87"/>
        <v>0.3344865527759821</v>
      </c>
      <c r="P391" s="47">
        <f t="shared" si="88"/>
        <v>0.25</v>
      </c>
      <c r="Q391" s="47">
        <f t="shared" si="89"/>
        <v>4.0000000000000001E-3</v>
      </c>
      <c r="S391" s="47">
        <f t="shared" si="90"/>
        <v>0.3344865527759821</v>
      </c>
      <c r="T391" s="47">
        <f t="shared" si="91"/>
        <v>0.3</v>
      </c>
      <c r="U391" s="47">
        <f t="shared" si="92"/>
        <v>4.0000000000000001E-3</v>
      </c>
      <c r="W391" s="47">
        <f t="shared" si="93"/>
        <v>-2.8043044655002347E-2</v>
      </c>
      <c r="X391" s="47">
        <f t="shared" si="94"/>
        <v>-2.5267941535145555E-2</v>
      </c>
      <c r="Y391" s="47">
        <f t="shared" si="95"/>
        <v>-2.968927983891867E-2</v>
      </c>
      <c r="AP391" s="48">
        <v>0.34970000000000001</v>
      </c>
      <c r="AQ391" s="48">
        <v>0.32969999999999999</v>
      </c>
      <c r="AR391" s="47">
        <f>IF(AP391="","",AP391-($AC$60+$AC$61*Volcanic!C391+$AC$62*Volcanic!D391+$AC$63*Volcanic!E391))</f>
        <v>-6.0375399413175046E-3</v>
      </c>
      <c r="AS391" s="47">
        <f>IF(AQ391="","",AQ391-($AD$60+$AD$61*Volcanic!C391+$AD$62*Volcanic!D391+$AD$63*Volcanic!E391))</f>
        <v>-4.1152447618016064E-2</v>
      </c>
    </row>
    <row r="392" spans="1:45">
      <c r="A392" s="45" t="str">
        <f>Volcanic!A392</f>
        <v>9/1990</v>
      </c>
      <c r="B392" s="43">
        <f>Volcanic!B392</f>
        <v>0.2300000000000022</v>
      </c>
      <c r="C392" s="47">
        <f>Volcanic!C392</f>
        <v>0.32760525056773293</v>
      </c>
      <c r="D392" s="41">
        <v>0.3</v>
      </c>
      <c r="E392" s="43">
        <f t="shared" si="96"/>
        <v>0.3</v>
      </c>
      <c r="F392" s="48">
        <v>5.0800000000000003E-3</v>
      </c>
      <c r="G392" s="47">
        <f t="shared" si="83"/>
        <v>4.1000000000000003E-3</v>
      </c>
      <c r="H392" s="43">
        <f>Volcanic!D392</f>
        <v>0.25</v>
      </c>
      <c r="I392" s="47">
        <f>Volcanic!E392</f>
        <v>5.2900000000000004E-3</v>
      </c>
      <c r="K392" s="47">
        <f t="shared" si="84"/>
        <v>0.32760525056773293</v>
      </c>
      <c r="L392" s="47">
        <f t="shared" si="85"/>
        <v>0.3</v>
      </c>
      <c r="M392" s="47">
        <f t="shared" si="86"/>
        <v>5.2900000000000004E-3</v>
      </c>
      <c r="O392" s="47">
        <f t="shared" si="87"/>
        <v>0.32760525056773293</v>
      </c>
      <c r="P392" s="47">
        <f t="shared" si="88"/>
        <v>0.25</v>
      </c>
      <c r="Q392" s="47">
        <f t="shared" si="89"/>
        <v>4.1000000000000003E-3</v>
      </c>
      <c r="S392" s="47">
        <f t="shared" si="90"/>
        <v>0.32760525056773293</v>
      </c>
      <c r="T392" s="47">
        <f t="shared" si="91"/>
        <v>0.3</v>
      </c>
      <c r="U392" s="47">
        <f t="shared" si="92"/>
        <v>4.1000000000000003E-3</v>
      </c>
      <c r="W392" s="47">
        <f t="shared" si="93"/>
        <v>-0.11916652111216841</v>
      </c>
      <c r="X392" s="47">
        <f t="shared" si="94"/>
        <v>-0.11640252376005034</v>
      </c>
      <c r="Y392" s="47">
        <f t="shared" si="95"/>
        <v>-0.1208256369877958</v>
      </c>
      <c r="AP392" s="48">
        <v>0.28870000000000001</v>
      </c>
      <c r="AQ392" s="48">
        <v>0.29470000000000002</v>
      </c>
      <c r="AR392" s="47">
        <f>IF(AP392="","",AP392-($AC$60+$AC$61*Volcanic!C392+$AC$62*Volcanic!D392+$AC$63*Volcanic!E392))</f>
        <v>-4.8127090416520246E-2</v>
      </c>
      <c r="AS392" s="47">
        <f>IF(AQ392="","",AQ392-($AD$60+$AD$61*Volcanic!C392+$AD$62*Volcanic!D392+$AD$63*Volcanic!E392))</f>
        <v>-5.6764140137393837E-2</v>
      </c>
    </row>
    <row r="393" spans="1:45">
      <c r="A393" s="45" t="str">
        <f>Volcanic!A393</f>
        <v>10/1990</v>
      </c>
      <c r="B393" s="43">
        <f>Volcanic!B393</f>
        <v>0.44999999999999751</v>
      </c>
      <c r="C393" s="47">
        <f>Volcanic!C393</f>
        <v>0.32887748659446853</v>
      </c>
      <c r="D393" s="41">
        <v>0.3</v>
      </c>
      <c r="E393" s="43">
        <f t="shared" si="96"/>
        <v>0.3</v>
      </c>
      <c r="F393" s="48">
        <v>4.8300000000000001E-3</v>
      </c>
      <c r="G393" s="47">
        <f t="shared" ref="G393:G456" si="97">IF(F386="","",F386)</f>
        <v>4.6699999999999997E-3</v>
      </c>
      <c r="H393" s="43">
        <f>Volcanic!D393</f>
        <v>0.26</v>
      </c>
      <c r="I393" s="47">
        <f>Volcanic!E393</f>
        <v>5.7999999999999996E-3</v>
      </c>
      <c r="K393" s="47">
        <f t="shared" si="84"/>
        <v>0.32887748659446853</v>
      </c>
      <c r="L393" s="47">
        <f t="shared" si="85"/>
        <v>0.3</v>
      </c>
      <c r="M393" s="47">
        <f t="shared" si="86"/>
        <v>5.7999999999999996E-3</v>
      </c>
      <c r="O393" s="47">
        <f t="shared" si="87"/>
        <v>0.32887748659446853</v>
      </c>
      <c r="P393" s="47">
        <f t="shared" si="88"/>
        <v>0.26</v>
      </c>
      <c r="Q393" s="47">
        <f t="shared" si="89"/>
        <v>4.6699999999999997E-3</v>
      </c>
      <c r="S393" s="47">
        <f t="shared" si="90"/>
        <v>0.32887748659446853</v>
      </c>
      <c r="T393" s="47">
        <f t="shared" si="91"/>
        <v>0.3</v>
      </c>
      <c r="U393" s="47">
        <f t="shared" si="92"/>
        <v>4.6699999999999997E-3</v>
      </c>
      <c r="W393" s="47">
        <f t="shared" si="93"/>
        <v>9.8487697436730248E-2</v>
      </c>
      <c r="X393" s="47">
        <f t="shared" si="94"/>
        <v>0.10070779286236925</v>
      </c>
      <c r="Y393" s="47">
        <f t="shared" si="95"/>
        <v>9.7226183527759524E-2</v>
      </c>
      <c r="AP393" s="48">
        <v>0.4551</v>
      </c>
      <c r="AQ393" s="48">
        <v>0.42170000000000002</v>
      </c>
      <c r="AR393" s="47">
        <f>IF(AP393="","",AP393-($AC$60+$AC$61*Volcanic!C393+$AC$62*Volcanic!D393+$AC$63*Volcanic!E393))</f>
        <v>0.11508964272262368</v>
      </c>
      <c r="AS393" s="47">
        <f>IF(AQ393="","",AQ393-($AD$60+$AD$61*Volcanic!C393+$AD$62*Volcanic!D393+$AD$63*Volcanic!E393))</f>
        <v>6.6884901361876581E-2</v>
      </c>
    </row>
    <row r="394" spans="1:45">
      <c r="A394" s="45" t="str">
        <f>Volcanic!A394</f>
        <v>11/1990</v>
      </c>
      <c r="B394" s="43">
        <f>Volcanic!B394</f>
        <v>0.46000000000000441</v>
      </c>
      <c r="C394" s="47">
        <f>Volcanic!C394</f>
        <v>0.33481341656461083</v>
      </c>
      <c r="D394" s="41">
        <v>0.3</v>
      </c>
      <c r="E394" s="43">
        <f t="shared" si="96"/>
        <v>0.3</v>
      </c>
      <c r="F394" s="48">
        <v>4.8300000000000001E-3</v>
      </c>
      <c r="G394" s="47">
        <f t="shared" si="97"/>
        <v>4.9199999999999999E-3</v>
      </c>
      <c r="H394" s="43">
        <f>Volcanic!D394</f>
        <v>0.32</v>
      </c>
      <c r="I394" s="47">
        <f>Volcanic!E394</f>
        <v>5.9899999999999997E-3</v>
      </c>
      <c r="K394" s="47">
        <f t="shared" si="84"/>
        <v>0.33481341656461083</v>
      </c>
      <c r="L394" s="47">
        <f t="shared" si="85"/>
        <v>0.3</v>
      </c>
      <c r="M394" s="47">
        <f t="shared" si="86"/>
        <v>5.9899999999999997E-3</v>
      </c>
      <c r="O394" s="47">
        <f t="shared" si="87"/>
        <v>0.33481341656461083</v>
      </c>
      <c r="P394" s="47">
        <f t="shared" si="88"/>
        <v>0.32</v>
      </c>
      <c r="Q394" s="47">
        <f t="shared" si="89"/>
        <v>4.9199999999999999E-3</v>
      </c>
      <c r="S394" s="47">
        <f t="shared" si="90"/>
        <v>0.33481341656461083</v>
      </c>
      <c r="T394" s="47">
        <f t="shared" si="91"/>
        <v>0.3</v>
      </c>
      <c r="U394" s="47">
        <f t="shared" si="92"/>
        <v>4.9199999999999999E-3</v>
      </c>
      <c r="W394" s="47">
        <f t="shared" si="93"/>
        <v>9.2718192345630446E-2</v>
      </c>
      <c r="X394" s="47">
        <f t="shared" si="94"/>
        <v>8.967655565076188E-2</v>
      </c>
      <c r="Y394" s="47">
        <f t="shared" si="95"/>
        <v>9.1833684886845235E-2</v>
      </c>
      <c r="AP394" s="48">
        <v>0.4279</v>
      </c>
      <c r="AQ394" s="48">
        <v>0.37569999999999998</v>
      </c>
      <c r="AR394" s="47">
        <f>IF(AP394="","",AP394-($AC$60+$AC$61*Volcanic!C394+$AC$62*Volcanic!D394+$AC$63*Volcanic!E394))</f>
        <v>6.6519416278971899E-2</v>
      </c>
      <c r="AS394" s="47">
        <f>IF(AQ394="","",AQ394-($AD$60+$AD$61*Volcanic!C394+$AD$62*Volcanic!D394+$AD$63*Volcanic!E394))</f>
        <v>-1.0396942336388104E-3</v>
      </c>
    </row>
    <row r="395" spans="1:45">
      <c r="A395" s="45" t="str">
        <f>Volcanic!A395</f>
        <v>12/1990</v>
      </c>
      <c r="B395" s="43">
        <f>Volcanic!B395</f>
        <v>0.40000000000000213</v>
      </c>
      <c r="C395" s="47">
        <f>Volcanic!C395</f>
        <v>0.33999248424772416</v>
      </c>
      <c r="D395" s="41">
        <v>0.3</v>
      </c>
      <c r="E395" s="43">
        <f t="shared" si="96"/>
        <v>0.3</v>
      </c>
      <c r="F395" s="48">
        <v>4.7000000000000002E-3</v>
      </c>
      <c r="G395" s="47">
        <f t="shared" si="97"/>
        <v>5.1700000000000001E-3</v>
      </c>
      <c r="H395" s="43">
        <f>Volcanic!D395</f>
        <v>0.31</v>
      </c>
      <c r="I395" s="47">
        <f>Volcanic!E395</f>
        <v>6.1999999999999998E-3</v>
      </c>
      <c r="K395" s="47">
        <f t="shared" si="84"/>
        <v>0.33999248424772416</v>
      </c>
      <c r="L395" s="47">
        <f t="shared" si="85"/>
        <v>0.3</v>
      </c>
      <c r="M395" s="47">
        <f t="shared" si="86"/>
        <v>6.1999999999999998E-3</v>
      </c>
      <c r="O395" s="47">
        <f t="shared" si="87"/>
        <v>0.33999248424772416</v>
      </c>
      <c r="P395" s="47">
        <f t="shared" si="88"/>
        <v>0.31</v>
      </c>
      <c r="Q395" s="47">
        <f t="shared" si="89"/>
        <v>5.1700000000000001E-3</v>
      </c>
      <c r="S395" s="47">
        <f t="shared" si="90"/>
        <v>0.33999248424772416</v>
      </c>
      <c r="T395" s="47">
        <f t="shared" si="91"/>
        <v>0.3</v>
      </c>
      <c r="U395" s="47">
        <f t="shared" si="92"/>
        <v>5.1700000000000001E-3</v>
      </c>
      <c r="W395" s="47">
        <f t="shared" si="93"/>
        <v>1.9056835178259957E-2</v>
      </c>
      <c r="X395" s="47">
        <f t="shared" si="94"/>
        <v>1.7267088116159179E-2</v>
      </c>
      <c r="Y395" s="47">
        <f t="shared" si="95"/>
        <v>1.8487193933545254E-2</v>
      </c>
      <c r="AP395" s="48">
        <v>0.35880000000000001</v>
      </c>
      <c r="AQ395" s="48">
        <v>0.41670000000000001</v>
      </c>
      <c r="AR395" s="47">
        <f>IF(AP395="","",AP395-($AC$60+$AC$61*Volcanic!C395+$AC$62*Volcanic!D395+$AC$63*Volcanic!E395))</f>
        <v>-1.5280834787287201E-2</v>
      </c>
      <c r="AS395" s="47">
        <f>IF(AQ395="","",AQ395-($AD$60+$AD$61*Volcanic!C395+$AD$62*Volcanic!D395+$AD$63*Volcanic!E395))</f>
        <v>2.6890910513498234E-2</v>
      </c>
    </row>
    <row r="396" spans="1:45">
      <c r="A396" s="45" t="str">
        <f>Volcanic!A396</f>
        <v>1/1991</v>
      </c>
      <c r="B396" s="43">
        <f>Volcanic!B396</f>
        <v>0.42999999999999972</v>
      </c>
      <c r="C396" s="47">
        <f>Volcanic!C396</f>
        <v>0.3421076943180667</v>
      </c>
      <c r="D396" s="41">
        <v>0.4</v>
      </c>
      <c r="E396" s="43">
        <f t="shared" si="96"/>
        <v>0.3</v>
      </c>
      <c r="F396" s="48">
        <v>4.5399999999999998E-3</v>
      </c>
      <c r="G396" s="47">
        <f t="shared" si="97"/>
        <v>5.1599999999999997E-3</v>
      </c>
      <c r="H396" s="43">
        <f>Volcanic!D396</f>
        <v>0.27</v>
      </c>
      <c r="I396" s="47">
        <f>Volcanic!E396</f>
        <v>6.2599999999999999E-3</v>
      </c>
      <c r="K396" s="47">
        <f t="shared" si="84"/>
        <v>0.3421076943180667</v>
      </c>
      <c r="L396" s="47">
        <f t="shared" si="85"/>
        <v>0.3</v>
      </c>
      <c r="M396" s="47">
        <f t="shared" si="86"/>
        <v>6.2599999999999999E-3</v>
      </c>
      <c r="O396" s="47">
        <f t="shared" si="87"/>
        <v>0.3421076943180667</v>
      </c>
      <c r="P396" s="47">
        <f t="shared" si="88"/>
        <v>0.27</v>
      </c>
      <c r="Q396" s="47">
        <f t="shared" si="89"/>
        <v>5.1599999999999997E-3</v>
      </c>
      <c r="S396" s="47">
        <f t="shared" si="90"/>
        <v>0.3421076943180667</v>
      </c>
      <c r="T396" s="47">
        <f t="shared" si="91"/>
        <v>0.3</v>
      </c>
      <c r="U396" s="47">
        <f t="shared" si="92"/>
        <v>5.1599999999999997E-3</v>
      </c>
      <c r="W396" s="47">
        <f t="shared" si="93"/>
        <v>4.3420550314947515E-2</v>
      </c>
      <c r="X396" s="47">
        <f t="shared" si="94"/>
        <v>4.5279770908587091E-2</v>
      </c>
      <c r="Y396" s="47">
        <f t="shared" si="95"/>
        <v>4.2743038881200068E-2</v>
      </c>
      <c r="AP396" s="48">
        <v>0.37190000000000001</v>
      </c>
      <c r="AQ396" s="48">
        <v>0.43269999999999997</v>
      </c>
      <c r="AR396" s="47">
        <f>IF(AP396="","",AP396-($AC$60+$AC$61*Volcanic!C396+$AC$62*Volcanic!D396+$AC$63*Volcanic!E396))</f>
        <v>-4.0664684618417213E-3</v>
      </c>
      <c r="AS396" s="47">
        <f>IF(AQ396="","",AQ396-($AD$60+$AD$61*Volcanic!C396+$AD$62*Volcanic!D396+$AD$63*Volcanic!E396))</f>
        <v>4.0926428453125163E-2</v>
      </c>
    </row>
    <row r="397" spans="1:45">
      <c r="A397" s="45" t="str">
        <f>Volcanic!A397</f>
        <v>2/1991</v>
      </c>
      <c r="B397" s="43">
        <f>Volcanic!B397</f>
        <v>0.5</v>
      </c>
      <c r="C397" s="47">
        <f>Volcanic!C397</f>
        <v>0.34572077699832093</v>
      </c>
      <c r="D397" s="41">
        <v>0.3</v>
      </c>
      <c r="E397" s="43">
        <f t="shared" si="96"/>
        <v>0.3</v>
      </c>
      <c r="F397" s="48">
        <v>4.4799999999999996E-3</v>
      </c>
      <c r="G397" s="47">
        <f t="shared" si="97"/>
        <v>5.0699999999999999E-3</v>
      </c>
      <c r="H397" s="43">
        <f>Volcanic!D397</f>
        <v>0.31</v>
      </c>
      <c r="I397" s="47">
        <f>Volcanic!E397</f>
        <v>6.3E-3</v>
      </c>
      <c r="K397" s="47">
        <f t="shared" si="84"/>
        <v>0.34572077699832093</v>
      </c>
      <c r="L397" s="47">
        <f t="shared" si="85"/>
        <v>0.3</v>
      </c>
      <c r="M397" s="47">
        <f t="shared" si="86"/>
        <v>6.3E-3</v>
      </c>
      <c r="O397" s="47">
        <f t="shared" si="87"/>
        <v>0.34572077699832093</v>
      </c>
      <c r="P397" s="47">
        <f t="shared" si="88"/>
        <v>0.31</v>
      </c>
      <c r="Q397" s="47">
        <f t="shared" si="89"/>
        <v>5.0699999999999999E-3</v>
      </c>
      <c r="S397" s="47">
        <f t="shared" si="90"/>
        <v>0.34572077699832093</v>
      </c>
      <c r="T397" s="47">
        <f t="shared" si="91"/>
        <v>0.3</v>
      </c>
      <c r="U397" s="47">
        <f t="shared" si="92"/>
        <v>5.0699999999999999E-3</v>
      </c>
      <c r="W397" s="47">
        <f t="shared" si="93"/>
        <v>0.10365527079788595</v>
      </c>
      <c r="X397" s="47">
        <f t="shared" si="94"/>
        <v>0.10151892223102033</v>
      </c>
      <c r="Y397" s="47">
        <f t="shared" si="95"/>
        <v>0.10274045392550091</v>
      </c>
      <c r="AP397" s="48">
        <v>0.47499999999999998</v>
      </c>
      <c r="AQ397" s="48">
        <v>0.51370000000000005</v>
      </c>
      <c r="AR397" s="47">
        <f>IF(AP397="","",AP397-($AC$60+$AC$61*Volcanic!C397+$AC$62*Volcanic!D397+$AC$63*Volcanic!E397))</f>
        <v>8.5518062688374474E-2</v>
      </c>
      <c r="AS397" s="47">
        <f>IF(AQ397="","",AQ397-($AD$60+$AD$61*Volcanic!C397+$AD$62*Volcanic!D397+$AD$63*Volcanic!E397))</f>
        <v>0.10807561228417384</v>
      </c>
    </row>
    <row r="398" spans="1:45">
      <c r="A398" s="45" t="str">
        <f>Volcanic!A398</f>
        <v>3/1991</v>
      </c>
      <c r="B398" s="43">
        <f>Volcanic!B398</f>
        <v>0.36000000000000121</v>
      </c>
      <c r="C398" s="47">
        <f>Volcanic!C398</f>
        <v>0.35183021475275128</v>
      </c>
      <c r="D398" s="41">
        <v>0.2</v>
      </c>
      <c r="E398" s="43">
        <f t="shared" si="96"/>
        <v>0.3</v>
      </c>
      <c r="F398" s="48">
        <v>4.3E-3</v>
      </c>
      <c r="G398" s="47">
        <f t="shared" si="97"/>
        <v>5.1399999999999996E-3</v>
      </c>
      <c r="H398" s="43">
        <f>Volcanic!D398</f>
        <v>0.34</v>
      </c>
      <c r="I398" s="47">
        <f>Volcanic!E398</f>
        <v>6.5799999999999999E-3</v>
      </c>
      <c r="K398" s="47">
        <f t="shared" si="84"/>
        <v>0.35183021475275128</v>
      </c>
      <c r="L398" s="47">
        <f t="shared" si="85"/>
        <v>0.3</v>
      </c>
      <c r="M398" s="47">
        <f t="shared" si="86"/>
        <v>6.5799999999999999E-3</v>
      </c>
      <c r="O398" s="47">
        <f t="shared" si="87"/>
        <v>0.35183021475275128</v>
      </c>
      <c r="P398" s="47">
        <f t="shared" si="88"/>
        <v>0.34</v>
      </c>
      <c r="Q398" s="47">
        <f t="shared" si="89"/>
        <v>5.1399999999999996E-3</v>
      </c>
      <c r="S398" s="47">
        <f t="shared" si="90"/>
        <v>0.35183021475275128</v>
      </c>
      <c r="T398" s="47">
        <f t="shared" si="91"/>
        <v>0.3</v>
      </c>
      <c r="U398" s="47">
        <f t="shared" si="92"/>
        <v>5.1399999999999996E-3</v>
      </c>
      <c r="W398" s="47">
        <f t="shared" si="93"/>
        <v>-5.2389098894880803E-2</v>
      </c>
      <c r="X398" s="47">
        <f t="shared" si="94"/>
        <v>-5.7633616829522116E-2</v>
      </c>
      <c r="Y398" s="47">
        <f t="shared" si="95"/>
        <v>-5.3591934368547922E-2</v>
      </c>
      <c r="AP398" s="48">
        <v>0.31609999999999999</v>
      </c>
      <c r="AQ398" s="48">
        <v>0.37069999999999997</v>
      </c>
      <c r="AR398" s="47">
        <f>IF(AP398="","",AP398-($AC$60+$AC$61*Volcanic!C398+$AC$62*Volcanic!D398+$AC$63*Volcanic!E398))</f>
        <v>-9.2200034453965685E-2</v>
      </c>
      <c r="AS398" s="47">
        <f>IF(AQ398="","",AQ398-($AD$60+$AD$61*Volcanic!C398+$AD$62*Volcanic!D398+$AD$63*Volcanic!E398))</f>
        <v>-5.4261898078263038E-2</v>
      </c>
    </row>
    <row r="399" spans="1:45">
      <c r="A399" s="45" t="str">
        <f>Volcanic!A399</f>
        <v>4/1991</v>
      </c>
      <c r="B399" s="43">
        <f>Volcanic!B399</f>
        <v>0.50999999999999801</v>
      </c>
      <c r="C399" s="47">
        <f>Volcanic!C399</f>
        <v>0.35763243136807038</v>
      </c>
      <c r="D399" s="41">
        <v>0.3</v>
      </c>
      <c r="E399" s="43">
        <f t="shared" si="96"/>
        <v>0.4</v>
      </c>
      <c r="F399" s="48">
        <v>4.2300000000000003E-3</v>
      </c>
      <c r="G399" s="47">
        <f t="shared" si="97"/>
        <v>5.0800000000000003E-3</v>
      </c>
      <c r="H399" s="43">
        <f>Volcanic!D399</f>
        <v>0.35</v>
      </c>
      <c r="I399" s="47">
        <f>Volcanic!E399</f>
        <v>6.6E-3</v>
      </c>
      <c r="K399" s="47">
        <f t="shared" si="84"/>
        <v>0.35763243136807038</v>
      </c>
      <c r="L399" s="47">
        <f t="shared" si="85"/>
        <v>0.4</v>
      </c>
      <c r="M399" s="47">
        <f t="shared" si="86"/>
        <v>6.6E-3</v>
      </c>
      <c r="O399" s="47">
        <f t="shared" si="87"/>
        <v>0.35763243136807038</v>
      </c>
      <c r="P399" s="47">
        <f t="shared" si="88"/>
        <v>0.35</v>
      </c>
      <c r="Q399" s="47">
        <f t="shared" si="89"/>
        <v>5.0800000000000003E-3</v>
      </c>
      <c r="S399" s="47">
        <f t="shared" si="90"/>
        <v>0.35763243136807038</v>
      </c>
      <c r="T399" s="47">
        <f t="shared" si="91"/>
        <v>0.4</v>
      </c>
      <c r="U399" s="47">
        <f t="shared" si="92"/>
        <v>5.0800000000000003E-3</v>
      </c>
      <c r="W399" s="47">
        <f t="shared" si="93"/>
        <v>7.2544121739862133E-2</v>
      </c>
      <c r="X399" s="47">
        <f t="shared" si="94"/>
        <v>7.5583506545257695E-2</v>
      </c>
      <c r="Y399" s="47">
        <f t="shared" si="95"/>
        <v>7.1165010135169071E-2</v>
      </c>
      <c r="AP399" s="48">
        <v>0.50770000000000004</v>
      </c>
      <c r="AQ399" s="48">
        <v>0.5887</v>
      </c>
      <c r="AR399" s="47">
        <f>IF(AP399="","",AP399-($AC$60+$AC$61*Volcanic!C399+$AC$62*Volcanic!D399+$AC$63*Volcanic!E399))</f>
        <v>8.2668058883678452E-2</v>
      </c>
      <c r="AS399" s="47">
        <f>IF(AQ399="","",AQ399-($AD$60+$AD$61*Volcanic!C399+$AD$62*Volcanic!D399+$AD$63*Volcanic!E399))</f>
        <v>0.14657687910080375</v>
      </c>
    </row>
    <row r="400" spans="1:45">
      <c r="A400" s="45" t="str">
        <f>Volcanic!A400</f>
        <v>5/1991</v>
      </c>
      <c r="B400" s="43">
        <f>Volcanic!B400</f>
        <v>0.33999999999999986</v>
      </c>
      <c r="C400" s="47">
        <f>Volcanic!C400</f>
        <v>0.3594810102249153</v>
      </c>
      <c r="D400" s="41">
        <v>0.5</v>
      </c>
      <c r="E400" s="43">
        <f t="shared" si="96"/>
        <v>0.3</v>
      </c>
      <c r="F400" s="48">
        <v>4.2599999999999999E-3</v>
      </c>
      <c r="G400" s="47">
        <f t="shared" si="97"/>
        <v>4.8300000000000001E-3</v>
      </c>
      <c r="H400" s="43">
        <f>Volcanic!D400</f>
        <v>0.26</v>
      </c>
      <c r="I400" s="47">
        <f>Volcanic!E400</f>
        <v>6.2500000000000003E-3</v>
      </c>
      <c r="K400" s="47">
        <f t="shared" si="84"/>
        <v>0.3594810102249153</v>
      </c>
      <c r="L400" s="47">
        <f t="shared" si="85"/>
        <v>0.3</v>
      </c>
      <c r="M400" s="47">
        <f t="shared" si="86"/>
        <v>6.2500000000000003E-3</v>
      </c>
      <c r="O400" s="47">
        <f t="shared" si="87"/>
        <v>0.3594810102249153</v>
      </c>
      <c r="P400" s="47">
        <f t="shared" si="88"/>
        <v>0.26</v>
      </c>
      <c r="Q400" s="47">
        <f t="shared" si="89"/>
        <v>4.8300000000000001E-3</v>
      </c>
      <c r="S400" s="47">
        <f t="shared" si="90"/>
        <v>0.3594810102249153</v>
      </c>
      <c r="T400" s="47">
        <f t="shared" si="91"/>
        <v>0.3</v>
      </c>
      <c r="U400" s="47">
        <f t="shared" si="92"/>
        <v>4.8300000000000001E-3</v>
      </c>
      <c r="W400" s="47">
        <f t="shared" si="93"/>
        <v>-9.3981133444490383E-2</v>
      </c>
      <c r="X400" s="47">
        <f t="shared" si="94"/>
        <v>-9.1613203519071984E-2</v>
      </c>
      <c r="Y400" s="47">
        <f t="shared" si="95"/>
        <v>-9.5085055177384414E-2</v>
      </c>
      <c r="AP400" s="48">
        <v>0.38319999999999999</v>
      </c>
      <c r="AQ400" s="48">
        <v>0.43569999999999998</v>
      </c>
      <c r="AR400" s="47">
        <f>IF(AP400="","",AP400-($AC$60+$AC$61*Volcanic!C400+$AC$62*Volcanic!D400+$AC$63*Volcanic!E400))</f>
        <v>-3.9293796496513322E-2</v>
      </c>
      <c r="AS400" s="47">
        <f>IF(AQ400="","",AQ400-($AD$60+$AD$61*Volcanic!C400+$AD$62*Volcanic!D400+$AD$63*Volcanic!E400))</f>
        <v>-3.8016269280217729E-3</v>
      </c>
    </row>
    <row r="401" spans="1:45">
      <c r="A401" s="45" t="str">
        <f>Volcanic!A401</f>
        <v>6/1991</v>
      </c>
      <c r="B401" s="43">
        <f>Volcanic!B401</f>
        <v>0.52999999999999758</v>
      </c>
      <c r="C401" s="47">
        <f>Volcanic!C401</f>
        <v>0.35545933382447809</v>
      </c>
      <c r="D401" s="41">
        <v>0.6</v>
      </c>
      <c r="E401" s="43">
        <f t="shared" si="96"/>
        <v>0.2</v>
      </c>
      <c r="F401" s="48">
        <v>4.79E-3</v>
      </c>
      <c r="G401" s="47">
        <f t="shared" si="97"/>
        <v>4.8300000000000001E-3</v>
      </c>
      <c r="H401" s="43">
        <f>Volcanic!D401</f>
        <v>0.23</v>
      </c>
      <c r="I401" s="47">
        <f>Volcanic!E401</f>
        <v>6.1599999999999997E-3</v>
      </c>
      <c r="K401" s="47">
        <f t="shared" si="84"/>
        <v>0.35545933382447809</v>
      </c>
      <c r="L401" s="47">
        <f t="shared" si="85"/>
        <v>0.2</v>
      </c>
      <c r="M401" s="47">
        <f t="shared" si="86"/>
        <v>6.1599999999999997E-3</v>
      </c>
      <c r="O401" s="47">
        <f t="shared" si="87"/>
        <v>0.35545933382447809</v>
      </c>
      <c r="P401" s="47">
        <f t="shared" si="88"/>
        <v>0.23</v>
      </c>
      <c r="Q401" s="47">
        <f t="shared" si="89"/>
        <v>4.8300000000000001E-3</v>
      </c>
      <c r="S401" s="47">
        <f t="shared" si="90"/>
        <v>0.35545933382447809</v>
      </c>
      <c r="T401" s="47">
        <f t="shared" si="91"/>
        <v>0.2</v>
      </c>
      <c r="U401" s="47">
        <f t="shared" si="92"/>
        <v>4.8300000000000001E-3</v>
      </c>
      <c r="W401" s="47">
        <f t="shared" si="93"/>
        <v>0.11607559789349187</v>
      </c>
      <c r="X401" s="47">
        <f t="shared" si="94"/>
        <v>0.11207780092658515</v>
      </c>
      <c r="Y401" s="47">
        <f t="shared" si="95"/>
        <v>0.11518775854192048</v>
      </c>
      <c r="AP401" s="48">
        <v>0.50390000000000001</v>
      </c>
      <c r="AQ401" s="48">
        <v>0.53169999999999995</v>
      </c>
      <c r="AR401" s="47">
        <f>IF(AP401="","",AP401-($AC$60+$AC$61*Volcanic!C401+$AC$62*Volcanic!D401+$AC$63*Volcanic!E401))</f>
        <v>9.4980620646810787E-2</v>
      </c>
      <c r="AS401" s="47">
        <f>IF(AQ401="","",AQ401-($AD$60+$AD$61*Volcanic!C401+$AD$62*Volcanic!D401+$AD$63*Volcanic!E401))</f>
        <v>0.10612345534683348</v>
      </c>
    </row>
    <row r="402" spans="1:45">
      <c r="A402" s="45" t="str">
        <f>Volcanic!A402</f>
        <v>7/1991</v>
      </c>
      <c r="B402" s="43">
        <f>Volcanic!B402</f>
        <v>0.47999999999999865</v>
      </c>
      <c r="C402" s="47">
        <f>Volcanic!C402</f>
        <v>0.34766565630097057</v>
      </c>
      <c r="D402" s="41">
        <v>0.8</v>
      </c>
      <c r="E402" s="43">
        <f t="shared" si="96"/>
        <v>0.3</v>
      </c>
      <c r="F402" s="48">
        <v>2.4369999999999999E-2</v>
      </c>
      <c r="G402" s="47">
        <f t="shared" si="97"/>
        <v>4.7000000000000002E-3</v>
      </c>
      <c r="H402" s="43">
        <f>Volcanic!D402</f>
        <v>0.28999999999999998</v>
      </c>
      <c r="I402" s="47">
        <f>Volcanic!E402</f>
        <v>5.8900000000000003E-3</v>
      </c>
      <c r="K402" s="47">
        <f t="shared" si="84"/>
        <v>0.34766565630097057</v>
      </c>
      <c r="L402" s="47">
        <f t="shared" si="85"/>
        <v>0.3</v>
      </c>
      <c r="M402" s="47">
        <f t="shared" si="86"/>
        <v>5.8900000000000003E-3</v>
      </c>
      <c r="O402" s="47">
        <f t="shared" si="87"/>
        <v>0.34766565630097057</v>
      </c>
      <c r="P402" s="47">
        <f t="shared" si="88"/>
        <v>0.28999999999999998</v>
      </c>
      <c r="Q402" s="47">
        <f t="shared" si="89"/>
        <v>4.7000000000000002E-3</v>
      </c>
      <c r="S402" s="47">
        <f t="shared" si="90"/>
        <v>0.34766565630097057</v>
      </c>
      <c r="T402" s="47">
        <f t="shared" si="91"/>
        <v>0.3</v>
      </c>
      <c r="U402" s="47">
        <f t="shared" si="92"/>
        <v>4.7000000000000002E-3</v>
      </c>
      <c r="W402" s="47">
        <f t="shared" si="93"/>
        <v>7.7447846823174349E-2</v>
      </c>
      <c r="X402" s="47">
        <f t="shared" si="94"/>
        <v>7.7172793191444655E-2</v>
      </c>
      <c r="Y402" s="47">
        <f t="shared" si="95"/>
        <v>7.651504952315441E-2</v>
      </c>
      <c r="AP402" s="48">
        <v>0.53859999999999997</v>
      </c>
      <c r="AQ402" s="48">
        <v>0.49769999999999998</v>
      </c>
      <c r="AR402" s="47">
        <f>IF(AP402="","",AP402-($AC$60+$AC$61*Volcanic!C402+$AC$62*Volcanic!D402+$AC$63*Volcanic!E402))</f>
        <v>0.14469371943007908</v>
      </c>
      <c r="AS402" s="47">
        <f>IF(AQ402="","",AQ402-($AD$60+$AD$61*Volcanic!C402+$AD$62*Volcanic!D402+$AD$63*Volcanic!E402))</f>
        <v>8.7600454570197883E-2</v>
      </c>
    </row>
    <row r="403" spans="1:45">
      <c r="A403" s="45" t="str">
        <f>Volcanic!A403</f>
        <v>8/1991</v>
      </c>
      <c r="B403" s="43">
        <f>Volcanic!B403</f>
        <v>0.38999999999999879</v>
      </c>
      <c r="C403" s="47">
        <f>Volcanic!C403</f>
        <v>0.33820026566553218</v>
      </c>
      <c r="D403" s="41">
        <v>0.7</v>
      </c>
      <c r="E403" s="43">
        <f t="shared" si="96"/>
        <v>0.5</v>
      </c>
      <c r="F403" s="48">
        <v>4.9050000000000003E-2</v>
      </c>
      <c r="G403" s="47">
        <f t="shared" si="97"/>
        <v>4.5399999999999998E-3</v>
      </c>
      <c r="H403" s="43">
        <f>Volcanic!D403</f>
        <v>0.49</v>
      </c>
      <c r="I403" s="47">
        <f>Volcanic!E403</f>
        <v>5.7800000000000004E-3</v>
      </c>
      <c r="K403" s="47">
        <f t="shared" si="84"/>
        <v>0.33820026566553218</v>
      </c>
      <c r="L403" s="47">
        <f t="shared" si="85"/>
        <v>0.5</v>
      </c>
      <c r="M403" s="47">
        <f t="shared" si="86"/>
        <v>5.7800000000000004E-3</v>
      </c>
      <c r="O403" s="47">
        <f t="shared" si="87"/>
        <v>0.33820026566553218</v>
      </c>
      <c r="P403" s="47">
        <f t="shared" si="88"/>
        <v>0.49</v>
      </c>
      <c r="Q403" s="47">
        <f t="shared" si="89"/>
        <v>4.5399999999999998E-3</v>
      </c>
      <c r="S403" s="47">
        <f t="shared" si="90"/>
        <v>0.33820026566553218</v>
      </c>
      <c r="T403" s="47">
        <f t="shared" si="91"/>
        <v>0.5</v>
      </c>
      <c r="U403" s="47">
        <f t="shared" si="92"/>
        <v>4.5399999999999998E-3</v>
      </c>
      <c r="W403" s="47">
        <f t="shared" si="93"/>
        <v>-5.5556583363888246E-3</v>
      </c>
      <c r="X403" s="47">
        <f t="shared" si="94"/>
        <v>-6.4420547674037265E-3</v>
      </c>
      <c r="Y403" s="47">
        <f t="shared" si="95"/>
        <v>-7.1181447844526069E-3</v>
      </c>
      <c r="AP403" s="48">
        <v>0.43680000000000002</v>
      </c>
      <c r="AQ403" s="48">
        <v>0.43269999999999997</v>
      </c>
      <c r="AR403" s="47">
        <f>IF(AP403="","",AP403-($AC$60+$AC$61*Volcanic!C403+$AC$62*Volcanic!D403+$AC$63*Volcanic!E403))</f>
        <v>4.9746289444959624E-2</v>
      </c>
      <c r="AS403" s="47">
        <f>IF(AQ403="","",AQ403-($AD$60+$AD$61*Volcanic!C403+$AD$62*Volcanic!D403+$AD$63*Volcanic!E403))</f>
        <v>2.9747193708875797E-2</v>
      </c>
    </row>
    <row r="404" spans="1:45">
      <c r="A404" s="45" t="str">
        <f>Volcanic!A404</f>
        <v>9/1991</v>
      </c>
      <c r="B404" s="43">
        <f>Volcanic!B404</f>
        <v>0.44000000000000483</v>
      </c>
      <c r="C404" s="47">
        <f>Volcanic!C404</f>
        <v>0.33154144137771635</v>
      </c>
      <c r="D404" s="41">
        <v>0.7</v>
      </c>
      <c r="E404" s="43">
        <f t="shared" si="96"/>
        <v>0.6</v>
      </c>
      <c r="F404" s="48">
        <v>7.3599999999999999E-2</v>
      </c>
      <c r="G404" s="47">
        <f t="shared" si="97"/>
        <v>4.4799999999999996E-3</v>
      </c>
      <c r="H404" s="43">
        <f>Volcanic!D404</f>
        <v>0.63</v>
      </c>
      <c r="I404" s="47">
        <f>Volcanic!E404</f>
        <v>5.7499999999999999E-3</v>
      </c>
      <c r="K404" s="47">
        <f t="shared" si="84"/>
        <v>0.33154144137771635</v>
      </c>
      <c r="L404" s="47">
        <f t="shared" si="85"/>
        <v>0.6</v>
      </c>
      <c r="M404" s="47">
        <f t="shared" si="86"/>
        <v>5.7499999999999999E-3</v>
      </c>
      <c r="O404" s="47">
        <f t="shared" si="87"/>
        <v>0.33154144137771635</v>
      </c>
      <c r="P404" s="47">
        <f t="shared" si="88"/>
        <v>0.63</v>
      </c>
      <c r="Q404" s="47">
        <f t="shared" si="89"/>
        <v>4.4799999999999996E-3</v>
      </c>
      <c r="S404" s="47">
        <f t="shared" si="90"/>
        <v>0.33154144137771635</v>
      </c>
      <c r="T404" s="47">
        <f t="shared" si="91"/>
        <v>0.6</v>
      </c>
      <c r="U404" s="47">
        <f t="shared" si="92"/>
        <v>4.4799999999999996E-3</v>
      </c>
      <c r="W404" s="47">
        <f t="shared" si="93"/>
        <v>5.3250520942738411E-2</v>
      </c>
      <c r="X404" s="47">
        <f t="shared" si="94"/>
        <v>4.8252770334842487E-2</v>
      </c>
      <c r="Y404" s="47">
        <f t="shared" si="95"/>
        <v>5.1324433051177287E-2</v>
      </c>
      <c r="AP404" s="48">
        <v>0.42270000000000002</v>
      </c>
      <c r="AQ404" s="48">
        <v>0.43569999999999998</v>
      </c>
      <c r="AR404" s="47">
        <f>IF(AP404="","",AP404-($AC$60+$AC$61*Volcanic!C404+$AC$62*Volcanic!D404+$AC$63*Volcanic!E404))</f>
        <v>4.0646428768092047E-2</v>
      </c>
      <c r="AS404" s="47">
        <f>IF(AQ404="","",AQ404-($AD$60+$AD$61*Volcanic!C404+$AD$62*Volcanic!D404+$AD$63*Volcanic!E404))</f>
        <v>3.7950129700482171E-2</v>
      </c>
    </row>
    <row r="405" spans="1:45">
      <c r="A405" s="45" t="str">
        <f>Volcanic!A405</f>
        <v>10/1991</v>
      </c>
      <c r="B405" s="43">
        <f>Volcanic!B405</f>
        <v>0.28999999999999559</v>
      </c>
      <c r="C405" s="47">
        <f>Volcanic!C405</f>
        <v>0.3319099092591129</v>
      </c>
      <c r="D405" s="41">
        <v>0.8</v>
      </c>
      <c r="E405" s="43">
        <f t="shared" si="96"/>
        <v>0.8</v>
      </c>
      <c r="F405" s="48">
        <v>9.9379999999999996E-2</v>
      </c>
      <c r="G405" s="47">
        <f t="shared" si="97"/>
        <v>4.3E-3</v>
      </c>
      <c r="H405" s="43">
        <f>Volcanic!D405</f>
        <v>0.77</v>
      </c>
      <c r="I405" s="47">
        <f>Volcanic!E405</f>
        <v>5.6299999999999996E-3</v>
      </c>
      <c r="K405" s="47">
        <f t="shared" si="84"/>
        <v>0.3319099092591129</v>
      </c>
      <c r="L405" s="47">
        <f t="shared" si="85"/>
        <v>0.8</v>
      </c>
      <c r="M405" s="47">
        <f t="shared" si="86"/>
        <v>5.6299999999999996E-3</v>
      </c>
      <c r="O405" s="47">
        <f t="shared" si="87"/>
        <v>0.3319099092591129</v>
      </c>
      <c r="P405" s="47">
        <f t="shared" si="88"/>
        <v>0.77</v>
      </c>
      <c r="Q405" s="47">
        <f t="shared" si="89"/>
        <v>4.3E-3</v>
      </c>
      <c r="S405" s="47">
        <f t="shared" si="90"/>
        <v>0.3319099092591129</v>
      </c>
      <c r="T405" s="47">
        <f t="shared" si="91"/>
        <v>0.8</v>
      </c>
      <c r="U405" s="47">
        <f t="shared" si="92"/>
        <v>4.3E-3</v>
      </c>
      <c r="W405" s="47">
        <f t="shared" si="93"/>
        <v>-0.11659343240075104</v>
      </c>
      <c r="X405" s="47">
        <f t="shared" si="94"/>
        <v>-0.11636477274154944</v>
      </c>
      <c r="Y405" s="47">
        <f t="shared" si="95"/>
        <v>-0.11894471207622864</v>
      </c>
      <c r="AP405" s="48">
        <v>0.32040000000000002</v>
      </c>
      <c r="AQ405" s="48">
        <v>0.33069999999999999</v>
      </c>
      <c r="AR405" s="47">
        <f>IF(AP405="","",AP405-($AC$60+$AC$61*Volcanic!C405+$AC$62*Volcanic!D405+$AC$63*Volcanic!E405))</f>
        <v>-7.6058770813986987E-2</v>
      </c>
      <c r="AS405" s="47">
        <f>IF(AQ405="","",AQ405-($AD$60+$AD$61*Volcanic!C405+$AD$62*Volcanic!D405+$AD$63*Volcanic!E405))</f>
        <v>-8.1735758252110324E-2</v>
      </c>
    </row>
    <row r="406" spans="1:45">
      <c r="A406" s="45" t="str">
        <f>Volcanic!A406</f>
        <v>11/1991</v>
      </c>
      <c r="B406" s="43">
        <f>Volcanic!B406</f>
        <v>0.30000000000000249</v>
      </c>
      <c r="C406" s="47">
        <f>Volcanic!C406</f>
        <v>0.3378741684040325</v>
      </c>
      <c r="D406" s="41">
        <v>1.2</v>
      </c>
      <c r="E406" s="43">
        <f t="shared" si="96"/>
        <v>0.7</v>
      </c>
      <c r="F406" s="48">
        <v>0.10786</v>
      </c>
      <c r="G406" s="47">
        <f t="shared" si="97"/>
        <v>4.2300000000000003E-3</v>
      </c>
      <c r="H406" s="43">
        <f>Volcanic!D406</f>
        <v>0.67</v>
      </c>
      <c r="I406" s="47">
        <f>Volcanic!E406</f>
        <v>5.5700000000000003E-3</v>
      </c>
      <c r="K406" s="47">
        <f t="shared" si="84"/>
        <v>0.3378741684040325</v>
      </c>
      <c r="L406" s="47">
        <f t="shared" si="85"/>
        <v>0.7</v>
      </c>
      <c r="M406" s="47">
        <f t="shared" si="86"/>
        <v>5.5700000000000003E-3</v>
      </c>
      <c r="O406" s="47">
        <f t="shared" si="87"/>
        <v>0.3378741684040325</v>
      </c>
      <c r="P406" s="47">
        <f t="shared" si="88"/>
        <v>0.67</v>
      </c>
      <c r="Q406" s="47">
        <f t="shared" si="89"/>
        <v>4.2300000000000003E-3</v>
      </c>
      <c r="S406" s="47">
        <f t="shared" si="90"/>
        <v>0.3378741684040325</v>
      </c>
      <c r="T406" s="47">
        <f t="shared" si="91"/>
        <v>0.7</v>
      </c>
      <c r="U406" s="47">
        <f t="shared" si="92"/>
        <v>4.2300000000000003E-3</v>
      </c>
      <c r="W406" s="47">
        <f t="shared" si="93"/>
        <v>-0.11370374520174376</v>
      </c>
      <c r="X406" s="47">
        <f t="shared" si="94"/>
        <v>-0.11327889141235042</v>
      </c>
      <c r="Y406" s="47">
        <f t="shared" si="95"/>
        <v>-0.11584974709132501</v>
      </c>
      <c r="AP406" s="48">
        <v>0.3246</v>
      </c>
      <c r="AQ406" s="48">
        <v>0.28270000000000001</v>
      </c>
      <c r="AR406" s="47">
        <f>IF(AP406="","",AP406-($AC$60+$AC$61*Volcanic!C406+$AC$62*Volcanic!D406+$AC$63*Volcanic!E406))</f>
        <v>-7.8924687009355898E-2</v>
      </c>
      <c r="AS406" s="47">
        <f>IF(AQ406="","",AQ406-($AD$60+$AD$61*Volcanic!C406+$AD$62*Volcanic!D406+$AD$63*Volcanic!E406))</f>
        <v>-0.13702199698320267</v>
      </c>
    </row>
    <row r="407" spans="1:45">
      <c r="A407" s="45" t="str">
        <f>Volcanic!A407</f>
        <v>12/1991</v>
      </c>
      <c r="B407" s="43">
        <f>Volcanic!B407</f>
        <v>0.32000000000000028</v>
      </c>
      <c r="C407" s="47">
        <f>Volcanic!C407</f>
        <v>0.34324537036048725</v>
      </c>
      <c r="D407" s="41">
        <v>1.4</v>
      </c>
      <c r="E407" s="43">
        <f t="shared" si="96"/>
        <v>0.7</v>
      </c>
      <c r="F407" s="48">
        <v>0.10736999999999999</v>
      </c>
      <c r="G407" s="47">
        <f t="shared" si="97"/>
        <v>4.2599999999999999E-3</v>
      </c>
      <c r="H407" s="43">
        <f>Volcanic!D407</f>
        <v>0.72</v>
      </c>
      <c r="I407" s="47">
        <f>Volcanic!E407</f>
        <v>5.5500000000000002E-3</v>
      </c>
      <c r="K407" s="47">
        <f t="shared" si="84"/>
        <v>0.34324537036048725</v>
      </c>
      <c r="L407" s="47">
        <f t="shared" si="85"/>
        <v>0.7</v>
      </c>
      <c r="M407" s="47">
        <f t="shared" si="86"/>
        <v>5.5500000000000002E-3</v>
      </c>
      <c r="O407" s="47">
        <f t="shared" si="87"/>
        <v>0.34324537036048725</v>
      </c>
      <c r="P407" s="47">
        <f t="shared" si="88"/>
        <v>0.72</v>
      </c>
      <c r="Q407" s="47">
        <f t="shared" si="89"/>
        <v>4.2599999999999999E-3</v>
      </c>
      <c r="S407" s="47">
        <f t="shared" si="90"/>
        <v>0.34324537036048725</v>
      </c>
      <c r="T407" s="47">
        <f t="shared" si="91"/>
        <v>0.7</v>
      </c>
      <c r="U407" s="47">
        <f t="shared" si="92"/>
        <v>4.2599999999999999E-3</v>
      </c>
      <c r="W407" s="47">
        <f t="shared" si="93"/>
        <v>-0.10839589221992901</v>
      </c>
      <c r="X407" s="47">
        <f t="shared" si="94"/>
        <v>-0.11241878560857782</v>
      </c>
      <c r="Y407" s="47">
        <f t="shared" si="95"/>
        <v>-0.11029111362086108</v>
      </c>
      <c r="AP407" s="48">
        <v>0.30869999999999997</v>
      </c>
      <c r="AQ407" s="48">
        <v>0.38069999999999998</v>
      </c>
      <c r="AR407" s="47">
        <f>IF(AP407="","",AP407-($AC$60+$AC$61*Volcanic!C407+$AC$62*Volcanic!D407+$AC$63*Volcanic!E407))</f>
        <v>-0.1142217136148489</v>
      </c>
      <c r="AS407" s="47">
        <f>IF(AQ407="","",AQ407-($AD$60+$AD$61*Volcanic!C407+$AD$62*Volcanic!D407+$AD$63*Volcanic!E407))</f>
        <v>-5.8890181397463992E-2</v>
      </c>
    </row>
    <row r="408" spans="1:45">
      <c r="A408" s="45" t="str">
        <f>Volcanic!A408</f>
        <v>1/1992</v>
      </c>
      <c r="B408" s="43">
        <f>Volcanic!B408</f>
        <v>0.47999999999999865</v>
      </c>
      <c r="C408" s="47">
        <f>Volcanic!C408</f>
        <v>0.34782761129001444</v>
      </c>
      <c r="D408" s="41">
        <v>1.5</v>
      </c>
      <c r="E408" s="43">
        <f t="shared" si="96"/>
        <v>0.8</v>
      </c>
      <c r="F408" s="48">
        <v>0.10738</v>
      </c>
      <c r="G408" s="47">
        <f t="shared" si="97"/>
        <v>4.79E-3</v>
      </c>
      <c r="H408" s="43">
        <f>Volcanic!D408</f>
        <v>0.83</v>
      </c>
      <c r="I408" s="47">
        <f>Volcanic!E408</f>
        <v>6.0099999999999997E-3</v>
      </c>
      <c r="K408" s="47">
        <f t="shared" si="84"/>
        <v>0.34782761129001444</v>
      </c>
      <c r="L408" s="47">
        <f t="shared" si="85"/>
        <v>0.8</v>
      </c>
      <c r="M408" s="47">
        <f t="shared" si="86"/>
        <v>6.0099999999999997E-3</v>
      </c>
      <c r="O408" s="47">
        <f t="shared" si="87"/>
        <v>0.34782761129001444</v>
      </c>
      <c r="P408" s="47">
        <f t="shared" si="88"/>
        <v>0.83</v>
      </c>
      <c r="Q408" s="47">
        <f t="shared" si="89"/>
        <v>4.79E-3</v>
      </c>
      <c r="S408" s="47">
        <f t="shared" si="90"/>
        <v>0.34782761129001444</v>
      </c>
      <c r="T408" s="47">
        <f t="shared" si="91"/>
        <v>0.8</v>
      </c>
      <c r="U408" s="47">
        <f t="shared" si="92"/>
        <v>4.79E-3</v>
      </c>
      <c r="W408" s="47">
        <f t="shared" si="93"/>
        <v>3.083393682297314E-2</v>
      </c>
      <c r="X408" s="47">
        <f t="shared" si="94"/>
        <v>2.6244543563492484E-2</v>
      </c>
      <c r="Y408" s="47">
        <f t="shared" si="95"/>
        <v>2.9307104303251563E-2</v>
      </c>
      <c r="AP408" s="48">
        <v>0.43209999999999998</v>
      </c>
      <c r="AQ408" s="48">
        <v>0.49170000000000003</v>
      </c>
      <c r="AR408" s="47">
        <f>IF(AP408="","",AP408-($AC$60+$AC$61*Volcanic!C408+$AC$62*Volcanic!D408+$AC$63*Volcanic!E408))</f>
        <v>-1.2528126790780469E-2</v>
      </c>
      <c r="AS408" s="47">
        <f>IF(AQ408="","",AQ408-($AD$60+$AD$61*Volcanic!C408+$AD$62*Volcanic!D408+$AD$63*Volcanic!E408))</f>
        <v>2.9816940454959195E-2</v>
      </c>
    </row>
    <row r="409" spans="1:45">
      <c r="A409" s="45" t="str">
        <f>Volcanic!A409</f>
        <v>2/1992</v>
      </c>
      <c r="B409" s="43">
        <f>Volcanic!B409</f>
        <v>0.40000000000000213</v>
      </c>
      <c r="C409" s="47">
        <f>Volcanic!C409</f>
        <v>0.35134564172245408</v>
      </c>
      <c r="D409" s="41">
        <v>1.5</v>
      </c>
      <c r="E409" s="43">
        <f t="shared" si="96"/>
        <v>1.2</v>
      </c>
      <c r="F409" s="48">
        <v>0.10616</v>
      </c>
      <c r="G409" s="47">
        <f t="shared" si="97"/>
        <v>2.4369999999999999E-2</v>
      </c>
      <c r="H409" s="43">
        <f>Volcanic!D409</f>
        <v>1.18</v>
      </c>
      <c r="I409" s="47">
        <f>Volcanic!E409</f>
        <v>2.5409999999999999E-2</v>
      </c>
      <c r="K409" s="47">
        <f t="shared" si="84"/>
        <v>0.35134564172245408</v>
      </c>
      <c r="L409" s="47">
        <f t="shared" si="85"/>
        <v>1.2</v>
      </c>
      <c r="M409" s="47">
        <f t="shared" si="86"/>
        <v>2.5409999999999999E-2</v>
      </c>
      <c r="O409" s="47">
        <f t="shared" si="87"/>
        <v>0.35134564172245408</v>
      </c>
      <c r="P409" s="47">
        <f t="shared" si="88"/>
        <v>1.18</v>
      </c>
      <c r="Q409" s="47">
        <f t="shared" si="89"/>
        <v>2.4369999999999999E-2</v>
      </c>
      <c r="S409" s="47">
        <f t="shared" si="90"/>
        <v>0.35134564172245408</v>
      </c>
      <c r="T409" s="47">
        <f t="shared" si="91"/>
        <v>1.2</v>
      </c>
      <c r="U409" s="47">
        <f t="shared" si="92"/>
        <v>2.4369999999999999E-2</v>
      </c>
      <c r="W409" s="47">
        <f t="shared" si="93"/>
        <v>-5.3161202259995488E-2</v>
      </c>
      <c r="X409" s="47">
        <f t="shared" si="94"/>
        <v>-4.4986704483826023E-2</v>
      </c>
      <c r="Y409" s="47">
        <f t="shared" si="95"/>
        <v>-4.6589511863521338E-2</v>
      </c>
      <c r="AP409" s="48">
        <v>0.41839999999999999</v>
      </c>
      <c r="AQ409" s="48">
        <v>0.43669999999999998</v>
      </c>
      <c r="AR409" s="47">
        <f>IF(AP409="","",AP409-($AC$60+$AC$61*Volcanic!C409+$AC$62*Volcanic!D409+$AC$63*Volcanic!E409))</f>
        <v>-2.1929989112812798E-2</v>
      </c>
      <c r="AS409" s="47">
        <f>IF(AQ409="","",AQ409-($AD$60+$AD$61*Volcanic!C409+$AD$62*Volcanic!D409+$AD$63*Volcanic!E409))</f>
        <v>-2.4051296832485414E-2</v>
      </c>
    </row>
    <row r="410" spans="1:45">
      <c r="A410" s="45" t="str">
        <f>Volcanic!A410</f>
        <v>3/1992</v>
      </c>
      <c r="B410" s="43">
        <f>Volcanic!B410</f>
        <v>0.47999999999999865</v>
      </c>
      <c r="C410" s="47">
        <f>Volcanic!C410</f>
        <v>0.35441185902104577</v>
      </c>
      <c r="D410" s="41">
        <v>1.4</v>
      </c>
      <c r="E410" s="43">
        <f t="shared" si="96"/>
        <v>1.4</v>
      </c>
      <c r="F410" s="48">
        <v>0.1033</v>
      </c>
      <c r="G410" s="47">
        <f t="shared" si="97"/>
        <v>4.9050000000000003E-2</v>
      </c>
      <c r="H410" s="43">
        <f>Volcanic!D410</f>
        <v>1.43</v>
      </c>
      <c r="I410" s="47">
        <f>Volcanic!E410</f>
        <v>4.9849999999999998E-2</v>
      </c>
      <c r="K410" s="47">
        <f t="shared" si="84"/>
        <v>0.35441185902104577</v>
      </c>
      <c r="L410" s="47">
        <f t="shared" si="85"/>
        <v>1.4</v>
      </c>
      <c r="M410" s="47">
        <f t="shared" si="86"/>
        <v>4.9849999999999998E-2</v>
      </c>
      <c r="O410" s="47">
        <f t="shared" si="87"/>
        <v>0.35441185902104577</v>
      </c>
      <c r="P410" s="47">
        <f t="shared" si="88"/>
        <v>1.43</v>
      </c>
      <c r="Q410" s="47">
        <f t="shared" si="89"/>
        <v>4.9050000000000003E-2</v>
      </c>
      <c r="S410" s="47">
        <f t="shared" si="90"/>
        <v>0.35441185902104577</v>
      </c>
      <c r="T410" s="47">
        <f t="shared" si="91"/>
        <v>1.4</v>
      </c>
      <c r="U410" s="47">
        <f t="shared" si="92"/>
        <v>4.9050000000000003E-2</v>
      </c>
      <c r="W410" s="47">
        <f t="shared" si="93"/>
        <v>5.3756250188768895E-2</v>
      </c>
      <c r="X410" s="47">
        <f t="shared" si="94"/>
        <v>6.7722214621571131E-2</v>
      </c>
      <c r="Y410" s="47">
        <f t="shared" si="95"/>
        <v>7.0878228246076702E-2</v>
      </c>
      <c r="AP410" s="48">
        <v>0.3805</v>
      </c>
      <c r="AQ410" s="48">
        <v>0.45469999999999999</v>
      </c>
      <c r="AR410" s="47">
        <f>IF(AP410="","",AP410-($AC$60+$AC$61*Volcanic!C410+$AC$62*Volcanic!D410+$AC$63*Volcanic!E410))</f>
        <v>-3.2806367291399907E-2</v>
      </c>
      <c r="AS410" s="47">
        <f>IF(AQ410="","",AQ410-($AD$60+$AD$61*Volcanic!C410+$AD$62*Volcanic!D410+$AD$63*Volcanic!E410))</f>
        <v>1.7445772731008669E-2</v>
      </c>
    </row>
    <row r="411" spans="1:45">
      <c r="A411" s="45" t="str">
        <f>Volcanic!A411</f>
        <v>4/1992</v>
      </c>
      <c r="B411" s="43">
        <f>Volcanic!B411</f>
        <v>0.28000000000000114</v>
      </c>
      <c r="C411" s="47">
        <f>Volcanic!C411</f>
        <v>0.35944084890426714</v>
      </c>
      <c r="D411" s="41">
        <v>1.3</v>
      </c>
      <c r="E411" s="43">
        <f t="shared" si="96"/>
        <v>1.5</v>
      </c>
      <c r="F411" s="48">
        <v>9.9650000000000002E-2</v>
      </c>
      <c r="G411" s="47">
        <f t="shared" si="97"/>
        <v>7.3599999999999999E-2</v>
      </c>
      <c r="H411" s="43">
        <f>Volcanic!D411</f>
        <v>1.54</v>
      </c>
      <c r="I411" s="47">
        <f>Volcanic!E411</f>
        <v>7.442E-2</v>
      </c>
      <c r="K411" s="47">
        <f t="shared" si="84"/>
        <v>0.35944084890426714</v>
      </c>
      <c r="L411" s="47">
        <f t="shared" si="85"/>
        <v>1.5</v>
      </c>
      <c r="M411" s="47">
        <f t="shared" si="86"/>
        <v>7.442E-2</v>
      </c>
      <c r="O411" s="47">
        <f t="shared" si="87"/>
        <v>0.35944084890426714</v>
      </c>
      <c r="P411" s="47">
        <f t="shared" si="88"/>
        <v>1.54</v>
      </c>
      <c r="Q411" s="47">
        <f t="shared" si="89"/>
        <v>7.3599999999999999E-2</v>
      </c>
      <c r="S411" s="47">
        <f t="shared" si="90"/>
        <v>0.35944084890426714</v>
      </c>
      <c r="T411" s="47">
        <f t="shared" si="91"/>
        <v>1.5</v>
      </c>
      <c r="U411" s="47">
        <f t="shared" si="92"/>
        <v>7.3599999999999999E-2</v>
      </c>
      <c r="W411" s="47">
        <f t="shared" si="93"/>
        <v>-0.11510528402433368</v>
      </c>
      <c r="X411" s="47">
        <f t="shared" si="94"/>
        <v>-9.2063968617043579E-2</v>
      </c>
      <c r="Y411" s="47">
        <f t="shared" si="95"/>
        <v>-8.7898893980835002E-2</v>
      </c>
      <c r="AP411" s="48">
        <v>0.23100000000000001</v>
      </c>
      <c r="AQ411" s="48">
        <v>0.32869999999999999</v>
      </c>
      <c r="AR411" s="47">
        <f>IF(AP411="","",AP411-($AC$60+$AC$61*Volcanic!C411+$AC$62*Volcanic!D411+$AC$63*Volcanic!E411))</f>
        <v>-0.14721918797189024</v>
      </c>
      <c r="AS411" s="47">
        <f>IF(AQ411="","",AQ411-($AD$60+$AD$61*Volcanic!C411+$AD$62*Volcanic!D411+$AD$63*Volcanic!E411))</f>
        <v>-7.6877920788452681E-2</v>
      </c>
    </row>
    <row r="412" spans="1:45">
      <c r="A412" s="45" t="str">
        <f>Volcanic!A412</f>
        <v>5/1992</v>
      </c>
      <c r="B412" s="43">
        <f>Volcanic!B412</f>
        <v>0.31000000000000227</v>
      </c>
      <c r="C412" s="47">
        <f>Volcanic!C412</f>
        <v>0.36140744003135555</v>
      </c>
      <c r="D412" s="41">
        <v>1.1000000000000001</v>
      </c>
      <c r="E412" s="43">
        <f t="shared" si="96"/>
        <v>1.5</v>
      </c>
      <c r="F412" s="48">
        <v>9.8290000000000002E-2</v>
      </c>
      <c r="G412" s="47">
        <f t="shared" si="97"/>
        <v>9.9379999999999996E-2</v>
      </c>
      <c r="H412" s="43">
        <f>Volcanic!D412</f>
        <v>1.5</v>
      </c>
      <c r="I412" s="47">
        <f>Volcanic!E412</f>
        <v>9.9510000000000001E-2</v>
      </c>
      <c r="K412" s="47">
        <f t="shared" si="84"/>
        <v>0.36140744003135555</v>
      </c>
      <c r="L412" s="47">
        <f t="shared" si="85"/>
        <v>1.5</v>
      </c>
      <c r="M412" s="47">
        <f t="shared" si="86"/>
        <v>9.9510000000000001E-2</v>
      </c>
      <c r="O412" s="47">
        <f t="shared" si="87"/>
        <v>0.36140744003135555</v>
      </c>
      <c r="P412" s="47">
        <f t="shared" si="88"/>
        <v>1.5</v>
      </c>
      <c r="Q412" s="47">
        <f t="shared" si="89"/>
        <v>9.9379999999999996E-2</v>
      </c>
      <c r="S412" s="47">
        <f t="shared" si="90"/>
        <v>0.36140744003135555</v>
      </c>
      <c r="T412" s="47">
        <f t="shared" si="91"/>
        <v>1.5</v>
      </c>
      <c r="U412" s="47">
        <f t="shared" si="92"/>
        <v>9.9379999999999996E-2</v>
      </c>
      <c r="W412" s="47">
        <f t="shared" si="93"/>
        <v>-3.5182031214413989E-2</v>
      </c>
      <c r="X412" s="47">
        <f t="shared" si="94"/>
        <v>3.7333972184284692E-3</v>
      </c>
      <c r="Y412" s="47">
        <f t="shared" si="95"/>
        <v>4.2210817192829819E-3</v>
      </c>
      <c r="AP412" s="48">
        <v>0.23930000000000001</v>
      </c>
      <c r="AQ412" s="48">
        <v>0.33169999999999999</v>
      </c>
      <c r="AR412" s="47">
        <f>IF(AP412="","",AP412-($AC$60+$AC$61*Volcanic!C412+$AC$62*Volcanic!D412+$AC$63*Volcanic!E412))</f>
        <v>-8.0171808492725372E-2</v>
      </c>
      <c r="AS412" s="47">
        <f>IF(AQ412="","",AQ412-($AD$60+$AD$61*Volcanic!C412+$AD$62*Volcanic!D412+$AD$63*Volcanic!E412))</f>
        <v>-1.8098529155170573E-2</v>
      </c>
    </row>
    <row r="413" spans="1:45">
      <c r="A413" s="45" t="str">
        <f>Volcanic!A413</f>
        <v>6/1992</v>
      </c>
      <c r="B413" s="43">
        <f>Volcanic!B413</f>
        <v>0.25999999999999979</v>
      </c>
      <c r="C413" s="47">
        <f>Volcanic!C413</f>
        <v>0.36032413980374728</v>
      </c>
      <c r="D413" s="41">
        <v>0.7</v>
      </c>
      <c r="E413" s="43">
        <f t="shared" si="96"/>
        <v>1.4</v>
      </c>
      <c r="F413" s="48">
        <v>9.8119999999999999E-2</v>
      </c>
      <c r="G413" s="47">
        <f t="shared" si="97"/>
        <v>0.10786</v>
      </c>
      <c r="H413" s="43">
        <f>Volcanic!D413</f>
        <v>1.4</v>
      </c>
      <c r="I413" s="47">
        <f>Volcanic!E413</f>
        <v>0.10833</v>
      </c>
      <c r="K413" s="47">
        <f t="shared" si="84"/>
        <v>0.36032413980374728</v>
      </c>
      <c r="L413" s="47">
        <f t="shared" si="85"/>
        <v>1.4</v>
      </c>
      <c r="M413" s="47">
        <f t="shared" si="86"/>
        <v>0.10833</v>
      </c>
      <c r="O413" s="47">
        <f t="shared" si="87"/>
        <v>0.36032413980374728</v>
      </c>
      <c r="P413" s="47">
        <f t="shared" si="88"/>
        <v>1.4</v>
      </c>
      <c r="Q413" s="47">
        <f t="shared" si="89"/>
        <v>0.10786</v>
      </c>
      <c r="S413" s="47">
        <f t="shared" si="90"/>
        <v>0.36032413980374728</v>
      </c>
      <c r="T413" s="47">
        <f t="shared" si="91"/>
        <v>1.4</v>
      </c>
      <c r="U413" s="47">
        <f t="shared" si="92"/>
        <v>0.10786</v>
      </c>
      <c r="W413" s="47">
        <f t="shared" si="93"/>
        <v>-5.3505286158891052E-2</v>
      </c>
      <c r="X413" s="47">
        <f t="shared" si="94"/>
        <v>-1.1788057990442746E-2</v>
      </c>
      <c r="Y413" s="47">
        <f t="shared" si="95"/>
        <v>-1.1267069593280998E-2</v>
      </c>
      <c r="AP413" s="48">
        <v>0.22750000000000001</v>
      </c>
      <c r="AQ413" s="48">
        <v>0.26869999999999999</v>
      </c>
      <c r="AR413" s="47">
        <f>IF(AP413="","",AP413-($AC$60+$AC$61*Volcanic!C413+$AC$62*Volcanic!D413+$AC$63*Volcanic!E413))</f>
        <v>-5.842654351263557E-2</v>
      </c>
      <c r="AS413" s="47">
        <f>IF(AQ413="","",AQ413-($AD$60+$AD$61*Volcanic!C413+$AD$62*Volcanic!D413+$AD$63*Volcanic!E413))</f>
        <v>-4.8306949390904019E-2</v>
      </c>
    </row>
    <row r="414" spans="1:45">
      <c r="A414" s="45" t="str">
        <f>Volcanic!A414</f>
        <v>7/1992</v>
      </c>
      <c r="B414" s="43">
        <f>Volcanic!B414</f>
        <v>8.9999999999999858E-2</v>
      </c>
      <c r="C414" s="47">
        <f>Volcanic!C414</f>
        <v>0.35110329415916136</v>
      </c>
      <c r="D414" s="41">
        <v>0.4</v>
      </c>
      <c r="E414" s="43">
        <f t="shared" si="96"/>
        <v>1.3</v>
      </c>
      <c r="F414" s="48">
        <v>9.4189999999999996E-2</v>
      </c>
      <c r="G414" s="47">
        <f t="shared" si="97"/>
        <v>0.10736999999999999</v>
      </c>
      <c r="H414" s="43">
        <f>Volcanic!D414</f>
        <v>1.3</v>
      </c>
      <c r="I414" s="47">
        <f>Volcanic!E414</f>
        <v>0.10814</v>
      </c>
      <c r="K414" s="47">
        <f t="shared" si="84"/>
        <v>0.35110329415916136</v>
      </c>
      <c r="L414" s="47">
        <f t="shared" si="85"/>
        <v>1.3</v>
      </c>
      <c r="M414" s="47">
        <f t="shared" si="86"/>
        <v>0.10814</v>
      </c>
      <c r="O414" s="47">
        <f t="shared" si="87"/>
        <v>0.35110329415916136</v>
      </c>
      <c r="P414" s="47">
        <f t="shared" si="88"/>
        <v>1.3</v>
      </c>
      <c r="Q414" s="47">
        <f t="shared" si="89"/>
        <v>0.10736999999999999</v>
      </c>
      <c r="S414" s="47">
        <f t="shared" si="90"/>
        <v>0.35110329415916136</v>
      </c>
      <c r="T414" s="47">
        <f t="shared" si="91"/>
        <v>1.3</v>
      </c>
      <c r="U414" s="47">
        <f t="shared" si="92"/>
        <v>0.10736999999999999</v>
      </c>
      <c r="W414" s="47">
        <f t="shared" si="93"/>
        <v>-0.18948998991673499</v>
      </c>
      <c r="X414" s="47">
        <f t="shared" si="94"/>
        <v>-0.14874540568684758</v>
      </c>
      <c r="Y414" s="47">
        <f t="shared" si="95"/>
        <v>-0.14822122514133768</v>
      </c>
      <c r="AP414" s="48">
        <v>7.8299999999999995E-2</v>
      </c>
      <c r="AQ414" s="48">
        <v>0.1077</v>
      </c>
      <c r="AR414" s="47">
        <f>IF(AP414="","",AP414-($AC$60+$AC$61*Volcanic!C414+$AC$62*Volcanic!D414+$AC$63*Volcanic!E414))</f>
        <v>-0.17354069569033176</v>
      </c>
      <c r="AS414" s="47">
        <f>IF(AQ414="","",AQ414-($AD$60+$AD$61*Volcanic!C414+$AD$62*Volcanic!D414+$AD$63*Volcanic!E414))</f>
        <v>-0.17435908398864552</v>
      </c>
    </row>
    <row r="415" spans="1:45">
      <c r="A415" s="45" t="str">
        <f>Volcanic!A415</f>
        <v>8/1992</v>
      </c>
      <c r="B415" s="43">
        <f>Volcanic!B415</f>
        <v>8.0000000000000071E-2</v>
      </c>
      <c r="C415" s="47">
        <f>Volcanic!C415</f>
        <v>0.34235155757775643</v>
      </c>
      <c r="D415" s="41">
        <v>0.1</v>
      </c>
      <c r="E415" s="43">
        <f t="shared" si="96"/>
        <v>1.1000000000000001</v>
      </c>
      <c r="F415" s="48">
        <v>8.7910000000000002E-2</v>
      </c>
      <c r="G415" s="47">
        <f t="shared" si="97"/>
        <v>0.10738</v>
      </c>
      <c r="H415" s="43">
        <f>Volcanic!D415</f>
        <v>1.08</v>
      </c>
      <c r="I415" s="47">
        <f>Volcanic!E415</f>
        <v>0.10936</v>
      </c>
      <c r="K415" s="47">
        <f t="shared" si="84"/>
        <v>0.34235155757775643</v>
      </c>
      <c r="L415" s="47">
        <f t="shared" si="85"/>
        <v>1.1000000000000001</v>
      </c>
      <c r="M415" s="47">
        <f t="shared" si="86"/>
        <v>0.10936</v>
      </c>
      <c r="O415" s="47">
        <f t="shared" si="87"/>
        <v>0.34235155757775643</v>
      </c>
      <c r="P415" s="47">
        <f t="shared" si="88"/>
        <v>1.08</v>
      </c>
      <c r="Q415" s="47">
        <f t="shared" si="89"/>
        <v>0.10738</v>
      </c>
      <c r="S415" s="47">
        <f t="shared" si="90"/>
        <v>0.34235155757775643</v>
      </c>
      <c r="T415" s="47">
        <f t="shared" si="91"/>
        <v>1.1000000000000001</v>
      </c>
      <c r="U415" s="47">
        <f t="shared" si="92"/>
        <v>0.10738</v>
      </c>
      <c r="W415" s="47">
        <f t="shared" si="93"/>
        <v>-0.15435972296618483</v>
      </c>
      <c r="X415" s="47">
        <f t="shared" si="94"/>
        <v>-0.11439230851398841</v>
      </c>
      <c r="Y415" s="47">
        <f t="shared" si="95"/>
        <v>-0.11573448245489365</v>
      </c>
      <c r="AP415" s="48">
        <v>0.11020000000000001</v>
      </c>
      <c r="AQ415" s="48">
        <v>9.6699999999999994E-2</v>
      </c>
      <c r="AR415" s="47">
        <f>IF(AP415="","",AP415-($AC$60+$AC$61*Volcanic!C415+$AC$62*Volcanic!D415+$AC$63*Volcanic!E415))</f>
        <v>-9.4205646330616247E-2</v>
      </c>
      <c r="AS415" s="47">
        <f>IF(AQ415="","",AQ415-($AD$60+$AD$61*Volcanic!C415+$AD$62*Volcanic!D415+$AD$63*Volcanic!E415))</f>
        <v>-0.13702802135432651</v>
      </c>
    </row>
    <row r="416" spans="1:45">
      <c r="A416" s="45" t="str">
        <f>Volcanic!A416</f>
        <v>9/1992</v>
      </c>
      <c r="B416" s="43">
        <f>Volcanic!B416</f>
        <v>-9.9999999999980105E-3</v>
      </c>
      <c r="C416" s="47">
        <f>Volcanic!C416</f>
        <v>0.3342822252952366</v>
      </c>
      <c r="D416" s="41">
        <v>-0.1</v>
      </c>
      <c r="E416" s="43">
        <f t="shared" si="96"/>
        <v>0.7</v>
      </c>
      <c r="F416" s="48">
        <v>8.3540000000000003E-2</v>
      </c>
      <c r="G416" s="47">
        <f t="shared" si="97"/>
        <v>0.10616</v>
      </c>
      <c r="H416" s="43">
        <f>Volcanic!D416</f>
        <v>0.72</v>
      </c>
      <c r="I416" s="47">
        <f>Volcanic!E416</f>
        <v>0.11007</v>
      </c>
      <c r="K416" s="47">
        <f t="shared" si="84"/>
        <v>0.3342822252952366</v>
      </c>
      <c r="L416" s="47">
        <f t="shared" si="85"/>
        <v>0.7</v>
      </c>
      <c r="M416" s="47">
        <f t="shared" si="86"/>
        <v>0.11007</v>
      </c>
      <c r="O416" s="47">
        <f t="shared" si="87"/>
        <v>0.3342822252952366</v>
      </c>
      <c r="P416" s="47">
        <f t="shared" si="88"/>
        <v>0.72</v>
      </c>
      <c r="Q416" s="47">
        <f t="shared" si="89"/>
        <v>0.10616</v>
      </c>
      <c r="S416" s="47">
        <f t="shared" si="90"/>
        <v>0.3342822252952366</v>
      </c>
      <c r="T416" s="47">
        <f t="shared" si="91"/>
        <v>0.7</v>
      </c>
      <c r="U416" s="47">
        <f t="shared" si="92"/>
        <v>0.10616</v>
      </c>
      <c r="W416" s="47">
        <f t="shared" si="93"/>
        <v>-0.18363961011280355</v>
      </c>
      <c r="X416" s="47">
        <f t="shared" si="94"/>
        <v>-0.15194676462503715</v>
      </c>
      <c r="Y416" s="47">
        <f t="shared" si="95"/>
        <v>-0.14950771892718229</v>
      </c>
      <c r="AP416" s="48">
        <v>-2.0400000000000001E-2</v>
      </c>
      <c r="AQ416" s="48">
        <v>-4.53E-2</v>
      </c>
      <c r="AR416" s="47">
        <f>IF(AP416="","",AP416-($AC$60+$AC$61*Volcanic!C416+$AC$62*Volcanic!D416+$AC$63*Volcanic!E416))</f>
        <v>-0.16735082364841117</v>
      </c>
      <c r="AS416" s="47">
        <f>IF(AQ416="","",AQ416-($AD$60+$AD$61*Volcanic!C416+$AD$62*Volcanic!D416+$AD$63*Volcanic!E416))</f>
        <v>-0.22039737528374487</v>
      </c>
    </row>
    <row r="417" spans="1:45">
      <c r="A417" s="45" t="str">
        <f>Volcanic!A417</f>
        <v>10/1992</v>
      </c>
      <c r="B417" s="43">
        <f>Volcanic!B417</f>
        <v>7.0000000000000284E-2</v>
      </c>
      <c r="C417" s="47">
        <f>Volcanic!C417</f>
        <v>0.33587521271928794</v>
      </c>
      <c r="D417" s="41">
        <v>-0.2</v>
      </c>
      <c r="E417" s="43">
        <f t="shared" si="96"/>
        <v>0.4</v>
      </c>
      <c r="F417" s="48">
        <v>7.5179999999999997E-2</v>
      </c>
      <c r="G417" s="47">
        <f t="shared" si="97"/>
        <v>0.1033</v>
      </c>
      <c r="H417" s="43">
        <f>Volcanic!D417</f>
        <v>0.35</v>
      </c>
      <c r="I417" s="47">
        <f>Volcanic!E417</f>
        <v>0.10983</v>
      </c>
      <c r="K417" s="47">
        <f t="shared" si="84"/>
        <v>0.33587521271928794</v>
      </c>
      <c r="L417" s="47">
        <f t="shared" si="85"/>
        <v>0.4</v>
      </c>
      <c r="M417" s="47">
        <f t="shared" si="86"/>
        <v>0.10983</v>
      </c>
      <c r="O417" s="47">
        <f t="shared" si="87"/>
        <v>0.33587521271928794</v>
      </c>
      <c r="P417" s="47">
        <f t="shared" si="88"/>
        <v>0.35</v>
      </c>
      <c r="Q417" s="47">
        <f t="shared" si="89"/>
        <v>0.1033</v>
      </c>
      <c r="S417" s="47">
        <f t="shared" si="90"/>
        <v>0.33587521271928794</v>
      </c>
      <c r="T417" s="47">
        <f t="shared" si="91"/>
        <v>0.4</v>
      </c>
      <c r="U417" s="47">
        <f t="shared" si="92"/>
        <v>0.1033</v>
      </c>
      <c r="W417" s="47">
        <f t="shared" si="93"/>
        <v>-8.0650778275952073E-2</v>
      </c>
      <c r="X417" s="47">
        <f t="shared" si="94"/>
        <v>-4.8969614972132147E-2</v>
      </c>
      <c r="Y417" s="47">
        <f t="shared" si="95"/>
        <v>-5.3091953671361047E-2</v>
      </c>
      <c r="AP417" s="48">
        <v>4.65E-2</v>
      </c>
      <c r="AQ417" s="48">
        <v>3.0700000000000002E-2</v>
      </c>
      <c r="AR417" s="47">
        <f>IF(AP417="","",AP417-($AC$60+$AC$61*Volcanic!C417+$AC$62*Volcanic!D417+$AC$63*Volcanic!E417))</f>
        <v>-7.0729448624883048E-2</v>
      </c>
      <c r="AS417" s="47">
        <f>IF(AQ417="","",AQ417-($AD$60+$AD$61*Volcanic!C417+$AD$62*Volcanic!D417+$AD$63*Volcanic!E417))</f>
        <v>-0.11405004553286657</v>
      </c>
    </row>
    <row r="418" spans="1:45">
      <c r="A418" s="45" t="str">
        <f>Volcanic!A418</f>
        <v>11/1992</v>
      </c>
      <c r="B418" s="43">
        <f>Volcanic!B418</f>
        <v>2.9999999999997584E-2</v>
      </c>
      <c r="C418" s="47">
        <f>Volcanic!C418</f>
        <v>0.34003319062417492</v>
      </c>
      <c r="D418" s="41">
        <v>-0.2</v>
      </c>
      <c r="E418" s="43">
        <f t="shared" si="96"/>
        <v>0.1</v>
      </c>
      <c r="F418" s="48">
        <v>6.8449999999999997E-2</v>
      </c>
      <c r="G418" s="47">
        <f t="shared" si="97"/>
        <v>9.9650000000000002E-2</v>
      </c>
      <c r="H418" s="43">
        <f>Volcanic!D418</f>
        <v>0.08</v>
      </c>
      <c r="I418" s="47">
        <f>Volcanic!E418</f>
        <v>0.10781</v>
      </c>
      <c r="K418" s="47">
        <f t="shared" si="84"/>
        <v>0.34003319062417492</v>
      </c>
      <c r="L418" s="47">
        <f t="shared" si="85"/>
        <v>0.1</v>
      </c>
      <c r="M418" s="47">
        <f t="shared" si="86"/>
        <v>0.10781</v>
      </c>
      <c r="O418" s="47">
        <f t="shared" si="87"/>
        <v>0.34003319062417492</v>
      </c>
      <c r="P418" s="47">
        <f t="shared" si="88"/>
        <v>0.08</v>
      </c>
      <c r="Q418" s="47">
        <f t="shared" si="89"/>
        <v>9.9650000000000002E-2</v>
      </c>
      <c r="S418" s="47">
        <f t="shared" si="90"/>
        <v>0.34003319062417492</v>
      </c>
      <c r="T418" s="47">
        <f t="shared" si="91"/>
        <v>0.1</v>
      </c>
      <c r="U418" s="47">
        <f t="shared" si="92"/>
        <v>9.9650000000000002E-2</v>
      </c>
      <c r="W418" s="47">
        <f t="shared" si="93"/>
        <v>-0.10857933625910546</v>
      </c>
      <c r="X418" s="47">
        <f t="shared" si="94"/>
        <v>-8.4384811768757395E-2</v>
      </c>
      <c r="Y418" s="47">
        <f t="shared" si="95"/>
        <v>-8.5676575015033063E-2</v>
      </c>
      <c r="AP418" s="48">
        <v>3.5099999999999999E-2</v>
      </c>
      <c r="AQ418" s="48">
        <v>-1.1299999999999999E-2</v>
      </c>
      <c r="AR418" s="47">
        <f>IF(AP418="","",AP418-($AC$60+$AC$61*Volcanic!C418+$AC$62*Volcanic!D418+$AC$63*Volcanic!E418))</f>
        <v>-7.3059603993564787E-2</v>
      </c>
      <c r="AS418" s="47">
        <f>IF(AQ418="","",AQ418-($AD$60+$AD$61*Volcanic!C418+$AD$62*Volcanic!D418+$AD$63*Volcanic!E418))</f>
        <v>-0.14652024560444227</v>
      </c>
    </row>
    <row r="419" spans="1:45">
      <c r="A419" s="45" t="str">
        <f>Volcanic!A419</f>
        <v>12/1992</v>
      </c>
      <c r="B419" s="43">
        <f>Volcanic!B419</f>
        <v>0.22000000000000242</v>
      </c>
      <c r="C419" s="47">
        <f>Volcanic!C419</f>
        <v>0.34515302630729883</v>
      </c>
      <c r="D419" s="41">
        <v>0</v>
      </c>
      <c r="E419" s="43">
        <f t="shared" si="96"/>
        <v>-0.1</v>
      </c>
      <c r="F419" s="48">
        <v>6.5390000000000004E-2</v>
      </c>
      <c r="G419" s="47">
        <f t="shared" si="97"/>
        <v>9.8290000000000002E-2</v>
      </c>
      <c r="H419" s="43">
        <f>Volcanic!D419</f>
        <v>-0.15</v>
      </c>
      <c r="I419" s="47">
        <f>Volcanic!E419</f>
        <v>0.11117</v>
      </c>
      <c r="K419" s="47">
        <f t="shared" si="84"/>
        <v>0.34515302630729883</v>
      </c>
      <c r="L419" s="47">
        <f t="shared" si="85"/>
        <v>-0.1</v>
      </c>
      <c r="M419" s="47">
        <f t="shared" si="86"/>
        <v>0.11117</v>
      </c>
      <c r="O419" s="47">
        <f t="shared" si="87"/>
        <v>0.34515302630729883</v>
      </c>
      <c r="P419" s="47">
        <f t="shared" si="88"/>
        <v>-0.15</v>
      </c>
      <c r="Q419" s="47">
        <f t="shared" si="89"/>
        <v>9.8290000000000002E-2</v>
      </c>
      <c r="S419" s="47">
        <f t="shared" si="90"/>
        <v>0.34515302630729883</v>
      </c>
      <c r="T419" s="47">
        <f t="shared" si="91"/>
        <v>-0.1</v>
      </c>
      <c r="U419" s="47">
        <f t="shared" si="92"/>
        <v>9.8290000000000002E-2</v>
      </c>
      <c r="W419" s="47">
        <f t="shared" si="93"/>
        <v>9.3436607937515237E-2</v>
      </c>
      <c r="X419" s="47">
        <f t="shared" si="94"/>
        <v>0.10982528842199613</v>
      </c>
      <c r="Y419" s="47">
        <f t="shared" si="95"/>
        <v>0.10572778538729499</v>
      </c>
      <c r="AP419" s="48">
        <v>0.1656</v>
      </c>
      <c r="AQ419" s="48">
        <v>0.2427</v>
      </c>
      <c r="AR419" s="47">
        <f>IF(AP419="","",AP419-($AC$60+$AC$61*Volcanic!C419+$AC$62*Volcanic!D419+$AC$63*Volcanic!E419))</f>
        <v>7.3083337472931581E-2</v>
      </c>
      <c r="AS419" s="47">
        <f>IF(AQ419="","",AQ419-($AD$60+$AD$61*Volcanic!C419+$AD$62*Volcanic!D419+$AD$63*Volcanic!E419))</f>
        <v>0.1228150353080826</v>
      </c>
    </row>
    <row r="420" spans="1:45">
      <c r="A420" s="45" t="str">
        <f>Volcanic!A420</f>
        <v>1/1993</v>
      </c>
      <c r="B420" s="43">
        <f>Volcanic!B420</f>
        <v>0.34999999999999787</v>
      </c>
      <c r="C420" s="47">
        <f>Volcanic!C420</f>
        <v>0.35090130675373682</v>
      </c>
      <c r="D420" s="41">
        <v>0.1</v>
      </c>
      <c r="E420" s="43">
        <f t="shared" si="96"/>
        <v>-0.2</v>
      </c>
      <c r="F420" s="48">
        <v>5.6419999999999998E-2</v>
      </c>
      <c r="G420" s="47">
        <f t="shared" si="97"/>
        <v>9.8119999999999999E-2</v>
      </c>
      <c r="H420" s="43">
        <f>Volcanic!D420</f>
        <v>-0.22</v>
      </c>
      <c r="I420" s="47">
        <f>Volcanic!E420</f>
        <v>0.11448</v>
      </c>
      <c r="K420" s="47">
        <f t="shared" si="84"/>
        <v>0.35090130675373682</v>
      </c>
      <c r="L420" s="47">
        <f t="shared" si="85"/>
        <v>-0.2</v>
      </c>
      <c r="M420" s="47">
        <f t="shared" si="86"/>
        <v>0.11448</v>
      </c>
      <c r="O420" s="47">
        <f t="shared" si="87"/>
        <v>0.35090130675373682</v>
      </c>
      <c r="P420" s="47">
        <f t="shared" si="88"/>
        <v>-0.22</v>
      </c>
      <c r="Q420" s="47">
        <f t="shared" si="89"/>
        <v>9.8119999999999999E-2</v>
      </c>
      <c r="S420" s="47">
        <f t="shared" si="90"/>
        <v>0.35090130675373682</v>
      </c>
      <c r="T420" s="47">
        <f t="shared" si="91"/>
        <v>-0.2</v>
      </c>
      <c r="U420" s="47">
        <f t="shared" si="92"/>
        <v>9.8119999999999999E-2</v>
      </c>
      <c r="W420" s="47">
        <f t="shared" si="93"/>
        <v>0.22434118091121397</v>
      </c>
      <c r="X420" s="47">
        <f t="shared" si="94"/>
        <v>0.23041572443749186</v>
      </c>
      <c r="Y420" s="47">
        <f t="shared" si="95"/>
        <v>0.22914501695961975</v>
      </c>
      <c r="AP420" s="48">
        <v>0.33229999999999998</v>
      </c>
      <c r="AQ420" s="48">
        <v>0.3947</v>
      </c>
      <c r="AR420" s="47">
        <f>IF(AP420="","",AP420-($AC$60+$AC$61*Volcanic!C420+$AC$62*Volcanic!D420+$AC$63*Volcanic!E420))</f>
        <v>0.23860671637485315</v>
      </c>
      <c r="AS420" s="47">
        <f>IF(AQ420="","",AQ420-($AD$60+$AD$61*Volcanic!C420+$AD$62*Volcanic!D420+$AD$63*Volcanic!E420))</f>
        <v>0.2729852992060624</v>
      </c>
    </row>
    <row r="421" spans="1:45">
      <c r="A421" s="45" t="str">
        <f>Volcanic!A421</f>
        <v>2/1993</v>
      </c>
      <c r="B421" s="43">
        <f>Volcanic!B421</f>
        <v>0.36999999999999744</v>
      </c>
      <c r="C421" s="47">
        <f>Volcanic!C421</f>
        <v>0.35219353774503176</v>
      </c>
      <c r="D421" s="41">
        <v>0.3</v>
      </c>
      <c r="E421" s="43">
        <f t="shared" si="96"/>
        <v>-0.2</v>
      </c>
      <c r="F421" s="48">
        <v>5.4109999999999998E-2</v>
      </c>
      <c r="G421" s="47">
        <f t="shared" si="97"/>
        <v>9.4189999999999996E-2</v>
      </c>
      <c r="H421" s="43">
        <f>Volcanic!D421</f>
        <v>-0.24</v>
      </c>
      <c r="I421" s="47">
        <f>Volcanic!E421</f>
        <v>0.10786999999999999</v>
      </c>
      <c r="K421" s="47">
        <f t="shared" si="84"/>
        <v>0.35219353774503176</v>
      </c>
      <c r="L421" s="47">
        <f t="shared" si="85"/>
        <v>-0.2</v>
      </c>
      <c r="M421" s="47">
        <f t="shared" si="86"/>
        <v>0.10786999999999999</v>
      </c>
      <c r="O421" s="47">
        <f t="shared" si="87"/>
        <v>0.35219353774503176</v>
      </c>
      <c r="P421" s="47">
        <f t="shared" si="88"/>
        <v>-0.24</v>
      </c>
      <c r="Q421" s="47">
        <f t="shared" si="89"/>
        <v>9.4189999999999996E-2</v>
      </c>
      <c r="S421" s="47">
        <f t="shared" si="90"/>
        <v>0.35219353774503176</v>
      </c>
      <c r="T421" s="47">
        <f t="shared" si="91"/>
        <v>-0.2</v>
      </c>
      <c r="U421" s="47">
        <f t="shared" si="92"/>
        <v>9.4189999999999996E-2</v>
      </c>
      <c r="W421" s="47">
        <f t="shared" si="93"/>
        <v>0.22625177198574706</v>
      </c>
      <c r="X421" s="47">
        <f t="shared" si="94"/>
        <v>0.2385326835755841</v>
      </c>
      <c r="Y421" s="47">
        <f t="shared" si="95"/>
        <v>0.23537153014748785</v>
      </c>
      <c r="AP421" s="48">
        <v>0.34949999999999998</v>
      </c>
      <c r="AQ421" s="48">
        <v>0.42070000000000002</v>
      </c>
      <c r="AR421" s="47">
        <f>IF(AP421="","",AP421-($AC$60+$AC$61*Volcanic!C421+$AC$62*Volcanic!D421+$AC$63*Volcanic!E421))</f>
        <v>0.23824605812857846</v>
      </c>
      <c r="AS421" s="47">
        <f>IF(AQ421="","",AQ421-($AD$60+$AD$61*Volcanic!C421+$AD$62*Volcanic!D421+$AD$63*Volcanic!E421))</f>
        <v>0.28213793290827766</v>
      </c>
    </row>
    <row r="422" spans="1:45">
      <c r="A422" s="45" t="str">
        <f>Volcanic!A422</f>
        <v>3/1993</v>
      </c>
      <c r="B422" s="43">
        <f>Volcanic!B422</f>
        <v>0.36000000000000121</v>
      </c>
      <c r="C422" s="47">
        <f>Volcanic!C422</f>
        <v>0.3569084291577157</v>
      </c>
      <c r="D422" s="41">
        <v>0.5</v>
      </c>
      <c r="E422" s="43">
        <f t="shared" si="96"/>
        <v>0</v>
      </c>
      <c r="F422" s="48">
        <v>5.0790000000000002E-2</v>
      </c>
      <c r="G422" s="47">
        <f t="shared" si="97"/>
        <v>8.7910000000000002E-2</v>
      </c>
      <c r="H422" s="43">
        <f>Volcanic!D422</f>
        <v>-0.05</v>
      </c>
      <c r="I422" s="47">
        <f>Volcanic!E422</f>
        <v>0.10366</v>
      </c>
      <c r="K422" s="47">
        <f t="shared" si="84"/>
        <v>0.3569084291577157</v>
      </c>
      <c r="L422" s="47">
        <f t="shared" si="85"/>
        <v>0</v>
      </c>
      <c r="M422" s="47">
        <f t="shared" si="86"/>
        <v>0.10366</v>
      </c>
      <c r="O422" s="47">
        <f t="shared" si="87"/>
        <v>0.3569084291577157</v>
      </c>
      <c r="P422" s="47">
        <f t="shared" si="88"/>
        <v>-0.05</v>
      </c>
      <c r="Q422" s="47">
        <f t="shared" si="89"/>
        <v>8.7910000000000002E-2</v>
      </c>
      <c r="S422" s="47">
        <f t="shared" si="90"/>
        <v>0.3569084291577157</v>
      </c>
      <c r="T422" s="47">
        <f t="shared" si="91"/>
        <v>0</v>
      </c>
      <c r="U422" s="47">
        <f t="shared" si="92"/>
        <v>8.7910000000000002E-2</v>
      </c>
      <c r="W422" s="47">
        <f t="shared" si="93"/>
        <v>0.17554204983653862</v>
      </c>
      <c r="X422" s="47">
        <f t="shared" si="94"/>
        <v>0.18152964432332147</v>
      </c>
      <c r="Y422" s="47">
        <f t="shared" si="95"/>
        <v>0.17739621174041412</v>
      </c>
      <c r="AP422" s="48">
        <v>0.30830000000000002</v>
      </c>
      <c r="AQ422" s="48">
        <v>0.37069999999999997</v>
      </c>
      <c r="AR422" s="47">
        <f>IF(AP422="","",AP422-($AC$60+$AC$61*Volcanic!C422+$AC$62*Volcanic!D422+$AC$63*Volcanic!E422))</f>
        <v>0.15624886505517346</v>
      </c>
      <c r="AS422" s="47">
        <f>IF(AQ422="","",AQ422-($AD$60+$AD$61*Volcanic!C422+$AD$62*Volcanic!D422+$AD$63*Volcanic!E422))</f>
        <v>0.19113240655660135</v>
      </c>
    </row>
    <row r="423" spans="1:45">
      <c r="A423" s="45" t="str">
        <f>Volcanic!A423</f>
        <v>4/1993</v>
      </c>
      <c r="B423" s="43">
        <f>Volcanic!B423</f>
        <v>0.28000000000000114</v>
      </c>
      <c r="C423" s="47">
        <f>Volcanic!C423</f>
        <v>0.36012343935395846</v>
      </c>
      <c r="D423" s="41">
        <v>0.7</v>
      </c>
      <c r="E423" s="43">
        <f t="shared" si="96"/>
        <v>0.1</v>
      </c>
      <c r="F423" s="48">
        <v>5.0909999999999997E-2</v>
      </c>
      <c r="G423" s="47">
        <f t="shared" si="97"/>
        <v>8.3540000000000003E-2</v>
      </c>
      <c r="H423" s="43">
        <f>Volcanic!D423</f>
        <v>0.13</v>
      </c>
      <c r="I423" s="47">
        <f>Volcanic!E423</f>
        <v>9.9900000000000003E-2</v>
      </c>
      <c r="K423" s="47">
        <f t="shared" si="84"/>
        <v>0.36012343935395846</v>
      </c>
      <c r="L423" s="47">
        <f t="shared" si="85"/>
        <v>0.1</v>
      </c>
      <c r="M423" s="47">
        <f t="shared" si="86"/>
        <v>9.9900000000000003E-2</v>
      </c>
      <c r="O423" s="47">
        <f t="shared" si="87"/>
        <v>0.36012343935395846</v>
      </c>
      <c r="P423" s="47">
        <f t="shared" si="88"/>
        <v>0.13</v>
      </c>
      <c r="Q423" s="47">
        <f t="shared" si="89"/>
        <v>8.3540000000000003E-2</v>
      </c>
      <c r="S423" s="47">
        <f t="shared" si="90"/>
        <v>0.36012343935395846</v>
      </c>
      <c r="T423" s="47">
        <f t="shared" si="91"/>
        <v>0.1</v>
      </c>
      <c r="U423" s="47">
        <f t="shared" si="92"/>
        <v>8.3540000000000003E-2</v>
      </c>
      <c r="W423" s="47">
        <f t="shared" si="93"/>
        <v>6.9201647347642364E-2</v>
      </c>
      <c r="X423" s="47">
        <f t="shared" si="94"/>
        <v>6.4511370681869074E-2</v>
      </c>
      <c r="Y423" s="47">
        <f t="shared" si="95"/>
        <v>6.7872842515647736E-2</v>
      </c>
      <c r="AP423" s="48">
        <v>0.26669999999999999</v>
      </c>
      <c r="AQ423" s="48">
        <v>0.35470000000000002</v>
      </c>
      <c r="AR423" s="47">
        <f>IF(AP423="","",AP423-($AC$60+$AC$61*Volcanic!C423+$AC$62*Volcanic!D423+$AC$63*Volcanic!E423))</f>
        <v>7.9966500911255928E-2</v>
      </c>
      <c r="AS423" s="47">
        <f>IF(AQ423="","",AQ423-($AD$60+$AD$61*Volcanic!C423+$AD$62*Volcanic!D423+$AD$63*Volcanic!E423))</f>
        <v>0.14031419013035712</v>
      </c>
    </row>
    <row r="424" spans="1:45">
      <c r="A424" s="45" t="str">
        <f>Volcanic!A424</f>
        <v>5/1993</v>
      </c>
      <c r="B424" s="43">
        <f>Volcanic!B424</f>
        <v>0.28000000000000114</v>
      </c>
      <c r="C424" s="47">
        <f>Volcanic!C424</f>
        <v>0.36377182459446167</v>
      </c>
      <c r="D424" s="41">
        <v>0.8</v>
      </c>
      <c r="E424" s="43">
        <f t="shared" si="96"/>
        <v>0.3</v>
      </c>
      <c r="F424" s="48">
        <v>4.7059999999999998E-2</v>
      </c>
      <c r="G424" s="47">
        <f t="shared" si="97"/>
        <v>7.5179999999999997E-2</v>
      </c>
      <c r="H424" s="43">
        <f>Volcanic!D424</f>
        <v>0.31</v>
      </c>
      <c r="I424" s="47">
        <f>Volcanic!E424</f>
        <v>9.0620000000000006E-2</v>
      </c>
      <c r="K424" s="47">
        <f t="shared" si="84"/>
        <v>0.36377182459446167</v>
      </c>
      <c r="L424" s="47">
        <f t="shared" si="85"/>
        <v>0.3</v>
      </c>
      <c r="M424" s="47">
        <f t="shared" si="86"/>
        <v>9.0620000000000006E-2</v>
      </c>
      <c r="O424" s="47">
        <f t="shared" si="87"/>
        <v>0.36377182459446167</v>
      </c>
      <c r="P424" s="47">
        <f t="shared" si="88"/>
        <v>0.31</v>
      </c>
      <c r="Q424" s="47">
        <f t="shared" si="89"/>
        <v>7.5179999999999997E-2</v>
      </c>
      <c r="S424" s="47">
        <f t="shared" si="90"/>
        <v>0.36377182459446167</v>
      </c>
      <c r="T424" s="47">
        <f t="shared" si="91"/>
        <v>0.3</v>
      </c>
      <c r="U424" s="47">
        <f t="shared" si="92"/>
        <v>7.5179999999999997E-2</v>
      </c>
      <c r="W424" s="47">
        <f t="shared" si="93"/>
        <v>2.0228576232829143E-2</v>
      </c>
      <c r="X424" s="47">
        <f t="shared" si="94"/>
        <v>1.5896552072305892E-2</v>
      </c>
      <c r="Y424" s="47">
        <f t="shared" si="95"/>
        <v>1.7339648854345135E-2</v>
      </c>
      <c r="AP424" s="48">
        <v>0.26650000000000001</v>
      </c>
      <c r="AQ424" s="48">
        <v>0.3427</v>
      </c>
      <c r="AR424" s="47">
        <f>IF(AP424="","",AP424-($AC$60+$AC$61*Volcanic!C424+$AC$62*Volcanic!D424+$AC$63*Volcanic!E424))</f>
        <v>3.0618533805596315E-2</v>
      </c>
      <c r="AS424" s="47">
        <f>IF(AQ424="","",AQ424-($AD$60+$AD$61*Volcanic!C424+$AD$62*Volcanic!D424+$AD$63*Volcanic!E424))</f>
        <v>7.9639372148775589E-2</v>
      </c>
    </row>
    <row r="425" spans="1:45">
      <c r="A425" s="45" t="str">
        <f>Volcanic!A425</f>
        <v>6/1993</v>
      </c>
      <c r="B425" s="43">
        <f>Volcanic!B425</f>
        <v>0.2300000000000022</v>
      </c>
      <c r="C425" s="47">
        <f>Volcanic!C425</f>
        <v>0.36112666251503961</v>
      </c>
      <c r="D425" s="41">
        <v>0.6</v>
      </c>
      <c r="E425" s="43">
        <f t="shared" si="96"/>
        <v>0.5</v>
      </c>
      <c r="F425" s="48">
        <v>4.4080000000000001E-2</v>
      </c>
      <c r="G425" s="47">
        <f t="shared" si="97"/>
        <v>6.8449999999999997E-2</v>
      </c>
      <c r="H425" s="43">
        <f>Volcanic!D425</f>
        <v>0.5</v>
      </c>
      <c r="I425" s="47">
        <f>Volcanic!E425</f>
        <v>8.3360000000000004E-2</v>
      </c>
      <c r="K425" s="47">
        <f t="shared" si="84"/>
        <v>0.36112666251503961</v>
      </c>
      <c r="L425" s="47">
        <f t="shared" si="85"/>
        <v>0.5</v>
      </c>
      <c r="M425" s="47">
        <f t="shared" si="86"/>
        <v>8.3360000000000004E-2</v>
      </c>
      <c r="O425" s="47">
        <f t="shared" si="87"/>
        <v>0.36112666251503961</v>
      </c>
      <c r="P425" s="47">
        <f t="shared" si="88"/>
        <v>0.5</v>
      </c>
      <c r="Q425" s="47">
        <f t="shared" si="89"/>
        <v>6.8449999999999997E-2</v>
      </c>
      <c r="S425" s="47">
        <f t="shared" si="90"/>
        <v>0.36112666251503961</v>
      </c>
      <c r="T425" s="47">
        <f t="shared" si="91"/>
        <v>0.5</v>
      </c>
      <c r="U425" s="47">
        <f t="shared" si="92"/>
        <v>6.8449999999999997E-2</v>
      </c>
      <c r="W425" s="47">
        <f t="shared" si="93"/>
        <v>-5.7129923118280912E-2</v>
      </c>
      <c r="X425" s="47">
        <f t="shared" si="94"/>
        <v>-6.2383741325036324E-2</v>
      </c>
      <c r="Y425" s="47">
        <f t="shared" si="95"/>
        <v>-6.1916538821541023E-2</v>
      </c>
      <c r="AP425" s="48">
        <v>0.2361</v>
      </c>
      <c r="AQ425" s="48">
        <v>0.29470000000000002</v>
      </c>
      <c r="AR425" s="47">
        <f>IF(AP425="","",AP425-($AC$60+$AC$61*Volcanic!C425+$AC$62*Volcanic!D425+$AC$63*Volcanic!E425))</f>
        <v>-2.7820148486969759E-2</v>
      </c>
      <c r="AS425" s="47">
        <f>IF(AQ425="","",AQ425-($AD$60+$AD$61*Volcanic!C425+$AD$62*Volcanic!D425+$AD$63*Volcanic!E425))</f>
        <v>4.2629810289200321E-3</v>
      </c>
    </row>
    <row r="426" spans="1:45">
      <c r="A426" s="45" t="str">
        <f>Volcanic!A426</f>
        <v>7/1993</v>
      </c>
      <c r="B426" s="43">
        <f>Volcanic!B426</f>
        <v>0.25000000000000355</v>
      </c>
      <c r="C426" s="47">
        <f>Volcanic!C426</f>
        <v>0.35231462507909828</v>
      </c>
      <c r="D426" s="41">
        <v>0.3</v>
      </c>
      <c r="E426" s="43">
        <f t="shared" si="96"/>
        <v>0.7</v>
      </c>
      <c r="F426" s="48">
        <v>4.0469999999999999E-2</v>
      </c>
      <c r="G426" s="47">
        <f t="shared" si="97"/>
        <v>6.5390000000000004E-2</v>
      </c>
      <c r="H426" s="43">
        <f>Volcanic!D426</f>
        <v>0.73</v>
      </c>
      <c r="I426" s="47">
        <f>Volcanic!E426</f>
        <v>7.9369999999999996E-2</v>
      </c>
      <c r="K426" s="47">
        <f t="shared" si="84"/>
        <v>0.35231462507909828</v>
      </c>
      <c r="L426" s="47">
        <f t="shared" si="85"/>
        <v>0.7</v>
      </c>
      <c r="M426" s="47">
        <f t="shared" si="86"/>
        <v>7.9369999999999996E-2</v>
      </c>
      <c r="O426" s="47">
        <f t="shared" si="87"/>
        <v>0.35231462507909828</v>
      </c>
      <c r="P426" s="47">
        <f t="shared" si="88"/>
        <v>0.73</v>
      </c>
      <c r="Q426" s="47">
        <f t="shared" si="89"/>
        <v>6.5390000000000004E-2</v>
      </c>
      <c r="S426" s="47">
        <f t="shared" si="90"/>
        <v>0.35231462507909828</v>
      </c>
      <c r="T426" s="47">
        <f t="shared" si="91"/>
        <v>0.7</v>
      </c>
      <c r="U426" s="47">
        <f t="shared" si="92"/>
        <v>6.5390000000000004E-2</v>
      </c>
      <c r="W426" s="47">
        <f t="shared" si="93"/>
        <v>-4.0464897939575584E-2</v>
      </c>
      <c r="X426" s="47">
        <f t="shared" si="94"/>
        <v>-4.8160048105279185E-2</v>
      </c>
      <c r="Y426" s="47">
        <f t="shared" si="95"/>
        <v>-4.4901847339250511E-2</v>
      </c>
      <c r="AP426" s="48">
        <v>0.23100000000000001</v>
      </c>
      <c r="AQ426" s="48">
        <v>0.26269999999999999</v>
      </c>
      <c r="AR426" s="47">
        <f>IF(AP426="","",AP426-($AC$60+$AC$61*Volcanic!C426+$AC$62*Volcanic!D426+$AC$63*Volcanic!E426))</f>
        <v>-3.9997040138427059E-2</v>
      </c>
      <c r="AS426" s="47">
        <f>IF(AQ426="","",AQ426-($AD$60+$AD$61*Volcanic!C426+$AD$62*Volcanic!D426+$AD$63*Volcanic!E426))</f>
        <v>-3.4173762856092138E-2</v>
      </c>
    </row>
    <row r="427" spans="1:45">
      <c r="A427" s="45" t="str">
        <f>Volcanic!A427</f>
        <v>8/1993</v>
      </c>
      <c r="B427" s="43">
        <f>Volcanic!B427</f>
        <v>0.10999999999999766</v>
      </c>
      <c r="C427" s="47">
        <f>Volcanic!C427</f>
        <v>0.34547748263181688</v>
      </c>
      <c r="D427" s="41">
        <v>0.2</v>
      </c>
      <c r="E427" s="43">
        <f t="shared" si="96"/>
        <v>0.8</v>
      </c>
      <c r="F427" s="48">
        <v>3.6229999999999998E-2</v>
      </c>
      <c r="G427" s="47">
        <f t="shared" si="97"/>
        <v>5.6419999999999998E-2</v>
      </c>
      <c r="H427" s="43">
        <f>Volcanic!D427</f>
        <v>0.76</v>
      </c>
      <c r="I427" s="47">
        <f>Volcanic!E427</f>
        <v>7.0660000000000001E-2</v>
      </c>
      <c r="K427" s="47">
        <f t="shared" si="84"/>
        <v>0.34547748263181688</v>
      </c>
      <c r="L427" s="47">
        <f t="shared" si="85"/>
        <v>0.8</v>
      </c>
      <c r="M427" s="47">
        <f t="shared" si="86"/>
        <v>7.0660000000000001E-2</v>
      </c>
      <c r="O427" s="47">
        <f t="shared" si="87"/>
        <v>0.34547748263181688</v>
      </c>
      <c r="P427" s="47">
        <f t="shared" si="88"/>
        <v>0.76</v>
      </c>
      <c r="Q427" s="47">
        <f t="shared" si="89"/>
        <v>5.6419999999999998E-2</v>
      </c>
      <c r="S427" s="47">
        <f t="shared" si="90"/>
        <v>0.34547748263181688</v>
      </c>
      <c r="T427" s="47">
        <f t="shared" si="91"/>
        <v>0.8</v>
      </c>
      <c r="U427" s="47">
        <f t="shared" si="92"/>
        <v>5.6419999999999998E-2</v>
      </c>
      <c r="W427" s="47">
        <f t="shared" si="93"/>
        <v>-0.19029901542688543</v>
      </c>
      <c r="X427" s="47">
        <f t="shared" si="94"/>
        <v>-0.19592976796697892</v>
      </c>
      <c r="Y427" s="47">
        <f t="shared" si="95"/>
        <v>-0.19928431202498886</v>
      </c>
      <c r="AP427" s="48">
        <v>0.15359999999999999</v>
      </c>
      <c r="AQ427" s="48">
        <v>0.18770000000000001</v>
      </c>
      <c r="AR427" s="47">
        <f>IF(AP427="","",AP427-($AC$60+$AC$61*Volcanic!C427+$AC$62*Volcanic!D427+$AC$63*Volcanic!E427))</f>
        <v>-0.12249484112288397</v>
      </c>
      <c r="AS427" s="47">
        <f>IF(AQ427="","",AQ427-($AD$60+$AD$61*Volcanic!C427+$AD$62*Volcanic!D427+$AD$63*Volcanic!E427))</f>
        <v>-0.11283958964561988</v>
      </c>
    </row>
    <row r="428" spans="1:45">
      <c r="A428" s="45" t="str">
        <f>Volcanic!A428</f>
        <v>9/1993</v>
      </c>
      <c r="B428" s="43">
        <f>Volcanic!B428</f>
        <v>0.10999999999999766</v>
      </c>
      <c r="C428" s="47">
        <f>Volcanic!C428</f>
        <v>0.33889297770649457</v>
      </c>
      <c r="D428" s="41">
        <v>0.2</v>
      </c>
      <c r="E428" s="43">
        <f t="shared" si="96"/>
        <v>0.6</v>
      </c>
      <c r="F428" s="48">
        <v>3.3140000000000003E-2</v>
      </c>
      <c r="G428" s="47">
        <f t="shared" si="97"/>
        <v>5.4109999999999998E-2</v>
      </c>
      <c r="H428" s="43">
        <f>Volcanic!D428</f>
        <v>0.56000000000000005</v>
      </c>
      <c r="I428" s="47">
        <f>Volcanic!E428</f>
        <v>6.9159999999999999E-2</v>
      </c>
      <c r="K428" s="47">
        <f t="shared" si="84"/>
        <v>0.33889297770649457</v>
      </c>
      <c r="L428" s="47">
        <f t="shared" si="85"/>
        <v>0.6</v>
      </c>
      <c r="M428" s="47">
        <f t="shared" si="86"/>
        <v>6.9159999999999999E-2</v>
      </c>
      <c r="O428" s="47">
        <f t="shared" si="87"/>
        <v>0.33889297770649457</v>
      </c>
      <c r="P428" s="47">
        <f t="shared" si="88"/>
        <v>0.56000000000000005</v>
      </c>
      <c r="Q428" s="47">
        <f t="shared" si="89"/>
        <v>5.4109999999999998E-2</v>
      </c>
      <c r="S428" s="47">
        <f t="shared" si="90"/>
        <v>0.33889297770649457</v>
      </c>
      <c r="T428" s="47">
        <f t="shared" si="91"/>
        <v>0.6</v>
      </c>
      <c r="U428" s="47">
        <f t="shared" si="92"/>
        <v>5.4109999999999998E-2</v>
      </c>
      <c r="W428" s="47">
        <f t="shared" si="93"/>
        <v>-0.15707270361346592</v>
      </c>
      <c r="X428" s="47">
        <f t="shared" si="94"/>
        <v>-0.16537626113752268</v>
      </c>
      <c r="Y428" s="47">
        <f t="shared" si="95"/>
        <v>-0.16872493087905882</v>
      </c>
      <c r="AP428" s="48">
        <v>0.11609999999999999</v>
      </c>
      <c r="AQ428" s="48">
        <v>0.1847</v>
      </c>
      <c r="AR428" s="47">
        <f>IF(AP428="","",AP428-($AC$60+$AC$61*Volcanic!C428+$AC$62*Volcanic!D428+$AC$63*Volcanic!E428))</f>
        <v>-0.12689541885773964</v>
      </c>
      <c r="AS428" s="47">
        <f>IF(AQ428="","",AQ428-($AD$60+$AD$61*Volcanic!C428+$AD$62*Volcanic!D428+$AD$63*Volcanic!E428))</f>
        <v>-8.1719765141429285E-2</v>
      </c>
    </row>
    <row r="429" spans="1:45">
      <c r="A429" s="45" t="str">
        <f>Volcanic!A429</f>
        <v>10/1993</v>
      </c>
      <c r="B429" s="43">
        <f>Volcanic!B429</f>
        <v>0.24000000000000199</v>
      </c>
      <c r="C429" s="47">
        <f>Volcanic!C429</f>
        <v>0.33925957300098403</v>
      </c>
      <c r="D429" s="41">
        <v>0.2</v>
      </c>
      <c r="E429" s="43">
        <f t="shared" si="96"/>
        <v>0.3</v>
      </c>
      <c r="F429" s="48">
        <v>3.039E-2</v>
      </c>
      <c r="G429" s="47">
        <f t="shared" si="97"/>
        <v>5.0790000000000002E-2</v>
      </c>
      <c r="H429" s="43">
        <f>Volcanic!D429</f>
        <v>0.28000000000000003</v>
      </c>
      <c r="I429" s="47">
        <f>Volcanic!E429</f>
        <v>6.4710000000000004E-2</v>
      </c>
      <c r="K429" s="47">
        <f t="shared" si="84"/>
        <v>0.33925957300098403</v>
      </c>
      <c r="L429" s="47">
        <f t="shared" si="85"/>
        <v>0.3</v>
      </c>
      <c r="M429" s="47">
        <f t="shared" si="86"/>
        <v>6.4710000000000004E-2</v>
      </c>
      <c r="O429" s="47">
        <f t="shared" si="87"/>
        <v>0.33925957300098403</v>
      </c>
      <c r="P429" s="47">
        <f t="shared" si="88"/>
        <v>0.28000000000000003</v>
      </c>
      <c r="Q429" s="47">
        <f t="shared" si="89"/>
        <v>5.0790000000000002E-2</v>
      </c>
      <c r="S429" s="47">
        <f t="shared" si="90"/>
        <v>0.33925957300098403</v>
      </c>
      <c r="T429" s="47">
        <f t="shared" si="91"/>
        <v>0.3</v>
      </c>
      <c r="U429" s="47">
        <f t="shared" si="92"/>
        <v>5.0790000000000002E-2</v>
      </c>
      <c r="W429" s="47">
        <f t="shared" si="93"/>
        <v>-1.0016156137616306E-2</v>
      </c>
      <c r="X429" s="47">
        <f t="shared" si="94"/>
        <v>-1.873958633002587E-2</v>
      </c>
      <c r="Y429" s="47">
        <f t="shared" si="95"/>
        <v>-2.0197173048561279E-2</v>
      </c>
      <c r="AP429" s="48">
        <v>0.22289999999999999</v>
      </c>
      <c r="AQ429" s="48">
        <v>0.2707</v>
      </c>
      <c r="AR429" s="47">
        <f>IF(AP429="","",AP429-($AC$60+$AC$61*Volcanic!C429+$AC$62*Volcanic!D429+$AC$63*Volcanic!E429))</f>
        <v>-5.5834098548205591E-3</v>
      </c>
      <c r="AS429" s="47">
        <f>IF(AQ429="","",AQ429-($AD$60+$AD$61*Volcanic!C429+$AD$62*Volcanic!D429+$AD$63*Volcanic!E429))</f>
        <v>1.9819369458789149E-2</v>
      </c>
    </row>
    <row r="430" spans="1:45">
      <c r="A430" s="45" t="str">
        <f>Volcanic!A430</f>
        <v>11/1993</v>
      </c>
      <c r="B430" s="43">
        <f>Volcanic!B430</f>
        <v>3.9999999999999147E-2</v>
      </c>
      <c r="C430" s="47">
        <f>Volcanic!C430</f>
        <v>0.34454447395471077</v>
      </c>
      <c r="D430" s="41">
        <v>0.2</v>
      </c>
      <c r="E430" s="43">
        <f t="shared" si="96"/>
        <v>0.2</v>
      </c>
      <c r="F430" s="48">
        <v>2.7060000000000001E-2</v>
      </c>
      <c r="G430" s="47">
        <f t="shared" si="97"/>
        <v>5.0909999999999997E-2</v>
      </c>
      <c r="H430" s="43">
        <f>Volcanic!D430</f>
        <v>0.22</v>
      </c>
      <c r="I430" s="47">
        <f>Volcanic!E430</f>
        <v>6.4380000000000007E-2</v>
      </c>
      <c r="K430" s="47">
        <f t="shared" si="84"/>
        <v>0.34454447395471077</v>
      </c>
      <c r="L430" s="47">
        <f t="shared" si="85"/>
        <v>0.2</v>
      </c>
      <c r="M430" s="47">
        <f t="shared" si="86"/>
        <v>6.4380000000000007E-2</v>
      </c>
      <c r="O430" s="47">
        <f t="shared" si="87"/>
        <v>0.34454447395471077</v>
      </c>
      <c r="P430" s="47">
        <f t="shared" si="88"/>
        <v>0.22</v>
      </c>
      <c r="Q430" s="47">
        <f t="shared" si="89"/>
        <v>5.0909999999999997E-2</v>
      </c>
      <c r="S430" s="47">
        <f t="shared" si="90"/>
        <v>0.34454447395471077</v>
      </c>
      <c r="T430" s="47">
        <f t="shared" si="91"/>
        <v>0.2</v>
      </c>
      <c r="U430" s="47">
        <f t="shared" si="92"/>
        <v>5.0909999999999997E-2</v>
      </c>
      <c r="W430" s="47">
        <f t="shared" si="93"/>
        <v>-0.21586870861255325</v>
      </c>
      <c r="X430" s="47">
        <f t="shared" si="94"/>
        <v>-0.22707803104742263</v>
      </c>
      <c r="Y430" s="47">
        <f t="shared" si="95"/>
        <v>-0.22476870677933791</v>
      </c>
      <c r="AP430" s="48">
        <v>0.13569999999999999</v>
      </c>
      <c r="AQ430" s="48">
        <v>9.9699999999999997E-2</v>
      </c>
      <c r="AR430" s="47">
        <f>IF(AP430="","",AP430-($AC$60+$AC$61*Volcanic!C430+$AC$62*Volcanic!D430+$AC$63*Volcanic!E430))</f>
        <v>-0.10238974319864194</v>
      </c>
      <c r="AS430" s="47">
        <f>IF(AQ430="","",AQ430-($AD$60+$AD$61*Volcanic!C430+$AD$62*Volcanic!D430+$AD$63*Volcanic!E430))</f>
        <v>-0.16100502911355025</v>
      </c>
    </row>
    <row r="431" spans="1:45">
      <c r="A431" s="45" t="str">
        <f>Volcanic!A431</f>
        <v>12/1993</v>
      </c>
      <c r="B431" s="43">
        <f>Volcanic!B431</f>
        <v>0.17999999999999972</v>
      </c>
      <c r="C431" s="47">
        <f>Volcanic!C431</f>
        <v>0.35061847686790176</v>
      </c>
      <c r="D431" s="41">
        <v>0.2</v>
      </c>
      <c r="E431" s="43">
        <f t="shared" si="96"/>
        <v>0.2</v>
      </c>
      <c r="F431" s="48">
        <v>2.487E-2</v>
      </c>
      <c r="G431" s="47">
        <f t="shared" si="97"/>
        <v>4.7059999999999998E-2</v>
      </c>
      <c r="H431" s="43">
        <f>Volcanic!D431</f>
        <v>0.2</v>
      </c>
      <c r="I431" s="47">
        <f>Volcanic!E431</f>
        <v>5.951E-2</v>
      </c>
      <c r="K431" s="47">
        <f t="shared" si="84"/>
        <v>0.35061847686790176</v>
      </c>
      <c r="L431" s="47">
        <f t="shared" si="85"/>
        <v>0.2</v>
      </c>
      <c r="M431" s="47">
        <f t="shared" si="86"/>
        <v>5.951E-2</v>
      </c>
      <c r="O431" s="47">
        <f t="shared" si="87"/>
        <v>0.35061847686790176</v>
      </c>
      <c r="P431" s="47">
        <f t="shared" si="88"/>
        <v>0.2</v>
      </c>
      <c r="Q431" s="47">
        <f t="shared" si="89"/>
        <v>4.7059999999999998E-2</v>
      </c>
      <c r="S431" s="47">
        <f t="shared" si="90"/>
        <v>0.35061847686790176</v>
      </c>
      <c r="T431" s="47">
        <f t="shared" si="91"/>
        <v>0.2</v>
      </c>
      <c r="U431" s="47">
        <f t="shared" si="92"/>
        <v>4.7059999999999998E-2</v>
      </c>
      <c r="W431" s="47">
        <f t="shared" si="93"/>
        <v>-0.10316459604877792</v>
      </c>
      <c r="X431" s="47">
        <f t="shared" si="94"/>
        <v>-0.11167994877626458</v>
      </c>
      <c r="Y431" s="47">
        <f t="shared" si="95"/>
        <v>-0.11125937630326321</v>
      </c>
      <c r="AP431" s="48">
        <v>0.21809999999999999</v>
      </c>
      <c r="AQ431" s="48">
        <v>0.22869999999999999</v>
      </c>
      <c r="AR431" s="47">
        <f>IF(AP431="","",AP431-($AC$60+$AC$61*Volcanic!C431+$AC$62*Volcanic!D431+$AC$63*Volcanic!E431))</f>
        <v>-4.6420758069911944E-2</v>
      </c>
      <c r="AS431" s="47">
        <f>IF(AQ431="","",AQ431-($AD$60+$AD$61*Volcanic!C431+$AD$62*Volcanic!D431+$AD$63*Volcanic!E431))</f>
        <v>-5.826040662119189E-2</v>
      </c>
    </row>
    <row r="432" spans="1:45">
      <c r="A432" s="45" t="str">
        <f>Volcanic!A432</f>
        <v>1/1994</v>
      </c>
      <c r="B432" s="43">
        <f>Volcanic!B432</f>
        <v>0.25999999999999979</v>
      </c>
      <c r="C432" s="47">
        <f>Volcanic!C432</f>
        <v>0.35598278616786283</v>
      </c>
      <c r="D432" s="41">
        <v>0.1</v>
      </c>
      <c r="E432" s="43">
        <f t="shared" si="96"/>
        <v>0.2</v>
      </c>
      <c r="F432" s="48">
        <v>2.2450000000000001E-2</v>
      </c>
      <c r="G432" s="47">
        <f t="shared" si="97"/>
        <v>4.4080000000000001E-2</v>
      </c>
      <c r="H432" s="43">
        <f>Volcanic!D432</f>
        <v>0.2</v>
      </c>
      <c r="I432" s="47">
        <f>Volcanic!E432</f>
        <v>5.4960000000000002E-2</v>
      </c>
      <c r="K432" s="47">
        <f t="shared" si="84"/>
        <v>0.35598278616786283</v>
      </c>
      <c r="L432" s="47">
        <f t="shared" si="85"/>
        <v>0.2</v>
      </c>
      <c r="M432" s="47">
        <f t="shared" si="86"/>
        <v>5.4960000000000002E-2</v>
      </c>
      <c r="O432" s="47">
        <f t="shared" si="87"/>
        <v>0.35598278616786283</v>
      </c>
      <c r="P432" s="47">
        <f t="shared" si="88"/>
        <v>0.2</v>
      </c>
      <c r="Q432" s="47">
        <f t="shared" si="89"/>
        <v>4.4080000000000001E-2</v>
      </c>
      <c r="S432" s="47">
        <f t="shared" si="90"/>
        <v>0.35598278616786283</v>
      </c>
      <c r="T432" s="47">
        <f t="shared" si="91"/>
        <v>0.2</v>
      </c>
      <c r="U432" s="47">
        <f t="shared" si="92"/>
        <v>4.4080000000000001E-2</v>
      </c>
      <c r="W432" s="47">
        <f t="shared" si="93"/>
        <v>-4.7819914129031804E-2</v>
      </c>
      <c r="X432" s="47">
        <f t="shared" si="94"/>
        <v>-5.3968783155769307E-2</v>
      </c>
      <c r="Y432" s="47">
        <f t="shared" si="95"/>
        <v>-5.3555772037699068E-2</v>
      </c>
      <c r="AP432" s="48">
        <v>0.26750000000000002</v>
      </c>
      <c r="AQ432" s="48">
        <v>0.29270000000000002</v>
      </c>
      <c r="AR432" s="47">
        <f>IF(AP432="","",AP432-($AC$60+$AC$61*Volcanic!C432+$AC$62*Volcanic!D432+$AC$63*Volcanic!E432))</f>
        <v>-2.2616795750052432E-2</v>
      </c>
      <c r="AS432" s="47">
        <f>IF(AQ432="","",AQ432-($AD$60+$AD$61*Volcanic!C432+$AD$62*Volcanic!D432+$AD$63*Volcanic!E432))</f>
        <v>-1.9706381127067074E-2</v>
      </c>
    </row>
    <row r="433" spans="1:45">
      <c r="A433" s="45" t="str">
        <f>Volcanic!A433</f>
        <v>2/1994</v>
      </c>
      <c r="B433" s="43">
        <f>Volcanic!B433</f>
        <v>2.0000000000003126E-2</v>
      </c>
      <c r="C433" s="47">
        <f>Volcanic!C433</f>
        <v>0.35871775388910165</v>
      </c>
      <c r="D433" s="41">
        <v>0</v>
      </c>
      <c r="E433" s="43">
        <f t="shared" si="96"/>
        <v>0.2</v>
      </c>
      <c r="F433" s="48">
        <v>1.8859999999999998E-2</v>
      </c>
      <c r="G433" s="47">
        <f t="shared" si="97"/>
        <v>4.0469999999999999E-2</v>
      </c>
      <c r="H433" s="43">
        <f>Volcanic!D433</f>
        <v>0.2</v>
      </c>
      <c r="I433" s="47">
        <f>Volcanic!E433</f>
        <v>5.0900000000000001E-2</v>
      </c>
      <c r="K433" s="47">
        <f t="shared" si="84"/>
        <v>0.35871775388910165</v>
      </c>
      <c r="L433" s="47">
        <f t="shared" si="85"/>
        <v>0.2</v>
      </c>
      <c r="M433" s="47">
        <f t="shared" si="86"/>
        <v>5.0900000000000001E-2</v>
      </c>
      <c r="O433" s="47">
        <f t="shared" si="87"/>
        <v>0.35871775388910165</v>
      </c>
      <c r="P433" s="47">
        <f t="shared" si="88"/>
        <v>0.2</v>
      </c>
      <c r="Q433" s="47">
        <f t="shared" si="89"/>
        <v>4.0469999999999999E-2</v>
      </c>
      <c r="S433" s="47">
        <f t="shared" si="90"/>
        <v>0.35871775388910165</v>
      </c>
      <c r="T433" s="47">
        <f t="shared" si="91"/>
        <v>0.2</v>
      </c>
      <c r="U433" s="47">
        <f t="shared" si="92"/>
        <v>4.0469999999999999E-2</v>
      </c>
      <c r="W433" s="47">
        <f t="shared" si="93"/>
        <v>-0.30422489454088231</v>
      </c>
      <c r="X433" s="47">
        <f t="shared" si="94"/>
        <v>-0.3107950193722514</v>
      </c>
      <c r="Y433" s="47">
        <f t="shared" si="95"/>
        <v>-0.31039230743478641</v>
      </c>
      <c r="AP433" s="48">
        <v>7.7700000000000005E-2</v>
      </c>
      <c r="AQ433" s="48">
        <v>9.3700000000000006E-2</v>
      </c>
      <c r="AR433" s="47">
        <f>IF(AP433="","",AP433-($AC$60+$AC$61*Volcanic!C433+$AC$62*Volcanic!D433+$AC$63*Volcanic!E433))</f>
        <v>-0.22965409389378155</v>
      </c>
      <c r="AS433" s="47">
        <f>IF(AQ433="","",AQ433-($AD$60+$AD$61*Volcanic!C433+$AD$62*Volcanic!D433+$AD$63*Volcanic!E433))</f>
        <v>-0.2356655773966998</v>
      </c>
    </row>
    <row r="434" spans="1:45">
      <c r="A434" s="45" t="str">
        <f>Volcanic!A434</f>
        <v>3/1994</v>
      </c>
      <c r="B434" s="43">
        <f>Volcanic!B434</f>
        <v>0.28999999999999559</v>
      </c>
      <c r="C434" s="47">
        <f>Volcanic!C434</f>
        <v>0.36301083553510793</v>
      </c>
      <c r="D434" s="41">
        <v>0</v>
      </c>
      <c r="E434" s="43">
        <f t="shared" si="96"/>
        <v>0.2</v>
      </c>
      <c r="F434" s="48">
        <v>1.6400000000000001E-2</v>
      </c>
      <c r="G434" s="47">
        <f t="shared" si="97"/>
        <v>3.6229999999999998E-2</v>
      </c>
      <c r="H434" s="43">
        <f>Volcanic!D434</f>
        <v>0.19</v>
      </c>
      <c r="I434" s="47">
        <f>Volcanic!E434</f>
        <v>4.6559999999999997E-2</v>
      </c>
      <c r="K434" s="47">
        <f t="shared" si="84"/>
        <v>0.36301083553510793</v>
      </c>
      <c r="L434" s="47">
        <f t="shared" si="85"/>
        <v>0.2</v>
      </c>
      <c r="M434" s="47">
        <f t="shared" si="86"/>
        <v>4.6559999999999997E-2</v>
      </c>
      <c r="O434" s="47">
        <f t="shared" si="87"/>
        <v>0.36301083553510793</v>
      </c>
      <c r="P434" s="47">
        <f t="shared" si="88"/>
        <v>0.19</v>
      </c>
      <c r="Q434" s="47">
        <f t="shared" si="89"/>
        <v>3.6229999999999998E-2</v>
      </c>
      <c r="S434" s="47">
        <f t="shared" si="90"/>
        <v>0.36301083553510793</v>
      </c>
      <c r="T434" s="47">
        <f t="shared" si="91"/>
        <v>0.2</v>
      </c>
      <c r="U434" s="47">
        <f t="shared" si="92"/>
        <v>3.6229999999999998E-2</v>
      </c>
      <c r="W434" s="47">
        <f t="shared" si="93"/>
        <v>-5.5496073250225264E-2</v>
      </c>
      <c r="X434" s="47">
        <f t="shared" si="94"/>
        <v>-6.2540411382206396E-2</v>
      </c>
      <c r="Y434" s="47">
        <f t="shared" si="95"/>
        <v>-6.3088830634090098E-2</v>
      </c>
      <c r="AP434" s="48">
        <v>0.309</v>
      </c>
      <c r="AQ434" s="48">
        <v>0.35770000000000002</v>
      </c>
      <c r="AR434" s="47">
        <f>IF(AP434="","",AP434-($AC$60+$AC$61*Volcanic!C434+$AC$62*Volcanic!D434+$AC$63*Volcanic!E434))</f>
        <v>-1.9583275599640404E-2</v>
      </c>
      <c r="AS434" s="47">
        <f>IF(AQ434="","",AQ434-($AD$60+$AD$61*Volcanic!C434+$AD$62*Volcanic!D434+$AD$63*Volcanic!E434))</f>
        <v>7.3254599397000186E-3</v>
      </c>
    </row>
    <row r="435" spans="1:45">
      <c r="A435" s="45" t="str">
        <f>Volcanic!A435</f>
        <v>4/1994</v>
      </c>
      <c r="B435" s="43">
        <f>Volcanic!B435</f>
        <v>0.41000000000000014</v>
      </c>
      <c r="C435" s="47">
        <f>Volcanic!C435</f>
        <v>0.36800999171782506</v>
      </c>
      <c r="D435" s="41">
        <v>0.2</v>
      </c>
      <c r="E435" s="43">
        <f t="shared" si="96"/>
        <v>0.1</v>
      </c>
      <c r="F435" s="48">
        <v>1.447E-2</v>
      </c>
      <c r="G435" s="47">
        <f t="shared" si="97"/>
        <v>3.3140000000000003E-2</v>
      </c>
      <c r="H435" s="43">
        <f>Volcanic!D435</f>
        <v>7.0000000000000007E-2</v>
      </c>
      <c r="I435" s="47">
        <f>Volcanic!E435</f>
        <v>4.249E-2</v>
      </c>
      <c r="K435" s="47">
        <f t="shared" si="84"/>
        <v>0.36800999171782506</v>
      </c>
      <c r="L435" s="47">
        <f t="shared" si="85"/>
        <v>0.1</v>
      </c>
      <c r="M435" s="47">
        <f t="shared" si="86"/>
        <v>4.249E-2</v>
      </c>
      <c r="O435" s="47">
        <f t="shared" si="87"/>
        <v>0.36800999171782506</v>
      </c>
      <c r="P435" s="47">
        <f t="shared" si="88"/>
        <v>7.0000000000000007E-2</v>
      </c>
      <c r="Q435" s="47">
        <f t="shared" si="89"/>
        <v>3.3140000000000003E-2</v>
      </c>
      <c r="S435" s="47">
        <f t="shared" si="90"/>
        <v>0.36800999171782506</v>
      </c>
      <c r="T435" s="47">
        <f t="shared" si="91"/>
        <v>0.1</v>
      </c>
      <c r="U435" s="47">
        <f t="shared" si="92"/>
        <v>3.3140000000000003E-2</v>
      </c>
      <c r="W435" s="47">
        <f t="shared" si="93"/>
        <v>5.1189459689586159E-2</v>
      </c>
      <c r="X435" s="47">
        <f t="shared" si="94"/>
        <v>4.714291376560531E-2</v>
      </c>
      <c r="Y435" s="47">
        <f t="shared" si="95"/>
        <v>4.4715253763159546E-2</v>
      </c>
      <c r="AP435" s="48">
        <v>0.32129999999999997</v>
      </c>
      <c r="AQ435" s="48">
        <v>0.44069999999999998</v>
      </c>
      <c r="AR435" s="47">
        <f>IF(AP435="","",AP435-($AC$60+$AC$61*Volcanic!C435+$AC$62*Volcanic!D435+$AC$63*Volcanic!E435))</f>
        <v>-1.9489834942024775E-2</v>
      </c>
      <c r="AS435" s="47">
        <f>IF(AQ435="","",AQ435-($AD$60+$AD$61*Volcanic!C435+$AD$62*Volcanic!D435+$AD$63*Volcanic!E435))</f>
        <v>7.846933060611383E-2</v>
      </c>
    </row>
    <row r="436" spans="1:45">
      <c r="A436" s="45" t="str">
        <f>Volcanic!A436</f>
        <v>5/1994</v>
      </c>
      <c r="B436" s="43">
        <f>Volcanic!B436</f>
        <v>0.28000000000000114</v>
      </c>
      <c r="C436" s="47">
        <f>Volcanic!C436</f>
        <v>0.36968582761490204</v>
      </c>
      <c r="D436" s="41">
        <v>0.3</v>
      </c>
      <c r="E436" s="43">
        <f t="shared" si="96"/>
        <v>0</v>
      </c>
      <c r="F436" s="48">
        <v>1.3299999999999999E-2</v>
      </c>
      <c r="G436" s="47">
        <f t="shared" si="97"/>
        <v>3.039E-2</v>
      </c>
      <c r="H436" s="43">
        <f>Volcanic!D436</f>
        <v>0</v>
      </c>
      <c r="I436" s="47">
        <f>Volcanic!E436</f>
        <v>3.9300000000000002E-2</v>
      </c>
      <c r="K436" s="47">
        <f t="shared" si="84"/>
        <v>0.36968582761490204</v>
      </c>
      <c r="L436" s="47">
        <f t="shared" si="85"/>
        <v>0</v>
      </c>
      <c r="M436" s="47">
        <f t="shared" si="86"/>
        <v>3.9300000000000002E-2</v>
      </c>
      <c r="O436" s="47">
        <f t="shared" si="87"/>
        <v>0.36968582761490204</v>
      </c>
      <c r="P436" s="47">
        <f t="shared" si="88"/>
        <v>0</v>
      </c>
      <c r="Q436" s="47">
        <f t="shared" si="89"/>
        <v>3.039E-2</v>
      </c>
      <c r="S436" s="47">
        <f t="shared" si="90"/>
        <v>0.36968582761490204</v>
      </c>
      <c r="T436" s="47">
        <f t="shared" si="91"/>
        <v>0</v>
      </c>
      <c r="U436" s="47">
        <f t="shared" si="92"/>
        <v>3.039E-2</v>
      </c>
      <c r="W436" s="47">
        <f t="shared" si="93"/>
        <v>-8.1122710510140084E-2</v>
      </c>
      <c r="X436" s="47">
        <f t="shared" si="94"/>
        <v>-8.7997376352621559E-2</v>
      </c>
      <c r="Y436" s="47">
        <f t="shared" si="95"/>
        <v>-8.7607425988738608E-2</v>
      </c>
      <c r="AP436" s="48">
        <v>0.2737</v>
      </c>
      <c r="AQ436" s="48">
        <v>0.34970000000000001</v>
      </c>
      <c r="AR436" s="47">
        <f>IF(AP436="","",AP436-($AC$60+$AC$61*Volcanic!C436+$AC$62*Volcanic!D436+$AC$63*Volcanic!E436))</f>
        <v>-7.2786507823641877E-2</v>
      </c>
      <c r="AS436" s="47">
        <f>IF(AQ436="","",AQ436-($AD$60+$AD$61*Volcanic!C436+$AD$62*Volcanic!D436+$AD$63*Volcanic!E436))</f>
        <v>-1.7841238248174129E-2</v>
      </c>
    </row>
    <row r="437" spans="1:45">
      <c r="A437" s="45" t="str">
        <f>Volcanic!A437</f>
        <v>6/1994</v>
      </c>
      <c r="B437" s="43">
        <f>Volcanic!B437</f>
        <v>0.42999999999999972</v>
      </c>
      <c r="C437" s="47">
        <f>Volcanic!C437</f>
        <v>0.36633220690413326</v>
      </c>
      <c r="D437" s="41">
        <v>0.2</v>
      </c>
      <c r="E437" s="43">
        <f t="shared" si="96"/>
        <v>0</v>
      </c>
      <c r="F437" s="48">
        <v>1.225E-2</v>
      </c>
      <c r="G437" s="47">
        <f t="shared" si="97"/>
        <v>2.7060000000000001E-2</v>
      </c>
      <c r="H437" s="43">
        <f>Volcanic!D437</f>
        <v>0.04</v>
      </c>
      <c r="I437" s="47">
        <f>Volcanic!E437</f>
        <v>3.5959999999999999E-2</v>
      </c>
      <c r="K437" s="47">
        <f t="shared" si="84"/>
        <v>0.36633220690413326</v>
      </c>
      <c r="L437" s="47">
        <f t="shared" si="85"/>
        <v>0</v>
      </c>
      <c r="M437" s="47">
        <f t="shared" si="86"/>
        <v>3.5959999999999999E-2</v>
      </c>
      <c r="O437" s="47">
        <f t="shared" si="87"/>
        <v>0.36633220690413326</v>
      </c>
      <c r="P437" s="47">
        <f t="shared" si="88"/>
        <v>0.04</v>
      </c>
      <c r="Q437" s="47">
        <f t="shared" si="89"/>
        <v>2.7060000000000001E-2</v>
      </c>
      <c r="S437" s="47">
        <f t="shared" si="90"/>
        <v>0.36633220690413326</v>
      </c>
      <c r="T437" s="47">
        <f t="shared" si="91"/>
        <v>0</v>
      </c>
      <c r="U437" s="47">
        <f t="shared" si="92"/>
        <v>2.7060000000000001E-2</v>
      </c>
      <c r="W437" s="47">
        <f t="shared" si="93"/>
        <v>7.0663344556505248E-2</v>
      </c>
      <c r="X437" s="47">
        <f t="shared" si="94"/>
        <v>5.8611489119764992E-2</v>
      </c>
      <c r="Y437" s="47">
        <f t="shared" si="95"/>
        <v>6.2747607522569138E-2</v>
      </c>
      <c r="AP437" s="48">
        <v>0.38729999999999998</v>
      </c>
      <c r="AQ437" s="48">
        <v>0.42770000000000002</v>
      </c>
      <c r="AR437" s="47">
        <f>IF(AP437="","",AP437-($AC$60+$AC$61*Volcanic!C437+$AC$62*Volcanic!D437+$AC$63*Volcanic!E437))</f>
        <v>3.8188403044279118E-2</v>
      </c>
      <c r="AS437" s="47">
        <f>IF(AQ437="","",AQ437-($AD$60+$AD$61*Volcanic!C437+$AD$62*Volcanic!D437+$AD$63*Volcanic!E437))</f>
        <v>5.8079531911514437E-2</v>
      </c>
    </row>
    <row r="438" spans="1:45">
      <c r="A438" s="45" t="str">
        <f>Volcanic!A438</f>
        <v>7/1994</v>
      </c>
      <c r="B438" s="43">
        <f>Volcanic!B438</f>
        <v>0.30000000000000249</v>
      </c>
      <c r="C438" s="47">
        <f>Volcanic!C438</f>
        <v>0.36060507353538723</v>
      </c>
      <c r="D438" s="41">
        <v>0.3</v>
      </c>
      <c r="E438" s="43">
        <f t="shared" si="96"/>
        <v>0.2</v>
      </c>
      <c r="F438" s="48">
        <v>1.187E-2</v>
      </c>
      <c r="G438" s="47">
        <f t="shared" si="97"/>
        <v>2.487E-2</v>
      </c>
      <c r="H438" s="43">
        <f>Volcanic!D438</f>
        <v>0.17</v>
      </c>
      <c r="I438" s="47">
        <f>Volcanic!E438</f>
        <v>3.2710000000000003E-2</v>
      </c>
      <c r="K438" s="47">
        <f t="shared" si="84"/>
        <v>0.36060507353538723</v>
      </c>
      <c r="L438" s="47">
        <f t="shared" si="85"/>
        <v>0.2</v>
      </c>
      <c r="M438" s="47">
        <f t="shared" si="86"/>
        <v>3.2710000000000003E-2</v>
      </c>
      <c r="O438" s="47">
        <f t="shared" si="87"/>
        <v>0.36060507353538723</v>
      </c>
      <c r="P438" s="47">
        <f t="shared" si="88"/>
        <v>0.17</v>
      </c>
      <c r="Q438" s="47">
        <f t="shared" si="89"/>
        <v>2.487E-2</v>
      </c>
      <c r="S438" s="47">
        <f t="shared" si="90"/>
        <v>0.36060507353538723</v>
      </c>
      <c r="T438" s="47">
        <f t="shared" si="91"/>
        <v>0.2</v>
      </c>
      <c r="U438" s="47">
        <f t="shared" si="92"/>
        <v>2.487E-2</v>
      </c>
      <c r="W438" s="47">
        <f t="shared" si="93"/>
        <v>-6.9454019653008126E-2</v>
      </c>
      <c r="X438" s="47">
        <f t="shared" si="94"/>
        <v>-7.3838385978631738E-2</v>
      </c>
      <c r="Y438" s="47">
        <f t="shared" si="95"/>
        <v>-7.630127220419497E-2</v>
      </c>
      <c r="AP438" s="48">
        <v>0.25269999999999998</v>
      </c>
      <c r="AQ438" s="48">
        <v>0.2737</v>
      </c>
      <c r="AR438" s="47">
        <f>IF(AP438="","",AP438-($AC$60+$AC$61*Volcanic!C438+$AC$62*Volcanic!D438+$AC$63*Volcanic!E438))</f>
        <v>-0.1007670542945292</v>
      </c>
      <c r="AS438" s="47">
        <f>IF(AQ438="","",AQ438-($AD$60+$AD$61*Volcanic!C438+$AD$62*Volcanic!D438+$AD$63*Volcanic!E438))</f>
        <v>-9.9746401137168927E-2</v>
      </c>
    </row>
    <row r="439" spans="1:45">
      <c r="A439" s="45" t="str">
        <f>Volcanic!A439</f>
        <v>8/1994</v>
      </c>
      <c r="B439" s="43">
        <f>Volcanic!B439</f>
        <v>0.22000000000000242</v>
      </c>
      <c r="C439" s="47">
        <f>Volcanic!C439</f>
        <v>0.35287956496583295</v>
      </c>
      <c r="D439" s="41">
        <v>0.3</v>
      </c>
      <c r="E439" s="43">
        <f t="shared" si="96"/>
        <v>0.3</v>
      </c>
      <c r="F439" s="48">
        <v>1.125E-2</v>
      </c>
      <c r="G439" s="47">
        <f t="shared" si="97"/>
        <v>2.2450000000000001E-2</v>
      </c>
      <c r="H439" s="43">
        <f>Volcanic!D439</f>
        <v>0.25</v>
      </c>
      <c r="I439" s="47">
        <f>Volcanic!E439</f>
        <v>2.9739999999999999E-2</v>
      </c>
      <c r="K439" s="47">
        <f t="shared" si="84"/>
        <v>0.35287956496583295</v>
      </c>
      <c r="L439" s="47">
        <f t="shared" si="85"/>
        <v>0.3</v>
      </c>
      <c r="M439" s="47">
        <f t="shared" si="86"/>
        <v>2.9739999999999999E-2</v>
      </c>
      <c r="O439" s="47">
        <f t="shared" si="87"/>
        <v>0.35287956496583295</v>
      </c>
      <c r="P439" s="47">
        <f t="shared" si="88"/>
        <v>0.25</v>
      </c>
      <c r="Q439" s="47">
        <f t="shared" si="89"/>
        <v>2.2450000000000001E-2</v>
      </c>
      <c r="S439" s="47">
        <f t="shared" si="90"/>
        <v>0.35287956496583295</v>
      </c>
      <c r="T439" s="47">
        <f t="shared" si="91"/>
        <v>0.3</v>
      </c>
      <c r="U439" s="47">
        <f t="shared" si="92"/>
        <v>2.2450000000000001E-2</v>
      </c>
      <c r="W439" s="47">
        <f t="shared" si="93"/>
        <v>-0.14421719529950222</v>
      </c>
      <c r="X439" s="47">
        <f t="shared" si="94"/>
        <v>-0.14678962013436625</v>
      </c>
      <c r="Y439" s="47">
        <f t="shared" si="95"/>
        <v>-0.15114852181401373</v>
      </c>
      <c r="AP439" s="48">
        <v>0.2432</v>
      </c>
      <c r="AQ439" s="48">
        <v>0.22270000000000001</v>
      </c>
      <c r="AR439" s="47">
        <f>IF(AP439="","",AP439-($AC$60+$AC$61*Volcanic!C439+$AC$62*Volcanic!D439+$AC$63*Volcanic!E439))</f>
        <v>-0.10380974099484722</v>
      </c>
      <c r="AS439" s="47">
        <f>IF(AQ439="","",AQ439-($AD$60+$AD$61*Volcanic!C439+$AD$62*Volcanic!D439+$AD$63*Volcanic!E439))</f>
        <v>-0.14355558335468116</v>
      </c>
    </row>
    <row r="440" spans="1:45">
      <c r="A440" s="45" t="str">
        <f>Volcanic!A440</f>
        <v>9/1994</v>
      </c>
      <c r="B440" s="43">
        <f>Volcanic!B440</f>
        <v>0.31000000000000227</v>
      </c>
      <c r="C440" s="47">
        <f>Volcanic!C440</f>
        <v>0.34588295045182915</v>
      </c>
      <c r="D440" s="41">
        <v>0.5</v>
      </c>
      <c r="E440" s="43">
        <f t="shared" si="96"/>
        <v>0.2</v>
      </c>
      <c r="F440" s="48">
        <v>1.073E-2</v>
      </c>
      <c r="G440" s="47">
        <f t="shared" si="97"/>
        <v>1.8859999999999998E-2</v>
      </c>
      <c r="H440" s="43">
        <f>Volcanic!D440</f>
        <v>0.23</v>
      </c>
      <c r="I440" s="47">
        <f>Volcanic!E440</f>
        <v>2.4920000000000001E-2</v>
      </c>
      <c r="K440" s="47">
        <f t="shared" si="84"/>
        <v>0.34588295045182915</v>
      </c>
      <c r="L440" s="47">
        <f t="shared" si="85"/>
        <v>0.2</v>
      </c>
      <c r="M440" s="47">
        <f t="shared" si="86"/>
        <v>2.4920000000000001E-2</v>
      </c>
      <c r="O440" s="47">
        <f t="shared" si="87"/>
        <v>0.34588295045182915</v>
      </c>
      <c r="P440" s="47">
        <f t="shared" si="88"/>
        <v>0.23</v>
      </c>
      <c r="Q440" s="47">
        <f t="shared" si="89"/>
        <v>1.8859999999999998E-2</v>
      </c>
      <c r="S440" s="47">
        <f t="shared" si="90"/>
        <v>0.34588295045182915</v>
      </c>
      <c r="T440" s="47">
        <f t="shared" si="91"/>
        <v>0.2</v>
      </c>
      <c r="U440" s="47">
        <f t="shared" si="92"/>
        <v>1.8859999999999998E-2</v>
      </c>
      <c r="W440" s="47">
        <f t="shared" si="93"/>
        <v>-3.6470033146648262E-2</v>
      </c>
      <c r="X440" s="47">
        <f t="shared" si="94"/>
        <v>-4.5374778511775571E-2</v>
      </c>
      <c r="Y440" s="47">
        <f t="shared" si="95"/>
        <v>-4.2224475155705488E-2</v>
      </c>
      <c r="AP440" s="48">
        <v>0.34039999999999998</v>
      </c>
      <c r="AQ440" s="48">
        <v>0.32369999999999999</v>
      </c>
      <c r="AR440" s="47">
        <f>IF(AP440="","",AP440-($AC$60+$AC$61*Volcanic!C440+$AC$62*Volcanic!D440+$AC$63*Volcanic!E440))</f>
        <v>2.7702878950707777E-3</v>
      </c>
      <c r="AS440" s="47">
        <f>IF(AQ440="","",AQ440-($AD$60+$AD$61*Volcanic!C440+$AD$62*Volcanic!D440+$AD$63*Volcanic!E440))</f>
        <v>-3.2087045059259245E-2</v>
      </c>
    </row>
    <row r="441" spans="1:45">
      <c r="A441" s="45" t="str">
        <f>Volcanic!A441</f>
        <v>10/1994</v>
      </c>
      <c r="B441" s="43">
        <f>Volcanic!B441</f>
        <v>0.42999999999999972</v>
      </c>
      <c r="C441" s="47">
        <f>Volcanic!C441</f>
        <v>0.34730119108821406</v>
      </c>
      <c r="D441" s="41">
        <v>0.7</v>
      </c>
      <c r="E441" s="43">
        <f t="shared" si="96"/>
        <v>0.3</v>
      </c>
      <c r="F441" s="48">
        <v>1.0410000000000001E-2</v>
      </c>
      <c r="G441" s="47">
        <f t="shared" si="97"/>
        <v>1.6400000000000001E-2</v>
      </c>
      <c r="H441" s="43">
        <f>Volcanic!D441</f>
        <v>0.3</v>
      </c>
      <c r="I441" s="47">
        <f>Volcanic!E441</f>
        <v>2.1430000000000001E-2</v>
      </c>
      <c r="K441" s="47">
        <f t="shared" si="84"/>
        <v>0.34730119108821406</v>
      </c>
      <c r="L441" s="47">
        <f t="shared" si="85"/>
        <v>0.3</v>
      </c>
      <c r="M441" s="47">
        <f t="shared" si="86"/>
        <v>2.1430000000000001E-2</v>
      </c>
      <c r="O441" s="47">
        <f t="shared" si="87"/>
        <v>0.34730119108821406</v>
      </c>
      <c r="P441" s="47">
        <f t="shared" si="88"/>
        <v>0.3</v>
      </c>
      <c r="Q441" s="47">
        <f t="shared" si="89"/>
        <v>1.6400000000000001E-2</v>
      </c>
      <c r="S441" s="47">
        <f t="shared" si="90"/>
        <v>0.34730119108821406</v>
      </c>
      <c r="T441" s="47">
        <f t="shared" si="91"/>
        <v>0.3</v>
      </c>
      <c r="U441" s="47">
        <f t="shared" si="92"/>
        <v>1.6400000000000001E-2</v>
      </c>
      <c r="W441" s="47">
        <f t="shared" si="93"/>
        <v>6.2684577264730423E-2</v>
      </c>
      <c r="X441" s="47">
        <f t="shared" si="94"/>
        <v>5.7787992860815651E-2</v>
      </c>
      <c r="Y441" s="47">
        <f t="shared" si="95"/>
        <v>5.810556369044223E-2</v>
      </c>
      <c r="AP441" s="48">
        <v>0.41710000000000003</v>
      </c>
      <c r="AQ441" s="48">
        <v>0.42870000000000003</v>
      </c>
      <c r="AR441" s="47">
        <f>IF(AP441="","",AP441-($AC$60+$AC$61*Volcanic!C441+$AC$62*Volcanic!D441+$AC$63*Volcanic!E441))</f>
        <v>6.0644832464040788E-2</v>
      </c>
      <c r="AS441" s="47">
        <f>IF(AQ441="","",AQ441-($AD$60+$AD$61*Volcanic!C441+$AD$62*Volcanic!D441+$AD$63*Volcanic!E441))</f>
        <v>5.425776980913144E-2</v>
      </c>
    </row>
    <row r="442" spans="1:45">
      <c r="A442" s="45" t="str">
        <f>Volcanic!A442</f>
        <v>11/1994</v>
      </c>
      <c r="B442" s="43">
        <f>Volcanic!B442</f>
        <v>0.44999999999999751</v>
      </c>
      <c r="C442" s="47">
        <f>Volcanic!C442</f>
        <v>0.35312161435528655</v>
      </c>
      <c r="D442" s="41">
        <v>0.9</v>
      </c>
      <c r="E442" s="43">
        <f t="shared" si="96"/>
        <v>0.3</v>
      </c>
      <c r="F442" s="48">
        <v>9.7400000000000004E-3</v>
      </c>
      <c r="G442" s="47">
        <f t="shared" si="97"/>
        <v>1.447E-2</v>
      </c>
      <c r="H442" s="43">
        <f>Volcanic!D442</f>
        <v>0.3</v>
      </c>
      <c r="I442" s="47">
        <f>Volcanic!E442</f>
        <v>1.8630000000000001E-2</v>
      </c>
      <c r="K442" s="47">
        <f t="shared" si="84"/>
        <v>0.35312161435528655</v>
      </c>
      <c r="L442" s="47">
        <f t="shared" si="85"/>
        <v>0.3</v>
      </c>
      <c r="M442" s="47">
        <f t="shared" si="86"/>
        <v>1.8630000000000001E-2</v>
      </c>
      <c r="O442" s="47">
        <f t="shared" si="87"/>
        <v>0.35312161435528655</v>
      </c>
      <c r="P442" s="47">
        <f t="shared" si="88"/>
        <v>0.3</v>
      </c>
      <c r="Q442" s="47">
        <f t="shared" si="89"/>
        <v>1.447E-2</v>
      </c>
      <c r="S442" s="47">
        <f t="shared" si="90"/>
        <v>0.35312161435528655</v>
      </c>
      <c r="T442" s="47">
        <f t="shared" si="91"/>
        <v>0.3</v>
      </c>
      <c r="U442" s="47">
        <f t="shared" si="92"/>
        <v>1.447E-2</v>
      </c>
      <c r="W442" s="47">
        <f t="shared" si="93"/>
        <v>6.0641536513625138E-2</v>
      </c>
      <c r="X442" s="47">
        <f t="shared" si="94"/>
        <v>5.7009408285641383E-2</v>
      </c>
      <c r="Y442" s="47">
        <f t="shared" si="95"/>
        <v>5.7322792260729394E-2</v>
      </c>
      <c r="AP442" s="48">
        <v>0.42499999999999999</v>
      </c>
      <c r="AQ442" s="48">
        <v>0.40670000000000001</v>
      </c>
      <c r="AR442" s="47">
        <f>IF(AP442="","",AP442-($AC$60+$AC$61*Volcanic!C442+$AC$62*Volcanic!D442+$AC$63*Volcanic!E442))</f>
        <v>4.5914176787188343E-2</v>
      </c>
      <c r="AS442" s="47">
        <f>IF(AQ442="","",AQ442-($AD$60+$AD$61*Volcanic!C442+$AD$62*Volcanic!D442+$AD$63*Volcanic!E442))</f>
        <v>9.542391795394789E-3</v>
      </c>
    </row>
    <row r="443" spans="1:45">
      <c r="A443" s="45" t="str">
        <f>Volcanic!A443</f>
        <v>12/1994</v>
      </c>
      <c r="B443" s="43">
        <f>Volcanic!B443</f>
        <v>0.38999999999999879</v>
      </c>
      <c r="C443" s="47">
        <f>Volcanic!C443</f>
        <v>0.35895882583232935</v>
      </c>
      <c r="D443" s="41">
        <v>1</v>
      </c>
      <c r="E443" s="43">
        <f t="shared" si="96"/>
        <v>0.5</v>
      </c>
      <c r="F443" s="48">
        <v>9.1199999999999996E-3</v>
      </c>
      <c r="G443" s="47">
        <f t="shared" si="97"/>
        <v>1.3299999999999999E-2</v>
      </c>
      <c r="H443" s="43">
        <f>Volcanic!D443</f>
        <v>0.47</v>
      </c>
      <c r="I443" s="47">
        <f>Volcanic!E443</f>
        <v>1.685E-2</v>
      </c>
      <c r="K443" s="47">
        <f t="shared" si="84"/>
        <v>0.35895882583232935</v>
      </c>
      <c r="L443" s="47">
        <f t="shared" si="85"/>
        <v>0.5</v>
      </c>
      <c r="M443" s="47">
        <f t="shared" si="86"/>
        <v>1.685E-2</v>
      </c>
      <c r="O443" s="47">
        <f t="shared" si="87"/>
        <v>0.35895882583232935</v>
      </c>
      <c r="P443" s="47">
        <f t="shared" si="88"/>
        <v>0.47</v>
      </c>
      <c r="Q443" s="47">
        <f t="shared" si="89"/>
        <v>1.3299999999999999E-2</v>
      </c>
      <c r="S443" s="47">
        <f t="shared" si="90"/>
        <v>0.35895882583232935</v>
      </c>
      <c r="T443" s="47">
        <f t="shared" si="91"/>
        <v>0.5</v>
      </c>
      <c r="U443" s="47">
        <f t="shared" si="92"/>
        <v>1.3299999999999999E-2</v>
      </c>
      <c r="W443" s="47">
        <f t="shared" si="93"/>
        <v>-3.7774355630659451E-2</v>
      </c>
      <c r="X443" s="47">
        <f t="shared" si="94"/>
        <v>-3.7798024090570315E-2</v>
      </c>
      <c r="Y443" s="47">
        <f t="shared" si="95"/>
        <v>-4.0319552600839415E-2</v>
      </c>
      <c r="AP443" s="48">
        <v>0.31819999999999998</v>
      </c>
      <c r="AQ443" s="48">
        <v>0.38169999999999998</v>
      </c>
      <c r="AR443" s="47">
        <f>IF(AP443="","",AP443-($AC$60+$AC$61*Volcanic!C443+$AC$62*Volcanic!D443+$AC$63*Volcanic!E443))</f>
        <v>-9.7027663828673727E-2</v>
      </c>
      <c r="AS443" s="47">
        <f>IF(AQ443="","",AQ443-($AD$60+$AD$61*Volcanic!C443+$AD$62*Volcanic!D443+$AD$63*Volcanic!E443))</f>
        <v>-5.2129781304626921E-2</v>
      </c>
    </row>
    <row r="444" spans="1:45">
      <c r="A444" s="45" t="str">
        <f>Volcanic!A444</f>
        <v>1/1995</v>
      </c>
      <c r="B444" s="43">
        <f>Volcanic!B444</f>
        <v>0.52999999999999758</v>
      </c>
      <c r="C444" s="47">
        <f>Volcanic!C444</f>
        <v>0.36273036992883079</v>
      </c>
      <c r="D444" s="41">
        <v>0.9</v>
      </c>
      <c r="E444" s="43">
        <f t="shared" si="96"/>
        <v>0.7</v>
      </c>
      <c r="F444" s="48">
        <v>8.5900000000000004E-3</v>
      </c>
      <c r="G444" s="47">
        <f t="shared" si="97"/>
        <v>1.225E-2</v>
      </c>
      <c r="H444" s="43">
        <f>Volcanic!D444</f>
        <v>0.66</v>
      </c>
      <c r="I444" s="47">
        <f>Volcanic!E444</f>
        <v>1.5699999999999999E-2</v>
      </c>
      <c r="K444" s="47">
        <f t="shared" si="84"/>
        <v>0.36273036992883079</v>
      </c>
      <c r="L444" s="47">
        <f t="shared" si="85"/>
        <v>0.7</v>
      </c>
      <c r="M444" s="47">
        <f t="shared" si="86"/>
        <v>1.5699999999999999E-2</v>
      </c>
      <c r="O444" s="47">
        <f t="shared" si="87"/>
        <v>0.36273036992883079</v>
      </c>
      <c r="P444" s="47">
        <f t="shared" si="88"/>
        <v>0.66</v>
      </c>
      <c r="Q444" s="47">
        <f t="shared" si="89"/>
        <v>1.225E-2</v>
      </c>
      <c r="S444" s="47">
        <f t="shared" si="90"/>
        <v>0.36273036992883079</v>
      </c>
      <c r="T444" s="47">
        <f t="shared" si="91"/>
        <v>0.7</v>
      </c>
      <c r="U444" s="47">
        <f t="shared" si="92"/>
        <v>1.225E-2</v>
      </c>
      <c r="W444" s="47">
        <f t="shared" si="93"/>
        <v>7.083135898217835E-2</v>
      </c>
      <c r="X444" s="47">
        <f t="shared" si="94"/>
        <v>7.1414044598090864E-2</v>
      </c>
      <c r="Y444" s="47">
        <f t="shared" si="95"/>
        <v>6.7936071822667921E-2</v>
      </c>
      <c r="AP444" s="48">
        <v>0.4864</v>
      </c>
      <c r="AQ444" s="48">
        <v>0.52070000000000005</v>
      </c>
      <c r="AR444" s="47">
        <f>IF(AP444="","",AP444-($AC$60+$AC$61*Volcanic!C444+$AC$62*Volcanic!D444+$AC$63*Volcanic!E444))</f>
        <v>4.031402777906351E-2</v>
      </c>
      <c r="AS444" s="47">
        <f>IF(AQ444="","",AQ444-($AD$60+$AD$61*Volcanic!C444+$AD$62*Volcanic!D444+$AD$63*Volcanic!E444))</f>
        <v>5.551539606101441E-2</v>
      </c>
    </row>
    <row r="445" spans="1:45">
      <c r="A445" s="45" t="str">
        <f>Volcanic!A445</f>
        <v>2/1995</v>
      </c>
      <c r="B445" s="43">
        <f>Volcanic!B445</f>
        <v>0.79000000000000092</v>
      </c>
      <c r="C445" s="47">
        <f>Volcanic!C445</f>
        <v>0.36657200994220462</v>
      </c>
      <c r="D445" s="41">
        <v>0.7</v>
      </c>
      <c r="E445" s="43">
        <f t="shared" si="96"/>
        <v>0.9</v>
      </c>
      <c r="F445" s="48">
        <v>7.8899999999999994E-3</v>
      </c>
      <c r="G445" s="47">
        <f t="shared" si="97"/>
        <v>1.187E-2</v>
      </c>
      <c r="H445" s="43">
        <f>Volcanic!D445</f>
        <v>0.93</v>
      </c>
      <c r="I445" s="47">
        <f>Volcanic!E445</f>
        <v>1.482E-2</v>
      </c>
      <c r="K445" s="47">
        <f t="shared" si="84"/>
        <v>0.36657200994220462</v>
      </c>
      <c r="L445" s="47">
        <f t="shared" si="85"/>
        <v>0.9</v>
      </c>
      <c r="M445" s="47">
        <f t="shared" si="86"/>
        <v>1.482E-2</v>
      </c>
      <c r="O445" s="47">
        <f t="shared" si="87"/>
        <v>0.36657200994220462</v>
      </c>
      <c r="P445" s="47">
        <f t="shared" si="88"/>
        <v>0.93</v>
      </c>
      <c r="Q445" s="47">
        <f t="shared" si="89"/>
        <v>1.187E-2</v>
      </c>
      <c r="S445" s="47">
        <f t="shared" si="90"/>
        <v>0.36657200994220462</v>
      </c>
      <c r="T445" s="47">
        <f t="shared" si="91"/>
        <v>0.9</v>
      </c>
      <c r="U445" s="47">
        <f t="shared" si="92"/>
        <v>1.187E-2</v>
      </c>
      <c r="W445" s="47">
        <f t="shared" si="93"/>
        <v>0.29984086323224207</v>
      </c>
      <c r="X445" s="47">
        <f t="shared" si="94"/>
        <v>0.29467225274351494</v>
      </c>
      <c r="Y445" s="47">
        <f t="shared" si="95"/>
        <v>0.29775481677362403</v>
      </c>
      <c r="AP445" s="48">
        <v>0.70850000000000002</v>
      </c>
      <c r="AQ445" s="48">
        <v>0.76470000000000005</v>
      </c>
      <c r="AR445" s="47">
        <f>IF(AP445="","",AP445-($AC$60+$AC$61*Volcanic!C445+$AC$62*Volcanic!D445+$AC$63*Volcanic!E445))</f>
        <v>0.22452238088859933</v>
      </c>
      <c r="AS445" s="47">
        <f>IF(AQ445="","",AQ445-($AD$60+$AD$61*Volcanic!C445+$AD$62*Volcanic!D445+$AD$63*Volcanic!E445))</f>
        <v>0.26093749196053984</v>
      </c>
    </row>
    <row r="446" spans="1:45">
      <c r="A446" s="45" t="str">
        <f>Volcanic!A446</f>
        <v>3/1995</v>
      </c>
      <c r="B446" s="43">
        <f>Volcanic!B446</f>
        <v>0.47000000000000242</v>
      </c>
      <c r="C446" s="47">
        <f>Volcanic!C446</f>
        <v>0.3704831610279733</v>
      </c>
      <c r="D446" s="41">
        <v>0.5</v>
      </c>
      <c r="E446" s="43">
        <f t="shared" si="96"/>
        <v>1</v>
      </c>
      <c r="F446" s="48">
        <v>7.5700000000000003E-3</v>
      </c>
      <c r="G446" s="47">
        <f t="shared" si="97"/>
        <v>1.125E-2</v>
      </c>
      <c r="H446" s="43">
        <f>Volcanic!D446</f>
        <v>0.97</v>
      </c>
      <c r="I446" s="47">
        <f>Volcanic!E446</f>
        <v>1.4149999999999999E-2</v>
      </c>
      <c r="K446" s="47">
        <f t="shared" si="84"/>
        <v>0.3704831610279733</v>
      </c>
      <c r="L446" s="47">
        <f t="shared" si="85"/>
        <v>1</v>
      </c>
      <c r="M446" s="47">
        <f t="shared" si="86"/>
        <v>1.4149999999999999E-2</v>
      </c>
      <c r="O446" s="47">
        <f t="shared" si="87"/>
        <v>0.3704831610279733</v>
      </c>
      <c r="P446" s="47">
        <f t="shared" si="88"/>
        <v>0.97</v>
      </c>
      <c r="Q446" s="47">
        <f t="shared" si="89"/>
        <v>1.125E-2</v>
      </c>
      <c r="S446" s="47">
        <f t="shared" si="90"/>
        <v>0.3704831610279733</v>
      </c>
      <c r="T446" s="47">
        <f t="shared" si="91"/>
        <v>1</v>
      </c>
      <c r="U446" s="47">
        <f t="shared" si="92"/>
        <v>1.125E-2</v>
      </c>
      <c r="W446" s="47">
        <f t="shared" si="93"/>
        <v>-4.1589127950848237E-2</v>
      </c>
      <c r="X446" s="47">
        <f t="shared" si="94"/>
        <v>-4.127920602899593E-2</v>
      </c>
      <c r="Y446" s="47">
        <f t="shared" si="95"/>
        <v>-4.3841033923792572E-2</v>
      </c>
      <c r="AP446" s="48">
        <v>0.42620000000000002</v>
      </c>
      <c r="AQ446" s="48">
        <v>0.4647</v>
      </c>
      <c r="AR446" s="47">
        <f>IF(AP446="","",AP446-($AC$60+$AC$61*Volcanic!C446+$AC$62*Volcanic!D446+$AC$63*Volcanic!E446))</f>
        <v>-7.3815398162387691E-2</v>
      </c>
      <c r="AS446" s="47">
        <f>IF(AQ446="","",AQ446-($AD$60+$AD$61*Volcanic!C446+$AD$62*Volcanic!D446+$AD$63*Volcanic!E446))</f>
        <v>-5.5374334537045655E-2</v>
      </c>
    </row>
    <row r="447" spans="1:45">
      <c r="A447" s="45" t="str">
        <f>Volcanic!A447</f>
        <v>4/1995</v>
      </c>
      <c r="B447" s="43">
        <f>Volcanic!B447</f>
        <v>0.47000000000000242</v>
      </c>
      <c r="C447" s="47">
        <f>Volcanic!C447</f>
        <v>0.37629038333705156</v>
      </c>
      <c r="D447" s="41">
        <v>0.2</v>
      </c>
      <c r="E447" s="43">
        <f t="shared" si="96"/>
        <v>0.9</v>
      </c>
      <c r="F447" s="48">
        <v>7.1799999999999998E-3</v>
      </c>
      <c r="G447" s="47">
        <f t="shared" si="97"/>
        <v>1.073E-2</v>
      </c>
      <c r="H447" s="43">
        <f>Volcanic!D447</f>
        <v>0.88</v>
      </c>
      <c r="I447" s="47">
        <f>Volcanic!E447</f>
        <v>1.3639999999999999E-2</v>
      </c>
      <c r="K447" s="47">
        <f t="shared" si="84"/>
        <v>0.37629038333705156</v>
      </c>
      <c r="L447" s="47">
        <f t="shared" si="85"/>
        <v>0.9</v>
      </c>
      <c r="M447" s="47">
        <f t="shared" si="86"/>
        <v>1.3639999999999999E-2</v>
      </c>
      <c r="O447" s="47">
        <f t="shared" si="87"/>
        <v>0.37629038333705156</v>
      </c>
      <c r="P447" s="47">
        <f t="shared" si="88"/>
        <v>0.88</v>
      </c>
      <c r="Q447" s="47">
        <f t="shared" si="89"/>
        <v>1.073E-2</v>
      </c>
      <c r="S447" s="47">
        <f t="shared" si="90"/>
        <v>0.37629038333705156</v>
      </c>
      <c r="T447" s="47">
        <f t="shared" si="91"/>
        <v>0.9</v>
      </c>
      <c r="U447" s="47">
        <f t="shared" si="92"/>
        <v>1.073E-2</v>
      </c>
      <c r="W447" s="47">
        <f t="shared" si="93"/>
        <v>-4.9262763916626651E-2</v>
      </c>
      <c r="X447" s="47">
        <f t="shared" si="94"/>
        <v>-4.9883863586331123E-2</v>
      </c>
      <c r="Y447" s="47">
        <f t="shared" si="95"/>
        <v>-5.1498680564757149E-2</v>
      </c>
      <c r="AP447" s="48">
        <v>0.49120000000000003</v>
      </c>
      <c r="AQ447" s="48">
        <v>0.57169999999999999</v>
      </c>
      <c r="AR447" s="47">
        <f>IF(AP447="","",AP447-($AC$60+$AC$61*Volcanic!C447+$AC$62*Volcanic!D447+$AC$63*Volcanic!E447))</f>
        <v>-1.7471749441724638E-2</v>
      </c>
      <c r="AS447" s="47">
        <f>IF(AQ447="","",AQ447-($AD$60+$AD$61*Volcanic!C447+$AD$62*Volcanic!D447+$AD$63*Volcanic!E447))</f>
        <v>4.2792966619480288E-2</v>
      </c>
    </row>
    <row r="448" spans="1:45">
      <c r="A448" s="45" t="str">
        <f>Volcanic!A448</f>
        <v>5/1995</v>
      </c>
      <c r="B448" s="43">
        <f>Volcanic!B448</f>
        <v>0.27000000000000135</v>
      </c>
      <c r="C448" s="47">
        <f>Volcanic!C448</f>
        <v>0.37783767971908239</v>
      </c>
      <c r="D448" s="41">
        <v>0</v>
      </c>
      <c r="E448" s="43">
        <f t="shared" si="96"/>
        <v>0.7</v>
      </c>
      <c r="F448" s="48">
        <v>6.8599999999999998E-3</v>
      </c>
      <c r="G448" s="47">
        <f t="shared" si="97"/>
        <v>1.0410000000000001E-2</v>
      </c>
      <c r="H448" s="43">
        <f>Volcanic!D448</f>
        <v>0.65</v>
      </c>
      <c r="I448" s="47">
        <f>Volcanic!E448</f>
        <v>1.328E-2</v>
      </c>
      <c r="K448" s="47">
        <f t="shared" si="84"/>
        <v>0.37783767971908239</v>
      </c>
      <c r="L448" s="47">
        <f t="shared" si="85"/>
        <v>0.7</v>
      </c>
      <c r="M448" s="47">
        <f t="shared" si="86"/>
        <v>1.328E-2</v>
      </c>
      <c r="O448" s="47">
        <f t="shared" si="87"/>
        <v>0.37783767971908239</v>
      </c>
      <c r="P448" s="47">
        <f t="shared" si="88"/>
        <v>0.65</v>
      </c>
      <c r="Q448" s="47">
        <f t="shared" si="89"/>
        <v>1.0410000000000001E-2</v>
      </c>
      <c r="S448" s="47">
        <f t="shared" si="90"/>
        <v>0.37783767971908239</v>
      </c>
      <c r="T448" s="47">
        <f t="shared" si="91"/>
        <v>0.7</v>
      </c>
      <c r="U448" s="47">
        <f t="shared" si="92"/>
        <v>1.0410000000000001E-2</v>
      </c>
      <c r="W448" s="47">
        <f t="shared" si="93"/>
        <v>-0.23570108020374703</v>
      </c>
      <c r="X448" s="47">
        <f t="shared" si="94"/>
        <v>-0.23329785967070571</v>
      </c>
      <c r="Y448" s="47">
        <f t="shared" si="95"/>
        <v>-0.23771629234159819</v>
      </c>
      <c r="AP448" s="48">
        <v>0.33389999999999997</v>
      </c>
      <c r="AQ448" s="48">
        <v>0.37369999999999998</v>
      </c>
      <c r="AR448" s="47">
        <f>IF(AP448="","",AP448-($AC$60+$AC$61*Volcanic!C448+$AC$62*Volcanic!D448+$AC$63*Volcanic!E448))</f>
        <v>-0.15832466829157532</v>
      </c>
      <c r="AS448" s="47">
        <f>IF(AQ448="","",AQ448-($AD$60+$AD$61*Volcanic!C448+$AD$62*Volcanic!D448+$AD$63*Volcanic!E448))</f>
        <v>-0.13838557684302272</v>
      </c>
    </row>
    <row r="449" spans="1:45">
      <c r="A449" s="45" t="str">
        <f>Volcanic!A449</f>
        <v>6/1995</v>
      </c>
      <c r="B449" s="43">
        <f>Volcanic!B449</f>
        <v>0.42999999999999972</v>
      </c>
      <c r="C449" s="47">
        <f>Volcanic!C449</f>
        <v>0.37585366620313115</v>
      </c>
      <c r="D449" s="41">
        <v>-0.1</v>
      </c>
      <c r="E449" s="43">
        <f t="shared" si="96"/>
        <v>0.5</v>
      </c>
      <c r="F449" s="48">
        <v>6.5300000000000002E-3</v>
      </c>
      <c r="G449" s="47">
        <f t="shared" si="97"/>
        <v>9.7400000000000004E-3</v>
      </c>
      <c r="H449" s="43">
        <f>Volcanic!D449</f>
        <v>0.46</v>
      </c>
      <c r="I449" s="47">
        <f>Volcanic!E449</f>
        <v>1.247E-2</v>
      </c>
      <c r="K449" s="47">
        <f t="shared" si="84"/>
        <v>0.37585366620313115</v>
      </c>
      <c r="L449" s="47">
        <f t="shared" si="85"/>
        <v>0.5</v>
      </c>
      <c r="M449" s="47">
        <f t="shared" si="86"/>
        <v>1.247E-2</v>
      </c>
      <c r="O449" s="47">
        <f t="shared" si="87"/>
        <v>0.37585366620313115</v>
      </c>
      <c r="P449" s="47">
        <f t="shared" si="88"/>
        <v>0.46</v>
      </c>
      <c r="Q449" s="47">
        <f t="shared" si="89"/>
        <v>9.7400000000000004E-3</v>
      </c>
      <c r="S449" s="47">
        <f t="shared" si="90"/>
        <v>0.37585366620313115</v>
      </c>
      <c r="T449" s="47">
        <f t="shared" si="91"/>
        <v>0.5</v>
      </c>
      <c r="U449" s="47">
        <f t="shared" si="92"/>
        <v>9.7400000000000004E-3</v>
      </c>
      <c r="W449" s="47">
        <f t="shared" si="93"/>
        <v>-5.3500568925448633E-2</v>
      </c>
      <c r="X449" s="47">
        <f t="shared" si="94"/>
        <v>-5.1836591921940511E-2</v>
      </c>
      <c r="Y449" s="47">
        <f t="shared" si="95"/>
        <v>-5.5303340762473174E-2</v>
      </c>
      <c r="AP449" s="48">
        <v>0.4501</v>
      </c>
      <c r="AQ449" s="48">
        <v>0.49170000000000003</v>
      </c>
      <c r="AR449" s="47">
        <f>IF(AP449="","",AP449-($AC$60+$AC$61*Volcanic!C449+$AC$62*Volcanic!D449+$AC$63*Volcanic!E449))</f>
        <v>-2.0863557924940379E-2</v>
      </c>
      <c r="AS449" s="47">
        <f>IF(AQ449="","",AQ449-($AD$60+$AD$61*Volcanic!C449+$AD$62*Volcanic!D449+$AD$63*Volcanic!E449))</f>
        <v>1.4734667429671111E-3</v>
      </c>
    </row>
    <row r="450" spans="1:45">
      <c r="A450" s="45" t="str">
        <f>Volcanic!A450</f>
        <v>7/1995</v>
      </c>
      <c r="B450" s="43">
        <f>Volcanic!B450</f>
        <v>0.46000000000000441</v>
      </c>
      <c r="C450" s="47">
        <f>Volcanic!C450</f>
        <v>0.36968582761490204</v>
      </c>
      <c r="D450" s="41">
        <v>-0.3</v>
      </c>
      <c r="E450" s="43">
        <f t="shared" si="96"/>
        <v>0.2</v>
      </c>
      <c r="F450" s="48">
        <v>6.2899999999999996E-3</v>
      </c>
      <c r="G450" s="47">
        <f t="shared" si="97"/>
        <v>9.1199999999999996E-3</v>
      </c>
      <c r="H450" s="43">
        <f>Volcanic!D450</f>
        <v>0.19</v>
      </c>
      <c r="I450" s="47">
        <f>Volcanic!E450</f>
        <v>1.176E-2</v>
      </c>
      <c r="K450" s="47">
        <f t="shared" ref="K450:K513" si="98">C450</f>
        <v>0.36968582761490204</v>
      </c>
      <c r="L450" s="47">
        <f t="shared" ref="L450:L513" si="99">E450</f>
        <v>0.2</v>
      </c>
      <c r="M450" s="47">
        <f t="shared" ref="M450:M513" si="100">I450</f>
        <v>1.176E-2</v>
      </c>
      <c r="O450" s="47">
        <f t="shared" ref="O450:O513" si="101">C450</f>
        <v>0.36968582761490204</v>
      </c>
      <c r="P450" s="47">
        <f t="shared" ref="P450:P513" si="102">H450</f>
        <v>0.19</v>
      </c>
      <c r="Q450" s="47">
        <f t="shared" ref="Q450:Q513" si="103">G450</f>
        <v>9.1199999999999996E-3</v>
      </c>
      <c r="S450" s="47">
        <f t="shared" ref="S450:S513" si="104">C450</f>
        <v>0.36968582761490204</v>
      </c>
      <c r="T450" s="47">
        <f t="shared" ref="T450:T513" si="105">E450</f>
        <v>0.2</v>
      </c>
      <c r="U450" s="47">
        <f t="shared" ref="U450:U513" si="106">G450</f>
        <v>9.1199999999999996E-3</v>
      </c>
      <c r="W450" s="47">
        <f t="shared" ref="W450:W513" si="107">IF(OR(L450="",M450=""),"",B450-($AB$6+$AB$7*K450+$AB$8*L450+$AB$9*M450))</f>
        <v>1.961754729010784E-2</v>
      </c>
      <c r="X450" s="47">
        <f t="shared" ref="X450:X513" si="108">IF(OR(P450="",Q450=""),"",B450-($AC$6+$AC$7*O450+$AC$8*P450+$AC$9*Q450))</f>
        <v>1.8581508781224276E-2</v>
      </c>
      <c r="Y450" s="47">
        <f t="shared" ref="Y450:Y513" si="109">IF(OR(T450="",U450=""),"",B450-($AD$6+$AD$7*S450+$AD$8*T450+$AD$9*U450))</f>
        <v>1.7951548882673751E-2</v>
      </c>
      <c r="AP450" s="48">
        <v>0.51270000000000004</v>
      </c>
      <c r="AQ450" s="48">
        <v>0.52170000000000005</v>
      </c>
      <c r="AR450" s="47">
        <f>IF(AP450="","",AP450-($AC$60+$AC$61*Volcanic!C450+$AC$62*Volcanic!D450+$AC$63*Volcanic!E450))</f>
        <v>8.2154167174736004E-2</v>
      </c>
      <c r="AS450" s="47">
        <f>IF(AQ450="","",AQ450-($AD$60+$AD$61*Volcanic!C450+$AD$62*Volcanic!D450+$AD$63*Volcanic!E450))</f>
        <v>7.292513777358034E-2</v>
      </c>
    </row>
    <row r="451" spans="1:45">
      <c r="A451" s="45" t="str">
        <f>Volcanic!A451</f>
        <v>8/1995</v>
      </c>
      <c r="B451" s="43">
        <f>Volcanic!B451</f>
        <v>0.44999999999999751</v>
      </c>
      <c r="C451" s="47">
        <f>Volcanic!C451</f>
        <v>0.35988256195342855</v>
      </c>
      <c r="D451" s="41">
        <v>-0.5</v>
      </c>
      <c r="E451" s="43">
        <f t="shared" si="96"/>
        <v>0</v>
      </c>
      <c r="F451" s="48">
        <v>6.11E-3</v>
      </c>
      <c r="G451" s="47">
        <f t="shared" si="97"/>
        <v>8.5900000000000004E-3</v>
      </c>
      <c r="H451" s="43">
        <f>Volcanic!D451</f>
        <v>0.03</v>
      </c>
      <c r="I451" s="47">
        <f>Volcanic!E451</f>
        <v>1.1270000000000001E-2</v>
      </c>
      <c r="K451" s="47">
        <f t="shared" si="98"/>
        <v>0.35988256195342855</v>
      </c>
      <c r="L451" s="47">
        <f t="shared" si="99"/>
        <v>0</v>
      </c>
      <c r="M451" s="47">
        <f t="shared" si="100"/>
        <v>1.1270000000000001E-2</v>
      </c>
      <c r="O451" s="47">
        <f t="shared" si="101"/>
        <v>0.35988256195342855</v>
      </c>
      <c r="P451" s="47">
        <f t="shared" si="102"/>
        <v>0.03</v>
      </c>
      <c r="Q451" s="47">
        <f t="shared" si="103"/>
        <v>8.5900000000000004E-3</v>
      </c>
      <c r="S451" s="47">
        <f t="shared" si="104"/>
        <v>0.35988256195342855</v>
      </c>
      <c r="T451" s="47">
        <f t="shared" si="105"/>
        <v>0</v>
      </c>
      <c r="U451" s="47">
        <f t="shared" si="106"/>
        <v>8.5900000000000004E-3</v>
      </c>
      <c r="W451" s="47">
        <f t="shared" si="107"/>
        <v>5.3847464581774473E-2</v>
      </c>
      <c r="X451" s="47">
        <f t="shared" si="108"/>
        <v>4.8730440416543175E-2</v>
      </c>
      <c r="Y451" s="47">
        <f t="shared" si="109"/>
        <v>5.1868314288448292E-2</v>
      </c>
      <c r="AP451" s="48">
        <v>0.46210000000000001</v>
      </c>
      <c r="AQ451" s="48">
        <v>0.52270000000000005</v>
      </c>
      <c r="AR451" s="47">
        <f>IF(AP451="","",AP451-($AC$60+$AC$61*Volcanic!C451+$AC$62*Volcanic!D451+$AC$63*Volcanic!E451))</f>
        <v>7.2127221797193664E-2</v>
      </c>
      <c r="AS451" s="47">
        <f>IF(AQ451="","",AQ451-($AD$60+$AD$61*Volcanic!C451+$AD$62*Volcanic!D451+$AD$63*Volcanic!E451))</f>
        <v>0.11555105223668483</v>
      </c>
    </row>
    <row r="452" spans="1:45">
      <c r="A452" s="45" t="str">
        <f>Volcanic!A452</f>
        <v>9/1995</v>
      </c>
      <c r="B452" s="43">
        <f>Volcanic!B452</f>
        <v>0.32999999999999652</v>
      </c>
      <c r="C452" s="47">
        <f>Volcanic!C452</f>
        <v>0.35582174413600615</v>
      </c>
      <c r="D452" s="41">
        <v>-0.8</v>
      </c>
      <c r="E452" s="43">
        <f t="shared" si="96"/>
        <v>-0.1</v>
      </c>
      <c r="F452" s="48">
        <v>5.8900000000000003E-3</v>
      </c>
      <c r="G452" s="47">
        <f t="shared" si="97"/>
        <v>7.8899999999999994E-3</v>
      </c>
      <c r="H452" s="43">
        <f>Volcanic!D452</f>
        <v>-0.11</v>
      </c>
      <c r="I452" s="47">
        <f>Volcanic!E452</f>
        <v>1.0330000000000001E-2</v>
      </c>
      <c r="K452" s="47">
        <f t="shared" si="98"/>
        <v>0.35582174413600615</v>
      </c>
      <c r="L452" s="47">
        <f t="shared" si="99"/>
        <v>-0.1</v>
      </c>
      <c r="M452" s="47">
        <f t="shared" si="100"/>
        <v>1.0330000000000001E-2</v>
      </c>
      <c r="O452" s="47">
        <f t="shared" si="101"/>
        <v>0.35582174413600615</v>
      </c>
      <c r="P452" s="47">
        <f t="shared" si="102"/>
        <v>-0.11</v>
      </c>
      <c r="Q452" s="47">
        <f t="shared" si="103"/>
        <v>7.8899999999999994E-3</v>
      </c>
      <c r="S452" s="47">
        <f t="shared" si="104"/>
        <v>0.35582174413600615</v>
      </c>
      <c r="T452" s="47">
        <f t="shared" si="105"/>
        <v>-0.1</v>
      </c>
      <c r="U452" s="47">
        <f t="shared" si="106"/>
        <v>7.8899999999999994E-3</v>
      </c>
      <c r="W452" s="47">
        <f t="shared" si="107"/>
        <v>-4.786205581561126E-2</v>
      </c>
      <c r="X452" s="47">
        <f t="shared" si="108"/>
        <v>-4.8968679575786489E-2</v>
      </c>
      <c r="Y452" s="47">
        <f t="shared" si="109"/>
        <v>-4.9584146113754113E-2</v>
      </c>
      <c r="AP452" s="48">
        <v>0.34989999999999999</v>
      </c>
      <c r="AQ452" s="48">
        <v>0.39269999999999999</v>
      </c>
      <c r="AR452" s="47">
        <f>IF(AP452="","",AP452-($AC$60+$AC$61*Volcanic!C452+$AC$62*Volcanic!D452+$AC$63*Volcanic!E452))</f>
        <v>-1.8135790296779641E-2</v>
      </c>
      <c r="AS452" s="47">
        <f>IF(AQ452="","",AQ452-($AD$60+$AD$61*Volcanic!C452+$AD$62*Volcanic!D452+$AD$63*Volcanic!E452))</f>
        <v>8.151039228655732E-3</v>
      </c>
    </row>
    <row r="453" spans="1:45">
      <c r="A453" s="45" t="str">
        <f>Volcanic!A453</f>
        <v>10/1995</v>
      </c>
      <c r="B453" s="43">
        <f>Volcanic!B453</f>
        <v>0.46000000000000441</v>
      </c>
      <c r="C453" s="47">
        <f>Volcanic!C453</f>
        <v>0.35509683245126811</v>
      </c>
      <c r="D453" s="41">
        <v>-1</v>
      </c>
      <c r="E453" s="43">
        <f t="shared" ref="E453:E516" si="110">IF(D450="","",D450)</f>
        <v>-0.3</v>
      </c>
      <c r="F453" s="48">
        <v>5.6600000000000001E-3</v>
      </c>
      <c r="G453" s="47">
        <f t="shared" si="97"/>
        <v>7.5700000000000003E-3</v>
      </c>
      <c r="H453" s="43">
        <f>Volcanic!D453</f>
        <v>-0.3</v>
      </c>
      <c r="I453" s="47">
        <f>Volcanic!E453</f>
        <v>9.8200000000000006E-3</v>
      </c>
      <c r="K453" s="47">
        <f t="shared" si="98"/>
        <v>0.35509683245126811</v>
      </c>
      <c r="L453" s="47">
        <f t="shared" si="99"/>
        <v>-0.3</v>
      </c>
      <c r="M453" s="47">
        <f t="shared" si="100"/>
        <v>9.8200000000000006E-3</v>
      </c>
      <c r="O453" s="47">
        <f t="shared" si="101"/>
        <v>0.35509683245126811</v>
      </c>
      <c r="P453" s="47">
        <f t="shared" si="102"/>
        <v>-0.3</v>
      </c>
      <c r="Q453" s="47">
        <f t="shared" si="103"/>
        <v>7.5700000000000003E-3</v>
      </c>
      <c r="S453" s="47">
        <f t="shared" si="104"/>
        <v>0.35509683245126811</v>
      </c>
      <c r="T453" s="47">
        <f t="shared" si="105"/>
        <v>-0.3</v>
      </c>
      <c r="U453" s="47">
        <f t="shared" si="106"/>
        <v>7.5700000000000003E-3</v>
      </c>
      <c r="W453" s="47">
        <f t="shared" si="107"/>
        <v>0.10156575268474638</v>
      </c>
      <c r="X453" s="47">
        <f t="shared" si="108"/>
        <v>0.10000297047499845</v>
      </c>
      <c r="Y453" s="47">
        <f t="shared" si="109"/>
        <v>0.10034064773876328</v>
      </c>
      <c r="AP453" s="48">
        <v>0.45150000000000001</v>
      </c>
      <c r="AQ453" s="48">
        <v>0.49569999999999997</v>
      </c>
      <c r="AR453" s="47">
        <f>IF(AP453="","",AP453-($AC$60+$AC$61*Volcanic!C453+$AC$62*Volcanic!D453+$AC$63*Volcanic!E453))</f>
        <v>0.10200906650238867</v>
      </c>
      <c r="AS453" s="47">
        <f>IF(AQ453="","",AQ453-($AD$60+$AD$61*Volcanic!C453+$AD$62*Volcanic!D453+$AD$63*Volcanic!E453))</f>
        <v>0.13017058035125978</v>
      </c>
    </row>
    <row r="454" spans="1:45">
      <c r="A454" s="45" t="str">
        <f>Volcanic!A454</f>
        <v>11/1995</v>
      </c>
      <c r="B454" s="43">
        <f>Volcanic!B454</f>
        <v>0.44999999999999751</v>
      </c>
      <c r="C454" s="47">
        <f>Volcanic!C454</f>
        <v>0.36100631256369653</v>
      </c>
      <c r="D454" s="41">
        <v>-1</v>
      </c>
      <c r="E454" s="43">
        <f t="shared" si="110"/>
        <v>-0.5</v>
      </c>
      <c r="F454" s="48">
        <v>5.3299999999999997E-3</v>
      </c>
      <c r="G454" s="47">
        <f t="shared" si="97"/>
        <v>7.1799999999999998E-3</v>
      </c>
      <c r="H454" s="43">
        <f>Volcanic!D454</f>
        <v>-0.55000000000000004</v>
      </c>
      <c r="I454" s="47">
        <f>Volcanic!E454</f>
        <v>9.3399999999999993E-3</v>
      </c>
      <c r="K454" s="47">
        <f t="shared" si="98"/>
        <v>0.36100631256369653</v>
      </c>
      <c r="L454" s="47">
        <f t="shared" si="99"/>
        <v>-0.5</v>
      </c>
      <c r="M454" s="47">
        <f t="shared" si="100"/>
        <v>9.3399999999999993E-3</v>
      </c>
      <c r="O454" s="47">
        <f t="shared" si="101"/>
        <v>0.36100631256369653</v>
      </c>
      <c r="P454" s="47">
        <f t="shared" si="102"/>
        <v>-0.55000000000000004</v>
      </c>
      <c r="Q454" s="47">
        <f t="shared" si="103"/>
        <v>7.1799999999999998E-3</v>
      </c>
      <c r="S454" s="47">
        <f t="shared" si="104"/>
        <v>0.36100631256369653</v>
      </c>
      <c r="T454" s="47">
        <f t="shared" si="105"/>
        <v>-0.5</v>
      </c>
      <c r="U454" s="47">
        <f t="shared" si="106"/>
        <v>7.1799999999999998E-3</v>
      </c>
      <c r="W454" s="47">
        <f t="shared" si="107"/>
        <v>9.2966681514636162E-2</v>
      </c>
      <c r="X454" s="47">
        <f t="shared" si="108"/>
        <v>9.6491298091549549E-2</v>
      </c>
      <c r="Y454" s="47">
        <f t="shared" si="109"/>
        <v>9.2147740775073983E-2</v>
      </c>
      <c r="AP454" s="48">
        <v>0.4425</v>
      </c>
      <c r="AQ454" s="48">
        <v>0.44369999999999998</v>
      </c>
      <c r="AR454" s="47">
        <f>IF(AP454="","",AP454-($AC$60+$AC$61*Volcanic!C454+$AC$62*Volcanic!D454+$AC$63*Volcanic!E454))</f>
        <v>9.9128891438761746E-2</v>
      </c>
      <c r="AS454" s="47">
        <f>IF(AQ454="","",AQ454-($AD$60+$AD$61*Volcanic!C454+$AD$62*Volcanic!D454+$AD$63*Volcanic!E454))</f>
        <v>8.4410471859718395E-2</v>
      </c>
    </row>
    <row r="455" spans="1:45">
      <c r="A455" s="45" t="str">
        <f>Volcanic!A455</f>
        <v>12/1995</v>
      </c>
      <c r="B455" s="43">
        <f>Volcanic!B455</f>
        <v>0.25999999999999979</v>
      </c>
      <c r="C455" s="47">
        <f>Volcanic!C455</f>
        <v>0.36585248121553354</v>
      </c>
      <c r="D455" s="41">
        <v>-1</v>
      </c>
      <c r="E455" s="43">
        <f t="shared" si="110"/>
        <v>-0.8</v>
      </c>
      <c r="F455" s="48">
        <v>5.0699999999999999E-3</v>
      </c>
      <c r="G455" s="47">
        <f t="shared" si="97"/>
        <v>6.8599999999999998E-3</v>
      </c>
      <c r="H455" s="43">
        <f>Volcanic!D455</f>
        <v>-0.81</v>
      </c>
      <c r="I455" s="47">
        <f>Volcanic!E455</f>
        <v>8.7799999999999996E-3</v>
      </c>
      <c r="K455" s="47">
        <f t="shared" si="98"/>
        <v>0.36585248121553354</v>
      </c>
      <c r="L455" s="47">
        <f t="shared" si="99"/>
        <v>-0.8</v>
      </c>
      <c r="M455" s="47">
        <f t="shared" si="100"/>
        <v>8.7799999999999996E-3</v>
      </c>
      <c r="O455" s="47">
        <f t="shared" si="101"/>
        <v>0.36585248121553354</v>
      </c>
      <c r="P455" s="47">
        <f t="shared" si="102"/>
        <v>-0.81</v>
      </c>
      <c r="Q455" s="47">
        <f t="shared" si="103"/>
        <v>6.8599999999999998E-3</v>
      </c>
      <c r="S455" s="47">
        <f t="shared" si="104"/>
        <v>0.36585248121553354</v>
      </c>
      <c r="T455" s="47">
        <f t="shared" si="105"/>
        <v>-0.8</v>
      </c>
      <c r="U455" s="47">
        <f t="shared" si="106"/>
        <v>6.8599999999999998E-3</v>
      </c>
      <c r="W455" s="47">
        <f t="shared" si="107"/>
        <v>-8.3621529721483512E-2</v>
      </c>
      <c r="X455" s="47">
        <f t="shared" si="108"/>
        <v>-8.3023373508135878E-2</v>
      </c>
      <c r="Y455" s="47">
        <f t="shared" si="109"/>
        <v>-8.3586521117065715E-2</v>
      </c>
      <c r="AP455" s="48">
        <v>0.24229999999999999</v>
      </c>
      <c r="AQ455" s="48">
        <v>0.33069999999999999</v>
      </c>
      <c r="AR455" s="47">
        <f>IF(AP455="","",AP455-($AC$60+$AC$61*Volcanic!C455+$AC$62*Volcanic!D455+$AC$63*Volcanic!E455))</f>
        <v>-9.1303841754106801E-2</v>
      </c>
      <c r="AS455" s="47">
        <f>IF(AQ455="","",AQ455-($AD$60+$AD$61*Volcanic!C455+$AD$62*Volcanic!D455+$AD$63*Volcanic!E455))</f>
        <v>-1.859900040698198E-2</v>
      </c>
    </row>
    <row r="456" spans="1:45">
      <c r="A456" s="45" t="str">
        <f>Volcanic!A456</f>
        <v>1/1996</v>
      </c>
      <c r="B456" s="43">
        <f>Volcanic!B456</f>
        <v>0.24000000000000199</v>
      </c>
      <c r="C456" s="47">
        <f>Volcanic!C456</f>
        <v>0.37135971911783916</v>
      </c>
      <c r="D456" s="41">
        <v>-0.9</v>
      </c>
      <c r="E456" s="43">
        <f t="shared" si="110"/>
        <v>-1</v>
      </c>
      <c r="F456" s="48">
        <v>4.8199999999999996E-3</v>
      </c>
      <c r="G456" s="47">
        <f t="shared" si="97"/>
        <v>6.5300000000000002E-3</v>
      </c>
      <c r="H456" s="43">
        <f>Volcanic!D456</f>
        <v>-0.97</v>
      </c>
      <c r="I456" s="47">
        <f>Volcanic!E456</f>
        <v>8.4200000000000004E-3</v>
      </c>
      <c r="K456" s="47">
        <f t="shared" si="98"/>
        <v>0.37135971911783916</v>
      </c>
      <c r="L456" s="47">
        <f t="shared" si="99"/>
        <v>-1</v>
      </c>
      <c r="M456" s="47">
        <f t="shared" si="100"/>
        <v>8.4200000000000004E-3</v>
      </c>
      <c r="O456" s="47">
        <f t="shared" si="101"/>
        <v>0.37135971911783916</v>
      </c>
      <c r="P456" s="47">
        <f t="shared" si="102"/>
        <v>-0.97</v>
      </c>
      <c r="Q456" s="47">
        <f t="shared" si="103"/>
        <v>6.5300000000000002E-3</v>
      </c>
      <c r="S456" s="47">
        <f t="shared" si="104"/>
        <v>0.37135971911783916</v>
      </c>
      <c r="T456" s="47">
        <f t="shared" si="105"/>
        <v>-1</v>
      </c>
      <c r="U456" s="47">
        <f t="shared" si="106"/>
        <v>6.5300000000000002E-3</v>
      </c>
      <c r="W456" s="47">
        <f t="shared" si="107"/>
        <v>-0.10085920281264649</v>
      </c>
      <c r="X456" s="47">
        <f t="shared" si="108"/>
        <v>-0.10374504380167282</v>
      </c>
      <c r="Y456" s="47">
        <f t="shared" si="109"/>
        <v>-0.10053510627878337</v>
      </c>
      <c r="AP456" s="48">
        <v>0.2848</v>
      </c>
      <c r="AQ456" s="48">
        <v>0.32469999999999999</v>
      </c>
      <c r="AR456" s="47">
        <f>IF(AP456="","",AP456-($AC$60+$AC$61*Volcanic!C456+$AC$62*Volcanic!D456+$AC$63*Volcanic!E456))</f>
        <v>-4.9724966057396291E-2</v>
      </c>
      <c r="AS456" s="47">
        <f>IF(AQ456="","",AQ456-($AD$60+$AD$61*Volcanic!C456+$AD$62*Volcanic!D456+$AD$63*Volcanic!E456))</f>
        <v>-2.5558418598966293E-2</v>
      </c>
    </row>
    <row r="457" spans="1:45">
      <c r="A457" s="45" t="str">
        <f>Volcanic!A457</f>
        <v>2/1996</v>
      </c>
      <c r="B457" s="43">
        <f>Volcanic!B457</f>
        <v>0.46000000000000441</v>
      </c>
      <c r="C457" s="47">
        <f>Volcanic!C457</f>
        <v>0.37597278398719675</v>
      </c>
      <c r="D457" s="41">
        <v>-0.7</v>
      </c>
      <c r="E457" s="43">
        <f t="shared" si="110"/>
        <v>-1</v>
      </c>
      <c r="F457" s="48">
        <v>4.5900000000000003E-3</v>
      </c>
      <c r="G457" s="47">
        <f t="shared" ref="G457:G520" si="111">IF(F450="","",F450)</f>
        <v>6.2899999999999996E-3</v>
      </c>
      <c r="H457" s="43">
        <f>Volcanic!D457</f>
        <v>-1.05</v>
      </c>
      <c r="I457" s="47">
        <f>Volcanic!E457</f>
        <v>8.3599999999999994E-3</v>
      </c>
      <c r="K457" s="47">
        <f t="shared" si="98"/>
        <v>0.37597278398719675</v>
      </c>
      <c r="L457" s="47">
        <f t="shared" si="99"/>
        <v>-1</v>
      </c>
      <c r="M457" s="47">
        <f t="shared" si="100"/>
        <v>8.3599999999999994E-3</v>
      </c>
      <c r="O457" s="47">
        <f t="shared" si="101"/>
        <v>0.37597278398719675</v>
      </c>
      <c r="P457" s="47">
        <f t="shared" si="102"/>
        <v>-1.05</v>
      </c>
      <c r="Q457" s="47">
        <f t="shared" si="103"/>
        <v>6.2899999999999996E-3</v>
      </c>
      <c r="S457" s="47">
        <f t="shared" si="104"/>
        <v>0.37597278398719675</v>
      </c>
      <c r="T457" s="47">
        <f t="shared" si="105"/>
        <v>-1</v>
      </c>
      <c r="U457" s="47">
        <f t="shared" si="106"/>
        <v>6.2899999999999996E-3</v>
      </c>
      <c r="W457" s="47">
        <f t="shared" si="107"/>
        <v>0.10642806316300829</v>
      </c>
      <c r="X457" s="47">
        <f t="shared" si="108"/>
        <v>0.11067100612805109</v>
      </c>
      <c r="Y457" s="47">
        <f t="shared" si="109"/>
        <v>0.10636670569064888</v>
      </c>
      <c r="AP457" s="48">
        <v>0.5292</v>
      </c>
      <c r="AQ457" s="48">
        <v>0.57369999999999999</v>
      </c>
      <c r="AR457" s="47">
        <f>IF(AP457="","",AP457-($AC$60+$AC$61*Volcanic!C457+$AC$62*Volcanic!D457+$AC$63*Volcanic!E457))</f>
        <v>0.18942579774925433</v>
      </c>
      <c r="AS457" s="47">
        <f>IF(AQ457="","",AQ457-($AD$60+$AD$61*Volcanic!C457+$AD$62*Volcanic!D457+$AD$63*Volcanic!E457))</f>
        <v>0.21802860636116927</v>
      </c>
    </row>
    <row r="458" spans="1:45">
      <c r="A458" s="45" t="str">
        <f>Volcanic!A458</f>
        <v>3/1996</v>
      </c>
      <c r="B458" s="43">
        <f>Volcanic!B458</f>
        <v>0.32999999999999652</v>
      </c>
      <c r="C458" s="47">
        <f>Volcanic!C458</f>
        <v>0.37962096205570828</v>
      </c>
      <c r="D458" s="41">
        <v>-0.5</v>
      </c>
      <c r="E458" s="43">
        <f t="shared" si="110"/>
        <v>-1</v>
      </c>
      <c r="F458" s="48">
        <v>4.4400000000000004E-3</v>
      </c>
      <c r="G458" s="47">
        <f t="shared" si="111"/>
        <v>6.11E-3</v>
      </c>
      <c r="H458" s="43">
        <f>Volcanic!D458</f>
        <v>-1.01</v>
      </c>
      <c r="I458" s="47">
        <f>Volcanic!E458</f>
        <v>7.9799999999999992E-3</v>
      </c>
      <c r="K458" s="47">
        <f t="shared" si="98"/>
        <v>0.37962096205570828</v>
      </c>
      <c r="L458" s="47">
        <f t="shared" si="99"/>
        <v>-1</v>
      </c>
      <c r="M458" s="47">
        <f t="shared" si="100"/>
        <v>7.9799999999999992E-3</v>
      </c>
      <c r="O458" s="47">
        <f t="shared" si="101"/>
        <v>0.37962096205570828</v>
      </c>
      <c r="P458" s="47">
        <f t="shared" si="102"/>
        <v>-1.01</v>
      </c>
      <c r="Q458" s="47">
        <f t="shared" si="103"/>
        <v>6.11E-3</v>
      </c>
      <c r="S458" s="47">
        <f t="shared" si="104"/>
        <v>0.37962096205570828</v>
      </c>
      <c r="T458" s="47">
        <f t="shared" si="105"/>
        <v>-1</v>
      </c>
      <c r="U458" s="47">
        <f t="shared" si="106"/>
        <v>6.11E-3</v>
      </c>
      <c r="W458" s="47">
        <f t="shared" si="107"/>
        <v>-3.4358407273932468E-2</v>
      </c>
      <c r="X458" s="47">
        <f t="shared" si="108"/>
        <v>-3.3419873396840771E-2</v>
      </c>
      <c r="Y458" s="47">
        <f t="shared" si="109"/>
        <v>-3.3966176895700029E-2</v>
      </c>
      <c r="AP458" s="48">
        <v>0.35260000000000002</v>
      </c>
      <c r="AQ458" s="48">
        <v>0.43369999999999997</v>
      </c>
      <c r="AR458" s="47">
        <f>IF(AP458="","",AP458-($AC$60+$AC$61*Volcanic!C458+$AC$62*Volcanic!D458+$AC$63*Volcanic!E458))</f>
        <v>-1.7961069703226751E-3</v>
      </c>
      <c r="AS458" s="47">
        <f>IF(AQ458="","",AQ458-($AD$60+$AD$61*Volcanic!C458+$AD$62*Volcanic!D458+$AD$63*Volcanic!E458))</f>
        <v>6.3117542298068596E-2</v>
      </c>
    </row>
    <row r="459" spans="1:45">
      <c r="A459" s="45" t="str">
        <f>Volcanic!A459</f>
        <v>4/1996</v>
      </c>
      <c r="B459" s="43">
        <f>Volcanic!B459</f>
        <v>0.32999999999999652</v>
      </c>
      <c r="C459" s="47">
        <f>Volcanic!C459</f>
        <v>0.3812438135561429</v>
      </c>
      <c r="D459" s="41">
        <v>-0.4</v>
      </c>
      <c r="E459" s="43">
        <f t="shared" si="110"/>
        <v>-0.9</v>
      </c>
      <c r="F459" s="48">
        <v>4.28E-3</v>
      </c>
      <c r="G459" s="47">
        <f t="shared" si="111"/>
        <v>5.8900000000000003E-3</v>
      </c>
      <c r="H459" s="43">
        <f>Volcanic!D459</f>
        <v>-0.88</v>
      </c>
      <c r="I459" s="47">
        <f>Volcanic!E459</f>
        <v>7.6600000000000001E-3</v>
      </c>
      <c r="K459" s="47">
        <f t="shared" si="98"/>
        <v>0.3812438135561429</v>
      </c>
      <c r="L459" s="47">
        <f t="shared" si="99"/>
        <v>-0.9</v>
      </c>
      <c r="M459" s="47">
        <f t="shared" si="100"/>
        <v>7.6600000000000001E-3</v>
      </c>
      <c r="O459" s="47">
        <f t="shared" si="101"/>
        <v>0.3812438135561429</v>
      </c>
      <c r="P459" s="47">
        <f t="shared" si="102"/>
        <v>-0.88</v>
      </c>
      <c r="Q459" s="47">
        <f t="shared" si="103"/>
        <v>5.8900000000000003E-3</v>
      </c>
      <c r="S459" s="47">
        <f t="shared" si="104"/>
        <v>0.3812438135561429</v>
      </c>
      <c r="T459" s="47">
        <f t="shared" si="105"/>
        <v>-0.9</v>
      </c>
      <c r="U459" s="47">
        <f t="shared" si="106"/>
        <v>5.8900000000000003E-3</v>
      </c>
      <c r="W459" s="47">
        <f t="shared" si="107"/>
        <v>-4.8776627161697061E-2</v>
      </c>
      <c r="X459" s="47">
        <f t="shared" si="108"/>
        <v>-5.0593889644700518E-2</v>
      </c>
      <c r="Y459" s="47">
        <f t="shared" si="109"/>
        <v>-4.8329788332126422E-2</v>
      </c>
      <c r="AP459" s="48">
        <v>0.31790000000000002</v>
      </c>
      <c r="AQ459" s="48">
        <v>0.44969999999999999</v>
      </c>
      <c r="AR459" s="47">
        <f>IF(AP459="","",AP459-($AC$60+$AC$61*Volcanic!C459+$AC$62*Volcanic!D459+$AC$63*Volcanic!E459))</f>
        <v>-5.3871325660577229E-2</v>
      </c>
      <c r="AS459" s="47">
        <f>IF(AQ459="","",AQ459-($AD$60+$AD$61*Volcanic!C459+$AD$62*Volcanic!D459+$AD$63*Volcanic!E459))</f>
        <v>6.1415832443841967E-2</v>
      </c>
    </row>
    <row r="460" spans="1:45">
      <c r="A460" s="45" t="str">
        <f>Volcanic!A460</f>
        <v>5/1996</v>
      </c>
      <c r="B460" s="43">
        <f>Volcanic!B460</f>
        <v>0.27000000000000135</v>
      </c>
      <c r="C460" s="47">
        <f>Volcanic!C460</f>
        <v>0.38345744585853175</v>
      </c>
      <c r="D460" s="41">
        <v>-0.2</v>
      </c>
      <c r="E460" s="43">
        <f t="shared" si="110"/>
        <v>-0.7</v>
      </c>
      <c r="F460" s="48">
        <v>4.2300000000000003E-3</v>
      </c>
      <c r="G460" s="47">
        <f t="shared" si="111"/>
        <v>5.6600000000000001E-3</v>
      </c>
      <c r="H460" s="43">
        <f>Volcanic!D460</f>
        <v>-0.7</v>
      </c>
      <c r="I460" s="47">
        <f>Volcanic!E460</f>
        <v>7.3899999999999999E-3</v>
      </c>
      <c r="K460" s="47">
        <f t="shared" si="98"/>
        <v>0.38345744585853175</v>
      </c>
      <c r="L460" s="47">
        <f t="shared" si="99"/>
        <v>-0.7</v>
      </c>
      <c r="M460" s="47">
        <f t="shared" si="100"/>
        <v>7.3899999999999999E-3</v>
      </c>
      <c r="O460" s="47">
        <f t="shared" si="101"/>
        <v>0.38345744585853175</v>
      </c>
      <c r="P460" s="47">
        <f t="shared" si="102"/>
        <v>-0.7</v>
      </c>
      <c r="Q460" s="47">
        <f t="shared" si="103"/>
        <v>5.6600000000000001E-3</v>
      </c>
      <c r="S460" s="47">
        <f t="shared" si="104"/>
        <v>0.38345744585853175</v>
      </c>
      <c r="T460" s="47">
        <f t="shared" si="105"/>
        <v>-0.7</v>
      </c>
      <c r="U460" s="47">
        <f t="shared" si="106"/>
        <v>5.6600000000000001E-3</v>
      </c>
      <c r="W460" s="47">
        <f t="shared" si="107"/>
        <v>-0.13398315047565229</v>
      </c>
      <c r="X460" s="47">
        <f t="shared" si="108"/>
        <v>-0.13408806503867987</v>
      </c>
      <c r="Y460" s="47">
        <f t="shared" si="109"/>
        <v>-0.13371771395922721</v>
      </c>
      <c r="AP460" s="48">
        <v>0.30890000000000001</v>
      </c>
      <c r="AQ460" s="48">
        <v>0.31569999999999998</v>
      </c>
      <c r="AR460" s="47">
        <f>IF(AP460="","",AP460-($AC$60+$AC$61*Volcanic!C460+$AC$62*Volcanic!D460+$AC$63*Volcanic!E460))</f>
        <v>-8.6421680236873466E-2</v>
      </c>
      <c r="AS460" s="47">
        <f>IF(AQ460="","",AQ460-($AD$60+$AD$61*Volcanic!C460+$AD$62*Volcanic!D460+$AD$63*Volcanic!E460))</f>
        <v>-9.6604289805534926E-2</v>
      </c>
    </row>
    <row r="461" spans="1:45">
      <c r="A461" s="45" t="str">
        <f>Volcanic!A461</f>
        <v>6/1996</v>
      </c>
      <c r="B461" s="43">
        <f>Volcanic!B461</f>
        <v>0.25999999999999979</v>
      </c>
      <c r="C461" s="47">
        <f>Volcanic!C461</f>
        <v>0.38270677268151582</v>
      </c>
      <c r="D461" s="41">
        <v>-0.2</v>
      </c>
      <c r="E461" s="43">
        <f t="shared" si="110"/>
        <v>-0.5</v>
      </c>
      <c r="F461" s="48">
        <v>4.1799999999999997E-3</v>
      </c>
      <c r="G461" s="47">
        <f t="shared" si="111"/>
        <v>5.3299999999999997E-3</v>
      </c>
      <c r="H461" s="43">
        <f>Volcanic!D461</f>
        <v>-0.52</v>
      </c>
      <c r="I461" s="47">
        <f>Volcanic!E461</f>
        <v>7.1799999999999998E-3</v>
      </c>
      <c r="K461" s="47">
        <f t="shared" si="98"/>
        <v>0.38270677268151582</v>
      </c>
      <c r="L461" s="47">
        <f t="shared" si="99"/>
        <v>-0.5</v>
      </c>
      <c r="M461" s="47">
        <f t="shared" si="100"/>
        <v>7.1799999999999998E-3</v>
      </c>
      <c r="O461" s="47">
        <f t="shared" si="101"/>
        <v>0.38270677268151582</v>
      </c>
      <c r="P461" s="47">
        <f t="shared" si="102"/>
        <v>-0.52</v>
      </c>
      <c r="Q461" s="47">
        <f t="shared" si="103"/>
        <v>5.3299999999999997E-3</v>
      </c>
      <c r="S461" s="47">
        <f t="shared" si="104"/>
        <v>0.38270677268151582</v>
      </c>
      <c r="T461" s="47">
        <f t="shared" si="105"/>
        <v>-0.5</v>
      </c>
      <c r="U461" s="47">
        <f t="shared" si="106"/>
        <v>5.3299999999999997E-3</v>
      </c>
      <c r="W461" s="47">
        <f t="shared" si="107"/>
        <v>-0.16097335488780229</v>
      </c>
      <c r="X461" s="47">
        <f t="shared" si="108"/>
        <v>-0.15982928229729931</v>
      </c>
      <c r="Y461" s="47">
        <f t="shared" si="109"/>
        <v>-0.16135388705642828</v>
      </c>
      <c r="AP461" s="48">
        <v>0.28849999999999998</v>
      </c>
      <c r="AQ461" s="48">
        <v>0.26269999999999999</v>
      </c>
      <c r="AR461" s="47">
        <f>IF(AP461="","",AP461-($AC$60+$AC$61*Volcanic!C461+$AC$62*Volcanic!D461+$AC$63*Volcanic!E461))</f>
        <v>-0.12213330625954189</v>
      </c>
      <c r="AS461" s="47">
        <f>IF(AQ461="","",AQ461-($AD$60+$AD$61*Volcanic!C461+$AD$62*Volcanic!D461+$AD$63*Volcanic!E461))</f>
        <v>-0.16518428888042092</v>
      </c>
    </row>
    <row r="462" spans="1:45">
      <c r="A462" s="45" t="str">
        <f>Volcanic!A462</f>
        <v>7/1996</v>
      </c>
      <c r="B462" s="43">
        <f>Volcanic!B462</f>
        <v>0.36999999999999744</v>
      </c>
      <c r="C462" s="47">
        <f>Volcanic!C462</f>
        <v>0.37728243090608043</v>
      </c>
      <c r="D462" s="41">
        <v>-0.2</v>
      </c>
      <c r="E462" s="43">
        <f t="shared" si="110"/>
        <v>-0.4</v>
      </c>
      <c r="F462" s="48">
        <v>4.1000000000000003E-3</v>
      </c>
      <c r="G462" s="47">
        <f t="shared" si="111"/>
        <v>5.0699999999999999E-3</v>
      </c>
      <c r="H462" s="43">
        <f>Volcanic!D462</f>
        <v>-0.36</v>
      </c>
      <c r="I462" s="47">
        <f>Volcanic!E462</f>
        <v>6.8399999999999997E-3</v>
      </c>
      <c r="K462" s="47">
        <f t="shared" si="98"/>
        <v>0.37728243090608043</v>
      </c>
      <c r="L462" s="47">
        <f t="shared" si="99"/>
        <v>-0.4</v>
      </c>
      <c r="M462" s="47">
        <f t="shared" si="100"/>
        <v>6.8399999999999997E-3</v>
      </c>
      <c r="O462" s="47">
        <f t="shared" si="101"/>
        <v>0.37728243090608043</v>
      </c>
      <c r="P462" s="47">
        <f t="shared" si="102"/>
        <v>-0.36</v>
      </c>
      <c r="Q462" s="47">
        <f t="shared" si="103"/>
        <v>5.0699999999999999E-3</v>
      </c>
      <c r="S462" s="47">
        <f t="shared" si="104"/>
        <v>0.37728243090608043</v>
      </c>
      <c r="T462" s="47">
        <f t="shared" si="105"/>
        <v>-0.4</v>
      </c>
      <c r="U462" s="47">
        <f t="shared" si="106"/>
        <v>5.0699999999999999E-3</v>
      </c>
      <c r="W462" s="47">
        <f t="shared" si="107"/>
        <v>-4.6216888063785877E-2</v>
      </c>
      <c r="X462" s="47">
        <f t="shared" si="108"/>
        <v>-5.0873252028354354E-2</v>
      </c>
      <c r="Y462" s="47">
        <f t="shared" si="109"/>
        <v>-4.6771623128313122E-2</v>
      </c>
      <c r="AP462" s="48">
        <v>0.39779999999999999</v>
      </c>
      <c r="AQ462" s="48">
        <v>0.34670000000000001</v>
      </c>
      <c r="AR462" s="47">
        <f>IF(AP462="","",AP462-($AC$60+$AC$61*Volcanic!C462+$AC$62*Volcanic!D462+$AC$63*Volcanic!E462))</f>
        <v>-1.3822878988851373E-2</v>
      </c>
      <c r="AS462" s="47">
        <f>IF(AQ462="","",AQ462-($AD$60+$AD$61*Volcanic!C462+$AD$62*Volcanic!D462+$AD$63*Volcanic!E462))</f>
        <v>-8.2060302976006694E-2</v>
      </c>
    </row>
    <row r="463" spans="1:45">
      <c r="A463" s="45" t="str">
        <f>Volcanic!A463</f>
        <v>8/1996</v>
      </c>
      <c r="B463" s="43">
        <f>Volcanic!B463</f>
        <v>0.47999999999999865</v>
      </c>
      <c r="C463" s="47">
        <f>Volcanic!C463</f>
        <v>0.36876834909033485</v>
      </c>
      <c r="D463" s="41">
        <v>-0.3</v>
      </c>
      <c r="E463" s="43">
        <f t="shared" si="110"/>
        <v>-0.2</v>
      </c>
      <c r="F463" s="48">
        <v>4.0600000000000002E-3</v>
      </c>
      <c r="G463" s="47">
        <f t="shared" si="111"/>
        <v>4.8199999999999996E-3</v>
      </c>
      <c r="H463" s="43">
        <f>Volcanic!D463</f>
        <v>-0.25</v>
      </c>
      <c r="I463" s="47">
        <f>Volcanic!E463</f>
        <v>6.45E-3</v>
      </c>
      <c r="K463" s="47">
        <f t="shared" si="98"/>
        <v>0.36876834909033485</v>
      </c>
      <c r="L463" s="47">
        <f t="shared" si="99"/>
        <v>-0.2</v>
      </c>
      <c r="M463" s="47">
        <f t="shared" si="100"/>
        <v>6.45E-3</v>
      </c>
      <c r="O463" s="47">
        <f t="shared" si="101"/>
        <v>0.36876834909033485</v>
      </c>
      <c r="P463" s="47">
        <f t="shared" si="102"/>
        <v>-0.25</v>
      </c>
      <c r="Q463" s="47">
        <f t="shared" si="103"/>
        <v>4.8199999999999996E-3</v>
      </c>
      <c r="S463" s="47">
        <f t="shared" si="104"/>
        <v>0.36876834909033485</v>
      </c>
      <c r="T463" s="47">
        <f t="shared" si="105"/>
        <v>-0.2</v>
      </c>
      <c r="U463" s="47">
        <f t="shared" si="106"/>
        <v>4.8199999999999996E-3</v>
      </c>
      <c r="W463" s="47">
        <f t="shared" si="107"/>
        <v>6.7568257371929508E-2</v>
      </c>
      <c r="X463" s="47">
        <f t="shared" si="108"/>
        <v>7.1159070527681056E-2</v>
      </c>
      <c r="Y463" s="47">
        <f t="shared" si="109"/>
        <v>6.6788107114875428E-2</v>
      </c>
      <c r="AP463" s="48">
        <v>0.42649999999999999</v>
      </c>
      <c r="AQ463" s="48">
        <v>0.50870000000000004</v>
      </c>
      <c r="AR463" s="47">
        <f>IF(AP463="","",AP463-($AC$60+$AC$61*Volcanic!C463+$AC$62*Volcanic!D463+$AC$63*Volcanic!E463))</f>
        <v>2.6886362492012095E-2</v>
      </c>
      <c r="AS463" s="47">
        <f>IF(AQ463="","",AQ463-($AD$60+$AD$61*Volcanic!C463+$AD$62*Volcanic!D463+$AD$63*Volcanic!E463))</f>
        <v>9.2381412216851422E-2</v>
      </c>
    </row>
    <row r="464" spans="1:45">
      <c r="A464" s="45" t="str">
        <f>Volcanic!A464</f>
        <v>9/1996</v>
      </c>
      <c r="B464" s="43">
        <f>Volcanic!B464</f>
        <v>0.25999999999999979</v>
      </c>
      <c r="C464" s="47">
        <f>Volcanic!C464</f>
        <v>0.36132722345969809</v>
      </c>
      <c r="D464" s="41">
        <v>-0.3</v>
      </c>
      <c r="E464" s="43">
        <f t="shared" si="110"/>
        <v>-0.2</v>
      </c>
      <c r="F464" s="48">
        <v>4.0499999999999998E-3</v>
      </c>
      <c r="G464" s="47">
        <f t="shared" si="111"/>
        <v>4.5900000000000003E-3</v>
      </c>
      <c r="H464" s="43">
        <f>Volcanic!D464</f>
        <v>-0.24</v>
      </c>
      <c r="I464" s="47">
        <f>Volcanic!E464</f>
        <v>6.0600000000000003E-3</v>
      </c>
      <c r="K464" s="47">
        <f t="shared" si="98"/>
        <v>0.36132722345969809</v>
      </c>
      <c r="L464" s="47">
        <f t="shared" si="99"/>
        <v>-0.2</v>
      </c>
      <c r="M464" s="47">
        <f t="shared" si="100"/>
        <v>6.0600000000000003E-3</v>
      </c>
      <c r="O464" s="47">
        <f t="shared" si="101"/>
        <v>0.36132722345969809</v>
      </c>
      <c r="P464" s="47">
        <f t="shared" si="102"/>
        <v>-0.24</v>
      </c>
      <c r="Q464" s="47">
        <f t="shared" si="103"/>
        <v>4.5900000000000003E-3</v>
      </c>
      <c r="S464" s="47">
        <f t="shared" si="104"/>
        <v>0.36132722345969809</v>
      </c>
      <c r="T464" s="47">
        <f t="shared" si="105"/>
        <v>-0.2</v>
      </c>
      <c r="U464" s="47">
        <f t="shared" si="106"/>
        <v>4.5900000000000003E-3</v>
      </c>
      <c r="W464" s="47">
        <f t="shared" si="107"/>
        <v>-0.13299804732761689</v>
      </c>
      <c r="X464" s="47">
        <f t="shared" si="108"/>
        <v>-0.13026355505234644</v>
      </c>
      <c r="Y464" s="47">
        <f t="shared" si="109"/>
        <v>-0.13369811818590477</v>
      </c>
      <c r="AP464" s="48">
        <v>0.27610000000000001</v>
      </c>
      <c r="AQ464" s="48">
        <v>0.2787</v>
      </c>
      <c r="AR464" s="47">
        <f>IF(AP464="","",AP464-($AC$60+$AC$61*Volcanic!C464+$AC$62*Volcanic!D464+$AC$63*Volcanic!E464))</f>
        <v>-0.10506970875074917</v>
      </c>
      <c r="AS464" s="47">
        <f>IF(AQ464="","",AQ464-($AD$60+$AD$61*Volcanic!C464+$AD$62*Volcanic!D464+$AD$63*Volcanic!E464))</f>
        <v>-0.1186256748130366</v>
      </c>
    </row>
    <row r="465" spans="1:45">
      <c r="A465" s="45" t="str">
        <f>Volcanic!A465</f>
        <v>10/1996</v>
      </c>
      <c r="B465" s="43">
        <f>Volcanic!B465</f>
        <v>0.22000000000000242</v>
      </c>
      <c r="C465" s="47">
        <f>Volcanic!C465</f>
        <v>0.36144754664467421</v>
      </c>
      <c r="D465" s="41">
        <v>-0.3</v>
      </c>
      <c r="E465" s="43">
        <f t="shared" si="110"/>
        <v>-0.2</v>
      </c>
      <c r="F465" s="48">
        <v>3.96E-3</v>
      </c>
      <c r="G465" s="47">
        <f t="shared" si="111"/>
        <v>4.4400000000000004E-3</v>
      </c>
      <c r="H465" s="43">
        <f>Volcanic!D465</f>
        <v>-0.22</v>
      </c>
      <c r="I465" s="47">
        <f>Volcanic!E465</f>
        <v>5.7499999999999999E-3</v>
      </c>
      <c r="K465" s="47">
        <f t="shared" si="98"/>
        <v>0.36144754664467421</v>
      </c>
      <c r="L465" s="47">
        <f t="shared" si="99"/>
        <v>-0.2</v>
      </c>
      <c r="M465" s="47">
        <f t="shared" si="100"/>
        <v>5.7499999999999999E-3</v>
      </c>
      <c r="O465" s="47">
        <f t="shared" si="101"/>
        <v>0.36144754664467421</v>
      </c>
      <c r="P465" s="47">
        <f t="shared" si="102"/>
        <v>-0.22</v>
      </c>
      <c r="Q465" s="47">
        <f t="shared" si="103"/>
        <v>4.4400000000000004E-3</v>
      </c>
      <c r="S465" s="47">
        <f t="shared" si="104"/>
        <v>0.36144754664467421</v>
      </c>
      <c r="T465" s="47">
        <f t="shared" si="105"/>
        <v>-0.2</v>
      </c>
      <c r="U465" s="47">
        <f t="shared" si="106"/>
        <v>4.4400000000000004E-3</v>
      </c>
      <c r="W465" s="47">
        <f t="shared" si="107"/>
        <v>-0.17400927952951334</v>
      </c>
      <c r="X465" s="47">
        <f t="shared" si="108"/>
        <v>-0.17285949477146223</v>
      </c>
      <c r="Y465" s="47">
        <f t="shared" si="109"/>
        <v>-0.17441576014978061</v>
      </c>
      <c r="AP465" s="48">
        <v>0.19739999999999999</v>
      </c>
      <c r="AQ465" s="48">
        <v>0.18770000000000001</v>
      </c>
      <c r="AR465" s="47">
        <f>IF(AP465="","",AP465-($AC$60+$AC$61*Volcanic!C465+$AC$62*Volcanic!D465+$AC$63*Volcanic!E465))</f>
        <v>-0.18671708832519532</v>
      </c>
      <c r="AS465" s="47">
        <f>IF(AQ465="","",AQ465-($AD$60+$AD$61*Volcanic!C465+$AD$62*Volcanic!D465+$AD$63*Volcanic!E465))</f>
        <v>-0.21258398408207255</v>
      </c>
    </row>
    <row r="466" spans="1:45">
      <c r="A466" s="45" t="str">
        <f>Volcanic!A466</f>
        <v>11/1996</v>
      </c>
      <c r="B466" s="43">
        <f>Volcanic!B466</f>
        <v>0.42000000000000348</v>
      </c>
      <c r="C466" s="47">
        <f>Volcanic!C466</f>
        <v>0.36673185649279633</v>
      </c>
      <c r="D466" s="41">
        <v>-0.4</v>
      </c>
      <c r="E466" s="43">
        <f t="shared" si="110"/>
        <v>-0.3</v>
      </c>
      <c r="F466" s="48">
        <v>3.8500000000000001E-3</v>
      </c>
      <c r="G466" s="47">
        <f t="shared" si="111"/>
        <v>4.28E-3</v>
      </c>
      <c r="H466" s="43">
        <f>Volcanic!D466</f>
        <v>-0.27</v>
      </c>
      <c r="I466" s="47">
        <f>Volcanic!E466</f>
        <v>5.5700000000000003E-3</v>
      </c>
      <c r="K466" s="47">
        <f t="shared" si="98"/>
        <v>0.36673185649279633</v>
      </c>
      <c r="L466" s="47">
        <f t="shared" si="99"/>
        <v>-0.3</v>
      </c>
      <c r="M466" s="47">
        <f t="shared" si="100"/>
        <v>5.5700000000000003E-3</v>
      </c>
      <c r="O466" s="47">
        <f t="shared" si="101"/>
        <v>0.36673185649279633</v>
      </c>
      <c r="P466" s="47">
        <f t="shared" si="102"/>
        <v>-0.27</v>
      </c>
      <c r="Q466" s="47">
        <f t="shared" si="103"/>
        <v>4.28E-3</v>
      </c>
      <c r="S466" s="47">
        <f t="shared" si="104"/>
        <v>0.36673185649279633</v>
      </c>
      <c r="T466" s="47">
        <f t="shared" si="105"/>
        <v>-0.3</v>
      </c>
      <c r="U466" s="47">
        <f t="shared" si="106"/>
        <v>4.28E-3</v>
      </c>
      <c r="W466" s="47">
        <f t="shared" si="107"/>
        <v>2.0470308783657687E-2</v>
      </c>
      <c r="X466" s="47">
        <f t="shared" si="108"/>
        <v>1.7132726149054367E-2</v>
      </c>
      <c r="Y466" s="47">
        <f t="shared" si="109"/>
        <v>2.0281870370548183E-2</v>
      </c>
      <c r="AP466" s="48">
        <v>0.38350000000000001</v>
      </c>
      <c r="AQ466" s="48">
        <v>0.4047</v>
      </c>
      <c r="AR466" s="47">
        <f>IF(AP466="","",AP466-($AC$60+$AC$61*Volcanic!C466+$AC$62*Volcanic!D466+$AC$63*Volcanic!E466))</f>
        <v>-1.0797328560982977E-2</v>
      </c>
      <c r="AS466" s="47">
        <f>IF(AQ466="","",AQ466-($AD$60+$AD$61*Volcanic!C466+$AD$62*Volcanic!D466+$AD$63*Volcanic!E466))</f>
        <v>-6.0188169483975096E-3</v>
      </c>
    </row>
    <row r="467" spans="1:45">
      <c r="A467" s="45" t="str">
        <f>Volcanic!A467</f>
        <v>12/1996</v>
      </c>
      <c r="B467" s="43">
        <f>Volcanic!B467</f>
        <v>0.36999999999999744</v>
      </c>
      <c r="C467" s="47">
        <f>Volcanic!C467</f>
        <v>0.37211631819884028</v>
      </c>
      <c r="D467" s="41">
        <v>-0.4</v>
      </c>
      <c r="E467" s="43">
        <f t="shared" si="110"/>
        <v>-0.3</v>
      </c>
      <c r="F467" s="48">
        <v>3.81E-3</v>
      </c>
      <c r="G467" s="47">
        <f t="shared" si="111"/>
        <v>4.2300000000000003E-3</v>
      </c>
      <c r="H467" s="43">
        <f>Volcanic!D467</f>
        <v>-0.3</v>
      </c>
      <c r="I467" s="47">
        <f>Volcanic!E467</f>
        <v>5.47E-3</v>
      </c>
      <c r="K467" s="47">
        <f t="shared" si="98"/>
        <v>0.37211631819884028</v>
      </c>
      <c r="L467" s="47">
        <f t="shared" si="99"/>
        <v>-0.3</v>
      </c>
      <c r="M467" s="47">
        <f t="shared" si="100"/>
        <v>5.47E-3</v>
      </c>
      <c r="O467" s="47">
        <f t="shared" si="101"/>
        <v>0.37211631819884028</v>
      </c>
      <c r="P467" s="47">
        <f t="shared" si="102"/>
        <v>-0.3</v>
      </c>
      <c r="Q467" s="47">
        <f t="shared" si="103"/>
        <v>4.2300000000000003E-3</v>
      </c>
      <c r="S467" s="47">
        <f t="shared" si="104"/>
        <v>0.37211631819884028</v>
      </c>
      <c r="T467" s="47">
        <f t="shared" si="105"/>
        <v>-0.3</v>
      </c>
      <c r="U467" s="47">
        <f t="shared" si="106"/>
        <v>4.2300000000000003E-3</v>
      </c>
      <c r="W467" s="47">
        <f t="shared" si="107"/>
        <v>-4.4434281570475243E-2</v>
      </c>
      <c r="X467" s="47">
        <f t="shared" si="108"/>
        <v>-4.4737142298073629E-2</v>
      </c>
      <c r="Y467" s="47">
        <f t="shared" si="109"/>
        <v>-4.440460768538429E-2</v>
      </c>
      <c r="AP467" s="48">
        <v>0.3906</v>
      </c>
      <c r="AQ467" s="48">
        <v>0.4657</v>
      </c>
      <c r="AR467" s="47">
        <f>IF(AP467="","",AP467-($AC$60+$AC$61*Volcanic!C467+$AC$62*Volcanic!D467+$AC$63*Volcanic!E467))</f>
        <v>-1.5831450272214775E-2</v>
      </c>
      <c r="AS467" s="47">
        <f>IF(AQ467="","",AQ467-($AD$60+$AD$61*Volcanic!C467+$AD$62*Volcanic!D467+$AD$63*Volcanic!E467))</f>
        <v>4.2537777438338531E-2</v>
      </c>
    </row>
    <row r="468" spans="1:45">
      <c r="A468" s="45" t="str">
        <f>Volcanic!A468</f>
        <v>1/1997</v>
      </c>
      <c r="B468" s="43">
        <f>Volcanic!B468</f>
        <v>0.32000000000000028</v>
      </c>
      <c r="C468" s="47">
        <f>Volcanic!C468</f>
        <v>0.37549625382897855</v>
      </c>
      <c r="D468" s="41">
        <v>-0.4</v>
      </c>
      <c r="E468" s="43">
        <f t="shared" si="110"/>
        <v>-0.3</v>
      </c>
      <c r="F468" s="48">
        <v>3.5999999999999999E-3</v>
      </c>
      <c r="G468" s="47">
        <f t="shared" si="111"/>
        <v>4.1799999999999997E-3</v>
      </c>
      <c r="H468" s="43">
        <f>Volcanic!D468</f>
        <v>-0.33</v>
      </c>
      <c r="I468" s="47">
        <f>Volcanic!E468</f>
        <v>5.79E-3</v>
      </c>
      <c r="K468" s="47">
        <f t="shared" si="98"/>
        <v>0.37549625382897855</v>
      </c>
      <c r="L468" s="47">
        <f t="shared" si="99"/>
        <v>-0.3</v>
      </c>
      <c r="M468" s="47">
        <f t="shared" si="100"/>
        <v>5.79E-3</v>
      </c>
      <c r="O468" s="47">
        <f t="shared" si="101"/>
        <v>0.37549625382897855</v>
      </c>
      <c r="P468" s="47">
        <f t="shared" si="102"/>
        <v>-0.33</v>
      </c>
      <c r="Q468" s="47">
        <f t="shared" si="103"/>
        <v>4.1799999999999997E-3</v>
      </c>
      <c r="S468" s="47">
        <f t="shared" si="104"/>
        <v>0.37549625382897855</v>
      </c>
      <c r="T468" s="47">
        <f t="shared" si="105"/>
        <v>-0.3</v>
      </c>
      <c r="U468" s="47">
        <f t="shared" si="106"/>
        <v>4.1799999999999997E-3</v>
      </c>
      <c r="W468" s="47">
        <f t="shared" si="107"/>
        <v>-0.10294674696748124</v>
      </c>
      <c r="X468" s="47">
        <f t="shared" si="108"/>
        <v>-0.10118761660483067</v>
      </c>
      <c r="Y468" s="47">
        <f t="shared" si="109"/>
        <v>-0.10367229842473552</v>
      </c>
      <c r="AP468" s="48">
        <v>0.31730000000000003</v>
      </c>
      <c r="AQ468" s="48">
        <v>0.35870000000000002</v>
      </c>
      <c r="AR468" s="47">
        <f>IF(AP468="","",AP468-($AC$60+$AC$61*Volcanic!C468+$AC$62*Volcanic!D468+$AC$63*Volcanic!E468))</f>
        <v>-9.4781392736363879E-2</v>
      </c>
      <c r="AS468" s="47">
        <f>IF(AQ468="","",AQ468-($AD$60+$AD$61*Volcanic!C468+$AD$62*Volcanic!D468+$AD$63*Volcanic!E468))</f>
        <v>-7.032921608303716E-2</v>
      </c>
    </row>
    <row r="469" spans="1:45">
      <c r="A469" s="45" t="str">
        <f>Volcanic!A469</f>
        <v>2/1997</v>
      </c>
      <c r="B469" s="43">
        <f>Volcanic!B469</f>
        <v>0.41000000000000014</v>
      </c>
      <c r="C469" s="47">
        <f>Volcanic!C469</f>
        <v>0.37934370731460526</v>
      </c>
      <c r="D469" s="41">
        <v>-0.3</v>
      </c>
      <c r="E469" s="43">
        <f t="shared" si="110"/>
        <v>-0.4</v>
      </c>
      <c r="F469" s="48">
        <v>3.5300000000000002E-3</v>
      </c>
      <c r="G469" s="47">
        <f t="shared" si="111"/>
        <v>4.1000000000000003E-3</v>
      </c>
      <c r="H469" s="43">
        <f>Volcanic!D469</f>
        <v>-0.39</v>
      </c>
      <c r="I469" s="47">
        <f>Volcanic!E469</f>
        <v>5.2100000000000002E-3</v>
      </c>
      <c r="K469" s="47">
        <f t="shared" si="98"/>
        <v>0.37934370731460526</v>
      </c>
      <c r="L469" s="47">
        <f t="shared" si="99"/>
        <v>-0.4</v>
      </c>
      <c r="M469" s="47">
        <f t="shared" si="100"/>
        <v>5.2100000000000002E-3</v>
      </c>
      <c r="O469" s="47">
        <f t="shared" si="101"/>
        <v>0.37934370731460526</v>
      </c>
      <c r="P469" s="47">
        <f t="shared" si="102"/>
        <v>-0.39</v>
      </c>
      <c r="Q469" s="47">
        <f t="shared" si="103"/>
        <v>4.1000000000000003E-3</v>
      </c>
      <c r="S469" s="47">
        <f t="shared" si="104"/>
        <v>0.37934370731460526</v>
      </c>
      <c r="T469" s="47">
        <f t="shared" si="105"/>
        <v>-0.4</v>
      </c>
      <c r="U469" s="47">
        <f t="shared" si="106"/>
        <v>4.1000000000000003E-3</v>
      </c>
      <c r="W469" s="47">
        <f t="shared" si="107"/>
        <v>-1.543004500645645E-2</v>
      </c>
      <c r="X469" s="47">
        <f t="shared" si="108"/>
        <v>-1.6162359312268448E-2</v>
      </c>
      <c r="Y469" s="47">
        <f t="shared" si="109"/>
        <v>-1.4881181760864892E-2</v>
      </c>
      <c r="AP469" s="48">
        <v>0.3634</v>
      </c>
      <c r="AQ469" s="48">
        <v>0.41470000000000001</v>
      </c>
      <c r="AR469" s="47">
        <f>IF(AP469="","",AP469-($AC$60+$AC$61*Volcanic!C469+$AC$62*Volcanic!D469+$AC$63*Volcanic!E469))</f>
        <v>-5.4964170458901562E-2</v>
      </c>
      <c r="AS469" s="47">
        <f>IF(AQ469="","",AQ469-($AD$60+$AD$61*Volcanic!C469+$AD$62*Volcanic!D469+$AD$63*Volcanic!E469))</f>
        <v>-2.0700067390345522E-2</v>
      </c>
    </row>
    <row r="470" spans="1:45">
      <c r="A470" s="45" t="str">
        <f>Volcanic!A470</f>
        <v>3/1997</v>
      </c>
      <c r="B470" s="43">
        <f>Volcanic!B470</f>
        <v>0.5199999999999978</v>
      </c>
      <c r="C470" s="47">
        <f>Volcanic!C470</f>
        <v>0.38108556691755607</v>
      </c>
      <c r="D470" s="41">
        <v>0</v>
      </c>
      <c r="E470" s="43">
        <f t="shared" si="110"/>
        <v>-0.4</v>
      </c>
      <c r="F470" s="48">
        <v>3.4399999999999999E-3</v>
      </c>
      <c r="G470" s="47">
        <f t="shared" si="111"/>
        <v>4.0600000000000002E-3</v>
      </c>
      <c r="H470" s="43">
        <f>Volcanic!D470</f>
        <v>-0.41</v>
      </c>
      <c r="I470" s="47">
        <f>Volcanic!E470</f>
        <v>5.2300000000000003E-3</v>
      </c>
      <c r="K470" s="47">
        <f t="shared" si="98"/>
        <v>0.38108556691755607</v>
      </c>
      <c r="L470" s="47">
        <f t="shared" si="99"/>
        <v>-0.4</v>
      </c>
      <c r="M470" s="47">
        <f t="shared" si="100"/>
        <v>5.2300000000000003E-3</v>
      </c>
      <c r="O470" s="47">
        <f t="shared" si="101"/>
        <v>0.38108556691755607</v>
      </c>
      <c r="P470" s="47">
        <f t="shared" si="102"/>
        <v>-0.41</v>
      </c>
      <c r="Q470" s="47">
        <f t="shared" si="103"/>
        <v>4.0600000000000002E-3</v>
      </c>
      <c r="S470" s="47">
        <f t="shared" si="104"/>
        <v>0.38108556691755607</v>
      </c>
      <c r="T470" s="47">
        <f t="shared" si="105"/>
        <v>-0.4</v>
      </c>
      <c r="U470" s="47">
        <f t="shared" si="106"/>
        <v>4.0600000000000002E-3</v>
      </c>
      <c r="W470" s="47">
        <f t="shared" si="107"/>
        <v>8.9863712071907131E-2</v>
      </c>
      <c r="X470" s="47">
        <f t="shared" si="108"/>
        <v>9.0902599633962522E-2</v>
      </c>
      <c r="Y470" s="47">
        <f t="shared" si="109"/>
        <v>9.0305457524434807E-2</v>
      </c>
      <c r="AP470" s="48">
        <v>0.46250000000000002</v>
      </c>
      <c r="AQ470" s="48">
        <v>0.54369999999999996</v>
      </c>
      <c r="AR470" s="47">
        <f>IF(AP470="","",AP470-($AC$60+$AC$61*Volcanic!C470+$AC$62*Volcanic!D470+$AC$63*Volcanic!E470))</f>
        <v>4.1300519639507538E-2</v>
      </c>
      <c r="AS470" s="47">
        <f>IF(AQ470="","",AQ470-($AD$60+$AD$61*Volcanic!C470+$AD$62*Volcanic!D470+$AD$63*Volcanic!E470))</f>
        <v>0.10537826434058795</v>
      </c>
    </row>
    <row r="471" spans="1:45">
      <c r="A471" s="45" t="str">
        <f>Volcanic!A471</f>
        <v>4/1997</v>
      </c>
      <c r="B471" s="43">
        <f>Volcanic!B471</f>
        <v>0.33999999999999986</v>
      </c>
      <c r="C471" s="47">
        <f>Volcanic!C471</f>
        <v>0.38834700653063781</v>
      </c>
      <c r="D471" s="41">
        <v>0.3</v>
      </c>
      <c r="E471" s="43">
        <f t="shared" si="110"/>
        <v>-0.4</v>
      </c>
      <c r="F471" s="48">
        <v>3.4099999999999998E-3</v>
      </c>
      <c r="G471" s="47">
        <f t="shared" si="111"/>
        <v>4.0499999999999998E-3</v>
      </c>
      <c r="H471" s="43">
        <f>Volcanic!D471</f>
        <v>-0.41</v>
      </c>
      <c r="I471" s="47">
        <f>Volcanic!E471</f>
        <v>5.1799999999999997E-3</v>
      </c>
      <c r="K471" s="47">
        <f t="shared" si="98"/>
        <v>0.38834700653063781</v>
      </c>
      <c r="L471" s="47">
        <f t="shared" si="99"/>
        <v>-0.4</v>
      </c>
      <c r="M471" s="47">
        <f t="shared" si="100"/>
        <v>5.1799999999999997E-3</v>
      </c>
      <c r="O471" s="47">
        <f t="shared" si="101"/>
        <v>0.38834700653063781</v>
      </c>
      <c r="P471" s="47">
        <f t="shared" si="102"/>
        <v>-0.41</v>
      </c>
      <c r="Q471" s="47">
        <f t="shared" si="103"/>
        <v>4.0499999999999998E-3</v>
      </c>
      <c r="S471" s="47">
        <f t="shared" si="104"/>
        <v>0.38834700653063781</v>
      </c>
      <c r="T471" s="47">
        <f t="shared" si="105"/>
        <v>-0.4</v>
      </c>
      <c r="U471" s="47">
        <f t="shared" si="106"/>
        <v>4.0499999999999998E-3</v>
      </c>
      <c r="W471" s="47">
        <f t="shared" si="107"/>
        <v>-0.1100495034140565</v>
      </c>
      <c r="X471" s="47">
        <f t="shared" si="108"/>
        <v>-0.10875540185732646</v>
      </c>
      <c r="Y471" s="47">
        <f t="shared" si="109"/>
        <v>-0.10935037655745716</v>
      </c>
      <c r="AP471" s="48">
        <v>0.44219999999999998</v>
      </c>
      <c r="AQ471" s="48">
        <v>0.48870000000000002</v>
      </c>
      <c r="AR471" s="47">
        <f>IF(AP471="","",AP471-($AC$60+$AC$61*Volcanic!C471+$AC$62*Volcanic!D471+$AC$63*Volcanic!E471))</f>
        <v>1.0520638400445814E-3</v>
      </c>
      <c r="AS471" s="47">
        <f>IF(AQ471="","",AQ471-($AD$60+$AD$61*Volcanic!C471+$AD$62*Volcanic!D471+$AD$63*Volcanic!E471))</f>
        <v>2.992523274659159E-2</v>
      </c>
    </row>
    <row r="472" spans="1:45">
      <c r="A472" s="45" t="str">
        <f>Volcanic!A472</f>
        <v>5/1997</v>
      </c>
      <c r="B472" s="43">
        <f>Volcanic!B472</f>
        <v>0.34999999999999787</v>
      </c>
      <c r="C472" s="47">
        <f>Volcanic!C472</f>
        <v>0.3894488111595088</v>
      </c>
      <c r="D472" s="41">
        <v>0.7</v>
      </c>
      <c r="E472" s="43">
        <f t="shared" si="110"/>
        <v>-0.3</v>
      </c>
      <c r="F472" s="48">
        <v>3.3500000000000001E-3</v>
      </c>
      <c r="G472" s="47">
        <f t="shared" si="111"/>
        <v>3.96E-3</v>
      </c>
      <c r="H472" s="43">
        <f>Volcanic!D472</f>
        <v>-0.26</v>
      </c>
      <c r="I472" s="47">
        <f>Volcanic!E472</f>
        <v>5.0800000000000003E-3</v>
      </c>
      <c r="K472" s="47">
        <f t="shared" si="98"/>
        <v>0.3894488111595088</v>
      </c>
      <c r="L472" s="47">
        <f t="shared" si="99"/>
        <v>-0.3</v>
      </c>
      <c r="M472" s="47">
        <f t="shared" si="100"/>
        <v>5.0800000000000003E-3</v>
      </c>
      <c r="O472" s="47">
        <f t="shared" si="101"/>
        <v>0.3894488111595088</v>
      </c>
      <c r="P472" s="47">
        <f t="shared" si="102"/>
        <v>-0.26</v>
      </c>
      <c r="Q472" s="47">
        <f t="shared" si="103"/>
        <v>3.96E-3</v>
      </c>
      <c r="S472" s="47">
        <f t="shared" si="104"/>
        <v>0.3894488111595088</v>
      </c>
      <c r="T472" s="47">
        <f t="shared" si="105"/>
        <v>-0.3</v>
      </c>
      <c r="U472" s="47">
        <f t="shared" si="106"/>
        <v>3.96E-3</v>
      </c>
      <c r="W472" s="47">
        <f t="shared" si="107"/>
        <v>-0.11256197451908034</v>
      </c>
      <c r="X472" s="47">
        <f t="shared" si="108"/>
        <v>-0.11605979273196276</v>
      </c>
      <c r="Y472" s="47">
        <f t="shared" si="109"/>
        <v>-0.11196539597934196</v>
      </c>
      <c r="AP472" s="48">
        <v>0.3856</v>
      </c>
      <c r="AQ472" s="48">
        <v>0.43269999999999997</v>
      </c>
      <c r="AR472" s="47">
        <f>IF(AP472="","",AP472-($AC$60+$AC$61*Volcanic!C472+$AC$62*Volcanic!D472+$AC$63*Volcanic!E472))</f>
        <v>-7.2843918007102715E-2</v>
      </c>
      <c r="AS472" s="47">
        <f>IF(AQ472="","",AQ472-($AD$60+$AD$61*Volcanic!C472+$AD$62*Volcanic!D472+$AD$63*Volcanic!E472))</f>
        <v>-4.3724488992120891E-2</v>
      </c>
    </row>
    <row r="473" spans="1:45">
      <c r="A473" s="45" t="str">
        <f>Volcanic!A473</f>
        <v>6/1997</v>
      </c>
      <c r="B473" s="43">
        <f>Volcanic!B473</f>
        <v>0.54999999999999893</v>
      </c>
      <c r="C473" s="47">
        <f>Volcanic!C473</f>
        <v>0.38535214535553447</v>
      </c>
      <c r="D473" s="41">
        <v>1.1000000000000001</v>
      </c>
      <c r="E473" s="43">
        <f t="shared" si="110"/>
        <v>0</v>
      </c>
      <c r="F473" s="48">
        <v>3.3300000000000001E-3</v>
      </c>
      <c r="G473" s="47">
        <f t="shared" si="111"/>
        <v>3.8500000000000001E-3</v>
      </c>
      <c r="H473" s="43">
        <f>Volcanic!D473</f>
        <v>-0.03</v>
      </c>
      <c r="I473" s="47">
        <f>Volcanic!E473</f>
        <v>5.0200000000000002E-3</v>
      </c>
      <c r="K473" s="47">
        <f t="shared" si="98"/>
        <v>0.38535214535553447</v>
      </c>
      <c r="L473" s="47">
        <f t="shared" si="99"/>
        <v>0</v>
      </c>
      <c r="M473" s="47">
        <f t="shared" si="100"/>
        <v>5.0200000000000002E-3</v>
      </c>
      <c r="O473" s="47">
        <f t="shared" si="101"/>
        <v>0.38535214535553447</v>
      </c>
      <c r="P473" s="47">
        <f t="shared" si="102"/>
        <v>-0.03</v>
      </c>
      <c r="Q473" s="47">
        <f t="shared" si="103"/>
        <v>3.8500000000000001E-3</v>
      </c>
      <c r="S473" s="47">
        <f t="shared" si="104"/>
        <v>0.38535214535553447</v>
      </c>
      <c r="T473" s="47">
        <f t="shared" si="105"/>
        <v>0</v>
      </c>
      <c r="U473" s="47">
        <f t="shared" si="106"/>
        <v>3.8500000000000001E-3</v>
      </c>
      <c r="W473" s="47">
        <f t="shared" si="107"/>
        <v>7.0616044075625661E-2</v>
      </c>
      <c r="X473" s="47">
        <f t="shared" si="108"/>
        <v>7.31231409363583E-2</v>
      </c>
      <c r="Y473" s="47">
        <f t="shared" si="109"/>
        <v>7.0617943969606078E-2</v>
      </c>
      <c r="AP473" s="48">
        <v>0.56159999999999999</v>
      </c>
      <c r="AQ473" s="48">
        <v>0.60370000000000001</v>
      </c>
      <c r="AR473" s="47">
        <f>IF(AP473="","",AP473-($AC$60+$AC$61*Volcanic!C473+$AC$62*Volcanic!D473+$AC$63*Volcanic!E473))</f>
        <v>9.2659725503691781E-2</v>
      </c>
      <c r="AS473" s="47">
        <f>IF(AQ473="","",AQ473-($AD$60+$AD$61*Volcanic!C473+$AD$62*Volcanic!D473+$AD$63*Volcanic!E473))</f>
        <v>0.11663261540853015</v>
      </c>
    </row>
    <row r="474" spans="1:45">
      <c r="A474" s="45" t="str">
        <f>Volcanic!A474</f>
        <v>7/1997</v>
      </c>
      <c r="B474" s="43">
        <f>Volcanic!B474</f>
        <v>0.33999999999999986</v>
      </c>
      <c r="C474" s="47">
        <f>Volcanic!C474</f>
        <v>0.38033365825089765</v>
      </c>
      <c r="D474" s="41">
        <v>1.5</v>
      </c>
      <c r="E474" s="43">
        <f t="shared" si="110"/>
        <v>0.3</v>
      </c>
      <c r="F474" s="48">
        <v>3.3400000000000001E-3</v>
      </c>
      <c r="G474" s="47">
        <f t="shared" si="111"/>
        <v>3.81E-3</v>
      </c>
      <c r="H474" s="43">
        <f>Volcanic!D474</f>
        <v>0.3</v>
      </c>
      <c r="I474" s="47">
        <f>Volcanic!E474</f>
        <v>4.8599999999999997E-3</v>
      </c>
      <c r="K474" s="47">
        <f t="shared" si="98"/>
        <v>0.38033365825089765</v>
      </c>
      <c r="L474" s="47">
        <f t="shared" si="99"/>
        <v>0.3</v>
      </c>
      <c r="M474" s="47">
        <f t="shared" si="100"/>
        <v>4.8599999999999997E-3</v>
      </c>
      <c r="O474" s="47">
        <f t="shared" si="101"/>
        <v>0.38033365825089765</v>
      </c>
      <c r="P474" s="47">
        <f t="shared" si="102"/>
        <v>0.3</v>
      </c>
      <c r="Q474" s="47">
        <f t="shared" si="103"/>
        <v>3.81E-3</v>
      </c>
      <c r="S474" s="47">
        <f t="shared" si="104"/>
        <v>0.38033365825089765</v>
      </c>
      <c r="T474" s="47">
        <f t="shared" si="105"/>
        <v>0.3</v>
      </c>
      <c r="U474" s="47">
        <f t="shared" si="106"/>
        <v>3.81E-3</v>
      </c>
      <c r="W474" s="47">
        <f t="shared" si="107"/>
        <v>-0.15391234433991918</v>
      </c>
      <c r="X474" s="47">
        <f t="shared" si="108"/>
        <v>-0.15441243462333404</v>
      </c>
      <c r="Y474" s="47">
        <f t="shared" si="109"/>
        <v>-0.1541236702267248</v>
      </c>
      <c r="AP474" s="48">
        <v>0.41789999999999999</v>
      </c>
      <c r="AQ474" s="48">
        <v>0.38569999999999999</v>
      </c>
      <c r="AR474" s="47">
        <f>IF(AP474="","",AP474-($AC$60+$AC$61*Volcanic!C474+$AC$62*Volcanic!D474+$AC$63*Volcanic!E474))</f>
        <v>-6.8624628428946011E-2</v>
      </c>
      <c r="AS474" s="47">
        <f>IF(AQ474="","",AQ474-($AD$60+$AD$61*Volcanic!C474+$AD$62*Volcanic!D474+$AD$63*Volcanic!E474))</f>
        <v>-0.11921382616419735</v>
      </c>
    </row>
    <row r="475" spans="1:45">
      <c r="A475" s="45" t="str">
        <f>Volcanic!A475</f>
        <v>8/1997</v>
      </c>
      <c r="B475" s="43">
        <f>Volcanic!B475</f>
        <v>0.41000000000000014</v>
      </c>
      <c r="C475" s="47">
        <f>Volcanic!C475</f>
        <v>0.37215612821390631</v>
      </c>
      <c r="D475" s="41">
        <v>1.8</v>
      </c>
      <c r="E475" s="43">
        <f t="shared" si="110"/>
        <v>0.7</v>
      </c>
      <c r="F475" s="48">
        <v>3.3300000000000001E-3</v>
      </c>
      <c r="G475" s="47">
        <f t="shared" si="111"/>
        <v>3.5999999999999999E-3</v>
      </c>
      <c r="H475" s="43">
        <f>Volcanic!D475</f>
        <v>0.71</v>
      </c>
      <c r="I475" s="47">
        <f>Volcanic!E475</f>
        <v>4.7299999999999998E-3</v>
      </c>
      <c r="K475" s="47">
        <f t="shared" si="98"/>
        <v>0.37215612821390631</v>
      </c>
      <c r="L475" s="47">
        <f t="shared" si="99"/>
        <v>0.7</v>
      </c>
      <c r="M475" s="47">
        <f t="shared" si="100"/>
        <v>4.7299999999999998E-3</v>
      </c>
      <c r="O475" s="47">
        <f t="shared" si="101"/>
        <v>0.37215612821390631</v>
      </c>
      <c r="P475" s="47">
        <f t="shared" si="102"/>
        <v>0.71</v>
      </c>
      <c r="Q475" s="47">
        <f t="shared" si="103"/>
        <v>3.5999999999999999E-3</v>
      </c>
      <c r="S475" s="47">
        <f t="shared" si="104"/>
        <v>0.37215612821390631</v>
      </c>
      <c r="T475" s="47">
        <f t="shared" si="105"/>
        <v>0.7</v>
      </c>
      <c r="U475" s="47">
        <f t="shared" si="106"/>
        <v>3.5999999999999999E-3</v>
      </c>
      <c r="W475" s="47">
        <f t="shared" si="107"/>
        <v>-9.9046772719511789E-2</v>
      </c>
      <c r="X475" s="47">
        <f t="shared" si="108"/>
        <v>-0.10136635136551309</v>
      </c>
      <c r="Y475" s="47">
        <f t="shared" si="109"/>
        <v>-0.10017132347704283</v>
      </c>
      <c r="AP475" s="48">
        <v>0.47889999999999999</v>
      </c>
      <c r="AQ475" s="48">
        <v>0.44169999999999998</v>
      </c>
      <c r="AR475" s="47">
        <f>IF(AP475="","",AP475-($AC$60+$AC$61*Volcanic!C475+$AC$62*Volcanic!D475+$AC$63*Volcanic!E475))</f>
        <v>-2.4002296247491839E-2</v>
      </c>
      <c r="AS475" s="47">
        <f>IF(AQ475="","",AQ475-($AD$60+$AD$61*Volcanic!C475+$AD$62*Volcanic!D475+$AD$63*Volcanic!E475))</f>
        <v>-7.9788562922072259E-2</v>
      </c>
    </row>
    <row r="476" spans="1:45">
      <c r="A476" s="45" t="str">
        <f>Volcanic!A476</f>
        <v>9/1997</v>
      </c>
      <c r="B476" s="43">
        <f>Volcanic!B476</f>
        <v>0.5199999999999978</v>
      </c>
      <c r="C476" s="47">
        <f>Volcanic!C476</f>
        <v>0.36433229663226918</v>
      </c>
      <c r="D476" s="41">
        <v>2</v>
      </c>
      <c r="E476" s="43">
        <f t="shared" si="110"/>
        <v>1.1000000000000001</v>
      </c>
      <c r="F476" s="48">
        <v>3.3300000000000001E-3</v>
      </c>
      <c r="G476" s="47">
        <f t="shared" si="111"/>
        <v>3.5300000000000002E-3</v>
      </c>
      <c r="H476" s="43">
        <f>Volcanic!D476</f>
        <v>1.1299999999999999</v>
      </c>
      <c r="I476" s="47">
        <f>Volcanic!E476</f>
        <v>4.5999999999999999E-3</v>
      </c>
      <c r="K476" s="47">
        <f t="shared" si="98"/>
        <v>0.36433229663226918</v>
      </c>
      <c r="L476" s="47">
        <f t="shared" si="99"/>
        <v>1.1000000000000001</v>
      </c>
      <c r="M476" s="47">
        <f t="shared" si="100"/>
        <v>4.5999999999999999E-3</v>
      </c>
      <c r="O476" s="47">
        <f t="shared" si="101"/>
        <v>0.36433229663226918</v>
      </c>
      <c r="P476" s="47">
        <f t="shared" si="102"/>
        <v>1.1299999999999999</v>
      </c>
      <c r="Q476" s="47">
        <f t="shared" si="103"/>
        <v>3.5300000000000002E-3</v>
      </c>
      <c r="S476" s="47">
        <f t="shared" si="104"/>
        <v>0.36433229663226918</v>
      </c>
      <c r="T476" s="47">
        <f t="shared" si="105"/>
        <v>1.1000000000000001</v>
      </c>
      <c r="U476" s="47">
        <f t="shared" si="106"/>
        <v>3.5300000000000002E-3</v>
      </c>
      <c r="W476" s="47">
        <f t="shared" si="107"/>
        <v>-5.1457900459014327E-3</v>
      </c>
      <c r="X476" s="47">
        <f t="shared" si="108"/>
        <v>-9.8500962680164728E-3</v>
      </c>
      <c r="Y476" s="47">
        <f t="shared" si="109"/>
        <v>-6.8089044525582176E-3</v>
      </c>
      <c r="AP476" s="48">
        <v>0.53810000000000002</v>
      </c>
      <c r="AQ476" s="48">
        <v>0.55469999999999997</v>
      </c>
      <c r="AR476" s="47">
        <f>IF(AP476="","",AP476-($AC$60+$AC$61*Volcanic!C476+$AC$62*Volcanic!D476+$AC$63*Volcanic!E476))</f>
        <v>1.6917773056702723E-2</v>
      </c>
      <c r="AS476" s="47">
        <f>IF(AQ476="","",AQ476-($AD$60+$AD$61*Volcanic!C476+$AD$62*Volcanic!D476+$AD$63*Volcanic!E476))</f>
        <v>1.4690385568280839E-2</v>
      </c>
    </row>
    <row r="477" spans="1:45">
      <c r="A477" s="45" t="str">
        <f>Volcanic!A477</f>
        <v>10/1997</v>
      </c>
      <c r="B477" s="43">
        <f>Volcanic!B477</f>
        <v>0.61000000000000121</v>
      </c>
      <c r="C477" s="47">
        <f>Volcanic!C477</f>
        <v>0.36645211340564054</v>
      </c>
      <c r="D477" s="41">
        <v>2.2000000000000002</v>
      </c>
      <c r="E477" s="43">
        <f t="shared" si="110"/>
        <v>1.5</v>
      </c>
      <c r="F477" s="48">
        <v>3.31E-3</v>
      </c>
      <c r="G477" s="47">
        <f t="shared" si="111"/>
        <v>3.4399999999999999E-3</v>
      </c>
      <c r="H477" s="43">
        <f>Volcanic!D477</f>
        <v>1.48</v>
      </c>
      <c r="I477" s="47">
        <f>Volcanic!E477</f>
        <v>4.4900000000000001E-3</v>
      </c>
      <c r="K477" s="47">
        <f t="shared" si="98"/>
        <v>0.36645211340564054</v>
      </c>
      <c r="L477" s="47">
        <f t="shared" si="99"/>
        <v>1.5</v>
      </c>
      <c r="M477" s="47">
        <f t="shared" si="100"/>
        <v>4.4900000000000001E-3</v>
      </c>
      <c r="O477" s="47">
        <f t="shared" si="101"/>
        <v>0.36645211340564054</v>
      </c>
      <c r="P477" s="47">
        <f t="shared" si="102"/>
        <v>1.48</v>
      </c>
      <c r="Q477" s="47">
        <f t="shared" si="103"/>
        <v>3.4399999999999999E-3</v>
      </c>
      <c r="S477" s="47">
        <f t="shared" si="104"/>
        <v>0.36645211340564054</v>
      </c>
      <c r="T477" s="47">
        <f t="shared" si="105"/>
        <v>1.5</v>
      </c>
      <c r="U477" s="47">
        <f t="shared" si="106"/>
        <v>3.4399999999999999E-3</v>
      </c>
      <c r="W477" s="47">
        <f t="shared" si="107"/>
        <v>4.1681436774037239E-2</v>
      </c>
      <c r="X477" s="47">
        <f t="shared" si="108"/>
        <v>4.1306000074559535E-2</v>
      </c>
      <c r="Y477" s="47">
        <f t="shared" si="109"/>
        <v>3.9620771512952513E-2</v>
      </c>
      <c r="AP477" s="48">
        <v>0.64180000000000004</v>
      </c>
      <c r="AQ477" s="48">
        <v>0.68169999999999997</v>
      </c>
      <c r="AR477" s="47">
        <f>IF(AP477="","",AP477-($AC$60+$AC$61*Volcanic!C477+$AC$62*Volcanic!D477+$AC$63*Volcanic!E477))</f>
        <v>8.1788916763642083E-2</v>
      </c>
      <c r="AS477" s="47">
        <f>IF(AQ477="","",AQ477-($AD$60+$AD$61*Volcanic!C477+$AD$62*Volcanic!D477+$AD$63*Volcanic!E477))</f>
        <v>0.10205355137998862</v>
      </c>
    </row>
    <row r="478" spans="1:45">
      <c r="A478" s="45" t="str">
        <f>Volcanic!A478</f>
        <v>11/1997</v>
      </c>
      <c r="B478" s="43">
        <f>Volcanic!B478</f>
        <v>0.65000000000000213</v>
      </c>
      <c r="C478" s="47">
        <f>Volcanic!C478</f>
        <v>0.37315102173715475</v>
      </c>
      <c r="D478" s="41">
        <v>2.2999999999999998</v>
      </c>
      <c r="E478" s="43">
        <f t="shared" si="110"/>
        <v>1.8</v>
      </c>
      <c r="F478" s="48">
        <v>3.31E-3</v>
      </c>
      <c r="G478" s="47">
        <f t="shared" si="111"/>
        <v>3.4099999999999998E-3</v>
      </c>
      <c r="H478" s="43">
        <f>Volcanic!D478</f>
        <v>1.79</v>
      </c>
      <c r="I478" s="47">
        <f>Volcanic!E478</f>
        <v>4.45E-3</v>
      </c>
      <c r="K478" s="47">
        <f t="shared" si="98"/>
        <v>0.37315102173715475</v>
      </c>
      <c r="L478" s="47">
        <f t="shared" si="99"/>
        <v>1.8</v>
      </c>
      <c r="M478" s="47">
        <f t="shared" si="100"/>
        <v>4.45E-3</v>
      </c>
      <c r="O478" s="47">
        <f t="shared" si="101"/>
        <v>0.37315102173715475</v>
      </c>
      <c r="P478" s="47">
        <f t="shared" si="102"/>
        <v>1.79</v>
      </c>
      <c r="Q478" s="47">
        <f t="shared" si="103"/>
        <v>3.4099999999999998E-3</v>
      </c>
      <c r="S478" s="47">
        <f t="shared" si="104"/>
        <v>0.37315102173715475</v>
      </c>
      <c r="T478" s="47">
        <f t="shared" si="105"/>
        <v>1.8</v>
      </c>
      <c r="U478" s="47">
        <f t="shared" si="106"/>
        <v>3.4099999999999998E-3</v>
      </c>
      <c r="W478" s="47">
        <f t="shared" si="107"/>
        <v>3.5462369630807511E-2</v>
      </c>
      <c r="X478" s="47">
        <f t="shared" si="108"/>
        <v>3.3996374186393341E-2</v>
      </c>
      <c r="Y478" s="47">
        <f t="shared" si="109"/>
        <v>3.3229961304737654E-2</v>
      </c>
      <c r="AP478" s="48">
        <v>0.68279999999999996</v>
      </c>
      <c r="AQ478" s="48">
        <v>0.68569999999999998</v>
      </c>
      <c r="AR478" s="47">
        <f>IF(AP478="","",AP478-($AC$60+$AC$61*Volcanic!C478+$AC$62*Volcanic!D478+$AC$63*Volcanic!E478))</f>
        <v>7.5370594064322449E-2</v>
      </c>
      <c r="AS478" s="47">
        <f>IF(AQ478="","",AQ478-($AD$60+$AD$61*Volcanic!C478+$AD$62*Volcanic!D478+$AD$63*Volcanic!E478))</f>
        <v>5.7574070815287537E-2</v>
      </c>
    </row>
    <row r="479" spans="1:45">
      <c r="A479" s="45" t="str">
        <f>Volcanic!A479</f>
        <v>12/1997</v>
      </c>
      <c r="B479" s="43">
        <f>Volcanic!B479</f>
        <v>0.58999999999999986</v>
      </c>
      <c r="C479" s="47">
        <f>Volcanic!C479</f>
        <v>0.38053156694990453</v>
      </c>
      <c r="D479" s="41">
        <v>2.4</v>
      </c>
      <c r="E479" s="43">
        <f t="shared" si="110"/>
        <v>2</v>
      </c>
      <c r="F479" s="48">
        <v>3.3500000000000001E-3</v>
      </c>
      <c r="G479" s="47">
        <f t="shared" si="111"/>
        <v>3.3500000000000001E-3</v>
      </c>
      <c r="H479" s="43">
        <f>Volcanic!D479</f>
        <v>2.04</v>
      </c>
      <c r="I479" s="47">
        <f>Volcanic!E479</f>
        <v>4.4400000000000004E-3</v>
      </c>
      <c r="K479" s="47">
        <f t="shared" si="98"/>
        <v>0.38053156694990453</v>
      </c>
      <c r="L479" s="47">
        <f t="shared" si="99"/>
        <v>2</v>
      </c>
      <c r="M479" s="47">
        <f t="shared" si="100"/>
        <v>4.4400000000000004E-3</v>
      </c>
      <c r="O479" s="47">
        <f t="shared" si="101"/>
        <v>0.38053156694990453</v>
      </c>
      <c r="P479" s="47">
        <f t="shared" si="102"/>
        <v>2.04</v>
      </c>
      <c r="Q479" s="47">
        <f t="shared" si="103"/>
        <v>3.3500000000000001E-3</v>
      </c>
      <c r="S479" s="47">
        <f t="shared" si="104"/>
        <v>0.38053156694990453</v>
      </c>
      <c r="T479" s="47">
        <f t="shared" si="105"/>
        <v>2</v>
      </c>
      <c r="U479" s="47">
        <f t="shared" si="106"/>
        <v>3.3500000000000001E-3</v>
      </c>
      <c r="W479" s="47">
        <f t="shared" si="107"/>
        <v>-6.3262186703620493E-2</v>
      </c>
      <c r="X479" s="47">
        <f t="shared" si="108"/>
        <v>-6.9598322240085664E-2</v>
      </c>
      <c r="Y479" s="47">
        <f t="shared" si="109"/>
        <v>-6.5680864332695599E-2</v>
      </c>
      <c r="AP479" s="48">
        <v>0.59260000000000002</v>
      </c>
      <c r="AQ479" s="48">
        <v>0.64970000000000006</v>
      </c>
      <c r="AR479" s="47">
        <f>IF(AP479="","",AP479-($AC$60+$AC$61*Volcanic!C479+$AC$62*Volcanic!D479+$AC$63*Volcanic!E479))</f>
        <v>-5.8418119739655716E-2</v>
      </c>
      <c r="AS479" s="47">
        <f>IF(AQ479="","",AQ479-($AD$60+$AD$61*Volcanic!C479+$AD$62*Volcanic!D479+$AD$63*Volcanic!E479))</f>
        <v>-2.3012031086346085E-2</v>
      </c>
    </row>
    <row r="480" spans="1:45">
      <c r="A480" s="45" t="str">
        <f>Volcanic!A480</f>
        <v>1/1998</v>
      </c>
      <c r="B480" s="43">
        <f>Volcanic!B480</f>
        <v>0.58000000000000007</v>
      </c>
      <c r="C480" s="47">
        <f>Volcanic!C480</f>
        <v>0.38401032363198068</v>
      </c>
      <c r="D480" s="41">
        <v>2.2000000000000002</v>
      </c>
      <c r="E480" s="43">
        <f t="shared" si="110"/>
        <v>2.2000000000000002</v>
      </c>
      <c r="F480" s="48">
        <v>3.1800000000000001E-3</v>
      </c>
      <c r="G480" s="47">
        <f t="shared" si="111"/>
        <v>3.3300000000000001E-3</v>
      </c>
      <c r="H480" s="43">
        <f>Volcanic!D480</f>
        <v>2.2400000000000002</v>
      </c>
      <c r="I480" s="47">
        <f>Volcanic!E480</f>
        <v>4.3699999999999998E-3</v>
      </c>
      <c r="K480" s="47">
        <f t="shared" si="98"/>
        <v>0.38401032363198068</v>
      </c>
      <c r="L480" s="47">
        <f t="shared" si="99"/>
        <v>2.2000000000000002</v>
      </c>
      <c r="M480" s="47">
        <f t="shared" si="100"/>
        <v>4.3699999999999998E-3</v>
      </c>
      <c r="O480" s="47">
        <f t="shared" si="101"/>
        <v>0.38401032363198068</v>
      </c>
      <c r="P480" s="47">
        <f t="shared" si="102"/>
        <v>2.2400000000000002</v>
      </c>
      <c r="Q480" s="47">
        <f t="shared" si="103"/>
        <v>3.3300000000000001E-3</v>
      </c>
      <c r="S480" s="47">
        <f t="shared" si="104"/>
        <v>0.38401032363198068</v>
      </c>
      <c r="T480" s="47">
        <f t="shared" si="105"/>
        <v>2.2000000000000002</v>
      </c>
      <c r="U480" s="47">
        <f t="shared" si="106"/>
        <v>3.3300000000000001E-3</v>
      </c>
      <c r="W480" s="47">
        <f t="shared" si="107"/>
        <v>-0.10147818969482203</v>
      </c>
      <c r="X480" s="47">
        <f t="shared" si="108"/>
        <v>-0.10784290675476371</v>
      </c>
      <c r="Y480" s="47">
        <f t="shared" si="109"/>
        <v>-0.10393944513267916</v>
      </c>
      <c r="AP480" s="48">
        <v>0.63260000000000005</v>
      </c>
      <c r="AQ480" s="48">
        <v>0.64470000000000005</v>
      </c>
      <c r="AR480" s="47">
        <f>IF(AP480="","",AP480-($AC$60+$AC$61*Volcanic!C480+$AC$62*Volcanic!D480+$AC$63*Volcanic!E480))</f>
        <v>-4.6814695155354413E-2</v>
      </c>
      <c r="AS480" s="47">
        <f>IF(AQ480="","",AQ480-($AD$60+$AD$61*Volcanic!C480+$AD$62*Volcanic!D480+$AD$63*Volcanic!E480))</f>
        <v>-5.7028846503136776E-2</v>
      </c>
    </row>
    <row r="481" spans="1:45">
      <c r="A481" s="45" t="str">
        <f>Volcanic!A481</f>
        <v>2/1998</v>
      </c>
      <c r="B481" s="43">
        <f>Volcanic!B481</f>
        <v>0.88000000000000256</v>
      </c>
      <c r="C481" s="47">
        <f>Volcanic!C481</f>
        <v>0.38681094647221681</v>
      </c>
      <c r="D481" s="41">
        <v>1.9</v>
      </c>
      <c r="E481" s="43">
        <f t="shared" si="110"/>
        <v>2.2999999999999998</v>
      </c>
      <c r="F481" s="48">
        <v>3.0799999999999998E-3</v>
      </c>
      <c r="G481" s="47">
        <f t="shared" si="111"/>
        <v>3.3400000000000001E-3</v>
      </c>
      <c r="H481" s="43">
        <f>Volcanic!D481</f>
        <v>2.34</v>
      </c>
      <c r="I481" s="47">
        <f>Volcanic!E481</f>
        <v>4.3299999999999996E-3</v>
      </c>
      <c r="K481" s="47">
        <f t="shared" si="98"/>
        <v>0.38681094647221681</v>
      </c>
      <c r="L481" s="47">
        <f t="shared" si="99"/>
        <v>2.2999999999999998</v>
      </c>
      <c r="M481" s="47">
        <f t="shared" si="100"/>
        <v>4.3299999999999996E-3</v>
      </c>
      <c r="O481" s="47">
        <f t="shared" si="101"/>
        <v>0.38681094647221681</v>
      </c>
      <c r="P481" s="47">
        <f t="shared" si="102"/>
        <v>2.34</v>
      </c>
      <c r="Q481" s="47">
        <f t="shared" si="103"/>
        <v>3.3400000000000001E-3</v>
      </c>
      <c r="S481" s="47">
        <f t="shared" si="104"/>
        <v>0.38681094647221681</v>
      </c>
      <c r="T481" s="47">
        <f t="shared" si="105"/>
        <v>2.2999999999999998</v>
      </c>
      <c r="U481" s="47">
        <f t="shared" si="106"/>
        <v>3.3400000000000001E-3</v>
      </c>
      <c r="W481" s="47">
        <f t="shared" si="107"/>
        <v>0.18150861763554227</v>
      </c>
      <c r="X481" s="47">
        <f t="shared" si="108"/>
        <v>0.17521789793595122</v>
      </c>
      <c r="Y481" s="47">
        <f t="shared" si="109"/>
        <v>0.17911474432869001</v>
      </c>
      <c r="AP481" s="48">
        <v>0.86639999999999995</v>
      </c>
      <c r="AQ481" s="48">
        <v>0.87470000000000003</v>
      </c>
      <c r="AR481" s="47">
        <f>IF(AP481="","",AP481-($AC$60+$AC$61*Volcanic!C481+$AC$62*Volcanic!D481+$AC$63*Volcanic!E481))</f>
        <v>0.16987714331560966</v>
      </c>
      <c r="AS481" s="47">
        <f>IF(AQ481="","",AQ481-($AD$60+$AD$61*Volcanic!C481+$AD$62*Volcanic!D481+$AD$63*Volcanic!E481))</f>
        <v>0.15547886195123883</v>
      </c>
    </row>
    <row r="482" spans="1:45">
      <c r="A482" s="45" t="str">
        <f>Volcanic!A482</f>
        <v>3/1998</v>
      </c>
      <c r="B482" s="43">
        <f>Volcanic!B482</f>
        <v>0.63000000000000256</v>
      </c>
      <c r="C482" s="47">
        <f>Volcanic!C482</f>
        <v>0.39176771995599674</v>
      </c>
      <c r="D482" s="41">
        <v>1.4</v>
      </c>
      <c r="E482" s="43">
        <f t="shared" si="110"/>
        <v>2.4</v>
      </c>
      <c r="F482" s="48">
        <v>3.0100000000000001E-3</v>
      </c>
      <c r="G482" s="47">
        <f t="shared" si="111"/>
        <v>3.3300000000000001E-3</v>
      </c>
      <c r="H482" s="43">
        <f>Volcanic!D482</f>
        <v>2.37</v>
      </c>
      <c r="I482" s="47">
        <f>Volcanic!E482</f>
        <v>4.3600000000000002E-3</v>
      </c>
      <c r="K482" s="47">
        <f t="shared" si="98"/>
        <v>0.39176771995599674</v>
      </c>
      <c r="L482" s="47">
        <f t="shared" si="99"/>
        <v>2.4</v>
      </c>
      <c r="M482" s="47">
        <f t="shared" si="100"/>
        <v>4.3600000000000002E-3</v>
      </c>
      <c r="O482" s="47">
        <f t="shared" si="101"/>
        <v>0.39176771995599674</v>
      </c>
      <c r="P482" s="47">
        <f t="shared" si="102"/>
        <v>2.37</v>
      </c>
      <c r="Q482" s="47">
        <f t="shared" si="103"/>
        <v>3.3300000000000001E-3</v>
      </c>
      <c r="S482" s="47">
        <f t="shared" si="104"/>
        <v>0.39176771995599674</v>
      </c>
      <c r="T482" s="47">
        <f t="shared" si="105"/>
        <v>2.4</v>
      </c>
      <c r="U482" s="47">
        <f t="shared" si="106"/>
        <v>3.3300000000000001E-3</v>
      </c>
      <c r="W482" s="47">
        <f t="shared" si="107"/>
        <v>-9.1230475754982332E-2</v>
      </c>
      <c r="X482" s="47">
        <f t="shared" si="108"/>
        <v>-9.1027342653322463E-2</v>
      </c>
      <c r="Y482" s="47">
        <f t="shared" si="109"/>
        <v>-9.3712053278343199E-2</v>
      </c>
      <c r="AP482" s="48">
        <v>0.65580000000000005</v>
      </c>
      <c r="AQ482" s="48">
        <v>0.66669999999999996</v>
      </c>
      <c r="AR482" s="47">
        <f>IF(AP482="","",AP482-($AC$60+$AC$61*Volcanic!C482+$AC$62*Volcanic!D482+$AC$63*Volcanic!E482))</f>
        <v>-5.6995029509586126E-2</v>
      </c>
      <c r="AS482" s="47">
        <f>IF(AQ482="","",AQ482-($AD$60+$AD$61*Volcanic!C482+$AD$62*Volcanic!D482+$AD$63*Volcanic!E482))</f>
        <v>-6.9202748348346166E-2</v>
      </c>
    </row>
    <row r="483" spans="1:45">
      <c r="A483" s="45" t="str">
        <f>Volcanic!A483</f>
        <v>4/1998</v>
      </c>
      <c r="B483" s="43">
        <f>Volcanic!B483</f>
        <v>0.64000000000000234</v>
      </c>
      <c r="C483" s="47">
        <f>Volcanic!C483</f>
        <v>0.39737270943755826</v>
      </c>
      <c r="D483" s="41">
        <v>1</v>
      </c>
      <c r="E483" s="43">
        <f t="shared" si="110"/>
        <v>2.2000000000000002</v>
      </c>
      <c r="F483" s="48">
        <v>3.0100000000000001E-3</v>
      </c>
      <c r="G483" s="47">
        <f t="shared" si="111"/>
        <v>3.3300000000000001E-3</v>
      </c>
      <c r="H483" s="43">
        <f>Volcanic!D483</f>
        <v>2.2200000000000002</v>
      </c>
      <c r="I483" s="47">
        <f>Volcanic!E483</f>
        <v>4.4000000000000003E-3</v>
      </c>
      <c r="K483" s="47">
        <f t="shared" si="98"/>
        <v>0.39737270943755826</v>
      </c>
      <c r="L483" s="47">
        <f t="shared" si="99"/>
        <v>2.2000000000000002</v>
      </c>
      <c r="M483" s="47">
        <f t="shared" si="100"/>
        <v>4.4000000000000003E-3</v>
      </c>
      <c r="O483" s="47">
        <f t="shared" si="101"/>
        <v>0.39737270943755826</v>
      </c>
      <c r="P483" s="47">
        <f t="shared" si="102"/>
        <v>2.2200000000000002</v>
      </c>
      <c r="Q483" s="47">
        <f t="shared" si="103"/>
        <v>3.3300000000000001E-3</v>
      </c>
      <c r="S483" s="47">
        <f t="shared" si="104"/>
        <v>0.39737270943755826</v>
      </c>
      <c r="T483" s="47">
        <f t="shared" si="105"/>
        <v>2.2000000000000002</v>
      </c>
      <c r="U483" s="47">
        <f t="shared" si="106"/>
        <v>3.3300000000000001E-3</v>
      </c>
      <c r="W483" s="47">
        <f t="shared" si="107"/>
        <v>-7.7853322111003487E-2</v>
      </c>
      <c r="X483" s="47">
        <f t="shared" si="108"/>
        <v>-8.2090445643232646E-2</v>
      </c>
      <c r="Y483" s="47">
        <f t="shared" si="109"/>
        <v>-8.0061662544937962E-2</v>
      </c>
      <c r="AP483" s="48">
        <v>0.71779999999999999</v>
      </c>
      <c r="AQ483" s="48">
        <v>0.79369999999999996</v>
      </c>
      <c r="AR483" s="47">
        <f>IF(AP483="","",AP483-($AC$60+$AC$61*Volcanic!C483+$AC$62*Volcanic!D483+$AC$63*Volcanic!E483))</f>
        <v>3.8429540343991597E-3</v>
      </c>
      <c r="AS483" s="47">
        <f>IF(AQ483="","",AQ483-($AD$60+$AD$61*Volcanic!C483+$AD$62*Volcanic!D483+$AD$63*Volcanic!E483))</f>
        <v>5.6524540822407432E-2</v>
      </c>
    </row>
    <row r="484" spans="1:45">
      <c r="A484" s="45" t="str">
        <f>Volcanic!A484</f>
        <v>5/1998</v>
      </c>
      <c r="B484" s="43">
        <f>Volcanic!B484</f>
        <v>0.67999999999999972</v>
      </c>
      <c r="C484" s="47">
        <f>Volcanic!C484</f>
        <v>0.40038178530727464</v>
      </c>
      <c r="D484" s="41">
        <v>0.4</v>
      </c>
      <c r="E484" s="43">
        <f t="shared" si="110"/>
        <v>1.9</v>
      </c>
      <c r="F484" s="48">
        <v>3.0799999999999998E-3</v>
      </c>
      <c r="G484" s="47">
        <f t="shared" si="111"/>
        <v>3.31E-3</v>
      </c>
      <c r="H484" s="43">
        <f>Volcanic!D484</f>
        <v>1.91</v>
      </c>
      <c r="I484" s="47">
        <f>Volcanic!E484</f>
        <v>4.3600000000000002E-3</v>
      </c>
      <c r="K484" s="47">
        <f t="shared" si="98"/>
        <v>0.40038178530727464</v>
      </c>
      <c r="L484" s="47">
        <f t="shared" si="99"/>
        <v>1.9</v>
      </c>
      <c r="M484" s="47">
        <f t="shared" si="100"/>
        <v>4.3600000000000002E-3</v>
      </c>
      <c r="O484" s="47">
        <f t="shared" si="101"/>
        <v>0.40038178530727464</v>
      </c>
      <c r="P484" s="47">
        <f t="shared" si="102"/>
        <v>1.91</v>
      </c>
      <c r="Q484" s="47">
        <f t="shared" si="103"/>
        <v>3.31E-3</v>
      </c>
      <c r="S484" s="47">
        <f t="shared" si="104"/>
        <v>0.40038178530727464</v>
      </c>
      <c r="T484" s="47">
        <f t="shared" si="105"/>
        <v>1.9</v>
      </c>
      <c r="U484" s="47">
        <f t="shared" si="106"/>
        <v>3.31E-3</v>
      </c>
      <c r="W484" s="47">
        <f t="shared" si="107"/>
        <v>-1.8285671691113503E-2</v>
      </c>
      <c r="X484" s="47">
        <f t="shared" si="108"/>
        <v>-2.1157757341064953E-2</v>
      </c>
      <c r="Y484" s="47">
        <f t="shared" si="109"/>
        <v>-2.0045005170964303E-2</v>
      </c>
      <c r="AP484" s="48">
        <v>0.70699999999999996</v>
      </c>
      <c r="AQ484" s="48">
        <v>0.75770000000000004</v>
      </c>
      <c r="AR484" s="47">
        <f>IF(AP484="","",AP484-($AC$60+$AC$61*Volcanic!C484+$AC$62*Volcanic!D484+$AC$63*Volcanic!E484))</f>
        <v>1.3760080469784164E-2</v>
      </c>
      <c r="AS484" s="47">
        <f>IF(AQ484="","",AQ484-($AD$60+$AD$61*Volcanic!C484+$AD$62*Volcanic!D484+$AD$63*Volcanic!E484))</f>
        <v>4.1629770038506542E-2</v>
      </c>
    </row>
    <row r="485" spans="1:45">
      <c r="A485" s="45" t="str">
        <f>Volcanic!A485</f>
        <v>6/1998</v>
      </c>
      <c r="B485" s="43">
        <f>Volcanic!B485</f>
        <v>0.77000000000000135</v>
      </c>
      <c r="C485" s="47">
        <f>Volcanic!C485</f>
        <v>0.39870216614997578</v>
      </c>
      <c r="D485" s="41">
        <v>-0.1</v>
      </c>
      <c r="E485" s="43">
        <f t="shared" si="110"/>
        <v>1.4</v>
      </c>
      <c r="F485" s="48">
        <v>3.1099999999999999E-3</v>
      </c>
      <c r="G485" s="47">
        <f t="shared" si="111"/>
        <v>3.31E-3</v>
      </c>
      <c r="H485" s="43">
        <f>Volcanic!D485</f>
        <v>1.4</v>
      </c>
      <c r="I485" s="47">
        <f>Volcanic!E485</f>
        <v>4.3899999999999998E-3</v>
      </c>
      <c r="K485" s="47">
        <f t="shared" si="98"/>
        <v>0.39870216614997578</v>
      </c>
      <c r="L485" s="47">
        <f t="shared" si="99"/>
        <v>1.4</v>
      </c>
      <c r="M485" s="47">
        <f t="shared" si="100"/>
        <v>4.3899999999999998E-3</v>
      </c>
      <c r="O485" s="47">
        <f t="shared" si="101"/>
        <v>0.39870216614997578</v>
      </c>
      <c r="P485" s="47">
        <f t="shared" si="102"/>
        <v>1.4</v>
      </c>
      <c r="Q485" s="47">
        <f t="shared" si="103"/>
        <v>3.31E-3</v>
      </c>
      <c r="S485" s="47">
        <f t="shared" si="104"/>
        <v>0.39870216614997578</v>
      </c>
      <c r="T485" s="47">
        <f t="shared" si="105"/>
        <v>1.4</v>
      </c>
      <c r="U485" s="47">
        <f t="shared" si="106"/>
        <v>3.31E-3</v>
      </c>
      <c r="W485" s="47">
        <f t="shared" si="107"/>
        <v>0.12279766577617213</v>
      </c>
      <c r="X485" s="47">
        <f t="shared" si="108"/>
        <v>0.12129067909674274</v>
      </c>
      <c r="Y485" s="47">
        <f t="shared" si="109"/>
        <v>0.12150103034317605</v>
      </c>
      <c r="AP485" s="48">
        <v>0.73799999999999999</v>
      </c>
      <c r="AQ485" s="48">
        <v>0.77470000000000006</v>
      </c>
      <c r="AR485" s="47">
        <f>IF(AP485="","",AP485-($AC$60+$AC$61*Volcanic!C485+$AC$62*Volcanic!D485+$AC$63*Volcanic!E485))</f>
        <v>9.7177649759429552E-2</v>
      </c>
      <c r="AS485" s="47">
        <f>IF(AQ485="","",AQ485-($AD$60+$AD$61*Volcanic!C485+$AD$62*Volcanic!D485+$AD$63*Volcanic!E485))</f>
        <v>0.11214072224843485</v>
      </c>
    </row>
    <row r="486" spans="1:45">
      <c r="A486" s="45" t="str">
        <f>Volcanic!A486</f>
        <v>7/1998</v>
      </c>
      <c r="B486" s="43">
        <f>Volcanic!B486</f>
        <v>0.66000000000000369</v>
      </c>
      <c r="C486" s="47">
        <f>Volcanic!C486</f>
        <v>0.39420052964215635</v>
      </c>
      <c r="D486" s="41">
        <v>-0.6</v>
      </c>
      <c r="E486" s="43">
        <f t="shared" si="110"/>
        <v>1</v>
      </c>
      <c r="F486" s="48">
        <v>3.1700000000000001E-3</v>
      </c>
      <c r="G486" s="47">
        <f t="shared" si="111"/>
        <v>3.3500000000000001E-3</v>
      </c>
      <c r="H486" s="43">
        <f>Volcanic!D486</f>
        <v>1.03</v>
      </c>
      <c r="I486" s="47">
        <f>Volcanic!E486</f>
        <v>4.3899999999999998E-3</v>
      </c>
      <c r="K486" s="47">
        <f t="shared" si="98"/>
        <v>0.39420052964215635</v>
      </c>
      <c r="L486" s="47">
        <f t="shared" si="99"/>
        <v>1</v>
      </c>
      <c r="M486" s="47">
        <f t="shared" si="100"/>
        <v>4.3899999999999998E-3</v>
      </c>
      <c r="O486" s="47">
        <f t="shared" si="101"/>
        <v>0.39420052964215635</v>
      </c>
      <c r="P486" s="47">
        <f t="shared" si="102"/>
        <v>1.03</v>
      </c>
      <c r="Q486" s="47">
        <f t="shared" si="103"/>
        <v>3.3500000000000001E-3</v>
      </c>
      <c r="S486" s="47">
        <f t="shared" si="104"/>
        <v>0.39420052964215635</v>
      </c>
      <c r="T486" s="47">
        <f t="shared" si="105"/>
        <v>1</v>
      </c>
      <c r="U486" s="47">
        <f t="shared" si="106"/>
        <v>3.3500000000000001E-3</v>
      </c>
      <c r="W486" s="47">
        <f t="shared" si="107"/>
        <v>6.222363226762162E-2</v>
      </c>
      <c r="X486" s="47">
        <f t="shared" si="108"/>
        <v>5.8322106084108816E-2</v>
      </c>
      <c r="Y486" s="47">
        <f t="shared" si="109"/>
        <v>6.1379278875303922E-2</v>
      </c>
      <c r="AP486" s="48">
        <v>0.73070000000000002</v>
      </c>
      <c r="AQ486" s="48">
        <v>0.70669999999999999</v>
      </c>
      <c r="AR486" s="47">
        <f>IF(AP486="","",AP486-($AC$60+$AC$61*Volcanic!C486+$AC$62*Volcanic!D486+$AC$63*Volcanic!E486))</f>
        <v>0.13681854229211676</v>
      </c>
      <c r="AS486" s="47">
        <f>IF(AQ486="","",AQ486-($AD$60+$AD$61*Volcanic!C486+$AD$62*Volcanic!D486+$AD$63*Volcanic!E486))</f>
        <v>9.2108125593263757E-2</v>
      </c>
    </row>
    <row r="487" spans="1:45">
      <c r="A487" s="45" t="str">
        <f>Volcanic!A487</f>
        <v>8/1998</v>
      </c>
      <c r="B487" s="43">
        <f>Volcanic!B487</f>
        <v>0.65000000000000213</v>
      </c>
      <c r="C487" s="47">
        <f>Volcanic!C487</f>
        <v>0.38681094647221681</v>
      </c>
      <c r="D487" s="41">
        <v>-0.8</v>
      </c>
      <c r="E487" s="43">
        <f t="shared" si="110"/>
        <v>0.4</v>
      </c>
      <c r="F487" s="48">
        <v>3.2399999999999998E-3</v>
      </c>
      <c r="G487" s="47">
        <f t="shared" si="111"/>
        <v>3.1800000000000001E-3</v>
      </c>
      <c r="H487" s="43">
        <f>Volcanic!D487</f>
        <v>0.4</v>
      </c>
      <c r="I487" s="47">
        <f>Volcanic!E487</f>
        <v>4.3400000000000001E-3</v>
      </c>
      <c r="K487" s="47">
        <f t="shared" si="98"/>
        <v>0.38681094647221681</v>
      </c>
      <c r="L487" s="47">
        <f t="shared" si="99"/>
        <v>0.4</v>
      </c>
      <c r="M487" s="47">
        <f t="shared" si="100"/>
        <v>4.3400000000000001E-3</v>
      </c>
      <c r="O487" s="47">
        <f t="shared" si="101"/>
        <v>0.38681094647221681</v>
      </c>
      <c r="P487" s="47">
        <f t="shared" si="102"/>
        <v>0.4</v>
      </c>
      <c r="Q487" s="47">
        <f t="shared" si="103"/>
        <v>3.1800000000000001E-3</v>
      </c>
      <c r="S487" s="47">
        <f t="shared" si="104"/>
        <v>0.38681094647221681</v>
      </c>
      <c r="T487" s="47">
        <f t="shared" si="105"/>
        <v>0.4</v>
      </c>
      <c r="U487" s="47">
        <f t="shared" si="106"/>
        <v>3.1800000000000001E-3</v>
      </c>
      <c r="W487" s="47">
        <f t="shared" si="107"/>
        <v>0.12798995085983833</v>
      </c>
      <c r="X487" s="47">
        <f t="shared" si="108"/>
        <v>0.1270360541755432</v>
      </c>
      <c r="Y487" s="47">
        <f t="shared" si="109"/>
        <v>0.12731734369144776</v>
      </c>
      <c r="AP487" s="48">
        <v>0.72250000000000003</v>
      </c>
      <c r="AQ487" s="48">
        <v>0.74170000000000003</v>
      </c>
      <c r="AR487" s="47">
        <f>IF(AP487="","",AP487-($AC$60+$AC$61*Volcanic!C487+$AC$62*Volcanic!D487+$AC$63*Volcanic!E487))</f>
        <v>0.20767270165611873</v>
      </c>
      <c r="AS487" s="47">
        <f>IF(AQ487="","",AQ487-($AD$60+$AD$61*Volcanic!C487+$AD$62*Volcanic!D487+$AD$63*Volcanic!E487))</f>
        <v>0.20789656593437411</v>
      </c>
    </row>
    <row r="488" spans="1:45">
      <c r="A488" s="45" t="str">
        <f>Volcanic!A488</f>
        <v>9/1998</v>
      </c>
      <c r="B488" s="43">
        <f>Volcanic!B488</f>
        <v>0.42000000000000348</v>
      </c>
      <c r="C488" s="47">
        <f>Volcanic!C488</f>
        <v>0.37914563558689091</v>
      </c>
      <c r="D488" s="41">
        <v>-1</v>
      </c>
      <c r="E488" s="43">
        <f t="shared" si="110"/>
        <v>-0.1</v>
      </c>
      <c r="F488" s="48">
        <v>3.3400000000000001E-3</v>
      </c>
      <c r="G488" s="47">
        <f t="shared" si="111"/>
        <v>3.0799999999999998E-3</v>
      </c>
      <c r="H488" s="43">
        <f>Volcanic!D488</f>
        <v>-0.08</v>
      </c>
      <c r="I488" s="47">
        <f>Volcanic!E488</f>
        <v>4.2599999999999999E-3</v>
      </c>
      <c r="K488" s="47">
        <f t="shared" si="98"/>
        <v>0.37914563558689091</v>
      </c>
      <c r="L488" s="47">
        <f t="shared" si="99"/>
        <v>-0.1</v>
      </c>
      <c r="M488" s="47">
        <f t="shared" si="100"/>
        <v>4.2599999999999999E-3</v>
      </c>
      <c r="O488" s="47">
        <f t="shared" si="101"/>
        <v>0.37914563558689091</v>
      </c>
      <c r="P488" s="47">
        <f t="shared" si="102"/>
        <v>-0.08</v>
      </c>
      <c r="Q488" s="47">
        <f t="shared" si="103"/>
        <v>3.0799999999999998E-3</v>
      </c>
      <c r="S488" s="47">
        <f t="shared" si="104"/>
        <v>0.37914563558689091</v>
      </c>
      <c r="T488" s="47">
        <f t="shared" si="105"/>
        <v>-0.1</v>
      </c>
      <c r="U488" s="47">
        <f t="shared" si="106"/>
        <v>3.0799999999999998E-3</v>
      </c>
      <c r="W488" s="47">
        <f t="shared" si="107"/>
        <v>-3.4845216772821264E-2</v>
      </c>
      <c r="X488" s="47">
        <f t="shared" si="108"/>
        <v>-3.7412081051485968E-2</v>
      </c>
      <c r="Y488" s="47">
        <f t="shared" si="109"/>
        <v>-3.5217227204958734E-2</v>
      </c>
      <c r="AP488" s="48">
        <v>0.50519999999999998</v>
      </c>
      <c r="AQ488" s="48">
        <v>0.48570000000000002</v>
      </c>
      <c r="AR488" s="47">
        <f>IF(AP488="","",AP488-($AC$60+$AC$61*Volcanic!C488+$AC$62*Volcanic!D488+$AC$63*Volcanic!E488))</f>
        <v>5.6060814162422479E-2</v>
      </c>
      <c r="AS488" s="47">
        <f>IF(AQ488="","",AQ488-($AD$60+$AD$61*Volcanic!C488+$AD$62*Volcanic!D488+$AD$63*Volcanic!E488))</f>
        <v>1.9053929849228823E-2</v>
      </c>
    </row>
    <row r="489" spans="1:45">
      <c r="A489" s="45" t="str">
        <f>Volcanic!A489</f>
        <v>10/1998</v>
      </c>
      <c r="B489" s="43">
        <f>Volcanic!B489</f>
        <v>0.42000000000000348</v>
      </c>
      <c r="C489" s="47">
        <f>Volcanic!C489</f>
        <v>0.38065029913905807</v>
      </c>
      <c r="D489" s="41">
        <v>-1.1000000000000001</v>
      </c>
      <c r="E489" s="43">
        <f t="shared" si="110"/>
        <v>-0.6</v>
      </c>
      <c r="F489" s="48">
        <v>3.3500000000000001E-3</v>
      </c>
      <c r="G489" s="47">
        <f t="shared" si="111"/>
        <v>3.0100000000000001E-3</v>
      </c>
      <c r="H489" s="43">
        <f>Volcanic!D489</f>
        <v>-0.63</v>
      </c>
      <c r="I489" s="47">
        <f>Volcanic!E489</f>
        <v>4.1900000000000001E-3</v>
      </c>
      <c r="K489" s="47">
        <f t="shared" si="98"/>
        <v>0.38065029913905807</v>
      </c>
      <c r="L489" s="47">
        <f t="shared" si="99"/>
        <v>-0.6</v>
      </c>
      <c r="M489" s="47">
        <f t="shared" si="100"/>
        <v>4.1900000000000001E-3</v>
      </c>
      <c r="O489" s="47">
        <f t="shared" si="101"/>
        <v>0.38065029913905807</v>
      </c>
      <c r="P489" s="47">
        <f t="shared" si="102"/>
        <v>-0.63</v>
      </c>
      <c r="Q489" s="47">
        <f t="shared" si="103"/>
        <v>3.0100000000000001E-3</v>
      </c>
      <c r="S489" s="47">
        <f t="shared" si="104"/>
        <v>0.38065029913905807</v>
      </c>
      <c r="T489" s="47">
        <f t="shared" si="105"/>
        <v>-0.6</v>
      </c>
      <c r="U489" s="47">
        <f t="shared" si="106"/>
        <v>3.0100000000000001E-3</v>
      </c>
      <c r="W489" s="47">
        <f t="shared" si="107"/>
        <v>7.3337497615465486E-3</v>
      </c>
      <c r="X489" s="47">
        <f t="shared" si="108"/>
        <v>1.0001950955463745E-2</v>
      </c>
      <c r="Y489" s="47">
        <f t="shared" si="109"/>
        <v>7.5377047320765445E-3</v>
      </c>
      <c r="AP489" s="48">
        <v>0.48549999999999999</v>
      </c>
      <c r="AQ489" s="48">
        <v>0.47170000000000001</v>
      </c>
      <c r="AR489" s="47">
        <f>IF(AP489="","",AP489-($AC$60+$AC$61*Volcanic!C489+$AC$62*Volcanic!D489+$AC$63*Volcanic!E489))</f>
        <v>8.3588539330334999E-2</v>
      </c>
      <c r="AS489" s="47">
        <f>IF(AQ489="","",AQ489-($AD$60+$AD$61*Volcanic!C489+$AD$62*Volcanic!D489+$AD$63*Volcanic!E489))</f>
        <v>5.3239585217734087E-2</v>
      </c>
    </row>
    <row r="490" spans="1:45">
      <c r="A490" s="45" t="str">
        <f>Volcanic!A490</f>
        <v>11/1998</v>
      </c>
      <c r="B490" s="43">
        <f>Volcanic!B490</f>
        <v>0.42999999999999972</v>
      </c>
      <c r="C490" s="47">
        <f>Volcanic!C490</f>
        <v>0.38511544395370917</v>
      </c>
      <c r="D490" s="41">
        <v>-1.3</v>
      </c>
      <c r="E490" s="43">
        <f t="shared" si="110"/>
        <v>-0.8</v>
      </c>
      <c r="F490" s="48">
        <v>3.3E-3</v>
      </c>
      <c r="G490" s="47">
        <f t="shared" si="111"/>
        <v>3.0100000000000001E-3</v>
      </c>
      <c r="H490" s="43">
        <f>Volcanic!D490</f>
        <v>-0.83</v>
      </c>
      <c r="I490" s="47">
        <f>Volcanic!E490</f>
        <v>4.1700000000000001E-3</v>
      </c>
      <c r="K490" s="47">
        <f t="shared" si="98"/>
        <v>0.38511544395370917</v>
      </c>
      <c r="L490" s="47">
        <f t="shared" si="99"/>
        <v>-0.8</v>
      </c>
      <c r="M490" s="47">
        <f t="shared" si="100"/>
        <v>4.1700000000000001E-3</v>
      </c>
      <c r="O490" s="47">
        <f t="shared" si="101"/>
        <v>0.38511544395370917</v>
      </c>
      <c r="P490" s="47">
        <f t="shared" si="102"/>
        <v>-0.83</v>
      </c>
      <c r="Q490" s="47">
        <f t="shared" si="103"/>
        <v>3.0100000000000001E-3</v>
      </c>
      <c r="S490" s="47">
        <f t="shared" si="104"/>
        <v>0.38511544395370917</v>
      </c>
      <c r="T490" s="47">
        <f t="shared" si="105"/>
        <v>-0.8</v>
      </c>
      <c r="U490" s="47">
        <f t="shared" si="106"/>
        <v>3.0100000000000001E-3</v>
      </c>
      <c r="W490" s="47">
        <f t="shared" si="107"/>
        <v>2.3687219945548676E-2</v>
      </c>
      <c r="X490" s="47">
        <f t="shared" si="108"/>
        <v>2.6717316997390772E-2</v>
      </c>
      <c r="Y490" s="47">
        <f t="shared" si="109"/>
        <v>2.4269410245145562E-2</v>
      </c>
      <c r="AP490" s="48">
        <v>0.4506</v>
      </c>
      <c r="AQ490" s="48">
        <v>0.4667</v>
      </c>
      <c r="AR490" s="47">
        <f>IF(AP490="","",AP490-($AC$60+$AC$61*Volcanic!C490+$AC$62*Volcanic!D490+$AC$63*Volcanic!E490))</f>
        <v>5.5176874991597458E-2</v>
      </c>
      <c r="AS490" s="47">
        <f>IF(AQ490="","",AQ490-($AD$60+$AD$61*Volcanic!C490+$AD$62*Volcanic!D490+$AD$63*Volcanic!E490))</f>
        <v>5.4800252240949698E-2</v>
      </c>
    </row>
    <row r="491" spans="1:45">
      <c r="A491" s="45" t="str">
        <f>Volcanic!A491</f>
        <v>12/1998</v>
      </c>
      <c r="B491" s="43">
        <f>Volcanic!B491</f>
        <v>0.54999999999999893</v>
      </c>
      <c r="C491" s="47">
        <f>Volcanic!C491</f>
        <v>0.3915320688993289</v>
      </c>
      <c r="D491" s="41">
        <v>-1.5</v>
      </c>
      <c r="E491" s="43">
        <f t="shared" si="110"/>
        <v>-1</v>
      </c>
      <c r="F491" s="48">
        <v>3.2299999999999998E-3</v>
      </c>
      <c r="G491" s="47">
        <f t="shared" si="111"/>
        <v>3.0799999999999998E-3</v>
      </c>
      <c r="H491" s="43">
        <f>Volcanic!D491</f>
        <v>-1.02</v>
      </c>
      <c r="I491" s="47">
        <f>Volcanic!E491</f>
        <v>4.2399999999999998E-3</v>
      </c>
      <c r="K491" s="47">
        <f t="shared" si="98"/>
        <v>0.3915320688993289</v>
      </c>
      <c r="L491" s="47">
        <f t="shared" si="99"/>
        <v>-1</v>
      </c>
      <c r="M491" s="47">
        <f t="shared" si="100"/>
        <v>4.2399999999999998E-3</v>
      </c>
      <c r="O491" s="47">
        <f t="shared" si="101"/>
        <v>0.3915320688993289</v>
      </c>
      <c r="P491" s="47">
        <f t="shared" si="102"/>
        <v>-1.02</v>
      </c>
      <c r="Q491" s="47">
        <f t="shared" si="103"/>
        <v>3.0799999999999998E-3</v>
      </c>
      <c r="S491" s="47">
        <f t="shared" si="104"/>
        <v>0.3915320688993289</v>
      </c>
      <c r="T491" s="47">
        <f t="shared" si="105"/>
        <v>-1</v>
      </c>
      <c r="U491" s="47">
        <f t="shared" si="106"/>
        <v>3.0799999999999998E-3</v>
      </c>
      <c r="W491" s="47">
        <f t="shared" si="107"/>
        <v>0.14491702721579047</v>
      </c>
      <c r="X491" s="47">
        <f t="shared" si="108"/>
        <v>0.14740023360746801</v>
      </c>
      <c r="Y491" s="47">
        <f t="shared" si="109"/>
        <v>0.14590883469134847</v>
      </c>
      <c r="AP491" s="48">
        <v>0.55520000000000003</v>
      </c>
      <c r="AQ491" s="48">
        <v>0.64670000000000005</v>
      </c>
      <c r="AR491" s="47">
        <f>IF(AP491="","",AP491-($AC$60+$AC$61*Volcanic!C491+$AC$62*Volcanic!D491+$AC$63*Volcanic!E491))</f>
        <v>0.16021659022429241</v>
      </c>
      <c r="AS491" s="47">
        <f>IF(AQ491="","",AQ491-($AD$60+$AD$61*Volcanic!C491+$AD$62*Volcanic!D491+$AD$63*Volcanic!E491))</f>
        <v>0.23514552138015776</v>
      </c>
    </row>
    <row r="492" spans="1:45">
      <c r="A492" s="45" t="str">
        <f>Volcanic!A492</f>
        <v>1/1999</v>
      </c>
      <c r="B492" s="43">
        <f>Volcanic!B492</f>
        <v>0.47999999999999865</v>
      </c>
      <c r="C492" s="47">
        <f>Volcanic!C492</f>
        <v>0.39565041545437801</v>
      </c>
      <c r="D492" s="41">
        <v>-1.5</v>
      </c>
      <c r="E492" s="43">
        <f t="shared" si="110"/>
        <v>-1.1000000000000001</v>
      </c>
      <c r="F492" s="48">
        <v>3.0599999999999998E-3</v>
      </c>
      <c r="G492" s="47">
        <f t="shared" si="111"/>
        <v>3.1099999999999999E-3</v>
      </c>
      <c r="H492" s="43">
        <f>Volcanic!D492</f>
        <v>-1.1200000000000001</v>
      </c>
      <c r="I492" s="47">
        <f>Volcanic!E492</f>
        <v>4.1700000000000001E-3</v>
      </c>
      <c r="K492" s="47">
        <f t="shared" si="98"/>
        <v>0.39565041545437801</v>
      </c>
      <c r="L492" s="47">
        <f t="shared" si="99"/>
        <v>-1.1000000000000001</v>
      </c>
      <c r="M492" s="47">
        <f t="shared" si="100"/>
        <v>4.1700000000000001E-3</v>
      </c>
      <c r="O492" s="47">
        <f t="shared" si="101"/>
        <v>0.39565041545437801</v>
      </c>
      <c r="P492" s="47">
        <f t="shared" si="102"/>
        <v>-1.1200000000000001</v>
      </c>
      <c r="Q492" s="47">
        <f t="shared" si="103"/>
        <v>3.1099999999999999E-3</v>
      </c>
      <c r="S492" s="47">
        <f t="shared" si="104"/>
        <v>0.39565041545437801</v>
      </c>
      <c r="T492" s="47">
        <f t="shared" si="105"/>
        <v>-1.1000000000000001</v>
      </c>
      <c r="U492" s="47">
        <f t="shared" si="106"/>
        <v>3.1099999999999999E-3</v>
      </c>
      <c r="W492" s="47">
        <f t="shared" si="107"/>
        <v>7.2818760750071876E-2</v>
      </c>
      <c r="X492" s="47">
        <f t="shared" si="108"/>
        <v>7.573796024677415E-2</v>
      </c>
      <c r="Y492" s="47">
        <f t="shared" si="109"/>
        <v>7.4255394409835862E-2</v>
      </c>
      <c r="AP492" s="48">
        <v>0.45700000000000002</v>
      </c>
      <c r="AQ492" s="48">
        <v>0.49769999999999998</v>
      </c>
      <c r="AR492" s="47">
        <f>IF(AP492="","",AP492-($AC$60+$AC$61*Volcanic!C492+$AC$62*Volcanic!D492+$AC$63*Volcanic!E492))</f>
        <v>5.9967075885778431E-2</v>
      </c>
      <c r="AS492" s="47">
        <f>IF(AQ492="","",AQ492-($AD$60+$AD$61*Volcanic!C492+$AD$62*Volcanic!D492+$AD$63*Volcanic!E492))</f>
        <v>8.400658233937186E-2</v>
      </c>
    </row>
    <row r="493" spans="1:45">
      <c r="A493" s="45" t="str">
        <f>Volcanic!A493</f>
        <v>2/1999</v>
      </c>
      <c r="B493" s="43">
        <f>Volcanic!B493</f>
        <v>0.64000000000000234</v>
      </c>
      <c r="C493" s="47">
        <f>Volcanic!C493</f>
        <v>0.39928830192579123</v>
      </c>
      <c r="D493" s="41">
        <v>-1.2</v>
      </c>
      <c r="E493" s="43">
        <f t="shared" si="110"/>
        <v>-1.3</v>
      </c>
      <c r="F493" s="48">
        <v>2.9299999999999999E-3</v>
      </c>
      <c r="G493" s="47">
        <f t="shared" si="111"/>
        <v>3.1700000000000001E-3</v>
      </c>
      <c r="H493" s="43">
        <f>Volcanic!D493</f>
        <v>-1.31</v>
      </c>
      <c r="I493" s="47">
        <f>Volcanic!E493</f>
        <v>4.1900000000000001E-3</v>
      </c>
      <c r="K493" s="47">
        <f t="shared" si="98"/>
        <v>0.39928830192579123</v>
      </c>
      <c r="L493" s="47">
        <f t="shared" si="99"/>
        <v>-1.3</v>
      </c>
      <c r="M493" s="47">
        <f t="shared" si="100"/>
        <v>4.1900000000000001E-3</v>
      </c>
      <c r="O493" s="47">
        <f t="shared" si="101"/>
        <v>0.39928830192579123</v>
      </c>
      <c r="P493" s="47">
        <f t="shared" si="102"/>
        <v>-1.31</v>
      </c>
      <c r="Q493" s="47">
        <f t="shared" si="103"/>
        <v>3.1700000000000001E-3</v>
      </c>
      <c r="S493" s="47">
        <f t="shared" si="104"/>
        <v>0.39928830192579123</v>
      </c>
      <c r="T493" s="47">
        <f t="shared" si="105"/>
        <v>-1.3</v>
      </c>
      <c r="U493" s="47">
        <f t="shared" si="106"/>
        <v>3.1700000000000001E-3</v>
      </c>
      <c r="W493" s="47">
        <f t="shared" si="107"/>
        <v>0.24151643000371475</v>
      </c>
      <c r="X493" s="47">
        <f t="shared" si="108"/>
        <v>0.24390728767751596</v>
      </c>
      <c r="Y493" s="47">
        <f t="shared" si="109"/>
        <v>0.24338035765499083</v>
      </c>
      <c r="AP493" s="48">
        <v>0.66990000000000005</v>
      </c>
      <c r="AQ493" s="48">
        <v>0.68069999999999997</v>
      </c>
      <c r="AR493" s="47">
        <f>IF(AP493="","",AP493-($AC$60+$AC$61*Volcanic!C493+$AC$62*Volcanic!D493+$AC$63*Volcanic!E493))</f>
        <v>0.28077412687458486</v>
      </c>
      <c r="AS493" s="47">
        <f>IF(AQ493="","",AQ493-($AD$60+$AD$61*Volcanic!C493+$AD$62*Volcanic!D493+$AD$63*Volcanic!E493))</f>
        <v>0.27502028221954561</v>
      </c>
    </row>
    <row r="494" spans="1:45">
      <c r="A494" s="45" t="str">
        <f>Volcanic!A494</f>
        <v>3/1999</v>
      </c>
      <c r="B494" s="43">
        <f>Volcanic!B494</f>
        <v>0.32999999999999652</v>
      </c>
      <c r="C494" s="47">
        <f>Volcanic!C494</f>
        <v>0.40147444051625025</v>
      </c>
      <c r="D494" s="41">
        <v>-0.9</v>
      </c>
      <c r="E494" s="43">
        <f t="shared" si="110"/>
        <v>-1.5</v>
      </c>
      <c r="F494" s="48">
        <v>2.8400000000000001E-3</v>
      </c>
      <c r="G494" s="47">
        <f t="shared" si="111"/>
        <v>3.2399999999999998E-3</v>
      </c>
      <c r="H494" s="43">
        <f>Volcanic!D494</f>
        <v>-1.47</v>
      </c>
      <c r="I494" s="47">
        <f>Volcanic!E494</f>
        <v>4.3899999999999998E-3</v>
      </c>
      <c r="K494" s="47">
        <f t="shared" si="98"/>
        <v>0.40147444051625025</v>
      </c>
      <c r="L494" s="47">
        <f t="shared" si="99"/>
        <v>-1.5</v>
      </c>
      <c r="M494" s="47">
        <f t="shared" si="100"/>
        <v>4.3899999999999998E-3</v>
      </c>
      <c r="O494" s="47">
        <f t="shared" si="101"/>
        <v>0.40147444051625025</v>
      </c>
      <c r="P494" s="47">
        <f t="shared" si="102"/>
        <v>-1.47</v>
      </c>
      <c r="Q494" s="47">
        <f t="shared" si="103"/>
        <v>3.2399999999999998E-3</v>
      </c>
      <c r="S494" s="47">
        <f t="shared" si="104"/>
        <v>0.40147444051625025</v>
      </c>
      <c r="T494" s="47">
        <f t="shared" si="105"/>
        <v>-1.5</v>
      </c>
      <c r="U494" s="47">
        <f t="shared" si="106"/>
        <v>3.2399999999999998E-3</v>
      </c>
      <c r="W494" s="47">
        <f t="shared" si="107"/>
        <v>-5.5430131165728258E-2</v>
      </c>
      <c r="X494" s="47">
        <f t="shared" si="108"/>
        <v>-5.6790428135200521E-2</v>
      </c>
      <c r="Y494" s="47">
        <f t="shared" si="109"/>
        <v>-5.3544045488871261E-2</v>
      </c>
      <c r="AP494" s="48">
        <v>0.32540000000000002</v>
      </c>
      <c r="AQ494" s="48">
        <v>0.37469999999999998</v>
      </c>
      <c r="AR494" s="47">
        <f>IF(AP494="","",AP494-($AC$60+$AC$61*Volcanic!C494+$AC$62*Volcanic!D494+$AC$63*Volcanic!E494))</f>
        <v>-5.4230904607020292E-2</v>
      </c>
      <c r="AS494" s="47">
        <f>IF(AQ494="","",AQ494-($AD$60+$AD$61*Volcanic!C494+$AD$62*Volcanic!D494+$AD$63*Volcanic!E494))</f>
        <v>-2.1354493582160072E-2</v>
      </c>
    </row>
    <row r="495" spans="1:45">
      <c r="A495" s="45" t="str">
        <f>Volcanic!A495</f>
        <v>4/1999</v>
      </c>
      <c r="B495" s="43">
        <f>Volcanic!B495</f>
        <v>0.32000000000000028</v>
      </c>
      <c r="C495" s="47">
        <f>Volcanic!C495</f>
        <v>0.40657554167160614</v>
      </c>
      <c r="D495" s="41">
        <v>-0.8</v>
      </c>
      <c r="E495" s="43">
        <f t="shared" si="110"/>
        <v>-1.5</v>
      </c>
      <c r="F495" s="48">
        <v>2.8400000000000001E-3</v>
      </c>
      <c r="G495" s="47">
        <f t="shared" si="111"/>
        <v>3.3400000000000001E-3</v>
      </c>
      <c r="H495" s="43">
        <f>Volcanic!D495</f>
        <v>-1.51</v>
      </c>
      <c r="I495" s="47">
        <f>Volcanic!E495</f>
        <v>4.7000000000000002E-3</v>
      </c>
      <c r="K495" s="47">
        <f t="shared" si="98"/>
        <v>0.40657554167160614</v>
      </c>
      <c r="L495" s="47">
        <f t="shared" si="99"/>
        <v>-1.5</v>
      </c>
      <c r="M495" s="47">
        <f t="shared" si="100"/>
        <v>4.7000000000000002E-3</v>
      </c>
      <c r="O495" s="47">
        <f t="shared" si="101"/>
        <v>0.40657554167160614</v>
      </c>
      <c r="P495" s="47">
        <f t="shared" si="102"/>
        <v>-1.51</v>
      </c>
      <c r="Q495" s="47">
        <f t="shared" si="103"/>
        <v>3.3400000000000001E-3</v>
      </c>
      <c r="S495" s="47">
        <f t="shared" si="104"/>
        <v>0.40657554167160614</v>
      </c>
      <c r="T495" s="47">
        <f t="shared" si="105"/>
        <v>-1.5</v>
      </c>
      <c r="U495" s="47">
        <f t="shared" si="106"/>
        <v>3.3400000000000001E-3</v>
      </c>
      <c r="W495" s="47">
        <f t="shared" si="107"/>
        <v>-7.8658509369148255E-2</v>
      </c>
      <c r="X495" s="47">
        <f t="shared" si="108"/>
        <v>-7.6562934340863642E-2</v>
      </c>
      <c r="Y495" s="47">
        <f t="shared" si="109"/>
        <v>-7.7072146576234735E-2</v>
      </c>
      <c r="AP495" s="48">
        <v>0.33779999999999999</v>
      </c>
      <c r="AQ495" s="48">
        <v>0.4017</v>
      </c>
      <c r="AR495" s="47">
        <f>IF(AP495="","",AP495-($AC$60+$AC$61*Volcanic!C495+$AC$62*Volcanic!D495+$AC$63*Volcanic!E495))</f>
        <v>-5.1268286577110411E-2</v>
      </c>
      <c r="AS495" s="47">
        <f>IF(AQ495="","",AQ495-($AD$60+$AD$61*Volcanic!C495+$AD$62*Volcanic!D495+$AD$63*Volcanic!E495))</f>
        <v>-4.1095474575543189E-3</v>
      </c>
    </row>
    <row r="496" spans="1:45">
      <c r="A496" s="45" t="str">
        <f>Volcanic!A496</f>
        <v>5/1999</v>
      </c>
      <c r="B496" s="43">
        <f>Volcanic!B496</f>
        <v>0.25999999999999979</v>
      </c>
      <c r="C496" s="47">
        <f>Volcanic!C496</f>
        <v>0.40645892413014484</v>
      </c>
      <c r="D496" s="41">
        <v>-0.8</v>
      </c>
      <c r="E496" s="43">
        <f t="shared" si="110"/>
        <v>-1.2</v>
      </c>
      <c r="F496" s="48">
        <v>2.96E-3</v>
      </c>
      <c r="G496" s="47">
        <f t="shared" si="111"/>
        <v>3.3500000000000001E-3</v>
      </c>
      <c r="H496" s="43">
        <f>Volcanic!D496</f>
        <v>-1.25</v>
      </c>
      <c r="I496" s="47">
        <f>Volcanic!E496</f>
        <v>4.7600000000000003E-3</v>
      </c>
      <c r="K496" s="47">
        <f t="shared" si="98"/>
        <v>0.40645892413014484</v>
      </c>
      <c r="L496" s="47">
        <f t="shared" si="99"/>
        <v>-1.2</v>
      </c>
      <c r="M496" s="47">
        <f t="shared" si="100"/>
        <v>4.7600000000000003E-3</v>
      </c>
      <c r="O496" s="47">
        <f t="shared" si="101"/>
        <v>0.40645892413014484</v>
      </c>
      <c r="P496" s="47">
        <f t="shared" si="102"/>
        <v>-1.25</v>
      </c>
      <c r="Q496" s="47">
        <f t="shared" si="103"/>
        <v>3.3500000000000001E-3</v>
      </c>
      <c r="S496" s="47">
        <f t="shared" si="104"/>
        <v>0.40645892413014484</v>
      </c>
      <c r="T496" s="47">
        <f t="shared" si="105"/>
        <v>-1.2</v>
      </c>
      <c r="U496" s="47">
        <f t="shared" si="106"/>
        <v>3.3500000000000001E-3</v>
      </c>
      <c r="W496" s="47">
        <f t="shared" si="107"/>
        <v>-0.16607025868890701</v>
      </c>
      <c r="X496" s="47">
        <f t="shared" si="108"/>
        <v>-0.1606449299006717</v>
      </c>
      <c r="Y496" s="47">
        <f t="shared" si="109"/>
        <v>-0.16493407559686046</v>
      </c>
      <c r="AP496" s="48">
        <v>0.31630000000000003</v>
      </c>
      <c r="AQ496" s="48">
        <v>0.3367</v>
      </c>
      <c r="AR496" s="47">
        <f>IF(AP496="","",AP496-($AC$60+$AC$61*Volcanic!C496+$AC$62*Volcanic!D496+$AC$63*Volcanic!E496))</f>
        <v>-9.665320407079725E-2</v>
      </c>
      <c r="AS496" s="47">
        <f>IF(AQ496="","",AQ496-($AD$60+$AD$61*Volcanic!C496+$AD$62*Volcanic!D496+$AD$63*Volcanic!E496))</f>
        <v>-9.34922187039679E-2</v>
      </c>
    </row>
    <row r="497" spans="1:45">
      <c r="A497" s="45" t="str">
        <f>Volcanic!A497</f>
        <v>6/1999</v>
      </c>
      <c r="B497" s="43">
        <f>Volcanic!B497</f>
        <v>0.36000000000000121</v>
      </c>
      <c r="C497" s="47">
        <f>Volcanic!C497</f>
        <v>0.40389095040272749</v>
      </c>
      <c r="D497" s="41">
        <v>-0.8</v>
      </c>
      <c r="E497" s="43">
        <f t="shared" si="110"/>
        <v>-0.9</v>
      </c>
      <c r="F497" s="48">
        <v>3.13E-3</v>
      </c>
      <c r="G497" s="47">
        <f t="shared" si="111"/>
        <v>3.3E-3</v>
      </c>
      <c r="H497" s="43">
        <f>Volcanic!D497</f>
        <v>-0.93</v>
      </c>
      <c r="I497" s="47">
        <f>Volcanic!E497</f>
        <v>4.5500000000000002E-3</v>
      </c>
      <c r="K497" s="47">
        <f t="shared" si="98"/>
        <v>0.40389095040272749</v>
      </c>
      <c r="L497" s="47">
        <f t="shared" si="99"/>
        <v>-0.9</v>
      </c>
      <c r="M497" s="47">
        <f t="shared" si="100"/>
        <v>4.5500000000000002E-3</v>
      </c>
      <c r="O497" s="47">
        <f t="shared" si="101"/>
        <v>0.40389095040272749</v>
      </c>
      <c r="P497" s="47">
        <f t="shared" si="102"/>
        <v>-0.93</v>
      </c>
      <c r="Q497" s="47">
        <f t="shared" si="103"/>
        <v>3.3E-3</v>
      </c>
      <c r="S497" s="47">
        <f t="shared" si="104"/>
        <v>0.40389095040272749</v>
      </c>
      <c r="T497" s="47">
        <f t="shared" si="105"/>
        <v>-0.9</v>
      </c>
      <c r="U497" s="47">
        <f t="shared" si="106"/>
        <v>3.3E-3</v>
      </c>
      <c r="W497" s="47">
        <f t="shared" si="107"/>
        <v>-8.7391742327778243E-2</v>
      </c>
      <c r="X497" s="47">
        <f t="shared" si="108"/>
        <v>-8.3892427083898879E-2</v>
      </c>
      <c r="Y497" s="47">
        <f t="shared" si="109"/>
        <v>-8.632626224181944E-2</v>
      </c>
      <c r="AP497" s="48">
        <v>0.3947</v>
      </c>
      <c r="AQ497" s="48">
        <v>0.42570000000000002</v>
      </c>
      <c r="AR497" s="47">
        <f>IF(AP497="","",AP497-($AC$60+$AC$61*Volcanic!C497+$AC$62*Volcanic!D497+$AC$63*Volcanic!E497))</f>
        <v>-4.1712808669062573E-2</v>
      </c>
      <c r="AS497" s="47">
        <f>IF(AQ497="","",AQ497-($AD$60+$AD$61*Volcanic!C497+$AD$62*Volcanic!D497+$AD$63*Volcanic!E497))</f>
        <v>-2.8361160000639651E-2</v>
      </c>
    </row>
    <row r="498" spans="1:45">
      <c r="A498" s="45" t="str">
        <f>Volcanic!A498</f>
        <v>7/1999</v>
      </c>
      <c r="B498" s="43">
        <f>Volcanic!B498</f>
        <v>0.38999999999999879</v>
      </c>
      <c r="C498" s="47">
        <f>Volcanic!C498</f>
        <v>0.40057696301241569</v>
      </c>
      <c r="D498" s="41">
        <v>-0.9</v>
      </c>
      <c r="E498" s="43">
        <f t="shared" si="110"/>
        <v>-0.8</v>
      </c>
      <c r="F498" s="48">
        <v>3.2499999999999999E-3</v>
      </c>
      <c r="G498" s="47">
        <f t="shared" si="111"/>
        <v>3.2299999999999998E-3</v>
      </c>
      <c r="H498" s="43">
        <f>Volcanic!D498</f>
        <v>-0.8</v>
      </c>
      <c r="I498" s="47">
        <f>Volcanic!E498</f>
        <v>4.3699999999999998E-3</v>
      </c>
      <c r="K498" s="47">
        <f t="shared" si="98"/>
        <v>0.40057696301241569</v>
      </c>
      <c r="L498" s="47">
        <f t="shared" si="99"/>
        <v>-0.8</v>
      </c>
      <c r="M498" s="47">
        <f t="shared" si="100"/>
        <v>4.3699999999999998E-3</v>
      </c>
      <c r="O498" s="47">
        <f t="shared" si="101"/>
        <v>0.40057696301241569</v>
      </c>
      <c r="P498" s="47">
        <f t="shared" si="102"/>
        <v>-0.8</v>
      </c>
      <c r="Q498" s="47">
        <f t="shared" si="103"/>
        <v>3.2299999999999998E-3</v>
      </c>
      <c r="S498" s="47">
        <f t="shared" si="104"/>
        <v>0.40057696301241569</v>
      </c>
      <c r="T498" s="47">
        <f t="shared" si="105"/>
        <v>-0.8</v>
      </c>
      <c r="U498" s="47">
        <f t="shared" si="106"/>
        <v>3.2299999999999998E-3</v>
      </c>
      <c r="W498" s="47">
        <f t="shared" si="107"/>
        <v>-5.8037965679580639E-2</v>
      </c>
      <c r="X498" s="47">
        <f t="shared" si="108"/>
        <v>-5.7327397687092718E-2</v>
      </c>
      <c r="Y498" s="47">
        <f t="shared" si="109"/>
        <v>-5.6951860201014393E-2</v>
      </c>
      <c r="AP498" s="48">
        <v>0.3821</v>
      </c>
      <c r="AQ498" s="48">
        <v>0.37869999999999998</v>
      </c>
      <c r="AR498" s="47">
        <f>IF(AP498="","",AP498-($AC$60+$AC$61*Volcanic!C498+$AC$62*Volcanic!D498+$AC$63*Volcanic!E498))</f>
        <v>-5.7870587083389935E-2</v>
      </c>
      <c r="AS498" s="47">
        <f>IF(AQ498="","",AQ498-($AD$60+$AD$61*Volcanic!C498+$AD$62*Volcanic!D498+$AD$63*Volcanic!E498))</f>
        <v>-7.8914663614906899E-2</v>
      </c>
    </row>
    <row r="499" spans="1:45">
      <c r="A499" s="45" t="str">
        <f>Volcanic!A499</f>
        <v>8/1999</v>
      </c>
      <c r="B499" s="43">
        <f>Volcanic!B499</f>
        <v>0.31000000000000227</v>
      </c>
      <c r="C499" s="47">
        <f>Volcanic!C499</f>
        <v>0.39058907956946148</v>
      </c>
      <c r="D499" s="41">
        <v>-0.9</v>
      </c>
      <c r="E499" s="43">
        <f t="shared" si="110"/>
        <v>-0.8</v>
      </c>
      <c r="F499" s="48">
        <v>3.2799999999999999E-3</v>
      </c>
      <c r="G499" s="47">
        <f t="shared" si="111"/>
        <v>3.0599999999999998E-3</v>
      </c>
      <c r="H499" s="43">
        <f>Volcanic!D499</f>
        <v>-0.79</v>
      </c>
      <c r="I499" s="47">
        <f>Volcanic!E499</f>
        <v>4.2399999999999998E-3</v>
      </c>
      <c r="K499" s="47">
        <f t="shared" si="98"/>
        <v>0.39058907956946148</v>
      </c>
      <c r="L499" s="47">
        <f t="shared" si="99"/>
        <v>-0.8</v>
      </c>
      <c r="M499" s="47">
        <f t="shared" si="100"/>
        <v>4.2399999999999998E-3</v>
      </c>
      <c r="O499" s="47">
        <f t="shared" si="101"/>
        <v>0.39058907956946148</v>
      </c>
      <c r="P499" s="47">
        <f t="shared" si="102"/>
        <v>-0.79</v>
      </c>
      <c r="Q499" s="47">
        <f t="shared" si="103"/>
        <v>3.0599999999999998E-3</v>
      </c>
      <c r="S499" s="47">
        <f t="shared" si="104"/>
        <v>0.39058907956946148</v>
      </c>
      <c r="T499" s="47">
        <f t="shared" si="105"/>
        <v>-0.8</v>
      </c>
      <c r="U499" s="47">
        <f t="shared" si="106"/>
        <v>3.0599999999999998E-3</v>
      </c>
      <c r="W499" s="47">
        <f t="shared" si="107"/>
        <v>-0.11108596183327712</v>
      </c>
      <c r="X499" s="47">
        <f t="shared" si="108"/>
        <v>-0.11170789778258611</v>
      </c>
      <c r="Y499" s="47">
        <f t="shared" si="109"/>
        <v>-0.11039654605070859</v>
      </c>
      <c r="AP499" s="48">
        <v>0.374</v>
      </c>
      <c r="AQ499" s="48">
        <v>0.35370000000000001</v>
      </c>
      <c r="AR499" s="47">
        <f>IF(AP499="","",AP499-($AC$60+$AC$61*Volcanic!C499+$AC$62*Volcanic!D499+$AC$63*Volcanic!E499))</f>
        <v>-3.9946848755673892E-2</v>
      </c>
      <c r="AS499" s="47">
        <f>IF(AQ499="","",AQ499-($AD$60+$AD$61*Volcanic!C499+$AD$62*Volcanic!D499+$AD$63*Volcanic!E499))</f>
        <v>-7.7193062538869706E-2</v>
      </c>
    </row>
    <row r="500" spans="1:45">
      <c r="A500" s="45" t="str">
        <f>Volcanic!A500</f>
        <v>9/1999</v>
      </c>
      <c r="B500" s="43">
        <f>Volcanic!B500</f>
        <v>0.38999999999999879</v>
      </c>
      <c r="C500" s="47">
        <f>Volcanic!C500</f>
        <v>0.38227199382725641</v>
      </c>
      <c r="D500" s="41">
        <v>-1</v>
      </c>
      <c r="E500" s="43">
        <f t="shared" si="110"/>
        <v>-0.8</v>
      </c>
      <c r="F500" s="48">
        <v>3.3400000000000001E-3</v>
      </c>
      <c r="G500" s="47">
        <f t="shared" si="111"/>
        <v>2.9299999999999999E-3</v>
      </c>
      <c r="H500" s="43">
        <f>Volcanic!D500</f>
        <v>-0.84</v>
      </c>
      <c r="I500" s="47">
        <f>Volcanic!E500</f>
        <v>4.0400000000000002E-3</v>
      </c>
      <c r="K500" s="47">
        <f t="shared" si="98"/>
        <v>0.38227199382725641</v>
      </c>
      <c r="L500" s="47">
        <f t="shared" si="99"/>
        <v>-0.8</v>
      </c>
      <c r="M500" s="47">
        <f t="shared" si="100"/>
        <v>4.0400000000000002E-3</v>
      </c>
      <c r="O500" s="47">
        <f t="shared" si="101"/>
        <v>0.38227199382725641</v>
      </c>
      <c r="P500" s="47">
        <f t="shared" si="102"/>
        <v>-0.84</v>
      </c>
      <c r="Q500" s="47">
        <f t="shared" si="103"/>
        <v>2.9299999999999999E-3</v>
      </c>
      <c r="S500" s="47">
        <f t="shared" si="104"/>
        <v>0.38227199382725641</v>
      </c>
      <c r="T500" s="47">
        <f t="shared" si="105"/>
        <v>-0.8</v>
      </c>
      <c r="U500" s="47">
        <f t="shared" si="106"/>
        <v>2.9299999999999999E-3</v>
      </c>
      <c r="W500" s="47">
        <f t="shared" si="107"/>
        <v>-8.8447216534522366E-3</v>
      </c>
      <c r="X500" s="47">
        <f t="shared" si="108"/>
        <v>-4.8648499508479603E-3</v>
      </c>
      <c r="Y500" s="47">
        <f t="shared" si="109"/>
        <v>-8.2532259143813791E-3</v>
      </c>
      <c r="AP500" s="48">
        <v>0.34649999999999997</v>
      </c>
      <c r="AQ500" s="48">
        <v>0.45269999999999999</v>
      </c>
      <c r="AR500" s="47">
        <f>IF(AP500="","",AP500-($AC$60+$AC$61*Volcanic!C500+$AC$62*Volcanic!D500+$AC$63*Volcanic!E500))</f>
        <v>-4.0535132101386151E-2</v>
      </c>
      <c r="AS500" s="47">
        <f>IF(AQ500="","",AQ500-($AD$60+$AD$61*Volcanic!C500+$AD$62*Volcanic!D500+$AD$63*Volcanic!E500))</f>
        <v>4.9422348211428158E-2</v>
      </c>
    </row>
    <row r="501" spans="1:45">
      <c r="A501" s="45" t="str">
        <f>Volcanic!A501</f>
        <v>10/1999</v>
      </c>
      <c r="B501" s="43">
        <f>Volcanic!B501</f>
        <v>0.33999999999999986</v>
      </c>
      <c r="C501" s="47">
        <f>Volcanic!C501</f>
        <v>0.38452352048875721</v>
      </c>
      <c r="D501" s="41">
        <v>-1.1000000000000001</v>
      </c>
      <c r="E501" s="43">
        <f t="shared" si="110"/>
        <v>-0.9</v>
      </c>
      <c r="F501" s="48">
        <v>3.2499999999999999E-3</v>
      </c>
      <c r="G501" s="47">
        <f t="shared" si="111"/>
        <v>2.8400000000000001E-3</v>
      </c>
      <c r="H501" s="43">
        <f>Volcanic!D501</f>
        <v>-0.9</v>
      </c>
      <c r="I501" s="47">
        <f>Volcanic!E501</f>
        <v>3.8800000000000002E-3</v>
      </c>
      <c r="K501" s="47">
        <f t="shared" si="98"/>
        <v>0.38452352048875721</v>
      </c>
      <c r="L501" s="47">
        <f t="shared" si="99"/>
        <v>-0.9</v>
      </c>
      <c r="M501" s="47">
        <f t="shared" si="100"/>
        <v>3.8800000000000002E-3</v>
      </c>
      <c r="O501" s="47">
        <f t="shared" si="101"/>
        <v>0.38452352048875721</v>
      </c>
      <c r="P501" s="47">
        <f t="shared" si="102"/>
        <v>-0.9</v>
      </c>
      <c r="Q501" s="47">
        <f t="shared" si="103"/>
        <v>2.8400000000000001E-3</v>
      </c>
      <c r="S501" s="47">
        <f t="shared" si="104"/>
        <v>0.38452352048875721</v>
      </c>
      <c r="T501" s="47">
        <f t="shared" si="105"/>
        <v>-0.9</v>
      </c>
      <c r="U501" s="47">
        <f t="shared" si="106"/>
        <v>2.8400000000000001E-3</v>
      </c>
      <c r="W501" s="47">
        <f t="shared" si="107"/>
        <v>-5.6050206420781956E-2</v>
      </c>
      <c r="X501" s="47">
        <f t="shared" si="108"/>
        <v>-5.5551006302293926E-2</v>
      </c>
      <c r="Y501" s="47">
        <f t="shared" si="109"/>
        <v>-5.5174036847430719E-2</v>
      </c>
      <c r="AP501" s="48">
        <v>0.378</v>
      </c>
      <c r="AQ501" s="48">
        <v>0.37969999999999998</v>
      </c>
      <c r="AR501" s="47">
        <f>IF(AP501="","",AP501-($AC$60+$AC$61*Volcanic!C501+$AC$62*Volcanic!D501+$AC$63*Volcanic!E501))</f>
        <v>-9.9494550011661187E-3</v>
      </c>
      <c r="AS501" s="47">
        <f>IF(AQ501="","",AQ501-($AD$60+$AD$61*Volcanic!C501+$AD$62*Volcanic!D501+$AD$63*Volcanic!E501))</f>
        <v>-2.4516533699043941E-2</v>
      </c>
    </row>
    <row r="502" spans="1:45">
      <c r="A502" s="45" t="str">
        <f>Volcanic!A502</f>
        <v>11/1999</v>
      </c>
      <c r="B502" s="43">
        <f>Volcanic!B502</f>
        <v>0.36999999999999744</v>
      </c>
      <c r="C502" s="47">
        <f>Volcanic!C502</f>
        <v>0.38988143286110233</v>
      </c>
      <c r="D502" s="41">
        <v>-1.3</v>
      </c>
      <c r="E502" s="43">
        <f t="shared" si="110"/>
        <v>-0.9</v>
      </c>
      <c r="F502" s="48">
        <v>3.2499999999999999E-3</v>
      </c>
      <c r="G502" s="47">
        <f t="shared" si="111"/>
        <v>2.8400000000000001E-3</v>
      </c>
      <c r="H502" s="43">
        <f>Volcanic!D502</f>
        <v>-0.94</v>
      </c>
      <c r="I502" s="47">
        <f>Volcanic!E502</f>
        <v>3.8500000000000001E-3</v>
      </c>
      <c r="K502" s="47">
        <f t="shared" si="98"/>
        <v>0.38988143286110233</v>
      </c>
      <c r="L502" s="47">
        <f t="shared" si="99"/>
        <v>-0.9</v>
      </c>
      <c r="M502" s="47">
        <f t="shared" si="100"/>
        <v>3.8500000000000001E-3</v>
      </c>
      <c r="O502" s="47">
        <f t="shared" si="101"/>
        <v>0.38988143286110233</v>
      </c>
      <c r="P502" s="47">
        <f t="shared" si="102"/>
        <v>-0.94</v>
      </c>
      <c r="Q502" s="47">
        <f t="shared" si="103"/>
        <v>2.8400000000000001E-3</v>
      </c>
      <c r="S502" s="47">
        <f t="shared" si="104"/>
        <v>0.38988143286110233</v>
      </c>
      <c r="T502" s="47">
        <f t="shared" si="105"/>
        <v>-0.9</v>
      </c>
      <c r="U502" s="47">
        <f t="shared" si="106"/>
        <v>2.8400000000000001E-3</v>
      </c>
      <c r="W502" s="47">
        <f t="shared" si="107"/>
        <v>-4.0728145992261877E-2</v>
      </c>
      <c r="X502" s="47">
        <f t="shared" si="108"/>
        <v>-3.6279097084854939E-2</v>
      </c>
      <c r="Y502" s="47">
        <f t="shared" si="109"/>
        <v>-3.9657952998761958E-2</v>
      </c>
      <c r="AP502" s="48">
        <v>0.35420000000000001</v>
      </c>
      <c r="AQ502" s="48">
        <v>0.37469999999999998</v>
      </c>
      <c r="AR502" s="47">
        <f>IF(AP502="","",AP502-($AC$60+$AC$61*Volcanic!C502+$AC$62*Volcanic!D502+$AC$63*Volcanic!E502))</f>
        <v>-4.4706195855089392E-2</v>
      </c>
      <c r="AS502" s="47">
        <f>IF(AQ502="","",AQ502-($AD$60+$AD$61*Volcanic!C502+$AD$62*Volcanic!D502+$AD$63*Volcanic!E502))</f>
        <v>-4.0769609261611106E-2</v>
      </c>
    </row>
    <row r="503" spans="1:45">
      <c r="A503" s="45" t="str">
        <f>Volcanic!A503</f>
        <v>12/1999</v>
      </c>
      <c r="B503" s="43">
        <f>Volcanic!B503</f>
        <v>0.40000000000000213</v>
      </c>
      <c r="C503" s="47">
        <f>Volcanic!C503</f>
        <v>0.3952978746136992</v>
      </c>
      <c r="D503" s="41">
        <v>-1.5</v>
      </c>
      <c r="E503" s="43">
        <f t="shared" si="110"/>
        <v>-1</v>
      </c>
      <c r="F503" s="48">
        <v>3.2299999999999998E-3</v>
      </c>
      <c r="G503" s="47">
        <f t="shared" si="111"/>
        <v>2.96E-3</v>
      </c>
      <c r="H503" s="43">
        <f>Volcanic!D503</f>
        <v>-1</v>
      </c>
      <c r="I503" s="47">
        <f>Volcanic!E503</f>
        <v>4.0000000000000001E-3</v>
      </c>
      <c r="K503" s="47">
        <f t="shared" si="98"/>
        <v>0.3952978746136992</v>
      </c>
      <c r="L503" s="47">
        <f t="shared" si="99"/>
        <v>-1</v>
      </c>
      <c r="M503" s="47">
        <f t="shared" si="100"/>
        <v>4.0000000000000001E-3</v>
      </c>
      <c r="O503" s="47">
        <f t="shared" si="101"/>
        <v>0.3952978746136992</v>
      </c>
      <c r="P503" s="47">
        <f t="shared" si="102"/>
        <v>-1</v>
      </c>
      <c r="Q503" s="47">
        <f t="shared" si="103"/>
        <v>2.96E-3</v>
      </c>
      <c r="S503" s="47">
        <f t="shared" si="104"/>
        <v>0.3952978746136992</v>
      </c>
      <c r="T503" s="47">
        <f t="shared" si="105"/>
        <v>-1</v>
      </c>
      <c r="U503" s="47">
        <f t="shared" si="106"/>
        <v>2.96E-3</v>
      </c>
      <c r="W503" s="47">
        <f t="shared" si="107"/>
        <v>-1.5881738019638936E-2</v>
      </c>
      <c r="X503" s="47">
        <f t="shared" si="108"/>
        <v>-1.4973172713303118E-2</v>
      </c>
      <c r="Y503" s="47">
        <f t="shared" si="109"/>
        <v>-1.4585077819663228E-2</v>
      </c>
      <c r="AP503" s="48">
        <v>0.38440000000000002</v>
      </c>
      <c r="AQ503" s="48">
        <v>0.47670000000000001</v>
      </c>
      <c r="AR503" s="47">
        <f>IF(AP503="","",AP503-($AC$60+$AC$61*Volcanic!C503+$AC$62*Volcanic!D503+$AC$63*Volcanic!E503))</f>
        <v>-2.3316739433593636E-2</v>
      </c>
      <c r="AS503" s="47">
        <f>IF(AQ503="","",AQ503-($AD$60+$AD$61*Volcanic!C503+$AD$62*Volcanic!D503+$AD$63*Volcanic!E503))</f>
        <v>5.2136931319948121E-2</v>
      </c>
    </row>
    <row r="504" spans="1:45">
      <c r="A504" s="45" t="str">
        <f>Volcanic!A504</f>
        <v>1/2000</v>
      </c>
      <c r="B504" s="43">
        <f>Volcanic!B504</f>
        <v>0.25000000000000355</v>
      </c>
      <c r="C504" s="47">
        <f>Volcanic!C504</f>
        <v>0.39995230138778842</v>
      </c>
      <c r="D504" s="41">
        <v>-1.5</v>
      </c>
      <c r="E504" s="43">
        <f t="shared" si="110"/>
        <v>-1.1000000000000001</v>
      </c>
      <c r="F504" s="48">
        <v>3.1099999999999999E-3</v>
      </c>
      <c r="G504" s="47">
        <f t="shared" si="111"/>
        <v>3.13E-3</v>
      </c>
      <c r="H504" s="43">
        <f>Volcanic!D504</f>
        <v>-1.1299999999999999</v>
      </c>
      <c r="I504" s="47">
        <f>Volcanic!E504</f>
        <v>4.1999999999999997E-3</v>
      </c>
      <c r="K504" s="47">
        <f t="shared" si="98"/>
        <v>0.39995230138778842</v>
      </c>
      <c r="L504" s="47">
        <f t="shared" si="99"/>
        <v>-1.1000000000000001</v>
      </c>
      <c r="M504" s="47">
        <f t="shared" si="100"/>
        <v>4.1999999999999997E-3</v>
      </c>
      <c r="O504" s="47">
        <f t="shared" si="101"/>
        <v>0.39995230138778842</v>
      </c>
      <c r="P504" s="47">
        <f t="shared" si="102"/>
        <v>-1.1299999999999999</v>
      </c>
      <c r="Q504" s="47">
        <f t="shared" si="103"/>
        <v>3.13E-3</v>
      </c>
      <c r="S504" s="47">
        <f t="shared" si="104"/>
        <v>0.39995230138778842</v>
      </c>
      <c r="T504" s="47">
        <f t="shared" si="105"/>
        <v>-1.1000000000000001</v>
      </c>
      <c r="U504" s="47">
        <f t="shared" si="106"/>
        <v>3.13E-3</v>
      </c>
      <c r="W504" s="47">
        <f t="shared" si="107"/>
        <v>-0.16884702420691633</v>
      </c>
      <c r="X504" s="47">
        <f t="shared" si="108"/>
        <v>-0.16490091034593379</v>
      </c>
      <c r="Y504" s="47">
        <f t="shared" si="109"/>
        <v>-0.16732147407863979</v>
      </c>
      <c r="AP504" s="48">
        <v>0.24829999999999999</v>
      </c>
      <c r="AQ504" s="48">
        <v>0.32169999999999999</v>
      </c>
      <c r="AR504" s="47">
        <f>IF(AP504="","",AP504-($AC$60+$AC$61*Volcanic!C504+$AC$62*Volcanic!D504+$AC$63*Volcanic!E504))</f>
        <v>-0.15947105164517814</v>
      </c>
      <c r="AS504" s="47">
        <f>IF(AQ504="","",AQ504-($AD$60+$AD$61*Volcanic!C504+$AD$62*Volcanic!D504+$AD$63*Volcanic!E504))</f>
        <v>-0.10301818494272019</v>
      </c>
    </row>
    <row r="505" spans="1:45">
      <c r="A505" s="45" t="str">
        <f>Volcanic!A505</f>
        <v>2/2000</v>
      </c>
      <c r="B505" s="43">
        <f>Volcanic!B505</f>
        <v>0.55999999999999872</v>
      </c>
      <c r="C505" s="47">
        <f>Volcanic!C505</f>
        <v>0.40096723922560795</v>
      </c>
      <c r="D505" s="41">
        <v>-1.3</v>
      </c>
      <c r="E505" s="43">
        <f t="shared" si="110"/>
        <v>-1.3</v>
      </c>
      <c r="F505" s="48">
        <v>3.0100000000000001E-3</v>
      </c>
      <c r="G505" s="47">
        <f t="shared" si="111"/>
        <v>3.2499999999999999E-3</v>
      </c>
      <c r="H505" s="43">
        <f>Volcanic!D505</f>
        <v>-1.35</v>
      </c>
      <c r="I505" s="47">
        <f>Volcanic!E505</f>
        <v>4.1999999999999997E-3</v>
      </c>
      <c r="K505" s="47">
        <f t="shared" si="98"/>
        <v>0.40096723922560795</v>
      </c>
      <c r="L505" s="47">
        <f t="shared" si="99"/>
        <v>-1.3</v>
      </c>
      <c r="M505" s="47">
        <f t="shared" si="100"/>
        <v>4.1999999999999997E-3</v>
      </c>
      <c r="O505" s="47">
        <f t="shared" si="101"/>
        <v>0.40096723922560795</v>
      </c>
      <c r="P505" s="47">
        <f t="shared" si="102"/>
        <v>-1.35</v>
      </c>
      <c r="Q505" s="47">
        <f t="shared" si="103"/>
        <v>3.2499999999999999E-3</v>
      </c>
      <c r="S505" s="47">
        <f t="shared" si="104"/>
        <v>0.40096723922560795</v>
      </c>
      <c r="T505" s="47">
        <f t="shared" si="105"/>
        <v>-1.3</v>
      </c>
      <c r="U505" s="47">
        <f t="shared" si="106"/>
        <v>3.2499999999999999E-3</v>
      </c>
      <c r="W505" s="47">
        <f t="shared" si="107"/>
        <v>0.156959750427135</v>
      </c>
      <c r="X505" s="47">
        <f t="shared" si="108"/>
        <v>0.1633346159704907</v>
      </c>
      <c r="Y505" s="47">
        <f t="shared" si="109"/>
        <v>0.15905099343936724</v>
      </c>
      <c r="AP505" s="48">
        <v>0.5645</v>
      </c>
      <c r="AQ505" s="48">
        <v>0.5837</v>
      </c>
      <c r="AR505" s="47">
        <f>IF(AP505="","",AP505-($AC$60+$AC$61*Volcanic!C505+$AC$62*Volcanic!D505+$AC$63*Volcanic!E505))</f>
        <v>0.17455947314453546</v>
      </c>
      <c r="AS505" s="47">
        <f>IF(AQ505="","",AQ505-($AD$60+$AD$61*Volcanic!C505+$AD$62*Volcanic!D505+$AD$63*Volcanic!E505))</f>
        <v>0.17716323561855074</v>
      </c>
    </row>
    <row r="506" spans="1:45">
      <c r="A506" s="45" t="str">
        <f>Volcanic!A506</f>
        <v>3/2000</v>
      </c>
      <c r="B506" s="43">
        <f>Volcanic!B506</f>
        <v>0.54999999999999893</v>
      </c>
      <c r="C506" s="47">
        <f>Volcanic!C506</f>
        <v>0.40501986550966412</v>
      </c>
      <c r="D506" s="41">
        <v>-1</v>
      </c>
      <c r="E506" s="43">
        <f t="shared" si="110"/>
        <v>-1.5</v>
      </c>
      <c r="F506" s="48">
        <v>2.9499999999999999E-3</v>
      </c>
      <c r="G506" s="47">
        <f t="shared" si="111"/>
        <v>3.2799999999999999E-3</v>
      </c>
      <c r="H506" s="43">
        <f>Volcanic!D506</f>
        <v>-1.53</v>
      </c>
      <c r="I506" s="47">
        <f>Volcanic!E506</f>
        <v>4.3200000000000001E-3</v>
      </c>
      <c r="K506" s="47">
        <f t="shared" si="98"/>
        <v>0.40501986550966412</v>
      </c>
      <c r="L506" s="47">
        <f t="shared" si="99"/>
        <v>-1.5</v>
      </c>
      <c r="M506" s="47">
        <f t="shared" si="100"/>
        <v>4.3200000000000001E-3</v>
      </c>
      <c r="O506" s="47">
        <f t="shared" si="101"/>
        <v>0.40501986550966412</v>
      </c>
      <c r="P506" s="47">
        <f t="shared" si="102"/>
        <v>-1.53</v>
      </c>
      <c r="Q506" s="47">
        <f t="shared" si="103"/>
        <v>3.2799999999999999E-3</v>
      </c>
      <c r="S506" s="47">
        <f t="shared" si="104"/>
        <v>0.40501986550966412</v>
      </c>
      <c r="T506" s="47">
        <f t="shared" si="105"/>
        <v>-1.5</v>
      </c>
      <c r="U506" s="47">
        <f t="shared" si="106"/>
        <v>3.2799999999999999E-3</v>
      </c>
      <c r="W506" s="47">
        <f t="shared" si="107"/>
        <v>0.15474671426393793</v>
      </c>
      <c r="X506" s="47">
        <f t="shared" si="108"/>
        <v>0.15936491724414381</v>
      </c>
      <c r="Y506" s="47">
        <f t="shared" si="109"/>
        <v>0.15697632544920798</v>
      </c>
      <c r="AP506" s="48">
        <v>0.51249999999999996</v>
      </c>
      <c r="AQ506" s="48">
        <v>0.55469999999999997</v>
      </c>
      <c r="AR506" s="47">
        <f>IF(AP506="","",AP506-($AC$60+$AC$61*Volcanic!C506+$AC$62*Volcanic!D506+$AC$63*Volcanic!E506))</f>
        <v>0.12863820125999248</v>
      </c>
      <c r="AS506" s="47">
        <f>IF(AQ506="","",AQ506-($AD$60+$AD$61*Volcanic!C506+$AD$62*Volcanic!D506+$AD$63*Volcanic!E506))</f>
        <v>0.15428868603908336</v>
      </c>
    </row>
    <row r="507" spans="1:45">
      <c r="A507" s="45" t="str">
        <f>Volcanic!A507</f>
        <v>4/2000</v>
      </c>
      <c r="B507" s="43">
        <f>Volcanic!B507</f>
        <v>0.55999999999999872</v>
      </c>
      <c r="C507" s="47">
        <f>Volcanic!C507</f>
        <v>0.40979822782841963</v>
      </c>
      <c r="D507" s="41">
        <v>-0.8</v>
      </c>
      <c r="E507" s="43">
        <f t="shared" si="110"/>
        <v>-1.5</v>
      </c>
      <c r="F507" s="48">
        <v>3.0000000000000001E-3</v>
      </c>
      <c r="G507" s="47">
        <f t="shared" si="111"/>
        <v>3.3400000000000001E-3</v>
      </c>
      <c r="H507" s="43">
        <f>Volcanic!D507</f>
        <v>-1.47</v>
      </c>
      <c r="I507" s="47">
        <f>Volcanic!E507</f>
        <v>4.4000000000000003E-3</v>
      </c>
      <c r="K507" s="47">
        <f t="shared" si="98"/>
        <v>0.40979822782841963</v>
      </c>
      <c r="L507" s="47">
        <f t="shared" si="99"/>
        <v>-1.5</v>
      </c>
      <c r="M507" s="47">
        <f t="shared" si="100"/>
        <v>4.4000000000000003E-3</v>
      </c>
      <c r="O507" s="47">
        <f t="shared" si="101"/>
        <v>0.40979822782841963</v>
      </c>
      <c r="P507" s="47">
        <f t="shared" si="102"/>
        <v>-1.47</v>
      </c>
      <c r="Q507" s="47">
        <f t="shared" si="103"/>
        <v>3.3400000000000001E-3</v>
      </c>
      <c r="S507" s="47">
        <f t="shared" si="104"/>
        <v>0.40979822782841963</v>
      </c>
      <c r="T507" s="47">
        <f t="shared" si="105"/>
        <v>-1.5</v>
      </c>
      <c r="U507" s="47">
        <f t="shared" si="106"/>
        <v>3.3400000000000001E-3</v>
      </c>
      <c r="W507" s="47">
        <f t="shared" si="107"/>
        <v>0.15189168270883735</v>
      </c>
      <c r="X507" s="47">
        <f t="shared" si="108"/>
        <v>0.1509668324345036</v>
      </c>
      <c r="Y507" s="47">
        <f t="shared" si="109"/>
        <v>0.15421604314514492</v>
      </c>
      <c r="AP507" s="48">
        <v>0.60270000000000001</v>
      </c>
      <c r="AQ507" s="48">
        <v>0.62670000000000003</v>
      </c>
      <c r="AR507" s="47">
        <f>IF(AP507="","",AP507-($AC$60+$AC$61*Volcanic!C507+$AC$62*Volcanic!D507+$AC$63*Volcanic!E507))</f>
        <v>0.2003641563841268</v>
      </c>
      <c r="AS507" s="47">
        <f>IF(AQ507="","",AQ507-($AD$60+$AD$61*Volcanic!C507+$AD$62*Volcanic!D507+$AD$63*Volcanic!E507))</f>
        <v>0.20735437417496405</v>
      </c>
    </row>
    <row r="508" spans="1:45">
      <c r="A508" s="45" t="str">
        <f>Volcanic!A508</f>
        <v>5/2000</v>
      </c>
      <c r="B508" s="43">
        <f>Volcanic!B508</f>
        <v>0.34999999999999787</v>
      </c>
      <c r="C508" s="47">
        <f>Volcanic!C508</f>
        <v>0.40890591510745228</v>
      </c>
      <c r="D508" s="41">
        <v>-0.7</v>
      </c>
      <c r="E508" s="43">
        <f t="shared" si="110"/>
        <v>-1.3</v>
      </c>
      <c r="F508" s="48">
        <v>3.1199999999999999E-3</v>
      </c>
      <c r="G508" s="47">
        <f t="shared" si="111"/>
        <v>3.2499999999999999E-3</v>
      </c>
      <c r="H508" s="43">
        <f>Volcanic!D508</f>
        <v>-1.26</v>
      </c>
      <c r="I508" s="47">
        <f>Volcanic!E508</f>
        <v>4.45E-3</v>
      </c>
      <c r="K508" s="47">
        <f t="shared" si="98"/>
        <v>0.40890591510745228</v>
      </c>
      <c r="L508" s="47">
        <f t="shared" si="99"/>
        <v>-1.3</v>
      </c>
      <c r="M508" s="47">
        <f t="shared" si="100"/>
        <v>4.45E-3</v>
      </c>
      <c r="O508" s="47">
        <f t="shared" si="101"/>
        <v>0.40890591510745228</v>
      </c>
      <c r="P508" s="47">
        <f t="shared" si="102"/>
        <v>-1.26</v>
      </c>
      <c r="Q508" s="47">
        <f t="shared" si="103"/>
        <v>3.2499999999999999E-3</v>
      </c>
      <c r="S508" s="47">
        <f t="shared" si="104"/>
        <v>0.40890591510745228</v>
      </c>
      <c r="T508" s="47">
        <f t="shared" si="105"/>
        <v>-1.3</v>
      </c>
      <c r="U508" s="47">
        <f t="shared" si="106"/>
        <v>3.2499999999999999E-3</v>
      </c>
      <c r="W508" s="47">
        <f t="shared" si="107"/>
        <v>-7.413933283209323E-2</v>
      </c>
      <c r="X508" s="47">
        <f t="shared" si="108"/>
        <v>-7.6582476139332167E-2</v>
      </c>
      <c r="Y508" s="47">
        <f t="shared" si="109"/>
        <v>-7.2409438877275467E-2</v>
      </c>
      <c r="AP508" s="48">
        <v>0.374</v>
      </c>
      <c r="AQ508" s="48">
        <v>0.40670000000000001</v>
      </c>
      <c r="AR508" s="47">
        <f>IF(AP508="","",AP508-($AC$60+$AC$61*Volcanic!C508+$AC$62*Volcanic!D508+$AC$63*Volcanic!E508))</f>
        <v>-4.5444448516093194E-2</v>
      </c>
      <c r="AS508" s="47">
        <f>IF(AQ508="","",AQ508-($AD$60+$AD$61*Volcanic!C508+$AD$62*Volcanic!D508+$AD$63*Volcanic!E508))</f>
        <v>-3.010034509525461E-2</v>
      </c>
    </row>
    <row r="509" spans="1:45">
      <c r="A509" s="45" t="str">
        <f>Volcanic!A509</f>
        <v>6/2000</v>
      </c>
      <c r="B509" s="43">
        <f>Volcanic!B509</f>
        <v>0.40000000000000213</v>
      </c>
      <c r="C509" s="47">
        <f>Volcanic!C509</f>
        <v>0.40937153842691504</v>
      </c>
      <c r="D509" s="41">
        <v>-0.6</v>
      </c>
      <c r="E509" s="43">
        <f t="shared" si="110"/>
        <v>-1</v>
      </c>
      <c r="F509" s="48">
        <v>3.13E-3</v>
      </c>
      <c r="G509" s="47">
        <f t="shared" si="111"/>
        <v>3.2499999999999999E-3</v>
      </c>
      <c r="H509" s="43">
        <f>Volcanic!D509</f>
        <v>-0.98</v>
      </c>
      <c r="I509" s="47">
        <f>Volcanic!E509</f>
        <v>4.4400000000000004E-3</v>
      </c>
      <c r="K509" s="47">
        <f t="shared" si="98"/>
        <v>0.40937153842691504</v>
      </c>
      <c r="L509" s="47">
        <f t="shared" si="99"/>
        <v>-1</v>
      </c>
      <c r="M509" s="47">
        <f t="shared" si="100"/>
        <v>4.4400000000000004E-3</v>
      </c>
      <c r="O509" s="47">
        <f t="shared" si="101"/>
        <v>0.40937153842691504</v>
      </c>
      <c r="P509" s="47">
        <f t="shared" si="102"/>
        <v>-0.98</v>
      </c>
      <c r="Q509" s="47">
        <f t="shared" si="103"/>
        <v>3.2499999999999999E-3</v>
      </c>
      <c r="S509" s="47">
        <f t="shared" si="104"/>
        <v>0.40937153842691504</v>
      </c>
      <c r="T509" s="47">
        <f t="shared" si="105"/>
        <v>-1</v>
      </c>
      <c r="U509" s="47">
        <f t="shared" si="106"/>
        <v>3.2499999999999999E-3</v>
      </c>
      <c r="W509" s="47">
        <f t="shared" si="107"/>
        <v>-5.3293187403903486E-2</v>
      </c>
      <c r="X509" s="47">
        <f t="shared" si="108"/>
        <v>-5.4143456927625289E-2</v>
      </c>
      <c r="Y509" s="47">
        <f t="shared" si="109"/>
        <v>-5.1871484013285174E-2</v>
      </c>
      <c r="AP509" s="48">
        <v>0.42020000000000002</v>
      </c>
      <c r="AQ509" s="48">
        <v>0.43269999999999997</v>
      </c>
      <c r="AR509" s="47">
        <f>IF(AP509="","",AP509-($AC$60+$AC$61*Volcanic!C509+$AC$62*Volcanic!D509+$AC$63*Volcanic!E509))</f>
        <v>-2.6760573661436138E-2</v>
      </c>
      <c r="AS509" s="47">
        <f>IF(AQ509="","",AQ509-($AD$60+$AD$61*Volcanic!C509+$AD$62*Volcanic!D509+$AD$63*Volcanic!E509))</f>
        <v>-3.2185422081159876E-2</v>
      </c>
    </row>
    <row r="510" spans="1:45">
      <c r="A510" s="45" t="str">
        <f>Volcanic!A510</f>
        <v>7/2000</v>
      </c>
      <c r="B510" s="43">
        <f>Volcanic!B510</f>
        <v>0.38999999999999879</v>
      </c>
      <c r="C510" s="47">
        <f>Volcanic!C510</f>
        <v>0.40217642497948264</v>
      </c>
      <c r="D510" s="41">
        <v>-0.5</v>
      </c>
      <c r="E510" s="43">
        <f t="shared" si="110"/>
        <v>-0.8</v>
      </c>
      <c r="F510" s="48">
        <v>3.1900000000000001E-3</v>
      </c>
      <c r="G510" s="47">
        <f t="shared" si="111"/>
        <v>3.2299999999999998E-3</v>
      </c>
      <c r="H510" s="43">
        <f>Volcanic!D510</f>
        <v>-0.81</v>
      </c>
      <c r="I510" s="47">
        <f>Volcanic!E510</f>
        <v>4.2500000000000003E-3</v>
      </c>
      <c r="K510" s="47">
        <f t="shared" si="98"/>
        <v>0.40217642497948264</v>
      </c>
      <c r="L510" s="47">
        <f t="shared" si="99"/>
        <v>-0.8</v>
      </c>
      <c r="M510" s="47">
        <f t="shared" si="100"/>
        <v>4.2500000000000003E-3</v>
      </c>
      <c r="O510" s="47">
        <f t="shared" si="101"/>
        <v>0.40217642497948264</v>
      </c>
      <c r="P510" s="47">
        <f t="shared" si="102"/>
        <v>-0.81</v>
      </c>
      <c r="Q510" s="47">
        <f t="shared" si="103"/>
        <v>3.2299999999999998E-3</v>
      </c>
      <c r="S510" s="47">
        <f t="shared" si="104"/>
        <v>0.40217642497948264</v>
      </c>
      <c r="T510" s="47">
        <f t="shared" si="105"/>
        <v>-0.8</v>
      </c>
      <c r="U510" s="47">
        <f t="shared" si="106"/>
        <v>3.2299999999999998E-3</v>
      </c>
      <c r="W510" s="47">
        <f t="shared" si="107"/>
        <v>-6.2664362310112465E-2</v>
      </c>
      <c r="X510" s="47">
        <f t="shared" si="108"/>
        <v>-6.0712307264661647E-2</v>
      </c>
      <c r="Y510" s="47">
        <f t="shared" si="109"/>
        <v>-6.1275647416686674E-2</v>
      </c>
      <c r="AP510" s="48">
        <v>0.4007</v>
      </c>
      <c r="AQ510" s="48">
        <v>0.37069999999999997</v>
      </c>
      <c r="AR510" s="47">
        <f>IF(AP510="","",AP510-($AC$60+$AC$61*Volcanic!C510+$AC$62*Volcanic!D510+$AC$63*Volcanic!E510))</f>
        <v>-4.299038389935822E-2</v>
      </c>
      <c r="AS510" s="47">
        <f>IF(AQ510="","",AQ510-($AD$60+$AD$61*Volcanic!C510+$AD$62*Volcanic!D510+$AD$63*Volcanic!E510))</f>
        <v>-9.0713784499436401E-2</v>
      </c>
    </row>
    <row r="511" spans="1:45">
      <c r="A511" s="45" t="str">
        <f>Volcanic!A511</f>
        <v>8/2000</v>
      </c>
      <c r="B511" s="43">
        <f>Volcanic!B511</f>
        <v>0.42000000000000348</v>
      </c>
      <c r="C511" s="47">
        <f>Volcanic!C511</f>
        <v>0.39533705007270242</v>
      </c>
      <c r="D511" s="41">
        <v>-0.4</v>
      </c>
      <c r="E511" s="43">
        <f t="shared" si="110"/>
        <v>-0.7</v>
      </c>
      <c r="F511" s="48">
        <v>3.2200000000000002E-3</v>
      </c>
      <c r="G511" s="47">
        <f t="shared" si="111"/>
        <v>3.1099999999999999E-3</v>
      </c>
      <c r="H511" s="43">
        <f>Volcanic!D511</f>
        <v>-0.67</v>
      </c>
      <c r="I511" s="47">
        <f>Volcanic!E511</f>
        <v>4.1799999999999997E-3</v>
      </c>
      <c r="K511" s="47">
        <f t="shared" si="98"/>
        <v>0.39533705007270242</v>
      </c>
      <c r="L511" s="47">
        <f t="shared" si="99"/>
        <v>-0.7</v>
      </c>
      <c r="M511" s="47">
        <f t="shared" si="100"/>
        <v>4.1799999999999997E-3</v>
      </c>
      <c r="O511" s="47">
        <f t="shared" si="101"/>
        <v>0.39533705007270242</v>
      </c>
      <c r="P511" s="47">
        <f t="shared" si="102"/>
        <v>-0.67</v>
      </c>
      <c r="Q511" s="47">
        <f t="shared" si="103"/>
        <v>3.1099999999999999E-3</v>
      </c>
      <c r="S511" s="47">
        <f t="shared" si="104"/>
        <v>0.39533705007270242</v>
      </c>
      <c r="T511" s="47">
        <f t="shared" si="105"/>
        <v>-0.7</v>
      </c>
      <c r="U511" s="47">
        <f t="shared" si="106"/>
        <v>3.1099999999999999E-3</v>
      </c>
      <c r="W511" s="47">
        <f t="shared" si="107"/>
        <v>-2.3453935307299167E-2</v>
      </c>
      <c r="X511" s="47">
        <f t="shared" si="108"/>
        <v>-2.5686114476114852E-2</v>
      </c>
      <c r="Y511" s="47">
        <f t="shared" si="109"/>
        <v>-2.2501941490696176E-2</v>
      </c>
      <c r="AP511" s="48">
        <v>0.44940000000000002</v>
      </c>
      <c r="AQ511" s="48">
        <v>0.46970000000000001</v>
      </c>
      <c r="AR511" s="47">
        <f>IF(AP511="","",AP511-($AC$60+$AC$61*Volcanic!C511+$AC$62*Volcanic!D511+$AC$63*Volcanic!E511))</f>
        <v>1.1106520394099595E-2</v>
      </c>
      <c r="AS511" s="47">
        <f>IF(AQ511="","",AQ511-($AD$60+$AD$61*Volcanic!C511+$AD$62*Volcanic!D511+$AD$63*Volcanic!E511))</f>
        <v>1.3903240181951548E-2</v>
      </c>
    </row>
    <row r="512" spans="1:45">
      <c r="A512" s="45" t="str">
        <f>Volcanic!A512</f>
        <v>9/2000</v>
      </c>
      <c r="B512" s="43">
        <f>Volcanic!B512</f>
        <v>0.38999999999999879</v>
      </c>
      <c r="C512" s="47">
        <f>Volcanic!C512</f>
        <v>0.39094277280254291</v>
      </c>
      <c r="D512" s="41">
        <v>-0.4</v>
      </c>
      <c r="E512" s="43">
        <f t="shared" si="110"/>
        <v>-0.6</v>
      </c>
      <c r="F512" s="48">
        <v>3.2499999999999999E-3</v>
      </c>
      <c r="G512" s="47">
        <f t="shared" si="111"/>
        <v>3.0100000000000001E-3</v>
      </c>
      <c r="H512" s="43">
        <f>Volcanic!D512</f>
        <v>-0.62</v>
      </c>
      <c r="I512" s="47">
        <f>Volcanic!E512</f>
        <v>4.0600000000000002E-3</v>
      </c>
      <c r="K512" s="47">
        <f t="shared" si="98"/>
        <v>0.39094277280254291</v>
      </c>
      <c r="L512" s="47">
        <f t="shared" si="99"/>
        <v>-0.6</v>
      </c>
      <c r="M512" s="47">
        <f t="shared" si="100"/>
        <v>4.0600000000000002E-3</v>
      </c>
      <c r="O512" s="47">
        <f t="shared" si="101"/>
        <v>0.39094277280254291</v>
      </c>
      <c r="P512" s="47">
        <f t="shared" si="102"/>
        <v>-0.62</v>
      </c>
      <c r="Q512" s="47">
        <f t="shared" si="103"/>
        <v>3.0100000000000001E-3</v>
      </c>
      <c r="S512" s="47">
        <f t="shared" si="104"/>
        <v>0.39094277280254291</v>
      </c>
      <c r="T512" s="47">
        <f t="shared" si="105"/>
        <v>-0.6</v>
      </c>
      <c r="U512" s="47">
        <f t="shared" si="106"/>
        <v>3.0100000000000001E-3</v>
      </c>
      <c r="W512" s="47">
        <f t="shared" si="107"/>
        <v>-5.1021833987720311E-2</v>
      </c>
      <c r="X512" s="47">
        <f t="shared" si="108"/>
        <v>-4.8763924157889993E-2</v>
      </c>
      <c r="Y512" s="47">
        <f t="shared" si="109"/>
        <v>-5.028569273540634E-2</v>
      </c>
      <c r="AP512" s="48">
        <v>0.38329999999999997</v>
      </c>
      <c r="AQ512" s="48">
        <v>0.44469999999999998</v>
      </c>
      <c r="AR512" s="47">
        <f>IF(AP512="","",AP512-($AC$60+$AC$61*Volcanic!C512+$AC$62*Volcanic!D512+$AC$63*Volcanic!E512))</f>
        <v>-4.7965429616553923E-2</v>
      </c>
      <c r="AS512" s="47">
        <f>IF(AQ512="","",AQ512-($AD$60+$AD$61*Volcanic!C512+$AD$62*Volcanic!D512+$AD$63*Volcanic!E512))</f>
        <v>-3.8419195426063757E-3</v>
      </c>
    </row>
    <row r="513" spans="1:45">
      <c r="A513" s="45" t="str">
        <f>Volcanic!A513</f>
        <v>10/2000</v>
      </c>
      <c r="B513" s="43">
        <f>Volcanic!B513</f>
        <v>0.27000000000000135</v>
      </c>
      <c r="C513" s="47">
        <f>Volcanic!C513</f>
        <v>0.39106065128020484</v>
      </c>
      <c r="D513" s="41">
        <v>-0.5</v>
      </c>
      <c r="E513" s="43">
        <f t="shared" si="110"/>
        <v>-0.5</v>
      </c>
      <c r="F513" s="48">
        <v>3.3E-3</v>
      </c>
      <c r="G513" s="47">
        <f t="shared" si="111"/>
        <v>2.9499999999999999E-3</v>
      </c>
      <c r="H513" s="43">
        <f>Volcanic!D513</f>
        <v>-0.48</v>
      </c>
      <c r="I513" s="47">
        <f>Volcanic!E513</f>
        <v>3.96E-3</v>
      </c>
      <c r="K513" s="47">
        <f t="shared" si="98"/>
        <v>0.39106065128020484</v>
      </c>
      <c r="L513" s="47">
        <f t="shared" si="99"/>
        <v>-0.5</v>
      </c>
      <c r="M513" s="47">
        <f t="shared" si="100"/>
        <v>3.96E-3</v>
      </c>
      <c r="O513" s="47">
        <f t="shared" si="101"/>
        <v>0.39106065128020484</v>
      </c>
      <c r="P513" s="47">
        <f t="shared" si="102"/>
        <v>-0.48</v>
      </c>
      <c r="Q513" s="47">
        <f t="shared" si="103"/>
        <v>2.9499999999999999E-3</v>
      </c>
      <c r="S513" s="47">
        <f t="shared" si="104"/>
        <v>0.39106065128020484</v>
      </c>
      <c r="T513" s="47">
        <f t="shared" si="105"/>
        <v>-0.5</v>
      </c>
      <c r="U513" s="47">
        <f t="shared" si="106"/>
        <v>2.9499999999999999E-3</v>
      </c>
      <c r="W513" s="47">
        <f t="shared" si="107"/>
        <v>-0.18085099032121216</v>
      </c>
      <c r="X513" s="47">
        <f t="shared" si="108"/>
        <v>-0.18239044877498761</v>
      </c>
      <c r="Y513" s="47">
        <f t="shared" si="109"/>
        <v>-0.18016241312949277</v>
      </c>
      <c r="AP513" s="48">
        <v>0.26540000000000002</v>
      </c>
      <c r="AQ513" s="48">
        <v>0.26169999999999999</v>
      </c>
      <c r="AR513" s="47">
        <f>IF(AP513="","",AP513-($AC$60+$AC$61*Volcanic!C513+$AC$62*Volcanic!D513+$AC$63*Volcanic!E513))</f>
        <v>-0.17953824373874938</v>
      </c>
      <c r="AS513" s="47">
        <f>IF(AQ513="","",AQ513-($AD$60+$AD$61*Volcanic!C513+$AD$62*Volcanic!D513+$AD$63*Volcanic!E513))</f>
        <v>-0.20078012632519276</v>
      </c>
    </row>
    <row r="514" spans="1:45">
      <c r="A514" s="45" t="str">
        <f>Volcanic!A514</f>
        <v>11/2000</v>
      </c>
      <c r="B514" s="43">
        <f>Volcanic!B514</f>
        <v>0.30000000000000249</v>
      </c>
      <c r="C514" s="47">
        <f>Volcanic!C514</f>
        <v>0.39635523879745971</v>
      </c>
      <c r="D514" s="41">
        <v>-0.8</v>
      </c>
      <c r="E514" s="43">
        <f t="shared" si="110"/>
        <v>-0.4</v>
      </c>
      <c r="F514" s="48">
        <v>3.3500000000000001E-3</v>
      </c>
      <c r="G514" s="47">
        <f t="shared" si="111"/>
        <v>3.0000000000000001E-3</v>
      </c>
      <c r="H514" s="43">
        <f>Volcanic!D514</f>
        <v>-0.4</v>
      </c>
      <c r="I514" s="47">
        <f>Volcanic!E514</f>
        <v>4.0699999999999998E-3</v>
      </c>
      <c r="K514" s="47">
        <f t="shared" ref="K514:K577" si="112">C514</f>
        <v>0.39635523879745971</v>
      </c>
      <c r="L514" s="47">
        <f t="shared" ref="L514:L577" si="113">E514</f>
        <v>-0.4</v>
      </c>
      <c r="M514" s="47">
        <f t="shared" ref="M514:M577" si="114">I514</f>
        <v>4.0699999999999998E-3</v>
      </c>
      <c r="O514" s="47">
        <f t="shared" ref="O514:O577" si="115">C514</f>
        <v>0.39635523879745971</v>
      </c>
      <c r="P514" s="47">
        <f t="shared" ref="P514:P577" si="116">H514</f>
        <v>-0.4</v>
      </c>
      <c r="Q514" s="47">
        <f t="shared" ref="Q514:Q577" si="117">G514</f>
        <v>3.0000000000000001E-3</v>
      </c>
      <c r="S514" s="47">
        <f t="shared" ref="S514:S577" si="118">C514</f>
        <v>0.39635523879745971</v>
      </c>
      <c r="T514" s="47">
        <f t="shared" ref="T514:T577" si="119">E514</f>
        <v>-0.4</v>
      </c>
      <c r="U514" s="47">
        <f t="shared" ref="U514:U577" si="120">G514</f>
        <v>3.0000000000000001E-3</v>
      </c>
      <c r="W514" s="47">
        <f t="shared" ref="W514:W577" si="121">IF(OR(L514="",M514=""),"",B514-($AB$6+$AB$7*K514+$AB$8*L514+$AB$9*M514))</f>
        <v>-0.17433507144603466</v>
      </c>
      <c r="X514" s="47">
        <f t="shared" ref="X514:X577" si="122">IF(OR(P514="",Q514=""),"",B514-($AC$6+$AC$7*O514+$AC$8*P514+$AC$9*Q514))</f>
        <v>-0.17408904026977523</v>
      </c>
      <c r="Y514" s="47">
        <f t="shared" ref="Y514:Y577" si="123">IF(OR(T514="",U514=""),"",B514-($AD$6+$AD$7*S514+$AD$8*T514+$AD$9*U514))</f>
        <v>-0.17374546524761708</v>
      </c>
      <c r="AP514" s="48">
        <v>0.31630000000000003</v>
      </c>
      <c r="AQ514" s="48">
        <v>0.32069999999999999</v>
      </c>
      <c r="AR514" s="47">
        <f>IF(AP514="","",AP514-($AC$60+$AC$61*Volcanic!C514+$AC$62*Volcanic!D514+$AC$63*Volcanic!E514))</f>
        <v>-0.15032261333586572</v>
      </c>
      <c r="AS514" s="47">
        <f>IF(AQ514="","",AQ514-($AD$60+$AD$61*Volcanic!C514+$AD$62*Volcanic!D514+$AD$63*Volcanic!E514))</f>
        <v>-0.16400290554725172</v>
      </c>
    </row>
    <row r="515" spans="1:45">
      <c r="A515" s="45" t="str">
        <f>Volcanic!A515</f>
        <v>12/2000</v>
      </c>
      <c r="B515" s="43">
        <f>Volcanic!B515</f>
        <v>0.28000000000000114</v>
      </c>
      <c r="C515" s="47">
        <f>Volcanic!C515</f>
        <v>0.40143543136241211</v>
      </c>
      <c r="D515" s="41">
        <v>-0.8</v>
      </c>
      <c r="E515" s="43">
        <f t="shared" si="110"/>
        <v>-0.4</v>
      </c>
      <c r="F515" s="48">
        <v>3.2499999999999999E-3</v>
      </c>
      <c r="G515" s="47">
        <f t="shared" si="111"/>
        <v>3.1199999999999999E-3</v>
      </c>
      <c r="H515" s="43">
        <f>Volcanic!D515</f>
        <v>-0.42</v>
      </c>
      <c r="I515" s="47">
        <f>Volcanic!E515</f>
        <v>4.0499999999999998E-3</v>
      </c>
      <c r="K515" s="47">
        <f t="shared" si="112"/>
        <v>0.40143543136241211</v>
      </c>
      <c r="L515" s="47">
        <f t="shared" si="113"/>
        <v>-0.4</v>
      </c>
      <c r="M515" s="47">
        <f t="shared" si="114"/>
        <v>4.0499999999999998E-3</v>
      </c>
      <c r="O515" s="47">
        <f t="shared" si="115"/>
        <v>0.40143543136241211</v>
      </c>
      <c r="P515" s="47">
        <f t="shared" si="116"/>
        <v>-0.42</v>
      </c>
      <c r="Q515" s="47">
        <f t="shared" si="117"/>
        <v>3.1199999999999999E-3</v>
      </c>
      <c r="S515" s="47">
        <f t="shared" si="118"/>
        <v>0.40143543136241211</v>
      </c>
      <c r="T515" s="47">
        <f t="shared" si="119"/>
        <v>-0.4</v>
      </c>
      <c r="U515" s="47">
        <f t="shared" si="120"/>
        <v>3.1199999999999999E-3</v>
      </c>
      <c r="W515" s="47">
        <f t="shared" si="121"/>
        <v>-0.20823359203411368</v>
      </c>
      <c r="X515" s="47">
        <f t="shared" si="122"/>
        <v>-0.20563148708598544</v>
      </c>
      <c r="Y515" s="47">
        <f t="shared" si="123"/>
        <v>-0.20716472795272434</v>
      </c>
      <c r="AP515" s="48">
        <v>0.27239999999999998</v>
      </c>
      <c r="AQ515" s="48">
        <v>0.3397</v>
      </c>
      <c r="AR515" s="47">
        <f>IF(AP515="","",AP515-($AC$60+$AC$61*Volcanic!C515+$AC$62*Volcanic!D515+$AC$63*Volcanic!E515))</f>
        <v>-0.20626985025699129</v>
      </c>
      <c r="AS515" s="47">
        <f>IF(AQ515="","",AQ515-($AD$60+$AD$61*Volcanic!C515+$AD$62*Volcanic!D515+$AD$63*Volcanic!E515))</f>
        <v>-0.15736650074926134</v>
      </c>
    </row>
    <row r="516" spans="1:45">
      <c r="A516" s="45" t="str">
        <f>Volcanic!A516</f>
        <v>1/2001</v>
      </c>
      <c r="B516" s="43">
        <f>Volcanic!B516</f>
        <v>0.44999999999999751</v>
      </c>
      <c r="C516" s="47">
        <f>Volcanic!C516</f>
        <v>0.40505877786528899</v>
      </c>
      <c r="D516" s="41">
        <v>-0.8</v>
      </c>
      <c r="E516" s="43">
        <f t="shared" si="110"/>
        <v>-0.5</v>
      </c>
      <c r="F516" s="48">
        <v>3.1800000000000001E-3</v>
      </c>
      <c r="G516" s="47">
        <f t="shared" si="111"/>
        <v>3.13E-3</v>
      </c>
      <c r="H516" s="43">
        <f>Volcanic!D516</f>
        <v>-0.54</v>
      </c>
      <c r="I516" s="47">
        <f>Volcanic!E516</f>
        <v>4.0400000000000002E-3</v>
      </c>
      <c r="K516" s="47">
        <f t="shared" si="112"/>
        <v>0.40505877786528899</v>
      </c>
      <c r="L516" s="47">
        <f t="shared" si="113"/>
        <v>-0.5</v>
      </c>
      <c r="M516" s="47">
        <f t="shared" si="114"/>
        <v>4.0400000000000002E-3</v>
      </c>
      <c r="O516" s="47">
        <f t="shared" si="115"/>
        <v>0.40505877786528899</v>
      </c>
      <c r="P516" s="47">
        <f t="shared" si="116"/>
        <v>-0.54</v>
      </c>
      <c r="Q516" s="47">
        <f t="shared" si="117"/>
        <v>3.13E-3</v>
      </c>
      <c r="S516" s="47">
        <f t="shared" si="118"/>
        <v>0.40505877786528899</v>
      </c>
      <c r="T516" s="47">
        <f t="shared" si="119"/>
        <v>-0.5</v>
      </c>
      <c r="U516" s="47">
        <f t="shared" si="120"/>
        <v>3.13E-3</v>
      </c>
      <c r="W516" s="47">
        <f t="shared" si="121"/>
        <v>-3.8849707320026294E-2</v>
      </c>
      <c r="X516" s="47">
        <f t="shared" si="122"/>
        <v>-3.4129020183422676E-2</v>
      </c>
      <c r="Y516" s="47">
        <f t="shared" si="123"/>
        <v>-3.7532363143162717E-2</v>
      </c>
      <c r="AP516" s="48">
        <v>0.43230000000000002</v>
      </c>
      <c r="AQ516" s="48">
        <v>0.50470000000000004</v>
      </c>
      <c r="AR516" s="47">
        <f>IF(AP516="","",AP516-($AC$60+$AC$61*Volcanic!C516+$AC$62*Volcanic!D516+$AC$63*Volcanic!E516))</f>
        <v>-4.5050439405221909E-2</v>
      </c>
      <c r="AS516" s="47">
        <f>IF(AQ516="","",AQ516-($AD$60+$AD$61*Volcanic!C516+$AD$62*Volcanic!D516+$AD$63*Volcanic!E516))</f>
        <v>8.9297102389968019E-3</v>
      </c>
    </row>
    <row r="517" spans="1:45">
      <c r="A517" s="45" t="str">
        <f>Volcanic!A517</f>
        <v>2/2001</v>
      </c>
      <c r="B517" s="43">
        <f>Volcanic!B517</f>
        <v>0.44000000000000483</v>
      </c>
      <c r="C517" s="47">
        <f>Volcanic!C517</f>
        <v>0.40867304708140773</v>
      </c>
      <c r="D517" s="41">
        <v>-0.5</v>
      </c>
      <c r="E517" s="43">
        <f t="shared" ref="E517:E580" si="124">IF(D514="","",D514)</f>
        <v>-0.8</v>
      </c>
      <c r="F517" s="48">
        <v>3.0899999999999999E-3</v>
      </c>
      <c r="G517" s="47">
        <f t="shared" si="111"/>
        <v>3.1900000000000001E-3</v>
      </c>
      <c r="H517" s="43">
        <f>Volcanic!D517</f>
        <v>-0.76</v>
      </c>
      <c r="I517" s="47">
        <f>Volcanic!E517</f>
        <v>4.0299999999999997E-3</v>
      </c>
      <c r="K517" s="47">
        <f t="shared" si="112"/>
        <v>0.40867304708140773</v>
      </c>
      <c r="L517" s="47">
        <f t="shared" si="113"/>
        <v>-0.8</v>
      </c>
      <c r="M517" s="47">
        <f t="shared" si="114"/>
        <v>4.0299999999999997E-3</v>
      </c>
      <c r="O517" s="47">
        <f t="shared" si="115"/>
        <v>0.40867304708140773</v>
      </c>
      <c r="P517" s="47">
        <f t="shared" si="116"/>
        <v>-0.76</v>
      </c>
      <c r="Q517" s="47">
        <f t="shared" si="117"/>
        <v>3.1900000000000001E-3</v>
      </c>
      <c r="S517" s="47">
        <f t="shared" si="118"/>
        <v>0.40867304708140773</v>
      </c>
      <c r="T517" s="47">
        <f t="shared" si="119"/>
        <v>-0.8</v>
      </c>
      <c r="U517" s="47">
        <f t="shared" si="120"/>
        <v>3.1900000000000001E-3</v>
      </c>
      <c r="W517" s="47">
        <f t="shared" si="121"/>
        <v>-3.0866404533469061E-2</v>
      </c>
      <c r="X517" s="47">
        <f t="shared" si="122"/>
        <v>-3.3077756128307212E-2</v>
      </c>
      <c r="Y517" s="47">
        <f t="shared" si="123"/>
        <v>-2.8942443680285035E-2</v>
      </c>
      <c r="AP517" s="48">
        <v>0.45989999999999998</v>
      </c>
      <c r="AQ517" s="48">
        <v>0.48870000000000002</v>
      </c>
      <c r="AR517" s="47">
        <f>IF(AP517="","",AP517-($AC$60+$AC$61*Volcanic!C517+$AC$62*Volcanic!D517+$AC$63*Volcanic!E517))</f>
        <v>-6.7417319202551229E-3</v>
      </c>
      <c r="AS517" s="47">
        <f>IF(AQ517="","",AQ517-($AD$60+$AD$61*Volcanic!C517+$AD$62*Volcanic!D517+$AD$63*Volcanic!E517))</f>
        <v>3.8077787457735379E-3</v>
      </c>
    </row>
    <row r="518" spans="1:45">
      <c r="A518" s="45" t="str">
        <f>Volcanic!A518</f>
        <v>3/2001</v>
      </c>
      <c r="B518" s="43">
        <f>Volcanic!B518</f>
        <v>0.54999999999999893</v>
      </c>
      <c r="C518" s="47">
        <f>Volcanic!C518</f>
        <v>0.4123170014542763</v>
      </c>
      <c r="D518" s="41">
        <v>-0.4</v>
      </c>
      <c r="E518" s="43">
        <f t="shared" si="124"/>
        <v>-0.8</v>
      </c>
      <c r="F518" s="48">
        <v>3.1099999999999999E-3</v>
      </c>
      <c r="G518" s="47">
        <f t="shared" si="111"/>
        <v>3.2200000000000002E-3</v>
      </c>
      <c r="H518" s="43">
        <f>Volcanic!D518</f>
        <v>-0.78</v>
      </c>
      <c r="I518" s="47">
        <f>Volcanic!E518</f>
        <v>4.1399999999999996E-3</v>
      </c>
      <c r="K518" s="47">
        <f t="shared" si="112"/>
        <v>0.4123170014542763</v>
      </c>
      <c r="L518" s="47">
        <f t="shared" si="113"/>
        <v>-0.8</v>
      </c>
      <c r="M518" s="47">
        <f t="shared" si="114"/>
        <v>4.1399999999999996E-3</v>
      </c>
      <c r="O518" s="47">
        <f t="shared" si="115"/>
        <v>0.4123170014542763</v>
      </c>
      <c r="P518" s="47">
        <f t="shared" si="116"/>
        <v>-0.78</v>
      </c>
      <c r="Q518" s="47">
        <f t="shared" si="117"/>
        <v>3.2200000000000002E-3</v>
      </c>
      <c r="S518" s="47">
        <f t="shared" si="118"/>
        <v>0.4123170014542763</v>
      </c>
      <c r="T518" s="47">
        <f t="shared" si="119"/>
        <v>-0.8</v>
      </c>
      <c r="U518" s="47">
        <f t="shared" si="120"/>
        <v>3.2200000000000002E-3</v>
      </c>
      <c r="W518" s="47">
        <f t="shared" si="121"/>
        <v>6.9438370947039696E-2</v>
      </c>
      <c r="X518" s="47">
        <f t="shared" si="122"/>
        <v>6.9027632437821285E-2</v>
      </c>
      <c r="Y518" s="47">
        <f t="shared" si="123"/>
        <v>7.1285416801496859E-2</v>
      </c>
      <c r="AP518" s="48">
        <v>0.58730000000000004</v>
      </c>
      <c r="AQ518" s="48">
        <v>0.59470000000000001</v>
      </c>
      <c r="AR518" s="47">
        <f>IF(AP518="","",AP518-($AC$60+$AC$61*Volcanic!C518+$AC$62*Volcanic!D518+$AC$63*Volcanic!E518))</f>
        <v>0.11284564082827264</v>
      </c>
      <c r="AS518" s="47">
        <f>IF(AQ518="","",AQ518-($AD$60+$AD$61*Volcanic!C518+$AD$62*Volcanic!D518+$AD$63*Volcanic!E518))</f>
        <v>0.10176467899516034</v>
      </c>
    </row>
    <row r="519" spans="1:45">
      <c r="A519" s="45" t="str">
        <f>Volcanic!A519</f>
        <v>4/2001</v>
      </c>
      <c r="B519" s="43">
        <f>Volcanic!B519</f>
        <v>0.5</v>
      </c>
      <c r="C519" s="47">
        <f>Volcanic!C519</f>
        <v>0.41587453478450814</v>
      </c>
      <c r="D519" s="41">
        <v>-0.3</v>
      </c>
      <c r="E519" s="43">
        <f t="shared" si="124"/>
        <v>-0.8</v>
      </c>
      <c r="F519" s="48">
        <v>3.0300000000000001E-3</v>
      </c>
      <c r="G519" s="47">
        <f t="shared" si="111"/>
        <v>3.2499999999999999E-3</v>
      </c>
      <c r="H519" s="43">
        <f>Volcanic!D519</f>
        <v>-0.76</v>
      </c>
      <c r="I519" s="47">
        <f>Volcanic!E519</f>
        <v>4.2100000000000002E-3</v>
      </c>
      <c r="K519" s="47">
        <f t="shared" si="112"/>
        <v>0.41587453478450814</v>
      </c>
      <c r="L519" s="47">
        <f t="shared" si="113"/>
        <v>-0.8</v>
      </c>
      <c r="M519" s="47">
        <f t="shared" si="114"/>
        <v>4.2100000000000002E-3</v>
      </c>
      <c r="O519" s="47">
        <f t="shared" si="115"/>
        <v>0.41587453478450814</v>
      </c>
      <c r="P519" s="47">
        <f t="shared" si="116"/>
        <v>-0.76</v>
      </c>
      <c r="Q519" s="47">
        <f t="shared" si="117"/>
        <v>3.2499999999999999E-3</v>
      </c>
      <c r="S519" s="47">
        <f t="shared" si="118"/>
        <v>0.41587453478450814</v>
      </c>
      <c r="T519" s="47">
        <f t="shared" si="119"/>
        <v>-0.8</v>
      </c>
      <c r="U519" s="47">
        <f t="shared" si="120"/>
        <v>3.2499999999999999E-3</v>
      </c>
      <c r="W519" s="47">
        <f t="shared" si="121"/>
        <v>9.890688622797239E-3</v>
      </c>
      <c r="X519" s="47">
        <f t="shared" si="122"/>
        <v>7.6092197475042811E-3</v>
      </c>
      <c r="Y519" s="47">
        <f t="shared" si="123"/>
        <v>1.17468972173706E-2</v>
      </c>
      <c r="AP519" s="48">
        <v>0.51919999999999999</v>
      </c>
      <c r="AQ519" s="48">
        <v>0.59970000000000001</v>
      </c>
      <c r="AR519" s="47">
        <f>IF(AP519="","",AP519-($AC$60+$AC$61*Volcanic!C519+$AC$62*Volcanic!D519+$AC$63*Volcanic!E519))</f>
        <v>3.3326943515872232E-2</v>
      </c>
      <c r="AS519" s="47">
        <f>IF(AQ519="","",AQ519-($AD$60+$AD$61*Volcanic!C519+$AD$62*Volcanic!D519+$AD$63*Volcanic!E519))</f>
        <v>9.5049447878794102E-2</v>
      </c>
    </row>
    <row r="520" spans="1:45">
      <c r="A520" s="45" t="str">
        <f>Volcanic!A520</f>
        <v>5/2001</v>
      </c>
      <c r="B520" s="43">
        <f>Volcanic!B520</f>
        <v>0.57000000000000028</v>
      </c>
      <c r="C520" s="47">
        <f>Volcanic!C520</f>
        <v>0.41772716250271424</v>
      </c>
      <c r="D520" s="41">
        <v>-0.2</v>
      </c>
      <c r="E520" s="43">
        <f t="shared" si="124"/>
        <v>-0.5</v>
      </c>
      <c r="F520" s="48">
        <v>3.1099999999999999E-3</v>
      </c>
      <c r="G520" s="47">
        <f t="shared" si="111"/>
        <v>3.3E-3</v>
      </c>
      <c r="H520" s="43">
        <f>Volcanic!D520</f>
        <v>-0.54</v>
      </c>
      <c r="I520" s="47">
        <f>Volcanic!E520</f>
        <v>4.3099999999999996E-3</v>
      </c>
      <c r="K520" s="47">
        <f t="shared" si="112"/>
        <v>0.41772716250271424</v>
      </c>
      <c r="L520" s="47">
        <f t="shared" si="113"/>
        <v>-0.5</v>
      </c>
      <c r="M520" s="47">
        <f t="shared" si="114"/>
        <v>4.3099999999999996E-3</v>
      </c>
      <c r="O520" s="47">
        <f t="shared" si="115"/>
        <v>0.41772716250271424</v>
      </c>
      <c r="P520" s="47">
        <f t="shared" si="116"/>
        <v>-0.54</v>
      </c>
      <c r="Q520" s="47">
        <f t="shared" si="117"/>
        <v>3.3E-3</v>
      </c>
      <c r="S520" s="47">
        <f t="shared" si="118"/>
        <v>0.41772716250271424</v>
      </c>
      <c r="T520" s="47">
        <f t="shared" si="119"/>
        <v>-0.5</v>
      </c>
      <c r="U520" s="47">
        <f t="shared" si="120"/>
        <v>3.3E-3</v>
      </c>
      <c r="W520" s="47">
        <f t="shared" si="121"/>
        <v>4.7196651956914248E-2</v>
      </c>
      <c r="X520" s="47">
        <f t="shared" si="122"/>
        <v>5.2065171954785772E-2</v>
      </c>
      <c r="Y520" s="47">
        <f t="shared" si="123"/>
        <v>4.8666188046955106E-2</v>
      </c>
      <c r="AP520" s="48">
        <v>0.55820000000000003</v>
      </c>
      <c r="AQ520" s="48">
        <v>0.59370000000000001</v>
      </c>
      <c r="AR520" s="47">
        <f>IF(AP520="","",AP520-($AC$60+$AC$61*Volcanic!C520+$AC$62*Volcanic!D520+$AC$63*Volcanic!E520))</f>
        <v>4.6906841035530555E-2</v>
      </c>
      <c r="AS520" s="47">
        <f>IF(AQ520="","",AQ520-($AD$60+$AD$61*Volcanic!C520+$AD$62*Volcanic!D520+$AD$63*Volcanic!E520))</f>
        <v>6.3065319238824413E-2</v>
      </c>
    </row>
    <row r="521" spans="1:45">
      <c r="A521" s="45" t="str">
        <f>Volcanic!A521</f>
        <v>6/2001</v>
      </c>
      <c r="B521" s="43">
        <f>Volcanic!B521</f>
        <v>0.52999999999999758</v>
      </c>
      <c r="C521" s="47">
        <f>Volcanic!C521</f>
        <v>0.41529510039387307</v>
      </c>
      <c r="D521" s="41">
        <v>-0.1</v>
      </c>
      <c r="E521" s="43">
        <f t="shared" si="124"/>
        <v>-0.4</v>
      </c>
      <c r="F521" s="48">
        <v>3.2399999999999998E-3</v>
      </c>
      <c r="G521" s="47">
        <f t="shared" ref="G521:G584" si="125">IF(F514="","",F514)</f>
        <v>3.3500000000000001E-3</v>
      </c>
      <c r="H521" s="43">
        <f>Volcanic!D521</f>
        <v>-0.43</v>
      </c>
      <c r="I521" s="47">
        <f>Volcanic!E521</f>
        <v>4.4200000000000003E-3</v>
      </c>
      <c r="K521" s="47">
        <f t="shared" si="112"/>
        <v>0.41529510039387307</v>
      </c>
      <c r="L521" s="47">
        <f t="shared" si="113"/>
        <v>-0.4</v>
      </c>
      <c r="M521" s="47">
        <f t="shared" si="114"/>
        <v>4.4200000000000003E-3</v>
      </c>
      <c r="O521" s="47">
        <f t="shared" si="115"/>
        <v>0.41529510039387307</v>
      </c>
      <c r="P521" s="47">
        <f t="shared" si="116"/>
        <v>-0.43</v>
      </c>
      <c r="Q521" s="47">
        <f t="shared" si="117"/>
        <v>3.3500000000000001E-3</v>
      </c>
      <c r="S521" s="47">
        <f t="shared" si="118"/>
        <v>0.41529510039387307</v>
      </c>
      <c r="T521" s="47">
        <f t="shared" si="119"/>
        <v>-0.4</v>
      </c>
      <c r="U521" s="47">
        <f t="shared" si="120"/>
        <v>3.3500000000000001E-3</v>
      </c>
      <c r="W521" s="47">
        <f t="shared" si="121"/>
        <v>4.7843078223525071E-3</v>
      </c>
      <c r="X521" s="47">
        <f t="shared" si="122"/>
        <v>8.4381008288298975E-3</v>
      </c>
      <c r="Y521" s="47">
        <f t="shared" si="123"/>
        <v>5.9704027480284028E-3</v>
      </c>
      <c r="AP521" s="48">
        <v>0.51790000000000003</v>
      </c>
      <c r="AQ521" s="48">
        <v>0.54869999999999997</v>
      </c>
      <c r="AR521" s="47">
        <f>IF(AP521="","",AP521-($AC$60+$AC$61*Volcanic!C521+$AC$62*Volcanic!D521+$AC$63*Volcanic!E521))</f>
        <v>3.2115704148047985E-3</v>
      </c>
      <c r="AS521" s="47">
        <f>IF(AQ521="","",AQ521-($AD$60+$AD$61*Volcanic!C521+$AD$62*Volcanic!D521+$AD$63*Volcanic!E521))</f>
        <v>1.4617127280290743E-2</v>
      </c>
    </row>
    <row r="522" spans="1:45">
      <c r="A522" s="45" t="str">
        <f>Volcanic!A522</f>
        <v>7/2001</v>
      </c>
      <c r="B522" s="43">
        <f>Volcanic!B522</f>
        <v>0.58999999999999986</v>
      </c>
      <c r="C522" s="47">
        <f>Volcanic!C522</f>
        <v>0.40863423208911642</v>
      </c>
      <c r="D522" s="41">
        <v>0</v>
      </c>
      <c r="E522" s="43">
        <f t="shared" si="124"/>
        <v>-0.3</v>
      </c>
      <c r="F522" s="48">
        <v>3.3999999999999998E-3</v>
      </c>
      <c r="G522" s="47">
        <f t="shared" si="125"/>
        <v>3.2499999999999999E-3</v>
      </c>
      <c r="H522" s="43">
        <f>Volcanic!D522</f>
        <v>-0.28999999999999998</v>
      </c>
      <c r="I522" s="47">
        <f>Volcanic!E522</f>
        <v>4.3800000000000002E-3</v>
      </c>
      <c r="K522" s="47">
        <f t="shared" si="112"/>
        <v>0.40863423208911642</v>
      </c>
      <c r="L522" s="47">
        <f t="shared" si="113"/>
        <v>-0.3</v>
      </c>
      <c r="M522" s="47">
        <f t="shared" si="114"/>
        <v>4.3800000000000002E-3</v>
      </c>
      <c r="O522" s="47">
        <f t="shared" si="115"/>
        <v>0.40863423208911642</v>
      </c>
      <c r="P522" s="47">
        <f t="shared" si="116"/>
        <v>-0.28999999999999998</v>
      </c>
      <c r="Q522" s="47">
        <f t="shared" si="117"/>
        <v>3.2499999999999999E-3</v>
      </c>
      <c r="S522" s="47">
        <f t="shared" si="118"/>
        <v>0.40863423208911642</v>
      </c>
      <c r="T522" s="47">
        <f t="shared" si="119"/>
        <v>-0.3</v>
      </c>
      <c r="U522" s="47">
        <f t="shared" si="120"/>
        <v>3.2499999999999999E-3</v>
      </c>
      <c r="W522" s="47">
        <f t="shared" si="121"/>
        <v>7.3574026193182318E-2</v>
      </c>
      <c r="X522" s="47">
        <f t="shared" si="122"/>
        <v>7.3033942002658558E-2</v>
      </c>
      <c r="Y522" s="47">
        <f t="shared" si="123"/>
        <v>7.4313872744177445E-2</v>
      </c>
      <c r="AP522" s="48">
        <v>0.58230000000000004</v>
      </c>
      <c r="AQ522" s="48">
        <v>0.55869999999999997</v>
      </c>
      <c r="AR522" s="47">
        <f>IF(AP522="","",AP522-($AC$60+$AC$61*Volcanic!C522+$AC$62*Volcanic!D522+$AC$63*Volcanic!E522))</f>
        <v>7.2593229144318649E-2</v>
      </c>
      <c r="AS522" s="47">
        <f>IF(AQ522="","",AQ522-($AD$60+$AD$61*Volcanic!C522+$AD$62*Volcanic!D522+$AD$63*Volcanic!E522))</f>
        <v>2.9802884785276373E-2</v>
      </c>
    </row>
    <row r="523" spans="1:45">
      <c r="A523" s="45" t="str">
        <f>Volcanic!A523</f>
        <v>8/2001</v>
      </c>
      <c r="B523" s="43">
        <f>Volcanic!B523</f>
        <v>0.47999999999999865</v>
      </c>
      <c r="C523" s="47">
        <f>Volcanic!C523</f>
        <v>0.40124036977007455</v>
      </c>
      <c r="D523" s="41">
        <v>-0.1</v>
      </c>
      <c r="E523" s="43">
        <f t="shared" si="124"/>
        <v>-0.2</v>
      </c>
      <c r="F523" s="48">
        <v>3.5500000000000002E-3</v>
      </c>
      <c r="G523" s="47">
        <f t="shared" si="125"/>
        <v>3.1800000000000001E-3</v>
      </c>
      <c r="H523" s="43">
        <f>Volcanic!D523</f>
        <v>-0.19</v>
      </c>
      <c r="I523" s="47">
        <f>Volcanic!E523</f>
        <v>4.3099999999999996E-3</v>
      </c>
      <c r="K523" s="47">
        <f t="shared" si="112"/>
        <v>0.40124036977007455</v>
      </c>
      <c r="L523" s="47">
        <f t="shared" si="113"/>
        <v>-0.2</v>
      </c>
      <c r="M523" s="47">
        <f t="shared" si="114"/>
        <v>4.3099999999999996E-3</v>
      </c>
      <c r="O523" s="47">
        <f t="shared" si="115"/>
        <v>0.40124036977007455</v>
      </c>
      <c r="P523" s="47">
        <f t="shared" si="116"/>
        <v>-0.19</v>
      </c>
      <c r="Q523" s="47">
        <f t="shared" si="117"/>
        <v>3.1800000000000001E-3</v>
      </c>
      <c r="S523" s="47">
        <f t="shared" si="118"/>
        <v>0.40124036977007455</v>
      </c>
      <c r="T523" s="47">
        <f t="shared" si="119"/>
        <v>-0.2</v>
      </c>
      <c r="U523" s="47">
        <f t="shared" si="120"/>
        <v>3.1800000000000001E-3</v>
      </c>
      <c r="W523" s="47">
        <f t="shared" si="121"/>
        <v>-2.5703376137421685E-2</v>
      </c>
      <c r="X523" s="47">
        <f t="shared" si="122"/>
        <v>-2.6552679849405458E-2</v>
      </c>
      <c r="Y523" s="47">
        <f t="shared" si="123"/>
        <v>-2.5282697065798665E-2</v>
      </c>
      <c r="AP523" s="48">
        <v>0.57469999999999999</v>
      </c>
      <c r="AQ523" s="48">
        <v>0.47070000000000001</v>
      </c>
      <c r="AR523" s="47">
        <f>IF(AP523="","",AP523-($AC$60+$AC$61*Volcanic!C523+$AC$62*Volcanic!D523+$AC$63*Volcanic!E523))</f>
        <v>7.5650025302207602E-2</v>
      </c>
      <c r="AS523" s="47">
        <f>IF(AQ523="","",AQ523-($AD$60+$AD$61*Volcanic!C523+$AD$62*Volcanic!D523+$AD$63*Volcanic!E523))</f>
        <v>-4.7204457537983524E-2</v>
      </c>
    </row>
    <row r="524" spans="1:45">
      <c r="A524" s="45" t="str">
        <f>Volcanic!A524</f>
        <v>9/2001</v>
      </c>
      <c r="B524" s="43">
        <f>Volcanic!B524</f>
        <v>0.5199999999999978</v>
      </c>
      <c r="C524" s="47">
        <f>Volcanic!C524</f>
        <v>0.39561124850380214</v>
      </c>
      <c r="D524" s="41">
        <v>-0.1</v>
      </c>
      <c r="E524" s="43">
        <f t="shared" si="124"/>
        <v>-0.1</v>
      </c>
      <c r="F524" s="48">
        <v>3.3999999999999998E-3</v>
      </c>
      <c r="G524" s="47">
        <f t="shared" si="125"/>
        <v>3.0899999999999999E-3</v>
      </c>
      <c r="H524" s="43">
        <f>Volcanic!D524</f>
        <v>-0.08</v>
      </c>
      <c r="I524" s="47">
        <f>Volcanic!E524</f>
        <v>4.1900000000000001E-3</v>
      </c>
      <c r="K524" s="47">
        <f t="shared" si="112"/>
        <v>0.39561124850380214</v>
      </c>
      <c r="L524" s="47">
        <f t="shared" si="113"/>
        <v>-0.1</v>
      </c>
      <c r="M524" s="47">
        <f t="shared" si="114"/>
        <v>4.1900000000000001E-3</v>
      </c>
      <c r="O524" s="47">
        <f t="shared" si="115"/>
        <v>0.39561124850380214</v>
      </c>
      <c r="P524" s="47">
        <f t="shared" si="116"/>
        <v>-0.08</v>
      </c>
      <c r="Q524" s="47">
        <f t="shared" si="117"/>
        <v>3.0899999999999999E-3</v>
      </c>
      <c r="S524" s="47">
        <f t="shared" si="118"/>
        <v>0.39561124850380214</v>
      </c>
      <c r="T524" s="47">
        <f t="shared" si="119"/>
        <v>-0.1</v>
      </c>
      <c r="U524" s="47">
        <f t="shared" si="120"/>
        <v>3.0899999999999999E-3</v>
      </c>
      <c r="W524" s="47">
        <f t="shared" si="121"/>
        <v>2.0096330699333087E-2</v>
      </c>
      <c r="X524" s="47">
        <f t="shared" si="122"/>
        <v>1.8097964973065261E-2</v>
      </c>
      <c r="Y524" s="47">
        <f t="shared" si="123"/>
        <v>2.029783422517778E-2</v>
      </c>
      <c r="AP524" s="48">
        <v>0.56459999999999999</v>
      </c>
      <c r="AQ524" s="48">
        <v>0.53769999999999996</v>
      </c>
      <c r="AR524" s="47">
        <f>IF(AP524="","",AP524-($AC$60+$AC$61*Volcanic!C524+$AC$62*Volcanic!D524+$AC$63*Volcanic!E524))</f>
        <v>7.0331244230510293E-2</v>
      </c>
      <c r="AS524" s="47">
        <f>IF(AQ524="","",AQ524-($AD$60+$AD$61*Volcanic!C524+$AD$62*Volcanic!D524+$AD$63*Volcanic!E524))</f>
        <v>2.4775188566167117E-2</v>
      </c>
    </row>
    <row r="525" spans="1:45">
      <c r="A525" s="45" t="str">
        <f>Volcanic!A525</f>
        <v>10/2001</v>
      </c>
      <c r="B525" s="43">
        <f>Volcanic!B525</f>
        <v>0.5</v>
      </c>
      <c r="C525" s="47">
        <f>Volcanic!C525</f>
        <v>0.39666838312207731</v>
      </c>
      <c r="D525" s="41">
        <v>-0.3</v>
      </c>
      <c r="E525" s="43">
        <f t="shared" si="124"/>
        <v>0</v>
      </c>
      <c r="F525" s="48">
        <v>3.3600000000000001E-3</v>
      </c>
      <c r="G525" s="47">
        <f t="shared" si="125"/>
        <v>3.1099999999999999E-3</v>
      </c>
      <c r="H525" s="43">
        <f>Volcanic!D525</f>
        <v>-0.05</v>
      </c>
      <c r="I525" s="47">
        <f>Volcanic!E525</f>
        <v>4.1999999999999997E-3</v>
      </c>
      <c r="K525" s="47">
        <f t="shared" si="112"/>
        <v>0.39666838312207731</v>
      </c>
      <c r="L525" s="47">
        <f t="shared" si="113"/>
        <v>0</v>
      </c>
      <c r="M525" s="47">
        <f t="shared" si="114"/>
        <v>4.1999999999999997E-3</v>
      </c>
      <c r="O525" s="47">
        <f t="shared" si="115"/>
        <v>0.39666838312207731</v>
      </c>
      <c r="P525" s="47">
        <f t="shared" si="116"/>
        <v>-0.05</v>
      </c>
      <c r="Q525" s="47">
        <f t="shared" si="117"/>
        <v>3.1099999999999999E-3</v>
      </c>
      <c r="S525" s="47">
        <f t="shared" si="118"/>
        <v>0.39666838312207731</v>
      </c>
      <c r="T525" s="47">
        <f t="shared" si="119"/>
        <v>0</v>
      </c>
      <c r="U525" s="47">
        <f t="shared" si="120"/>
        <v>3.1099999999999999E-3</v>
      </c>
      <c r="W525" s="47">
        <f t="shared" si="121"/>
        <v>-1.205193080747502E-2</v>
      </c>
      <c r="X525" s="47">
        <f t="shared" si="122"/>
        <v>-7.525912206453711E-3</v>
      </c>
      <c r="Y525" s="47">
        <f t="shared" si="123"/>
        <v>-1.1908688028130943E-2</v>
      </c>
      <c r="AP525" s="48">
        <v>0.53649999999999998</v>
      </c>
      <c r="AQ525" s="48">
        <v>0.49370000000000003</v>
      </c>
      <c r="AR525" s="47">
        <f>IF(AP525="","",AP525-($AC$60+$AC$61*Volcanic!C525+$AC$62*Volcanic!D525+$AC$63*Volcanic!E525))</f>
        <v>3.655933285152313E-2</v>
      </c>
      <c r="AS525" s="47">
        <f>IF(AQ525="","",AQ525-($AD$60+$AD$61*Volcanic!C525+$AD$62*Volcanic!D525+$AD$63*Volcanic!E525))</f>
        <v>-2.5029758500342392E-2</v>
      </c>
    </row>
    <row r="526" spans="1:45">
      <c r="A526" s="45" t="str">
        <f>Volcanic!A526</f>
        <v>11/2001</v>
      </c>
      <c r="B526" s="43">
        <f>Volcanic!B526</f>
        <v>0.72000000000000242</v>
      </c>
      <c r="C526" s="47">
        <f>Volcanic!C526</f>
        <v>0.40186447405316023</v>
      </c>
      <c r="D526" s="41">
        <v>-0.3</v>
      </c>
      <c r="E526" s="43">
        <f t="shared" si="124"/>
        <v>-0.1</v>
      </c>
      <c r="F526" s="48">
        <v>3.2699999999999999E-3</v>
      </c>
      <c r="G526" s="47">
        <f t="shared" si="125"/>
        <v>3.0300000000000001E-3</v>
      </c>
      <c r="H526" s="43">
        <f>Volcanic!D526</f>
        <v>-0.13</v>
      </c>
      <c r="I526" s="47">
        <f>Volcanic!E526</f>
        <v>4.0699999999999998E-3</v>
      </c>
      <c r="K526" s="47">
        <f t="shared" si="112"/>
        <v>0.40186447405316023</v>
      </c>
      <c r="L526" s="47">
        <f t="shared" si="113"/>
        <v>-0.1</v>
      </c>
      <c r="M526" s="47">
        <f t="shared" si="114"/>
        <v>4.0699999999999998E-3</v>
      </c>
      <c r="O526" s="47">
        <f t="shared" si="115"/>
        <v>0.40186447405316023</v>
      </c>
      <c r="P526" s="47">
        <f t="shared" si="116"/>
        <v>-0.13</v>
      </c>
      <c r="Q526" s="47">
        <f t="shared" si="117"/>
        <v>3.0300000000000001E-3</v>
      </c>
      <c r="S526" s="47">
        <f t="shared" si="118"/>
        <v>0.40186447405316023</v>
      </c>
      <c r="T526" s="47">
        <f t="shared" si="119"/>
        <v>-0.1</v>
      </c>
      <c r="U526" s="47">
        <f t="shared" si="120"/>
        <v>3.0300000000000001E-3</v>
      </c>
      <c r="W526" s="47">
        <f t="shared" si="121"/>
        <v>0.20277842002762159</v>
      </c>
      <c r="X526" s="47">
        <f t="shared" si="122"/>
        <v>0.20573192119799422</v>
      </c>
      <c r="Y526" s="47">
        <f t="shared" si="123"/>
        <v>0.20323668934008798</v>
      </c>
      <c r="AP526" s="48">
        <v>0.76139999999999997</v>
      </c>
      <c r="AQ526" s="48">
        <v>0.69369999999999998</v>
      </c>
      <c r="AR526" s="47">
        <f>IF(AP526="","",AP526-($AC$60+$AC$61*Volcanic!C526+$AC$62*Volcanic!D526+$AC$63*Volcanic!E526))</f>
        <v>0.25444964695495387</v>
      </c>
      <c r="AS526" s="47">
        <f>IF(AQ526="","",AQ526-($AD$60+$AD$61*Volcanic!C526+$AD$62*Volcanic!D526+$AD$63*Volcanic!E526))</f>
        <v>0.16776394805935635</v>
      </c>
    </row>
    <row r="527" spans="1:45">
      <c r="A527" s="45" t="str">
        <f>Volcanic!A527</f>
        <v>12/2001</v>
      </c>
      <c r="B527" s="43">
        <f>Volcanic!B527</f>
        <v>0.54999999999999893</v>
      </c>
      <c r="C527" s="47">
        <f>Volcanic!C527</f>
        <v>0.40762467556660881</v>
      </c>
      <c r="D527" s="41">
        <v>-0.3</v>
      </c>
      <c r="E527" s="43">
        <f t="shared" si="124"/>
        <v>-0.1</v>
      </c>
      <c r="F527" s="48">
        <v>3.1900000000000001E-3</v>
      </c>
      <c r="G527" s="47">
        <f t="shared" si="125"/>
        <v>3.1099999999999999E-3</v>
      </c>
      <c r="H527" s="43">
        <f>Volcanic!D527</f>
        <v>-0.15</v>
      </c>
      <c r="I527" s="47">
        <f>Volcanic!E527</f>
        <v>4.0899999999999999E-3</v>
      </c>
      <c r="K527" s="47">
        <f t="shared" si="112"/>
        <v>0.40762467556660881</v>
      </c>
      <c r="L527" s="47">
        <f t="shared" si="113"/>
        <v>-0.1</v>
      </c>
      <c r="M527" s="47">
        <f t="shared" si="114"/>
        <v>4.0899999999999999E-3</v>
      </c>
      <c r="O527" s="47">
        <f t="shared" si="115"/>
        <v>0.40762467556660881</v>
      </c>
      <c r="P527" s="47">
        <f t="shared" si="116"/>
        <v>-0.15</v>
      </c>
      <c r="Q527" s="47">
        <f t="shared" si="117"/>
        <v>3.1099999999999999E-3</v>
      </c>
      <c r="S527" s="47">
        <f t="shared" si="118"/>
        <v>0.40762467556660881</v>
      </c>
      <c r="T527" s="47">
        <f t="shared" si="119"/>
        <v>-0.1</v>
      </c>
      <c r="U527" s="47">
        <f t="shared" si="120"/>
        <v>3.1099999999999999E-3</v>
      </c>
      <c r="W527" s="47">
        <f t="shared" si="121"/>
        <v>1.7113553644012791E-2</v>
      </c>
      <c r="X527" s="47">
        <f t="shared" si="122"/>
        <v>2.2246506536802491E-2</v>
      </c>
      <c r="Y527" s="47">
        <f t="shared" si="123"/>
        <v>1.787454135465627E-2</v>
      </c>
      <c r="AP527" s="48">
        <v>0.6109</v>
      </c>
      <c r="AQ527" s="48">
        <v>0.66069999999999995</v>
      </c>
      <c r="AR527" s="47">
        <f>IF(AP527="","",AP527-($AC$60+$AC$61*Volcanic!C527+$AC$62*Volcanic!D527+$AC$63*Volcanic!E527))</f>
        <v>9.0141820106007353E-2</v>
      </c>
      <c r="AS527" s="47">
        <f>IF(AQ527="","",AQ527-($AD$60+$AD$61*Volcanic!C527+$AD$62*Volcanic!D527+$AD$63*Volcanic!E527))</f>
        <v>0.12058733493745555</v>
      </c>
    </row>
    <row r="528" spans="1:45">
      <c r="A528" s="45" t="str">
        <f>Volcanic!A528</f>
        <v>1/2002</v>
      </c>
      <c r="B528" s="43">
        <f>Volcanic!B528</f>
        <v>0.77000000000000135</v>
      </c>
      <c r="C528" s="47">
        <f>Volcanic!C528</f>
        <v>0.4125879918965209</v>
      </c>
      <c r="D528" s="41">
        <v>-0.1</v>
      </c>
      <c r="E528" s="43">
        <f t="shared" si="124"/>
        <v>-0.3</v>
      </c>
      <c r="F528" s="48">
        <v>3.0500000000000002E-3</v>
      </c>
      <c r="G528" s="47">
        <f t="shared" si="125"/>
        <v>3.2399999999999998E-3</v>
      </c>
      <c r="H528" s="43">
        <f>Volcanic!D528</f>
        <v>-0.26</v>
      </c>
      <c r="I528" s="47">
        <f>Volcanic!E528</f>
        <v>4.3200000000000001E-3</v>
      </c>
      <c r="K528" s="47">
        <f t="shared" si="112"/>
        <v>0.4125879918965209</v>
      </c>
      <c r="L528" s="47">
        <f t="shared" si="113"/>
        <v>-0.3</v>
      </c>
      <c r="M528" s="47">
        <f t="shared" si="114"/>
        <v>4.3200000000000001E-3</v>
      </c>
      <c r="O528" s="47">
        <f t="shared" si="115"/>
        <v>0.4125879918965209</v>
      </c>
      <c r="P528" s="47">
        <f t="shared" si="116"/>
        <v>-0.26</v>
      </c>
      <c r="Q528" s="47">
        <f t="shared" si="117"/>
        <v>3.2399999999999998E-3</v>
      </c>
      <c r="S528" s="47">
        <f t="shared" si="118"/>
        <v>0.4125879918965209</v>
      </c>
      <c r="T528" s="47">
        <f t="shared" si="119"/>
        <v>-0.3</v>
      </c>
      <c r="U528" s="47">
        <f t="shared" si="120"/>
        <v>3.2399999999999998E-3</v>
      </c>
      <c r="W528" s="47">
        <f t="shared" si="121"/>
        <v>0.24265931634931737</v>
      </c>
      <c r="X528" s="47">
        <f t="shared" si="122"/>
        <v>0.23950042789366988</v>
      </c>
      <c r="Y528" s="47">
        <f t="shared" si="123"/>
        <v>0.24359961023559984</v>
      </c>
      <c r="AP528" s="48">
        <v>0.71540000000000004</v>
      </c>
      <c r="AQ528" s="48">
        <v>0.76170000000000004</v>
      </c>
      <c r="AR528" s="47">
        <f>IF(AP528="","",AP528-($AC$60+$AC$61*Volcanic!C528+$AC$62*Volcanic!D528+$AC$63*Volcanic!E528))</f>
        <v>0.19194333555734733</v>
      </c>
      <c r="AS528" s="47">
        <f>IF(AQ528="","",AQ528-($AD$60+$AD$61*Volcanic!C528+$AD$62*Volcanic!D528+$AD$63*Volcanic!E528))</f>
        <v>0.21872447622187752</v>
      </c>
    </row>
    <row r="529" spans="1:45">
      <c r="A529" s="45" t="str">
        <f>Volcanic!A529</f>
        <v>2/2002</v>
      </c>
      <c r="B529" s="43">
        <f>Volcanic!B529</f>
        <v>0.77999999999999758</v>
      </c>
      <c r="C529" s="47">
        <f>Volcanic!C529</f>
        <v>0.41517918558409256</v>
      </c>
      <c r="D529" s="41">
        <v>0.1</v>
      </c>
      <c r="E529" s="43">
        <f t="shared" si="124"/>
        <v>-0.3</v>
      </c>
      <c r="F529" s="48">
        <v>2.99E-3</v>
      </c>
      <c r="G529" s="47">
        <f t="shared" si="125"/>
        <v>3.3999999999999998E-3</v>
      </c>
      <c r="H529" s="43">
        <f>Volcanic!D529</f>
        <v>-0.33</v>
      </c>
      <c r="I529" s="47">
        <f>Volcanic!E529</f>
        <v>4.7099999999999998E-3</v>
      </c>
      <c r="K529" s="47">
        <f t="shared" si="112"/>
        <v>0.41517918558409256</v>
      </c>
      <c r="L529" s="47">
        <f t="shared" si="113"/>
        <v>-0.3</v>
      </c>
      <c r="M529" s="47">
        <f t="shared" si="114"/>
        <v>4.7099999999999998E-3</v>
      </c>
      <c r="O529" s="47">
        <f t="shared" si="115"/>
        <v>0.41517918558409256</v>
      </c>
      <c r="P529" s="47">
        <f t="shared" si="116"/>
        <v>-0.33</v>
      </c>
      <c r="Q529" s="47">
        <f t="shared" si="117"/>
        <v>3.3999999999999998E-3</v>
      </c>
      <c r="S529" s="47">
        <f t="shared" si="118"/>
        <v>0.41517918558409256</v>
      </c>
      <c r="T529" s="47">
        <f t="shared" si="119"/>
        <v>-0.3</v>
      </c>
      <c r="U529" s="47">
        <f t="shared" si="120"/>
        <v>3.3999999999999998E-3</v>
      </c>
      <c r="W529" s="47">
        <f t="shared" si="121"/>
        <v>0.24645211574842552</v>
      </c>
      <c r="X529" s="47">
        <f t="shared" si="122"/>
        <v>0.24948850487780583</v>
      </c>
      <c r="Y529" s="47">
        <f t="shared" si="123"/>
        <v>0.24701343194579628</v>
      </c>
      <c r="AP529" s="48">
        <v>0.70940000000000003</v>
      </c>
      <c r="AQ529" s="48">
        <v>0.7167</v>
      </c>
      <c r="AR529" s="47">
        <f>IF(AP529="","",AP529-($AC$60+$AC$61*Volcanic!C529+$AC$62*Volcanic!D529+$AC$63*Volcanic!E529))</f>
        <v>0.18636137629401439</v>
      </c>
      <c r="AS529" s="47">
        <f>IF(AQ529="","",AQ529-($AD$60+$AD$61*Volcanic!C529+$AD$62*Volcanic!D529+$AD$63*Volcanic!E529))</f>
        <v>0.17404956243135861</v>
      </c>
    </row>
    <row r="530" spans="1:45">
      <c r="A530" s="45" t="str">
        <f>Volcanic!A530</f>
        <v>3/2002</v>
      </c>
      <c r="B530" s="43">
        <f>Volcanic!B530</f>
        <v>0.88000000000000256</v>
      </c>
      <c r="C530" s="47">
        <f>Volcanic!C530</f>
        <v>0.41876822106763295</v>
      </c>
      <c r="D530" s="41">
        <v>0.1</v>
      </c>
      <c r="E530" s="43">
        <f t="shared" si="124"/>
        <v>-0.3</v>
      </c>
      <c r="F530" s="48">
        <v>2.97E-3</v>
      </c>
      <c r="G530" s="47">
        <f t="shared" si="125"/>
        <v>3.5500000000000002E-3</v>
      </c>
      <c r="H530" s="43">
        <f>Volcanic!D530</f>
        <v>-0.32</v>
      </c>
      <c r="I530" s="47">
        <f>Volcanic!E530</f>
        <v>4.9100000000000003E-3</v>
      </c>
      <c r="K530" s="47">
        <f t="shared" si="112"/>
        <v>0.41876822106763295</v>
      </c>
      <c r="L530" s="47">
        <f t="shared" si="113"/>
        <v>-0.3</v>
      </c>
      <c r="M530" s="47">
        <f t="shared" si="114"/>
        <v>4.9100000000000003E-3</v>
      </c>
      <c r="O530" s="47">
        <f t="shared" si="115"/>
        <v>0.41876822106763295</v>
      </c>
      <c r="P530" s="47">
        <f t="shared" si="116"/>
        <v>-0.32</v>
      </c>
      <c r="Q530" s="47">
        <f t="shared" si="117"/>
        <v>3.5500000000000002E-3</v>
      </c>
      <c r="S530" s="47">
        <f t="shared" si="118"/>
        <v>0.41876822106763295</v>
      </c>
      <c r="T530" s="47">
        <f t="shared" si="119"/>
        <v>-0.3</v>
      </c>
      <c r="U530" s="47">
        <f t="shared" si="120"/>
        <v>3.5500000000000002E-3</v>
      </c>
      <c r="W530" s="47">
        <f t="shared" si="121"/>
        <v>0.3371049805621622</v>
      </c>
      <c r="X530" s="47">
        <f t="shared" si="122"/>
        <v>0.33923781574041623</v>
      </c>
      <c r="Y530" s="47">
        <f t="shared" si="123"/>
        <v>0.33770365348987108</v>
      </c>
      <c r="AP530" s="48">
        <v>0.8619</v>
      </c>
      <c r="AQ530" s="48">
        <v>0.92869999999999997</v>
      </c>
      <c r="AR530" s="47">
        <f>IF(AP530="","",AP530-($AC$60+$AC$61*Volcanic!C530+$AC$62*Volcanic!D530+$AC$63*Volcanic!E530))</f>
        <v>0.32860591599553468</v>
      </c>
      <c r="AS530" s="47">
        <f>IF(AQ530="","",AQ530-($AD$60+$AD$61*Volcanic!C530+$AD$62*Volcanic!D530+$AD$63*Volcanic!E530))</f>
        <v>0.37549948672824363</v>
      </c>
    </row>
    <row r="531" spans="1:45">
      <c r="A531" s="45" t="str">
        <f>Volcanic!A531</f>
        <v>4/2002</v>
      </c>
      <c r="B531" s="43">
        <f>Volcanic!B531</f>
        <v>0.58000000000000007</v>
      </c>
      <c r="C531" s="47">
        <f>Volcanic!C531</f>
        <v>0.4221945488102623</v>
      </c>
      <c r="D531" s="41">
        <v>0.2</v>
      </c>
      <c r="E531" s="43">
        <f t="shared" si="124"/>
        <v>-0.1</v>
      </c>
      <c r="F531" s="48">
        <v>2.9099999999999998E-3</v>
      </c>
      <c r="G531" s="47">
        <f t="shared" si="125"/>
        <v>3.3999999999999998E-3</v>
      </c>
      <c r="H531" s="43">
        <f>Volcanic!D531</f>
        <v>-0.15</v>
      </c>
      <c r="I531" s="47">
        <f>Volcanic!E531</f>
        <v>4.6800000000000001E-3</v>
      </c>
      <c r="K531" s="47">
        <f t="shared" si="112"/>
        <v>0.4221945488102623</v>
      </c>
      <c r="L531" s="47">
        <f t="shared" si="113"/>
        <v>-0.1</v>
      </c>
      <c r="M531" s="47">
        <f t="shared" si="114"/>
        <v>4.6800000000000001E-3</v>
      </c>
      <c r="O531" s="47">
        <f t="shared" si="115"/>
        <v>0.4221945488102623</v>
      </c>
      <c r="P531" s="47">
        <f t="shared" si="116"/>
        <v>-0.15</v>
      </c>
      <c r="Q531" s="47">
        <f t="shared" si="117"/>
        <v>3.3999999999999998E-3</v>
      </c>
      <c r="S531" s="47">
        <f t="shared" si="118"/>
        <v>0.4221945488102623</v>
      </c>
      <c r="T531" s="47">
        <f t="shared" si="119"/>
        <v>-0.1</v>
      </c>
      <c r="U531" s="47">
        <f t="shared" si="120"/>
        <v>3.3999999999999998E-3</v>
      </c>
      <c r="W531" s="47">
        <f t="shared" si="121"/>
        <v>8.6793951790629098E-3</v>
      </c>
      <c r="X531" s="47">
        <f t="shared" si="122"/>
        <v>1.3613404717714772E-2</v>
      </c>
      <c r="Y531" s="47">
        <f t="shared" si="123"/>
        <v>9.2467440959158598E-3</v>
      </c>
      <c r="AP531" s="48">
        <v>0.63260000000000005</v>
      </c>
      <c r="AQ531" s="48">
        <v>0.67769999999999997</v>
      </c>
      <c r="AR531" s="47">
        <f>IF(AP531="","",AP531-($AC$60+$AC$61*Volcanic!C531+$AC$62*Volcanic!D531+$AC$63*Volcanic!E531))</f>
        <v>7.3476864457269531E-2</v>
      </c>
      <c r="AS531" s="47">
        <f>IF(AQ531="","",AQ531-($AD$60+$AD$61*Volcanic!C531+$AD$62*Volcanic!D531+$AD$63*Volcanic!E531))</f>
        <v>9.8129992110320918E-2</v>
      </c>
    </row>
    <row r="532" spans="1:45">
      <c r="A532" s="45" t="str">
        <f>Volcanic!A532</f>
        <v>5/2002</v>
      </c>
      <c r="B532" s="43">
        <f>Volcanic!B532</f>
        <v>0.64000000000000234</v>
      </c>
      <c r="C532" s="47">
        <f>Volcanic!C532</f>
        <v>0.42503722288541401</v>
      </c>
      <c r="D532" s="41">
        <v>0.3</v>
      </c>
      <c r="E532" s="43">
        <f t="shared" si="124"/>
        <v>0.1</v>
      </c>
      <c r="F532" s="48">
        <v>2.9499999999999999E-3</v>
      </c>
      <c r="G532" s="47">
        <f t="shared" si="125"/>
        <v>3.3600000000000001E-3</v>
      </c>
      <c r="H532" s="43">
        <f>Volcanic!D532</f>
        <v>7.0000000000000007E-2</v>
      </c>
      <c r="I532" s="47">
        <f>Volcanic!E532</f>
        <v>4.7400000000000003E-3</v>
      </c>
      <c r="K532" s="47">
        <f t="shared" si="112"/>
        <v>0.42503722288541401</v>
      </c>
      <c r="L532" s="47">
        <f t="shared" si="113"/>
        <v>0.1</v>
      </c>
      <c r="M532" s="47">
        <f t="shared" si="114"/>
        <v>4.7400000000000003E-3</v>
      </c>
      <c r="O532" s="47">
        <f t="shared" si="115"/>
        <v>0.42503722288541401</v>
      </c>
      <c r="P532" s="47">
        <f t="shared" si="116"/>
        <v>7.0000000000000007E-2</v>
      </c>
      <c r="Q532" s="47">
        <f t="shared" si="117"/>
        <v>3.3600000000000001E-3</v>
      </c>
      <c r="S532" s="47">
        <f t="shared" si="118"/>
        <v>0.42503722288541401</v>
      </c>
      <c r="T532" s="47">
        <f t="shared" si="119"/>
        <v>0.1</v>
      </c>
      <c r="U532" s="47">
        <f t="shared" si="120"/>
        <v>3.3600000000000001E-3</v>
      </c>
      <c r="W532" s="47">
        <f t="shared" si="121"/>
        <v>4.2484543490265647E-2</v>
      </c>
      <c r="X532" s="47">
        <f t="shared" si="122"/>
        <v>4.5157540913473015E-2</v>
      </c>
      <c r="Y532" s="47">
        <f t="shared" si="123"/>
        <v>4.2655353477218827E-2</v>
      </c>
      <c r="AP532" s="48">
        <v>0.57250000000000001</v>
      </c>
      <c r="AQ532" s="48">
        <v>0.68269999999999997</v>
      </c>
      <c r="AR532" s="47">
        <f>IF(AP532="","",AP532-($AC$60+$AC$61*Volcanic!C532+$AC$62*Volcanic!D532+$AC$63*Volcanic!E532))</f>
        <v>-1.4842914630587511E-2</v>
      </c>
      <c r="AS532" s="47">
        <f>IF(AQ532="","",AQ532-($AD$60+$AD$61*Volcanic!C532+$AD$62*Volcanic!D532+$AD$63*Volcanic!E532))</f>
        <v>7.4281235539642609E-2</v>
      </c>
    </row>
    <row r="533" spans="1:45">
      <c r="A533" s="45" t="str">
        <f>Volcanic!A533</f>
        <v>6/2002</v>
      </c>
      <c r="B533" s="43">
        <f>Volcanic!B533</f>
        <v>0.52999999999999758</v>
      </c>
      <c r="C533" s="47">
        <f>Volcanic!C533</f>
        <v>0.42411588811097739</v>
      </c>
      <c r="D533" s="41">
        <v>0.5</v>
      </c>
      <c r="E533" s="43">
        <f t="shared" si="124"/>
        <v>0.1</v>
      </c>
      <c r="F533" s="48">
        <v>2.98E-3</v>
      </c>
      <c r="G533" s="47">
        <f t="shared" si="125"/>
        <v>3.2699999999999999E-3</v>
      </c>
      <c r="H533" s="43">
        <f>Volcanic!D533</f>
        <v>0.11</v>
      </c>
      <c r="I533" s="47">
        <f>Volcanic!E533</f>
        <v>4.4799999999999996E-3</v>
      </c>
      <c r="K533" s="47">
        <f t="shared" si="112"/>
        <v>0.42411588811097739</v>
      </c>
      <c r="L533" s="47">
        <f t="shared" si="113"/>
        <v>0.1</v>
      </c>
      <c r="M533" s="47">
        <f t="shared" si="114"/>
        <v>4.4799999999999996E-3</v>
      </c>
      <c r="O533" s="47">
        <f t="shared" si="115"/>
        <v>0.42411588811097739</v>
      </c>
      <c r="P533" s="47">
        <f t="shared" si="116"/>
        <v>0.11</v>
      </c>
      <c r="Q533" s="47">
        <f t="shared" si="117"/>
        <v>3.2699999999999999E-3</v>
      </c>
      <c r="S533" s="47">
        <f t="shared" si="118"/>
        <v>0.42411588811097739</v>
      </c>
      <c r="T533" s="47">
        <f t="shared" si="119"/>
        <v>0.1</v>
      </c>
      <c r="U533" s="47">
        <f t="shared" si="120"/>
        <v>3.2699999999999999E-3</v>
      </c>
      <c r="W533" s="47">
        <f t="shared" si="121"/>
        <v>-6.5575754354654459E-2</v>
      </c>
      <c r="X533" s="47">
        <f t="shared" si="122"/>
        <v>-6.634415300463592E-2</v>
      </c>
      <c r="Y533" s="47">
        <f t="shared" si="123"/>
        <v>-6.5089449408764932E-2</v>
      </c>
      <c r="AP533" s="48">
        <v>0.51870000000000005</v>
      </c>
      <c r="AQ533" s="48">
        <v>0.55669999999999997</v>
      </c>
      <c r="AR533" s="47">
        <f>IF(AP533="","",AP533-($AC$60+$AC$61*Volcanic!C533+$AC$62*Volcanic!D533+$AC$63*Volcanic!E533))</f>
        <v>-7.0498526559327757E-2</v>
      </c>
      <c r="AS533" s="47">
        <f>IF(AQ533="","",AQ533-($AD$60+$AD$61*Volcanic!C533+$AD$62*Volcanic!D533+$AD$63*Volcanic!E533))</f>
        <v>-5.3556270277260731E-2</v>
      </c>
    </row>
    <row r="534" spans="1:45">
      <c r="A534" s="45" t="str">
        <f>Volcanic!A534</f>
        <v>7/2002</v>
      </c>
      <c r="B534" s="43">
        <f>Volcanic!B534</f>
        <v>0.61000000000000121</v>
      </c>
      <c r="C534" s="47">
        <f>Volcanic!C534</f>
        <v>0.41822850669924977</v>
      </c>
      <c r="D534" s="41">
        <v>0.6</v>
      </c>
      <c r="E534" s="43">
        <f t="shared" si="124"/>
        <v>0.2</v>
      </c>
      <c r="F534" s="48">
        <v>2.99E-3</v>
      </c>
      <c r="G534" s="47">
        <f t="shared" si="125"/>
        <v>3.1900000000000001E-3</v>
      </c>
      <c r="H534" s="43">
        <f>Volcanic!D534</f>
        <v>0.15</v>
      </c>
      <c r="I534" s="47">
        <f>Volcanic!E534</f>
        <v>4.3200000000000001E-3</v>
      </c>
      <c r="K534" s="47">
        <f t="shared" si="112"/>
        <v>0.41822850669924977</v>
      </c>
      <c r="L534" s="47">
        <f t="shared" si="113"/>
        <v>0.2</v>
      </c>
      <c r="M534" s="47">
        <f t="shared" si="114"/>
        <v>4.3200000000000001E-3</v>
      </c>
      <c r="O534" s="47">
        <f t="shared" si="115"/>
        <v>0.41822850669924977</v>
      </c>
      <c r="P534" s="47">
        <f t="shared" si="116"/>
        <v>0.15</v>
      </c>
      <c r="Q534" s="47">
        <f t="shared" si="117"/>
        <v>3.1900000000000001E-3</v>
      </c>
      <c r="S534" s="47">
        <f t="shared" si="118"/>
        <v>0.41822850669924977</v>
      </c>
      <c r="T534" s="47">
        <f t="shared" si="119"/>
        <v>0.2</v>
      </c>
      <c r="U534" s="47">
        <f t="shared" si="120"/>
        <v>3.1900000000000001E-3</v>
      </c>
      <c r="W534" s="47">
        <f t="shared" si="121"/>
        <v>2.0840125785841934E-2</v>
      </c>
      <c r="X534" s="47">
        <f t="shared" si="122"/>
        <v>2.5606378853111345E-2</v>
      </c>
      <c r="Y534" s="47">
        <f t="shared" si="123"/>
        <v>2.1215388691405601E-2</v>
      </c>
      <c r="AP534" s="48">
        <v>0.64219999999999999</v>
      </c>
      <c r="AQ534" s="48">
        <v>0.5847</v>
      </c>
      <c r="AR534" s="47">
        <f>IF(AP534="","",AP534-($AC$60+$AC$61*Volcanic!C534+$AC$62*Volcanic!D534+$AC$63*Volcanic!E534))</f>
        <v>6.4946808685706903E-2</v>
      </c>
      <c r="AS534" s="47">
        <f>IF(AQ534="","",AQ534-($AD$60+$AD$61*Volcanic!C534+$AD$62*Volcanic!D534+$AD$63*Volcanic!E534))</f>
        <v>-1.3255376323394796E-2</v>
      </c>
    </row>
    <row r="535" spans="1:45">
      <c r="A535" s="45" t="str">
        <f>Volcanic!A535</f>
        <v>8/2002</v>
      </c>
      <c r="B535" s="43">
        <f>Volcanic!B535</f>
        <v>0.52999999999999758</v>
      </c>
      <c r="C535" s="47">
        <f>Volcanic!C535</f>
        <v>0.40999213584619632</v>
      </c>
      <c r="D535" s="41">
        <v>0.6</v>
      </c>
      <c r="E535" s="43">
        <f t="shared" si="124"/>
        <v>0.3</v>
      </c>
      <c r="F535" s="48">
        <v>2.99E-3</v>
      </c>
      <c r="G535" s="47">
        <f t="shared" si="125"/>
        <v>3.0500000000000002E-3</v>
      </c>
      <c r="H535" s="43">
        <f>Volcanic!D535</f>
        <v>0.3</v>
      </c>
      <c r="I535" s="47">
        <f>Volcanic!E535</f>
        <v>4.2100000000000002E-3</v>
      </c>
      <c r="K535" s="47">
        <f t="shared" si="112"/>
        <v>0.40999213584619632</v>
      </c>
      <c r="L535" s="47">
        <f t="shared" si="113"/>
        <v>0.3</v>
      </c>
      <c r="M535" s="47">
        <f t="shared" si="114"/>
        <v>4.2100000000000002E-3</v>
      </c>
      <c r="O535" s="47">
        <f t="shared" si="115"/>
        <v>0.40999213584619632</v>
      </c>
      <c r="P535" s="47">
        <f t="shared" si="116"/>
        <v>0.3</v>
      </c>
      <c r="Q535" s="47">
        <f t="shared" si="117"/>
        <v>3.0500000000000002E-3</v>
      </c>
      <c r="S535" s="47">
        <f t="shared" si="118"/>
        <v>0.40999213584619632</v>
      </c>
      <c r="T535" s="47">
        <f t="shared" si="119"/>
        <v>0.3</v>
      </c>
      <c r="U535" s="47">
        <f t="shared" si="120"/>
        <v>3.0500000000000002E-3</v>
      </c>
      <c r="W535" s="47">
        <f t="shared" si="121"/>
        <v>-4.6227769910748395E-2</v>
      </c>
      <c r="X535" s="47">
        <f t="shared" si="122"/>
        <v>-4.658215666061527E-2</v>
      </c>
      <c r="Y535" s="47">
        <f t="shared" si="123"/>
        <v>-4.6286756401023199E-2</v>
      </c>
      <c r="AP535" s="48">
        <v>0.57120000000000004</v>
      </c>
      <c r="AQ535" s="48">
        <v>0.55269999999999997</v>
      </c>
      <c r="AR535" s="47">
        <f>IF(AP535="","",AP535-($AC$60+$AC$61*Volcanic!C535+$AC$62*Volcanic!D535+$AC$63*Volcanic!E535))</f>
        <v>2.1256623947315534E-3</v>
      </c>
      <c r="AS535" s="47">
        <f>IF(AQ535="","",AQ535-($AD$60+$AD$61*Volcanic!C535+$AD$62*Volcanic!D535+$AD$63*Volcanic!E535))</f>
        <v>-3.677277331638984E-2</v>
      </c>
    </row>
    <row r="536" spans="1:45">
      <c r="A536" s="45" t="str">
        <f>Volcanic!A536</f>
        <v>9/2002</v>
      </c>
      <c r="B536" s="43">
        <f>Volcanic!B536</f>
        <v>0.64000000000000234</v>
      </c>
      <c r="C536" s="47">
        <f>Volcanic!C536</f>
        <v>0.40568123285968838</v>
      </c>
      <c r="D536" s="41">
        <v>0.8</v>
      </c>
      <c r="E536" s="43">
        <f t="shared" si="124"/>
        <v>0.5</v>
      </c>
      <c r="F536" s="48">
        <v>2.9499999999999999E-3</v>
      </c>
      <c r="G536" s="47">
        <f t="shared" si="125"/>
        <v>2.99E-3</v>
      </c>
      <c r="H536" s="43">
        <f>Volcanic!D536</f>
        <v>0.45</v>
      </c>
      <c r="I536" s="47">
        <f>Volcanic!E536</f>
        <v>4.0699999999999998E-3</v>
      </c>
      <c r="K536" s="47">
        <f t="shared" si="112"/>
        <v>0.40568123285968838</v>
      </c>
      <c r="L536" s="47">
        <f t="shared" si="113"/>
        <v>0.5</v>
      </c>
      <c r="M536" s="47">
        <f t="shared" si="114"/>
        <v>4.0699999999999998E-3</v>
      </c>
      <c r="O536" s="47">
        <f t="shared" si="115"/>
        <v>0.40568123285968838</v>
      </c>
      <c r="P536" s="47">
        <f t="shared" si="116"/>
        <v>0.45</v>
      </c>
      <c r="Q536" s="47">
        <f t="shared" si="117"/>
        <v>2.99E-3</v>
      </c>
      <c r="S536" s="47">
        <f t="shared" si="118"/>
        <v>0.40568123285968838</v>
      </c>
      <c r="T536" s="47">
        <f t="shared" si="119"/>
        <v>0.5</v>
      </c>
      <c r="U536" s="47">
        <f t="shared" si="120"/>
        <v>2.99E-3</v>
      </c>
      <c r="W536" s="47">
        <f t="shared" si="121"/>
        <v>5.6645555210162013E-2</v>
      </c>
      <c r="X536" s="47">
        <f t="shared" si="122"/>
        <v>6.0825516422430392E-2</v>
      </c>
      <c r="Y536" s="47">
        <f t="shared" si="123"/>
        <v>5.6407629774960166E-2</v>
      </c>
      <c r="AP536" s="48">
        <v>0.57410000000000005</v>
      </c>
      <c r="AQ536" s="48">
        <v>0.67169999999999996</v>
      </c>
      <c r="AR536" s="47">
        <f>IF(AP536="","",AP536-($AC$60+$AC$61*Volcanic!C536+$AC$62*Volcanic!D536+$AC$63*Volcanic!E536))</f>
        <v>2.4134157641203524E-3</v>
      </c>
      <c r="AS536" s="47">
        <f>IF(AQ536="","",AQ536-($AD$60+$AD$61*Volcanic!C536+$AD$62*Volcanic!D536+$AD$63*Volcanic!E536))</f>
        <v>7.9646304400374901E-2</v>
      </c>
    </row>
    <row r="537" spans="1:45">
      <c r="A537" s="45" t="str">
        <f>Volcanic!A537</f>
        <v>10/2002</v>
      </c>
      <c r="B537" s="43">
        <f>Volcanic!B537</f>
        <v>0.53999999999999915</v>
      </c>
      <c r="C537" s="47">
        <f>Volcanic!C537</f>
        <v>0.40494203764964165</v>
      </c>
      <c r="D537" s="41">
        <v>1</v>
      </c>
      <c r="E537" s="43">
        <f t="shared" si="124"/>
        <v>0.6</v>
      </c>
      <c r="F537" s="48">
        <v>3.15E-3</v>
      </c>
      <c r="G537" s="47">
        <f t="shared" si="125"/>
        <v>2.97E-3</v>
      </c>
      <c r="H537" s="43">
        <f>Volcanic!D537</f>
        <v>0.56999999999999995</v>
      </c>
      <c r="I537" s="47">
        <f>Volcanic!E537</f>
        <v>4.0400000000000002E-3</v>
      </c>
      <c r="K537" s="47">
        <f t="shared" si="112"/>
        <v>0.40494203764964165</v>
      </c>
      <c r="L537" s="47">
        <f t="shared" si="113"/>
        <v>0.6</v>
      </c>
      <c r="M537" s="47">
        <f t="shared" si="114"/>
        <v>4.0400000000000002E-3</v>
      </c>
      <c r="O537" s="47">
        <f t="shared" si="115"/>
        <v>0.40494203764964165</v>
      </c>
      <c r="P537" s="47">
        <f t="shared" si="116"/>
        <v>0.56999999999999995</v>
      </c>
      <c r="Q537" s="47">
        <f t="shared" si="117"/>
        <v>2.97E-3</v>
      </c>
      <c r="S537" s="47">
        <f t="shared" si="118"/>
        <v>0.40494203764964165</v>
      </c>
      <c r="T537" s="47">
        <f t="shared" si="119"/>
        <v>0.6</v>
      </c>
      <c r="U537" s="47">
        <f t="shared" si="120"/>
        <v>2.97E-3</v>
      </c>
      <c r="W537" s="47">
        <f t="shared" si="121"/>
        <v>-5.0691985368986447E-2</v>
      </c>
      <c r="X537" s="47">
        <f t="shared" si="122"/>
        <v>-4.8500608203800422E-2</v>
      </c>
      <c r="Y537" s="47">
        <f t="shared" si="123"/>
        <v>-5.104755047141285E-2</v>
      </c>
      <c r="AP537" s="48">
        <v>0.57199999999999995</v>
      </c>
      <c r="AQ537" s="48">
        <v>0.59870000000000001</v>
      </c>
      <c r="AR537" s="47">
        <f>IF(AP537="","",AP537-($AC$60+$AC$61*Volcanic!C537+$AC$62*Volcanic!D537+$AC$63*Volcanic!E537))</f>
        <v>-8.9777299649618225E-3</v>
      </c>
      <c r="AS537" s="47">
        <f>IF(AQ537="","",AQ537-($AD$60+$AD$61*Volcanic!C537+$AD$62*Volcanic!D537+$AD$63*Volcanic!E537))</f>
        <v>-2.8197193619142746E-3</v>
      </c>
    </row>
    <row r="538" spans="1:45">
      <c r="A538" s="45" t="str">
        <f>Volcanic!A538</f>
        <v>11/2002</v>
      </c>
      <c r="B538" s="43">
        <f>Volcanic!B538</f>
        <v>0.58999999999999986</v>
      </c>
      <c r="C538" s="47">
        <f>Volcanic!C538</f>
        <v>0.41154246245041559</v>
      </c>
      <c r="D538" s="41">
        <v>1.2</v>
      </c>
      <c r="E538" s="43">
        <f t="shared" si="124"/>
        <v>0.6</v>
      </c>
      <c r="F538" s="48">
        <v>3.32E-3</v>
      </c>
      <c r="G538" s="47">
        <f t="shared" si="125"/>
        <v>2.9099999999999998E-3</v>
      </c>
      <c r="H538" s="43">
        <f>Volcanic!D538</f>
        <v>0.63</v>
      </c>
      <c r="I538" s="47">
        <f>Volcanic!E538</f>
        <v>3.8600000000000001E-3</v>
      </c>
      <c r="K538" s="47">
        <f t="shared" si="112"/>
        <v>0.41154246245041559</v>
      </c>
      <c r="L538" s="47">
        <f t="shared" si="113"/>
        <v>0.6</v>
      </c>
      <c r="M538" s="47">
        <f t="shared" si="114"/>
        <v>3.8600000000000001E-3</v>
      </c>
      <c r="O538" s="47">
        <f t="shared" si="115"/>
        <v>0.41154246245041559</v>
      </c>
      <c r="P538" s="47">
        <f t="shared" si="116"/>
        <v>0.63</v>
      </c>
      <c r="Q538" s="47">
        <f t="shared" si="117"/>
        <v>2.9099999999999998E-3</v>
      </c>
      <c r="S538" s="47">
        <f t="shared" si="118"/>
        <v>0.41154246245041559</v>
      </c>
      <c r="T538" s="47">
        <f t="shared" si="119"/>
        <v>0.6</v>
      </c>
      <c r="U538" s="47">
        <f t="shared" si="120"/>
        <v>2.9099999999999998E-3</v>
      </c>
      <c r="W538" s="47">
        <f t="shared" si="121"/>
        <v>-1.9088972181367514E-2</v>
      </c>
      <c r="X538" s="47">
        <f t="shared" si="122"/>
        <v>-2.2138312722940201E-2</v>
      </c>
      <c r="Y538" s="47">
        <f t="shared" si="123"/>
        <v>-1.9047270774661507E-2</v>
      </c>
      <c r="AP538" s="48">
        <v>0.56310000000000004</v>
      </c>
      <c r="AQ538" s="48">
        <v>0.56669999999999998</v>
      </c>
      <c r="AR538" s="47">
        <f>IF(AP538="","",AP538-($AC$60+$AC$61*Volcanic!C538+$AC$62*Volcanic!D538+$AC$63*Volcanic!E538))</f>
        <v>-4.1952725476328889E-2</v>
      </c>
      <c r="AS538" s="47">
        <f>IF(AQ538="","",AQ538-($AD$60+$AD$61*Volcanic!C538+$AD$62*Volcanic!D538+$AD$63*Volcanic!E538))</f>
        <v>-5.9452925412154523E-2</v>
      </c>
    </row>
    <row r="539" spans="1:45">
      <c r="A539" s="45" t="str">
        <f>Volcanic!A539</f>
        <v>12/2002</v>
      </c>
      <c r="B539" s="43">
        <f>Volcanic!B539</f>
        <v>0.44000000000000483</v>
      </c>
      <c r="C539" s="47">
        <f>Volcanic!C539</f>
        <v>0.41753429141234943</v>
      </c>
      <c r="D539" s="41">
        <v>1.1000000000000001</v>
      </c>
      <c r="E539" s="43">
        <f t="shared" si="124"/>
        <v>0.8</v>
      </c>
      <c r="F539" s="48">
        <v>3.5100000000000001E-3</v>
      </c>
      <c r="G539" s="47">
        <f t="shared" si="125"/>
        <v>2.9499999999999999E-3</v>
      </c>
      <c r="H539" s="43">
        <f>Volcanic!D539</f>
        <v>0.78</v>
      </c>
      <c r="I539" s="47">
        <f>Volcanic!E539</f>
        <v>3.8999999999999998E-3</v>
      </c>
      <c r="K539" s="47">
        <f t="shared" si="112"/>
        <v>0.41753429141234943</v>
      </c>
      <c r="L539" s="47">
        <f t="shared" si="113"/>
        <v>0.8</v>
      </c>
      <c r="M539" s="47">
        <f t="shared" si="114"/>
        <v>3.8999999999999998E-3</v>
      </c>
      <c r="O539" s="47">
        <f t="shared" si="115"/>
        <v>0.41753429141234943</v>
      </c>
      <c r="P539" s="47">
        <f t="shared" si="116"/>
        <v>0.78</v>
      </c>
      <c r="Q539" s="47">
        <f t="shared" si="117"/>
        <v>2.9499999999999999E-3</v>
      </c>
      <c r="S539" s="47">
        <f t="shared" si="118"/>
        <v>0.41753429141234943</v>
      </c>
      <c r="T539" s="47">
        <f t="shared" si="119"/>
        <v>0.8</v>
      </c>
      <c r="U539" s="47">
        <f t="shared" si="120"/>
        <v>2.9499999999999999E-3</v>
      </c>
      <c r="W539" s="47">
        <f t="shared" si="121"/>
        <v>-0.20391611393896425</v>
      </c>
      <c r="X539" s="47">
        <f t="shared" si="122"/>
        <v>-0.20232361177348579</v>
      </c>
      <c r="Y539" s="47">
        <f t="shared" si="123"/>
        <v>-0.20394242958835562</v>
      </c>
      <c r="AP539" s="48">
        <v>0.41670000000000001</v>
      </c>
      <c r="AQ539" s="48">
        <v>0.56369999999999998</v>
      </c>
      <c r="AR539" s="47">
        <f>IF(AP539="","",AP539-($AC$60+$AC$61*Volcanic!C539+$AC$62*Volcanic!D539+$AC$63*Volcanic!E539))</f>
        <v>-0.21866457931022637</v>
      </c>
      <c r="AS539" s="47">
        <f>IF(AQ539="","",AQ539-($AD$60+$AD$61*Volcanic!C539+$AD$62*Volcanic!D539+$AD$63*Volcanic!E539))</f>
        <v>-9.3478431184452204E-2</v>
      </c>
    </row>
    <row r="540" spans="1:45">
      <c r="A540" s="45" t="str">
        <f>Volcanic!A540</f>
        <v>1/2003</v>
      </c>
      <c r="B540" s="43">
        <f>Volcanic!B540</f>
        <v>0.75</v>
      </c>
      <c r="C540" s="47">
        <f>Volcanic!C540</f>
        <v>0.42173304638074988</v>
      </c>
      <c r="D540" s="41">
        <v>0.9</v>
      </c>
      <c r="E540" s="43">
        <f t="shared" si="124"/>
        <v>1</v>
      </c>
      <c r="F540" s="48">
        <v>3.63E-3</v>
      </c>
      <c r="G540" s="47">
        <f t="shared" si="125"/>
        <v>2.98E-3</v>
      </c>
      <c r="H540" s="43">
        <f>Volcanic!D540</f>
        <v>0.99</v>
      </c>
      <c r="I540" s="47">
        <f>Volcanic!E540</f>
        <v>3.9899999999999996E-3</v>
      </c>
      <c r="K540" s="47">
        <f t="shared" si="112"/>
        <v>0.42173304638074988</v>
      </c>
      <c r="L540" s="47">
        <f t="shared" si="113"/>
        <v>1</v>
      </c>
      <c r="M540" s="47">
        <f t="shared" si="114"/>
        <v>3.9899999999999996E-3</v>
      </c>
      <c r="O540" s="47">
        <f t="shared" si="115"/>
        <v>0.42173304638074988</v>
      </c>
      <c r="P540" s="47">
        <f t="shared" si="116"/>
        <v>0.99</v>
      </c>
      <c r="Q540" s="47">
        <f t="shared" si="117"/>
        <v>2.98E-3</v>
      </c>
      <c r="S540" s="47">
        <f t="shared" si="118"/>
        <v>0.42173304638074988</v>
      </c>
      <c r="T540" s="47">
        <f t="shared" si="119"/>
        <v>1</v>
      </c>
      <c r="U540" s="47">
        <f t="shared" si="120"/>
        <v>2.98E-3</v>
      </c>
      <c r="W540" s="47">
        <f t="shared" si="121"/>
        <v>7.6256903331838544E-2</v>
      </c>
      <c r="X540" s="47">
        <f t="shared" si="122"/>
        <v>7.6676507404735528E-2</v>
      </c>
      <c r="Y540" s="47">
        <f t="shared" si="123"/>
        <v>7.5983427220827848E-2</v>
      </c>
      <c r="AP540" s="48">
        <v>0.72640000000000005</v>
      </c>
      <c r="AQ540" s="48">
        <v>0.79469999999999996</v>
      </c>
      <c r="AR540" s="47">
        <f>IF(AP540="","",AP540-($AC$60+$AC$61*Volcanic!C540+$AC$62*Volcanic!D540+$AC$63*Volcanic!E540))</f>
        <v>6.0121353158504531E-2</v>
      </c>
      <c r="AS540" s="47">
        <f>IF(AQ540="","",AQ540-($AD$60+$AD$61*Volcanic!C540+$AD$62*Volcanic!D540+$AD$63*Volcanic!E540))</f>
        <v>0.10589892903702858</v>
      </c>
    </row>
    <row r="541" spans="1:45">
      <c r="A541" s="45" t="str">
        <f>Volcanic!A541</f>
        <v>2/2003</v>
      </c>
      <c r="B541" s="43">
        <f>Volcanic!B541</f>
        <v>0.58000000000000007</v>
      </c>
      <c r="C541" s="47">
        <f>Volcanic!C541</f>
        <v>0.42461501748300506</v>
      </c>
      <c r="D541" s="41">
        <v>0.6</v>
      </c>
      <c r="E541" s="43">
        <f t="shared" si="124"/>
        <v>1.2</v>
      </c>
      <c r="F541" s="48">
        <v>3.6099999999999999E-3</v>
      </c>
      <c r="G541" s="47">
        <f t="shared" si="125"/>
        <v>2.99E-3</v>
      </c>
      <c r="H541" s="43">
        <f>Volcanic!D541</f>
        <v>1.19</v>
      </c>
      <c r="I541" s="47">
        <f>Volcanic!E541</f>
        <v>4.0200000000000001E-3</v>
      </c>
      <c r="K541" s="47">
        <f t="shared" si="112"/>
        <v>0.42461501748300506</v>
      </c>
      <c r="L541" s="47">
        <f t="shared" si="113"/>
        <v>1.2</v>
      </c>
      <c r="M541" s="47">
        <f t="shared" si="114"/>
        <v>4.0200000000000001E-3</v>
      </c>
      <c r="O541" s="47">
        <f t="shared" si="115"/>
        <v>0.42461501748300506</v>
      </c>
      <c r="P541" s="47">
        <f t="shared" si="116"/>
        <v>1.19</v>
      </c>
      <c r="Q541" s="47">
        <f t="shared" si="117"/>
        <v>2.99E-3</v>
      </c>
      <c r="S541" s="47">
        <f t="shared" si="118"/>
        <v>0.42461501748300506</v>
      </c>
      <c r="T541" s="47">
        <f t="shared" si="119"/>
        <v>1.2</v>
      </c>
      <c r="U541" s="47">
        <f t="shared" si="120"/>
        <v>2.99E-3</v>
      </c>
      <c r="W541" s="47">
        <f t="shared" si="121"/>
        <v>-0.1201112230179443</v>
      </c>
      <c r="X541" s="47">
        <f t="shared" si="122"/>
        <v>-0.11987623771988809</v>
      </c>
      <c r="Y541" s="47">
        <f t="shared" si="123"/>
        <v>-0.12058340238288412</v>
      </c>
      <c r="AP541" s="48">
        <v>0.55600000000000005</v>
      </c>
      <c r="AQ541" s="48">
        <v>0.60170000000000001</v>
      </c>
      <c r="AR541" s="47">
        <f>IF(AP541="","",AP541-($AC$60+$AC$61*Volcanic!C541+$AC$62*Volcanic!D541+$AC$63*Volcanic!E541))</f>
        <v>-0.13680501469401873</v>
      </c>
      <c r="AS541" s="47">
        <f>IF(AQ541="","",AQ541-($AD$60+$AD$61*Volcanic!C541+$AD$62*Volcanic!D541+$AD$63*Volcanic!E541))</f>
        <v>-0.11421731836765692</v>
      </c>
    </row>
    <row r="542" spans="1:45">
      <c r="A542" s="45" t="str">
        <f>Volcanic!A542</f>
        <v>3/2003</v>
      </c>
      <c r="B542" s="43">
        <f>Volcanic!B542</f>
        <v>0.60000000000000142</v>
      </c>
      <c r="C542" s="47">
        <f>Volcanic!C542</f>
        <v>0.42775939831875309</v>
      </c>
      <c r="D542" s="41">
        <v>0.4</v>
      </c>
      <c r="E542" s="43">
        <f t="shared" si="124"/>
        <v>1.1000000000000001</v>
      </c>
      <c r="F542" s="48">
        <v>3.6099999999999999E-3</v>
      </c>
      <c r="G542" s="47">
        <f t="shared" si="125"/>
        <v>2.99E-3</v>
      </c>
      <c r="H542" s="43">
        <f>Volcanic!D542</f>
        <v>1.08</v>
      </c>
      <c r="I542" s="47">
        <f>Volcanic!E542</f>
        <v>4.0000000000000001E-3</v>
      </c>
      <c r="K542" s="47">
        <f t="shared" si="112"/>
        <v>0.42775939831875309</v>
      </c>
      <c r="L542" s="47">
        <f t="shared" si="113"/>
        <v>1.1000000000000001</v>
      </c>
      <c r="M542" s="47">
        <f t="shared" si="114"/>
        <v>4.0000000000000001E-3</v>
      </c>
      <c r="O542" s="47">
        <f t="shared" si="115"/>
        <v>0.42775939831875309</v>
      </c>
      <c r="P542" s="47">
        <f t="shared" si="116"/>
        <v>1.08</v>
      </c>
      <c r="Q542" s="47">
        <f t="shared" si="117"/>
        <v>2.99E-3</v>
      </c>
      <c r="S542" s="47">
        <f t="shared" si="118"/>
        <v>0.42775939831875309</v>
      </c>
      <c r="T542" s="47">
        <f t="shared" si="119"/>
        <v>1.1000000000000001</v>
      </c>
      <c r="U542" s="47">
        <f t="shared" si="120"/>
        <v>2.99E-3</v>
      </c>
      <c r="W542" s="47">
        <f t="shared" si="121"/>
        <v>-9.944316205839332E-2</v>
      </c>
      <c r="X542" s="47">
        <f t="shared" si="122"/>
        <v>-9.804433876910823E-2</v>
      </c>
      <c r="Y542" s="47">
        <f t="shared" si="123"/>
        <v>-9.9682419505800146E-2</v>
      </c>
      <c r="AP542" s="48">
        <v>0.54910000000000003</v>
      </c>
      <c r="AQ542" s="48">
        <v>0.58169999999999999</v>
      </c>
      <c r="AR542" s="47">
        <f>IF(AP542="","",AP542-($AC$60+$AC$61*Volcanic!C542+$AC$62*Volcanic!D542+$AC$63*Volcanic!E542))</f>
        <v>-0.1420382493294623</v>
      </c>
      <c r="AS542" s="47">
        <f>IF(AQ542="","",AQ542-($AD$60+$AD$61*Volcanic!C542+$AD$62*Volcanic!D542+$AD$63*Volcanic!E542))</f>
        <v>-0.1325581227595708</v>
      </c>
    </row>
    <row r="543" spans="1:45">
      <c r="A543" s="45" t="str">
        <f>Volcanic!A543</f>
        <v>4/2003</v>
      </c>
      <c r="B543" s="43">
        <f>Volcanic!B543</f>
        <v>0.54999999999999893</v>
      </c>
      <c r="C543" s="47">
        <f>Volcanic!C543</f>
        <v>0.43265404267746627</v>
      </c>
      <c r="D543" s="41">
        <v>0</v>
      </c>
      <c r="E543" s="43">
        <f t="shared" si="124"/>
        <v>0.9</v>
      </c>
      <c r="F543" s="48">
        <v>3.5000000000000001E-3</v>
      </c>
      <c r="G543" s="47">
        <f t="shared" si="125"/>
        <v>2.9499999999999999E-3</v>
      </c>
      <c r="H543" s="43">
        <f>Volcanic!D543</f>
        <v>0.9</v>
      </c>
      <c r="I543" s="47">
        <f>Volcanic!E543</f>
        <v>3.9100000000000003E-3</v>
      </c>
      <c r="K543" s="47">
        <f t="shared" si="112"/>
        <v>0.43265404267746627</v>
      </c>
      <c r="L543" s="47">
        <f t="shared" si="113"/>
        <v>0.9</v>
      </c>
      <c r="M543" s="47">
        <f t="shared" si="114"/>
        <v>3.9100000000000003E-3</v>
      </c>
      <c r="O543" s="47">
        <f t="shared" si="115"/>
        <v>0.43265404267746627</v>
      </c>
      <c r="P543" s="47">
        <f t="shared" si="116"/>
        <v>0.9</v>
      </c>
      <c r="Q543" s="47">
        <f t="shared" si="117"/>
        <v>2.9499999999999999E-3</v>
      </c>
      <c r="S543" s="47">
        <f t="shared" si="118"/>
        <v>0.43265404267746627</v>
      </c>
      <c r="T543" s="47">
        <f t="shared" si="119"/>
        <v>0.9</v>
      </c>
      <c r="U543" s="47">
        <f t="shared" si="120"/>
        <v>2.9499999999999999E-3</v>
      </c>
      <c r="W543" s="47">
        <f t="shared" si="121"/>
        <v>-0.14441524855595211</v>
      </c>
      <c r="X543" s="47">
        <f t="shared" si="122"/>
        <v>-0.14447339234119383</v>
      </c>
      <c r="Y543" s="47">
        <f t="shared" si="123"/>
        <v>-0.14421640320174789</v>
      </c>
      <c r="AP543" s="48">
        <v>0.54010000000000002</v>
      </c>
      <c r="AQ543" s="48">
        <v>0.62870000000000004</v>
      </c>
      <c r="AR543" s="47">
        <f>IF(AP543="","",AP543-($AC$60+$AC$61*Volcanic!C543+$AC$62*Volcanic!D543+$AC$63*Volcanic!E543))</f>
        <v>-0.14776404464366488</v>
      </c>
      <c r="AS543" s="47">
        <f>IF(AQ543="","",AQ543-($AD$60+$AD$61*Volcanic!C543+$AD$62*Volcanic!D543+$AD$63*Volcanic!E543))</f>
        <v>-8.2272049423930627E-2</v>
      </c>
    </row>
    <row r="544" spans="1:45">
      <c r="A544" s="45" t="str">
        <f>Volcanic!A544</f>
        <v>5/2003</v>
      </c>
      <c r="B544" s="43">
        <f>Volcanic!B544</f>
        <v>0.60000000000000142</v>
      </c>
      <c r="C544" s="47">
        <f>Volcanic!C544</f>
        <v>0.43593332976445326</v>
      </c>
      <c r="D544" s="41">
        <v>-0.2</v>
      </c>
      <c r="E544" s="43">
        <f t="shared" si="124"/>
        <v>0.6</v>
      </c>
      <c r="F544" s="48">
        <v>3.4299999999999999E-3</v>
      </c>
      <c r="G544" s="47">
        <f t="shared" si="125"/>
        <v>3.15E-3</v>
      </c>
      <c r="H544" s="43">
        <f>Volcanic!D544</f>
        <v>0.59</v>
      </c>
      <c r="I544" s="47">
        <f>Volcanic!E544</f>
        <v>4.0899999999999999E-3</v>
      </c>
      <c r="K544" s="47">
        <f t="shared" si="112"/>
        <v>0.43593332976445326</v>
      </c>
      <c r="L544" s="47">
        <f t="shared" si="113"/>
        <v>0.6</v>
      </c>
      <c r="M544" s="47">
        <f t="shared" si="114"/>
        <v>4.0899999999999999E-3</v>
      </c>
      <c r="O544" s="47">
        <f t="shared" si="115"/>
        <v>0.43593332976445326</v>
      </c>
      <c r="P544" s="47">
        <f t="shared" si="116"/>
        <v>0.59</v>
      </c>
      <c r="Q544" s="47">
        <f t="shared" si="117"/>
        <v>3.15E-3</v>
      </c>
      <c r="S544" s="47">
        <f t="shared" si="118"/>
        <v>0.43593332976445326</v>
      </c>
      <c r="T544" s="47">
        <f t="shared" si="119"/>
        <v>0.6</v>
      </c>
      <c r="U544" s="47">
        <f t="shared" si="120"/>
        <v>3.15E-3</v>
      </c>
      <c r="W544" s="47">
        <f t="shared" si="121"/>
        <v>-7.5099729307262386E-2</v>
      </c>
      <c r="X544" s="47">
        <f t="shared" si="122"/>
        <v>-7.3696435858430442E-2</v>
      </c>
      <c r="Y544" s="47">
        <f t="shared" si="123"/>
        <v>-7.435471773943414E-2</v>
      </c>
      <c r="AP544" s="48">
        <v>0.58950000000000002</v>
      </c>
      <c r="AQ544" s="48">
        <v>0.65269999999999995</v>
      </c>
      <c r="AR544" s="47">
        <f>IF(AP544="","",AP544-($AC$60+$AC$61*Volcanic!C544+$AC$62*Volcanic!D544+$AC$63*Volcanic!E544))</f>
        <v>-7.7855395083297751E-2</v>
      </c>
      <c r="AS544" s="47">
        <f>IF(AQ544="","",AQ544-($AD$60+$AD$61*Volcanic!C544+$AD$62*Volcanic!D544+$AD$63*Volcanic!E544))</f>
        <v>-3.7419774559743213E-2</v>
      </c>
    </row>
    <row r="545" spans="1:45">
      <c r="A545" s="45" t="str">
        <f>Volcanic!A545</f>
        <v>6/2003</v>
      </c>
      <c r="B545" s="43">
        <f>Volcanic!B545</f>
        <v>0.47999999999999865</v>
      </c>
      <c r="C545" s="47">
        <f>Volcanic!C545</f>
        <v>0.43471400051463627</v>
      </c>
      <c r="D545" s="41">
        <v>-0.1</v>
      </c>
      <c r="E545" s="43">
        <f t="shared" si="124"/>
        <v>0.4</v>
      </c>
      <c r="F545" s="48">
        <v>3.5000000000000001E-3</v>
      </c>
      <c r="G545" s="47">
        <f t="shared" si="125"/>
        <v>3.32E-3</v>
      </c>
      <c r="H545" s="43">
        <f>Volcanic!D545</f>
        <v>0.38</v>
      </c>
      <c r="I545" s="47">
        <f>Volcanic!E545</f>
        <v>4.3499999999999997E-3</v>
      </c>
      <c r="K545" s="47">
        <f t="shared" si="112"/>
        <v>0.43471400051463627</v>
      </c>
      <c r="L545" s="47">
        <f t="shared" si="113"/>
        <v>0.4</v>
      </c>
      <c r="M545" s="47">
        <f t="shared" si="114"/>
        <v>4.3499999999999997E-3</v>
      </c>
      <c r="O545" s="47">
        <f t="shared" si="115"/>
        <v>0.43471400051463627</v>
      </c>
      <c r="P545" s="47">
        <f t="shared" si="116"/>
        <v>0.38</v>
      </c>
      <c r="Q545" s="47">
        <f t="shared" si="117"/>
        <v>3.32E-3</v>
      </c>
      <c r="S545" s="47">
        <f t="shared" si="118"/>
        <v>0.43471400051463627</v>
      </c>
      <c r="T545" s="47">
        <f t="shared" si="119"/>
        <v>0.4</v>
      </c>
      <c r="U545" s="47">
        <f t="shared" si="120"/>
        <v>3.32E-3</v>
      </c>
      <c r="W545" s="47">
        <f t="shared" si="121"/>
        <v>-0.17262685538765121</v>
      </c>
      <c r="X545" s="47">
        <f t="shared" si="122"/>
        <v>-0.1702291167066029</v>
      </c>
      <c r="Y545" s="47">
        <f t="shared" si="123"/>
        <v>-0.17181161780509624</v>
      </c>
      <c r="AP545" s="48">
        <v>0.49490000000000001</v>
      </c>
      <c r="AQ545" s="48">
        <v>0.48370000000000002</v>
      </c>
      <c r="AR545" s="47">
        <f>IF(AP545="","",AP545-($AC$60+$AC$61*Volcanic!C545+$AC$62*Volcanic!D545+$AC$63*Volcanic!E545))</f>
        <v>-0.14883480143743333</v>
      </c>
      <c r="AS545" s="47">
        <f>IF(AQ545="","",AQ545-($AD$60+$AD$61*Volcanic!C545+$AD$62*Volcanic!D545+$AD$63*Volcanic!E545))</f>
        <v>-0.1823405622089127</v>
      </c>
    </row>
    <row r="546" spans="1:45">
      <c r="A546" s="45" t="str">
        <f>Volcanic!A546</f>
        <v>7/2003</v>
      </c>
      <c r="B546" s="43">
        <f>Volcanic!B546</f>
        <v>0.58000000000000007</v>
      </c>
      <c r="C546" s="47">
        <f>Volcanic!C546</f>
        <v>0.42867840994823009</v>
      </c>
      <c r="D546" s="41">
        <v>0.1</v>
      </c>
      <c r="E546" s="43">
        <f t="shared" si="124"/>
        <v>0</v>
      </c>
      <c r="F546" s="48">
        <v>3.63E-3</v>
      </c>
      <c r="G546" s="47">
        <f t="shared" si="125"/>
        <v>3.5100000000000001E-3</v>
      </c>
      <c r="H546" s="43">
        <f>Volcanic!D546</f>
        <v>-0.01</v>
      </c>
      <c r="I546" s="47">
        <f>Volcanic!E546</f>
        <v>4.4900000000000001E-3</v>
      </c>
      <c r="K546" s="47">
        <f t="shared" si="112"/>
        <v>0.42867840994823009</v>
      </c>
      <c r="L546" s="47">
        <f t="shared" si="113"/>
        <v>0</v>
      </c>
      <c r="M546" s="47">
        <f t="shared" si="114"/>
        <v>4.4900000000000001E-3</v>
      </c>
      <c r="O546" s="47">
        <f t="shared" si="115"/>
        <v>0.42867840994823009</v>
      </c>
      <c r="P546" s="47">
        <f t="shared" si="116"/>
        <v>-0.01</v>
      </c>
      <c r="Q546" s="47">
        <f t="shared" si="117"/>
        <v>3.5100000000000001E-3</v>
      </c>
      <c r="S546" s="47">
        <f t="shared" si="118"/>
        <v>0.42867840994823009</v>
      </c>
      <c r="T546" s="47">
        <f t="shared" si="119"/>
        <v>0</v>
      </c>
      <c r="U546" s="47">
        <f t="shared" si="120"/>
        <v>3.5100000000000001E-3</v>
      </c>
      <c r="W546" s="47">
        <f t="shared" si="121"/>
        <v>-1.8709071695567903E-2</v>
      </c>
      <c r="X546" s="47">
        <f t="shared" si="122"/>
        <v>-1.6779887583278974E-2</v>
      </c>
      <c r="Y546" s="47">
        <f t="shared" si="123"/>
        <v>-1.739429283621885E-2</v>
      </c>
      <c r="AP546" s="48">
        <v>0.55669999999999997</v>
      </c>
      <c r="AQ546" s="48">
        <v>0.54969999999999997</v>
      </c>
      <c r="AR546" s="47">
        <f>IF(AP546="","",AP546-($AC$60+$AC$61*Volcanic!C546+$AC$62*Volcanic!D546+$AC$63*Volcanic!E546))</f>
        <v>-3.3695511472134232E-2</v>
      </c>
      <c r="AS546" s="47">
        <f>IF(AQ546="","",AQ546-($AD$60+$AD$61*Volcanic!C546+$AD$62*Volcanic!D546+$AD$63*Volcanic!E546))</f>
        <v>-6.1844781586281705E-2</v>
      </c>
    </row>
    <row r="547" spans="1:45">
      <c r="A547" s="45" t="str">
        <f>Volcanic!A547</f>
        <v>8/2003</v>
      </c>
      <c r="B547" s="43">
        <f>Volcanic!B547</f>
        <v>0.64000000000000234</v>
      </c>
      <c r="C547" s="47">
        <f>Volcanic!C547</f>
        <v>0.41980852893927539</v>
      </c>
      <c r="D547" s="41">
        <v>0.1</v>
      </c>
      <c r="E547" s="43">
        <f t="shared" si="124"/>
        <v>-0.2</v>
      </c>
      <c r="F547" s="48">
        <v>3.65E-3</v>
      </c>
      <c r="G547" s="47">
        <f t="shared" si="125"/>
        <v>3.63E-3</v>
      </c>
      <c r="H547" s="43">
        <f>Volcanic!D547</f>
        <v>-0.18</v>
      </c>
      <c r="I547" s="47">
        <f>Volcanic!E547</f>
        <v>4.81E-3</v>
      </c>
      <c r="K547" s="47">
        <f t="shared" si="112"/>
        <v>0.41980852893927539</v>
      </c>
      <c r="L547" s="47">
        <f t="shared" si="113"/>
        <v>-0.2</v>
      </c>
      <c r="M547" s="47">
        <f t="shared" si="114"/>
        <v>4.81E-3</v>
      </c>
      <c r="O547" s="47">
        <f t="shared" si="115"/>
        <v>0.41980852893927539</v>
      </c>
      <c r="P547" s="47">
        <f t="shared" si="116"/>
        <v>-0.18</v>
      </c>
      <c r="Q547" s="47">
        <f t="shared" si="117"/>
        <v>3.63E-3</v>
      </c>
      <c r="S547" s="47">
        <f t="shared" si="118"/>
        <v>0.41980852893927539</v>
      </c>
      <c r="T547" s="47">
        <f t="shared" si="119"/>
        <v>-0.2</v>
      </c>
      <c r="U547" s="47">
        <f t="shared" si="120"/>
        <v>3.63E-3</v>
      </c>
      <c r="W547" s="47">
        <f t="shared" si="121"/>
        <v>8.4760220374132889E-2</v>
      </c>
      <c r="X547" s="47">
        <f t="shared" si="122"/>
        <v>8.3483215910279407E-2</v>
      </c>
      <c r="Y547" s="47">
        <f t="shared" si="123"/>
        <v>8.5699568649850955E-2</v>
      </c>
      <c r="AP547" s="48">
        <v>0.68620000000000003</v>
      </c>
      <c r="AQ547" s="48">
        <v>0.64970000000000006</v>
      </c>
      <c r="AR547" s="47">
        <f>IF(AP547="","",AP547-($AC$60+$AC$61*Volcanic!C547+$AC$62*Volcanic!D547+$AC$63*Volcanic!E547))</f>
        <v>0.13671430870351242</v>
      </c>
      <c r="AS547" s="47">
        <f>IF(AQ547="","",AQ547-($AD$60+$AD$61*Volcanic!C547+$AD$62*Volcanic!D547+$AD$63*Volcanic!E547))</f>
        <v>7.9977654114126717E-2</v>
      </c>
    </row>
    <row r="548" spans="1:45">
      <c r="A548" s="45" t="str">
        <f>Volcanic!A548</f>
        <v>9/2003</v>
      </c>
      <c r="B548" s="43">
        <f>Volcanic!B548</f>
        <v>0.62000000000000099</v>
      </c>
      <c r="C548" s="47">
        <f>Volcanic!C548</f>
        <v>0.41506326146026928</v>
      </c>
      <c r="D548" s="41">
        <v>0.2</v>
      </c>
      <c r="E548" s="43">
        <f t="shared" si="124"/>
        <v>-0.1</v>
      </c>
      <c r="F548" s="48">
        <v>3.6900000000000001E-3</v>
      </c>
      <c r="G548" s="47">
        <f t="shared" si="125"/>
        <v>3.6099999999999999E-3</v>
      </c>
      <c r="H548" s="43">
        <f>Volcanic!D548</f>
        <v>-0.13</v>
      </c>
      <c r="I548" s="47">
        <f>Volcanic!E548</f>
        <v>4.9300000000000004E-3</v>
      </c>
      <c r="K548" s="47">
        <f t="shared" si="112"/>
        <v>0.41506326146026928</v>
      </c>
      <c r="L548" s="47">
        <f t="shared" si="113"/>
        <v>-0.1</v>
      </c>
      <c r="M548" s="47">
        <f t="shared" si="114"/>
        <v>4.9300000000000004E-3</v>
      </c>
      <c r="O548" s="47">
        <f t="shared" si="115"/>
        <v>0.41506326146026928</v>
      </c>
      <c r="P548" s="47">
        <f t="shared" si="116"/>
        <v>-0.13</v>
      </c>
      <c r="Q548" s="47">
        <f t="shared" si="117"/>
        <v>3.6099999999999999E-3</v>
      </c>
      <c r="S548" s="47">
        <f t="shared" si="118"/>
        <v>0.41506326146026928</v>
      </c>
      <c r="T548" s="47">
        <f t="shared" si="119"/>
        <v>-0.1</v>
      </c>
      <c r="U548" s="47">
        <f t="shared" si="120"/>
        <v>3.6099999999999999E-3</v>
      </c>
      <c r="W548" s="47">
        <f t="shared" si="121"/>
        <v>6.8678370851062653E-2</v>
      </c>
      <c r="X548" s="47">
        <f t="shared" si="122"/>
        <v>7.1563356083645058E-2</v>
      </c>
      <c r="Y548" s="47">
        <f t="shared" si="123"/>
        <v>6.9073907590703088E-2</v>
      </c>
      <c r="AP548" s="48">
        <v>0.64459999999999995</v>
      </c>
      <c r="AQ548" s="48">
        <v>0.67769999999999997</v>
      </c>
      <c r="AR548" s="47">
        <f>IF(AP548="","",AP548-($AC$60+$AC$61*Volcanic!C548+$AC$62*Volcanic!D548+$AC$63*Volcanic!E548))</f>
        <v>0.10367826346596853</v>
      </c>
      <c r="AS548" s="47">
        <f>IF(AQ548="","",AQ548-($AD$60+$AD$61*Volcanic!C548+$AD$62*Volcanic!D548+$AD$63*Volcanic!E548))</f>
        <v>0.1167652657460877</v>
      </c>
    </row>
    <row r="549" spans="1:45">
      <c r="A549" s="45" t="str">
        <f>Volcanic!A549</f>
        <v>10/2003</v>
      </c>
      <c r="B549" s="43">
        <f>Volcanic!B549</f>
        <v>0.72000000000000242</v>
      </c>
      <c r="C549" s="47">
        <f>Volcanic!C549</f>
        <v>0.41494732802090711</v>
      </c>
      <c r="D549" s="41">
        <v>0.2</v>
      </c>
      <c r="E549" s="43">
        <f t="shared" si="124"/>
        <v>0.1</v>
      </c>
      <c r="F549" s="48">
        <v>3.79E-3</v>
      </c>
      <c r="G549" s="47">
        <f t="shared" si="125"/>
        <v>3.6099999999999999E-3</v>
      </c>
      <c r="H549" s="43">
        <f>Volcanic!D549</f>
        <v>0.09</v>
      </c>
      <c r="I549" s="47">
        <f>Volcanic!E549</f>
        <v>5.0400000000000002E-3</v>
      </c>
      <c r="K549" s="47">
        <f t="shared" si="112"/>
        <v>0.41494732802090711</v>
      </c>
      <c r="L549" s="47">
        <f t="shared" si="113"/>
        <v>0.1</v>
      </c>
      <c r="M549" s="47">
        <f t="shared" si="114"/>
        <v>5.0400000000000002E-3</v>
      </c>
      <c r="O549" s="47">
        <f t="shared" si="115"/>
        <v>0.41494732802090711</v>
      </c>
      <c r="P549" s="47">
        <f t="shared" si="116"/>
        <v>0.09</v>
      </c>
      <c r="Q549" s="47">
        <f t="shared" si="117"/>
        <v>3.6099999999999999E-3</v>
      </c>
      <c r="S549" s="47">
        <f t="shared" si="118"/>
        <v>0.41494732802090711</v>
      </c>
      <c r="T549" s="47">
        <f t="shared" si="119"/>
        <v>0.1</v>
      </c>
      <c r="U549" s="47">
        <f t="shared" si="120"/>
        <v>3.6099999999999999E-3</v>
      </c>
      <c r="W549" s="47">
        <f t="shared" si="121"/>
        <v>0.15066226360555923</v>
      </c>
      <c r="X549" s="47">
        <f t="shared" si="122"/>
        <v>0.15121083083012765</v>
      </c>
      <c r="Y549" s="47">
        <f t="shared" si="123"/>
        <v>0.15058508316519237</v>
      </c>
      <c r="AP549" s="48">
        <v>0.72819999999999996</v>
      </c>
      <c r="AQ549" s="48">
        <v>0.72970000000000002</v>
      </c>
      <c r="AR549" s="47">
        <f>IF(AP549="","",AP549-($AC$60+$AC$61*Volcanic!C549+$AC$62*Volcanic!D549+$AC$63*Volcanic!E549))</f>
        <v>0.16725759201986368</v>
      </c>
      <c r="AS549" s="47">
        <f>IF(AQ549="","",AQ549-($AD$60+$AD$61*Volcanic!C549+$AD$62*Volcanic!D549+$AD$63*Volcanic!E549))</f>
        <v>0.14831776940224861</v>
      </c>
    </row>
    <row r="550" spans="1:45">
      <c r="A550" s="45" t="str">
        <f>Volcanic!A550</f>
        <v>11/2003</v>
      </c>
      <c r="B550" s="43">
        <f>Volcanic!B550</f>
        <v>0.52999999999999758</v>
      </c>
      <c r="C550" s="47">
        <f>Volcanic!C550</f>
        <v>0.42084808719949091</v>
      </c>
      <c r="D550" s="41">
        <v>0.3</v>
      </c>
      <c r="E550" s="43">
        <f t="shared" si="124"/>
        <v>0.1</v>
      </c>
      <c r="F550" s="48">
        <v>3.7599999999999999E-3</v>
      </c>
      <c r="G550" s="47">
        <f t="shared" si="125"/>
        <v>3.5000000000000001E-3</v>
      </c>
      <c r="H550" s="43">
        <f>Volcanic!D550</f>
        <v>0.14000000000000001</v>
      </c>
      <c r="I550" s="47">
        <f>Volcanic!E550</f>
        <v>4.7200000000000002E-3</v>
      </c>
      <c r="K550" s="47">
        <f t="shared" si="112"/>
        <v>0.42084808719949091</v>
      </c>
      <c r="L550" s="47">
        <f t="shared" si="113"/>
        <v>0.1</v>
      </c>
      <c r="M550" s="47">
        <f t="shared" si="114"/>
        <v>4.7200000000000002E-3</v>
      </c>
      <c r="O550" s="47">
        <f t="shared" si="115"/>
        <v>0.42084808719949091</v>
      </c>
      <c r="P550" s="47">
        <f t="shared" si="116"/>
        <v>0.14000000000000001</v>
      </c>
      <c r="Q550" s="47">
        <f t="shared" si="117"/>
        <v>3.5000000000000001E-3</v>
      </c>
      <c r="S550" s="47">
        <f t="shared" si="118"/>
        <v>0.42084808719949091</v>
      </c>
      <c r="T550" s="47">
        <f t="shared" si="119"/>
        <v>0.1</v>
      </c>
      <c r="U550" s="47">
        <f t="shared" si="120"/>
        <v>3.5000000000000001E-3</v>
      </c>
      <c r="W550" s="47">
        <f t="shared" si="121"/>
        <v>-5.6135123205024784E-2</v>
      </c>
      <c r="X550" s="47">
        <f t="shared" si="122"/>
        <v>-5.9726548340988561E-2</v>
      </c>
      <c r="Y550" s="47">
        <f t="shared" si="123"/>
        <v>-5.5654039551057966E-2</v>
      </c>
      <c r="AP550" s="48">
        <v>0.56530000000000002</v>
      </c>
      <c r="AQ550" s="48">
        <v>0.52270000000000005</v>
      </c>
      <c r="AR550" s="47">
        <f>IF(AP550="","",AP550-($AC$60+$AC$61*Volcanic!C550+$AC$62*Volcanic!D550+$AC$63*Volcanic!E550))</f>
        <v>-1.7207307907556202E-2</v>
      </c>
      <c r="AS550" s="47">
        <f>IF(AQ550="","",AQ550-($AD$60+$AD$61*Volcanic!C550+$AD$62*Volcanic!D550+$AD$63*Volcanic!E550))</f>
        <v>-8.0720754780642334E-2</v>
      </c>
    </row>
    <row r="551" spans="1:45">
      <c r="A551" s="45" t="str">
        <f>Volcanic!A551</f>
        <v>12/2003</v>
      </c>
      <c r="B551" s="43">
        <f>Volcanic!B551</f>
        <v>0.75</v>
      </c>
      <c r="C551" s="47">
        <f>Volcanic!C551</f>
        <v>0.42595796965197702</v>
      </c>
      <c r="D551" s="41">
        <v>0.3</v>
      </c>
      <c r="E551" s="43">
        <f t="shared" si="124"/>
        <v>0.2</v>
      </c>
      <c r="F551" s="48">
        <v>3.63E-3</v>
      </c>
      <c r="G551" s="47">
        <f t="shared" si="125"/>
        <v>3.4299999999999999E-3</v>
      </c>
      <c r="H551" s="43">
        <f>Volcanic!D551</f>
        <v>0.23</v>
      </c>
      <c r="I551" s="47">
        <f>Volcanic!E551</f>
        <v>4.5900000000000003E-3</v>
      </c>
      <c r="K551" s="47">
        <f t="shared" si="112"/>
        <v>0.42595796965197702</v>
      </c>
      <c r="L551" s="47">
        <f t="shared" si="113"/>
        <v>0.2</v>
      </c>
      <c r="M551" s="47">
        <f t="shared" si="114"/>
        <v>4.5900000000000003E-3</v>
      </c>
      <c r="O551" s="47">
        <f t="shared" si="115"/>
        <v>0.42595796965197702</v>
      </c>
      <c r="P551" s="47">
        <f t="shared" si="116"/>
        <v>0.23</v>
      </c>
      <c r="Q551" s="47">
        <f t="shared" si="117"/>
        <v>3.4299999999999999E-3</v>
      </c>
      <c r="S551" s="47">
        <f t="shared" si="118"/>
        <v>0.42595796965197702</v>
      </c>
      <c r="T551" s="47">
        <f t="shared" si="119"/>
        <v>0.2</v>
      </c>
      <c r="U551" s="47">
        <f t="shared" si="120"/>
        <v>3.4299999999999999E-3</v>
      </c>
      <c r="W551" s="47">
        <f t="shared" si="121"/>
        <v>0.14035566818763223</v>
      </c>
      <c r="X551" s="47">
        <f t="shared" si="122"/>
        <v>0.1378213327500466</v>
      </c>
      <c r="Y551" s="47">
        <f t="shared" si="123"/>
        <v>0.14094831696273791</v>
      </c>
      <c r="AP551" s="48">
        <v>0.72609999999999997</v>
      </c>
      <c r="AQ551" s="48">
        <v>0.77669999999999995</v>
      </c>
      <c r="AR551" s="47">
        <f>IF(AP551="","",AP551-($AC$60+$AC$61*Volcanic!C551+$AC$62*Volcanic!D551+$AC$63*Volcanic!E551))</f>
        <v>0.12089874056049832</v>
      </c>
      <c r="AS551" s="47">
        <f>IF(AQ551="","",AQ551-($AD$60+$AD$61*Volcanic!C551+$AD$62*Volcanic!D551+$AD$63*Volcanic!E551))</f>
        <v>0.15006847636485954</v>
      </c>
    </row>
    <row r="552" spans="1:45">
      <c r="A552" s="45" t="str">
        <f>Volcanic!A552</f>
        <v>1/2004</v>
      </c>
      <c r="B552" s="43">
        <f>Volcanic!B552</f>
        <v>0.58000000000000007</v>
      </c>
      <c r="C552" s="47">
        <f>Volcanic!C552</f>
        <v>0.42978810183201854</v>
      </c>
      <c r="D552" s="41">
        <v>0.3</v>
      </c>
      <c r="E552" s="43">
        <f t="shared" si="124"/>
        <v>0.2</v>
      </c>
      <c r="F552" s="48">
        <v>3.4099999999999998E-3</v>
      </c>
      <c r="G552" s="47">
        <f t="shared" si="125"/>
        <v>3.5000000000000001E-3</v>
      </c>
      <c r="H552" s="43">
        <f>Volcanic!D552</f>
        <v>0.23</v>
      </c>
      <c r="I552" s="47">
        <f>Volcanic!E552</f>
        <v>4.7400000000000003E-3</v>
      </c>
      <c r="K552" s="47">
        <f t="shared" si="112"/>
        <v>0.42978810183201854</v>
      </c>
      <c r="L552" s="47">
        <f t="shared" si="113"/>
        <v>0.2</v>
      </c>
      <c r="M552" s="47">
        <f t="shared" si="114"/>
        <v>4.7400000000000003E-3</v>
      </c>
      <c r="O552" s="47">
        <f t="shared" si="115"/>
        <v>0.42978810183201854</v>
      </c>
      <c r="P552" s="47">
        <f t="shared" si="116"/>
        <v>0.23</v>
      </c>
      <c r="Q552" s="47">
        <f t="shared" si="117"/>
        <v>3.5000000000000001E-3</v>
      </c>
      <c r="S552" s="47">
        <f t="shared" si="118"/>
        <v>0.42978810183201854</v>
      </c>
      <c r="T552" s="47">
        <f t="shared" si="119"/>
        <v>0.2</v>
      </c>
      <c r="U552" s="47">
        <f t="shared" si="120"/>
        <v>3.5000000000000001E-3</v>
      </c>
      <c r="W552" s="47">
        <f t="shared" si="121"/>
        <v>-3.9759150245113339E-2</v>
      </c>
      <c r="X552" s="47">
        <f t="shared" si="122"/>
        <v>-4.2350838637551069E-2</v>
      </c>
      <c r="Y552" s="47">
        <f t="shared" si="123"/>
        <v>-3.9222479179655712E-2</v>
      </c>
      <c r="AP552" s="48">
        <v>0.57609999999999995</v>
      </c>
      <c r="AQ552" s="48">
        <v>0.64070000000000005</v>
      </c>
      <c r="AR552" s="47">
        <f>IF(AP552="","",AP552-($AC$60+$AC$61*Volcanic!C552+$AC$62*Volcanic!D552+$AC$63*Volcanic!E552))</f>
        <v>-3.9198919331071003E-2</v>
      </c>
      <c r="AS552" s="47">
        <f>IF(AQ552="","",AQ552-($AD$60+$AD$61*Volcanic!C552+$AD$62*Volcanic!D552+$AD$63*Volcanic!E552))</f>
        <v>3.6842401713165218E-3</v>
      </c>
    </row>
    <row r="553" spans="1:45">
      <c r="A553" s="45" t="str">
        <f>Volcanic!A553</f>
        <v>2/2004</v>
      </c>
      <c r="B553" s="43">
        <f>Volcanic!B553</f>
        <v>0.72000000000000242</v>
      </c>
      <c r="C553" s="47">
        <f>Volcanic!C553</f>
        <v>0.43315022733337655</v>
      </c>
      <c r="D553" s="41">
        <v>0.3</v>
      </c>
      <c r="E553" s="43">
        <f t="shared" si="124"/>
        <v>0.3</v>
      </c>
      <c r="F553" s="48">
        <v>3.29E-3</v>
      </c>
      <c r="G553" s="47">
        <f t="shared" si="125"/>
        <v>3.63E-3</v>
      </c>
      <c r="H553" s="43">
        <f>Volcanic!D553</f>
        <v>0.28999999999999998</v>
      </c>
      <c r="I553" s="47">
        <f>Volcanic!E553</f>
        <v>4.8399999999999997E-3</v>
      </c>
      <c r="K553" s="47">
        <f t="shared" si="112"/>
        <v>0.43315022733337655</v>
      </c>
      <c r="L553" s="47">
        <f t="shared" si="113"/>
        <v>0.3</v>
      </c>
      <c r="M553" s="47">
        <f t="shared" si="114"/>
        <v>4.8399999999999997E-3</v>
      </c>
      <c r="O553" s="47">
        <f t="shared" si="115"/>
        <v>0.43315022733337655</v>
      </c>
      <c r="P553" s="47">
        <f t="shared" si="116"/>
        <v>0.28999999999999998</v>
      </c>
      <c r="Q553" s="47">
        <f t="shared" si="117"/>
        <v>3.63E-3</v>
      </c>
      <c r="S553" s="47">
        <f t="shared" si="118"/>
        <v>0.43315022733337655</v>
      </c>
      <c r="T553" s="47">
        <f t="shared" si="119"/>
        <v>0.3</v>
      </c>
      <c r="U553" s="47">
        <f t="shared" si="120"/>
        <v>3.63E-3</v>
      </c>
      <c r="W553" s="47">
        <f t="shared" si="121"/>
        <v>8.2004848282520415E-2</v>
      </c>
      <c r="X553" s="47">
        <f t="shared" si="122"/>
        <v>8.3262877000078284E-2</v>
      </c>
      <c r="Y553" s="47">
        <f t="shared" si="123"/>
        <v>8.2627713734887309E-2</v>
      </c>
      <c r="AP553" s="48">
        <v>0.70389999999999997</v>
      </c>
      <c r="AQ553" s="48">
        <v>0.72270000000000001</v>
      </c>
      <c r="AR553" s="47">
        <f>IF(AP553="","",AP553-($AC$60+$AC$61*Volcanic!C553+$AC$62*Volcanic!D553+$AC$63*Volcanic!E553))</f>
        <v>7.4042347516051321E-2</v>
      </c>
      <c r="AS553" s="47">
        <f>IF(AQ553="","",AQ553-($AD$60+$AD$61*Volcanic!C553+$AD$62*Volcanic!D553+$AD$63*Volcanic!E553))</f>
        <v>7.0762462904521595E-2</v>
      </c>
    </row>
    <row r="554" spans="1:45">
      <c r="A554" s="45" t="str">
        <f>Volcanic!A554</f>
        <v>3/2004</v>
      </c>
      <c r="B554" s="43">
        <f>Volcanic!B554</f>
        <v>0.63000000000000256</v>
      </c>
      <c r="C554" s="47">
        <f>Volcanic!C554</f>
        <v>0.4369993981425544</v>
      </c>
      <c r="D554" s="41">
        <v>0.2</v>
      </c>
      <c r="E554" s="43">
        <f t="shared" si="124"/>
        <v>0.3</v>
      </c>
      <c r="F554" s="48">
        <v>3.2599999999999999E-3</v>
      </c>
      <c r="G554" s="47">
        <f t="shared" si="125"/>
        <v>3.65E-3</v>
      </c>
      <c r="H554" s="43">
        <f>Volcanic!D554</f>
        <v>0.28999999999999998</v>
      </c>
      <c r="I554" s="47">
        <f>Volcanic!E554</f>
        <v>5.0499999999999998E-3</v>
      </c>
      <c r="K554" s="47">
        <f t="shared" si="112"/>
        <v>0.4369993981425544</v>
      </c>
      <c r="L554" s="47">
        <f t="shared" si="113"/>
        <v>0.3</v>
      </c>
      <c r="M554" s="47">
        <f t="shared" si="114"/>
        <v>5.0499999999999998E-3</v>
      </c>
      <c r="O554" s="47">
        <f t="shared" si="115"/>
        <v>0.4369993981425544</v>
      </c>
      <c r="P554" s="47">
        <f t="shared" si="116"/>
        <v>0.28999999999999998</v>
      </c>
      <c r="Q554" s="47">
        <f t="shared" si="117"/>
        <v>3.65E-3</v>
      </c>
      <c r="S554" s="47">
        <f t="shared" si="118"/>
        <v>0.4369993981425544</v>
      </c>
      <c r="T554" s="47">
        <f t="shared" si="119"/>
        <v>0.3</v>
      </c>
      <c r="U554" s="47">
        <f t="shared" si="120"/>
        <v>3.65E-3</v>
      </c>
      <c r="W554" s="47">
        <f t="shared" si="121"/>
        <v>-1.802967985702475E-2</v>
      </c>
      <c r="X554" s="47">
        <f t="shared" si="122"/>
        <v>-1.7091404432562185E-2</v>
      </c>
      <c r="Y554" s="47">
        <f t="shared" si="123"/>
        <v>-1.7725340804401246E-2</v>
      </c>
      <c r="AP554" s="48">
        <v>0.59379999999999999</v>
      </c>
      <c r="AQ554" s="48">
        <v>0.62670000000000003</v>
      </c>
      <c r="AR554" s="47">
        <f>IF(AP554="","",AP554-($AC$60+$AC$61*Volcanic!C554+$AC$62*Volcanic!D554+$AC$63*Volcanic!E554))</f>
        <v>-4.6062927393412001E-2</v>
      </c>
      <c r="AS554" s="47">
        <f>IF(AQ554="","",AQ554-($AD$60+$AD$61*Volcanic!C554+$AD$62*Volcanic!D554+$AD$63*Volcanic!E554))</f>
        <v>-3.553767709444966E-2</v>
      </c>
    </row>
    <row r="555" spans="1:45">
      <c r="A555" s="45" t="str">
        <f>Volcanic!A555</f>
        <v>4/2004</v>
      </c>
      <c r="B555" s="43">
        <f>Volcanic!B555</f>
        <v>0.61000000000000121</v>
      </c>
      <c r="C555" s="47">
        <f>Volcanic!C555</f>
        <v>0.44262128166655951</v>
      </c>
      <c r="D555" s="41">
        <v>0.1</v>
      </c>
      <c r="E555" s="43">
        <f t="shared" si="124"/>
        <v>0.3</v>
      </c>
      <c r="F555" s="48">
        <v>3.2799999999999999E-3</v>
      </c>
      <c r="G555" s="47">
        <f t="shared" si="125"/>
        <v>3.6900000000000001E-3</v>
      </c>
      <c r="H555" s="43">
        <f>Volcanic!D555</f>
        <v>0.34</v>
      </c>
      <c r="I555" s="47">
        <f>Volcanic!E555</f>
        <v>5.13E-3</v>
      </c>
      <c r="K555" s="47">
        <f t="shared" si="112"/>
        <v>0.44262128166655951</v>
      </c>
      <c r="L555" s="47">
        <f t="shared" si="113"/>
        <v>0.3</v>
      </c>
      <c r="M555" s="47">
        <f t="shared" si="114"/>
        <v>5.13E-3</v>
      </c>
      <c r="O555" s="47">
        <f t="shared" si="115"/>
        <v>0.44262128166655951</v>
      </c>
      <c r="P555" s="47">
        <f t="shared" si="116"/>
        <v>0.34</v>
      </c>
      <c r="Q555" s="47">
        <f t="shared" si="117"/>
        <v>3.6900000000000001E-3</v>
      </c>
      <c r="S555" s="47">
        <f t="shared" si="118"/>
        <v>0.44262128166655951</v>
      </c>
      <c r="T555" s="47">
        <f t="shared" si="119"/>
        <v>0.3</v>
      </c>
      <c r="U555" s="47">
        <f t="shared" si="120"/>
        <v>3.6900000000000001E-3</v>
      </c>
      <c r="W555" s="47">
        <f t="shared" si="121"/>
        <v>-5.3185120754191129E-2</v>
      </c>
      <c r="X555" s="47">
        <f t="shared" si="122"/>
        <v>-5.6882908470247573E-2</v>
      </c>
      <c r="Y555" s="47">
        <f t="shared" si="123"/>
        <v>-5.2818210464292359E-2</v>
      </c>
      <c r="AP555" s="48">
        <v>0.59079999999999999</v>
      </c>
      <c r="AQ555" s="48">
        <v>0.69469999999999998</v>
      </c>
      <c r="AR555" s="47">
        <f>IF(AP555="","",AP555-($AC$60+$AC$61*Volcanic!C555+$AC$62*Volcanic!D555+$AC$63*Volcanic!E555))</f>
        <v>-6.890384708818198E-2</v>
      </c>
      <c r="AS555" s="47">
        <f>IF(AQ555="","",AQ555-($AD$60+$AD$61*Volcanic!C555+$AD$62*Volcanic!D555+$AD$63*Volcanic!E555))</f>
        <v>1.2121041887315664E-2</v>
      </c>
    </row>
    <row r="556" spans="1:45">
      <c r="A556" s="45" t="str">
        <f>Volcanic!A556</f>
        <v>5/2004</v>
      </c>
      <c r="B556" s="43">
        <f>Volcanic!B556</f>
        <v>0.36999999999999744</v>
      </c>
      <c r="C556" s="47">
        <f>Volcanic!C556</f>
        <v>0.44360665147561484</v>
      </c>
      <c r="D556" s="41">
        <v>0.1</v>
      </c>
      <c r="E556" s="43">
        <f t="shared" si="124"/>
        <v>0.3</v>
      </c>
      <c r="F556" s="48">
        <v>3.2200000000000002E-3</v>
      </c>
      <c r="G556" s="47">
        <f t="shared" si="125"/>
        <v>3.79E-3</v>
      </c>
      <c r="H556" s="43">
        <f>Volcanic!D556</f>
        <v>0.27</v>
      </c>
      <c r="I556" s="47">
        <f>Volcanic!E556</f>
        <v>5.1599999999999997E-3</v>
      </c>
      <c r="K556" s="47">
        <f t="shared" si="112"/>
        <v>0.44360665147561484</v>
      </c>
      <c r="L556" s="47">
        <f t="shared" si="113"/>
        <v>0.3</v>
      </c>
      <c r="M556" s="47">
        <f t="shared" si="114"/>
        <v>5.1599999999999997E-3</v>
      </c>
      <c r="O556" s="47">
        <f t="shared" si="115"/>
        <v>0.44360665147561484</v>
      </c>
      <c r="P556" s="47">
        <f t="shared" si="116"/>
        <v>0.27</v>
      </c>
      <c r="Q556" s="47">
        <f t="shared" si="117"/>
        <v>3.79E-3</v>
      </c>
      <c r="S556" s="47">
        <f t="shared" si="118"/>
        <v>0.44360665147561484</v>
      </c>
      <c r="T556" s="47">
        <f t="shared" si="119"/>
        <v>0.3</v>
      </c>
      <c r="U556" s="47">
        <f t="shared" si="120"/>
        <v>3.79E-3</v>
      </c>
      <c r="W556" s="47">
        <f t="shared" si="121"/>
        <v>-0.29580626684722888</v>
      </c>
      <c r="X556" s="47">
        <f t="shared" si="122"/>
        <v>-0.29271012527552021</v>
      </c>
      <c r="Y556" s="47">
        <f t="shared" si="123"/>
        <v>-0.29522035360787524</v>
      </c>
      <c r="AP556" s="48">
        <v>0.42270000000000002</v>
      </c>
      <c r="AQ556" s="48">
        <v>0.42070000000000002</v>
      </c>
      <c r="AR556" s="47">
        <f>IF(AP556="","",AP556-($AC$60+$AC$61*Volcanic!C556+$AC$62*Volcanic!D556+$AC$63*Volcanic!E556))</f>
        <v>-0.23306716277206779</v>
      </c>
      <c r="AS556" s="47">
        <f>IF(AQ556="","",AQ556-($AD$60+$AD$61*Volcanic!C556+$AD$62*Volcanic!D556+$AD$63*Volcanic!E556))</f>
        <v>-0.25788065951365574</v>
      </c>
    </row>
    <row r="557" spans="1:45">
      <c r="A557" s="45" t="str">
        <f>Volcanic!A557</f>
        <v>6/2004</v>
      </c>
      <c r="B557" s="43">
        <f>Volcanic!B557</f>
        <v>0.44000000000000483</v>
      </c>
      <c r="C557" s="47">
        <f>Volcanic!C557</f>
        <v>0.44007895337646558</v>
      </c>
      <c r="D557" s="41">
        <v>0.2</v>
      </c>
      <c r="E557" s="43">
        <f t="shared" si="124"/>
        <v>0.2</v>
      </c>
      <c r="F557" s="48">
        <v>3.2599999999999999E-3</v>
      </c>
      <c r="G557" s="47">
        <f t="shared" si="125"/>
        <v>3.7599999999999999E-3</v>
      </c>
      <c r="H557" s="43">
        <f>Volcanic!D557</f>
        <v>0.19</v>
      </c>
      <c r="I557" s="47">
        <f>Volcanic!E557</f>
        <v>5.0000000000000001E-3</v>
      </c>
      <c r="K557" s="47">
        <f t="shared" si="112"/>
        <v>0.44007895337646558</v>
      </c>
      <c r="L557" s="47">
        <f t="shared" si="113"/>
        <v>0.2</v>
      </c>
      <c r="M557" s="47">
        <f t="shared" si="114"/>
        <v>5.0000000000000001E-3</v>
      </c>
      <c r="O557" s="47">
        <f t="shared" si="115"/>
        <v>0.44007895337646558</v>
      </c>
      <c r="P557" s="47">
        <f t="shared" si="116"/>
        <v>0.19</v>
      </c>
      <c r="Q557" s="47">
        <f t="shared" si="117"/>
        <v>3.7599999999999999E-3</v>
      </c>
      <c r="S557" s="47">
        <f t="shared" si="118"/>
        <v>0.44007895337646558</v>
      </c>
      <c r="T557" s="47">
        <f t="shared" si="119"/>
        <v>0.2</v>
      </c>
      <c r="U557" s="47">
        <f t="shared" si="120"/>
        <v>3.7599999999999999E-3</v>
      </c>
      <c r="W557" s="47">
        <f t="shared" si="121"/>
        <v>-0.20725093547080664</v>
      </c>
      <c r="X557" s="47">
        <f t="shared" si="122"/>
        <v>-0.20573620345375554</v>
      </c>
      <c r="Y557" s="47">
        <f t="shared" si="123"/>
        <v>-0.20636137463183035</v>
      </c>
      <c r="AP557" s="48">
        <v>0.38379999999999997</v>
      </c>
      <c r="AQ557" s="48">
        <v>0.42670000000000002</v>
      </c>
      <c r="AR557" s="47">
        <f>IF(AP557="","",AP557-($AC$60+$AC$61*Volcanic!C557+$AC$62*Volcanic!D557+$AC$63*Volcanic!E557))</f>
        <v>-0.25522778573626453</v>
      </c>
      <c r="AS557" s="47">
        <f>IF(AQ557="","",AQ557-($AD$60+$AD$61*Volcanic!C557+$AD$62*Volcanic!D557+$AD$63*Volcanic!E557))</f>
        <v>-0.2347212659039935</v>
      </c>
    </row>
    <row r="558" spans="1:45">
      <c r="A558" s="45" t="str">
        <f>Volcanic!A558</f>
        <v>7/2004</v>
      </c>
      <c r="B558" s="43">
        <f>Volcanic!B558</f>
        <v>0.25999999999999979</v>
      </c>
      <c r="C558" s="47">
        <f>Volcanic!C558</f>
        <v>0.43162295971329212</v>
      </c>
      <c r="D558" s="41">
        <v>0.4</v>
      </c>
      <c r="E558" s="43">
        <f t="shared" si="124"/>
        <v>0.1</v>
      </c>
      <c r="F558" s="48">
        <v>3.3E-3</v>
      </c>
      <c r="G558" s="47">
        <f t="shared" si="125"/>
        <v>3.63E-3</v>
      </c>
      <c r="H558" s="43">
        <f>Volcanic!D558</f>
        <v>0.1</v>
      </c>
      <c r="I558" s="47">
        <f>Volcanic!E558</f>
        <v>4.7699999999999999E-3</v>
      </c>
      <c r="K558" s="47">
        <f t="shared" si="112"/>
        <v>0.43162295971329212</v>
      </c>
      <c r="L558" s="47">
        <f t="shared" si="113"/>
        <v>0.1</v>
      </c>
      <c r="M558" s="47">
        <f t="shared" si="114"/>
        <v>4.7699999999999999E-3</v>
      </c>
      <c r="O558" s="47">
        <f t="shared" si="115"/>
        <v>0.43162295971329212</v>
      </c>
      <c r="P558" s="47">
        <f t="shared" si="116"/>
        <v>0.1</v>
      </c>
      <c r="Q558" s="47">
        <f t="shared" si="117"/>
        <v>3.63E-3</v>
      </c>
      <c r="S558" s="47">
        <f t="shared" si="118"/>
        <v>0.43162295971329212</v>
      </c>
      <c r="T558" s="47">
        <f t="shared" si="119"/>
        <v>0.1</v>
      </c>
      <c r="U558" s="47">
        <f t="shared" si="120"/>
        <v>3.63E-3</v>
      </c>
      <c r="W558" s="47">
        <f t="shared" si="121"/>
        <v>-0.35540964675259468</v>
      </c>
      <c r="X558" s="47">
        <f t="shared" si="122"/>
        <v>-0.35476015976356357</v>
      </c>
      <c r="Y558" s="47">
        <f t="shared" si="123"/>
        <v>-0.35444143578340226</v>
      </c>
      <c r="AP558" s="48">
        <v>0.31169999999999998</v>
      </c>
      <c r="AQ558" s="48">
        <v>0.23669999999999999</v>
      </c>
      <c r="AR558" s="47">
        <f>IF(AP558="","",AP558-($AC$60+$AC$61*Volcanic!C558+$AC$62*Volcanic!D558+$AC$63*Volcanic!E558))</f>
        <v>-0.29636314794885477</v>
      </c>
      <c r="AS558" s="47">
        <f>IF(AQ558="","",AQ558-($AD$60+$AD$61*Volcanic!C558+$AD$62*Volcanic!D558+$AD$63*Volcanic!E558))</f>
        <v>-0.3929629264326151</v>
      </c>
    </row>
    <row r="559" spans="1:45">
      <c r="A559" s="45" t="str">
        <f>Volcanic!A559</f>
        <v>8/2004</v>
      </c>
      <c r="B559" s="43">
        <f>Volcanic!B559</f>
        <v>0.44999999999999751</v>
      </c>
      <c r="C559" s="47">
        <f>Volcanic!C559</f>
        <v>0.42595796965197702</v>
      </c>
      <c r="D559" s="41">
        <v>0.5</v>
      </c>
      <c r="E559" s="43">
        <f t="shared" si="124"/>
        <v>0.1</v>
      </c>
      <c r="F559" s="48">
        <v>3.31E-3</v>
      </c>
      <c r="G559" s="47">
        <f t="shared" si="125"/>
        <v>3.4099999999999998E-3</v>
      </c>
      <c r="H559" s="43">
        <f>Volcanic!D559</f>
        <v>0.12</v>
      </c>
      <c r="I559" s="47">
        <f>Volcanic!E559</f>
        <v>4.6600000000000001E-3</v>
      </c>
      <c r="K559" s="47">
        <f t="shared" si="112"/>
        <v>0.42595796965197702</v>
      </c>
      <c r="L559" s="47">
        <f t="shared" si="113"/>
        <v>0.1</v>
      </c>
      <c r="M559" s="47">
        <f t="shared" si="114"/>
        <v>4.6600000000000001E-3</v>
      </c>
      <c r="O559" s="47">
        <f t="shared" si="115"/>
        <v>0.42595796965197702</v>
      </c>
      <c r="P559" s="47">
        <f t="shared" si="116"/>
        <v>0.12</v>
      </c>
      <c r="Q559" s="47">
        <f t="shared" si="117"/>
        <v>3.4099999999999998E-3</v>
      </c>
      <c r="S559" s="47">
        <f t="shared" si="118"/>
        <v>0.42595796965197702</v>
      </c>
      <c r="T559" s="47">
        <f t="shared" si="119"/>
        <v>0.1</v>
      </c>
      <c r="U559" s="47">
        <f t="shared" si="120"/>
        <v>3.4099999999999998E-3</v>
      </c>
      <c r="W559" s="47">
        <f t="shared" si="121"/>
        <v>-0.15020275358813395</v>
      </c>
      <c r="X559" s="47">
        <f t="shared" si="122"/>
        <v>-0.15189794207517782</v>
      </c>
      <c r="Y559" s="47">
        <f t="shared" si="123"/>
        <v>-0.14970288747071225</v>
      </c>
      <c r="AP559" s="48">
        <v>0.53459999999999996</v>
      </c>
      <c r="AQ559" s="48">
        <v>0.4577</v>
      </c>
      <c r="AR559" s="47">
        <f>IF(AP559="","",AP559-($AC$60+$AC$61*Volcanic!C559+$AC$62*Volcanic!D559+$AC$63*Volcanic!E559))</f>
        <v>-6.0131864287196191E-2</v>
      </c>
      <c r="AS559" s="47">
        <f>IF(AQ559="","",AQ559-($AD$60+$AD$61*Volcanic!C559+$AD$62*Volcanic!D559+$AD$63*Volcanic!E559))</f>
        <v>-0.15825912241001083</v>
      </c>
    </row>
    <row r="560" spans="1:45">
      <c r="A560" s="45" t="str">
        <f>Volcanic!A560</f>
        <v>9/2004</v>
      </c>
      <c r="B560" s="43">
        <f>Volcanic!B560</f>
        <v>0.5</v>
      </c>
      <c r="C560" s="47">
        <f>Volcanic!C560</f>
        <v>0.41926920368406412</v>
      </c>
      <c r="D560" s="41">
        <v>0.6</v>
      </c>
      <c r="E560" s="43">
        <f t="shared" si="124"/>
        <v>0.2</v>
      </c>
      <c r="F560" s="48">
        <v>3.3700000000000002E-3</v>
      </c>
      <c r="G560" s="47">
        <f t="shared" si="125"/>
        <v>3.29E-3</v>
      </c>
      <c r="H560" s="43">
        <f>Volcanic!D560</f>
        <v>0.22</v>
      </c>
      <c r="I560" s="47">
        <f>Volcanic!E560</f>
        <v>4.4600000000000004E-3</v>
      </c>
      <c r="K560" s="47">
        <f t="shared" si="112"/>
        <v>0.41926920368406412</v>
      </c>
      <c r="L560" s="47">
        <f t="shared" si="113"/>
        <v>0.2</v>
      </c>
      <c r="M560" s="47">
        <f t="shared" si="114"/>
        <v>4.4600000000000004E-3</v>
      </c>
      <c r="O560" s="47">
        <f t="shared" si="115"/>
        <v>0.41926920368406412</v>
      </c>
      <c r="P560" s="47">
        <f t="shared" si="116"/>
        <v>0.22</v>
      </c>
      <c r="Q560" s="47">
        <f t="shared" si="117"/>
        <v>3.29E-3</v>
      </c>
      <c r="S560" s="47">
        <f t="shared" si="118"/>
        <v>0.41926920368406412</v>
      </c>
      <c r="T560" s="47">
        <f t="shared" si="119"/>
        <v>0.2</v>
      </c>
      <c r="U560" s="47">
        <f t="shared" si="120"/>
        <v>3.29E-3</v>
      </c>
      <c r="W560" s="47">
        <f t="shared" si="121"/>
        <v>-9.1689518093502231E-2</v>
      </c>
      <c r="X560" s="47">
        <f t="shared" si="122"/>
        <v>-9.3521485063644882E-2</v>
      </c>
      <c r="Y560" s="47">
        <f t="shared" si="123"/>
        <v>-9.1336319080876027E-2</v>
      </c>
      <c r="AP560" s="48">
        <v>0.53600000000000003</v>
      </c>
      <c r="AQ560" s="48">
        <v>0.53469999999999995</v>
      </c>
      <c r="AR560" s="47">
        <f>IF(AP560="","",AP560-($AC$60+$AC$61*Volcanic!C560+$AC$62*Volcanic!D560+$AC$63*Volcanic!E560))</f>
        <v>-5.0313215969806979E-2</v>
      </c>
      <c r="AS560" s="47">
        <f>IF(AQ560="","",AQ560-($AD$60+$AD$61*Volcanic!C560+$AD$62*Volcanic!D560+$AD$63*Volcanic!E560))</f>
        <v>-7.2539110279697949E-2</v>
      </c>
    </row>
    <row r="561" spans="1:45">
      <c r="A561" s="45" t="str">
        <f>Volcanic!A561</f>
        <v>10/2004</v>
      </c>
      <c r="B561" s="43">
        <f>Volcanic!B561</f>
        <v>0.61000000000000121</v>
      </c>
      <c r="C561" s="47">
        <f>Volcanic!C561</f>
        <v>0.42003960662918038</v>
      </c>
      <c r="D561" s="41">
        <v>0.6</v>
      </c>
      <c r="E561" s="43">
        <f t="shared" si="124"/>
        <v>0.4</v>
      </c>
      <c r="F561" s="48">
        <v>3.3E-3</v>
      </c>
      <c r="G561" s="47">
        <f t="shared" si="125"/>
        <v>3.2599999999999999E-3</v>
      </c>
      <c r="H561" s="43">
        <f>Volcanic!D561</f>
        <v>0.39</v>
      </c>
      <c r="I561" s="47">
        <f>Volcanic!E561</f>
        <v>4.3200000000000001E-3</v>
      </c>
      <c r="K561" s="47">
        <f t="shared" si="112"/>
        <v>0.42003960662918038</v>
      </c>
      <c r="L561" s="47">
        <f t="shared" si="113"/>
        <v>0.4</v>
      </c>
      <c r="M561" s="47">
        <f t="shared" si="114"/>
        <v>4.3200000000000001E-3</v>
      </c>
      <c r="O561" s="47">
        <f t="shared" si="115"/>
        <v>0.42003960662918038</v>
      </c>
      <c r="P561" s="47">
        <f t="shared" si="116"/>
        <v>0.39</v>
      </c>
      <c r="Q561" s="47">
        <f t="shared" si="117"/>
        <v>3.2599999999999999E-3</v>
      </c>
      <c r="S561" s="47">
        <f t="shared" si="118"/>
        <v>0.42003960662918038</v>
      </c>
      <c r="T561" s="47">
        <f t="shared" si="119"/>
        <v>0.4</v>
      </c>
      <c r="U561" s="47">
        <f t="shared" si="120"/>
        <v>3.2599999999999999E-3</v>
      </c>
      <c r="W561" s="47">
        <f t="shared" si="121"/>
        <v>-2.6736793786865665E-3</v>
      </c>
      <c r="X561" s="47">
        <f t="shared" si="122"/>
        <v>-1.6518639245527433E-3</v>
      </c>
      <c r="Y561" s="47">
        <f t="shared" si="123"/>
        <v>-2.2996304558328129E-3</v>
      </c>
      <c r="AP561" s="48">
        <v>0.5927</v>
      </c>
      <c r="AQ561" s="48">
        <v>0.61470000000000002</v>
      </c>
      <c r="AR561" s="47">
        <f>IF(AP561="","",AP561-($AC$60+$AC$61*Volcanic!C561+$AC$62*Volcanic!D561+$AC$63*Volcanic!E561))</f>
        <v>-1.1973419732145052E-2</v>
      </c>
      <c r="AS561" s="47">
        <f>IF(AQ561="","",AQ561-($AD$60+$AD$61*Volcanic!C561+$AD$62*Volcanic!D561+$AD$63*Volcanic!E561))</f>
        <v>-1.1263512272407517E-2</v>
      </c>
    </row>
    <row r="562" spans="1:45">
      <c r="A562" s="45" t="str">
        <f>Volcanic!A562</f>
        <v>11/2004</v>
      </c>
      <c r="B562" s="43">
        <f>Volcanic!B562</f>
        <v>0.7300000000000022</v>
      </c>
      <c r="C562" s="47">
        <f>Volcanic!C562</f>
        <v>0.42657147452910854</v>
      </c>
      <c r="D562" s="41">
        <v>0.6</v>
      </c>
      <c r="E562" s="43">
        <f t="shared" si="124"/>
        <v>0.5</v>
      </c>
      <c r="F562" s="48">
        <v>3.3800000000000002E-3</v>
      </c>
      <c r="G562" s="47">
        <f t="shared" si="125"/>
        <v>3.2799999999999999E-3</v>
      </c>
      <c r="H562" s="43">
        <f>Volcanic!D562</f>
        <v>0.54</v>
      </c>
      <c r="I562" s="47">
        <f>Volcanic!E562</f>
        <v>4.3E-3</v>
      </c>
      <c r="K562" s="47">
        <f t="shared" si="112"/>
        <v>0.42657147452910854</v>
      </c>
      <c r="L562" s="47">
        <f t="shared" si="113"/>
        <v>0.5</v>
      </c>
      <c r="M562" s="47">
        <f t="shared" si="114"/>
        <v>4.3E-3</v>
      </c>
      <c r="O562" s="47">
        <f t="shared" si="115"/>
        <v>0.42657147452910854</v>
      </c>
      <c r="P562" s="47">
        <f t="shared" si="116"/>
        <v>0.54</v>
      </c>
      <c r="Q562" s="47">
        <f t="shared" si="117"/>
        <v>3.2799999999999999E-3</v>
      </c>
      <c r="S562" s="47">
        <f t="shared" si="118"/>
        <v>0.42657147452910854</v>
      </c>
      <c r="T562" s="47">
        <f t="shared" si="119"/>
        <v>0.5</v>
      </c>
      <c r="U562" s="47">
        <f t="shared" si="120"/>
        <v>3.2799999999999999E-3</v>
      </c>
      <c r="W562" s="47">
        <f t="shared" si="121"/>
        <v>9.0181531332738651E-2</v>
      </c>
      <c r="X562" s="47">
        <f t="shared" si="122"/>
        <v>8.6650544173191735E-2</v>
      </c>
      <c r="Y562" s="47">
        <f t="shared" si="123"/>
        <v>9.0694131974191072E-2</v>
      </c>
      <c r="AP562" s="48">
        <v>0.72150000000000003</v>
      </c>
      <c r="AQ562" s="48">
        <v>0.68769999999999998</v>
      </c>
      <c r="AR562" s="47">
        <f>IF(AP562="","",AP562-($AC$60+$AC$61*Volcanic!C562+$AC$62*Volcanic!D562+$AC$63*Volcanic!E562))</f>
        <v>8.4895719721580165E-2</v>
      </c>
      <c r="AS562" s="47">
        <f>IF(AQ562="","",AQ562-($AD$60+$AD$61*Volcanic!C562+$AD$62*Volcanic!D562+$AD$63*Volcanic!E562))</f>
        <v>2.9060969438352902E-2</v>
      </c>
    </row>
    <row r="563" spans="1:45">
      <c r="A563" s="45" t="str">
        <f>Volcanic!A563</f>
        <v>12/2004</v>
      </c>
      <c r="B563" s="43">
        <f>Volcanic!B563</f>
        <v>0.50999999999999801</v>
      </c>
      <c r="C563" s="47">
        <f>Volcanic!C563</f>
        <v>0.43173756088430215</v>
      </c>
      <c r="D563" s="41">
        <v>0.7</v>
      </c>
      <c r="E563" s="43">
        <f t="shared" si="124"/>
        <v>0.6</v>
      </c>
      <c r="F563" s="48">
        <v>3.5500000000000002E-3</v>
      </c>
      <c r="G563" s="47">
        <f t="shared" si="125"/>
        <v>3.2200000000000002E-3</v>
      </c>
      <c r="H563" s="43">
        <f>Volcanic!D563</f>
        <v>0.57999999999999996</v>
      </c>
      <c r="I563" s="47">
        <f>Volcanic!E563</f>
        <v>4.1999999999999997E-3</v>
      </c>
      <c r="K563" s="47">
        <f t="shared" si="112"/>
        <v>0.43173756088430215</v>
      </c>
      <c r="L563" s="47">
        <f t="shared" si="113"/>
        <v>0.6</v>
      </c>
      <c r="M563" s="47">
        <f t="shared" si="114"/>
        <v>4.1999999999999997E-3</v>
      </c>
      <c r="O563" s="47">
        <f t="shared" si="115"/>
        <v>0.43173756088430215</v>
      </c>
      <c r="P563" s="47">
        <f t="shared" si="116"/>
        <v>0.57999999999999996</v>
      </c>
      <c r="Q563" s="47">
        <f t="shared" si="117"/>
        <v>3.2200000000000002E-3</v>
      </c>
      <c r="S563" s="47">
        <f t="shared" si="118"/>
        <v>0.43173756088430215</v>
      </c>
      <c r="T563" s="47">
        <f t="shared" si="119"/>
        <v>0.6</v>
      </c>
      <c r="U563" s="47">
        <f t="shared" si="120"/>
        <v>3.2200000000000002E-3</v>
      </c>
      <c r="W563" s="47">
        <f t="shared" si="121"/>
        <v>-0.15341484802951733</v>
      </c>
      <c r="X563" s="47">
        <f t="shared" si="122"/>
        <v>-0.15123058970092951</v>
      </c>
      <c r="Y563" s="47">
        <f t="shared" si="123"/>
        <v>-0.15282928783030048</v>
      </c>
      <c r="AP563" s="48">
        <v>0.48549999999999999</v>
      </c>
      <c r="AQ563" s="48">
        <v>0.54169999999999996</v>
      </c>
      <c r="AR563" s="47">
        <f>IF(AP563="","",AP563-($AC$60+$AC$61*Volcanic!C563+$AC$62*Volcanic!D563+$AC$63*Volcanic!E563))</f>
        <v>-0.16919726157332521</v>
      </c>
      <c r="AS563" s="47">
        <f>IF(AQ563="","",AQ563-($AD$60+$AD$61*Volcanic!C563+$AD$62*Volcanic!D563+$AD$63*Volcanic!E563))</f>
        <v>-0.13546029333903153</v>
      </c>
    </row>
    <row r="564" spans="1:45">
      <c r="A564" s="45" t="str">
        <f>Volcanic!A564</f>
        <v>1/2005</v>
      </c>
      <c r="B564" s="43">
        <f>Volcanic!B564</f>
        <v>0.75</v>
      </c>
      <c r="C564" s="47">
        <f>Volcanic!C564</f>
        <v>0.43536189749141069</v>
      </c>
      <c r="D564" s="41">
        <v>0.6</v>
      </c>
      <c r="E564" s="43">
        <f t="shared" si="124"/>
        <v>0.6</v>
      </c>
      <c r="F564" s="48">
        <v>3.5300000000000002E-3</v>
      </c>
      <c r="G564" s="47">
        <f t="shared" si="125"/>
        <v>3.2599999999999999E-3</v>
      </c>
      <c r="H564" s="43">
        <f>Volcanic!D564</f>
        <v>0.61</v>
      </c>
      <c r="I564" s="47">
        <f>Volcanic!E564</f>
        <v>4.1399999999999996E-3</v>
      </c>
      <c r="K564" s="47">
        <f t="shared" si="112"/>
        <v>0.43536189749141069</v>
      </c>
      <c r="L564" s="47">
        <f t="shared" si="113"/>
        <v>0.6</v>
      </c>
      <c r="M564" s="47">
        <f t="shared" si="114"/>
        <v>4.1399999999999996E-3</v>
      </c>
      <c r="O564" s="47">
        <f t="shared" si="115"/>
        <v>0.43536189749141069</v>
      </c>
      <c r="P564" s="47">
        <f t="shared" si="116"/>
        <v>0.61</v>
      </c>
      <c r="Q564" s="47">
        <f t="shared" si="117"/>
        <v>3.2599999999999999E-3</v>
      </c>
      <c r="S564" s="47">
        <f t="shared" si="118"/>
        <v>0.43536189749141069</v>
      </c>
      <c r="T564" s="47">
        <f t="shared" si="119"/>
        <v>0.6</v>
      </c>
      <c r="U564" s="47">
        <f t="shared" si="120"/>
        <v>3.2599999999999999E-3</v>
      </c>
      <c r="W564" s="47">
        <f t="shared" si="121"/>
        <v>7.6568828797560662E-2</v>
      </c>
      <c r="X564" s="47">
        <f t="shared" si="122"/>
        <v>7.6257155371881491E-2</v>
      </c>
      <c r="Y564" s="47">
        <f t="shared" si="123"/>
        <v>7.7477763233041674E-2</v>
      </c>
      <c r="AP564" s="48">
        <v>0.71789999999999998</v>
      </c>
      <c r="AQ564" s="48">
        <v>0.78269999999999995</v>
      </c>
      <c r="AR564" s="47">
        <f>IF(AP564="","",AP564-($AC$60+$AC$61*Volcanic!C564+$AC$62*Volcanic!D564+$AC$63*Volcanic!E564))</f>
        <v>5.0352370496954069E-2</v>
      </c>
      <c r="AS564" s="47">
        <f>IF(AQ564="","",AQ564-($AD$60+$AD$61*Volcanic!C564+$AD$62*Volcanic!D564+$AD$63*Volcanic!E564))</f>
        <v>9.2383977161511144E-2</v>
      </c>
    </row>
    <row r="565" spans="1:45">
      <c r="A565" s="45" t="str">
        <f>Volcanic!A565</f>
        <v>2/2005</v>
      </c>
      <c r="B565" s="43">
        <f>Volcanic!B565</f>
        <v>0.60000000000000142</v>
      </c>
      <c r="C565" s="47">
        <f>Volcanic!C565</f>
        <v>0.4402308599854548</v>
      </c>
      <c r="D565" s="41">
        <v>0.6</v>
      </c>
      <c r="E565" s="43">
        <f t="shared" si="124"/>
        <v>0.6</v>
      </c>
      <c r="F565" s="48">
        <v>3.7100000000000002E-3</v>
      </c>
      <c r="G565" s="47">
        <f t="shared" si="125"/>
        <v>3.3E-3</v>
      </c>
      <c r="H565" s="43">
        <f>Volcanic!D565</f>
        <v>0.64</v>
      </c>
      <c r="I565" s="47">
        <f>Volcanic!E565</f>
        <v>4.1799999999999997E-3</v>
      </c>
      <c r="K565" s="47">
        <f t="shared" si="112"/>
        <v>0.4402308599854548</v>
      </c>
      <c r="L565" s="47">
        <f t="shared" si="113"/>
        <v>0.6</v>
      </c>
      <c r="M565" s="47">
        <f t="shared" si="114"/>
        <v>4.1799999999999997E-3</v>
      </c>
      <c r="O565" s="47">
        <f t="shared" si="115"/>
        <v>0.4402308599854548</v>
      </c>
      <c r="P565" s="47">
        <f t="shared" si="116"/>
        <v>0.64</v>
      </c>
      <c r="Q565" s="47">
        <f t="shared" si="117"/>
        <v>3.3E-3</v>
      </c>
      <c r="S565" s="47">
        <f t="shared" si="118"/>
        <v>0.4402308599854548</v>
      </c>
      <c r="T565" s="47">
        <f t="shared" si="119"/>
        <v>0.6</v>
      </c>
      <c r="U565" s="47">
        <f t="shared" si="120"/>
        <v>3.3E-3</v>
      </c>
      <c r="W565" s="47">
        <f t="shared" si="121"/>
        <v>-8.6621424078998865E-2</v>
      </c>
      <c r="X565" s="47">
        <f t="shared" si="122"/>
        <v>-8.9620043678349193E-2</v>
      </c>
      <c r="Y565" s="47">
        <f t="shared" si="123"/>
        <v>-8.5579753045030516E-2</v>
      </c>
      <c r="AP565" s="48">
        <v>0.60250000000000004</v>
      </c>
      <c r="AQ565" s="48">
        <v>0.67669999999999997</v>
      </c>
      <c r="AR565" s="47">
        <f>IF(AP565="","",AP565-($AC$60+$AC$61*Volcanic!C565+$AC$62*Volcanic!D565+$AC$63*Volcanic!E565))</f>
        <v>-8.10559629260591E-2</v>
      </c>
      <c r="AS565" s="47">
        <f>IF(AQ565="","",AQ565-($AD$60+$AD$61*Volcanic!C565+$AD$62*Volcanic!D565+$AD$63*Volcanic!E565))</f>
        <v>-3.0028780411823663E-2</v>
      </c>
    </row>
    <row r="566" spans="1:45">
      <c r="A566" s="45" t="str">
        <f>Volcanic!A566</f>
        <v>3/2005</v>
      </c>
      <c r="B566" s="43">
        <f>Volcanic!B566</f>
        <v>0.73999999999999666</v>
      </c>
      <c r="C566" s="47">
        <f>Volcanic!C566</f>
        <v>0.44417482806617692</v>
      </c>
      <c r="D566" s="41">
        <v>0.4</v>
      </c>
      <c r="E566" s="43">
        <f t="shared" si="124"/>
        <v>0.7</v>
      </c>
      <c r="F566" s="48">
        <v>4.3499999999999997E-3</v>
      </c>
      <c r="G566" s="47">
        <f t="shared" si="125"/>
        <v>3.31E-3</v>
      </c>
      <c r="H566" s="43">
        <f>Volcanic!D566</f>
        <v>0.71</v>
      </c>
      <c r="I566" s="47">
        <f>Volcanic!E566</f>
        <v>4.2700000000000004E-3</v>
      </c>
      <c r="K566" s="47">
        <f t="shared" si="112"/>
        <v>0.44417482806617692</v>
      </c>
      <c r="L566" s="47">
        <f t="shared" si="113"/>
        <v>0.7</v>
      </c>
      <c r="M566" s="47">
        <f t="shared" si="114"/>
        <v>4.2700000000000004E-3</v>
      </c>
      <c r="O566" s="47">
        <f t="shared" si="115"/>
        <v>0.44417482806617692</v>
      </c>
      <c r="P566" s="47">
        <f t="shared" si="116"/>
        <v>0.71</v>
      </c>
      <c r="Q566" s="47">
        <f t="shared" si="117"/>
        <v>3.31E-3</v>
      </c>
      <c r="S566" s="47">
        <f t="shared" si="118"/>
        <v>0.44417482806617692</v>
      </c>
      <c r="T566" s="47">
        <f t="shared" si="119"/>
        <v>0.7</v>
      </c>
      <c r="U566" s="47">
        <f t="shared" si="120"/>
        <v>3.31E-3</v>
      </c>
      <c r="W566" s="47">
        <f t="shared" si="121"/>
        <v>3.3533766872002713E-2</v>
      </c>
      <c r="X566" s="47">
        <f t="shared" si="122"/>
        <v>3.3167722609128814E-2</v>
      </c>
      <c r="Y566" s="47">
        <f t="shared" si="123"/>
        <v>3.4383658619983715E-2</v>
      </c>
      <c r="AP566" s="48">
        <v>0.71509999999999996</v>
      </c>
      <c r="AQ566" s="48">
        <v>0.77170000000000005</v>
      </c>
      <c r="AR566" s="47">
        <f>IF(AP566="","",AP566-($AC$60+$AC$61*Volcanic!C566+$AC$62*Volcanic!D566+$AC$63*Volcanic!E566))</f>
        <v>1.4436006849242622E-2</v>
      </c>
      <c r="AS566" s="47">
        <f>IF(AQ566="","",AQ566-($AD$60+$AD$61*Volcanic!C566+$AD$62*Volcanic!D566+$AD$63*Volcanic!E566))</f>
        <v>4.7441216780491735E-2</v>
      </c>
    </row>
    <row r="567" spans="1:45">
      <c r="A567" s="45" t="str">
        <f>Volcanic!A567</f>
        <v>4/2005</v>
      </c>
      <c r="B567" s="43">
        <f>Volcanic!B567</f>
        <v>0.66999999999999993</v>
      </c>
      <c r="C567" s="47">
        <f>Volcanic!C567</f>
        <v>0.44995748362800358</v>
      </c>
      <c r="D567" s="41">
        <v>0.4</v>
      </c>
      <c r="E567" s="43">
        <f t="shared" si="124"/>
        <v>0.6</v>
      </c>
      <c r="F567" s="48">
        <v>4.3800000000000002E-3</v>
      </c>
      <c r="G567" s="47">
        <f t="shared" si="125"/>
        <v>3.3700000000000002E-3</v>
      </c>
      <c r="H567" s="43">
        <f>Volcanic!D567</f>
        <v>0.62</v>
      </c>
      <c r="I567" s="47">
        <f>Volcanic!E567</f>
        <v>4.4299999999999999E-3</v>
      </c>
      <c r="K567" s="47">
        <f t="shared" si="112"/>
        <v>0.44995748362800358</v>
      </c>
      <c r="L567" s="47">
        <f t="shared" si="113"/>
        <v>0.6</v>
      </c>
      <c r="M567" s="47">
        <f t="shared" si="114"/>
        <v>4.4299999999999999E-3</v>
      </c>
      <c r="O567" s="47">
        <f t="shared" si="115"/>
        <v>0.44995748362800358</v>
      </c>
      <c r="P567" s="47">
        <f t="shared" si="116"/>
        <v>0.62</v>
      </c>
      <c r="Q567" s="47">
        <f t="shared" si="117"/>
        <v>3.3700000000000002E-3</v>
      </c>
      <c r="S567" s="47">
        <f t="shared" si="118"/>
        <v>0.44995748362800358</v>
      </c>
      <c r="T567" s="47">
        <f t="shared" si="119"/>
        <v>0.6</v>
      </c>
      <c r="U567" s="47">
        <f t="shared" si="120"/>
        <v>3.3700000000000002E-3</v>
      </c>
      <c r="W567" s="47">
        <f t="shared" si="121"/>
        <v>-4.2596510106446162E-2</v>
      </c>
      <c r="X567" s="47">
        <f t="shared" si="122"/>
        <v>-4.3855120518251356E-2</v>
      </c>
      <c r="Y567" s="47">
        <f t="shared" si="123"/>
        <v>-4.1690393289915306E-2</v>
      </c>
      <c r="AP567" s="48">
        <v>0.70089999999999997</v>
      </c>
      <c r="AQ567" s="48">
        <v>0.75070000000000003</v>
      </c>
      <c r="AR567" s="47">
        <f>IF(AP567="","",AP567-($AC$60+$AC$61*Volcanic!C567+$AC$62*Volcanic!D567+$AC$63*Volcanic!E567))</f>
        <v>-6.7411080820974911E-3</v>
      </c>
      <c r="AS567" s="47">
        <f>IF(AQ567="","",AQ567-($AD$60+$AD$61*Volcanic!C567+$AD$62*Volcanic!D567+$AD$63*Volcanic!E567))</f>
        <v>1.9211865209483925E-2</v>
      </c>
    </row>
    <row r="568" spans="1:45">
      <c r="A568" s="45" t="str">
        <f>Volcanic!A568</f>
        <v>5/2005</v>
      </c>
      <c r="B568" s="43">
        <f>Volcanic!B568</f>
        <v>0.63000000000000256</v>
      </c>
      <c r="C568" s="47">
        <f>Volcanic!C568</f>
        <v>0.45056086926661437</v>
      </c>
      <c r="D568" s="41">
        <v>0.3</v>
      </c>
      <c r="E568" s="43">
        <f t="shared" si="124"/>
        <v>0.6</v>
      </c>
      <c r="F568" s="48">
        <v>4.4200000000000003E-3</v>
      </c>
      <c r="G568" s="47">
        <f t="shared" si="125"/>
        <v>3.3E-3</v>
      </c>
      <c r="H568" s="43">
        <f>Volcanic!D568</f>
        <v>0.55000000000000004</v>
      </c>
      <c r="I568" s="47">
        <f>Volcanic!E568</f>
        <v>4.3099999999999996E-3</v>
      </c>
      <c r="K568" s="47">
        <f t="shared" si="112"/>
        <v>0.45056086926661437</v>
      </c>
      <c r="L568" s="47">
        <f t="shared" si="113"/>
        <v>0.6</v>
      </c>
      <c r="M568" s="47">
        <f t="shared" si="114"/>
        <v>4.3099999999999996E-3</v>
      </c>
      <c r="O568" s="47">
        <f t="shared" si="115"/>
        <v>0.45056086926661437</v>
      </c>
      <c r="P568" s="47">
        <f t="shared" si="116"/>
        <v>0.55000000000000004</v>
      </c>
      <c r="Q568" s="47">
        <f t="shared" si="117"/>
        <v>3.3E-3</v>
      </c>
      <c r="S568" s="47">
        <f t="shared" si="118"/>
        <v>0.45056086926661437</v>
      </c>
      <c r="T568" s="47">
        <f t="shared" si="119"/>
        <v>0.6</v>
      </c>
      <c r="U568" s="47">
        <f t="shared" si="120"/>
        <v>3.3E-3</v>
      </c>
      <c r="W568" s="47">
        <f t="shared" si="121"/>
        <v>-8.4506456602551072E-2</v>
      </c>
      <c r="X568" s="47">
        <f t="shared" si="122"/>
        <v>-7.9093780909455846E-2</v>
      </c>
      <c r="Y568" s="47">
        <f t="shared" si="123"/>
        <v>-8.350461964848932E-2</v>
      </c>
      <c r="AP568" s="48">
        <v>0.62480000000000002</v>
      </c>
      <c r="AQ568" s="48">
        <v>0.68969999999999998</v>
      </c>
      <c r="AR568" s="47">
        <f>IF(AP568="","",AP568-($AC$60+$AC$61*Volcanic!C568+$AC$62*Volcanic!D568+$AC$63*Volcanic!E568))</f>
        <v>-7.8222304740523829E-2</v>
      </c>
      <c r="AS568" s="47">
        <f>IF(AQ568="","",AQ568-($AD$60+$AD$61*Volcanic!C568+$AD$62*Volcanic!D568+$AD$63*Volcanic!E568))</f>
        <v>-3.7063492869389258E-2</v>
      </c>
    </row>
    <row r="569" spans="1:45">
      <c r="A569" s="45" t="str">
        <f>Volcanic!A569</f>
        <v>6/2005</v>
      </c>
      <c r="B569" s="43">
        <f>Volcanic!B569</f>
        <v>0.65000000000000213</v>
      </c>
      <c r="C569" s="47">
        <f>Volcanic!C569</f>
        <v>0.44965569614841971</v>
      </c>
      <c r="D569" s="41">
        <v>0.1</v>
      </c>
      <c r="E569" s="43">
        <f t="shared" si="124"/>
        <v>0.4</v>
      </c>
      <c r="F569" s="48">
        <v>4.4900000000000001E-3</v>
      </c>
      <c r="G569" s="47">
        <f t="shared" si="125"/>
        <v>3.3800000000000002E-3</v>
      </c>
      <c r="H569" s="43">
        <f>Volcanic!D569</f>
        <v>0.4</v>
      </c>
      <c r="I569" s="47">
        <f>Volcanic!E569</f>
        <v>4.4000000000000003E-3</v>
      </c>
      <c r="K569" s="47">
        <f t="shared" si="112"/>
        <v>0.44965569614841971</v>
      </c>
      <c r="L569" s="47">
        <f t="shared" si="113"/>
        <v>0.4</v>
      </c>
      <c r="M569" s="47">
        <f t="shared" si="114"/>
        <v>4.4000000000000003E-3</v>
      </c>
      <c r="O569" s="47">
        <f t="shared" si="115"/>
        <v>0.44965569614841971</v>
      </c>
      <c r="P569" s="47">
        <f t="shared" si="116"/>
        <v>0.4</v>
      </c>
      <c r="Q569" s="47">
        <f t="shared" si="117"/>
        <v>3.3800000000000002E-3</v>
      </c>
      <c r="S569" s="47">
        <f t="shared" si="118"/>
        <v>0.44965569614841971</v>
      </c>
      <c r="T569" s="47">
        <f t="shared" si="119"/>
        <v>0.4</v>
      </c>
      <c r="U569" s="47">
        <f t="shared" si="120"/>
        <v>3.3800000000000002E-3</v>
      </c>
      <c r="W569" s="47">
        <f t="shared" si="121"/>
        <v>-4.3264933013390738E-2</v>
      </c>
      <c r="X569" s="47">
        <f t="shared" si="122"/>
        <v>-4.2347126334672081E-2</v>
      </c>
      <c r="Y569" s="47">
        <f t="shared" si="123"/>
        <v>-4.2046195566593947E-2</v>
      </c>
      <c r="AP569" s="48">
        <v>0.64239999999999997</v>
      </c>
      <c r="AQ569" s="48">
        <v>0.67969999999999997</v>
      </c>
      <c r="AR569" s="47">
        <f>IF(AP569="","",AP569-($AC$60+$AC$61*Volcanic!C569+$AC$62*Volcanic!D569+$AC$63*Volcanic!E569))</f>
        <v>-4.3887308490889287E-2</v>
      </c>
      <c r="AS569" s="47">
        <f>IF(AQ569="","",AQ569-($AD$60+$AD$61*Volcanic!C569+$AD$62*Volcanic!D569+$AD$63*Volcanic!E569))</f>
        <v>-2.9987418468566007E-2</v>
      </c>
    </row>
    <row r="570" spans="1:45">
      <c r="A570" s="45" t="str">
        <f>Volcanic!A570</f>
        <v>7/2005</v>
      </c>
      <c r="B570" s="43">
        <f>Volcanic!B570</f>
        <v>0.61000000000000121</v>
      </c>
      <c r="C570" s="47">
        <f>Volcanic!C570</f>
        <v>0.44409908411483445</v>
      </c>
      <c r="D570" s="41">
        <v>0</v>
      </c>
      <c r="E570" s="43">
        <f t="shared" si="124"/>
        <v>0.4</v>
      </c>
      <c r="F570" s="48">
        <v>4.62E-3</v>
      </c>
      <c r="G570" s="47">
        <f t="shared" si="125"/>
        <v>3.5500000000000002E-3</v>
      </c>
      <c r="H570" s="43">
        <f>Volcanic!D570</f>
        <v>0.37</v>
      </c>
      <c r="I570" s="47">
        <f>Volcanic!E570</f>
        <v>4.5500000000000002E-3</v>
      </c>
      <c r="K570" s="47">
        <f t="shared" si="112"/>
        <v>0.44409908411483445</v>
      </c>
      <c r="L570" s="47">
        <f t="shared" si="113"/>
        <v>0.4</v>
      </c>
      <c r="M570" s="47">
        <f t="shared" si="114"/>
        <v>4.5500000000000002E-3</v>
      </c>
      <c r="O570" s="47">
        <f t="shared" si="115"/>
        <v>0.44409908411483445</v>
      </c>
      <c r="P570" s="47">
        <f t="shared" si="116"/>
        <v>0.37</v>
      </c>
      <c r="Q570" s="47">
        <f t="shared" si="117"/>
        <v>3.5500000000000002E-3</v>
      </c>
      <c r="S570" s="47">
        <f t="shared" si="118"/>
        <v>0.44409908411483445</v>
      </c>
      <c r="T570" s="47">
        <f t="shared" si="119"/>
        <v>0.4</v>
      </c>
      <c r="U570" s="47">
        <f t="shared" si="120"/>
        <v>3.5500000000000002E-3</v>
      </c>
      <c r="W570" s="47">
        <f t="shared" si="121"/>
        <v>-6.7780686542715518E-2</v>
      </c>
      <c r="X570" s="47">
        <f t="shared" si="122"/>
        <v>-6.406213462055399E-2</v>
      </c>
      <c r="Y570" s="47">
        <f t="shared" si="123"/>
        <v>-6.6580447510094731E-2</v>
      </c>
      <c r="AP570" s="48">
        <v>0.62839999999999996</v>
      </c>
      <c r="AQ570" s="48">
        <v>0.59370000000000001</v>
      </c>
      <c r="AR570" s="47">
        <f>IF(AP570="","",AP570-($AC$60+$AC$61*Volcanic!C570+$AC$62*Volcanic!D570+$AC$63*Volcanic!E570))</f>
        <v>-3.9544095615387853E-2</v>
      </c>
      <c r="AS570" s="47">
        <f>IF(AQ570="","",AQ570-($AD$60+$AD$61*Volcanic!C570+$AD$62*Volcanic!D570+$AD$63*Volcanic!E570))</f>
        <v>-9.7213460643950533E-2</v>
      </c>
    </row>
    <row r="571" spans="1:45">
      <c r="A571" s="45" t="str">
        <f>Volcanic!A571</f>
        <v>8/2005</v>
      </c>
      <c r="B571" s="43">
        <f>Volcanic!B571</f>
        <v>0.60000000000000142</v>
      </c>
      <c r="C571" s="47">
        <f>Volcanic!C571</f>
        <v>0.43650453579040066</v>
      </c>
      <c r="D571" s="41">
        <v>-0.1</v>
      </c>
      <c r="E571" s="43">
        <f t="shared" si="124"/>
        <v>0.3</v>
      </c>
      <c r="F571" s="48">
        <v>4.9300000000000004E-3</v>
      </c>
      <c r="G571" s="47">
        <f t="shared" si="125"/>
        <v>3.5300000000000002E-3</v>
      </c>
      <c r="H571" s="43">
        <f>Volcanic!D571</f>
        <v>0.27</v>
      </c>
      <c r="I571" s="47">
        <f>Volcanic!E571</f>
        <v>4.7099999999999998E-3</v>
      </c>
      <c r="K571" s="47">
        <f t="shared" si="112"/>
        <v>0.43650453579040066</v>
      </c>
      <c r="L571" s="47">
        <f t="shared" si="113"/>
        <v>0.3</v>
      </c>
      <c r="M571" s="47">
        <f t="shared" si="114"/>
        <v>4.7099999999999998E-3</v>
      </c>
      <c r="O571" s="47">
        <f t="shared" si="115"/>
        <v>0.43650453579040066</v>
      </c>
      <c r="P571" s="47">
        <f t="shared" si="116"/>
        <v>0.27</v>
      </c>
      <c r="Q571" s="47">
        <f t="shared" si="117"/>
        <v>3.5300000000000002E-3</v>
      </c>
      <c r="S571" s="47">
        <f t="shared" si="118"/>
        <v>0.43650453579040066</v>
      </c>
      <c r="T571" s="47">
        <f t="shared" si="119"/>
        <v>0.3</v>
      </c>
      <c r="U571" s="47">
        <f t="shared" si="120"/>
        <v>3.5300000000000002E-3</v>
      </c>
      <c r="W571" s="47">
        <f t="shared" si="121"/>
        <v>-4.7429314216869023E-2</v>
      </c>
      <c r="X571" s="47">
        <f t="shared" si="122"/>
        <v>-4.4188311675195102E-2</v>
      </c>
      <c r="Y571" s="47">
        <f t="shared" si="123"/>
        <v>-4.6701491408242202E-2</v>
      </c>
      <c r="AP571" s="48">
        <v>0.65710000000000002</v>
      </c>
      <c r="AQ571" s="48">
        <v>0.62470000000000003</v>
      </c>
      <c r="AR571" s="47">
        <f>IF(AP571="","",AP571-($AC$60+$AC$61*Volcanic!C571+$AC$62*Volcanic!D571+$AC$63*Volcanic!E571))</f>
        <v>1.9643141679193121E-2</v>
      </c>
      <c r="AS571" s="47">
        <f>IF(AQ571="","",AQ571-($AD$60+$AD$61*Volcanic!C571+$AD$62*Volcanic!D571+$AD$63*Volcanic!E571))</f>
        <v>-3.5019055105057095E-2</v>
      </c>
    </row>
    <row r="572" spans="1:45">
      <c r="A572" s="45" t="str">
        <f>Volcanic!A572</f>
        <v>9/2005</v>
      </c>
      <c r="B572" s="43">
        <f>Volcanic!B572</f>
        <v>0.72000000000000242</v>
      </c>
      <c r="C572" s="47">
        <f>Volcanic!C572</f>
        <v>0.42871668939795532</v>
      </c>
      <c r="D572" s="41">
        <v>-0.1</v>
      </c>
      <c r="E572" s="43">
        <f t="shared" si="124"/>
        <v>0.1</v>
      </c>
      <c r="F572" s="48">
        <v>5.0099999999999997E-3</v>
      </c>
      <c r="G572" s="47">
        <f t="shared" si="125"/>
        <v>3.7100000000000002E-3</v>
      </c>
      <c r="H572" s="43">
        <f>Volcanic!D572</f>
        <v>0.09</v>
      </c>
      <c r="I572" s="47">
        <f>Volcanic!E572</f>
        <v>4.8799999999999998E-3</v>
      </c>
      <c r="K572" s="47">
        <f t="shared" si="112"/>
        <v>0.42871668939795532</v>
      </c>
      <c r="L572" s="47">
        <f t="shared" si="113"/>
        <v>0.1</v>
      </c>
      <c r="M572" s="47">
        <f t="shared" si="114"/>
        <v>4.8799999999999998E-3</v>
      </c>
      <c r="O572" s="47">
        <f t="shared" si="115"/>
        <v>0.42871668939795532</v>
      </c>
      <c r="P572" s="47">
        <f t="shared" si="116"/>
        <v>0.09</v>
      </c>
      <c r="Q572" s="47">
        <f t="shared" si="117"/>
        <v>3.7100000000000002E-3</v>
      </c>
      <c r="S572" s="47">
        <f t="shared" si="118"/>
        <v>0.42871668939795532</v>
      </c>
      <c r="T572" s="47">
        <f t="shared" si="119"/>
        <v>0.1</v>
      </c>
      <c r="U572" s="47">
        <f t="shared" si="120"/>
        <v>3.7100000000000002E-3</v>
      </c>
      <c r="W572" s="47">
        <f t="shared" si="121"/>
        <v>0.1127585777693848</v>
      </c>
      <c r="X572" s="47">
        <f t="shared" si="122"/>
        <v>0.11424555297399375</v>
      </c>
      <c r="Y572" s="47">
        <f t="shared" si="123"/>
        <v>0.11362428189464935</v>
      </c>
      <c r="AP572" s="48">
        <v>0.70599999999999996</v>
      </c>
      <c r="AQ572" s="48">
        <v>0.73170000000000002</v>
      </c>
      <c r="AR572" s="47">
        <f>IF(AP572="","",AP572-($AC$60+$AC$61*Volcanic!C572+$AC$62*Volcanic!D572+$AC$63*Volcanic!E572))</f>
        <v>0.10707387034216354</v>
      </c>
      <c r="AS572" s="47">
        <f>IF(AQ572="","",AQ572-($AD$60+$AD$61*Volcanic!C572+$AD$62*Volcanic!D572+$AD$63*Volcanic!E572))</f>
        <v>0.11138480756547231</v>
      </c>
    </row>
    <row r="573" spans="1:45">
      <c r="A573" s="45" t="str">
        <f>Volcanic!A573</f>
        <v>10/2005</v>
      </c>
      <c r="B573" s="43">
        <f>Volcanic!B573</f>
        <v>0.75999999999999801</v>
      </c>
      <c r="C573" s="47">
        <f>Volcanic!C573</f>
        <v>0.42986460085324052</v>
      </c>
      <c r="D573" s="41">
        <v>-0.3</v>
      </c>
      <c r="E573" s="43">
        <f t="shared" si="124"/>
        <v>0</v>
      </c>
      <c r="F573" s="48">
        <v>4.8500000000000001E-3</v>
      </c>
      <c r="G573" s="47">
        <f t="shared" si="125"/>
        <v>4.3499999999999997E-3</v>
      </c>
      <c r="H573" s="43">
        <f>Volcanic!D573</f>
        <v>-0.04</v>
      </c>
      <c r="I573" s="47">
        <f>Volcanic!E573</f>
        <v>5.5399999999999998E-3</v>
      </c>
      <c r="K573" s="47">
        <f t="shared" si="112"/>
        <v>0.42986460085324052</v>
      </c>
      <c r="L573" s="47">
        <f t="shared" si="113"/>
        <v>0</v>
      </c>
      <c r="M573" s="47">
        <f t="shared" si="114"/>
        <v>5.5399999999999998E-3</v>
      </c>
      <c r="O573" s="47">
        <f t="shared" si="115"/>
        <v>0.42986460085324052</v>
      </c>
      <c r="P573" s="47">
        <f t="shared" si="116"/>
        <v>-0.04</v>
      </c>
      <c r="Q573" s="47">
        <f t="shared" si="117"/>
        <v>4.3499999999999997E-3</v>
      </c>
      <c r="S573" s="47">
        <f t="shared" si="118"/>
        <v>0.42986460085324052</v>
      </c>
      <c r="T573" s="47">
        <f t="shared" si="119"/>
        <v>0</v>
      </c>
      <c r="U573" s="47">
        <f t="shared" si="120"/>
        <v>4.3499999999999997E-3</v>
      </c>
      <c r="W573" s="47">
        <f t="shared" si="121"/>
        <v>0.16036970837154696</v>
      </c>
      <c r="X573" s="47">
        <f t="shared" si="122"/>
        <v>0.16502594925812664</v>
      </c>
      <c r="Y573" s="47">
        <f t="shared" si="123"/>
        <v>0.16159640672057241</v>
      </c>
      <c r="AP573" s="48">
        <v>0.75529999999999997</v>
      </c>
      <c r="AQ573" s="48">
        <v>0.80769999999999997</v>
      </c>
      <c r="AR573" s="47">
        <f>IF(AP573="","",AP573-($AC$60+$AC$61*Volcanic!C573+$AC$62*Volcanic!D573+$AC$63*Volcanic!E573))</f>
        <v>0.16700132937349133</v>
      </c>
      <c r="AS573" s="47">
        <f>IF(AQ573="","",AQ573-($AD$60+$AD$61*Volcanic!C573+$AD$62*Volcanic!D573+$AD$63*Volcanic!E573))</f>
        <v>0.19810462845947652</v>
      </c>
    </row>
    <row r="574" spans="1:45">
      <c r="A574" s="45" t="str">
        <f>Volcanic!A574</f>
        <v>11/2005</v>
      </c>
      <c r="B574" s="43">
        <f>Volcanic!B574</f>
        <v>0.73999999999999666</v>
      </c>
      <c r="C574" s="47">
        <f>Volcanic!C574</f>
        <v>0.43501892945440074</v>
      </c>
      <c r="D574" s="41">
        <v>-0.6</v>
      </c>
      <c r="E574" s="43">
        <f t="shared" si="124"/>
        <v>-0.1</v>
      </c>
      <c r="F574" s="48">
        <v>4.7299999999999998E-3</v>
      </c>
      <c r="G574" s="47">
        <f t="shared" si="125"/>
        <v>4.3800000000000002E-3</v>
      </c>
      <c r="H574" s="43">
        <f>Volcanic!D574</f>
        <v>-0.14000000000000001</v>
      </c>
      <c r="I574" s="47">
        <f>Volcanic!E574</f>
        <v>5.6699999999999997E-3</v>
      </c>
      <c r="K574" s="47">
        <f t="shared" si="112"/>
        <v>0.43501892945440074</v>
      </c>
      <c r="L574" s="47">
        <f t="shared" si="113"/>
        <v>-0.1</v>
      </c>
      <c r="M574" s="47">
        <f t="shared" si="114"/>
        <v>5.6699999999999997E-3</v>
      </c>
      <c r="O574" s="47">
        <f t="shared" si="115"/>
        <v>0.43501892945440074</v>
      </c>
      <c r="P574" s="47">
        <f t="shared" si="116"/>
        <v>-0.14000000000000001</v>
      </c>
      <c r="Q574" s="47">
        <f t="shared" si="117"/>
        <v>4.3800000000000002E-3</v>
      </c>
      <c r="S574" s="47">
        <f t="shared" si="118"/>
        <v>0.43501892945440074</v>
      </c>
      <c r="T574" s="47">
        <f t="shared" si="119"/>
        <v>-0.1</v>
      </c>
      <c r="U574" s="47">
        <f t="shared" si="120"/>
        <v>4.3800000000000002E-3</v>
      </c>
      <c r="W574" s="47">
        <f t="shared" si="121"/>
        <v>0.13588686787593718</v>
      </c>
      <c r="X574" s="47">
        <f t="shared" si="122"/>
        <v>0.14056281683268856</v>
      </c>
      <c r="Y574" s="47">
        <f t="shared" si="123"/>
        <v>0.13714242099385776</v>
      </c>
      <c r="AP574" s="48">
        <v>0.71099999999999997</v>
      </c>
      <c r="AQ574" s="48">
        <v>0.7127</v>
      </c>
      <c r="AR574" s="47">
        <f>IF(AP574="","",AP574-($AC$60+$AC$61*Volcanic!C574+$AC$62*Volcanic!D574+$AC$63*Volcanic!E574))</f>
        <v>0.11830419413053517</v>
      </c>
      <c r="AS574" s="47">
        <f>IF(AQ574="","",AQ574-($AD$60+$AD$61*Volcanic!C574+$AD$62*Volcanic!D574+$AD$63*Volcanic!E574))</f>
        <v>9.8522085961759154E-2</v>
      </c>
    </row>
    <row r="575" spans="1:45">
      <c r="A575" s="45" t="str">
        <f>Volcanic!A575</f>
        <v>12/2005</v>
      </c>
      <c r="B575" s="43">
        <f>Volcanic!B575</f>
        <v>0.67999999999999972</v>
      </c>
      <c r="C575" s="47">
        <f>Volcanic!C575</f>
        <v>0.44174904700923706</v>
      </c>
      <c r="D575" s="41">
        <v>-0.8</v>
      </c>
      <c r="E575" s="43">
        <f t="shared" si="124"/>
        <v>-0.1</v>
      </c>
      <c r="F575" s="48">
        <v>4.5599999999999998E-3</v>
      </c>
      <c r="G575" s="47">
        <f t="shared" si="125"/>
        <v>4.4200000000000003E-3</v>
      </c>
      <c r="H575" s="43">
        <f>Volcanic!D575</f>
        <v>-0.11</v>
      </c>
      <c r="I575" s="47">
        <f>Volcanic!E575</f>
        <v>5.7200000000000003E-3</v>
      </c>
      <c r="K575" s="47">
        <f t="shared" si="112"/>
        <v>0.44174904700923706</v>
      </c>
      <c r="L575" s="47">
        <f t="shared" si="113"/>
        <v>-0.1</v>
      </c>
      <c r="M575" s="47">
        <f t="shared" si="114"/>
        <v>5.7200000000000003E-3</v>
      </c>
      <c r="O575" s="47">
        <f t="shared" si="115"/>
        <v>0.44174904700923706</v>
      </c>
      <c r="P575" s="47">
        <f t="shared" si="116"/>
        <v>-0.11</v>
      </c>
      <c r="Q575" s="47">
        <f t="shared" si="117"/>
        <v>4.4200000000000003E-3</v>
      </c>
      <c r="S575" s="47">
        <f t="shared" si="118"/>
        <v>0.44174904700923706</v>
      </c>
      <c r="T575" s="47">
        <f t="shared" si="119"/>
        <v>-0.1</v>
      </c>
      <c r="U575" s="47">
        <f t="shared" si="120"/>
        <v>4.4200000000000003E-3</v>
      </c>
      <c r="W575" s="47">
        <f t="shared" si="121"/>
        <v>5.7643000150720769E-2</v>
      </c>
      <c r="X575" s="47">
        <f t="shared" si="122"/>
        <v>5.9653838474622245E-2</v>
      </c>
      <c r="Y575" s="47">
        <f t="shared" si="123"/>
        <v>5.9053688829489248E-2</v>
      </c>
      <c r="AP575" s="48">
        <v>0.66990000000000005</v>
      </c>
      <c r="AQ575" s="48">
        <v>0.75970000000000004</v>
      </c>
      <c r="AR575" s="47">
        <f>IF(AP575="","",AP575-($AC$60+$AC$61*Volcanic!C575+$AC$62*Volcanic!D575+$AC$63*Volcanic!E575))</f>
        <v>5.6137837636187737E-2</v>
      </c>
      <c r="AS575" s="47">
        <f>IF(AQ575="","",AQ575-($AD$60+$AD$61*Volcanic!C575+$AD$62*Volcanic!D575+$AD$63*Volcanic!E575))</f>
        <v>0.12391933617133322</v>
      </c>
    </row>
    <row r="576" spans="1:45">
      <c r="A576" s="45" t="str">
        <f>Volcanic!A576</f>
        <v>1/2006</v>
      </c>
      <c r="B576" s="43">
        <f>Volcanic!B576</f>
        <v>0.55999999999999872</v>
      </c>
      <c r="C576" s="47">
        <f>Volcanic!C576</f>
        <v>0.44655872924400647</v>
      </c>
      <c r="D576" s="41">
        <v>-0.9</v>
      </c>
      <c r="E576" s="43">
        <f t="shared" si="124"/>
        <v>-0.3</v>
      </c>
      <c r="F576" s="48">
        <v>4.4799999999999996E-3</v>
      </c>
      <c r="G576" s="47">
        <f t="shared" si="125"/>
        <v>4.4900000000000001E-3</v>
      </c>
      <c r="H576" s="43">
        <f>Volcanic!D576</f>
        <v>-0.27</v>
      </c>
      <c r="I576" s="47">
        <f>Volcanic!E576</f>
        <v>5.7499999999999999E-3</v>
      </c>
      <c r="K576" s="47">
        <f t="shared" si="112"/>
        <v>0.44655872924400647</v>
      </c>
      <c r="L576" s="47">
        <f t="shared" si="113"/>
        <v>-0.3</v>
      </c>
      <c r="M576" s="47">
        <f t="shared" si="114"/>
        <v>5.7499999999999999E-3</v>
      </c>
      <c r="O576" s="47">
        <f t="shared" si="115"/>
        <v>0.44655872924400647</v>
      </c>
      <c r="P576" s="47">
        <f t="shared" si="116"/>
        <v>-0.27</v>
      </c>
      <c r="Q576" s="47">
        <f t="shared" si="117"/>
        <v>4.4900000000000001E-3</v>
      </c>
      <c r="S576" s="47">
        <f t="shared" si="118"/>
        <v>0.44655872924400647</v>
      </c>
      <c r="T576" s="47">
        <f t="shared" si="119"/>
        <v>-0.3</v>
      </c>
      <c r="U576" s="47">
        <f t="shared" si="120"/>
        <v>4.4900000000000001E-3</v>
      </c>
      <c r="W576" s="47">
        <f t="shared" si="121"/>
        <v>-5.683295883816375E-2</v>
      </c>
      <c r="X576" s="47">
        <f t="shared" si="122"/>
        <v>-5.8136834233916246E-2</v>
      </c>
      <c r="Y576" s="47">
        <f t="shared" si="123"/>
        <v>-5.4962876993189802E-2</v>
      </c>
      <c r="AP576" s="48">
        <v>0.5696</v>
      </c>
      <c r="AQ576" s="48">
        <v>0.63170000000000004</v>
      </c>
      <c r="AR576" s="47">
        <f>IF(AP576="","",AP576-($AC$60+$AC$61*Volcanic!C576+$AC$62*Volcanic!D576+$AC$63*Volcanic!E576))</f>
        <v>-4.2240117404878208E-2</v>
      </c>
      <c r="AS576" s="47">
        <f>IF(AQ576="","",AQ576-($AD$60+$AD$61*Volcanic!C576+$AD$62*Volcanic!D576+$AD$63*Volcanic!E576))</f>
        <v>-2.1930645886392153E-3</v>
      </c>
    </row>
    <row r="577" spans="1:45">
      <c r="A577" s="45" t="str">
        <f>Volcanic!A577</f>
        <v>2/2006</v>
      </c>
      <c r="B577" s="43">
        <f>Volcanic!B577</f>
        <v>0.73999999999999666</v>
      </c>
      <c r="C577" s="47">
        <f>Volcanic!C577</f>
        <v>0.44965569614841971</v>
      </c>
      <c r="D577" s="41">
        <v>-0.8</v>
      </c>
      <c r="E577" s="43">
        <f t="shared" si="124"/>
        <v>-0.6</v>
      </c>
      <c r="F577" s="48">
        <v>4.3800000000000002E-3</v>
      </c>
      <c r="G577" s="47">
        <f t="shared" si="125"/>
        <v>4.62E-3</v>
      </c>
      <c r="H577" s="43">
        <f>Volcanic!D577</f>
        <v>-0.56999999999999995</v>
      </c>
      <c r="I577" s="47">
        <f>Volcanic!E577</f>
        <v>6.0000000000000001E-3</v>
      </c>
      <c r="K577" s="47">
        <f t="shared" si="112"/>
        <v>0.44965569614841971</v>
      </c>
      <c r="L577" s="47">
        <f t="shared" si="113"/>
        <v>-0.6</v>
      </c>
      <c r="M577" s="47">
        <f t="shared" si="114"/>
        <v>6.0000000000000001E-3</v>
      </c>
      <c r="O577" s="47">
        <f t="shared" si="115"/>
        <v>0.44965569614841971</v>
      </c>
      <c r="P577" s="47">
        <f t="shared" si="116"/>
        <v>-0.56999999999999995</v>
      </c>
      <c r="Q577" s="47">
        <f t="shared" si="117"/>
        <v>4.62E-3</v>
      </c>
      <c r="S577" s="47">
        <f t="shared" si="118"/>
        <v>0.44965569614841971</v>
      </c>
      <c r="T577" s="47">
        <f t="shared" si="119"/>
        <v>-0.6</v>
      </c>
      <c r="U577" s="47">
        <f t="shared" si="120"/>
        <v>4.62E-3</v>
      </c>
      <c r="W577" s="47">
        <f t="shared" si="121"/>
        <v>0.14313402175364398</v>
      </c>
      <c r="X577" s="47">
        <f t="shared" si="122"/>
        <v>0.14201078472931827</v>
      </c>
      <c r="Y577" s="47">
        <f t="shared" si="123"/>
        <v>0.145208561833016</v>
      </c>
      <c r="AP577" s="48">
        <v>0.71089999999999998</v>
      </c>
      <c r="AQ577" s="48">
        <v>0.81869999999999998</v>
      </c>
      <c r="AR577" s="47">
        <f>IF(AP577="","",AP577-($AC$60+$AC$61*Volcanic!C577+$AC$62*Volcanic!D577+$AC$63*Volcanic!E577))</f>
        <v>0.11929836012952555</v>
      </c>
      <c r="AS577" s="47">
        <f>IF(AQ577="","",AQ577-($AD$60+$AD$61*Volcanic!C577+$AD$62*Volcanic!D577+$AD$63*Volcanic!E577))</f>
        <v>0.20537455117019754</v>
      </c>
    </row>
    <row r="578" spans="1:45">
      <c r="A578" s="45" t="str">
        <f>Volcanic!A578</f>
        <v>3/2006</v>
      </c>
      <c r="B578" s="43">
        <f>Volcanic!B578</f>
        <v>0.63000000000000256</v>
      </c>
      <c r="C578" s="47">
        <f>Volcanic!C578</f>
        <v>0.4513901126832936</v>
      </c>
      <c r="D578" s="41">
        <v>-0.6</v>
      </c>
      <c r="E578" s="43">
        <f t="shared" si="124"/>
        <v>-0.8</v>
      </c>
      <c r="F578" s="48">
        <v>4.3099999999999996E-3</v>
      </c>
      <c r="G578" s="47">
        <f t="shared" si="125"/>
        <v>4.9300000000000004E-3</v>
      </c>
      <c r="H578" s="43">
        <f>Volcanic!D578</f>
        <v>-0.82</v>
      </c>
      <c r="I578" s="47">
        <f>Volcanic!E578</f>
        <v>6.4599999999999996E-3</v>
      </c>
      <c r="K578" s="47">
        <f t="shared" ref="K578:K641" si="126">C578</f>
        <v>0.4513901126832936</v>
      </c>
      <c r="L578" s="47">
        <f t="shared" ref="L578:L641" si="127">E578</f>
        <v>-0.8</v>
      </c>
      <c r="M578" s="47">
        <f t="shared" ref="M578:M641" si="128">I578</f>
        <v>6.4599999999999996E-3</v>
      </c>
      <c r="O578" s="47">
        <f t="shared" ref="O578:O641" si="129">C578</f>
        <v>0.4513901126832936</v>
      </c>
      <c r="P578" s="47">
        <f t="shared" ref="P578:P641" si="130">H578</f>
        <v>-0.82</v>
      </c>
      <c r="Q578" s="47">
        <f t="shared" ref="Q578:Q641" si="131">G578</f>
        <v>4.9300000000000004E-3</v>
      </c>
      <c r="S578" s="47">
        <f t="shared" ref="S578:S641" si="132">C578</f>
        <v>0.4513901126832936</v>
      </c>
      <c r="T578" s="47">
        <f t="shared" ref="T578:T641" si="133">E578</f>
        <v>-0.8</v>
      </c>
      <c r="U578" s="47">
        <f t="shared" ref="U578:U641" si="134">G578</f>
        <v>4.9300000000000004E-3</v>
      </c>
      <c r="W578" s="47">
        <f t="shared" ref="W578:W641" si="135">IF(OR(L578="",M578=""),"",B578-($AB$6+$AB$7*K578+$AB$8*L578+$AB$9*M578))</f>
        <v>4.7992291156118916E-2</v>
      </c>
      <c r="X578" s="47">
        <f t="shared" ref="X578:X641" si="136">IF(OR(P578="",Q578=""),"",B578-($AC$6+$AC$7*O578+$AC$8*P578+$AC$9*Q578))</f>
        <v>5.1615652153944702E-2</v>
      </c>
      <c r="Y578" s="47">
        <f t="shared" ref="Y578:Y641" si="137">IF(OR(T578="",U578=""),"",B578-($AD$6+$AD$7*S578+$AD$8*T578+$AD$9*U578))</f>
        <v>5.0133088388690017E-2</v>
      </c>
      <c r="AP578" s="48">
        <v>0.60660000000000003</v>
      </c>
      <c r="AQ578" s="48">
        <v>0.68669999999999998</v>
      </c>
      <c r="AR578" s="47">
        <f>IF(AP578="","",AP578-($AC$60+$AC$61*Volcanic!C578+$AC$62*Volcanic!D578+$AC$63*Volcanic!E578))</f>
        <v>3.4780475731204241E-2</v>
      </c>
      <c r="AS578" s="47">
        <f>IF(AQ578="","",AQ578-($AD$60+$AD$61*Volcanic!C578+$AD$62*Volcanic!D578+$AD$63*Volcanic!E578))</f>
        <v>9.3461282655696198E-2</v>
      </c>
    </row>
    <row r="579" spans="1:45">
      <c r="A579" s="45" t="str">
        <f>Volcanic!A579</f>
        <v>4/2006</v>
      </c>
      <c r="B579" s="43">
        <f>Volcanic!B579</f>
        <v>0.47000000000000242</v>
      </c>
      <c r="C579" s="47">
        <f>Volcanic!C579</f>
        <v>0.45868197193771321</v>
      </c>
      <c r="D579" s="41">
        <v>-0.4</v>
      </c>
      <c r="E579" s="43">
        <f t="shared" si="124"/>
        <v>-0.9</v>
      </c>
      <c r="F579" s="48">
        <v>4.28E-3</v>
      </c>
      <c r="G579" s="47">
        <f t="shared" si="125"/>
        <v>5.0099999999999997E-3</v>
      </c>
      <c r="H579" s="43">
        <f>Volcanic!D579</f>
        <v>-0.86</v>
      </c>
      <c r="I579" s="47">
        <f>Volcanic!E579</f>
        <v>6.5300000000000002E-3</v>
      </c>
      <c r="K579" s="47">
        <f t="shared" si="126"/>
        <v>0.45868197193771321</v>
      </c>
      <c r="L579" s="47">
        <f t="shared" si="127"/>
        <v>-0.9</v>
      </c>
      <c r="M579" s="47">
        <f t="shared" si="128"/>
        <v>6.5300000000000002E-3</v>
      </c>
      <c r="O579" s="47">
        <f t="shared" si="129"/>
        <v>0.45868197193771321</v>
      </c>
      <c r="P579" s="47">
        <f t="shared" si="130"/>
        <v>-0.86</v>
      </c>
      <c r="Q579" s="47">
        <f t="shared" si="131"/>
        <v>5.0099999999999997E-3</v>
      </c>
      <c r="S579" s="47">
        <f t="shared" si="132"/>
        <v>0.45868197193771321</v>
      </c>
      <c r="T579" s="47">
        <f t="shared" si="133"/>
        <v>-0.9</v>
      </c>
      <c r="U579" s="47">
        <f t="shared" si="134"/>
        <v>5.0099999999999997E-3</v>
      </c>
      <c r="W579" s="47">
        <f t="shared" si="135"/>
        <v>-0.12245212879668299</v>
      </c>
      <c r="X579" s="47">
        <f t="shared" si="136"/>
        <v>-0.12413199618057746</v>
      </c>
      <c r="Y579" s="47">
        <f t="shared" si="137"/>
        <v>-0.11996844101515491</v>
      </c>
      <c r="AP579" s="48">
        <v>0.55110000000000003</v>
      </c>
      <c r="AQ579" s="48">
        <v>0.60570000000000002</v>
      </c>
      <c r="AR579" s="47">
        <f>IF(AP579="","",AP579-($AC$60+$AC$61*Volcanic!C579+$AC$62*Volcanic!D579+$AC$63*Volcanic!E579))</f>
        <v>-3.6716496105060892E-2</v>
      </c>
      <c r="AS579" s="47">
        <f>IF(AQ579="","",AQ579-($AD$60+$AD$61*Volcanic!C579+$AD$62*Volcanic!D579+$AD$63*Volcanic!E579))</f>
        <v>-3.9795351805334001E-3</v>
      </c>
    </row>
    <row r="580" spans="1:45">
      <c r="A580" s="45" t="str">
        <f>Volcanic!A580</f>
        <v>5/2006</v>
      </c>
      <c r="B580" s="43">
        <f>Volcanic!B580</f>
        <v>0.47999999999999865</v>
      </c>
      <c r="C580" s="47">
        <f>Volcanic!C580</f>
        <v>0.46025578035116405</v>
      </c>
      <c r="D580" s="41">
        <v>-0.2</v>
      </c>
      <c r="E580" s="43">
        <f t="shared" si="124"/>
        <v>-0.8</v>
      </c>
      <c r="F580" s="48">
        <v>4.3499999999999997E-3</v>
      </c>
      <c r="G580" s="47">
        <f t="shared" si="125"/>
        <v>4.8500000000000001E-3</v>
      </c>
      <c r="H580" s="43">
        <f>Volcanic!D580</f>
        <v>-0.8</v>
      </c>
      <c r="I580" s="47">
        <f>Volcanic!E580</f>
        <v>6.4999999999999997E-3</v>
      </c>
      <c r="K580" s="47">
        <f t="shared" si="126"/>
        <v>0.46025578035116405</v>
      </c>
      <c r="L580" s="47">
        <f t="shared" si="127"/>
        <v>-0.8</v>
      </c>
      <c r="M580" s="47">
        <f t="shared" si="128"/>
        <v>6.4999999999999997E-3</v>
      </c>
      <c r="O580" s="47">
        <f t="shared" si="129"/>
        <v>0.46025578035116405</v>
      </c>
      <c r="P580" s="47">
        <f t="shared" si="130"/>
        <v>-0.8</v>
      </c>
      <c r="Q580" s="47">
        <f t="shared" si="131"/>
        <v>4.8500000000000001E-3</v>
      </c>
      <c r="S580" s="47">
        <f t="shared" si="132"/>
        <v>0.46025578035116405</v>
      </c>
      <c r="T580" s="47">
        <f t="shared" si="133"/>
        <v>-0.8</v>
      </c>
      <c r="U580" s="47">
        <f t="shared" si="134"/>
        <v>4.8500000000000001E-3</v>
      </c>
      <c r="W580" s="47">
        <f t="shared" si="135"/>
        <v>-0.12609757854350745</v>
      </c>
      <c r="X580" s="47">
        <f t="shared" si="136"/>
        <v>-0.12444112257900442</v>
      </c>
      <c r="Y580" s="47">
        <f t="shared" si="137"/>
        <v>-0.12404252537726201</v>
      </c>
      <c r="AP580" s="48">
        <v>0.53910000000000002</v>
      </c>
      <c r="AQ580" s="48">
        <v>0.54969999999999997</v>
      </c>
      <c r="AR580" s="47">
        <f>IF(AP580="","",AP580-($AC$60+$AC$61*Volcanic!C580+$AC$62*Volcanic!D580+$AC$63*Volcanic!E580))</f>
        <v>-5.8704842178820438E-2</v>
      </c>
      <c r="AS580" s="47">
        <f>IF(AQ580="","",AQ580-($AD$60+$AD$61*Volcanic!C580+$AD$62*Volcanic!D580+$AD$63*Volcanic!E580))</f>
        <v>-7.0190174289747165E-2</v>
      </c>
    </row>
    <row r="581" spans="1:45">
      <c r="A581" s="45" t="str">
        <f>Volcanic!A581</f>
        <v>6/2006</v>
      </c>
      <c r="B581" s="43">
        <f>Volcanic!B581</f>
        <v>0.66999999999999993</v>
      </c>
      <c r="C581" s="47">
        <f>Volcanic!C581</f>
        <v>0.45658088651772205</v>
      </c>
      <c r="D581" s="41">
        <v>0</v>
      </c>
      <c r="E581" s="43">
        <f t="shared" ref="E581:E644" si="138">IF(D578="","",D578)</f>
        <v>-0.6</v>
      </c>
      <c r="F581" s="48">
        <v>4.9199999999999999E-3</v>
      </c>
      <c r="G581" s="47">
        <f t="shared" si="125"/>
        <v>4.7299999999999998E-3</v>
      </c>
      <c r="H581" s="43">
        <f>Volcanic!D581</f>
        <v>-0.63</v>
      </c>
      <c r="I581" s="47">
        <f>Volcanic!E581</f>
        <v>6.3200000000000001E-3</v>
      </c>
      <c r="K581" s="47">
        <f t="shared" si="126"/>
        <v>0.45658088651772205</v>
      </c>
      <c r="L581" s="47">
        <f t="shared" si="127"/>
        <v>-0.6</v>
      </c>
      <c r="M581" s="47">
        <f t="shared" si="128"/>
        <v>6.3200000000000001E-3</v>
      </c>
      <c r="O581" s="47">
        <f t="shared" si="129"/>
        <v>0.45658088651772205</v>
      </c>
      <c r="P581" s="47">
        <f t="shared" si="130"/>
        <v>-0.63</v>
      </c>
      <c r="Q581" s="47">
        <f t="shared" si="131"/>
        <v>4.7299999999999998E-3</v>
      </c>
      <c r="S581" s="47">
        <f t="shared" si="132"/>
        <v>0.45658088651772205</v>
      </c>
      <c r="T581" s="47">
        <f t="shared" si="133"/>
        <v>-0.6</v>
      </c>
      <c r="U581" s="47">
        <f t="shared" si="134"/>
        <v>4.7299999999999998E-3</v>
      </c>
      <c r="W581" s="47">
        <f t="shared" si="135"/>
        <v>5.4953112847197505E-2</v>
      </c>
      <c r="X581" s="47">
        <f t="shared" si="136"/>
        <v>5.9211560850954914E-2</v>
      </c>
      <c r="Y581" s="47">
        <f t="shared" si="137"/>
        <v>5.6775602420484406E-2</v>
      </c>
      <c r="AP581" s="48">
        <v>0.6452</v>
      </c>
      <c r="AQ581" s="48">
        <v>0.65669999999999995</v>
      </c>
      <c r="AR581" s="47">
        <f>IF(AP581="","",AP581-($AC$60+$AC$61*Volcanic!C581+$AC$62*Volcanic!D581+$AC$63*Volcanic!E581))</f>
        <v>4.1077069413628209E-2</v>
      </c>
      <c r="AS581" s="47">
        <f>IF(AQ581="","",AQ581-($AD$60+$AD$61*Volcanic!C581+$AD$62*Volcanic!D581+$AD$63*Volcanic!E581))</f>
        <v>3.0444609142913248E-2</v>
      </c>
    </row>
    <row r="582" spans="1:45">
      <c r="A582" s="45" t="str">
        <f>Volcanic!A582</f>
        <v>7/2006</v>
      </c>
      <c r="B582" s="43">
        <f>Volcanic!B582</f>
        <v>0.53999999999999915</v>
      </c>
      <c r="C582" s="47">
        <f>Volcanic!C582</f>
        <v>0.45059857249129948</v>
      </c>
      <c r="D582" s="41">
        <v>0.1</v>
      </c>
      <c r="E582" s="43">
        <f t="shared" si="138"/>
        <v>-0.4</v>
      </c>
      <c r="F582" s="48">
        <v>5.5100000000000001E-3</v>
      </c>
      <c r="G582" s="47">
        <f t="shared" si="125"/>
        <v>4.5599999999999998E-3</v>
      </c>
      <c r="H582" s="43">
        <f>Volcanic!D582</f>
        <v>-0.45</v>
      </c>
      <c r="I582" s="47">
        <f>Volcanic!E582</f>
        <v>5.94E-3</v>
      </c>
      <c r="K582" s="47">
        <f t="shared" si="126"/>
        <v>0.45059857249129948</v>
      </c>
      <c r="L582" s="47">
        <f t="shared" si="127"/>
        <v>-0.4</v>
      </c>
      <c r="M582" s="47">
        <f t="shared" si="128"/>
        <v>5.94E-3</v>
      </c>
      <c r="O582" s="47">
        <f t="shared" si="129"/>
        <v>0.45059857249129948</v>
      </c>
      <c r="P582" s="47">
        <f t="shared" si="130"/>
        <v>-0.45</v>
      </c>
      <c r="Q582" s="47">
        <f t="shared" si="131"/>
        <v>4.5599999999999998E-3</v>
      </c>
      <c r="S582" s="47">
        <f t="shared" si="132"/>
        <v>0.45059857249129948</v>
      </c>
      <c r="T582" s="47">
        <f t="shared" si="133"/>
        <v>-0.4</v>
      </c>
      <c r="U582" s="47">
        <f t="shared" si="134"/>
        <v>4.5599999999999998E-3</v>
      </c>
      <c r="W582" s="47">
        <f t="shared" si="135"/>
        <v>-7.814421845566677E-2</v>
      </c>
      <c r="X582" s="47">
        <f t="shared" si="136"/>
        <v>-7.1967462924250825E-2</v>
      </c>
      <c r="Y582" s="47">
        <f t="shared" si="137"/>
        <v>-7.6299467782123931E-2</v>
      </c>
      <c r="AP582" s="48">
        <v>0.55110000000000003</v>
      </c>
      <c r="AQ582" s="48">
        <v>0.45569999999999999</v>
      </c>
      <c r="AR582" s="47">
        <f>IF(AP582="","",AP582-($AC$60+$AC$61*Volcanic!C582+$AC$62*Volcanic!D582+$AC$63*Volcanic!E582))</f>
        <v>-5.4458049806006659E-2</v>
      </c>
      <c r="AS582" s="47">
        <f>IF(AQ582="","",AQ582-($AD$60+$AD$61*Volcanic!C582+$AD$62*Volcanic!D582+$AD$63*Volcanic!E582))</f>
        <v>-0.17187148534028818</v>
      </c>
    </row>
    <row r="583" spans="1:45">
      <c r="A583" s="45" t="str">
        <f>Volcanic!A583</f>
        <v>8/2006</v>
      </c>
      <c r="B583" s="43">
        <f>Volcanic!B583</f>
        <v>0.71000000000000085</v>
      </c>
      <c r="C583" s="47">
        <f>Volcanic!C583</f>
        <v>0.44284873444169331</v>
      </c>
      <c r="D583" s="41">
        <v>0.3</v>
      </c>
      <c r="E583" s="43">
        <f t="shared" si="138"/>
        <v>-0.2</v>
      </c>
      <c r="F583" s="48">
        <v>5.8399999999999997E-3</v>
      </c>
      <c r="G583" s="47">
        <f t="shared" si="125"/>
        <v>4.4799999999999996E-3</v>
      </c>
      <c r="H583" s="43">
        <f>Volcanic!D583</f>
        <v>-0.19</v>
      </c>
      <c r="I583" s="47">
        <f>Volcanic!E583</f>
        <v>6.1000000000000004E-3</v>
      </c>
      <c r="K583" s="47">
        <f t="shared" si="126"/>
        <v>0.44284873444169331</v>
      </c>
      <c r="L583" s="47">
        <f t="shared" si="127"/>
        <v>-0.2</v>
      </c>
      <c r="M583" s="47">
        <f t="shared" si="128"/>
        <v>6.1000000000000004E-3</v>
      </c>
      <c r="O583" s="47">
        <f t="shared" si="129"/>
        <v>0.44284873444169331</v>
      </c>
      <c r="P583" s="47">
        <f t="shared" si="130"/>
        <v>-0.19</v>
      </c>
      <c r="Q583" s="47">
        <f t="shared" si="131"/>
        <v>4.4799999999999996E-3</v>
      </c>
      <c r="S583" s="47">
        <f t="shared" si="132"/>
        <v>0.44284873444169331</v>
      </c>
      <c r="T583" s="47">
        <f t="shared" si="133"/>
        <v>-0.2</v>
      </c>
      <c r="U583" s="47">
        <f t="shared" si="134"/>
        <v>4.4799999999999996E-3</v>
      </c>
      <c r="W583" s="47">
        <f t="shared" si="135"/>
        <v>9.4768657916920573E-2</v>
      </c>
      <c r="X583" s="47">
        <f t="shared" si="136"/>
        <v>9.4352406718734017E-2</v>
      </c>
      <c r="Y583" s="47">
        <f t="shared" si="137"/>
        <v>9.5638992469193718E-2</v>
      </c>
      <c r="AP583" s="48">
        <v>0.70620000000000005</v>
      </c>
      <c r="AQ583" s="48">
        <v>0.73070000000000002</v>
      </c>
      <c r="AR583" s="47">
        <f>IF(AP583="","",AP583-($AC$60+$AC$61*Volcanic!C583+$AC$62*Volcanic!D583+$AC$63*Volcanic!E583))</f>
        <v>9.7840986435328237E-2</v>
      </c>
      <c r="AS583" s="47">
        <f>IF(AQ583="","",AQ583-($AD$60+$AD$61*Volcanic!C583+$AD$62*Volcanic!D583+$AD$63*Volcanic!E583))</f>
        <v>0.10035471122735584</v>
      </c>
    </row>
    <row r="584" spans="1:45">
      <c r="A584" s="45" t="str">
        <f>Volcanic!A584</f>
        <v>9/2006</v>
      </c>
      <c r="B584" s="43">
        <f>Volcanic!B584</f>
        <v>0.66000000000000369</v>
      </c>
      <c r="C584" s="47">
        <f>Volcanic!C584</f>
        <v>0.4369232765205403</v>
      </c>
      <c r="D584" s="41">
        <v>0.5</v>
      </c>
      <c r="E584" s="43">
        <f t="shared" si="138"/>
        <v>0</v>
      </c>
      <c r="F584" s="48">
        <v>6.0499999999999998E-3</v>
      </c>
      <c r="G584" s="47">
        <f t="shared" si="125"/>
        <v>4.3800000000000002E-3</v>
      </c>
      <c r="H584" s="43">
        <f>Volcanic!D584</f>
        <v>-0.05</v>
      </c>
      <c r="I584" s="47">
        <f>Volcanic!E584</f>
        <v>6.0000000000000001E-3</v>
      </c>
      <c r="K584" s="47">
        <f t="shared" si="126"/>
        <v>0.4369232765205403</v>
      </c>
      <c r="L584" s="47">
        <f t="shared" si="127"/>
        <v>0</v>
      </c>
      <c r="M584" s="47">
        <f t="shared" si="128"/>
        <v>6.0000000000000001E-3</v>
      </c>
      <c r="O584" s="47">
        <f t="shared" si="129"/>
        <v>0.4369232765205403</v>
      </c>
      <c r="P584" s="47">
        <f t="shared" si="130"/>
        <v>-0.05</v>
      </c>
      <c r="Q584" s="47">
        <f t="shared" si="131"/>
        <v>4.3800000000000002E-3</v>
      </c>
      <c r="S584" s="47">
        <f t="shared" si="132"/>
        <v>0.4369232765205403</v>
      </c>
      <c r="T584" s="47">
        <f t="shared" si="133"/>
        <v>0</v>
      </c>
      <c r="U584" s="47">
        <f t="shared" si="134"/>
        <v>4.3800000000000002E-3</v>
      </c>
      <c r="W584" s="47">
        <f t="shared" si="135"/>
        <v>4.213325846141458E-2</v>
      </c>
      <c r="X584" s="47">
        <f t="shared" si="136"/>
        <v>4.6960007993083419E-2</v>
      </c>
      <c r="Y584" s="47">
        <f t="shared" si="137"/>
        <v>4.2593332937001627E-2</v>
      </c>
      <c r="AP584" s="48">
        <v>0.62029999999999996</v>
      </c>
      <c r="AQ584" s="48">
        <v>0.62870000000000004</v>
      </c>
      <c r="AR584" s="47">
        <f>IF(AP584="","",AP584-($AC$60+$AC$61*Volcanic!C584+$AC$62*Volcanic!D584+$AC$63*Volcanic!E584))</f>
        <v>1.477015560164574E-2</v>
      </c>
      <c r="AS584" s="47">
        <f>IF(AQ584="","",AQ584-($AD$60+$AD$61*Volcanic!C584+$AD$62*Volcanic!D584+$AD$63*Volcanic!E584))</f>
        <v>1.3432417435781385E-3</v>
      </c>
    </row>
    <row r="585" spans="1:45">
      <c r="A585" s="45" t="str">
        <f>Volcanic!A585</f>
        <v>10/2006</v>
      </c>
      <c r="B585" s="43">
        <f>Volcanic!B585</f>
        <v>0.71000000000000085</v>
      </c>
      <c r="C585" s="47">
        <f>Volcanic!C585</f>
        <v>0.43802664712394201</v>
      </c>
      <c r="D585" s="41">
        <v>0.7</v>
      </c>
      <c r="E585" s="43">
        <f t="shared" si="138"/>
        <v>0.1</v>
      </c>
      <c r="F585" s="48">
        <v>6.0499999999999998E-3</v>
      </c>
      <c r="G585" s="47">
        <f t="shared" ref="G585:G648" si="139">IF(F578="","",F578)</f>
        <v>4.3099999999999996E-3</v>
      </c>
      <c r="H585" s="43">
        <f>Volcanic!D585</f>
        <v>0.12</v>
      </c>
      <c r="I585" s="47">
        <f>Volcanic!E585</f>
        <v>5.8199999999999997E-3</v>
      </c>
      <c r="K585" s="47">
        <f t="shared" si="126"/>
        <v>0.43802664712394201</v>
      </c>
      <c r="L585" s="47">
        <f t="shared" si="127"/>
        <v>0.1</v>
      </c>
      <c r="M585" s="47">
        <f t="shared" si="128"/>
        <v>5.8199999999999997E-3</v>
      </c>
      <c r="O585" s="47">
        <f t="shared" si="129"/>
        <v>0.43802664712394201</v>
      </c>
      <c r="P585" s="47">
        <f t="shared" si="130"/>
        <v>0.12</v>
      </c>
      <c r="Q585" s="47">
        <f t="shared" si="131"/>
        <v>4.3099999999999996E-3</v>
      </c>
      <c r="S585" s="47">
        <f t="shared" si="132"/>
        <v>0.43802664712394201</v>
      </c>
      <c r="T585" s="47">
        <f t="shared" si="133"/>
        <v>0.1</v>
      </c>
      <c r="U585" s="47">
        <f t="shared" si="134"/>
        <v>4.3099999999999996E-3</v>
      </c>
      <c r="W585" s="47">
        <f t="shared" si="135"/>
        <v>7.9440234705850488E-2</v>
      </c>
      <c r="X585" s="47">
        <f t="shared" si="136"/>
        <v>7.7824914751309593E-2</v>
      </c>
      <c r="Y585" s="47">
        <f t="shared" si="137"/>
        <v>8.0026396944435918E-2</v>
      </c>
      <c r="AP585" s="48">
        <v>0.68479999999999996</v>
      </c>
      <c r="AQ585" s="48">
        <v>0.68969999999999998</v>
      </c>
      <c r="AR585" s="47">
        <f>IF(AP585="","",AP585-($AC$60+$AC$61*Volcanic!C585+$AC$62*Volcanic!D585+$AC$63*Volcanic!E585))</f>
        <v>5.9904499645090703E-2</v>
      </c>
      <c r="AS585" s="47">
        <f>IF(AQ585="","",AQ585-($AD$60+$AD$61*Volcanic!C585+$AD$62*Volcanic!D585+$AD$63*Volcanic!E585))</f>
        <v>4.2594618804461581E-2</v>
      </c>
    </row>
    <row r="586" spans="1:45">
      <c r="A586" s="45" t="str">
        <f>Volcanic!A586</f>
        <v>11/2006</v>
      </c>
      <c r="B586" s="43">
        <f>Volcanic!B586</f>
        <v>0.7300000000000022</v>
      </c>
      <c r="C586" s="47">
        <f>Volcanic!C586</f>
        <v>0.44190077787897852</v>
      </c>
      <c r="D586" s="41">
        <v>0.9</v>
      </c>
      <c r="E586" s="43">
        <f t="shared" si="138"/>
        <v>0.3</v>
      </c>
      <c r="F586" s="48">
        <v>6.7400000000000003E-3</v>
      </c>
      <c r="G586" s="47">
        <f t="shared" si="139"/>
        <v>4.28E-3</v>
      </c>
      <c r="H586" s="43">
        <f>Volcanic!D586</f>
        <v>0.33</v>
      </c>
      <c r="I586" s="47">
        <f>Volcanic!E586</f>
        <v>5.8599999999999998E-3</v>
      </c>
      <c r="K586" s="47">
        <f t="shared" si="126"/>
        <v>0.44190077787897852</v>
      </c>
      <c r="L586" s="47">
        <f t="shared" si="127"/>
        <v>0.3</v>
      </c>
      <c r="M586" s="47">
        <f t="shared" si="128"/>
        <v>5.8599999999999998E-3</v>
      </c>
      <c r="O586" s="47">
        <f t="shared" si="129"/>
        <v>0.44190077787897852</v>
      </c>
      <c r="P586" s="47">
        <f t="shared" si="130"/>
        <v>0.33</v>
      </c>
      <c r="Q586" s="47">
        <f t="shared" si="131"/>
        <v>4.28E-3</v>
      </c>
      <c r="S586" s="47">
        <f t="shared" si="132"/>
        <v>0.44190077787897852</v>
      </c>
      <c r="T586" s="47">
        <f t="shared" si="133"/>
        <v>0.3</v>
      </c>
      <c r="U586" s="47">
        <f t="shared" si="134"/>
        <v>4.28E-3</v>
      </c>
      <c r="W586" s="47">
        <f t="shared" si="135"/>
        <v>7.0388374836247602E-2</v>
      </c>
      <c r="X586" s="47">
        <f t="shared" si="136"/>
        <v>6.7545915926804811E-2</v>
      </c>
      <c r="Y586" s="47">
        <f t="shared" si="137"/>
        <v>7.0672852540013653E-2</v>
      </c>
      <c r="AP586" s="48">
        <v>0.73009999999999997</v>
      </c>
      <c r="AQ586" s="48">
        <v>0.69169999999999998</v>
      </c>
      <c r="AR586" s="47">
        <f>IF(AP586="","",AP586-($AC$60+$AC$61*Volcanic!C586+$AC$62*Volcanic!D586+$AC$63*Volcanic!E586))</f>
        <v>7.5056543604398507E-2</v>
      </c>
      <c r="AS586" s="47">
        <f>IF(AQ586="","",AQ586-($AD$60+$AD$61*Volcanic!C586+$AD$62*Volcanic!D586+$AD$63*Volcanic!E586))</f>
        <v>1.3766698847442083E-2</v>
      </c>
    </row>
    <row r="587" spans="1:45">
      <c r="A587" s="45" t="str">
        <f>Volcanic!A587</f>
        <v>12/2006</v>
      </c>
      <c r="B587" s="43">
        <f>Volcanic!B587</f>
        <v>0.79000000000000092</v>
      </c>
      <c r="C587" s="47">
        <f>Volcanic!C587</f>
        <v>0.44822134288530163</v>
      </c>
      <c r="D587" s="41">
        <v>0.9</v>
      </c>
      <c r="E587" s="43">
        <f t="shared" si="138"/>
        <v>0.5</v>
      </c>
      <c r="F587" s="48">
        <v>6.9499999999999996E-3</v>
      </c>
      <c r="G587" s="47">
        <f t="shared" si="139"/>
        <v>4.3499999999999997E-3</v>
      </c>
      <c r="H587" s="43">
        <f>Volcanic!D587</f>
        <v>0.54</v>
      </c>
      <c r="I587" s="47">
        <f>Volcanic!E587</f>
        <v>5.8300000000000001E-3</v>
      </c>
      <c r="K587" s="47">
        <f t="shared" si="126"/>
        <v>0.44822134288530163</v>
      </c>
      <c r="L587" s="47">
        <f t="shared" si="127"/>
        <v>0.5</v>
      </c>
      <c r="M587" s="47">
        <f t="shared" si="128"/>
        <v>5.8300000000000001E-3</v>
      </c>
      <c r="O587" s="47">
        <f t="shared" si="129"/>
        <v>0.44822134288530163</v>
      </c>
      <c r="P587" s="47">
        <f t="shared" si="130"/>
        <v>0.54</v>
      </c>
      <c r="Q587" s="47">
        <f t="shared" si="131"/>
        <v>4.3499999999999997E-3</v>
      </c>
      <c r="S587" s="47">
        <f t="shared" si="132"/>
        <v>0.44822134288530163</v>
      </c>
      <c r="T587" s="47">
        <f t="shared" si="133"/>
        <v>0.5</v>
      </c>
      <c r="U587" s="47">
        <f t="shared" si="134"/>
        <v>4.3499999999999997E-3</v>
      </c>
      <c r="W587" s="47">
        <f t="shared" si="135"/>
        <v>9.4510473633410585E-2</v>
      </c>
      <c r="X587" s="47">
        <f t="shared" si="136"/>
        <v>9.0914064624253665E-2</v>
      </c>
      <c r="Y587" s="47">
        <f t="shared" si="137"/>
        <v>9.4967504489498755E-2</v>
      </c>
      <c r="AP587" s="48">
        <v>0.78480000000000005</v>
      </c>
      <c r="AQ587" s="48">
        <v>0.8347</v>
      </c>
      <c r="AR587" s="47">
        <f>IF(AP587="","",AP587-($AC$60+$AC$61*Volcanic!C587+$AC$62*Volcanic!D587+$AC$63*Volcanic!E587))</f>
        <v>9.275990037467563E-2</v>
      </c>
      <c r="AS587" s="47">
        <f>IF(AQ587="","",AQ587-($AD$60+$AD$61*Volcanic!C587+$AD$62*Volcanic!D587+$AD$63*Volcanic!E587))</f>
        <v>0.11892625394187128</v>
      </c>
    </row>
    <row r="588" spans="1:45">
      <c r="A588" s="45" t="str">
        <f>Volcanic!A588</f>
        <v>1/2007</v>
      </c>
      <c r="B588" s="43">
        <f>Volcanic!B588</f>
        <v>1.0099999999999998</v>
      </c>
      <c r="C588" s="47">
        <f>Volcanic!C588</f>
        <v>0.45229419859155129</v>
      </c>
      <c r="D588" s="41">
        <v>0.6</v>
      </c>
      <c r="E588" s="43">
        <f t="shared" si="138"/>
        <v>0.7</v>
      </c>
      <c r="F588" s="48">
        <v>6.6600000000000001E-3</v>
      </c>
      <c r="G588" s="47">
        <f t="shared" si="139"/>
        <v>4.9199999999999999E-3</v>
      </c>
      <c r="H588" s="43">
        <f>Volcanic!D588</f>
        <v>0.71</v>
      </c>
      <c r="I588" s="47">
        <f>Volcanic!E588</f>
        <v>6.3200000000000001E-3</v>
      </c>
      <c r="K588" s="47">
        <f t="shared" si="126"/>
        <v>0.45229419859155129</v>
      </c>
      <c r="L588" s="47">
        <f t="shared" si="127"/>
        <v>0.7</v>
      </c>
      <c r="M588" s="47">
        <f t="shared" si="128"/>
        <v>6.3200000000000001E-3</v>
      </c>
      <c r="O588" s="47">
        <f t="shared" si="129"/>
        <v>0.45229419859155129</v>
      </c>
      <c r="P588" s="47">
        <f t="shared" si="130"/>
        <v>0.71</v>
      </c>
      <c r="Q588" s="47">
        <f t="shared" si="131"/>
        <v>4.9199999999999999E-3</v>
      </c>
      <c r="S588" s="47">
        <f t="shared" si="132"/>
        <v>0.45229419859155129</v>
      </c>
      <c r="T588" s="47">
        <f t="shared" si="133"/>
        <v>0.7</v>
      </c>
      <c r="U588" s="47">
        <f t="shared" si="134"/>
        <v>4.9199999999999999E-3</v>
      </c>
      <c r="W588" s="47">
        <f t="shared" si="135"/>
        <v>0.2859082471606712</v>
      </c>
      <c r="X588" s="47">
        <f t="shared" si="136"/>
        <v>0.28542289593158909</v>
      </c>
      <c r="Y588" s="47">
        <f t="shared" si="137"/>
        <v>0.2866462524080492</v>
      </c>
      <c r="AP588" s="48">
        <v>0.96399999999999997</v>
      </c>
      <c r="AQ588" s="48">
        <v>0.97970000000000002</v>
      </c>
      <c r="AR588" s="47">
        <f>IF(AP588="","",AP588-($AC$60+$AC$61*Volcanic!C588+$AC$62*Volcanic!D588+$AC$63*Volcanic!E588))</f>
        <v>0.24609789854882191</v>
      </c>
      <c r="AS588" s="47">
        <f>IF(AQ588="","",AQ588-($AD$60+$AD$61*Volcanic!C588+$AD$62*Volcanic!D588+$AD$63*Volcanic!E588))</f>
        <v>0.23739496005925953</v>
      </c>
    </row>
    <row r="589" spans="1:45">
      <c r="A589" s="45" t="str">
        <f>Volcanic!A589</f>
        <v>2/2007</v>
      </c>
      <c r="B589" s="43">
        <f>Volcanic!B589</f>
        <v>0.70000000000000107</v>
      </c>
      <c r="C589" s="47">
        <f>Volcanic!C589</f>
        <v>0.45613025554704617</v>
      </c>
      <c r="D589" s="41">
        <v>0.2</v>
      </c>
      <c r="E589" s="43">
        <f t="shared" si="138"/>
        <v>0.9</v>
      </c>
      <c r="F589" s="48">
        <v>6.5300000000000002E-3</v>
      </c>
      <c r="G589" s="47">
        <f t="shared" si="139"/>
        <v>5.5100000000000001E-3</v>
      </c>
      <c r="H589" s="43">
        <f>Volcanic!D589</f>
        <v>0.88</v>
      </c>
      <c r="I589" s="47">
        <f>Volcanic!E589</f>
        <v>6.8300000000000001E-3</v>
      </c>
      <c r="K589" s="47">
        <f t="shared" si="126"/>
        <v>0.45613025554704617</v>
      </c>
      <c r="L589" s="47">
        <f t="shared" si="127"/>
        <v>0.9</v>
      </c>
      <c r="M589" s="47">
        <f t="shared" si="128"/>
        <v>6.8300000000000001E-3</v>
      </c>
      <c r="O589" s="47">
        <f t="shared" si="129"/>
        <v>0.45613025554704617</v>
      </c>
      <c r="P589" s="47">
        <f t="shared" si="130"/>
        <v>0.88</v>
      </c>
      <c r="Q589" s="47">
        <f t="shared" si="131"/>
        <v>5.5100000000000001E-3</v>
      </c>
      <c r="S589" s="47">
        <f t="shared" si="132"/>
        <v>0.45613025554704617</v>
      </c>
      <c r="T589" s="47">
        <f t="shared" si="133"/>
        <v>0.9</v>
      </c>
      <c r="U589" s="47">
        <f t="shared" si="134"/>
        <v>5.5100000000000001E-3</v>
      </c>
      <c r="W589" s="47">
        <f t="shared" si="135"/>
        <v>-5.2004122961635701E-2</v>
      </c>
      <c r="X589" s="47">
        <f t="shared" si="136"/>
        <v>-4.9375813641440502E-2</v>
      </c>
      <c r="Y589" s="47">
        <f t="shared" si="137"/>
        <v>-5.0982550592954645E-2</v>
      </c>
      <c r="AP589" s="48">
        <v>0.70530000000000004</v>
      </c>
      <c r="AQ589" s="48">
        <v>0.75670000000000004</v>
      </c>
      <c r="AR589" s="47">
        <f>IF(AP589="","",AP589-($AC$60+$AC$61*Volcanic!C589+$AC$62*Volcanic!D589+$AC$63*Volcanic!E589))</f>
        <v>-3.7769374685803769E-2</v>
      </c>
      <c r="AS589" s="47">
        <f>IF(AQ589="","",AQ589-($AD$60+$AD$61*Volcanic!C589+$AD$62*Volcanic!D589+$AD$63*Volcanic!E589))</f>
        <v>-1.1427278793736728E-2</v>
      </c>
    </row>
    <row r="590" spans="1:45">
      <c r="A590" s="45" t="str">
        <f>Volcanic!A590</f>
        <v>3/2007</v>
      </c>
      <c r="B590" s="43">
        <f>Volcanic!B590</f>
        <v>0.71000000000000085</v>
      </c>
      <c r="C590" s="47">
        <f>Volcanic!C590</f>
        <v>0.45871946352542553</v>
      </c>
      <c r="D590" s="41">
        <v>-0.1</v>
      </c>
      <c r="E590" s="43">
        <f t="shared" si="138"/>
        <v>0.9</v>
      </c>
      <c r="F590" s="48">
        <v>6.1000000000000004E-3</v>
      </c>
      <c r="G590" s="47">
        <f t="shared" si="139"/>
        <v>5.8399999999999997E-3</v>
      </c>
      <c r="H590" s="43">
        <f>Volcanic!D590</f>
        <v>0.88</v>
      </c>
      <c r="I590" s="47">
        <f>Volcanic!E590</f>
        <v>7.3600000000000002E-3</v>
      </c>
      <c r="K590" s="47">
        <f t="shared" si="126"/>
        <v>0.45871946352542553</v>
      </c>
      <c r="L590" s="47">
        <f t="shared" si="127"/>
        <v>0.9</v>
      </c>
      <c r="M590" s="47">
        <f t="shared" si="128"/>
        <v>7.3600000000000002E-3</v>
      </c>
      <c r="O590" s="47">
        <f t="shared" si="129"/>
        <v>0.45871946352542553</v>
      </c>
      <c r="P590" s="47">
        <f t="shared" si="130"/>
        <v>0.88</v>
      </c>
      <c r="Q590" s="47">
        <f t="shared" si="131"/>
        <v>5.8399999999999997E-3</v>
      </c>
      <c r="S590" s="47">
        <f t="shared" si="132"/>
        <v>0.45871946352542553</v>
      </c>
      <c r="T590" s="47">
        <f t="shared" si="133"/>
        <v>0.9</v>
      </c>
      <c r="U590" s="47">
        <f t="shared" si="134"/>
        <v>5.8399999999999997E-3</v>
      </c>
      <c r="W590" s="47">
        <f t="shared" si="135"/>
        <v>-4.7897414730714738E-2</v>
      </c>
      <c r="X590" s="47">
        <f t="shared" si="136"/>
        <v>-4.5513733123793254E-2</v>
      </c>
      <c r="Y590" s="47">
        <f t="shared" si="137"/>
        <v>-4.7118669091282928E-2</v>
      </c>
      <c r="AP590" s="48">
        <v>0.65800000000000003</v>
      </c>
      <c r="AQ590" s="48">
        <v>0.68469999999999998</v>
      </c>
      <c r="AR590" s="47">
        <f>IF(AP590="","",AP590-($AC$60+$AC$61*Volcanic!C590+$AC$62*Volcanic!D590+$AC$63*Volcanic!E590))</f>
        <v>-9.0864200800380046E-2</v>
      </c>
      <c r="AS590" s="47">
        <f>IF(AQ590="","",AQ590-($AD$60+$AD$61*Volcanic!C590+$AD$62*Volcanic!D590+$AD$63*Volcanic!E590))</f>
        <v>-8.9465484108969817E-2</v>
      </c>
    </row>
    <row r="591" spans="1:45">
      <c r="A591" s="45" t="str">
        <f>Volcanic!A591</f>
        <v>4/2007</v>
      </c>
      <c r="B591" s="43">
        <f>Volcanic!B591</f>
        <v>0.77000000000000135</v>
      </c>
      <c r="C591" s="47">
        <f>Volcanic!C591</f>
        <v>0.46589985649655991</v>
      </c>
      <c r="D591" s="41">
        <v>-0.3</v>
      </c>
      <c r="E591" s="43">
        <f t="shared" si="138"/>
        <v>0.6</v>
      </c>
      <c r="F591" s="48">
        <v>5.79E-3</v>
      </c>
      <c r="G591" s="47">
        <f t="shared" si="139"/>
        <v>6.0499999999999998E-3</v>
      </c>
      <c r="H591" s="43">
        <f>Volcanic!D591</f>
        <v>0.62</v>
      </c>
      <c r="I591" s="47">
        <f>Volcanic!E591</f>
        <v>7.5700000000000003E-3</v>
      </c>
      <c r="K591" s="47">
        <f t="shared" si="126"/>
        <v>0.46589985649655991</v>
      </c>
      <c r="L591" s="47">
        <f t="shared" si="127"/>
        <v>0.6</v>
      </c>
      <c r="M591" s="47">
        <f t="shared" si="128"/>
        <v>7.5700000000000003E-3</v>
      </c>
      <c r="O591" s="47">
        <f t="shared" si="129"/>
        <v>0.46589985649655991</v>
      </c>
      <c r="P591" s="47">
        <f t="shared" si="130"/>
        <v>0.62</v>
      </c>
      <c r="Q591" s="47">
        <f t="shared" si="131"/>
        <v>6.0499999999999998E-3</v>
      </c>
      <c r="S591" s="47">
        <f t="shared" si="132"/>
        <v>0.46589985649655991</v>
      </c>
      <c r="T591" s="47">
        <f t="shared" si="133"/>
        <v>0.6</v>
      </c>
      <c r="U591" s="47">
        <f t="shared" si="134"/>
        <v>6.0499999999999998E-3</v>
      </c>
      <c r="W591" s="47">
        <f t="shared" si="135"/>
        <v>2.0845307103794397E-2</v>
      </c>
      <c r="X591" s="47">
        <f t="shared" si="136"/>
        <v>2.0045594647347675E-2</v>
      </c>
      <c r="Y591" s="47">
        <f t="shared" si="137"/>
        <v>2.2223408642459752E-2</v>
      </c>
      <c r="AP591" s="48">
        <v>0.79279999999999995</v>
      </c>
      <c r="AQ591" s="48">
        <v>0.86670000000000003</v>
      </c>
      <c r="AR591" s="47">
        <f>IF(AP591="","",AP591-($AC$60+$AC$61*Volcanic!C591+$AC$62*Volcanic!D591+$AC$63*Volcanic!E591))</f>
        <v>4.9181988403370624E-2</v>
      </c>
      <c r="AS591" s="47">
        <f>IF(AQ591="","",AQ591-($AD$60+$AD$61*Volcanic!C591+$AD$62*Volcanic!D591+$AD$63*Volcanic!E591))</f>
        <v>9.7750705613352862E-2</v>
      </c>
    </row>
    <row r="592" spans="1:45">
      <c r="A592" s="45" t="str">
        <f>Volcanic!A592</f>
        <v>5/2007</v>
      </c>
      <c r="B592" s="43">
        <f>Volcanic!B592</f>
        <v>0.69000000000000128</v>
      </c>
      <c r="C592" s="47">
        <f>Volcanic!C592</f>
        <v>0.46608636928151376</v>
      </c>
      <c r="D592" s="41">
        <v>-0.3</v>
      </c>
      <c r="E592" s="43">
        <f t="shared" si="138"/>
        <v>0.2</v>
      </c>
      <c r="F592" s="48">
        <v>5.5100000000000001E-3</v>
      </c>
      <c r="G592" s="47">
        <f t="shared" si="139"/>
        <v>6.0499999999999998E-3</v>
      </c>
      <c r="H592" s="43">
        <f>Volcanic!D592</f>
        <v>0.19</v>
      </c>
      <c r="I592" s="47">
        <f>Volcanic!E592</f>
        <v>7.4999999999999997E-3</v>
      </c>
      <c r="K592" s="47">
        <f t="shared" si="126"/>
        <v>0.46608636928151376</v>
      </c>
      <c r="L592" s="47">
        <f t="shared" si="127"/>
        <v>0.2</v>
      </c>
      <c r="M592" s="47">
        <f t="shared" si="128"/>
        <v>7.4999999999999997E-3</v>
      </c>
      <c r="O592" s="47">
        <f t="shared" si="129"/>
        <v>0.46608636928151376</v>
      </c>
      <c r="P592" s="47">
        <f t="shared" si="130"/>
        <v>0.19</v>
      </c>
      <c r="Q592" s="47">
        <f t="shared" si="131"/>
        <v>6.0499999999999998E-3</v>
      </c>
      <c r="S592" s="47">
        <f t="shared" si="132"/>
        <v>0.46608636928151376</v>
      </c>
      <c r="T592" s="47">
        <f t="shared" si="133"/>
        <v>0.2</v>
      </c>
      <c r="U592" s="47">
        <f t="shared" si="134"/>
        <v>6.0499999999999998E-3</v>
      </c>
      <c r="W592" s="47">
        <f t="shared" si="135"/>
        <v>-2.2668262208062728E-2</v>
      </c>
      <c r="X592" s="47">
        <f t="shared" si="136"/>
        <v>-2.0066098318744174E-2</v>
      </c>
      <c r="Y592" s="47">
        <f t="shared" si="137"/>
        <v>-2.0676337871419426E-2</v>
      </c>
      <c r="AP592" s="48">
        <v>0.64739999999999998</v>
      </c>
      <c r="AQ592" s="48">
        <v>0.70469999999999999</v>
      </c>
      <c r="AR592" s="47">
        <f>IF(AP592="","",AP592-($AC$60+$AC$61*Volcanic!C592+$AC$62*Volcanic!D592+$AC$63*Volcanic!E592))</f>
        <v>-5.6628345418564985E-2</v>
      </c>
      <c r="AS592" s="47">
        <f>IF(AQ592="","",AQ592-($AD$60+$AD$61*Volcanic!C592+$AD$62*Volcanic!D592+$AD$63*Volcanic!E592))</f>
        <v>-2.3839359662498505E-2</v>
      </c>
    </row>
    <row r="593" spans="1:45">
      <c r="A593" s="45" t="str">
        <f>Volcanic!A593</f>
        <v>6/2007</v>
      </c>
      <c r="B593" s="43">
        <f>Volcanic!B593</f>
        <v>0.61000000000000121</v>
      </c>
      <c r="C593" s="47">
        <f>Volcanic!C593</f>
        <v>0.4644068855296089</v>
      </c>
      <c r="D593" s="41">
        <v>-0.4</v>
      </c>
      <c r="E593" s="43">
        <f t="shared" si="138"/>
        <v>-0.1</v>
      </c>
      <c r="F593" s="48">
        <v>5.4400000000000004E-3</v>
      </c>
      <c r="G593" s="47">
        <f t="shared" si="139"/>
        <v>6.7400000000000003E-3</v>
      </c>
      <c r="H593" s="43">
        <f>Volcanic!D593</f>
        <v>-0.12</v>
      </c>
      <c r="I593" s="47">
        <f>Volcanic!E593</f>
        <v>8.3800000000000003E-3</v>
      </c>
      <c r="K593" s="47">
        <f t="shared" si="126"/>
        <v>0.4644068855296089</v>
      </c>
      <c r="L593" s="47">
        <f t="shared" si="127"/>
        <v>-0.1</v>
      </c>
      <c r="M593" s="47">
        <f t="shared" si="128"/>
        <v>8.3800000000000003E-3</v>
      </c>
      <c r="O593" s="47">
        <f t="shared" si="129"/>
        <v>0.4644068855296089</v>
      </c>
      <c r="P593" s="47">
        <f t="shared" si="130"/>
        <v>-0.12</v>
      </c>
      <c r="Q593" s="47">
        <f t="shared" si="131"/>
        <v>6.7400000000000003E-3</v>
      </c>
      <c r="S593" s="47">
        <f t="shared" si="132"/>
        <v>0.4644068855296089</v>
      </c>
      <c r="T593" s="47">
        <f t="shared" si="133"/>
        <v>-0.1</v>
      </c>
      <c r="U593" s="47">
        <f t="shared" si="134"/>
        <v>6.7400000000000003E-3</v>
      </c>
      <c r="W593" s="47">
        <f t="shared" si="135"/>
        <v>-6.8286960683005105E-2</v>
      </c>
      <c r="X593" s="47">
        <f t="shared" si="136"/>
        <v>-6.4602465683595622E-2</v>
      </c>
      <c r="Y593" s="47">
        <f t="shared" si="137"/>
        <v>-6.6127967079126715E-2</v>
      </c>
      <c r="AP593" s="48">
        <v>0.57210000000000005</v>
      </c>
      <c r="AQ593" s="48">
        <v>0.60270000000000001</v>
      </c>
      <c r="AR593" s="47">
        <f>IF(AP593="","",AP593-($AC$60+$AC$61*Volcanic!C593+$AC$62*Volcanic!D593+$AC$63*Volcanic!E593))</f>
        <v>-9.6194895869086139E-2</v>
      </c>
      <c r="AS593" s="47">
        <f>IF(AQ593="","",AQ593-($AD$60+$AD$61*Volcanic!C593+$AD$62*Volcanic!D593+$AD$63*Volcanic!E593))</f>
        <v>-8.9494850223766242E-2</v>
      </c>
    </row>
    <row r="594" spans="1:45">
      <c r="A594" s="45" t="str">
        <f>Volcanic!A594</f>
        <v>7/2007</v>
      </c>
      <c r="B594" s="43">
        <f>Volcanic!B594</f>
        <v>0.60000000000000142</v>
      </c>
      <c r="C594" s="47">
        <f>Volcanic!C594</f>
        <v>0.45841950353975386</v>
      </c>
      <c r="D594" s="41">
        <v>-0.5</v>
      </c>
      <c r="E594" s="43">
        <f t="shared" si="138"/>
        <v>-0.3</v>
      </c>
      <c r="F594" s="48">
        <v>5.4400000000000004E-3</v>
      </c>
      <c r="G594" s="47">
        <f t="shared" si="139"/>
        <v>6.9499999999999996E-3</v>
      </c>
      <c r="H594" s="43">
        <f>Volcanic!D594</f>
        <v>-0.32</v>
      </c>
      <c r="I594" s="47">
        <f>Volcanic!E594</f>
        <v>8.8000000000000005E-3</v>
      </c>
      <c r="K594" s="47">
        <f t="shared" si="126"/>
        <v>0.45841950353975386</v>
      </c>
      <c r="L594" s="47">
        <f t="shared" si="127"/>
        <v>-0.3</v>
      </c>
      <c r="M594" s="47">
        <f t="shared" si="128"/>
        <v>8.8000000000000005E-3</v>
      </c>
      <c r="O594" s="47">
        <f t="shared" si="129"/>
        <v>0.45841950353975386</v>
      </c>
      <c r="P594" s="47">
        <f t="shared" si="130"/>
        <v>-0.32</v>
      </c>
      <c r="Q594" s="47">
        <f t="shared" si="131"/>
        <v>6.9499999999999996E-3</v>
      </c>
      <c r="S594" s="47">
        <f t="shared" si="132"/>
        <v>0.45841950353975386</v>
      </c>
      <c r="T594" s="47">
        <f t="shared" si="133"/>
        <v>-0.3</v>
      </c>
      <c r="U594" s="47">
        <f t="shared" si="134"/>
        <v>6.9499999999999996E-3</v>
      </c>
      <c r="W594" s="47">
        <f t="shared" si="135"/>
        <v>-4.2458324975263251E-2</v>
      </c>
      <c r="X594" s="47">
        <f t="shared" si="136"/>
        <v>-3.9079192124098272E-2</v>
      </c>
      <c r="Y594" s="47">
        <f t="shared" si="137"/>
        <v>-4.0590871024116404E-2</v>
      </c>
      <c r="AP594" s="48">
        <v>0.63480000000000003</v>
      </c>
      <c r="AQ594" s="48">
        <v>0.62570000000000003</v>
      </c>
      <c r="AR594" s="47">
        <f>IF(AP594="","",AP594-($AC$60+$AC$61*Volcanic!C594+$AC$62*Volcanic!D594+$AC$63*Volcanic!E594))</f>
        <v>2.5939222169334419E-3</v>
      </c>
      <c r="AS594" s="47">
        <f>IF(AQ594="","",AQ594-($AD$60+$AD$61*Volcanic!C594+$AD$62*Volcanic!D594+$AD$63*Volcanic!E594))</f>
        <v>-2.9650019727524124E-2</v>
      </c>
    </row>
    <row r="595" spans="1:45">
      <c r="A595" s="45" t="str">
        <f>Volcanic!A595</f>
        <v>8/2007</v>
      </c>
      <c r="B595" s="43">
        <f>Volcanic!B595</f>
        <v>0.60000000000000142</v>
      </c>
      <c r="C595" s="47">
        <f>Volcanic!C595</f>
        <v>0.44905193173664115</v>
      </c>
      <c r="D595" s="41">
        <v>-0.8</v>
      </c>
      <c r="E595" s="43">
        <f t="shared" si="138"/>
        <v>-0.3</v>
      </c>
      <c r="F595" s="48">
        <v>5.5100000000000001E-3</v>
      </c>
      <c r="G595" s="47">
        <f t="shared" si="139"/>
        <v>6.6600000000000001E-3</v>
      </c>
      <c r="H595" s="43">
        <f>Volcanic!D595</f>
        <v>-0.34</v>
      </c>
      <c r="I595" s="47">
        <f>Volcanic!E595</f>
        <v>8.9800000000000001E-3</v>
      </c>
      <c r="K595" s="47">
        <f t="shared" si="126"/>
        <v>0.44905193173664115</v>
      </c>
      <c r="L595" s="47">
        <f t="shared" si="127"/>
        <v>-0.3</v>
      </c>
      <c r="M595" s="47">
        <f t="shared" si="128"/>
        <v>8.9800000000000001E-3</v>
      </c>
      <c r="O595" s="47">
        <f t="shared" si="129"/>
        <v>0.44905193173664115</v>
      </c>
      <c r="P595" s="47">
        <f t="shared" si="130"/>
        <v>-0.34</v>
      </c>
      <c r="Q595" s="47">
        <f t="shared" si="131"/>
        <v>6.6600000000000001E-3</v>
      </c>
      <c r="S595" s="47">
        <f t="shared" si="132"/>
        <v>0.44905193173664115</v>
      </c>
      <c r="T595" s="47">
        <f t="shared" si="133"/>
        <v>-0.3</v>
      </c>
      <c r="U595" s="47">
        <f t="shared" si="134"/>
        <v>6.6600000000000001E-3</v>
      </c>
      <c r="W595" s="47">
        <f t="shared" si="135"/>
        <v>-1.6514911617312555E-2</v>
      </c>
      <c r="X595" s="47">
        <f t="shared" si="136"/>
        <v>-1.2632198352397928E-2</v>
      </c>
      <c r="Y595" s="47">
        <f t="shared" si="137"/>
        <v>-1.6026330612882833E-2</v>
      </c>
      <c r="AP595" s="48">
        <v>0.65469999999999995</v>
      </c>
      <c r="AQ595" s="48">
        <v>0.62670000000000003</v>
      </c>
      <c r="AR595" s="47">
        <f>IF(AP595="","",AP595-($AC$60+$AC$61*Volcanic!C595+$AC$62*Volcanic!D595+$AC$63*Volcanic!E595))</f>
        <v>5.0379107683414692E-2</v>
      </c>
      <c r="AS595" s="47">
        <f>IF(AQ595="","",AQ595-($AD$60+$AD$61*Volcanic!C595+$AD$62*Volcanic!D595+$AD$63*Volcanic!E595))</f>
        <v>-8.8904816245682916E-5</v>
      </c>
    </row>
    <row r="596" spans="1:45">
      <c r="A596" s="45" t="str">
        <f>Volcanic!A596</f>
        <v>9/2007</v>
      </c>
      <c r="B596" s="43">
        <f>Volcanic!B596</f>
        <v>0.60000000000000142</v>
      </c>
      <c r="C596" s="47">
        <f>Volcanic!C596</f>
        <v>0.44512129207761308</v>
      </c>
      <c r="D596" s="41">
        <v>-1</v>
      </c>
      <c r="E596" s="43">
        <f t="shared" si="138"/>
        <v>-0.4</v>
      </c>
      <c r="F596" s="48">
        <v>5.47E-3</v>
      </c>
      <c r="G596" s="47">
        <f t="shared" si="139"/>
        <v>6.5300000000000002E-3</v>
      </c>
      <c r="H596" s="43">
        <f>Volcanic!D596</f>
        <v>-0.41</v>
      </c>
      <c r="I596" s="47">
        <f>Volcanic!E596</f>
        <v>8.9300000000000004E-3</v>
      </c>
      <c r="K596" s="47">
        <f t="shared" si="126"/>
        <v>0.44512129207761308</v>
      </c>
      <c r="L596" s="47">
        <f t="shared" si="127"/>
        <v>-0.4</v>
      </c>
      <c r="M596" s="47">
        <f t="shared" si="128"/>
        <v>8.9300000000000004E-3</v>
      </c>
      <c r="O596" s="47">
        <f t="shared" si="129"/>
        <v>0.44512129207761308</v>
      </c>
      <c r="P596" s="47">
        <f t="shared" si="130"/>
        <v>-0.41</v>
      </c>
      <c r="Q596" s="47">
        <f t="shared" si="131"/>
        <v>6.5300000000000002E-3</v>
      </c>
      <c r="S596" s="47">
        <f t="shared" si="132"/>
        <v>0.44512129207761308</v>
      </c>
      <c r="T596" s="47">
        <f t="shared" si="133"/>
        <v>-0.4</v>
      </c>
      <c r="U596" s="47">
        <f t="shared" si="134"/>
        <v>6.5300000000000002E-3</v>
      </c>
      <c r="W596" s="47">
        <f t="shared" si="135"/>
        <v>3.3816898198570922E-3</v>
      </c>
      <c r="X596" s="47">
        <f t="shared" si="136"/>
        <v>4.2304706545506221E-3</v>
      </c>
      <c r="Y596" s="47">
        <f t="shared" si="137"/>
        <v>3.6603271745473398E-3</v>
      </c>
      <c r="AP596" s="48">
        <v>0.58169999999999999</v>
      </c>
      <c r="AQ596" s="48">
        <v>0.59770000000000001</v>
      </c>
      <c r="AR596" s="47">
        <f>IF(AP596="","",AP596-($AC$60+$AC$61*Volcanic!C596+$AC$62*Volcanic!D596+$AC$63*Volcanic!E596))</f>
        <v>-5.4530087767628022E-3</v>
      </c>
      <c r="AS596" s="47">
        <f>IF(AQ596="","",AQ596-($AD$60+$AD$61*Volcanic!C596+$AD$62*Volcanic!D596+$AD$63*Volcanic!E596))</f>
        <v>-1.150461925301316E-2</v>
      </c>
    </row>
    <row r="597" spans="1:45">
      <c r="A597" s="45" t="str">
        <f>Volcanic!A597</f>
        <v>10/2007</v>
      </c>
      <c r="B597" s="43">
        <f>Volcanic!B597</f>
        <v>0.58999999999999986</v>
      </c>
      <c r="C597" s="47">
        <f>Volcanic!C597</f>
        <v>0.44576453312043945</v>
      </c>
      <c r="D597" s="41">
        <v>-1.4</v>
      </c>
      <c r="E597" s="43">
        <f t="shared" si="138"/>
        <v>-0.5</v>
      </c>
      <c r="F597" s="48">
        <v>5.3400000000000001E-3</v>
      </c>
      <c r="G597" s="47">
        <f t="shared" si="139"/>
        <v>6.1000000000000004E-3</v>
      </c>
      <c r="H597" s="43">
        <f>Volcanic!D597</f>
        <v>-0.49</v>
      </c>
      <c r="I597" s="47">
        <f>Volcanic!E597</f>
        <v>8.1600000000000006E-3</v>
      </c>
      <c r="K597" s="47">
        <f t="shared" si="126"/>
        <v>0.44576453312043945</v>
      </c>
      <c r="L597" s="47">
        <f t="shared" si="127"/>
        <v>-0.5</v>
      </c>
      <c r="M597" s="47">
        <f t="shared" si="128"/>
        <v>8.1600000000000006E-3</v>
      </c>
      <c r="O597" s="47">
        <f t="shared" si="129"/>
        <v>0.44576453312043945</v>
      </c>
      <c r="P597" s="47">
        <f t="shared" si="130"/>
        <v>-0.49</v>
      </c>
      <c r="Q597" s="47">
        <f t="shared" si="131"/>
        <v>6.1000000000000004E-3</v>
      </c>
      <c r="S597" s="47">
        <f t="shared" si="132"/>
        <v>0.44576453312043945</v>
      </c>
      <c r="T597" s="47">
        <f t="shared" si="133"/>
        <v>-0.5</v>
      </c>
      <c r="U597" s="47">
        <f t="shared" si="134"/>
        <v>6.1000000000000004E-3</v>
      </c>
      <c r="W597" s="47">
        <f t="shared" si="135"/>
        <v>-7.8190816038192779E-4</v>
      </c>
      <c r="X597" s="47">
        <f t="shared" si="136"/>
        <v>-1.1171709261554863E-3</v>
      </c>
      <c r="Y597" s="47">
        <f t="shared" si="137"/>
        <v>1.977724803894354E-4</v>
      </c>
      <c r="AP597" s="48">
        <v>0.62870000000000004</v>
      </c>
      <c r="AQ597" s="48">
        <v>0.62170000000000003</v>
      </c>
      <c r="AR597" s="47">
        <f>IF(AP597="","",AP597-($AC$60+$AC$61*Volcanic!C597+$AC$62*Volcanic!D597+$AC$63*Volcanic!E597))</f>
        <v>4.5429385904048658E-2</v>
      </c>
      <c r="AS597" s="47">
        <f>IF(AQ597="","",AQ597-($AD$60+$AD$61*Volcanic!C597+$AD$62*Volcanic!D597+$AD$63*Volcanic!E597))</f>
        <v>1.6575303925699059E-2</v>
      </c>
    </row>
    <row r="598" spans="1:45">
      <c r="A598" s="45" t="str">
        <f>Volcanic!A598</f>
        <v>11/2007</v>
      </c>
      <c r="B598" s="43">
        <f>Volcanic!B598</f>
        <v>0.58999999999999986</v>
      </c>
      <c r="C598" s="47">
        <f>Volcanic!C598</f>
        <v>0.4507870738361669</v>
      </c>
      <c r="D598" s="41">
        <v>-1.6</v>
      </c>
      <c r="E598" s="43">
        <f t="shared" si="138"/>
        <v>-0.8</v>
      </c>
      <c r="F598" s="48">
        <v>5.3E-3</v>
      </c>
      <c r="G598" s="47">
        <f t="shared" si="139"/>
        <v>5.79E-3</v>
      </c>
      <c r="H598" s="43">
        <f>Volcanic!D598</f>
        <v>-0.77</v>
      </c>
      <c r="I598" s="47">
        <f>Volcanic!E598</f>
        <v>7.7999999999999996E-3</v>
      </c>
      <c r="K598" s="47">
        <f t="shared" si="126"/>
        <v>0.4507870738361669</v>
      </c>
      <c r="L598" s="47">
        <f t="shared" si="127"/>
        <v>-0.8</v>
      </c>
      <c r="M598" s="47">
        <f t="shared" si="128"/>
        <v>7.7999999999999996E-3</v>
      </c>
      <c r="O598" s="47">
        <f t="shared" si="129"/>
        <v>0.4507870738361669</v>
      </c>
      <c r="P598" s="47">
        <f t="shared" si="130"/>
        <v>-0.77</v>
      </c>
      <c r="Q598" s="47">
        <f t="shared" si="131"/>
        <v>5.79E-3</v>
      </c>
      <c r="S598" s="47">
        <f t="shared" si="132"/>
        <v>0.4507870738361669</v>
      </c>
      <c r="T598" s="47">
        <f t="shared" si="133"/>
        <v>-0.8</v>
      </c>
      <c r="U598" s="47">
        <f t="shared" si="134"/>
        <v>5.79E-3</v>
      </c>
      <c r="W598" s="47">
        <f t="shared" si="135"/>
        <v>1.2589592433079E-2</v>
      </c>
      <c r="X598" s="47">
        <f t="shared" si="136"/>
        <v>1.079617290536683E-2</v>
      </c>
      <c r="Y598" s="47">
        <f t="shared" si="137"/>
        <v>1.4012886558828708E-2</v>
      </c>
      <c r="AP598" s="48">
        <v>0.60360000000000003</v>
      </c>
      <c r="AQ598" s="48">
        <v>0.58169999999999999</v>
      </c>
      <c r="AR598" s="47">
        <f>IF(AP598="","",AP598-($AC$60+$AC$61*Volcanic!C598+$AC$62*Volcanic!D598+$AC$63*Volcanic!E598))</f>
        <v>3.1969191806419883E-2</v>
      </c>
      <c r="AS598" s="47">
        <f>IF(AQ598="","",AQ598-($AD$60+$AD$61*Volcanic!C598+$AD$62*Volcanic!D598+$AD$63*Volcanic!E598))</f>
        <v>-1.1558809801059944E-2</v>
      </c>
    </row>
    <row r="599" spans="1:45">
      <c r="A599" s="45" t="str">
        <f>Volcanic!A599</f>
        <v>12/2007</v>
      </c>
      <c r="B599" s="43">
        <f>Volcanic!B599</f>
        <v>0.5</v>
      </c>
      <c r="C599" s="47">
        <f>Volcanic!C599</f>
        <v>0.45639314071876497</v>
      </c>
      <c r="D599" s="41">
        <v>-1.7</v>
      </c>
      <c r="E599" s="43">
        <f t="shared" si="138"/>
        <v>-1</v>
      </c>
      <c r="F599" s="48">
        <v>4.9699999999999996E-3</v>
      </c>
      <c r="G599" s="47">
        <f t="shared" si="139"/>
        <v>5.5100000000000001E-3</v>
      </c>
      <c r="H599" s="43">
        <f>Volcanic!D599</f>
        <v>-1.05</v>
      </c>
      <c r="I599" s="47">
        <f>Volcanic!E599</f>
        <v>7.4400000000000004E-3</v>
      </c>
      <c r="K599" s="47">
        <f t="shared" si="126"/>
        <v>0.45639314071876497</v>
      </c>
      <c r="L599" s="47">
        <f t="shared" si="127"/>
        <v>-1</v>
      </c>
      <c r="M599" s="47">
        <f t="shared" si="128"/>
        <v>7.4400000000000004E-3</v>
      </c>
      <c r="O599" s="47">
        <f t="shared" si="129"/>
        <v>0.45639314071876497</v>
      </c>
      <c r="P599" s="47">
        <f t="shared" si="130"/>
        <v>-1.05</v>
      </c>
      <c r="Q599" s="47">
        <f t="shared" si="131"/>
        <v>5.5100000000000001E-3</v>
      </c>
      <c r="S599" s="47">
        <f t="shared" si="132"/>
        <v>0.45639314071876497</v>
      </c>
      <c r="T599" s="47">
        <f t="shared" si="133"/>
        <v>-1</v>
      </c>
      <c r="U599" s="47">
        <f t="shared" si="134"/>
        <v>5.5100000000000001E-3</v>
      </c>
      <c r="W599" s="47">
        <f t="shared" si="135"/>
        <v>-7.4917602168768749E-2</v>
      </c>
      <c r="X599" s="47">
        <f t="shared" si="136"/>
        <v>-6.878970965199882E-2</v>
      </c>
      <c r="Y599" s="47">
        <f t="shared" si="137"/>
        <v>-7.3072068890693287E-2</v>
      </c>
      <c r="AP599" s="48">
        <v>0.48699999999999999</v>
      </c>
      <c r="AQ599" s="48">
        <v>0.50970000000000004</v>
      </c>
      <c r="AR599" s="47">
        <f>IF(AP599="","",AP599-($AC$60+$AC$61*Volcanic!C599+$AC$62*Volcanic!D599+$AC$63*Volcanic!E599))</f>
        <v>-7.4584383565830081E-2</v>
      </c>
      <c r="AS599" s="47">
        <f>IF(AQ599="","",AQ599-($AD$60+$AD$61*Volcanic!C599+$AD$62*Volcanic!D599+$AD$63*Volcanic!E599))</f>
        <v>-7.3327317756731292E-2</v>
      </c>
    </row>
    <row r="600" spans="1:45">
      <c r="A600" s="45" t="str">
        <f>Volcanic!A600</f>
        <v>1/2008</v>
      </c>
      <c r="B600" s="43">
        <f>Volcanic!B600</f>
        <v>0.30000000000000249</v>
      </c>
      <c r="C600" s="47">
        <f>Volcanic!C600</f>
        <v>0.46235152448856948</v>
      </c>
      <c r="D600" s="41">
        <v>-1.8</v>
      </c>
      <c r="E600" s="43">
        <f t="shared" si="138"/>
        <v>-1.4</v>
      </c>
      <c r="F600" s="48">
        <v>4.6699999999999997E-3</v>
      </c>
      <c r="G600" s="47">
        <f t="shared" si="139"/>
        <v>5.4400000000000004E-3</v>
      </c>
      <c r="H600" s="43">
        <f>Volcanic!D600</f>
        <v>-1.38</v>
      </c>
      <c r="I600" s="47">
        <f>Volcanic!E600</f>
        <v>7.2100000000000003E-3</v>
      </c>
      <c r="K600" s="47">
        <f t="shared" si="126"/>
        <v>0.46235152448856948</v>
      </c>
      <c r="L600" s="47">
        <f t="shared" si="127"/>
        <v>-1.4</v>
      </c>
      <c r="M600" s="47">
        <f t="shared" si="128"/>
        <v>7.2100000000000003E-3</v>
      </c>
      <c r="O600" s="47">
        <f t="shared" si="129"/>
        <v>0.46235152448856948</v>
      </c>
      <c r="P600" s="47">
        <f t="shared" si="130"/>
        <v>-1.38</v>
      </c>
      <c r="Q600" s="47">
        <f t="shared" si="131"/>
        <v>5.4400000000000004E-3</v>
      </c>
      <c r="S600" s="47">
        <f t="shared" si="132"/>
        <v>0.46235152448856948</v>
      </c>
      <c r="T600" s="47">
        <f t="shared" si="133"/>
        <v>-1.4</v>
      </c>
      <c r="U600" s="47">
        <f t="shared" si="134"/>
        <v>5.4400000000000004E-3</v>
      </c>
      <c r="W600" s="47">
        <f t="shared" si="135"/>
        <v>-0.25452449677483779</v>
      </c>
      <c r="X600" s="47">
        <f t="shared" si="136"/>
        <v>-0.25408262150648375</v>
      </c>
      <c r="Y600" s="47">
        <f t="shared" si="137"/>
        <v>-0.25175788437309676</v>
      </c>
      <c r="AP600" s="48">
        <v>0.27889999999999998</v>
      </c>
      <c r="AQ600" s="48">
        <v>0.30070000000000002</v>
      </c>
      <c r="AR600" s="47">
        <f>IF(AP600="","",AP600-($AC$60+$AC$61*Volcanic!C600+$AC$62*Volcanic!D600+$AC$63*Volcanic!E600))</f>
        <v>-0.26860493718518236</v>
      </c>
      <c r="AS600" s="47">
        <f>IF(AQ600="","",AQ600-($AD$60+$AD$61*Volcanic!C600+$AD$62*Volcanic!D600+$AD$63*Volcanic!E600))</f>
        <v>-0.26800666476707152</v>
      </c>
    </row>
    <row r="601" spans="1:45">
      <c r="A601" s="45" t="str">
        <f>Volcanic!A601</f>
        <v>2/2008</v>
      </c>
      <c r="B601" s="43">
        <f>Volcanic!B601</f>
        <v>0.38000000000000256</v>
      </c>
      <c r="C601" s="47">
        <f>Volcanic!C601</f>
        <v>0.46339825601108536</v>
      </c>
      <c r="D601" s="41">
        <v>-1.6</v>
      </c>
      <c r="E601" s="43">
        <f t="shared" si="138"/>
        <v>-1.6</v>
      </c>
      <c r="F601" s="48">
        <v>4.6600000000000001E-3</v>
      </c>
      <c r="G601" s="47">
        <f t="shared" si="139"/>
        <v>5.4400000000000004E-3</v>
      </c>
      <c r="H601" s="43">
        <f>Volcanic!D601</f>
        <v>-1.57</v>
      </c>
      <c r="I601" s="47">
        <f>Volcanic!E601</f>
        <v>7.1500000000000001E-3</v>
      </c>
      <c r="K601" s="47">
        <f t="shared" si="126"/>
        <v>0.46339825601108536</v>
      </c>
      <c r="L601" s="47">
        <f t="shared" si="127"/>
        <v>-1.6</v>
      </c>
      <c r="M601" s="47">
        <f t="shared" si="128"/>
        <v>7.1500000000000001E-3</v>
      </c>
      <c r="O601" s="47">
        <f t="shared" si="129"/>
        <v>0.46339825601108536</v>
      </c>
      <c r="P601" s="47">
        <f t="shared" si="130"/>
        <v>-1.57</v>
      </c>
      <c r="Q601" s="47">
        <f t="shared" si="131"/>
        <v>5.4400000000000004E-3</v>
      </c>
      <c r="S601" s="47">
        <f t="shared" si="132"/>
        <v>0.46339825601108536</v>
      </c>
      <c r="T601" s="47">
        <f t="shared" si="133"/>
        <v>-1.6</v>
      </c>
      <c r="U601" s="47">
        <f t="shared" si="134"/>
        <v>5.4400000000000004E-3</v>
      </c>
      <c r="W601" s="47">
        <f t="shared" si="135"/>
        <v>-0.15893663980800843</v>
      </c>
      <c r="X601" s="47">
        <f t="shared" si="136"/>
        <v>-0.15906466770301486</v>
      </c>
      <c r="Y601" s="47">
        <f t="shared" si="137"/>
        <v>-0.15578526410571925</v>
      </c>
      <c r="AP601" s="48">
        <v>0.3357</v>
      </c>
      <c r="AQ601" s="48">
        <v>0.35570000000000002</v>
      </c>
      <c r="AR601" s="47">
        <f>IF(AP601="","",AP601-($AC$60+$AC$61*Volcanic!C601+$AC$62*Volcanic!D601+$AC$63*Volcanic!E601))</f>
        <v>-0.19701495354133913</v>
      </c>
      <c r="AS601" s="47">
        <f>IF(AQ601="","",AQ601-($AD$60+$AD$61*Volcanic!C601+$AD$62*Volcanic!D601+$AD$63*Volcanic!E601))</f>
        <v>-0.19791864616474764</v>
      </c>
    </row>
    <row r="602" spans="1:45">
      <c r="A602" s="45" t="str">
        <f>Volcanic!A602</f>
        <v>3/2008</v>
      </c>
      <c r="B602" s="43">
        <f>Volcanic!B602</f>
        <v>0.75</v>
      </c>
      <c r="C602" s="47">
        <f>Volcanic!C602</f>
        <v>0.46422015547914297</v>
      </c>
      <c r="D602" s="41">
        <v>-1.4</v>
      </c>
      <c r="E602" s="43">
        <f t="shared" si="138"/>
        <v>-1.7</v>
      </c>
      <c r="F602" s="48">
        <v>4.62E-3</v>
      </c>
      <c r="G602" s="47">
        <f t="shared" si="139"/>
        <v>5.5100000000000001E-3</v>
      </c>
      <c r="H602" s="43">
        <f>Volcanic!D602</f>
        <v>-1.72</v>
      </c>
      <c r="I602" s="47">
        <f>Volcanic!E602</f>
        <v>7.1999999999999998E-3</v>
      </c>
      <c r="K602" s="47">
        <f t="shared" si="126"/>
        <v>0.46422015547914297</v>
      </c>
      <c r="L602" s="47">
        <f t="shared" si="127"/>
        <v>-1.7</v>
      </c>
      <c r="M602" s="47">
        <f t="shared" si="128"/>
        <v>7.1999999999999998E-3</v>
      </c>
      <c r="O602" s="47">
        <f t="shared" si="129"/>
        <v>0.46422015547914297</v>
      </c>
      <c r="P602" s="47">
        <f t="shared" si="130"/>
        <v>-1.72</v>
      </c>
      <c r="Q602" s="47">
        <f t="shared" si="131"/>
        <v>5.5100000000000001E-3</v>
      </c>
      <c r="S602" s="47">
        <f t="shared" si="132"/>
        <v>0.46422015547914297</v>
      </c>
      <c r="T602" s="47">
        <f t="shared" si="133"/>
        <v>-1.7</v>
      </c>
      <c r="U602" s="47">
        <f t="shared" si="134"/>
        <v>5.5100000000000001E-3</v>
      </c>
      <c r="W602" s="47">
        <f t="shared" si="135"/>
        <v>0.21821942430668295</v>
      </c>
      <c r="X602" s="47">
        <f t="shared" si="136"/>
        <v>0.22298658257306225</v>
      </c>
      <c r="Y602" s="47">
        <f t="shared" si="137"/>
        <v>0.22157713542827362</v>
      </c>
      <c r="AP602" s="48">
        <v>0.67869999999999997</v>
      </c>
      <c r="AQ602" s="48">
        <v>0.67269999999999996</v>
      </c>
      <c r="AR602" s="47">
        <f>IF(AP602="","",AP602-($AC$60+$AC$61*Volcanic!C602+$AC$62*Volcanic!D602+$AC$63*Volcanic!E602))</f>
        <v>0.15790783631316152</v>
      </c>
      <c r="AS602" s="47">
        <f>IF(AQ602="","",AQ602-($AD$60+$AD$61*Volcanic!C602+$AD$62*Volcanic!D602+$AD$63*Volcanic!E602))</f>
        <v>0.13122846885953665</v>
      </c>
    </row>
    <row r="603" spans="1:45">
      <c r="A603" s="45" t="str">
        <f>Volcanic!A603</f>
        <v>4/2008</v>
      </c>
      <c r="B603" s="43">
        <f>Volcanic!B603</f>
        <v>0.53999999999999915</v>
      </c>
      <c r="C603" s="47">
        <f>Volcanic!C603</f>
        <v>0.46813642006500927</v>
      </c>
      <c r="D603" s="41">
        <v>-1</v>
      </c>
      <c r="E603" s="43">
        <f t="shared" si="138"/>
        <v>-1.8</v>
      </c>
      <c r="F603" s="48">
        <v>4.5799999999999999E-3</v>
      </c>
      <c r="G603" s="47">
        <f t="shared" si="139"/>
        <v>5.47E-3</v>
      </c>
      <c r="H603" s="43">
        <f>Volcanic!D603</f>
        <v>-1.76</v>
      </c>
      <c r="I603" s="47">
        <f>Volcanic!E603</f>
        <v>7.11E-3</v>
      </c>
      <c r="K603" s="47">
        <f t="shared" si="126"/>
        <v>0.46813642006500927</v>
      </c>
      <c r="L603" s="47">
        <f t="shared" si="127"/>
        <v>-1.8</v>
      </c>
      <c r="M603" s="47">
        <f t="shared" si="128"/>
        <v>7.11E-3</v>
      </c>
      <c r="O603" s="47">
        <f t="shared" si="129"/>
        <v>0.46813642006500927</v>
      </c>
      <c r="P603" s="47">
        <f t="shared" si="130"/>
        <v>-1.76</v>
      </c>
      <c r="Q603" s="47">
        <f t="shared" si="131"/>
        <v>5.47E-3</v>
      </c>
      <c r="S603" s="47">
        <f t="shared" si="132"/>
        <v>0.46813642006500927</v>
      </c>
      <c r="T603" s="47">
        <f t="shared" si="133"/>
        <v>-1.8</v>
      </c>
      <c r="U603" s="47">
        <f t="shared" si="134"/>
        <v>5.47E-3</v>
      </c>
      <c r="W603" s="47">
        <f t="shared" si="135"/>
        <v>6.6281952993829663E-3</v>
      </c>
      <c r="X603" s="47">
        <f t="shared" si="136"/>
        <v>6.0515900489229724E-3</v>
      </c>
      <c r="Y603" s="47">
        <f t="shared" si="137"/>
        <v>1.028687007494411E-2</v>
      </c>
      <c r="AP603" s="48">
        <v>0.51590000000000003</v>
      </c>
      <c r="AQ603" s="48">
        <v>0.5907</v>
      </c>
      <c r="AR603" s="47">
        <f>IF(AP603="","",AP603-($AC$60+$AC$61*Volcanic!C603+$AC$62*Volcanic!D603+$AC$63*Volcanic!E603))</f>
        <v>-1.2056701442489381E-2</v>
      </c>
      <c r="AS603" s="47">
        <f>IF(AQ603="","",AQ603-($AD$60+$AD$61*Volcanic!C603+$AD$62*Volcanic!D603+$AD$63*Volcanic!E603))</f>
        <v>4.1875872822844995E-2</v>
      </c>
    </row>
    <row r="604" spans="1:45">
      <c r="A604" s="45" t="str">
        <f>Volcanic!A604</f>
        <v>5/2008</v>
      </c>
      <c r="B604" s="43">
        <f>Volcanic!B604</f>
        <v>0.5</v>
      </c>
      <c r="C604" s="47">
        <f>Volcanic!C604</f>
        <v>0.47352717715675879</v>
      </c>
      <c r="D604" s="41">
        <v>-0.8</v>
      </c>
      <c r="E604" s="43">
        <f t="shared" si="138"/>
        <v>-1.6</v>
      </c>
      <c r="F604" s="48">
        <v>4.5100000000000001E-3</v>
      </c>
      <c r="G604" s="47">
        <f t="shared" si="139"/>
        <v>5.3400000000000001E-3</v>
      </c>
      <c r="H604" s="43">
        <f>Volcanic!D604</f>
        <v>-1.61</v>
      </c>
      <c r="I604" s="47">
        <f>Volcanic!E604</f>
        <v>6.9800000000000001E-3</v>
      </c>
      <c r="K604" s="47">
        <f t="shared" si="126"/>
        <v>0.47352717715675879</v>
      </c>
      <c r="L604" s="47">
        <f t="shared" si="127"/>
        <v>-1.6</v>
      </c>
      <c r="M604" s="47">
        <f t="shared" si="128"/>
        <v>6.9800000000000001E-3</v>
      </c>
      <c r="O604" s="47">
        <f t="shared" si="129"/>
        <v>0.47352717715675879</v>
      </c>
      <c r="P604" s="47">
        <f t="shared" si="130"/>
        <v>-1.61</v>
      </c>
      <c r="Q604" s="47">
        <f t="shared" si="131"/>
        <v>5.3400000000000001E-3</v>
      </c>
      <c r="S604" s="47">
        <f t="shared" si="132"/>
        <v>0.47352717715675879</v>
      </c>
      <c r="T604" s="47">
        <f t="shared" si="133"/>
        <v>-1.6</v>
      </c>
      <c r="U604" s="47">
        <f t="shared" si="134"/>
        <v>5.3400000000000001E-3</v>
      </c>
      <c r="W604" s="47">
        <f t="shared" si="135"/>
        <v>-6.6934332214962367E-2</v>
      </c>
      <c r="X604" s="47">
        <f t="shared" si="136"/>
        <v>-6.2952831734039538E-2</v>
      </c>
      <c r="Y604" s="47">
        <f t="shared" si="137"/>
        <v>-6.3428117423946828E-2</v>
      </c>
      <c r="AP604" s="48">
        <v>0.50309999999999999</v>
      </c>
      <c r="AQ604" s="48">
        <v>0.55869999999999997</v>
      </c>
      <c r="AR604" s="47">
        <f>IF(AP604="","",AP604-($AC$60+$AC$61*Volcanic!C604+$AC$62*Volcanic!D604+$AC$63*Volcanic!E604))</f>
        <v>-5.3936317610252638E-2</v>
      </c>
      <c r="AS604" s="47">
        <f>IF(AQ604="","",AQ604-($AD$60+$AD$61*Volcanic!C604+$AD$62*Volcanic!D604+$AD$63*Volcanic!E604))</f>
        <v>-1.9855455588355109E-2</v>
      </c>
    </row>
    <row r="605" spans="1:45">
      <c r="A605" s="45" t="str">
        <f>Volcanic!A605</f>
        <v>6/2008</v>
      </c>
      <c r="B605" s="43">
        <f>Volcanic!B605</f>
        <v>0.5</v>
      </c>
      <c r="C605" s="47">
        <f>Volcanic!C605</f>
        <v>0.47059264190111394</v>
      </c>
      <c r="D605" s="41">
        <v>-0.6</v>
      </c>
      <c r="E605" s="43">
        <f t="shared" si="138"/>
        <v>-1.4</v>
      </c>
      <c r="F605" s="48">
        <v>4.5999999999999999E-3</v>
      </c>
      <c r="G605" s="47">
        <f t="shared" si="139"/>
        <v>5.3E-3</v>
      </c>
      <c r="H605" s="43">
        <f>Volcanic!D605</f>
        <v>-1.37</v>
      </c>
      <c r="I605" s="47">
        <f>Volcanic!E605</f>
        <v>6.94E-3</v>
      </c>
      <c r="K605" s="47">
        <f t="shared" si="126"/>
        <v>0.47059264190111394</v>
      </c>
      <c r="L605" s="47">
        <f t="shared" si="127"/>
        <v>-1.4</v>
      </c>
      <c r="M605" s="47">
        <f t="shared" si="128"/>
        <v>6.94E-3</v>
      </c>
      <c r="O605" s="47">
        <f t="shared" si="129"/>
        <v>0.47059264190111394</v>
      </c>
      <c r="P605" s="47">
        <f t="shared" si="130"/>
        <v>-1.37</v>
      </c>
      <c r="Q605" s="47">
        <f t="shared" si="131"/>
        <v>5.3E-3</v>
      </c>
      <c r="S605" s="47">
        <f t="shared" si="132"/>
        <v>0.47059264190111394</v>
      </c>
      <c r="T605" s="47">
        <f t="shared" si="133"/>
        <v>-1.4</v>
      </c>
      <c r="U605" s="47">
        <f t="shared" si="134"/>
        <v>5.3E-3</v>
      </c>
      <c r="W605" s="47">
        <f t="shared" si="135"/>
        <v>-7.7594216643446901E-2</v>
      </c>
      <c r="X605" s="47">
        <f t="shared" si="136"/>
        <v>-7.766827872477311E-2</v>
      </c>
      <c r="Y605" s="47">
        <f t="shared" si="137"/>
        <v>-7.4402116469049595E-2</v>
      </c>
      <c r="AP605" s="48">
        <v>0.45279999999999998</v>
      </c>
      <c r="AQ605" s="48">
        <v>0.49669999999999997</v>
      </c>
      <c r="AR605" s="47">
        <f>IF(AP605="","",AP605-($AC$60+$AC$61*Volcanic!C605+$AC$62*Volcanic!D605+$AC$63*Volcanic!E605))</f>
        <v>-0.11879432418802116</v>
      </c>
      <c r="AS605" s="47">
        <f>IF(AQ605="","",AQ605-($AD$60+$AD$61*Volcanic!C605+$AD$62*Volcanic!D605+$AD$63*Volcanic!E605))</f>
        <v>-9.6663190435617052E-2</v>
      </c>
    </row>
    <row r="606" spans="1:45">
      <c r="A606" s="45" t="str">
        <f>Volcanic!A606</f>
        <v>7/2008</v>
      </c>
      <c r="B606" s="43">
        <f>Volcanic!B606</f>
        <v>0.60000000000000142</v>
      </c>
      <c r="C606" s="47">
        <f>Volcanic!C606</f>
        <v>0.46548944347381965</v>
      </c>
      <c r="D606" s="41">
        <v>-0.3</v>
      </c>
      <c r="E606" s="43">
        <f t="shared" si="138"/>
        <v>-1</v>
      </c>
      <c r="F606" s="48">
        <v>4.7200000000000002E-3</v>
      </c>
      <c r="G606" s="47">
        <f t="shared" si="139"/>
        <v>4.9699999999999996E-3</v>
      </c>
      <c r="H606" s="43">
        <f>Volcanic!D606</f>
        <v>-1.05</v>
      </c>
      <c r="I606" s="47">
        <f>Volcanic!E606</f>
        <v>6.5900000000000004E-3</v>
      </c>
      <c r="K606" s="47">
        <f t="shared" si="126"/>
        <v>0.46548944347381965</v>
      </c>
      <c r="L606" s="47">
        <f t="shared" si="127"/>
        <v>-1</v>
      </c>
      <c r="M606" s="47">
        <f t="shared" si="128"/>
        <v>6.5900000000000004E-3</v>
      </c>
      <c r="O606" s="47">
        <f t="shared" si="129"/>
        <v>0.46548944347381965</v>
      </c>
      <c r="P606" s="47">
        <f t="shared" si="130"/>
        <v>-1.05</v>
      </c>
      <c r="Q606" s="47">
        <f t="shared" si="131"/>
        <v>4.9699999999999996E-3</v>
      </c>
      <c r="S606" s="47">
        <f t="shared" si="132"/>
        <v>0.46548944347381965</v>
      </c>
      <c r="T606" s="47">
        <f t="shared" si="133"/>
        <v>-1</v>
      </c>
      <c r="U606" s="47">
        <f t="shared" si="134"/>
        <v>4.9699999999999996E-3</v>
      </c>
      <c r="W606" s="47">
        <f t="shared" si="135"/>
        <v>-1.5975857540082572E-3</v>
      </c>
      <c r="X606" s="47">
        <f t="shared" si="136"/>
        <v>5.2068331402447265E-3</v>
      </c>
      <c r="Y606" s="47">
        <f t="shared" si="137"/>
        <v>9.2556315044944881E-4</v>
      </c>
      <c r="AP606" s="48">
        <v>0.60619999999999996</v>
      </c>
      <c r="AQ606" s="48">
        <v>0.56169999999999998</v>
      </c>
      <c r="AR606" s="47">
        <f>IF(AP606="","",AP606-($AC$60+$AC$61*Volcanic!C606+$AC$62*Volcanic!D606+$AC$63*Volcanic!E606))</f>
        <v>1.7731908261112928E-2</v>
      </c>
      <c r="AS606" s="47">
        <f>IF(AQ606="","",AQ606-($AD$60+$AD$61*Volcanic!C606+$AD$62*Volcanic!D606+$AD$63*Volcanic!E606))</f>
        <v>-4.8751888994416626E-2</v>
      </c>
    </row>
    <row r="607" spans="1:45">
      <c r="A607" s="45" t="str">
        <f>Volcanic!A607</f>
        <v>8/2008</v>
      </c>
      <c r="B607" s="43">
        <f>Volcanic!B607</f>
        <v>0.44999999999999751</v>
      </c>
      <c r="C607" s="47">
        <f>Volcanic!C607</f>
        <v>0.45688122898594291</v>
      </c>
      <c r="D607" s="41">
        <v>-0.2</v>
      </c>
      <c r="E607" s="43">
        <f t="shared" si="138"/>
        <v>-0.8</v>
      </c>
      <c r="F607" s="48">
        <v>4.81E-3</v>
      </c>
      <c r="G607" s="47">
        <f t="shared" si="139"/>
        <v>4.6699999999999997E-3</v>
      </c>
      <c r="H607" s="43">
        <f>Volcanic!D607</f>
        <v>-0.85</v>
      </c>
      <c r="I607" s="47">
        <f>Volcanic!E607</f>
        <v>6.2500000000000003E-3</v>
      </c>
      <c r="K607" s="47">
        <f t="shared" si="126"/>
        <v>0.45688122898594291</v>
      </c>
      <c r="L607" s="47">
        <f t="shared" si="127"/>
        <v>-0.8</v>
      </c>
      <c r="M607" s="47">
        <f t="shared" si="128"/>
        <v>6.2500000000000003E-3</v>
      </c>
      <c r="O607" s="47">
        <f t="shared" si="129"/>
        <v>0.45688122898594291</v>
      </c>
      <c r="P607" s="47">
        <f t="shared" si="130"/>
        <v>-0.85</v>
      </c>
      <c r="Q607" s="47">
        <f t="shared" si="131"/>
        <v>4.6699999999999997E-3</v>
      </c>
      <c r="S607" s="47">
        <f t="shared" si="132"/>
        <v>0.45688122898594291</v>
      </c>
      <c r="T607" s="47">
        <f t="shared" si="133"/>
        <v>-0.8</v>
      </c>
      <c r="U607" s="47">
        <f t="shared" si="134"/>
        <v>4.6699999999999997E-3</v>
      </c>
      <c r="W607" s="47">
        <f t="shared" si="135"/>
        <v>-0.14744555009575888</v>
      </c>
      <c r="X607" s="47">
        <f t="shared" si="136"/>
        <v>-0.14109124336455692</v>
      </c>
      <c r="Y607" s="47">
        <f t="shared" si="137"/>
        <v>-0.14539103173590306</v>
      </c>
      <c r="AP607" s="48">
        <v>0.52710000000000001</v>
      </c>
      <c r="AQ607" s="48">
        <v>0.47470000000000001</v>
      </c>
      <c r="AR607" s="47">
        <f>IF(AP607="","",AP607-($AC$60+$AC$61*Volcanic!C607+$AC$62*Volcanic!D607+$AC$63*Volcanic!E607))</f>
        <v>-5.7409559915881592E-2</v>
      </c>
      <c r="AS607" s="47">
        <f>IF(AQ607="","",AQ607-($AD$60+$AD$61*Volcanic!C607+$AD$62*Volcanic!D607+$AD$63*Volcanic!E607))</f>
        <v>-0.13153279019545216</v>
      </c>
    </row>
    <row r="608" spans="1:45">
      <c r="A608" s="45" t="str">
        <f>Volcanic!A608</f>
        <v>9/2008</v>
      </c>
      <c r="B608" s="43">
        <f>Volcanic!B608</f>
        <v>0.60000000000000142</v>
      </c>
      <c r="C608" s="47">
        <f>Volcanic!C608</f>
        <v>0.45346113832373852</v>
      </c>
      <c r="D608" s="41">
        <v>-0.2</v>
      </c>
      <c r="E608" s="43">
        <f t="shared" si="138"/>
        <v>-0.6</v>
      </c>
      <c r="F608" s="48">
        <v>5.3299999999999997E-3</v>
      </c>
      <c r="G608" s="47">
        <f t="shared" si="139"/>
        <v>4.6600000000000001E-3</v>
      </c>
      <c r="H608" s="43">
        <f>Volcanic!D608</f>
        <v>-0.56000000000000005</v>
      </c>
      <c r="I608" s="47">
        <f>Volcanic!E608</f>
        <v>6.2399999999999999E-3</v>
      </c>
      <c r="K608" s="47">
        <f t="shared" si="126"/>
        <v>0.45346113832373852</v>
      </c>
      <c r="L608" s="47">
        <f t="shared" si="127"/>
        <v>-0.6</v>
      </c>
      <c r="M608" s="47">
        <f t="shared" si="128"/>
        <v>6.2399999999999999E-3</v>
      </c>
      <c r="O608" s="47">
        <f t="shared" si="129"/>
        <v>0.45346113832373852</v>
      </c>
      <c r="P608" s="47">
        <f t="shared" si="130"/>
        <v>-0.56000000000000005</v>
      </c>
      <c r="Q608" s="47">
        <f t="shared" si="131"/>
        <v>4.6600000000000001E-3</v>
      </c>
      <c r="S608" s="47">
        <f t="shared" si="132"/>
        <v>0.45346113832373852</v>
      </c>
      <c r="T608" s="47">
        <f t="shared" si="133"/>
        <v>-0.6</v>
      </c>
      <c r="U608" s="47">
        <f t="shared" si="134"/>
        <v>4.6600000000000001E-3</v>
      </c>
      <c r="W608" s="47">
        <f t="shared" si="135"/>
        <v>-6.7151460659898854E-3</v>
      </c>
      <c r="X608" s="47">
        <f t="shared" si="136"/>
        <v>-9.1123796907438548E-3</v>
      </c>
      <c r="Y608" s="47">
        <f t="shared" si="137"/>
        <v>-4.9739654472559236E-3</v>
      </c>
      <c r="AP608" s="48">
        <v>0.62050000000000005</v>
      </c>
      <c r="AQ608" s="48">
        <v>0.66669999999999996</v>
      </c>
      <c r="AR608" s="47">
        <f>IF(AP608="","",AP608-($AC$60+$AC$61*Volcanic!C608+$AC$62*Volcanic!D608+$AC$63*Volcanic!E608))</f>
        <v>1.8148225978056876E-2</v>
      </c>
      <c r="AS608" s="47">
        <f>IF(AQ608="","",AQ608-($AD$60+$AD$61*Volcanic!C608+$AD$62*Volcanic!D608+$AD$63*Volcanic!E608))</f>
        <v>4.2309957761763939E-2</v>
      </c>
    </row>
    <row r="609" spans="1:45">
      <c r="A609" s="45" t="str">
        <f>Volcanic!A609</f>
        <v>10/2008</v>
      </c>
      <c r="B609" s="43">
        <f>Volcanic!B609</f>
        <v>0.66999999999999993</v>
      </c>
      <c r="C609" s="47">
        <f>Volcanic!C609</f>
        <v>0.45274602917491535</v>
      </c>
      <c r="D609" s="41">
        <v>-0.4</v>
      </c>
      <c r="E609" s="43">
        <f t="shared" si="138"/>
        <v>-0.3</v>
      </c>
      <c r="F609" s="48">
        <v>5.5300000000000002E-3</v>
      </c>
      <c r="G609" s="47">
        <f t="shared" si="139"/>
        <v>4.62E-3</v>
      </c>
      <c r="H609" s="43">
        <f>Volcanic!D609</f>
        <v>-0.33</v>
      </c>
      <c r="I609" s="47">
        <f>Volcanic!E609</f>
        <v>6.1900000000000002E-3</v>
      </c>
      <c r="K609" s="47">
        <f t="shared" si="126"/>
        <v>0.45274602917491535</v>
      </c>
      <c r="L609" s="47">
        <f t="shared" si="127"/>
        <v>-0.3</v>
      </c>
      <c r="M609" s="47">
        <f t="shared" si="128"/>
        <v>6.1900000000000002E-3</v>
      </c>
      <c r="O609" s="47">
        <f t="shared" si="129"/>
        <v>0.45274602917491535</v>
      </c>
      <c r="P609" s="47">
        <f t="shared" si="130"/>
        <v>-0.33</v>
      </c>
      <c r="Q609" s="47">
        <f t="shared" si="131"/>
        <v>4.62E-3</v>
      </c>
      <c r="S609" s="47">
        <f t="shared" si="132"/>
        <v>0.45274602917491535</v>
      </c>
      <c r="T609" s="47">
        <f t="shared" si="133"/>
        <v>-0.3</v>
      </c>
      <c r="U609" s="47">
        <f t="shared" si="134"/>
        <v>4.62E-3</v>
      </c>
      <c r="W609" s="47">
        <f t="shared" si="135"/>
        <v>3.7262893593904556E-2</v>
      </c>
      <c r="X609" s="47">
        <f t="shared" si="136"/>
        <v>4.1111141855282307E-2</v>
      </c>
      <c r="Y609" s="47">
        <f t="shared" si="137"/>
        <v>3.865120182876236E-2</v>
      </c>
      <c r="AP609" s="48">
        <v>0.66490000000000005</v>
      </c>
      <c r="AQ609" s="48">
        <v>0.69569999999999999</v>
      </c>
      <c r="AR609" s="47">
        <f>IF(AP609="","",AP609-($AC$60+$AC$61*Volcanic!C609+$AC$62*Volcanic!D609+$AC$63*Volcanic!E609))</f>
        <v>4.2842225517038979E-2</v>
      </c>
      <c r="AS609" s="47">
        <f>IF(AQ609="","",AQ609-($AD$60+$AD$61*Volcanic!C609+$AD$62*Volcanic!D609+$AD$63*Volcanic!E609))</f>
        <v>5.1218588093899564E-2</v>
      </c>
    </row>
    <row r="610" spans="1:45">
      <c r="A610" s="45" t="str">
        <f>Volcanic!A610</f>
        <v>11/2008</v>
      </c>
      <c r="B610" s="43">
        <f>Volcanic!B610</f>
        <v>0.69000000000000128</v>
      </c>
      <c r="C610" s="47">
        <f>Volcanic!C610</f>
        <v>0.45721903954172527</v>
      </c>
      <c r="D610" s="41">
        <v>-0.6</v>
      </c>
      <c r="E610" s="43">
        <f t="shared" si="138"/>
        <v>-0.2</v>
      </c>
      <c r="F610" s="48">
        <v>5.7000000000000002E-3</v>
      </c>
      <c r="G610" s="47">
        <f t="shared" si="139"/>
        <v>4.5799999999999999E-3</v>
      </c>
      <c r="H610" s="43">
        <f>Volcanic!D610</f>
        <v>-0.2</v>
      </c>
      <c r="I610" s="47">
        <f>Volcanic!E610</f>
        <v>6.2599999999999999E-3</v>
      </c>
      <c r="K610" s="47">
        <f t="shared" si="126"/>
        <v>0.45721903954172527</v>
      </c>
      <c r="L610" s="47">
        <f t="shared" si="127"/>
        <v>-0.2</v>
      </c>
      <c r="M610" s="47">
        <f t="shared" si="128"/>
        <v>6.2599999999999999E-3</v>
      </c>
      <c r="O610" s="47">
        <f t="shared" si="129"/>
        <v>0.45721903954172527</v>
      </c>
      <c r="P610" s="47">
        <f t="shared" si="130"/>
        <v>-0.2</v>
      </c>
      <c r="Q610" s="47">
        <f t="shared" si="131"/>
        <v>4.5799999999999999E-3</v>
      </c>
      <c r="S610" s="47">
        <f t="shared" si="132"/>
        <v>0.45721903954172527</v>
      </c>
      <c r="T610" s="47">
        <f t="shared" si="133"/>
        <v>-0.2</v>
      </c>
      <c r="U610" s="47">
        <f t="shared" si="134"/>
        <v>4.5799999999999999E-3</v>
      </c>
      <c r="W610" s="47">
        <f t="shared" si="135"/>
        <v>3.5931236068315942E-2</v>
      </c>
      <c r="X610" s="47">
        <f t="shared" si="136"/>
        <v>3.6701792010012779E-2</v>
      </c>
      <c r="Y610" s="47">
        <f t="shared" si="137"/>
        <v>3.7053674429715189E-2</v>
      </c>
      <c r="AP610" s="48">
        <v>0.69279999999999997</v>
      </c>
      <c r="AQ610" s="48">
        <v>0.66169999999999995</v>
      </c>
      <c r="AR610" s="47">
        <f>IF(AP610="","",AP610-($AC$60+$AC$61*Volcanic!C610+$AC$62*Volcanic!D610+$AC$63*Volcanic!E610))</f>
        <v>4.652275806566164E-2</v>
      </c>
      <c r="AS610" s="47">
        <f>IF(AQ610="","",AQ610-($AD$60+$AD$61*Volcanic!C610+$AD$62*Volcanic!D610+$AD$63*Volcanic!E610))</f>
        <v>-7.572872359044025E-3</v>
      </c>
    </row>
    <row r="611" spans="1:45">
      <c r="A611" s="45" t="str">
        <f>Volcanic!A611</f>
        <v>12/2008</v>
      </c>
      <c r="B611" s="43">
        <f>Volcanic!B611</f>
        <v>0.53999999999999915</v>
      </c>
      <c r="C611" s="47">
        <f>Volcanic!C611</f>
        <v>0.4623889208373384</v>
      </c>
      <c r="D611" s="41">
        <v>-0.8</v>
      </c>
      <c r="E611" s="43">
        <f t="shared" si="138"/>
        <v>-0.2</v>
      </c>
      <c r="F611" s="48">
        <v>5.2500000000000003E-3</v>
      </c>
      <c r="G611" s="47">
        <f t="shared" si="139"/>
        <v>4.5100000000000001E-3</v>
      </c>
      <c r="H611" s="43">
        <f>Volcanic!D611</f>
        <v>-0.25</v>
      </c>
      <c r="I611" s="47">
        <f>Volcanic!E611</f>
        <v>6.1000000000000004E-3</v>
      </c>
      <c r="K611" s="47">
        <f t="shared" si="126"/>
        <v>0.4623889208373384</v>
      </c>
      <c r="L611" s="47">
        <f t="shared" si="127"/>
        <v>-0.2</v>
      </c>
      <c r="M611" s="47">
        <f t="shared" si="128"/>
        <v>6.1000000000000004E-3</v>
      </c>
      <c r="O611" s="47">
        <f t="shared" si="129"/>
        <v>0.4623889208373384</v>
      </c>
      <c r="P611" s="47">
        <f t="shared" si="130"/>
        <v>-0.25</v>
      </c>
      <c r="Q611" s="47">
        <f t="shared" si="131"/>
        <v>4.5100000000000001E-3</v>
      </c>
      <c r="S611" s="47">
        <f t="shared" si="132"/>
        <v>0.4623889208373384</v>
      </c>
      <c r="T611" s="47">
        <f t="shared" si="133"/>
        <v>-0.2</v>
      </c>
      <c r="U611" s="47">
        <f t="shared" si="134"/>
        <v>4.5100000000000001E-3</v>
      </c>
      <c r="W611" s="47">
        <f t="shared" si="135"/>
        <v>-0.12852037269722294</v>
      </c>
      <c r="X611" s="47">
        <f t="shared" si="136"/>
        <v>-0.12276147276362304</v>
      </c>
      <c r="Y611" s="47">
        <f t="shared" si="137"/>
        <v>-0.12710505023436325</v>
      </c>
      <c r="AP611" s="48">
        <v>0.53759999999999997</v>
      </c>
      <c r="AQ611" s="48">
        <v>0.5887</v>
      </c>
      <c r="AR611" s="47">
        <f>IF(AP611="","",AP611-($AC$60+$AC$61*Volcanic!C611+$AC$62*Volcanic!D611+$AC$63*Volcanic!E611))</f>
        <v>-0.11849689863275636</v>
      </c>
      <c r="AS611" s="47">
        <f>IF(AQ611="","",AQ611-($AD$60+$AD$61*Volcanic!C611+$AD$62*Volcanic!D611+$AD$63*Volcanic!E611))</f>
        <v>-9.0641396000755603E-2</v>
      </c>
    </row>
    <row r="612" spans="1:45">
      <c r="A612" s="45" t="str">
        <f>Volcanic!A612</f>
        <v>1/2009</v>
      </c>
      <c r="B612" s="43">
        <f>Volcanic!B612</f>
        <v>0.65000000000000213</v>
      </c>
      <c r="C612" s="47">
        <f>Volcanic!C612</f>
        <v>0.46754034205383838</v>
      </c>
      <c r="D612" s="41">
        <v>-0.9</v>
      </c>
      <c r="E612" s="43">
        <f t="shared" si="138"/>
        <v>-0.4</v>
      </c>
      <c r="F612" s="48">
        <v>4.8999999999999998E-3</v>
      </c>
      <c r="G612" s="47">
        <f t="shared" si="139"/>
        <v>4.5999999999999999E-3</v>
      </c>
      <c r="H612" s="43">
        <f>Volcanic!D612</f>
        <v>-0.36</v>
      </c>
      <c r="I612" s="47">
        <f>Volcanic!E612</f>
        <v>6.0099999999999997E-3</v>
      </c>
      <c r="K612" s="47">
        <f t="shared" si="126"/>
        <v>0.46754034205383838</v>
      </c>
      <c r="L612" s="47">
        <f t="shared" si="127"/>
        <v>-0.4</v>
      </c>
      <c r="M612" s="47">
        <f t="shared" si="128"/>
        <v>6.0099999999999997E-3</v>
      </c>
      <c r="O612" s="47">
        <f t="shared" si="129"/>
        <v>0.46754034205383838</v>
      </c>
      <c r="P612" s="47">
        <f t="shared" si="130"/>
        <v>-0.36</v>
      </c>
      <c r="Q612" s="47">
        <f t="shared" si="131"/>
        <v>4.5999999999999999E-3</v>
      </c>
      <c r="S612" s="47">
        <f t="shared" si="132"/>
        <v>0.46754034205383838</v>
      </c>
      <c r="T612" s="47">
        <f t="shared" si="133"/>
        <v>-0.4</v>
      </c>
      <c r="U612" s="47">
        <f t="shared" si="134"/>
        <v>4.5999999999999999E-3</v>
      </c>
      <c r="W612" s="47">
        <f t="shared" si="135"/>
        <v>-1.4192728350788442E-2</v>
      </c>
      <c r="X612" s="47">
        <f t="shared" si="136"/>
        <v>-1.6120617873663035E-2</v>
      </c>
      <c r="Y612" s="47">
        <f t="shared" si="137"/>
        <v>-1.1993114168219021E-2</v>
      </c>
      <c r="AP612" s="48">
        <v>0.65580000000000005</v>
      </c>
      <c r="AQ612" s="48">
        <v>0.70469999999999999</v>
      </c>
      <c r="AR612" s="47">
        <f>IF(AP612="","",AP612-($AC$60+$AC$61*Volcanic!C612+$AC$62*Volcanic!D612+$AC$63*Volcanic!E612))</f>
        <v>-4.2790079976664508E-3</v>
      </c>
      <c r="AS612" s="47">
        <f>IF(AQ612="","",AQ612-($AD$60+$AD$61*Volcanic!C612+$AD$62*Volcanic!D612+$AD$63*Volcanic!E612))</f>
        <v>2.1235969779227371E-2</v>
      </c>
    </row>
    <row r="613" spans="1:45">
      <c r="A613" s="45" t="str">
        <f>Volcanic!A613</f>
        <v>2/2009</v>
      </c>
      <c r="B613" s="43">
        <f>Volcanic!B613</f>
        <v>0.52999999999999758</v>
      </c>
      <c r="C613" s="47">
        <f>Volcanic!C613</f>
        <v>0.46951390791885167</v>
      </c>
      <c r="D613" s="41">
        <v>-0.8</v>
      </c>
      <c r="E613" s="43">
        <f t="shared" si="138"/>
        <v>-0.6</v>
      </c>
      <c r="F613" s="48">
        <v>4.79E-3</v>
      </c>
      <c r="G613" s="47">
        <f t="shared" si="139"/>
        <v>4.7200000000000002E-3</v>
      </c>
      <c r="H613" s="43">
        <f>Volcanic!D613</f>
        <v>-0.56999999999999995</v>
      </c>
      <c r="I613" s="47">
        <f>Volcanic!E613</f>
        <v>6.0899999999999999E-3</v>
      </c>
      <c r="K613" s="47">
        <f t="shared" si="126"/>
        <v>0.46951390791885167</v>
      </c>
      <c r="L613" s="47">
        <f t="shared" si="127"/>
        <v>-0.6</v>
      </c>
      <c r="M613" s="47">
        <f t="shared" si="128"/>
        <v>6.0899999999999999E-3</v>
      </c>
      <c r="O613" s="47">
        <f t="shared" si="129"/>
        <v>0.46951390791885167</v>
      </c>
      <c r="P613" s="47">
        <f t="shared" si="130"/>
        <v>-0.56999999999999995</v>
      </c>
      <c r="Q613" s="47">
        <f t="shared" si="131"/>
        <v>4.7200000000000002E-3</v>
      </c>
      <c r="S613" s="47">
        <f t="shared" si="132"/>
        <v>0.46951390791885167</v>
      </c>
      <c r="T613" s="47">
        <f t="shared" si="133"/>
        <v>-0.6</v>
      </c>
      <c r="U613" s="47">
        <f t="shared" si="134"/>
        <v>4.7200000000000002E-3</v>
      </c>
      <c r="W613" s="47">
        <f t="shared" si="135"/>
        <v>-0.12082399469255167</v>
      </c>
      <c r="X613" s="47">
        <f t="shared" si="136"/>
        <v>-0.12141617977688002</v>
      </c>
      <c r="Y613" s="47">
        <f t="shared" si="137"/>
        <v>-0.11821208282932028</v>
      </c>
      <c r="AP613" s="48">
        <v>0.53259999999999996</v>
      </c>
      <c r="AQ613" s="48">
        <v>0.58169999999999999</v>
      </c>
      <c r="AR613" s="47">
        <f>IF(AP613="","",AP613-($AC$60+$AC$61*Volcanic!C613+$AC$62*Volcanic!D613+$AC$63*Volcanic!E613))</f>
        <v>-0.11301007564811349</v>
      </c>
      <c r="AS613" s="47">
        <f>IF(AQ613="","",AQ613-($AD$60+$AD$61*Volcanic!C613+$AD$62*Volcanic!D613+$AD$63*Volcanic!E613))</f>
        <v>-8.704003881134148E-2</v>
      </c>
    </row>
    <row r="614" spans="1:45">
      <c r="A614" s="45" t="str">
        <f>Volcanic!A614</f>
        <v>3/2009</v>
      </c>
      <c r="B614" s="43">
        <f>Volcanic!B614</f>
        <v>0.52999999999999758</v>
      </c>
      <c r="C614" s="47">
        <f>Volcanic!C614</f>
        <v>0.47449166951900662</v>
      </c>
      <c r="D614" s="41">
        <v>-0.6</v>
      </c>
      <c r="E614" s="43">
        <f t="shared" si="138"/>
        <v>-0.8</v>
      </c>
      <c r="F614" s="48">
        <v>5.2500000000000003E-3</v>
      </c>
      <c r="G614" s="47">
        <f t="shared" si="139"/>
        <v>4.81E-3</v>
      </c>
      <c r="H614" s="43">
        <f>Volcanic!D614</f>
        <v>-0.79</v>
      </c>
      <c r="I614" s="47">
        <f>Volcanic!E614</f>
        <v>6.4999999999999997E-3</v>
      </c>
      <c r="K614" s="47">
        <f t="shared" si="126"/>
        <v>0.47449166951900662</v>
      </c>
      <c r="L614" s="47">
        <f t="shared" si="127"/>
        <v>-0.8</v>
      </c>
      <c r="M614" s="47">
        <f t="shared" si="128"/>
        <v>6.4999999999999997E-3</v>
      </c>
      <c r="O614" s="47">
        <f t="shared" si="129"/>
        <v>0.47449166951900662</v>
      </c>
      <c r="P614" s="47">
        <f t="shared" si="130"/>
        <v>-0.79</v>
      </c>
      <c r="Q614" s="47">
        <f t="shared" si="131"/>
        <v>4.81E-3</v>
      </c>
      <c r="S614" s="47">
        <f t="shared" si="132"/>
        <v>0.47449166951900662</v>
      </c>
      <c r="T614" s="47">
        <f t="shared" si="133"/>
        <v>-0.8</v>
      </c>
      <c r="U614" s="47">
        <f t="shared" si="134"/>
        <v>4.81E-3</v>
      </c>
      <c r="W614" s="47">
        <f t="shared" si="135"/>
        <v>-0.11492099190939964</v>
      </c>
      <c r="X614" s="47">
        <f t="shared" si="136"/>
        <v>-0.11397284221578441</v>
      </c>
      <c r="Y614" s="47">
        <f t="shared" si="137"/>
        <v>-0.11263069688284966</v>
      </c>
      <c r="AP614" s="48">
        <v>0.51449999999999996</v>
      </c>
      <c r="AQ614" s="48">
        <v>0.50670000000000004</v>
      </c>
      <c r="AR614" s="47">
        <f>IF(AP614="","",AP614-($AC$60+$AC$61*Volcanic!C614+$AC$62*Volcanic!D614+$AC$63*Volcanic!E614))</f>
        <v>-0.12311392738527527</v>
      </c>
      <c r="AS614" s="47">
        <f>IF(AQ614="","",AQ614-($AD$60+$AD$61*Volcanic!C614+$AD$62*Volcanic!D614+$AD$63*Volcanic!E614))</f>
        <v>-0.15401901680686514</v>
      </c>
    </row>
    <row r="615" spans="1:45">
      <c r="A615" s="45" t="str">
        <f>Volcanic!A615</f>
        <v>4/2009</v>
      </c>
      <c r="B615" s="43">
        <f>Volcanic!B615</f>
        <v>0.61000000000000121</v>
      </c>
      <c r="C615" s="47">
        <f>Volcanic!C615</f>
        <v>0.47715921118664112</v>
      </c>
      <c r="D615" s="41">
        <v>-0.3</v>
      </c>
      <c r="E615" s="43">
        <f t="shared" si="138"/>
        <v>-0.9</v>
      </c>
      <c r="F615" s="48">
        <v>5.2599999999999999E-3</v>
      </c>
      <c r="G615" s="47">
        <f t="shared" si="139"/>
        <v>5.3299999999999997E-3</v>
      </c>
      <c r="H615" s="43">
        <f>Volcanic!D615</f>
        <v>-0.89</v>
      </c>
      <c r="I615" s="47">
        <f>Volcanic!E615</f>
        <v>7.62E-3</v>
      </c>
      <c r="K615" s="47">
        <f t="shared" si="126"/>
        <v>0.47715921118664112</v>
      </c>
      <c r="L615" s="47">
        <f t="shared" si="127"/>
        <v>-0.9</v>
      </c>
      <c r="M615" s="47">
        <f t="shared" si="128"/>
        <v>7.62E-3</v>
      </c>
      <c r="O615" s="47">
        <f t="shared" si="129"/>
        <v>0.47715921118664112</v>
      </c>
      <c r="P615" s="47">
        <f t="shared" si="130"/>
        <v>-0.89</v>
      </c>
      <c r="Q615" s="47">
        <f t="shared" si="131"/>
        <v>5.3299999999999997E-3</v>
      </c>
      <c r="S615" s="47">
        <f t="shared" si="132"/>
        <v>0.47715921118664112</v>
      </c>
      <c r="T615" s="47">
        <f t="shared" si="133"/>
        <v>-0.9</v>
      </c>
      <c r="U615" s="47">
        <f t="shared" si="134"/>
        <v>5.3299999999999997E-3</v>
      </c>
      <c r="W615" s="47">
        <f t="shared" si="135"/>
        <v>-3.0440500205873855E-2</v>
      </c>
      <c r="X615" s="47">
        <f t="shared" si="136"/>
        <v>-3.0432501692239322E-2</v>
      </c>
      <c r="Y615" s="47">
        <f t="shared" si="137"/>
        <v>-2.9080452147178693E-2</v>
      </c>
      <c r="AP615" s="48">
        <v>0.59599999999999997</v>
      </c>
      <c r="AQ615" s="48">
        <v>0.64670000000000005</v>
      </c>
      <c r="AR615" s="47">
        <f>IF(AP615="","",AP615-($AC$60+$AC$61*Volcanic!C615+$AC$62*Volcanic!D615+$AC$63*Volcanic!E615))</f>
        <v>-3.6838483818788959E-2</v>
      </c>
      <c r="AS615" s="47">
        <f>IF(AQ615="","",AQ615-($AD$60+$AD$61*Volcanic!C615+$AD$62*Volcanic!D615+$AD$63*Volcanic!E615))</f>
        <v>-9.3688833992862097E-3</v>
      </c>
    </row>
    <row r="616" spans="1:45">
      <c r="A616" s="45" t="str">
        <f>Volcanic!A616</f>
        <v>5/2009</v>
      </c>
      <c r="B616" s="43">
        <f>Volcanic!B616</f>
        <v>0.65000000000000213</v>
      </c>
      <c r="C616" s="47">
        <f>Volcanic!C616</f>
        <v>0.47937840104259694</v>
      </c>
      <c r="D616" s="41">
        <v>0</v>
      </c>
      <c r="E616" s="43">
        <f t="shared" si="138"/>
        <v>-0.8</v>
      </c>
      <c r="F616" s="48">
        <v>5.0000000000000001E-3</v>
      </c>
      <c r="G616" s="47">
        <f t="shared" si="139"/>
        <v>5.5300000000000002E-3</v>
      </c>
      <c r="H616" s="43">
        <f>Volcanic!D616</f>
        <v>-0.84</v>
      </c>
      <c r="I616" s="47">
        <f>Volcanic!E616</f>
        <v>7.6600000000000001E-3</v>
      </c>
      <c r="K616" s="47">
        <f t="shared" si="126"/>
        <v>0.47937840104259694</v>
      </c>
      <c r="L616" s="47">
        <f t="shared" si="127"/>
        <v>-0.8</v>
      </c>
      <c r="M616" s="47">
        <f t="shared" si="128"/>
        <v>7.6600000000000001E-3</v>
      </c>
      <c r="O616" s="47">
        <f t="shared" si="129"/>
        <v>0.47937840104259694</v>
      </c>
      <c r="P616" s="47">
        <f t="shared" si="130"/>
        <v>-0.84</v>
      </c>
      <c r="Q616" s="47">
        <f t="shared" si="131"/>
        <v>5.5300000000000002E-3</v>
      </c>
      <c r="S616" s="47">
        <f t="shared" si="132"/>
        <v>0.47937840104259694</v>
      </c>
      <c r="T616" s="47">
        <f t="shared" si="133"/>
        <v>-0.8</v>
      </c>
      <c r="U616" s="47">
        <f t="shared" si="134"/>
        <v>5.5300000000000002E-3</v>
      </c>
      <c r="W616" s="47">
        <f t="shared" si="135"/>
        <v>-5.6917555744359083E-3</v>
      </c>
      <c r="X616" s="47">
        <f t="shared" si="136"/>
        <v>-6.065150153180543E-4</v>
      </c>
      <c r="Y616" s="47">
        <f t="shared" si="137"/>
        <v>-3.95748026723719E-3</v>
      </c>
      <c r="AP616" s="48">
        <v>0.62290000000000001</v>
      </c>
      <c r="AQ616" s="48">
        <v>0.65769999999999995</v>
      </c>
      <c r="AR616" s="47">
        <f>IF(AP616="","",AP616-($AC$60+$AC$61*Volcanic!C616+$AC$62*Volcanic!D616+$AC$63*Volcanic!E616))</f>
        <v>-2.058422865169951E-2</v>
      </c>
      <c r="AS616" s="47">
        <f>IF(AQ616="","",AQ616-($AD$60+$AD$61*Volcanic!C616+$AD$62*Volcanic!D616+$AD$63*Volcanic!E616))</f>
        <v>-9.2711985188954626E-3</v>
      </c>
    </row>
    <row r="617" spans="1:45">
      <c r="A617" s="45" t="str">
        <f>Volcanic!A617</f>
        <v>6/2009</v>
      </c>
      <c r="B617" s="43">
        <f>Volcanic!B617</f>
        <v>0.63000000000000256</v>
      </c>
      <c r="C617" s="47">
        <f>Volcanic!C617</f>
        <v>0.47693710433670838</v>
      </c>
      <c r="D617" s="41">
        <v>0.3</v>
      </c>
      <c r="E617" s="43">
        <f t="shared" si="138"/>
        <v>-0.6</v>
      </c>
      <c r="F617" s="48">
        <v>4.9800000000000001E-3</v>
      </c>
      <c r="G617" s="47">
        <f t="shared" si="139"/>
        <v>5.7000000000000002E-3</v>
      </c>
      <c r="H617" s="43">
        <f>Volcanic!D617</f>
        <v>-0.63</v>
      </c>
      <c r="I617" s="47">
        <f>Volcanic!E617</f>
        <v>7.6499999999999997E-3</v>
      </c>
      <c r="K617" s="47">
        <f t="shared" si="126"/>
        <v>0.47693710433670838</v>
      </c>
      <c r="L617" s="47">
        <f t="shared" si="127"/>
        <v>-0.6</v>
      </c>
      <c r="M617" s="47">
        <f t="shared" si="128"/>
        <v>7.6499999999999997E-3</v>
      </c>
      <c r="O617" s="47">
        <f t="shared" si="129"/>
        <v>0.47693710433670838</v>
      </c>
      <c r="P617" s="47">
        <f t="shared" si="130"/>
        <v>-0.63</v>
      </c>
      <c r="Q617" s="47">
        <f t="shared" si="131"/>
        <v>5.7000000000000002E-3</v>
      </c>
      <c r="S617" s="47">
        <f t="shared" si="132"/>
        <v>0.47693710433670838</v>
      </c>
      <c r="T617" s="47">
        <f t="shared" si="133"/>
        <v>-0.6</v>
      </c>
      <c r="U617" s="47">
        <f t="shared" si="134"/>
        <v>5.7000000000000002E-3</v>
      </c>
      <c r="W617" s="47">
        <f t="shared" si="135"/>
        <v>-3.7630670047930748E-2</v>
      </c>
      <c r="X617" s="47">
        <f t="shared" si="136"/>
        <v>-3.3288707794361438E-2</v>
      </c>
      <c r="Y617" s="47">
        <f t="shared" si="137"/>
        <v>-3.5715514014000749E-2</v>
      </c>
      <c r="AP617" s="48">
        <v>0.69579999999999997</v>
      </c>
      <c r="AQ617" s="48">
        <v>0.68569999999999998</v>
      </c>
      <c r="AR617" s="47">
        <f>IF(AP617="","",AP617-($AC$60+$AC$61*Volcanic!C617+$AC$62*Volcanic!D617+$AC$63*Volcanic!E617))</f>
        <v>3.9292462638654491E-2</v>
      </c>
      <c r="AS617" s="47">
        <f>IF(AQ617="","",AQ617-($AD$60+$AD$61*Volcanic!C617+$AD$62*Volcanic!D617+$AD$63*Volcanic!E617))</f>
        <v>5.4751989202290741E-3</v>
      </c>
    </row>
    <row r="618" spans="1:45">
      <c r="A618" s="45" t="str">
        <f>Volcanic!A618</f>
        <v>7/2009</v>
      </c>
      <c r="B618" s="43">
        <f>Volcanic!B618</f>
        <v>0.73999999999999666</v>
      </c>
      <c r="C618" s="47">
        <f>Volcanic!C618</f>
        <v>0.47152193804450682</v>
      </c>
      <c r="D618" s="41">
        <v>0.5</v>
      </c>
      <c r="E618" s="43">
        <f t="shared" si="138"/>
        <v>-0.3</v>
      </c>
      <c r="F618" s="48">
        <v>6.1900000000000002E-3</v>
      </c>
      <c r="G618" s="47">
        <f t="shared" si="139"/>
        <v>5.2500000000000003E-3</v>
      </c>
      <c r="H618" s="43">
        <f>Volcanic!D618</f>
        <v>-0.35</v>
      </c>
      <c r="I618" s="47">
        <f>Volcanic!E618</f>
        <v>7.26E-3</v>
      </c>
      <c r="K618" s="47">
        <f t="shared" si="126"/>
        <v>0.47152193804450682</v>
      </c>
      <c r="L618" s="47">
        <f t="shared" si="127"/>
        <v>-0.3</v>
      </c>
      <c r="M618" s="47">
        <f t="shared" si="128"/>
        <v>7.26E-3</v>
      </c>
      <c r="O618" s="47">
        <f t="shared" si="129"/>
        <v>0.47152193804450682</v>
      </c>
      <c r="P618" s="47">
        <f t="shared" si="130"/>
        <v>-0.35</v>
      </c>
      <c r="Q618" s="47">
        <f t="shared" si="131"/>
        <v>5.2500000000000003E-3</v>
      </c>
      <c r="S618" s="47">
        <f t="shared" si="132"/>
        <v>0.47152193804450682</v>
      </c>
      <c r="T618" s="47">
        <f t="shared" si="133"/>
        <v>-0.3</v>
      </c>
      <c r="U618" s="47">
        <f t="shared" si="134"/>
        <v>5.2500000000000003E-3</v>
      </c>
      <c r="W618" s="47">
        <f t="shared" si="135"/>
        <v>5.8415934655676738E-2</v>
      </c>
      <c r="X618" s="47">
        <f t="shared" si="136"/>
        <v>6.3873750851615729E-2</v>
      </c>
      <c r="Y618" s="47">
        <f t="shared" si="137"/>
        <v>5.9542712973366552E-2</v>
      </c>
      <c r="AP618" s="48">
        <v>0.75139999999999996</v>
      </c>
      <c r="AQ618" s="48">
        <v>0.77070000000000005</v>
      </c>
      <c r="AR618" s="47">
        <f>IF(AP618="","",AP618-($AC$60+$AC$61*Volcanic!C618+$AC$62*Volcanic!D618+$AC$63*Volcanic!E618))</f>
        <v>8.2520113101845149E-2</v>
      </c>
      <c r="AS618" s="47">
        <f>IF(AQ618="","",AQ618-($AD$60+$AD$61*Volcanic!C618+$AD$62*Volcanic!D618+$AD$63*Volcanic!E618))</f>
        <v>7.799124787142997E-2</v>
      </c>
    </row>
    <row r="619" spans="1:45">
      <c r="A619" s="45" t="str">
        <f>Volcanic!A619</f>
        <v>8/2009</v>
      </c>
      <c r="B619" s="43">
        <f>Volcanic!B619</f>
        <v>0.69000000000000128</v>
      </c>
      <c r="C619" s="47">
        <f>Volcanic!C619</f>
        <v>0.46425750342278521</v>
      </c>
      <c r="D619" s="41">
        <v>0.6</v>
      </c>
      <c r="E619" s="43">
        <f t="shared" si="138"/>
        <v>0</v>
      </c>
      <c r="F619" s="48">
        <v>7.1599999999999997E-3</v>
      </c>
      <c r="G619" s="47">
        <f t="shared" si="139"/>
        <v>4.8999999999999998E-3</v>
      </c>
      <c r="H619" s="43">
        <f>Volcanic!D619</f>
        <v>0.03</v>
      </c>
      <c r="I619" s="47">
        <f>Volcanic!E619</f>
        <v>6.96E-3</v>
      </c>
      <c r="K619" s="47">
        <f t="shared" si="126"/>
        <v>0.46425750342278521</v>
      </c>
      <c r="L619" s="47">
        <f t="shared" si="127"/>
        <v>0</v>
      </c>
      <c r="M619" s="47">
        <f t="shared" si="128"/>
        <v>6.96E-3</v>
      </c>
      <c r="O619" s="47">
        <f t="shared" si="129"/>
        <v>0.46425750342278521</v>
      </c>
      <c r="P619" s="47">
        <f t="shared" si="130"/>
        <v>0.03</v>
      </c>
      <c r="Q619" s="47">
        <f t="shared" si="131"/>
        <v>4.8999999999999998E-3</v>
      </c>
      <c r="S619" s="47">
        <f t="shared" si="132"/>
        <v>0.46425750342278521</v>
      </c>
      <c r="T619" s="47">
        <f t="shared" si="133"/>
        <v>0</v>
      </c>
      <c r="U619" s="47">
        <f t="shared" si="134"/>
        <v>4.8999999999999998E-3</v>
      </c>
      <c r="W619" s="47">
        <f t="shared" si="135"/>
        <v>-2.9591019535846197E-4</v>
      </c>
      <c r="X619" s="47">
        <f t="shared" si="136"/>
        <v>-3.0964910670729928E-3</v>
      </c>
      <c r="Y619" s="47">
        <f t="shared" si="137"/>
        <v>6.1606184933116204E-5</v>
      </c>
      <c r="AP619" s="48">
        <v>0.69420000000000004</v>
      </c>
      <c r="AQ619" s="48">
        <v>0.73070000000000002</v>
      </c>
      <c r="AR619" s="47">
        <f>IF(AP619="","",AP619-($AC$60+$AC$61*Volcanic!C619+$AC$62*Volcanic!D619+$AC$63*Volcanic!E619))</f>
        <v>8.8494385394645159E-3</v>
      </c>
      <c r="AS619" s="47">
        <f>IF(AQ619="","",AQ619-($AD$60+$AD$61*Volcanic!C619+$AD$62*Volcanic!D619+$AD$63*Volcanic!E619))</f>
        <v>2.1336598157508435E-2</v>
      </c>
    </row>
    <row r="620" spans="1:45">
      <c r="A620" s="45" t="str">
        <f>Volcanic!A620</f>
        <v>9/2009</v>
      </c>
      <c r="B620" s="43">
        <f>Volcanic!B620</f>
        <v>0.72000000000000242</v>
      </c>
      <c r="C620" s="47">
        <f>Volcanic!C620</f>
        <v>0.45924424347749254</v>
      </c>
      <c r="D620" s="41">
        <v>0.7</v>
      </c>
      <c r="E620" s="43">
        <f t="shared" si="138"/>
        <v>0.3</v>
      </c>
      <c r="F620" s="48">
        <v>7.3099999999999997E-3</v>
      </c>
      <c r="G620" s="47">
        <f t="shared" si="139"/>
        <v>4.79E-3</v>
      </c>
      <c r="H620" s="43">
        <f>Volcanic!D620</f>
        <v>0.34</v>
      </c>
      <c r="I620" s="47">
        <f>Volcanic!E620</f>
        <v>6.6899999999999998E-3</v>
      </c>
      <c r="K620" s="47">
        <f t="shared" si="126"/>
        <v>0.45924424347749254</v>
      </c>
      <c r="L620" s="47">
        <f t="shared" si="127"/>
        <v>0.3</v>
      </c>
      <c r="M620" s="47">
        <f t="shared" si="128"/>
        <v>6.6899999999999998E-3</v>
      </c>
      <c r="O620" s="47">
        <f t="shared" si="129"/>
        <v>0.45924424347749254</v>
      </c>
      <c r="P620" s="47">
        <f t="shared" si="130"/>
        <v>0.34</v>
      </c>
      <c r="Q620" s="47">
        <f t="shared" si="131"/>
        <v>4.79E-3</v>
      </c>
      <c r="S620" s="47">
        <f t="shared" si="132"/>
        <v>0.45924424347749254</v>
      </c>
      <c r="T620" s="47">
        <f t="shared" si="133"/>
        <v>0.3</v>
      </c>
      <c r="U620" s="47">
        <f t="shared" si="134"/>
        <v>4.79E-3</v>
      </c>
      <c r="W620" s="47">
        <f t="shared" si="135"/>
        <v>1.4919058385456374E-2</v>
      </c>
      <c r="X620" s="47">
        <f t="shared" si="136"/>
        <v>1.1049632356331274E-2</v>
      </c>
      <c r="Y620" s="47">
        <f t="shared" si="137"/>
        <v>1.5122753116350474E-2</v>
      </c>
      <c r="AP620" s="48">
        <v>0.752</v>
      </c>
      <c r="AQ620" s="48">
        <v>0.73070000000000002</v>
      </c>
      <c r="AR620" s="47">
        <f>IF(AP620="","",AP620-($AC$60+$AC$61*Volcanic!C620+$AC$62*Volcanic!D620+$AC$63*Volcanic!E620))</f>
        <v>5.0659031276264699E-2</v>
      </c>
      <c r="AS620" s="47">
        <f>IF(AQ620="","",AQ620-($AD$60+$AD$61*Volcanic!C620+$AD$62*Volcanic!D620+$AD$63*Volcanic!E620))</f>
        <v>5.1348633261324439E-3</v>
      </c>
    </row>
    <row r="621" spans="1:45">
      <c r="A621" s="45" t="str">
        <f>Volcanic!A621</f>
        <v>10/2009</v>
      </c>
      <c r="B621" s="43">
        <f>Volcanic!B621</f>
        <v>0.65000000000000213</v>
      </c>
      <c r="C621" s="47">
        <f>Volcanic!C621</f>
        <v>0.45808197399149425</v>
      </c>
      <c r="D621" s="41">
        <v>0.9</v>
      </c>
      <c r="E621" s="43">
        <f t="shared" si="138"/>
        <v>0.5</v>
      </c>
      <c r="F621" s="48">
        <v>6.6800000000000002E-3</v>
      </c>
      <c r="G621" s="47">
        <f t="shared" si="139"/>
        <v>5.2500000000000003E-3</v>
      </c>
      <c r="H621" s="43">
        <f>Volcanic!D621</f>
        <v>0.5</v>
      </c>
      <c r="I621" s="47">
        <f>Volcanic!E621</f>
        <v>7.2500000000000004E-3</v>
      </c>
      <c r="K621" s="47">
        <f t="shared" si="126"/>
        <v>0.45808197399149425</v>
      </c>
      <c r="L621" s="47">
        <f t="shared" si="127"/>
        <v>0.5</v>
      </c>
      <c r="M621" s="47">
        <f t="shared" si="128"/>
        <v>7.2500000000000004E-3</v>
      </c>
      <c r="O621" s="47">
        <f t="shared" si="129"/>
        <v>0.45808197399149425</v>
      </c>
      <c r="P621" s="47">
        <f t="shared" si="130"/>
        <v>0.5</v>
      </c>
      <c r="Q621" s="47">
        <f t="shared" si="131"/>
        <v>5.2500000000000003E-3</v>
      </c>
      <c r="S621" s="47">
        <f t="shared" si="132"/>
        <v>0.45808197399149425</v>
      </c>
      <c r="T621" s="47">
        <f t="shared" si="133"/>
        <v>0.5</v>
      </c>
      <c r="U621" s="47">
        <f t="shared" si="134"/>
        <v>5.2500000000000003E-3</v>
      </c>
      <c r="W621" s="47">
        <f t="shared" si="135"/>
        <v>-6.9251946643824724E-2</v>
      </c>
      <c r="X621" s="47">
        <f t="shared" si="136"/>
        <v>-6.9636003921687117E-2</v>
      </c>
      <c r="Y621" s="47">
        <f t="shared" si="137"/>
        <v>-6.9334252255123796E-2</v>
      </c>
      <c r="AP621" s="48">
        <v>0.69279999999999997</v>
      </c>
      <c r="AQ621" s="48">
        <v>0.70669999999999999</v>
      </c>
      <c r="AR621" s="47">
        <f>IF(AP621="","",AP621-($AC$60+$AC$61*Volcanic!C621+$AC$62*Volcanic!D621+$AC$63*Volcanic!E621))</f>
        <v>-1.9003010292003464E-2</v>
      </c>
      <c r="AS621" s="47">
        <f>IF(AQ621="","",AQ621-($AD$60+$AD$61*Volcanic!C621+$AD$62*Volcanic!D621+$AD$63*Volcanic!E621))</f>
        <v>-2.9617437978926575E-2</v>
      </c>
    </row>
    <row r="622" spans="1:45">
      <c r="A622" s="45" t="str">
        <f>Volcanic!A622</f>
        <v>11/2009</v>
      </c>
      <c r="B622" s="43">
        <f>Volcanic!B622</f>
        <v>0.79999999999999893</v>
      </c>
      <c r="C622" s="47">
        <f>Volcanic!C622</f>
        <v>0.46403340125681564</v>
      </c>
      <c r="D622" s="41">
        <v>1.3</v>
      </c>
      <c r="E622" s="43">
        <f t="shared" si="138"/>
        <v>0.6</v>
      </c>
      <c r="F622" s="48">
        <v>6.2599999999999999E-3</v>
      </c>
      <c r="G622" s="47">
        <f t="shared" si="139"/>
        <v>5.2599999999999999E-3</v>
      </c>
      <c r="H622" s="43">
        <f>Volcanic!D622</f>
        <v>0.56000000000000005</v>
      </c>
      <c r="I622" s="47">
        <f>Volcanic!E622</f>
        <v>7.7200000000000003E-3</v>
      </c>
      <c r="K622" s="47">
        <f t="shared" si="126"/>
        <v>0.46403340125681564</v>
      </c>
      <c r="L622" s="47">
        <f t="shared" si="127"/>
        <v>0.6</v>
      </c>
      <c r="M622" s="47">
        <f t="shared" si="128"/>
        <v>7.7200000000000003E-3</v>
      </c>
      <c r="O622" s="47">
        <f t="shared" si="129"/>
        <v>0.46403340125681564</v>
      </c>
      <c r="P622" s="47">
        <f t="shared" si="130"/>
        <v>0.56000000000000005</v>
      </c>
      <c r="Q622" s="47">
        <f t="shared" si="131"/>
        <v>5.2599999999999999E-3</v>
      </c>
      <c r="S622" s="47">
        <f t="shared" si="132"/>
        <v>0.46403340125681564</v>
      </c>
      <c r="T622" s="47">
        <f t="shared" si="133"/>
        <v>0.6</v>
      </c>
      <c r="U622" s="47">
        <f t="shared" si="134"/>
        <v>5.2599999999999999E-3</v>
      </c>
      <c r="W622" s="47">
        <f t="shared" si="135"/>
        <v>5.6265940342927978E-2</v>
      </c>
      <c r="X622" s="47">
        <f t="shared" si="136"/>
        <v>5.866380017316597E-2</v>
      </c>
      <c r="Y622" s="47">
        <f t="shared" si="137"/>
        <v>5.520244309085931E-2</v>
      </c>
      <c r="AP622" s="48">
        <v>0.76880000000000004</v>
      </c>
      <c r="AQ622" s="48">
        <v>0.76970000000000005</v>
      </c>
      <c r="AR622" s="47">
        <f>IF(AP622="","",AP622-($AC$60+$AC$61*Volcanic!C622+$AC$62*Volcanic!D622+$AC$63*Volcanic!E622))</f>
        <v>3.6258182303710806E-2</v>
      </c>
      <c r="AS622" s="47">
        <f>IF(AQ622="","",AQ622-($AD$60+$AD$61*Volcanic!C622+$AD$62*Volcanic!D622+$AD$63*Volcanic!E622))</f>
        <v>1.2055859813014602E-2</v>
      </c>
    </row>
    <row r="623" spans="1:45">
      <c r="A623" s="45" t="str">
        <f>Volcanic!A623</f>
        <v>12/2009</v>
      </c>
      <c r="B623" s="43">
        <f>Volcanic!B623</f>
        <v>0.66999999999999993</v>
      </c>
      <c r="C623" s="47">
        <f>Volcanic!C623</f>
        <v>0.46925340296447982</v>
      </c>
      <c r="D623" s="41">
        <v>1.5</v>
      </c>
      <c r="E623" s="43">
        <f t="shared" si="138"/>
        <v>0.7</v>
      </c>
      <c r="F623" s="48">
        <v>5.3099999999999996E-3</v>
      </c>
      <c r="G623" s="47">
        <f t="shared" si="139"/>
        <v>5.0000000000000001E-3</v>
      </c>
      <c r="H623" s="43">
        <f>Volcanic!D623</f>
        <v>0.66</v>
      </c>
      <c r="I623" s="47">
        <f>Volcanic!E623</f>
        <v>7.2700000000000004E-3</v>
      </c>
      <c r="K623" s="47">
        <f t="shared" si="126"/>
        <v>0.46925340296447982</v>
      </c>
      <c r="L623" s="47">
        <f t="shared" si="127"/>
        <v>0.7</v>
      </c>
      <c r="M623" s="47">
        <f t="shared" si="128"/>
        <v>7.2700000000000004E-3</v>
      </c>
      <c r="O623" s="47">
        <f t="shared" si="129"/>
        <v>0.46925340296447982</v>
      </c>
      <c r="P623" s="47">
        <f t="shared" si="130"/>
        <v>0.66</v>
      </c>
      <c r="Q623" s="47">
        <f t="shared" si="131"/>
        <v>5.0000000000000001E-3</v>
      </c>
      <c r="S623" s="47">
        <f t="shared" si="132"/>
        <v>0.46925340296447982</v>
      </c>
      <c r="T623" s="47">
        <f t="shared" si="133"/>
        <v>0.7</v>
      </c>
      <c r="U623" s="47">
        <f t="shared" si="134"/>
        <v>5.0000000000000001E-3</v>
      </c>
      <c r="W623" s="47">
        <f t="shared" si="135"/>
        <v>-9.8248708063547907E-2</v>
      </c>
      <c r="X623" s="47">
        <f t="shared" si="136"/>
        <v>-9.5521819578050171E-2</v>
      </c>
      <c r="Y623" s="47">
        <f t="shared" si="137"/>
        <v>-9.8989891701769639E-2</v>
      </c>
      <c r="AP623" s="48">
        <v>0.70699999999999996</v>
      </c>
      <c r="AQ623" s="48">
        <v>0.77470000000000006</v>
      </c>
      <c r="AR623" s="47">
        <f>IF(AP623="","",AP623-($AC$60+$AC$61*Volcanic!C623+$AC$62*Volcanic!D623+$AC$63*Volcanic!E623))</f>
        <v>-5.0242896860150821E-2</v>
      </c>
      <c r="AS623" s="47">
        <f>IF(AQ623="","",AQ623-($AD$60+$AD$61*Volcanic!C623+$AD$62*Volcanic!D623+$AD$63*Volcanic!E623))</f>
        <v>-8.15189845496056E-3</v>
      </c>
    </row>
    <row r="624" spans="1:45">
      <c r="A624" s="45" t="str">
        <f>Volcanic!A624</f>
        <v>1/2010</v>
      </c>
      <c r="B624" s="43">
        <f>Volcanic!B624</f>
        <v>0.75</v>
      </c>
      <c r="C624" s="47">
        <f>Volcanic!C624</f>
        <v>0.47400950393751357</v>
      </c>
      <c r="D624" s="41">
        <v>1.5</v>
      </c>
      <c r="E624" s="43">
        <f t="shared" si="138"/>
        <v>0.9</v>
      </c>
      <c r="F624" s="48">
        <v>4.8300000000000001E-3</v>
      </c>
      <c r="G624" s="47">
        <f t="shared" si="139"/>
        <v>4.9800000000000001E-3</v>
      </c>
      <c r="H624" s="43">
        <f>Volcanic!D624</f>
        <v>0.92</v>
      </c>
      <c r="I624" s="47">
        <f>Volcanic!E624</f>
        <v>7.0099999999999997E-3</v>
      </c>
      <c r="K624" s="47">
        <f t="shared" si="126"/>
        <v>0.47400950393751357</v>
      </c>
      <c r="L624" s="47">
        <f t="shared" si="127"/>
        <v>0.9</v>
      </c>
      <c r="M624" s="47">
        <f t="shared" si="128"/>
        <v>7.0099999999999997E-3</v>
      </c>
      <c r="O624" s="47">
        <f t="shared" si="129"/>
        <v>0.47400950393751357</v>
      </c>
      <c r="P624" s="47">
        <f t="shared" si="130"/>
        <v>0.92</v>
      </c>
      <c r="Q624" s="47">
        <f t="shared" si="131"/>
        <v>4.9800000000000001E-3</v>
      </c>
      <c r="S624" s="47">
        <f t="shared" si="132"/>
        <v>0.47400950393751357</v>
      </c>
      <c r="T624" s="47">
        <f t="shared" si="133"/>
        <v>0.9</v>
      </c>
      <c r="U624" s="47">
        <f t="shared" si="134"/>
        <v>4.9800000000000001E-3</v>
      </c>
      <c r="W624" s="47">
        <f t="shared" si="135"/>
        <v>-5.0366891030762972E-2</v>
      </c>
      <c r="X624" s="47">
        <f t="shared" si="136"/>
        <v>-5.2855976026989882E-2</v>
      </c>
      <c r="Y624" s="47">
        <f t="shared" si="137"/>
        <v>-5.0701486720892364E-2</v>
      </c>
      <c r="AP624" s="48">
        <v>0.78159999999999996</v>
      </c>
      <c r="AQ624" s="48">
        <v>0.81969999999999998</v>
      </c>
      <c r="AR624" s="47">
        <f>IF(AP624="","",AP624-($AC$60+$AC$61*Volcanic!C624+$AC$62*Volcanic!D624+$AC$63*Volcanic!E624))</f>
        <v>-1.3603283062151084E-2</v>
      </c>
      <c r="AS624" s="47">
        <f>IF(AQ624="","",AQ624-($AD$60+$AD$61*Volcanic!C624+$AD$62*Volcanic!D624+$AD$63*Volcanic!E624))</f>
        <v>-1.9154457028088823E-3</v>
      </c>
    </row>
    <row r="625" spans="1:45">
      <c r="A625" s="45" t="str">
        <f>Volcanic!A625</f>
        <v>2/2010</v>
      </c>
      <c r="B625" s="43">
        <f>Volcanic!B625</f>
        <v>0.83999999999999986</v>
      </c>
      <c r="C625" s="47">
        <f>Volcanic!C625</f>
        <v>0.47956317953598965</v>
      </c>
      <c r="D625" s="41">
        <v>1.2</v>
      </c>
      <c r="E625" s="43">
        <f t="shared" si="138"/>
        <v>1.3</v>
      </c>
      <c r="F625" s="48">
        <v>4.5100000000000001E-3</v>
      </c>
      <c r="G625" s="47">
        <f t="shared" si="139"/>
        <v>6.1900000000000002E-3</v>
      </c>
      <c r="H625" s="43">
        <f>Volcanic!D625</f>
        <v>1.31</v>
      </c>
      <c r="I625" s="47">
        <f>Volcanic!E625</f>
        <v>8.9499999999999996E-3</v>
      </c>
      <c r="K625" s="47">
        <f t="shared" si="126"/>
        <v>0.47956317953598965</v>
      </c>
      <c r="L625" s="47">
        <f t="shared" si="127"/>
        <v>1.3</v>
      </c>
      <c r="M625" s="47">
        <f t="shared" si="128"/>
        <v>8.9499999999999996E-3</v>
      </c>
      <c r="O625" s="47">
        <f t="shared" si="129"/>
        <v>0.47956317953598965</v>
      </c>
      <c r="P625" s="47">
        <f t="shared" si="130"/>
        <v>1.31</v>
      </c>
      <c r="Q625" s="47">
        <f t="shared" si="131"/>
        <v>6.1900000000000002E-3</v>
      </c>
      <c r="S625" s="47">
        <f t="shared" si="132"/>
        <v>0.47956317953598965</v>
      </c>
      <c r="T625" s="47">
        <f t="shared" si="133"/>
        <v>1.3</v>
      </c>
      <c r="U625" s="47">
        <f t="shared" si="134"/>
        <v>6.1900000000000002E-3</v>
      </c>
      <c r="W625" s="47">
        <f t="shared" si="135"/>
        <v>-8.3870879826969391E-3</v>
      </c>
      <c r="X625" s="47">
        <f t="shared" si="136"/>
        <v>-1.1344456952004922E-2</v>
      </c>
      <c r="Y625" s="47">
        <f t="shared" si="137"/>
        <v>-1.0153894150089382E-2</v>
      </c>
      <c r="AP625" s="48">
        <v>0.85440000000000005</v>
      </c>
      <c r="AQ625" s="48">
        <v>0.90169999999999995</v>
      </c>
      <c r="AR625" s="47">
        <f>IF(AP625="","",AP625-($AC$60+$AC$61*Volcanic!C625+$AC$62*Volcanic!D625+$AC$63*Volcanic!E625))</f>
        <v>1.2178244471893085E-2</v>
      </c>
      <c r="AS625" s="47">
        <f>IF(AQ625="","",AQ625-($AD$60+$AD$61*Volcanic!C625+$AD$62*Volcanic!D625+$AD$63*Volcanic!E625))</f>
        <v>3.1702506084437143E-2</v>
      </c>
    </row>
    <row r="626" spans="1:45">
      <c r="A626" s="45" t="str">
        <f>Volcanic!A626</f>
        <v>3/2010</v>
      </c>
      <c r="B626" s="43">
        <f>Volcanic!B626</f>
        <v>0.91999999999999993</v>
      </c>
      <c r="C626" s="47">
        <f>Volcanic!C626</f>
        <v>0.48310634496717497</v>
      </c>
      <c r="D626" s="41">
        <v>0.9</v>
      </c>
      <c r="E626" s="43">
        <f t="shared" si="138"/>
        <v>1.5</v>
      </c>
      <c r="F626" s="48">
        <v>4.5500000000000002E-3</v>
      </c>
      <c r="G626" s="47">
        <f t="shared" si="139"/>
        <v>7.1599999999999997E-3</v>
      </c>
      <c r="H626" s="43">
        <f>Volcanic!D626</f>
        <v>1.5</v>
      </c>
      <c r="I626" s="47">
        <f>Volcanic!E626</f>
        <v>9.9000000000000008E-3</v>
      </c>
      <c r="K626" s="47">
        <f t="shared" si="126"/>
        <v>0.48310634496717497</v>
      </c>
      <c r="L626" s="47">
        <f t="shared" si="127"/>
        <v>1.5</v>
      </c>
      <c r="M626" s="47">
        <f t="shared" si="128"/>
        <v>9.9000000000000008E-3</v>
      </c>
      <c r="O626" s="47">
        <f t="shared" si="129"/>
        <v>0.48310634496717497</v>
      </c>
      <c r="P626" s="47">
        <f t="shared" si="130"/>
        <v>1.5</v>
      </c>
      <c r="Q626" s="47">
        <f t="shared" si="131"/>
        <v>7.1599999999999997E-3</v>
      </c>
      <c r="S626" s="47">
        <f t="shared" si="132"/>
        <v>0.48310634496717497</v>
      </c>
      <c r="T626" s="47">
        <f t="shared" si="133"/>
        <v>1.5</v>
      </c>
      <c r="U626" s="47">
        <f t="shared" si="134"/>
        <v>7.1599999999999997E-3</v>
      </c>
      <c r="W626" s="47">
        <f t="shared" si="135"/>
        <v>4.546885219673702E-2</v>
      </c>
      <c r="X626" s="47">
        <f t="shared" si="136"/>
        <v>4.3762810952974851E-2</v>
      </c>
      <c r="Y626" s="47">
        <f t="shared" si="137"/>
        <v>4.400308661375274E-2</v>
      </c>
      <c r="AP626" s="48">
        <v>0.92669999999999997</v>
      </c>
      <c r="AQ626" s="48">
        <v>0.91669999999999996</v>
      </c>
      <c r="AR626" s="47">
        <f>IF(AP626="","",AP626-($AC$60+$AC$61*Volcanic!C626+$AC$62*Volcanic!D626+$AC$63*Volcanic!E626))</f>
        <v>5.9296569304445712E-2</v>
      </c>
      <c r="AS626" s="47">
        <f>IF(AQ626="","",AQ626-($AD$60+$AD$61*Volcanic!C626+$AD$62*Volcanic!D626+$AD$63*Volcanic!E626))</f>
        <v>2.0797094977815123E-2</v>
      </c>
    </row>
    <row r="627" spans="1:45">
      <c r="A627" s="45" t="str">
        <f>Volcanic!A627</f>
        <v>4/2010</v>
      </c>
      <c r="B627" s="43">
        <f>Volcanic!B627</f>
        <v>0.8500000000000032</v>
      </c>
      <c r="C627" s="47">
        <f>Volcanic!C627</f>
        <v>0.4878905530991211</v>
      </c>
      <c r="D627" s="41">
        <v>0.4</v>
      </c>
      <c r="E627" s="43">
        <f t="shared" si="138"/>
        <v>1.5</v>
      </c>
      <c r="F627" s="48">
        <v>4.5599999999999998E-3</v>
      </c>
      <c r="G627" s="47">
        <f t="shared" si="139"/>
        <v>7.3099999999999997E-3</v>
      </c>
      <c r="H627" s="43">
        <f>Volcanic!D627</f>
        <v>1.47</v>
      </c>
      <c r="I627" s="47">
        <f>Volcanic!E627</f>
        <v>9.9000000000000008E-3</v>
      </c>
      <c r="K627" s="47">
        <f t="shared" si="126"/>
        <v>0.4878905530991211</v>
      </c>
      <c r="L627" s="47">
        <f t="shared" si="127"/>
        <v>1.5</v>
      </c>
      <c r="M627" s="47">
        <f t="shared" si="128"/>
        <v>9.9000000000000008E-3</v>
      </c>
      <c r="O627" s="47">
        <f t="shared" si="129"/>
        <v>0.4878905530991211</v>
      </c>
      <c r="P627" s="47">
        <f t="shared" si="130"/>
        <v>1.47</v>
      </c>
      <c r="Q627" s="47">
        <f t="shared" si="131"/>
        <v>7.3099999999999997E-3</v>
      </c>
      <c r="S627" s="47">
        <f t="shared" si="132"/>
        <v>0.4878905530991211</v>
      </c>
      <c r="T627" s="47">
        <f t="shared" si="133"/>
        <v>1.5</v>
      </c>
      <c r="U627" s="47">
        <f t="shared" si="134"/>
        <v>7.3099999999999997E-3</v>
      </c>
      <c r="W627" s="47">
        <f t="shared" si="135"/>
        <v>-3.7578403773372848E-2</v>
      </c>
      <c r="X627" s="47">
        <f t="shared" si="136"/>
        <v>-3.5961674229214591E-2</v>
      </c>
      <c r="Y627" s="47">
        <f t="shared" si="137"/>
        <v>-3.8537573428670369E-2</v>
      </c>
      <c r="AP627" s="48">
        <v>0.89439999999999997</v>
      </c>
      <c r="AQ627" s="48">
        <v>0.97170000000000001</v>
      </c>
      <c r="AR627" s="47">
        <f>IF(AP627="","",AP627-($AC$60+$AC$61*Volcanic!C627+$AC$62*Volcanic!D627+$AC$63*Volcanic!E627))</f>
        <v>1.6742124889633558E-2</v>
      </c>
      <c r="AS627" s="47">
        <f>IF(AQ627="","",AQ627-($AD$60+$AD$61*Volcanic!C627+$AD$62*Volcanic!D627+$AD$63*Volcanic!E627))</f>
        <v>6.5263970856794362E-2</v>
      </c>
    </row>
    <row r="628" spans="1:45">
      <c r="A628" s="45" t="str">
        <f>Volcanic!A628</f>
        <v>5/2010</v>
      </c>
      <c r="B628" s="43">
        <f>Volcanic!B628</f>
        <v>0.75</v>
      </c>
      <c r="C628" s="47">
        <f>Volcanic!C628</f>
        <v>0.4898731851668387</v>
      </c>
      <c r="D628" s="41">
        <v>-0.2</v>
      </c>
      <c r="E628" s="43">
        <f t="shared" si="138"/>
        <v>1.2</v>
      </c>
      <c r="F628" s="48">
        <v>4.5399999999999998E-3</v>
      </c>
      <c r="G628" s="47">
        <f t="shared" si="139"/>
        <v>6.6800000000000002E-3</v>
      </c>
      <c r="H628" s="43">
        <f>Volcanic!D628</f>
        <v>1.21</v>
      </c>
      <c r="I628" s="47">
        <f>Volcanic!E628</f>
        <v>9.0600000000000003E-3</v>
      </c>
      <c r="K628" s="47">
        <f t="shared" si="126"/>
        <v>0.4898731851668387</v>
      </c>
      <c r="L628" s="47">
        <f t="shared" si="127"/>
        <v>1.2</v>
      </c>
      <c r="M628" s="47">
        <f t="shared" si="128"/>
        <v>9.0600000000000003E-3</v>
      </c>
      <c r="O628" s="47">
        <f t="shared" si="129"/>
        <v>0.4898731851668387</v>
      </c>
      <c r="P628" s="47">
        <f t="shared" si="130"/>
        <v>1.21</v>
      </c>
      <c r="Q628" s="47">
        <f t="shared" si="131"/>
        <v>6.6800000000000002E-3</v>
      </c>
      <c r="S628" s="47">
        <f t="shared" si="132"/>
        <v>0.4898731851668387</v>
      </c>
      <c r="T628" s="47">
        <f t="shared" si="133"/>
        <v>1.2</v>
      </c>
      <c r="U628" s="47">
        <f t="shared" si="134"/>
        <v>6.6800000000000002E-3</v>
      </c>
      <c r="W628" s="47">
        <f t="shared" si="135"/>
        <v>-0.11697430656798447</v>
      </c>
      <c r="X628" s="47">
        <f t="shared" si="136"/>
        <v>-0.11854450230778546</v>
      </c>
      <c r="Y628" s="47">
        <f t="shared" si="137"/>
        <v>-0.11734181418420231</v>
      </c>
      <c r="AP628" s="48">
        <v>0.78310000000000002</v>
      </c>
      <c r="AQ628" s="48">
        <v>0.80469999999999997</v>
      </c>
      <c r="AR628" s="47">
        <f>IF(AP628="","",AP628-($AC$60+$AC$61*Volcanic!C628+$AC$62*Volcanic!D628+$AC$63*Volcanic!E628))</f>
        <v>-7.7645148206708314E-2</v>
      </c>
      <c r="AS628" s="47">
        <f>IF(AQ628="","",AQ628-($AD$60+$AD$61*Volcanic!C628+$AD$62*Volcanic!D628+$AD$63*Volcanic!E628))</f>
        <v>-8.4366342110036907E-2</v>
      </c>
    </row>
    <row r="629" spans="1:45">
      <c r="A629" s="45" t="str">
        <f>Volcanic!A629</f>
        <v>6/2010</v>
      </c>
      <c r="B629" s="43">
        <f>Volcanic!B629</f>
        <v>0.67999999999999972</v>
      </c>
      <c r="C629" s="47">
        <f>Volcanic!C629</f>
        <v>0.4868246806556118</v>
      </c>
      <c r="D629" s="41">
        <v>-0.7</v>
      </c>
      <c r="E629" s="43">
        <f t="shared" si="138"/>
        <v>0.9</v>
      </c>
      <c r="F629" s="48">
        <v>4.6299999999999996E-3</v>
      </c>
      <c r="G629" s="47">
        <f t="shared" si="139"/>
        <v>6.2599999999999999E-3</v>
      </c>
      <c r="H629" s="43">
        <f>Volcanic!D629</f>
        <v>0.88</v>
      </c>
      <c r="I629" s="47">
        <f>Volcanic!E629</f>
        <v>8.6099999999999996E-3</v>
      </c>
      <c r="K629" s="47">
        <f t="shared" si="126"/>
        <v>0.4868246806556118</v>
      </c>
      <c r="L629" s="47">
        <f t="shared" si="127"/>
        <v>0.9</v>
      </c>
      <c r="M629" s="47">
        <f t="shared" si="128"/>
        <v>8.6099999999999996E-3</v>
      </c>
      <c r="O629" s="47">
        <f t="shared" si="129"/>
        <v>0.4868246806556118</v>
      </c>
      <c r="P629" s="47">
        <f t="shared" si="130"/>
        <v>0.88</v>
      </c>
      <c r="Q629" s="47">
        <f t="shared" si="131"/>
        <v>6.2599999999999999E-3</v>
      </c>
      <c r="S629" s="47">
        <f t="shared" si="132"/>
        <v>0.4868246806556118</v>
      </c>
      <c r="T629" s="47">
        <f t="shared" si="133"/>
        <v>0.9</v>
      </c>
      <c r="U629" s="47">
        <f t="shared" si="134"/>
        <v>6.2599999999999999E-3</v>
      </c>
      <c r="W629" s="47">
        <f t="shared" si="135"/>
        <v>-0.1517901675749439</v>
      </c>
      <c r="X629" s="47">
        <f t="shared" si="136"/>
        <v>-0.15040104551321387</v>
      </c>
      <c r="Y629" s="47">
        <f t="shared" si="137"/>
        <v>-0.15199617870892113</v>
      </c>
      <c r="AP629" s="48">
        <v>0.71830000000000005</v>
      </c>
      <c r="AQ629" s="48">
        <v>0.68369999999999997</v>
      </c>
      <c r="AR629" s="47">
        <f>IF(AP629="","",AP629-($AC$60+$AC$61*Volcanic!C629+$AC$62*Volcanic!D629+$AC$63*Volcanic!E629))</f>
        <v>-0.10430078384152708</v>
      </c>
      <c r="AS629" s="47">
        <f>IF(AQ629="","",AQ629-($AD$60+$AD$61*Volcanic!C629+$AD$62*Volcanic!D629+$AD$63*Volcanic!E629))</f>
        <v>-0.16632223904166765</v>
      </c>
    </row>
    <row r="630" spans="1:45">
      <c r="A630" s="45" t="str">
        <f>Volcanic!A630</f>
        <v>7/2010</v>
      </c>
      <c r="B630" s="43">
        <f>Volcanic!B630</f>
        <v>0.63000000000000256</v>
      </c>
      <c r="C630" s="47">
        <f>Volcanic!C630</f>
        <v>0.47956317953598965</v>
      </c>
      <c r="D630" s="41">
        <v>-1</v>
      </c>
      <c r="E630" s="43">
        <f t="shared" si="138"/>
        <v>0.4</v>
      </c>
      <c r="F630" s="48">
        <v>4.8300000000000001E-3</v>
      </c>
      <c r="G630" s="47">
        <f t="shared" si="139"/>
        <v>5.3099999999999996E-3</v>
      </c>
      <c r="H630" s="43">
        <f>Volcanic!D630</f>
        <v>0.38</v>
      </c>
      <c r="I630" s="47">
        <f>Volcanic!E630</f>
        <v>7.7200000000000003E-3</v>
      </c>
      <c r="K630" s="47">
        <f t="shared" si="126"/>
        <v>0.47956317953598965</v>
      </c>
      <c r="L630" s="47">
        <f t="shared" si="127"/>
        <v>0.4</v>
      </c>
      <c r="M630" s="47">
        <f t="shared" si="128"/>
        <v>7.7200000000000003E-3</v>
      </c>
      <c r="O630" s="47">
        <f t="shared" si="129"/>
        <v>0.47956317953598965</v>
      </c>
      <c r="P630" s="47">
        <f t="shared" si="130"/>
        <v>0.38</v>
      </c>
      <c r="Q630" s="47">
        <f t="shared" si="131"/>
        <v>5.3099999999999996E-3</v>
      </c>
      <c r="S630" s="47">
        <f t="shared" si="132"/>
        <v>0.47956317953598965</v>
      </c>
      <c r="T630" s="47">
        <f t="shared" si="133"/>
        <v>0.4</v>
      </c>
      <c r="U630" s="47">
        <f t="shared" si="134"/>
        <v>5.3099999999999996E-3</v>
      </c>
      <c r="W630" s="47">
        <f t="shared" si="135"/>
        <v>-0.13751144051556707</v>
      </c>
      <c r="X630" s="47">
        <f t="shared" si="136"/>
        <v>-0.13628302796907366</v>
      </c>
      <c r="Y630" s="47">
        <f t="shared" si="137"/>
        <v>-0.13784581822741038</v>
      </c>
      <c r="AP630" s="48">
        <v>0.6865</v>
      </c>
      <c r="AQ630" s="48">
        <v>0.59770000000000001</v>
      </c>
      <c r="AR630" s="47">
        <f>IF(AP630="","",AP630-($AC$60+$AC$61*Volcanic!C630+$AC$62*Volcanic!D630+$AC$63*Volcanic!E630))</f>
        <v>-7.1591437754608855E-2</v>
      </c>
      <c r="AS630" s="47">
        <f>IF(AQ630="","",AQ630-($AD$60+$AD$61*Volcanic!C630+$AD$62*Volcanic!D630+$AD$63*Volcanic!E630))</f>
        <v>-0.18623980465481715</v>
      </c>
    </row>
    <row r="631" spans="1:45">
      <c r="A631" s="45" t="str">
        <f>Volcanic!A631</f>
        <v>8/2010</v>
      </c>
      <c r="B631" s="43">
        <f>Volcanic!B631</f>
        <v>0.66999999999999993</v>
      </c>
      <c r="C631" s="47">
        <f>Volcanic!C631</f>
        <v>0.47263630384637006</v>
      </c>
      <c r="D631" s="41">
        <v>-1.2</v>
      </c>
      <c r="E631" s="43">
        <f t="shared" si="138"/>
        <v>-0.2</v>
      </c>
      <c r="F631" s="48">
        <v>4.7999999999999996E-3</v>
      </c>
      <c r="G631" s="47">
        <f t="shared" si="139"/>
        <v>4.8300000000000001E-3</v>
      </c>
      <c r="H631" s="43">
        <f>Volcanic!D631</f>
        <v>-0.16</v>
      </c>
      <c r="I631" s="47">
        <f>Volcanic!E631</f>
        <v>6.96E-3</v>
      </c>
      <c r="K631" s="47">
        <f t="shared" si="126"/>
        <v>0.47263630384637006</v>
      </c>
      <c r="L631" s="47">
        <f t="shared" si="127"/>
        <v>-0.2</v>
      </c>
      <c r="M631" s="47">
        <f t="shared" si="128"/>
        <v>6.96E-3</v>
      </c>
      <c r="O631" s="47">
        <f t="shared" si="129"/>
        <v>0.47263630384637006</v>
      </c>
      <c r="P631" s="47">
        <f t="shared" si="130"/>
        <v>-0.16</v>
      </c>
      <c r="Q631" s="47">
        <f t="shared" si="131"/>
        <v>4.8300000000000001E-3</v>
      </c>
      <c r="S631" s="47">
        <f t="shared" si="132"/>
        <v>0.47263630384637006</v>
      </c>
      <c r="T631" s="47">
        <f t="shared" si="133"/>
        <v>-0.2</v>
      </c>
      <c r="U631" s="47">
        <f t="shared" si="134"/>
        <v>4.8300000000000001E-3</v>
      </c>
      <c r="W631" s="47">
        <f t="shared" si="135"/>
        <v>-2.4571497665005881E-2</v>
      </c>
      <c r="X631" s="47">
        <f t="shared" si="136"/>
        <v>-2.8084255732182872E-2</v>
      </c>
      <c r="Y631" s="47">
        <f t="shared" si="137"/>
        <v>-2.396948816391864E-2</v>
      </c>
      <c r="AP631" s="48">
        <v>0.68420000000000003</v>
      </c>
      <c r="AQ631" s="48">
        <v>0.68769999999999998</v>
      </c>
      <c r="AR631" s="47">
        <f>IF(AP631="","",AP631-($AC$60+$AC$61*Volcanic!C631+$AC$62*Volcanic!D631+$AC$63*Volcanic!E631))</f>
        <v>-6.2372124905977211E-3</v>
      </c>
      <c r="AS631" s="47">
        <f>IF(AQ631="","",AQ631-($AD$60+$AD$61*Volcanic!C631+$AD$62*Volcanic!D631+$AD$63*Volcanic!E631))</f>
        <v>-2.6974300749004976E-2</v>
      </c>
    </row>
    <row r="632" spans="1:45">
      <c r="A632" s="45" t="str">
        <f>Volcanic!A632</f>
        <v>9/2010</v>
      </c>
      <c r="B632" s="43">
        <f>Volcanic!B632</f>
        <v>0.63000000000000256</v>
      </c>
      <c r="C632" s="47">
        <f>Volcanic!C632</f>
        <v>0.46701857168978234</v>
      </c>
      <c r="D632" s="41">
        <v>-1.4</v>
      </c>
      <c r="E632" s="43">
        <f t="shared" si="138"/>
        <v>-0.7</v>
      </c>
      <c r="F632" s="48">
        <v>4.7499999999999999E-3</v>
      </c>
      <c r="G632" s="47">
        <f t="shared" si="139"/>
        <v>4.5100000000000001E-3</v>
      </c>
      <c r="H632" s="43">
        <f>Volcanic!D632</f>
        <v>-0.66</v>
      </c>
      <c r="I632" s="47">
        <f>Volcanic!E632</f>
        <v>6.3400000000000001E-3</v>
      </c>
      <c r="K632" s="47">
        <f t="shared" si="126"/>
        <v>0.46701857168978234</v>
      </c>
      <c r="L632" s="47">
        <f t="shared" si="127"/>
        <v>-0.7</v>
      </c>
      <c r="M632" s="47">
        <f t="shared" si="128"/>
        <v>6.3400000000000001E-3</v>
      </c>
      <c r="O632" s="47">
        <f t="shared" si="129"/>
        <v>0.46701857168978234</v>
      </c>
      <c r="P632" s="47">
        <f t="shared" si="130"/>
        <v>-0.66</v>
      </c>
      <c r="Q632" s="47">
        <f t="shared" si="131"/>
        <v>4.5100000000000001E-3</v>
      </c>
      <c r="S632" s="47">
        <f t="shared" si="132"/>
        <v>0.46701857168978234</v>
      </c>
      <c r="T632" s="47">
        <f t="shared" si="133"/>
        <v>-0.7</v>
      </c>
      <c r="U632" s="47">
        <f t="shared" si="134"/>
        <v>4.5100000000000001E-3</v>
      </c>
      <c r="W632" s="47">
        <f t="shared" si="135"/>
        <v>-4.180624325109461E-3</v>
      </c>
      <c r="X632" s="47">
        <f t="shared" si="136"/>
        <v>-6.7642631521597218E-3</v>
      </c>
      <c r="Y632" s="47">
        <f t="shared" si="137"/>
        <v>-2.6147131801070866E-3</v>
      </c>
      <c r="AP632" s="48">
        <v>0.63549999999999995</v>
      </c>
      <c r="AQ632" s="48">
        <v>0.66969999999999996</v>
      </c>
      <c r="AR632" s="47">
        <f>IF(AP632="","",AP632-($AC$60+$AC$61*Volcanic!C632+$AC$62*Volcanic!D632+$AC$63*Volcanic!E632))</f>
        <v>5.7333188365403798E-3</v>
      </c>
      <c r="AS632" s="47">
        <f>IF(AQ632="","",AQ632-($AD$60+$AD$61*Volcanic!C632+$AD$62*Volcanic!D632+$AD$63*Volcanic!E632))</f>
        <v>1.7122509104708583E-2</v>
      </c>
    </row>
    <row r="633" spans="1:45">
      <c r="A633" s="45" t="str">
        <f>Volcanic!A633</f>
        <v>10/2010</v>
      </c>
      <c r="B633" s="43">
        <f>Volcanic!B633</f>
        <v>0.71000000000000085</v>
      </c>
      <c r="C633" s="47">
        <f>Volcanic!C633</f>
        <v>0.46850884379594554</v>
      </c>
      <c r="D633" s="41">
        <v>-1.5</v>
      </c>
      <c r="E633" s="43">
        <f t="shared" si="138"/>
        <v>-1</v>
      </c>
      <c r="F633" s="48">
        <v>4.47E-3</v>
      </c>
      <c r="G633" s="47">
        <f t="shared" si="139"/>
        <v>4.5500000000000002E-3</v>
      </c>
      <c r="H633" s="43">
        <f>Volcanic!D633</f>
        <v>-0.98</v>
      </c>
      <c r="I633" s="47">
        <f>Volcanic!E633</f>
        <v>6.4599999999999996E-3</v>
      </c>
      <c r="K633" s="47">
        <f t="shared" si="126"/>
        <v>0.46850884379594554</v>
      </c>
      <c r="L633" s="47">
        <f t="shared" si="127"/>
        <v>-1</v>
      </c>
      <c r="M633" s="47">
        <f t="shared" si="128"/>
        <v>6.4599999999999996E-3</v>
      </c>
      <c r="O633" s="47">
        <f t="shared" si="129"/>
        <v>0.46850884379594554</v>
      </c>
      <c r="P633" s="47">
        <f t="shared" si="130"/>
        <v>-0.98</v>
      </c>
      <c r="Q633" s="47">
        <f t="shared" si="131"/>
        <v>4.5500000000000002E-3</v>
      </c>
      <c r="S633" s="47">
        <f t="shared" si="132"/>
        <v>0.46850884379594554</v>
      </c>
      <c r="T633" s="47">
        <f t="shared" si="133"/>
        <v>-1</v>
      </c>
      <c r="U633" s="47">
        <f t="shared" si="134"/>
        <v>4.5500000000000002E-3</v>
      </c>
      <c r="W633" s="47">
        <f t="shared" si="135"/>
        <v>9.9881596660113647E-2</v>
      </c>
      <c r="X633" s="47">
        <f t="shared" si="136"/>
        <v>9.9370757731106818E-2</v>
      </c>
      <c r="Y633" s="47">
        <f t="shared" si="137"/>
        <v>0.10166464009264364</v>
      </c>
      <c r="AP633" s="48">
        <v>0.71389999999999998</v>
      </c>
      <c r="AQ633" s="48">
        <v>0.73370000000000002</v>
      </c>
      <c r="AR633" s="47">
        <f>IF(AP633="","",AP633-($AC$60+$AC$61*Volcanic!C633+$AC$62*Volcanic!D633+$AC$63*Volcanic!E633))</f>
        <v>0.11031914617987904</v>
      </c>
      <c r="AS633" s="47">
        <f>IF(AQ633="","",AQ633-($AD$60+$AD$61*Volcanic!C633+$AD$62*Volcanic!D633+$AD$63*Volcanic!E633))</f>
        <v>0.10780384506328189</v>
      </c>
    </row>
    <row r="634" spans="1:45">
      <c r="A634" s="45" t="str">
        <f>Volcanic!A634</f>
        <v>11/2010</v>
      </c>
      <c r="B634" s="43">
        <f>Volcanic!B634</f>
        <v>0.81000000000000227</v>
      </c>
      <c r="C634" s="47">
        <f>Volcanic!C634</f>
        <v>0.47386111287143712</v>
      </c>
      <c r="D634" s="41">
        <v>-1.6</v>
      </c>
      <c r="E634" s="43">
        <f t="shared" si="138"/>
        <v>-1.2</v>
      </c>
      <c r="F634" s="48">
        <v>4.5999999999999999E-3</v>
      </c>
      <c r="G634" s="47">
        <f t="shared" si="139"/>
        <v>4.5599999999999998E-3</v>
      </c>
      <c r="H634" s="43">
        <f>Volcanic!D634</f>
        <v>-1.24</v>
      </c>
      <c r="I634" s="47">
        <f>Volcanic!E634</f>
        <v>6.5500000000000003E-3</v>
      </c>
      <c r="K634" s="47">
        <f t="shared" si="126"/>
        <v>0.47386111287143712</v>
      </c>
      <c r="L634" s="47">
        <f t="shared" si="127"/>
        <v>-1.2</v>
      </c>
      <c r="M634" s="47">
        <f t="shared" si="128"/>
        <v>6.5500000000000003E-3</v>
      </c>
      <c r="O634" s="47">
        <f t="shared" si="129"/>
        <v>0.47386111287143712</v>
      </c>
      <c r="P634" s="47">
        <f t="shared" si="130"/>
        <v>-1.24</v>
      </c>
      <c r="Q634" s="47">
        <f t="shared" si="131"/>
        <v>4.5599999999999998E-3</v>
      </c>
      <c r="S634" s="47">
        <f t="shared" si="132"/>
        <v>0.47386111287143712</v>
      </c>
      <c r="T634" s="47">
        <f t="shared" si="133"/>
        <v>-1.2</v>
      </c>
      <c r="U634" s="47">
        <f t="shared" si="134"/>
        <v>4.5599999999999998E-3</v>
      </c>
      <c r="W634" s="47">
        <f t="shared" si="135"/>
        <v>0.2040581331568353</v>
      </c>
      <c r="X634" s="47">
        <f t="shared" si="136"/>
        <v>0.20935001200718772</v>
      </c>
      <c r="Y634" s="47">
        <f t="shared" si="137"/>
        <v>0.20602436219048093</v>
      </c>
      <c r="AP634" s="48">
        <v>0.80369999999999997</v>
      </c>
      <c r="AQ634" s="48">
        <v>0.76470000000000005</v>
      </c>
      <c r="AR634" s="47">
        <f>IF(AP634="","",AP634-($AC$60+$AC$61*Volcanic!C634+$AC$62*Volcanic!D634+$AC$63*Volcanic!E634))</f>
        <v>0.21006848125698996</v>
      </c>
      <c r="AS634" s="47">
        <f>IF(AQ634="","",AQ634-($AD$60+$AD$61*Volcanic!C634+$AD$62*Volcanic!D634+$AD$63*Volcanic!E634))</f>
        <v>0.14886557110256438</v>
      </c>
    </row>
    <row r="635" spans="1:45">
      <c r="A635" s="45" t="str">
        <f>Volcanic!A635</f>
        <v>12/2010</v>
      </c>
      <c r="B635" s="43">
        <f>Volcanic!B635</f>
        <v>0.44999999999999751</v>
      </c>
      <c r="C635" s="47">
        <f>Volcanic!C635</f>
        <v>0.47801030414984191</v>
      </c>
      <c r="D635" s="41">
        <v>-1.5</v>
      </c>
      <c r="E635" s="43">
        <f t="shared" si="138"/>
        <v>-1.4</v>
      </c>
      <c r="F635" s="48">
        <v>5.3499999999999997E-3</v>
      </c>
      <c r="G635" s="47">
        <f t="shared" si="139"/>
        <v>4.5399999999999998E-3</v>
      </c>
      <c r="H635" s="43">
        <f>Volcanic!D635</f>
        <v>-1.43</v>
      </c>
      <c r="I635" s="47">
        <f>Volcanic!E635</f>
        <v>6.2899999999999996E-3</v>
      </c>
      <c r="K635" s="47">
        <f t="shared" si="126"/>
        <v>0.47801030414984191</v>
      </c>
      <c r="L635" s="47">
        <f t="shared" si="127"/>
        <v>-1.4</v>
      </c>
      <c r="M635" s="47">
        <f t="shared" si="128"/>
        <v>6.2899999999999996E-3</v>
      </c>
      <c r="O635" s="47">
        <f t="shared" si="129"/>
        <v>0.47801030414984191</v>
      </c>
      <c r="P635" s="47">
        <f t="shared" si="130"/>
        <v>-1.43</v>
      </c>
      <c r="Q635" s="47">
        <f t="shared" si="131"/>
        <v>4.5399999999999998E-3</v>
      </c>
      <c r="S635" s="47">
        <f t="shared" si="132"/>
        <v>0.47801030414984191</v>
      </c>
      <c r="T635" s="47">
        <f t="shared" si="133"/>
        <v>-1.4</v>
      </c>
      <c r="U635" s="47">
        <f t="shared" si="134"/>
        <v>4.5399999999999998E-3</v>
      </c>
      <c r="W635" s="47">
        <f t="shared" si="135"/>
        <v>-0.14925558979689413</v>
      </c>
      <c r="X635" s="47">
        <f t="shared" si="136"/>
        <v>-0.14407203356109266</v>
      </c>
      <c r="Y635" s="47">
        <f t="shared" si="137"/>
        <v>-0.14644213936228057</v>
      </c>
      <c r="AP635" s="48">
        <v>0.50519999999999998</v>
      </c>
      <c r="AQ635" s="48">
        <v>0.56069999999999998</v>
      </c>
      <c r="AR635" s="47">
        <f>IF(AP635="","",AP635-($AC$60+$AC$61*Volcanic!C635+$AC$62*Volcanic!D635+$AC$63*Volcanic!E635))</f>
        <v>-8.2594376877966891E-2</v>
      </c>
      <c r="AS635" s="47">
        <f>IF(AQ635="","",AQ635-($AD$60+$AD$61*Volcanic!C635+$AD$62*Volcanic!D635+$AD$63*Volcanic!E635))</f>
        <v>-4.9194138610245464E-2</v>
      </c>
    </row>
    <row r="636" spans="1:45">
      <c r="A636" s="45" t="str">
        <f>Volcanic!A636</f>
        <v>1/2011</v>
      </c>
      <c r="B636" s="43">
        <f>Volcanic!B636</f>
        <v>0.5199999999999978</v>
      </c>
      <c r="C636" s="47">
        <f>Volcanic!C636</f>
        <v>0.48358548034607413</v>
      </c>
      <c r="D636" s="41">
        <v>-1.3</v>
      </c>
      <c r="E636" s="43">
        <f t="shared" si="138"/>
        <v>-1.5</v>
      </c>
      <c r="F636" s="48">
        <v>5.47E-3</v>
      </c>
      <c r="G636" s="47">
        <f t="shared" si="139"/>
        <v>4.6299999999999996E-3</v>
      </c>
      <c r="H636" s="43">
        <f>Volcanic!D636</f>
        <v>-1.54</v>
      </c>
      <c r="I636" s="47">
        <f>Volcanic!E636</f>
        <v>6.2199999999999998E-3</v>
      </c>
      <c r="K636" s="47">
        <f t="shared" si="126"/>
        <v>0.48358548034607413</v>
      </c>
      <c r="L636" s="47">
        <f t="shared" si="127"/>
        <v>-1.5</v>
      </c>
      <c r="M636" s="47">
        <f t="shared" si="128"/>
        <v>6.2199999999999998E-3</v>
      </c>
      <c r="O636" s="47">
        <f t="shared" si="129"/>
        <v>0.48358548034607413</v>
      </c>
      <c r="P636" s="47">
        <f t="shared" si="130"/>
        <v>-1.54</v>
      </c>
      <c r="Q636" s="47">
        <f t="shared" si="131"/>
        <v>4.6299999999999996E-3</v>
      </c>
      <c r="S636" s="47">
        <f t="shared" si="132"/>
        <v>0.48358548034607413</v>
      </c>
      <c r="T636" s="47">
        <f t="shared" si="133"/>
        <v>-1.5</v>
      </c>
      <c r="U636" s="47">
        <f t="shared" si="134"/>
        <v>4.6299999999999996E-3</v>
      </c>
      <c r="W636" s="47">
        <f t="shared" si="135"/>
        <v>-8.532685005994356E-2</v>
      </c>
      <c r="X636" s="47">
        <f t="shared" si="136"/>
        <v>-7.8576833637520993E-2</v>
      </c>
      <c r="Y636" s="47">
        <f t="shared" si="137"/>
        <v>-8.1876842237833647E-2</v>
      </c>
      <c r="AP636" s="48">
        <v>0.52729999999999999</v>
      </c>
      <c r="AQ636" s="48">
        <v>0.60270000000000001</v>
      </c>
      <c r="AR636" s="47">
        <f>IF(AP636="","",AP636-($AC$60+$AC$61*Volcanic!C636+$AC$62*Volcanic!D636+$AC$63*Volcanic!E636))</f>
        <v>-6.5585471014982355E-2</v>
      </c>
      <c r="AS636" s="47">
        <f>IF(AQ636="","",AQ636-($AD$60+$AD$61*Volcanic!C636+$AD$62*Volcanic!D636+$AD$63*Volcanic!E636))</f>
        <v>-1.2457857976509779E-2</v>
      </c>
    </row>
    <row r="637" spans="1:45">
      <c r="A637" s="45" t="str">
        <f>Volcanic!A637</f>
        <v>2/2011</v>
      </c>
      <c r="B637" s="43">
        <f>Volcanic!B637</f>
        <v>0.47000000000000242</v>
      </c>
      <c r="C637" s="47">
        <f>Volcanic!C637</f>
        <v>0.48561083266005051</v>
      </c>
      <c r="D637" s="41">
        <v>-1.1000000000000001</v>
      </c>
      <c r="E637" s="43">
        <f t="shared" si="138"/>
        <v>-1.6</v>
      </c>
      <c r="F637" s="48">
        <v>5.2700000000000004E-3</v>
      </c>
      <c r="G637" s="47">
        <f t="shared" si="139"/>
        <v>4.8300000000000001E-3</v>
      </c>
      <c r="H637" s="43">
        <f>Volcanic!D637</f>
        <v>-1.57</v>
      </c>
      <c r="I637" s="47">
        <f>Volcanic!E637</f>
        <v>6.3099999999999996E-3</v>
      </c>
      <c r="K637" s="47">
        <f t="shared" si="126"/>
        <v>0.48561083266005051</v>
      </c>
      <c r="L637" s="47">
        <f t="shared" si="127"/>
        <v>-1.6</v>
      </c>
      <c r="M637" s="47">
        <f t="shared" si="128"/>
        <v>6.3099999999999996E-3</v>
      </c>
      <c r="O637" s="47">
        <f t="shared" si="129"/>
        <v>0.48561083266005051</v>
      </c>
      <c r="P637" s="47">
        <f t="shared" si="130"/>
        <v>-1.57</v>
      </c>
      <c r="Q637" s="47">
        <f t="shared" si="131"/>
        <v>4.8300000000000001E-3</v>
      </c>
      <c r="S637" s="47">
        <f t="shared" si="132"/>
        <v>0.48561083266005051</v>
      </c>
      <c r="T637" s="47">
        <f t="shared" si="133"/>
        <v>-1.6</v>
      </c>
      <c r="U637" s="47">
        <f t="shared" si="134"/>
        <v>4.8300000000000001E-3</v>
      </c>
      <c r="W637" s="47">
        <f t="shared" si="135"/>
        <v>-0.13136464206793885</v>
      </c>
      <c r="X637" s="47">
        <f t="shared" si="136"/>
        <v>-0.13071189719249154</v>
      </c>
      <c r="Y637" s="47">
        <f t="shared" si="137"/>
        <v>-0.12742764946000673</v>
      </c>
      <c r="AP637" s="48">
        <v>0.49840000000000001</v>
      </c>
      <c r="AQ637" s="48">
        <v>0.56369999999999998</v>
      </c>
      <c r="AR637" s="47">
        <f>IF(AP637="","",AP637-($AC$60+$AC$61*Volcanic!C637+$AC$62*Volcanic!D637+$AC$63*Volcanic!E637))</f>
        <v>-9.6990003376231038E-2</v>
      </c>
      <c r="AS637" s="47">
        <f>IF(AQ637="","",AQ637-($AD$60+$AD$61*Volcanic!C637+$AD$62*Volcanic!D637+$AD$63*Volcanic!E637))</f>
        <v>-5.4057590720073545E-2</v>
      </c>
    </row>
    <row r="638" spans="1:45">
      <c r="A638" s="45" t="str">
        <f>Volcanic!A638</f>
        <v>3/2011</v>
      </c>
      <c r="B638" s="43">
        <f>Volcanic!B638</f>
        <v>0.65000000000000213</v>
      </c>
      <c r="C638" s="47">
        <f>Volcanic!C638</f>
        <v>0.48836810248236423</v>
      </c>
      <c r="D638" s="41">
        <v>-0.8</v>
      </c>
      <c r="E638" s="43">
        <f t="shared" si="138"/>
        <v>-1.5</v>
      </c>
      <c r="F638" s="48">
        <v>5.1000000000000004E-3</v>
      </c>
      <c r="G638" s="47">
        <f t="shared" si="139"/>
        <v>4.7999999999999996E-3</v>
      </c>
      <c r="H638" s="43">
        <f>Volcanic!D638</f>
        <v>-1.48</v>
      </c>
      <c r="I638" s="47">
        <f>Volcanic!E638</f>
        <v>6.2399999999999999E-3</v>
      </c>
      <c r="K638" s="47">
        <f t="shared" si="126"/>
        <v>0.48836810248236423</v>
      </c>
      <c r="L638" s="47">
        <f t="shared" si="127"/>
        <v>-1.5</v>
      </c>
      <c r="M638" s="47">
        <f t="shared" si="128"/>
        <v>6.2399999999999999E-3</v>
      </c>
      <c r="O638" s="47">
        <f t="shared" si="129"/>
        <v>0.48836810248236423</v>
      </c>
      <c r="P638" s="47">
        <f t="shared" si="130"/>
        <v>-1.48</v>
      </c>
      <c r="Q638" s="47">
        <f t="shared" si="131"/>
        <v>4.7999999999999996E-3</v>
      </c>
      <c r="S638" s="47">
        <f t="shared" si="132"/>
        <v>0.48836810248236423</v>
      </c>
      <c r="T638" s="47">
        <f t="shared" si="133"/>
        <v>-1.5</v>
      </c>
      <c r="U638" s="47">
        <f t="shared" si="134"/>
        <v>4.7999999999999996E-3</v>
      </c>
      <c r="W638" s="47">
        <f t="shared" si="135"/>
        <v>3.1674289719465509E-2</v>
      </c>
      <c r="X638" s="47">
        <f t="shared" si="136"/>
        <v>3.3300967545947802E-2</v>
      </c>
      <c r="Y638" s="47">
        <f t="shared" si="137"/>
        <v>3.5639101794555095E-2</v>
      </c>
      <c r="AP638" s="48">
        <v>0.62419999999999998</v>
      </c>
      <c r="AQ638" s="48">
        <v>0.68669999999999998</v>
      </c>
      <c r="AR638" s="47">
        <f>IF(AP638="","",AP638-($AC$60+$AC$61*Volcanic!C638+$AC$62*Volcanic!D638+$AC$63*Volcanic!E638))</f>
        <v>1.2684480199976811E-2</v>
      </c>
      <c r="AS638" s="47">
        <f>IF(AQ638="","",AQ638-($AD$60+$AD$61*Volcanic!C638+$AD$62*Volcanic!D638+$AD$63*Volcanic!E638))</f>
        <v>5.2458477513686153E-2</v>
      </c>
    </row>
    <row r="639" spans="1:45">
      <c r="A639" s="45" t="str">
        <f>Volcanic!A639</f>
        <v>4/2011</v>
      </c>
      <c r="B639" s="43">
        <f>Volcanic!B639</f>
        <v>0.64000000000000234</v>
      </c>
      <c r="C639" s="47">
        <f>Volcanic!C639</f>
        <v>0.49071681287639107</v>
      </c>
      <c r="D639" s="41">
        <v>-0.7</v>
      </c>
      <c r="E639" s="43">
        <f t="shared" si="138"/>
        <v>-1.3</v>
      </c>
      <c r="F639" s="48">
        <v>4.9100000000000003E-3</v>
      </c>
      <c r="G639" s="47">
        <f t="shared" si="139"/>
        <v>4.7499999999999999E-3</v>
      </c>
      <c r="H639" s="43">
        <f>Volcanic!D639</f>
        <v>-1.29</v>
      </c>
      <c r="I639" s="47">
        <f>Volcanic!E639</f>
        <v>6.0800000000000003E-3</v>
      </c>
      <c r="K639" s="47">
        <f t="shared" si="126"/>
        <v>0.49071681287639107</v>
      </c>
      <c r="L639" s="47">
        <f t="shared" si="127"/>
        <v>-1.3</v>
      </c>
      <c r="M639" s="47">
        <f t="shared" si="128"/>
        <v>6.0800000000000003E-3</v>
      </c>
      <c r="O639" s="47">
        <f t="shared" si="129"/>
        <v>0.49071681287639107</v>
      </c>
      <c r="P639" s="47">
        <f t="shared" si="130"/>
        <v>-1.29</v>
      </c>
      <c r="Q639" s="47">
        <f t="shared" si="131"/>
        <v>4.7499999999999999E-3</v>
      </c>
      <c r="S639" s="47">
        <f t="shared" si="132"/>
        <v>0.49071681287639107</v>
      </c>
      <c r="T639" s="47">
        <f t="shared" si="133"/>
        <v>-1.3</v>
      </c>
      <c r="U639" s="47">
        <f t="shared" si="134"/>
        <v>4.7499999999999999E-3</v>
      </c>
      <c r="W639" s="47">
        <f t="shared" si="135"/>
        <v>-3.6582241371021507E-3</v>
      </c>
      <c r="X639" s="47">
        <f t="shared" si="136"/>
        <v>-1.0274685453655064E-3</v>
      </c>
      <c r="Y639" s="47">
        <f t="shared" si="137"/>
        <v>3.5687301528652959E-4</v>
      </c>
      <c r="AP639" s="48">
        <v>0.6663</v>
      </c>
      <c r="AQ639" s="48">
        <v>0.7077</v>
      </c>
      <c r="AR639" s="47">
        <f>IF(AP639="","",AP639-($AC$60+$AC$61*Volcanic!C639+$AC$62*Volcanic!D639+$AC$63*Volcanic!E639))</f>
        <v>3.0193511312257226E-2</v>
      </c>
      <c r="AS639" s="47">
        <f>IF(AQ639="","",AQ639-($AD$60+$AD$61*Volcanic!C639+$AD$62*Volcanic!D639+$AD$63*Volcanic!E639))</f>
        <v>4.835631185935696E-2</v>
      </c>
    </row>
    <row r="640" spans="1:45">
      <c r="A640" s="45" t="str">
        <f>Volcanic!A640</f>
        <v>5/2011</v>
      </c>
      <c r="B640" s="43">
        <f>Volcanic!B640</f>
        <v>0.52999999999999758</v>
      </c>
      <c r="C640" s="47">
        <f>Volcanic!C640</f>
        <v>0.49426930357072107</v>
      </c>
      <c r="D640" s="41">
        <v>-0.5</v>
      </c>
      <c r="E640" s="43">
        <f t="shared" si="138"/>
        <v>-1.1000000000000001</v>
      </c>
      <c r="F640" s="48">
        <v>4.79E-3</v>
      </c>
      <c r="G640" s="47">
        <f t="shared" si="139"/>
        <v>4.47E-3</v>
      </c>
      <c r="H640" s="43">
        <f>Volcanic!D640</f>
        <v>-1.06</v>
      </c>
      <c r="I640" s="47">
        <f>Volcanic!E640</f>
        <v>5.8500000000000002E-3</v>
      </c>
      <c r="K640" s="47">
        <f t="shared" si="126"/>
        <v>0.49426930357072107</v>
      </c>
      <c r="L640" s="47">
        <f t="shared" si="127"/>
        <v>-1.1000000000000001</v>
      </c>
      <c r="M640" s="47">
        <f t="shared" si="128"/>
        <v>5.8500000000000002E-3</v>
      </c>
      <c r="O640" s="47">
        <f t="shared" si="129"/>
        <v>0.49426930357072107</v>
      </c>
      <c r="P640" s="47">
        <f t="shared" si="130"/>
        <v>-1.06</v>
      </c>
      <c r="Q640" s="47">
        <f t="shared" si="131"/>
        <v>4.47E-3</v>
      </c>
      <c r="S640" s="47">
        <f t="shared" si="132"/>
        <v>0.49426930357072107</v>
      </c>
      <c r="T640" s="47">
        <f t="shared" si="133"/>
        <v>-1.1000000000000001</v>
      </c>
      <c r="U640" s="47">
        <f t="shared" si="134"/>
        <v>4.47E-3</v>
      </c>
      <c r="W640" s="47">
        <f t="shared" si="135"/>
        <v>-0.14242787488679809</v>
      </c>
      <c r="X640" s="47">
        <f t="shared" si="136"/>
        <v>-0.14296879986441435</v>
      </c>
      <c r="Y640" s="47">
        <f t="shared" si="137"/>
        <v>-0.13878114815327558</v>
      </c>
      <c r="AP640" s="48">
        <v>0.51339999999999997</v>
      </c>
      <c r="AQ640" s="48">
        <v>0.57769999999999999</v>
      </c>
      <c r="AR640" s="47">
        <f>IF(AP640="","",AP640-($AC$60+$AC$61*Volcanic!C640+$AC$62*Volcanic!D640+$AC$63*Volcanic!E640))</f>
        <v>-0.15449874787544993</v>
      </c>
      <c r="AS640" s="47">
        <f>IF(AQ640="","",AQ640-($AD$60+$AD$61*Volcanic!C640+$AD$62*Volcanic!D640+$AD$63*Volcanic!E640))</f>
        <v>-0.11410041146627814</v>
      </c>
    </row>
    <row r="641" spans="1:45">
      <c r="A641" s="45" t="str">
        <f>Volcanic!A641</f>
        <v>6/2011</v>
      </c>
      <c r="B641" s="43">
        <f>Volcanic!B641</f>
        <v>0.62000000000000099</v>
      </c>
      <c r="C641" s="47">
        <f>Volcanic!C641</f>
        <v>0.49258570776646082</v>
      </c>
      <c r="D641" s="41">
        <v>-0.3</v>
      </c>
      <c r="E641" s="43">
        <f t="shared" si="138"/>
        <v>-0.8</v>
      </c>
      <c r="F641" s="48">
        <v>4.8300000000000001E-3</v>
      </c>
      <c r="G641" s="47">
        <f t="shared" si="139"/>
        <v>4.5999999999999999E-3</v>
      </c>
      <c r="H641" s="43">
        <f>Volcanic!D641</f>
        <v>-0.85</v>
      </c>
      <c r="I641" s="47">
        <f>Volcanic!E641</f>
        <v>6.0499999999999998E-3</v>
      </c>
      <c r="K641" s="47">
        <f t="shared" si="126"/>
        <v>0.49258570776646082</v>
      </c>
      <c r="L641" s="47">
        <f t="shared" si="127"/>
        <v>-0.8</v>
      </c>
      <c r="M641" s="47">
        <f t="shared" si="128"/>
        <v>6.0499999999999998E-3</v>
      </c>
      <c r="O641" s="47">
        <f t="shared" si="129"/>
        <v>0.49258570776646082</v>
      </c>
      <c r="P641" s="47">
        <f t="shared" si="130"/>
        <v>-0.85</v>
      </c>
      <c r="Q641" s="47">
        <f t="shared" si="131"/>
        <v>4.5999999999999999E-3</v>
      </c>
      <c r="S641" s="47">
        <f t="shared" si="132"/>
        <v>0.49258570776646082</v>
      </c>
      <c r="T641" s="47">
        <f t="shared" si="133"/>
        <v>-0.8</v>
      </c>
      <c r="U641" s="47">
        <f t="shared" si="134"/>
        <v>4.5999999999999999E-3</v>
      </c>
      <c r="W641" s="47">
        <f t="shared" si="135"/>
        <v>-7.5257745028327827E-2</v>
      </c>
      <c r="X641" s="47">
        <f t="shared" si="136"/>
        <v>-6.7804006803430128E-2</v>
      </c>
      <c r="Y641" s="47">
        <f t="shared" si="137"/>
        <v>-7.209320223322091E-2</v>
      </c>
      <c r="AP641" s="48">
        <v>0.61680000000000001</v>
      </c>
      <c r="AQ641" s="48">
        <v>0.67069999999999996</v>
      </c>
      <c r="AR641" s="47">
        <f>IF(AP641="","",AP641-($AC$60+$AC$61*Volcanic!C641+$AC$62*Volcanic!D641+$AC$63*Volcanic!E641))</f>
        <v>-6.5685738741038557E-2</v>
      </c>
      <c r="AS641" s="47">
        <f>IF(AQ641="","",AQ641-($AD$60+$AD$61*Volcanic!C641+$AD$62*Volcanic!D641+$AD$63*Volcanic!E641))</f>
        <v>-3.5995278276212073E-2</v>
      </c>
    </row>
    <row r="642" spans="1:45">
      <c r="A642" s="45" t="str">
        <f>Volcanic!A642</f>
        <v>7/2011</v>
      </c>
      <c r="B642" s="43">
        <f>Volcanic!B642</f>
        <v>0.71000000000000085</v>
      </c>
      <c r="C642" s="47">
        <f>Volcanic!C642</f>
        <v>0.48807424464635712</v>
      </c>
      <c r="D642" s="41">
        <v>-0.4</v>
      </c>
      <c r="E642" s="43">
        <f t="shared" si="138"/>
        <v>-0.7</v>
      </c>
      <c r="F642" s="48">
        <v>6.2500000000000003E-3</v>
      </c>
      <c r="G642" s="47">
        <f t="shared" si="139"/>
        <v>5.3499999999999997E-3</v>
      </c>
      <c r="H642" s="43">
        <f>Volcanic!D642</f>
        <v>-0.68</v>
      </c>
      <c r="I642" s="47">
        <f>Volcanic!E642</f>
        <v>6.9499999999999996E-3</v>
      </c>
      <c r="K642" s="47">
        <f t="shared" ref="K642:K705" si="140">C642</f>
        <v>0.48807424464635712</v>
      </c>
      <c r="L642" s="47">
        <f t="shared" ref="L642:L705" si="141">E642</f>
        <v>-0.7</v>
      </c>
      <c r="M642" s="47">
        <f t="shared" ref="M642:M705" si="142">I642</f>
        <v>6.9499999999999996E-3</v>
      </c>
      <c r="O642" s="47">
        <f t="shared" ref="O642:O705" si="143">C642</f>
        <v>0.48807424464635712</v>
      </c>
      <c r="P642" s="47">
        <f t="shared" ref="P642:P705" si="144">H642</f>
        <v>-0.68</v>
      </c>
      <c r="Q642" s="47">
        <f t="shared" ref="Q642:Q705" si="145">G642</f>
        <v>5.3499999999999997E-3</v>
      </c>
      <c r="S642" s="47">
        <f t="shared" ref="S642:S705" si="146">C642</f>
        <v>0.48807424464635712</v>
      </c>
      <c r="T642" s="47">
        <f t="shared" ref="T642:T705" si="147">E642</f>
        <v>-0.7</v>
      </c>
      <c r="U642" s="47">
        <f t="shared" ref="U642:U705" si="148">G642</f>
        <v>5.3499999999999997E-3</v>
      </c>
      <c r="W642" s="47">
        <f t="shared" ref="W642:W705" si="149">IF(OR(L642="",M642=""),"",B642-($AB$6+$AB$7*K642+$AB$8*L642+$AB$9*M642))</f>
        <v>1.9741535277577715E-2</v>
      </c>
      <c r="X642" s="47">
        <f t="shared" ref="X642:X705" si="150">IF(OR(P642="",Q642=""),"",B642-($AC$6+$AC$7*O642+$AC$8*P642+$AC$9*Q642))</f>
        <v>2.0383502029087341E-2</v>
      </c>
      <c r="Y642" s="47">
        <f t="shared" ref="Y642:Y705" si="151">IF(OR(T642="",U642=""),"",B642-($AD$6+$AD$7*S642+$AD$8*T642+$AD$9*U642))</f>
        <v>2.2663291579619105E-2</v>
      </c>
      <c r="AP642" s="48">
        <v>0.7147</v>
      </c>
      <c r="AQ642" s="48">
        <v>0.77370000000000005</v>
      </c>
      <c r="AR642" s="47">
        <f>IF(AP642="","",AP642-($AC$60+$AC$61*Volcanic!C642+$AC$62*Volcanic!D642+$AC$63*Volcanic!E642))</f>
        <v>3.0779212022006397E-2</v>
      </c>
      <c r="AS642" s="47">
        <f>IF(AQ642="","",AQ642-($AD$60+$AD$61*Volcanic!C642+$AD$62*Volcanic!D642+$AD$63*Volcanic!E642))</f>
        <v>6.5456230396117365E-2</v>
      </c>
    </row>
    <row r="643" spans="1:45">
      <c r="A643" s="45" t="str">
        <f>Volcanic!A643</f>
        <v>8/2011</v>
      </c>
      <c r="B643" s="43">
        <f>Volcanic!B643</f>
        <v>0.73999999999999666</v>
      </c>
      <c r="C643" s="47">
        <f>Volcanic!C643</f>
        <v>0.47926752258572419</v>
      </c>
      <c r="D643" s="41">
        <v>-0.5</v>
      </c>
      <c r="E643" s="43">
        <f t="shared" si="138"/>
        <v>-0.5</v>
      </c>
      <c r="F643" s="48">
        <v>7.79E-3</v>
      </c>
      <c r="G643" s="47">
        <f t="shared" si="139"/>
        <v>5.47E-3</v>
      </c>
      <c r="H643" s="43">
        <f>Volcanic!D643</f>
        <v>-0.5</v>
      </c>
      <c r="I643" s="47">
        <f>Volcanic!E643</f>
        <v>7.1999999999999998E-3</v>
      </c>
      <c r="K643" s="47">
        <f t="shared" si="140"/>
        <v>0.47926752258572419</v>
      </c>
      <c r="L643" s="47">
        <f t="shared" si="141"/>
        <v>-0.5</v>
      </c>
      <c r="M643" s="47">
        <f t="shared" si="142"/>
        <v>7.1999999999999998E-3</v>
      </c>
      <c r="O643" s="47">
        <f t="shared" si="143"/>
        <v>0.47926752258572419</v>
      </c>
      <c r="P643" s="47">
        <f t="shared" si="144"/>
        <v>-0.5</v>
      </c>
      <c r="Q643" s="47">
        <f t="shared" si="145"/>
        <v>5.47E-3</v>
      </c>
      <c r="S643" s="47">
        <f t="shared" si="146"/>
        <v>0.47926752258572419</v>
      </c>
      <c r="T643" s="47">
        <f t="shared" si="147"/>
        <v>-0.5</v>
      </c>
      <c r="U643" s="47">
        <f t="shared" si="148"/>
        <v>5.47E-3</v>
      </c>
      <c r="W643" s="47">
        <f t="shared" si="149"/>
        <v>5.5735010743692248E-2</v>
      </c>
      <c r="X643" s="47">
        <f t="shared" si="150"/>
        <v>5.7598185996481921E-2</v>
      </c>
      <c r="Y643" s="47">
        <f t="shared" si="151"/>
        <v>5.7981967964631509E-2</v>
      </c>
      <c r="AP643" s="48">
        <v>0.72609999999999997</v>
      </c>
      <c r="AQ643" s="48">
        <v>0.80269999999999997</v>
      </c>
      <c r="AR643" s="47">
        <f>IF(AP643="","",AP643-($AC$60+$AC$61*Volcanic!C643+$AC$62*Volcanic!D643+$AC$63*Volcanic!E643))</f>
        <v>4.9972350420620648E-2</v>
      </c>
      <c r="AS643" s="47">
        <f>IF(AQ643="","",AQ643-($AD$60+$AD$61*Volcanic!C643+$AD$62*Volcanic!D643+$AD$63*Volcanic!E643))</f>
        <v>0.10249392420118264</v>
      </c>
    </row>
    <row r="644" spans="1:45">
      <c r="A644" s="45" t="str">
        <f>Volcanic!A644</f>
        <v>9/2011</v>
      </c>
      <c r="B644" s="43">
        <f>Volcanic!B644</f>
        <v>0.55999999999999872</v>
      </c>
      <c r="C644" s="47">
        <f>Volcanic!C644</f>
        <v>0.47538139821873787</v>
      </c>
      <c r="D644" s="41">
        <v>-0.8</v>
      </c>
      <c r="E644" s="43">
        <f t="shared" si="138"/>
        <v>-0.3</v>
      </c>
      <c r="F644" s="48">
        <v>7.7799999999999996E-3</v>
      </c>
      <c r="G644" s="47">
        <f t="shared" si="139"/>
        <v>5.2700000000000004E-3</v>
      </c>
      <c r="H644" s="43">
        <f>Volcanic!D644</f>
        <v>-0.34</v>
      </c>
      <c r="I644" s="47">
        <f>Volcanic!E644</f>
        <v>7.1799999999999998E-3</v>
      </c>
      <c r="K644" s="47">
        <f t="shared" si="140"/>
        <v>0.47538139821873787</v>
      </c>
      <c r="L644" s="47">
        <f t="shared" si="141"/>
        <v>-0.3</v>
      </c>
      <c r="M644" s="47">
        <f t="shared" si="142"/>
        <v>7.1799999999999998E-3</v>
      </c>
      <c r="O644" s="47">
        <f t="shared" si="143"/>
        <v>0.47538139821873787</v>
      </c>
      <c r="P644" s="47">
        <f t="shared" si="144"/>
        <v>-0.34</v>
      </c>
      <c r="Q644" s="47">
        <f t="shared" si="145"/>
        <v>5.2700000000000004E-3</v>
      </c>
      <c r="S644" s="47">
        <f t="shared" si="146"/>
        <v>0.47538139821873787</v>
      </c>
      <c r="T644" s="47">
        <f t="shared" si="147"/>
        <v>-0.3</v>
      </c>
      <c r="U644" s="47">
        <f t="shared" si="148"/>
        <v>5.2700000000000004E-3</v>
      </c>
      <c r="W644" s="47">
        <f t="shared" si="149"/>
        <v>-0.13228567638966526</v>
      </c>
      <c r="X644" s="47">
        <f t="shared" si="150"/>
        <v>-0.12744771052805148</v>
      </c>
      <c r="Y644" s="47">
        <f t="shared" si="151"/>
        <v>-0.1308381565599559</v>
      </c>
      <c r="AP644" s="48">
        <v>0.61109999999999998</v>
      </c>
      <c r="AQ644" s="48">
        <v>0.5857</v>
      </c>
      <c r="AR644" s="47">
        <f>IF(AP644="","",AP644-($AC$60+$AC$61*Volcanic!C644+$AC$62*Volcanic!D644+$AC$63*Volcanic!E644))</f>
        <v>-6.9447507125017571E-2</v>
      </c>
      <c r="AS644" s="47">
        <f>IF(AQ644="","",AQ644-($AD$60+$AD$61*Volcanic!C644+$AD$62*Volcanic!D644+$AD$63*Volcanic!E644))</f>
        <v>-0.11895755804558716</v>
      </c>
    </row>
    <row r="645" spans="1:45">
      <c r="A645" s="45" t="str">
        <f>Volcanic!A645</f>
        <v>10/2011</v>
      </c>
      <c r="B645" s="43">
        <f>Volcanic!B645</f>
        <v>0.65000000000000213</v>
      </c>
      <c r="C645" s="47">
        <f>Volcanic!C645</f>
        <v>0.47504781425465853</v>
      </c>
      <c r="D645" s="41">
        <v>-0.9</v>
      </c>
      <c r="E645" s="43">
        <f t="shared" ref="E645:E708" si="152">IF(D642="","",D642)</f>
        <v>-0.4</v>
      </c>
      <c r="F645" s="48">
        <v>7.4700000000000001E-3</v>
      </c>
      <c r="G645" s="47">
        <f t="shared" si="139"/>
        <v>5.1000000000000004E-3</v>
      </c>
      <c r="H645" s="43">
        <f>Volcanic!D645</f>
        <v>-0.37</v>
      </c>
      <c r="I645" s="47">
        <f>Volcanic!E645</f>
        <v>7.0099999999999997E-3</v>
      </c>
      <c r="K645" s="47">
        <f t="shared" si="140"/>
        <v>0.47504781425465853</v>
      </c>
      <c r="L645" s="47">
        <f t="shared" si="141"/>
        <v>-0.4</v>
      </c>
      <c r="M645" s="47">
        <f t="shared" si="142"/>
        <v>7.0099999999999997E-3</v>
      </c>
      <c r="O645" s="47">
        <f t="shared" si="143"/>
        <v>0.47504781425465853</v>
      </c>
      <c r="P645" s="47">
        <f t="shared" si="144"/>
        <v>-0.37</v>
      </c>
      <c r="Q645" s="47">
        <f t="shared" si="145"/>
        <v>5.1000000000000004E-3</v>
      </c>
      <c r="S645" s="47">
        <f t="shared" si="146"/>
        <v>0.47504781425465853</v>
      </c>
      <c r="T645" s="47">
        <f t="shared" si="147"/>
        <v>-0.4</v>
      </c>
      <c r="U645" s="47">
        <f t="shared" si="148"/>
        <v>5.1000000000000004E-3</v>
      </c>
      <c r="W645" s="47">
        <f t="shared" si="149"/>
        <v>-3.2463210471708748E-2</v>
      </c>
      <c r="X645" s="47">
        <f t="shared" si="150"/>
        <v>-3.4171922369943597E-2</v>
      </c>
      <c r="Y645" s="47">
        <f t="shared" si="151"/>
        <v>-3.0979966635941603E-2</v>
      </c>
      <c r="AP645" s="48">
        <v>0.64959999999999996</v>
      </c>
      <c r="AQ645" s="48">
        <v>0.65069999999999995</v>
      </c>
      <c r="AR645" s="47">
        <f>IF(AP645="","",AP645-($AC$60+$AC$61*Volcanic!C645+$AC$62*Volcanic!D645+$AC$63*Volcanic!E645))</f>
        <v>-2.7636321064330005E-2</v>
      </c>
      <c r="AS645" s="47">
        <f>IF(AQ645="","",AQ645-($AD$60+$AD$61*Volcanic!C645+$AD$62*Volcanic!D645+$AD$63*Volcanic!E645))</f>
        <v>-5.0545655726511707E-2</v>
      </c>
    </row>
    <row r="646" spans="1:45">
      <c r="A646" s="45" t="str">
        <f>Volcanic!A646</f>
        <v>11/2011</v>
      </c>
      <c r="B646" s="43">
        <f>Volcanic!B646</f>
        <v>0.60000000000000142</v>
      </c>
      <c r="C646" s="47">
        <f>Volcanic!C646</f>
        <v>0.47982182967399284</v>
      </c>
      <c r="D646" s="41">
        <v>-1</v>
      </c>
      <c r="E646" s="43">
        <f t="shared" si="152"/>
        <v>-0.5</v>
      </c>
      <c r="F646" s="48">
        <v>7.1799999999999998E-3</v>
      </c>
      <c r="G646" s="47">
        <f t="shared" si="139"/>
        <v>4.9100000000000003E-3</v>
      </c>
      <c r="H646" s="43">
        <f>Volcanic!D646</f>
        <v>-0.5</v>
      </c>
      <c r="I646" s="47">
        <f>Volcanic!E646</f>
        <v>6.8100000000000001E-3</v>
      </c>
      <c r="K646" s="47">
        <f t="shared" si="140"/>
        <v>0.47982182967399284</v>
      </c>
      <c r="L646" s="47">
        <f t="shared" si="141"/>
        <v>-0.5</v>
      </c>
      <c r="M646" s="47">
        <f t="shared" si="142"/>
        <v>6.8100000000000001E-3</v>
      </c>
      <c r="O646" s="47">
        <f t="shared" si="143"/>
        <v>0.47982182967399284</v>
      </c>
      <c r="P646" s="47">
        <f t="shared" si="144"/>
        <v>-0.5</v>
      </c>
      <c r="Q646" s="47">
        <f t="shared" si="145"/>
        <v>4.9100000000000003E-3</v>
      </c>
      <c r="S646" s="47">
        <f t="shared" si="146"/>
        <v>0.47982182967399284</v>
      </c>
      <c r="T646" s="47">
        <f t="shared" si="147"/>
        <v>-0.5</v>
      </c>
      <c r="U646" s="47">
        <f t="shared" si="148"/>
        <v>4.9100000000000003E-3</v>
      </c>
      <c r="W646" s="47">
        <f t="shared" si="149"/>
        <v>-8.6636042912903277E-2</v>
      </c>
      <c r="X646" s="47">
        <f t="shared" si="150"/>
        <v>-8.5363568127816425E-2</v>
      </c>
      <c r="Y646" s="47">
        <f t="shared" si="151"/>
        <v>-8.4981344448030405E-2</v>
      </c>
      <c r="AP646" s="48">
        <v>0.58209999999999995</v>
      </c>
      <c r="AQ646" s="48">
        <v>0.55469999999999997</v>
      </c>
      <c r="AR646" s="47">
        <f>IF(AP646="","",AP646-($AC$60+$AC$61*Volcanic!C646+$AC$62*Volcanic!D646+$AC$63*Volcanic!E646))</f>
        <v>-9.6479663111526337E-2</v>
      </c>
      <c r="AS646" s="47">
        <f>IF(AQ646="","",AQ646-($AD$60+$AD$61*Volcanic!C646+$AD$62*Volcanic!D646+$AD$63*Volcanic!E646))</f>
        <v>-0.14795186931912285</v>
      </c>
    </row>
    <row r="647" spans="1:45">
      <c r="A647" s="45" t="str">
        <f>Volcanic!A647</f>
        <v>12/2011</v>
      </c>
      <c r="B647" s="43">
        <f>Volcanic!B647</f>
        <v>0.60000000000000142</v>
      </c>
      <c r="C647" s="47">
        <f>Volcanic!C647</f>
        <v>0.48564763094194874</v>
      </c>
      <c r="D647" s="41">
        <v>-0.9</v>
      </c>
      <c r="E647" s="43">
        <f t="shared" si="152"/>
        <v>-0.8</v>
      </c>
      <c r="F647" s="48">
        <v>6.0099999999999997E-3</v>
      </c>
      <c r="G647" s="47">
        <f t="shared" si="139"/>
        <v>4.79E-3</v>
      </c>
      <c r="H647" s="43">
        <f>Volcanic!D647</f>
        <v>-0.76</v>
      </c>
      <c r="I647" s="47">
        <f>Volcanic!E647</f>
        <v>6.5500000000000003E-3</v>
      </c>
      <c r="K647" s="47">
        <f t="shared" si="140"/>
        <v>0.48564763094194874</v>
      </c>
      <c r="L647" s="47">
        <f t="shared" si="141"/>
        <v>-0.8</v>
      </c>
      <c r="M647" s="47">
        <f t="shared" si="142"/>
        <v>6.5500000000000003E-3</v>
      </c>
      <c r="O647" s="47">
        <f t="shared" si="143"/>
        <v>0.48564763094194874</v>
      </c>
      <c r="P647" s="47">
        <f t="shared" si="144"/>
        <v>-0.76</v>
      </c>
      <c r="Q647" s="47">
        <f t="shared" si="145"/>
        <v>4.79E-3</v>
      </c>
      <c r="S647" s="47">
        <f t="shared" si="146"/>
        <v>0.48564763094194874</v>
      </c>
      <c r="T647" s="47">
        <f t="shared" si="147"/>
        <v>-0.8</v>
      </c>
      <c r="U647" s="47">
        <f t="shared" si="148"/>
        <v>4.79E-3</v>
      </c>
      <c r="W647" s="47">
        <f t="shared" si="149"/>
        <v>-7.523480229562618E-2</v>
      </c>
      <c r="X647" s="47">
        <f t="shared" si="150"/>
        <v>-7.7004203223594581E-2</v>
      </c>
      <c r="Y647" s="47">
        <f t="shared" si="151"/>
        <v>-7.284065681378149E-2</v>
      </c>
      <c r="AP647" s="48">
        <v>0.56510000000000005</v>
      </c>
      <c r="AQ647" s="48">
        <v>0.63270000000000004</v>
      </c>
      <c r="AR647" s="47">
        <f>IF(AP647="","",AP647-($AC$60+$AC$61*Volcanic!C647+$AC$62*Volcanic!D647+$AC$63*Volcanic!E647))</f>
        <v>-0.1056655289709556</v>
      </c>
      <c r="AS647" s="47">
        <f>IF(AQ647="","",AQ647-($AD$60+$AD$61*Volcanic!C647+$AD$62*Volcanic!D647+$AD$63*Volcanic!E647))</f>
        <v>-6.2018080741852E-2</v>
      </c>
    </row>
    <row r="648" spans="1:45">
      <c r="A648" s="45" t="str">
        <f>Volcanic!A648</f>
        <v>1/2012</v>
      </c>
      <c r="B648" s="43">
        <f>Volcanic!B648</f>
        <v>0.47000000000000242</v>
      </c>
      <c r="C648" s="47">
        <f>Volcanic!C648</f>
        <v>0.4902400404403634</v>
      </c>
      <c r="D648" s="41">
        <v>-0.7</v>
      </c>
      <c r="E648" s="43">
        <f t="shared" si="152"/>
        <v>-0.9</v>
      </c>
      <c r="F648" s="48">
        <v>5.4299999999999999E-3</v>
      </c>
      <c r="G648" s="47">
        <f t="shared" si="139"/>
        <v>4.8300000000000001E-3</v>
      </c>
      <c r="H648" s="43">
        <f>Volcanic!D648</f>
        <v>-0.94</v>
      </c>
      <c r="I648" s="47">
        <f>Volcanic!E648</f>
        <v>7.5700000000000003E-3</v>
      </c>
      <c r="K648" s="47">
        <f t="shared" si="140"/>
        <v>0.4902400404403634</v>
      </c>
      <c r="L648" s="47">
        <f t="shared" si="141"/>
        <v>-0.9</v>
      </c>
      <c r="M648" s="47">
        <f t="shared" si="142"/>
        <v>7.5700000000000003E-3</v>
      </c>
      <c r="O648" s="47">
        <f t="shared" si="143"/>
        <v>0.4902400404403634</v>
      </c>
      <c r="P648" s="47">
        <f t="shared" si="144"/>
        <v>-0.94</v>
      </c>
      <c r="Q648" s="47">
        <f t="shared" si="145"/>
        <v>4.8300000000000001E-3</v>
      </c>
      <c r="S648" s="47">
        <f t="shared" si="146"/>
        <v>0.4902400404403634</v>
      </c>
      <c r="T648" s="47">
        <f t="shared" si="147"/>
        <v>-0.9</v>
      </c>
      <c r="U648" s="47">
        <f t="shared" si="148"/>
        <v>4.8300000000000001E-3</v>
      </c>
      <c r="W648" s="47">
        <f t="shared" si="149"/>
        <v>-0.206224067511247</v>
      </c>
      <c r="X648" s="47">
        <f t="shared" si="150"/>
        <v>-0.20240712086574042</v>
      </c>
      <c r="Y648" s="47">
        <f t="shared" si="151"/>
        <v>-0.20574946174712039</v>
      </c>
      <c r="AP648" s="48">
        <v>0.44</v>
      </c>
      <c r="AQ648" s="48">
        <v>0.46970000000000001</v>
      </c>
      <c r="AR648" s="47">
        <f>IF(AP648="","",AP648-($AC$60+$AC$61*Volcanic!C648+$AC$62*Volcanic!D648+$AC$63*Volcanic!E648))</f>
        <v>-0.22399515701590306</v>
      </c>
      <c r="AS648" s="47">
        <f>IF(AQ648="","",AQ648-($AD$60+$AD$61*Volcanic!C648+$AD$62*Volcanic!D648+$AD$63*Volcanic!E648))</f>
        <v>-0.21834318492778326</v>
      </c>
    </row>
    <row r="649" spans="1:45">
      <c r="A649" s="45" t="str">
        <f>Volcanic!A649</f>
        <v>2/2012</v>
      </c>
      <c r="B649" s="43">
        <f>Volcanic!B649</f>
        <v>0.47999999999999865</v>
      </c>
      <c r="C649" s="47">
        <f>Volcanic!C649</f>
        <v>0.49291526157867827</v>
      </c>
      <c r="D649" s="41">
        <v>-0.6</v>
      </c>
      <c r="E649" s="43">
        <f t="shared" si="152"/>
        <v>-1</v>
      </c>
      <c r="F649" s="48">
        <v>5.2100000000000002E-3</v>
      </c>
      <c r="G649" s="47">
        <f t="shared" ref="G649:G712" si="153">IF(F642="","",F642)</f>
        <v>6.2500000000000003E-3</v>
      </c>
      <c r="H649" s="43">
        <f>Volcanic!D649</f>
        <v>-1.02</v>
      </c>
      <c r="I649" s="47">
        <f>Volcanic!E649</f>
        <v>9.1000000000000004E-3</v>
      </c>
      <c r="K649" s="47">
        <f t="shared" si="140"/>
        <v>0.49291526157867827</v>
      </c>
      <c r="L649" s="47">
        <f t="shared" si="141"/>
        <v>-1</v>
      </c>
      <c r="M649" s="47">
        <f t="shared" si="142"/>
        <v>9.1000000000000004E-3</v>
      </c>
      <c r="O649" s="47">
        <f t="shared" si="143"/>
        <v>0.49291526157867827</v>
      </c>
      <c r="P649" s="47">
        <f t="shared" si="144"/>
        <v>-1.02</v>
      </c>
      <c r="Q649" s="47">
        <f t="shared" si="145"/>
        <v>6.2500000000000003E-3</v>
      </c>
      <c r="S649" s="47">
        <f t="shared" si="146"/>
        <v>0.49291526157867827</v>
      </c>
      <c r="T649" s="47">
        <f t="shared" si="147"/>
        <v>-1</v>
      </c>
      <c r="U649" s="47">
        <f t="shared" si="148"/>
        <v>6.2500000000000003E-3</v>
      </c>
      <c r="W649" s="47">
        <f t="shared" si="149"/>
        <v>-0.19086107361938787</v>
      </c>
      <c r="X649" s="47">
        <f t="shared" si="150"/>
        <v>-0.18841478906493325</v>
      </c>
      <c r="Y649" s="47">
        <f t="shared" si="151"/>
        <v>-0.18986572565675475</v>
      </c>
      <c r="AP649" s="48">
        <v>0.53100000000000003</v>
      </c>
      <c r="AQ649" s="48">
        <v>0.52170000000000005</v>
      </c>
      <c r="AR649" s="47">
        <f>IF(AP649="","",AP649-($AC$60+$AC$61*Volcanic!C649+$AC$62*Volcanic!D649+$AC$63*Volcanic!E649))</f>
        <v>-0.12912704298260269</v>
      </c>
      <c r="AS649" s="47">
        <f>IF(AQ649="","",AQ649-($AD$60+$AD$61*Volcanic!C649+$AD$62*Volcanic!D649+$AD$63*Volcanic!E649))</f>
        <v>-0.16268680158093407</v>
      </c>
    </row>
    <row r="650" spans="1:45">
      <c r="A650" s="45" t="str">
        <f>Volcanic!A650</f>
        <v>3/2012</v>
      </c>
      <c r="B650" s="43">
        <f>Volcanic!B650</f>
        <v>0.57000000000000028</v>
      </c>
      <c r="C650" s="47">
        <f>Volcanic!C650</f>
        <v>0.49492756747912453</v>
      </c>
      <c r="D650" s="41">
        <v>-0.4</v>
      </c>
      <c r="E650" s="43">
        <f t="shared" si="152"/>
        <v>-0.9</v>
      </c>
      <c r="F650" s="48">
        <v>4.8900000000000002E-3</v>
      </c>
      <c r="G650" s="47">
        <f t="shared" si="153"/>
        <v>7.79E-3</v>
      </c>
      <c r="H650" s="43">
        <f>Volcanic!D650</f>
        <v>-0.92</v>
      </c>
      <c r="I650" s="47">
        <f>Volcanic!E650</f>
        <v>1.0319999999999999E-2</v>
      </c>
      <c r="K650" s="47">
        <f t="shared" si="140"/>
        <v>0.49492756747912453</v>
      </c>
      <c r="L650" s="47">
        <f t="shared" si="141"/>
        <v>-0.9</v>
      </c>
      <c r="M650" s="47">
        <f t="shared" si="142"/>
        <v>1.0319999999999999E-2</v>
      </c>
      <c r="O650" s="47">
        <f t="shared" si="143"/>
        <v>0.49492756747912453</v>
      </c>
      <c r="P650" s="47">
        <f t="shared" si="144"/>
        <v>-0.92</v>
      </c>
      <c r="Q650" s="47">
        <f t="shared" si="145"/>
        <v>7.79E-3</v>
      </c>
      <c r="S650" s="47">
        <f t="shared" si="146"/>
        <v>0.49492756747912453</v>
      </c>
      <c r="T650" s="47">
        <f t="shared" si="147"/>
        <v>-0.9</v>
      </c>
      <c r="U650" s="47">
        <f t="shared" si="148"/>
        <v>7.79E-3</v>
      </c>
      <c r="W650" s="47">
        <f t="shared" si="149"/>
        <v>-0.11294796575684285</v>
      </c>
      <c r="X650" s="47">
        <f t="shared" si="150"/>
        <v>-0.10922519652010831</v>
      </c>
      <c r="Y650" s="47">
        <f t="shared" si="151"/>
        <v>-0.11067827105607231</v>
      </c>
      <c r="AP650" s="48">
        <v>0.49130000000000001</v>
      </c>
      <c r="AQ650" s="48">
        <v>0.50670000000000004</v>
      </c>
      <c r="AR650" s="47">
        <f>IF(AP650="","",AP650-($AC$60+$AC$61*Volcanic!C650+$AC$62*Volcanic!D650+$AC$63*Volcanic!E650))</f>
        <v>-0.18075080753918843</v>
      </c>
      <c r="AS650" s="47">
        <f>IF(AQ650="","",AQ650-($AD$60+$AD$61*Volcanic!C650+$AD$62*Volcanic!D650+$AD$63*Volcanic!E650))</f>
        <v>-0.19008525347646044</v>
      </c>
    </row>
    <row r="651" spans="1:45">
      <c r="A651" s="45" t="str">
        <f>Volcanic!A651</f>
        <v>4/2012</v>
      </c>
      <c r="B651" s="43">
        <f>Volcanic!B651</f>
        <v>0.7300000000000022</v>
      </c>
      <c r="C651" s="47">
        <f>Volcanic!C651</f>
        <v>0.50145734365703309</v>
      </c>
      <c r="D651" s="41">
        <v>-0.3</v>
      </c>
      <c r="E651" s="43">
        <f t="shared" si="152"/>
        <v>-0.7</v>
      </c>
      <c r="F651" s="48">
        <v>4.8300000000000001E-3</v>
      </c>
      <c r="G651" s="47">
        <f t="shared" si="153"/>
        <v>7.7799999999999996E-3</v>
      </c>
      <c r="H651" s="43">
        <f>Volcanic!D651</f>
        <v>-0.71</v>
      </c>
      <c r="I651" s="47">
        <f>Volcanic!E651</f>
        <v>1.0619999999999999E-2</v>
      </c>
      <c r="K651" s="47">
        <f t="shared" si="140"/>
        <v>0.50145734365703309</v>
      </c>
      <c r="L651" s="47">
        <f t="shared" si="141"/>
        <v>-0.7</v>
      </c>
      <c r="M651" s="47">
        <f t="shared" si="142"/>
        <v>1.0619999999999999E-2</v>
      </c>
      <c r="O651" s="47">
        <f t="shared" si="143"/>
        <v>0.50145734365703309</v>
      </c>
      <c r="P651" s="47">
        <f t="shared" si="144"/>
        <v>-0.71</v>
      </c>
      <c r="Q651" s="47">
        <f t="shared" si="145"/>
        <v>7.7799999999999996E-3</v>
      </c>
      <c r="S651" s="47">
        <f t="shared" si="146"/>
        <v>0.50145734365703309</v>
      </c>
      <c r="T651" s="47">
        <f t="shared" si="147"/>
        <v>-0.7</v>
      </c>
      <c r="U651" s="47">
        <f t="shared" si="148"/>
        <v>7.7799999999999996E-3</v>
      </c>
      <c r="W651" s="47">
        <f t="shared" si="149"/>
        <v>1.1330745931954156E-2</v>
      </c>
      <c r="X651" s="47">
        <f t="shared" si="150"/>
        <v>1.3368313117209318E-2</v>
      </c>
      <c r="Y651" s="47">
        <f t="shared" si="151"/>
        <v>1.2841558582543877E-2</v>
      </c>
      <c r="AP651" s="48">
        <v>0.67879999999999996</v>
      </c>
      <c r="AQ651" s="48">
        <v>0.76570000000000005</v>
      </c>
      <c r="AR651" s="47">
        <f>IF(AP651="","",AP651-($AC$60+$AC$61*Volcanic!C651+$AC$62*Volcanic!D651+$AC$63*Volcanic!E651))</f>
        <v>-3.0024678394370286E-2</v>
      </c>
      <c r="AS651" s="47">
        <f>IF(AQ651="","",AQ651-($AD$60+$AD$61*Volcanic!C651+$AD$62*Volcanic!D651+$AD$63*Volcanic!E651))</f>
        <v>3.1244141001803061E-2</v>
      </c>
    </row>
    <row r="652" spans="1:45">
      <c r="A652" s="45" t="str">
        <f>Volcanic!A652</f>
        <v>5/2012</v>
      </c>
      <c r="B652" s="43">
        <f>Volcanic!B652</f>
        <v>0.77999999999999758</v>
      </c>
      <c r="C652" s="47">
        <f>Volcanic!C652</f>
        <v>0.50345777829071003</v>
      </c>
      <c r="D652" s="41">
        <v>-0.2</v>
      </c>
      <c r="E652" s="43">
        <f t="shared" si="152"/>
        <v>-0.6</v>
      </c>
      <c r="F652" s="48">
        <v>4.7400000000000003E-3</v>
      </c>
      <c r="G652" s="47">
        <f t="shared" si="153"/>
        <v>7.4700000000000001E-3</v>
      </c>
      <c r="H652" s="43">
        <f>Volcanic!D652</f>
        <v>-0.56000000000000005</v>
      </c>
      <c r="I652" s="47">
        <f>Volcanic!E652</f>
        <v>1.043E-2</v>
      </c>
      <c r="K652" s="47">
        <f t="shared" si="140"/>
        <v>0.50345777829071003</v>
      </c>
      <c r="L652" s="47">
        <f t="shared" si="141"/>
        <v>-0.6</v>
      </c>
      <c r="M652" s="47">
        <f t="shared" si="142"/>
        <v>1.043E-2</v>
      </c>
      <c r="O652" s="47">
        <f t="shared" si="143"/>
        <v>0.50345777829071003</v>
      </c>
      <c r="P652" s="47">
        <f t="shared" si="144"/>
        <v>-0.56000000000000005</v>
      </c>
      <c r="Q652" s="47">
        <f t="shared" si="145"/>
        <v>7.4700000000000001E-3</v>
      </c>
      <c r="S652" s="47">
        <f t="shared" si="146"/>
        <v>0.50345777829071003</v>
      </c>
      <c r="T652" s="47">
        <f t="shared" si="147"/>
        <v>-0.6</v>
      </c>
      <c r="U652" s="47">
        <f t="shared" si="148"/>
        <v>7.4700000000000001E-3</v>
      </c>
      <c r="W652" s="47">
        <f t="shared" si="149"/>
        <v>4.6169258237857891E-2</v>
      </c>
      <c r="X652" s="47">
        <f t="shared" si="150"/>
        <v>4.3059599749853628E-2</v>
      </c>
      <c r="Y652" s="47">
        <f t="shared" si="151"/>
        <v>4.7221810599772485E-2</v>
      </c>
      <c r="AP652" s="48">
        <v>0.7268</v>
      </c>
      <c r="AQ652" s="48">
        <v>0.80669999999999997</v>
      </c>
      <c r="AR652" s="47">
        <f>IF(AP652="","",AP652-($AC$60+$AC$61*Volcanic!C652+$AC$62*Volcanic!D652+$AC$63*Volcanic!E652))</f>
        <v>-1.9910246320203884E-3</v>
      </c>
      <c r="AS652" s="47">
        <f>IF(AQ652="","",AQ652-($AD$60+$AD$61*Volcanic!C652+$AD$62*Volcanic!D652+$AD$63*Volcanic!E652))</f>
        <v>5.1871320938666532E-2</v>
      </c>
    </row>
    <row r="653" spans="1:45">
      <c r="A653" s="45" t="str">
        <f>Volcanic!A653</f>
        <v>6/2012</v>
      </c>
      <c r="B653" s="43">
        <f>Volcanic!B653</f>
        <v>0.65000000000000213</v>
      </c>
      <c r="C653" s="47">
        <f>Volcanic!C653</f>
        <v>0.49974568063274527</v>
      </c>
      <c r="D653" s="41">
        <v>0</v>
      </c>
      <c r="E653" s="43">
        <f t="shared" si="152"/>
        <v>-0.4</v>
      </c>
      <c r="F653" s="48">
        <v>4.6800000000000001E-3</v>
      </c>
      <c r="G653" s="47">
        <f t="shared" si="153"/>
        <v>7.1799999999999998E-3</v>
      </c>
      <c r="H653" s="43">
        <f>Volcanic!D653</f>
        <v>-0.44</v>
      </c>
      <c r="I653" s="47">
        <f>Volcanic!E653</f>
        <v>9.9100000000000004E-3</v>
      </c>
      <c r="K653" s="47">
        <f t="shared" si="140"/>
        <v>0.49974568063274527</v>
      </c>
      <c r="L653" s="47">
        <f t="shared" si="141"/>
        <v>-0.4</v>
      </c>
      <c r="M653" s="47">
        <f t="shared" si="142"/>
        <v>9.9100000000000004E-3</v>
      </c>
      <c r="O653" s="47">
        <f t="shared" si="143"/>
        <v>0.49974568063274527</v>
      </c>
      <c r="P653" s="47">
        <f t="shared" si="144"/>
        <v>-0.44</v>
      </c>
      <c r="Q653" s="47">
        <f t="shared" si="145"/>
        <v>7.1799999999999998E-3</v>
      </c>
      <c r="S653" s="47">
        <f t="shared" si="146"/>
        <v>0.49974568063274527</v>
      </c>
      <c r="T653" s="47">
        <f t="shared" si="147"/>
        <v>-0.4</v>
      </c>
      <c r="U653" s="47">
        <f t="shared" si="148"/>
        <v>7.1799999999999998E-3</v>
      </c>
      <c r="W653" s="47">
        <f t="shared" si="149"/>
        <v>-9.3427788449222393E-2</v>
      </c>
      <c r="X653" s="47">
        <f t="shared" si="150"/>
        <v>-8.8934492038631685E-2</v>
      </c>
      <c r="Y653" s="47">
        <f t="shared" si="151"/>
        <v>-9.2304181266360308E-2</v>
      </c>
      <c r="AP653" s="48">
        <v>0.70040000000000002</v>
      </c>
      <c r="AQ653" s="48">
        <v>0.68569999999999998</v>
      </c>
      <c r="AR653" s="47">
        <f>IF(AP653="","",AP653-($AC$60+$AC$61*Volcanic!C653+$AC$62*Volcanic!D653+$AC$63*Volcanic!E653))</f>
        <v>-3.0743377010891693E-2</v>
      </c>
      <c r="AS653" s="47">
        <f>IF(AQ653="","",AQ653-($AD$60+$AD$61*Volcanic!C653+$AD$62*Volcanic!D653+$AD$63*Volcanic!E653))</f>
        <v>-7.1390196202488321E-2</v>
      </c>
    </row>
    <row r="654" spans="1:45">
      <c r="A654" s="45" t="str">
        <f>Volcanic!A654</f>
        <v>7/2012</v>
      </c>
      <c r="B654" s="43">
        <f>Volcanic!B654</f>
        <v>0.58999999999999986</v>
      </c>
      <c r="C654" s="47">
        <f>Volcanic!C654</f>
        <v>0.49481787768314806</v>
      </c>
      <c r="D654" s="41">
        <v>0.3</v>
      </c>
      <c r="E654" s="43">
        <f t="shared" si="152"/>
        <v>-0.3</v>
      </c>
      <c r="F654" s="48">
        <v>4.7200000000000002E-3</v>
      </c>
      <c r="G654" s="47">
        <f t="shared" si="153"/>
        <v>6.0099999999999997E-3</v>
      </c>
      <c r="H654" s="43">
        <f>Volcanic!D654</f>
        <v>-0.35</v>
      </c>
      <c r="I654" s="47">
        <f>Volcanic!E654</f>
        <v>8.3300000000000006E-3</v>
      </c>
      <c r="K654" s="47">
        <f t="shared" si="140"/>
        <v>0.49481787768314806</v>
      </c>
      <c r="L654" s="47">
        <f t="shared" si="141"/>
        <v>-0.3</v>
      </c>
      <c r="M654" s="47">
        <f t="shared" si="142"/>
        <v>8.3300000000000006E-3</v>
      </c>
      <c r="O654" s="47">
        <f t="shared" si="143"/>
        <v>0.49481787768314806</v>
      </c>
      <c r="P654" s="47">
        <f t="shared" si="144"/>
        <v>-0.35</v>
      </c>
      <c r="Q654" s="47">
        <f t="shared" si="145"/>
        <v>6.0099999999999997E-3</v>
      </c>
      <c r="S654" s="47">
        <f t="shared" si="146"/>
        <v>0.49481787768314806</v>
      </c>
      <c r="T654" s="47">
        <f t="shared" si="147"/>
        <v>-0.3</v>
      </c>
      <c r="U654" s="47">
        <f t="shared" si="148"/>
        <v>6.0099999999999997E-3</v>
      </c>
      <c r="W654" s="47">
        <f t="shared" si="149"/>
        <v>-0.15275782880486155</v>
      </c>
      <c r="X654" s="47">
        <f t="shared" si="150"/>
        <v>-0.14712296525994739</v>
      </c>
      <c r="Y654" s="47">
        <f t="shared" si="151"/>
        <v>-0.15144460827924244</v>
      </c>
      <c r="AP654" s="48">
        <v>0.64119999999999999</v>
      </c>
      <c r="AQ654" s="48">
        <v>0.56269999999999998</v>
      </c>
      <c r="AR654" s="47">
        <f>IF(AP654="","",AP654-($AC$60+$AC$61*Volcanic!C654+$AC$62*Volcanic!D654+$AC$63*Volcanic!E654))</f>
        <v>-8.8717333942896714E-2</v>
      </c>
      <c r="AS654" s="47">
        <f>IF(AQ654="","",AQ654-($AD$60+$AD$61*Volcanic!C654+$AD$62*Volcanic!D654+$AD$63*Volcanic!E654))</f>
        <v>-0.19280750050892759</v>
      </c>
    </row>
    <row r="655" spans="1:45">
      <c r="A655" s="45" t="str">
        <f>Volcanic!A655</f>
        <v>8/2012</v>
      </c>
      <c r="B655" s="43">
        <f>Volcanic!B655</f>
        <v>0.66000000000000369</v>
      </c>
      <c r="C655" s="47">
        <f>Volcanic!C655</f>
        <v>0.48759659796662874</v>
      </c>
      <c r="D655" s="41">
        <v>0.4</v>
      </c>
      <c r="E655" s="43">
        <f t="shared" si="152"/>
        <v>-0.2</v>
      </c>
      <c r="F655" s="48">
        <v>4.7299999999999998E-3</v>
      </c>
      <c r="G655" s="47">
        <f t="shared" si="153"/>
        <v>5.4299999999999999E-3</v>
      </c>
      <c r="H655" s="43">
        <f>Volcanic!D655</f>
        <v>-0.18</v>
      </c>
      <c r="I655" s="47">
        <f>Volcanic!E655</f>
        <v>7.6600000000000001E-3</v>
      </c>
      <c r="K655" s="47">
        <f t="shared" si="140"/>
        <v>0.48759659796662874</v>
      </c>
      <c r="L655" s="47">
        <f t="shared" si="141"/>
        <v>-0.2</v>
      </c>
      <c r="M655" s="47">
        <f t="shared" si="142"/>
        <v>7.6600000000000001E-3</v>
      </c>
      <c r="O655" s="47">
        <f t="shared" si="143"/>
        <v>0.48759659796662874</v>
      </c>
      <c r="P655" s="47">
        <f t="shared" si="144"/>
        <v>-0.18</v>
      </c>
      <c r="Q655" s="47">
        <f t="shared" si="145"/>
        <v>5.4299999999999999E-3</v>
      </c>
      <c r="S655" s="47">
        <f t="shared" si="146"/>
        <v>0.48759659796662874</v>
      </c>
      <c r="T655" s="47">
        <f t="shared" si="147"/>
        <v>-0.2</v>
      </c>
      <c r="U655" s="47">
        <f t="shared" si="148"/>
        <v>5.4299999999999999E-3</v>
      </c>
      <c r="W655" s="47">
        <f t="shared" si="149"/>
        <v>-7.3828004896055011E-2</v>
      </c>
      <c r="X655" s="47">
        <f t="shared" si="150"/>
        <v>-7.5084214276468497E-2</v>
      </c>
      <c r="Y655" s="47">
        <f t="shared" si="151"/>
        <v>-7.2841792118037541E-2</v>
      </c>
      <c r="AP655" s="48">
        <v>0.72050000000000003</v>
      </c>
      <c r="AQ655" s="48">
        <v>0.73170000000000002</v>
      </c>
      <c r="AR655" s="47">
        <f>IF(AP655="","",AP655-($AC$60+$AC$61*Volcanic!C655+$AC$62*Volcanic!D655+$AC$63*Volcanic!E655))</f>
        <v>-7.2306704901181629E-3</v>
      </c>
      <c r="AS655" s="47">
        <f>IF(AQ655="","",AQ655-($AD$60+$AD$61*Volcanic!C655+$AD$62*Volcanic!D655+$AD$63*Volcanic!E655))</f>
        <v>-2.1361944840982194E-2</v>
      </c>
    </row>
    <row r="656" spans="1:45">
      <c r="A656" s="45" t="str">
        <f>Volcanic!A656</f>
        <v>9/2012</v>
      </c>
      <c r="B656" s="43">
        <f>Volcanic!B656</f>
        <v>0.72000000000000242</v>
      </c>
      <c r="C656" s="47">
        <f>Volcanic!C656</f>
        <v>0.48292201974993032</v>
      </c>
      <c r="D656" s="41">
        <v>0.4</v>
      </c>
      <c r="E656" s="43">
        <f t="shared" si="152"/>
        <v>0</v>
      </c>
      <c r="F656" s="48">
        <v>4.7200000000000002E-3</v>
      </c>
      <c r="G656" s="47">
        <f t="shared" si="153"/>
        <v>5.2100000000000002E-3</v>
      </c>
      <c r="H656" s="43">
        <f>Volcanic!D656</f>
        <v>0.03</v>
      </c>
      <c r="I656" s="47">
        <f>Volcanic!E656</f>
        <v>7.3200000000000001E-3</v>
      </c>
      <c r="K656" s="47">
        <f t="shared" si="140"/>
        <v>0.48292201974993032</v>
      </c>
      <c r="L656" s="47">
        <f t="shared" si="141"/>
        <v>0</v>
      </c>
      <c r="M656" s="47">
        <f t="shared" si="142"/>
        <v>7.3200000000000001E-3</v>
      </c>
      <c r="O656" s="47">
        <f t="shared" si="143"/>
        <v>0.48292201974993032</v>
      </c>
      <c r="P656" s="47">
        <f t="shared" si="144"/>
        <v>0.03</v>
      </c>
      <c r="Q656" s="47">
        <f t="shared" si="145"/>
        <v>5.2100000000000002E-3</v>
      </c>
      <c r="S656" s="47">
        <f t="shared" si="146"/>
        <v>0.48292201974993032</v>
      </c>
      <c r="T656" s="47">
        <f t="shared" si="147"/>
        <v>0</v>
      </c>
      <c r="U656" s="47">
        <f t="shared" si="148"/>
        <v>5.2100000000000002E-3</v>
      </c>
      <c r="W656" s="47">
        <f t="shared" si="149"/>
        <v>-2.0403587666583234E-2</v>
      </c>
      <c r="X656" s="47">
        <f t="shared" si="150"/>
        <v>-2.2747527947969748E-2</v>
      </c>
      <c r="Y656" s="47">
        <f t="shared" si="151"/>
        <v>-1.9582824931225207E-2</v>
      </c>
      <c r="AP656" s="48">
        <v>0.71050000000000002</v>
      </c>
      <c r="AQ656" s="48">
        <v>0.76370000000000005</v>
      </c>
      <c r="AR656" s="47">
        <f>IF(AP656="","",AP656-($AC$60+$AC$61*Volcanic!C656+$AC$62*Volcanic!D656+$AC$63*Volcanic!E656))</f>
        <v>-2.4949808722140809E-2</v>
      </c>
      <c r="AS656" s="47">
        <f>IF(AQ656="","",AQ656-($AD$60+$AD$61*Volcanic!C656+$AD$62*Volcanic!D656+$AD$63*Volcanic!E656))</f>
        <v>2.8838172177592103E-3</v>
      </c>
    </row>
    <row r="657" spans="1:45">
      <c r="A657" s="45" t="str">
        <f>Volcanic!A657</f>
        <v>10/2012</v>
      </c>
      <c r="B657" s="43">
        <f>Volcanic!B657</f>
        <v>0.79999999999999893</v>
      </c>
      <c r="C657" s="47">
        <f>Volcanic!C657</f>
        <v>0.48273767097945647</v>
      </c>
      <c r="D657" s="41">
        <v>0.3</v>
      </c>
      <c r="E657" s="43">
        <f t="shared" si="152"/>
        <v>0.3</v>
      </c>
      <c r="F657" s="48">
        <v>4.5599999999999998E-3</v>
      </c>
      <c r="G657" s="47">
        <f t="shared" si="153"/>
        <v>4.8900000000000002E-3</v>
      </c>
      <c r="H657" s="43">
        <f>Volcanic!D657</f>
        <v>0.28000000000000003</v>
      </c>
      <c r="I657" s="47">
        <f>Volcanic!E657</f>
        <v>6.8999999999999999E-3</v>
      </c>
      <c r="K657" s="47">
        <f t="shared" si="140"/>
        <v>0.48273767097945647</v>
      </c>
      <c r="L657" s="47">
        <f t="shared" si="141"/>
        <v>0.3</v>
      </c>
      <c r="M657" s="47">
        <f t="shared" si="142"/>
        <v>6.8999999999999999E-3</v>
      </c>
      <c r="O657" s="47">
        <f t="shared" si="143"/>
        <v>0.48273767097945647</v>
      </c>
      <c r="P657" s="47">
        <f t="shared" si="144"/>
        <v>0.28000000000000003</v>
      </c>
      <c r="Q657" s="47">
        <f t="shared" si="145"/>
        <v>4.8900000000000002E-3</v>
      </c>
      <c r="S657" s="47">
        <f t="shared" si="146"/>
        <v>0.48273767097945647</v>
      </c>
      <c r="T657" s="47">
        <f t="shared" si="147"/>
        <v>0.3</v>
      </c>
      <c r="U657" s="47">
        <f t="shared" si="148"/>
        <v>4.8900000000000002E-3</v>
      </c>
      <c r="W657" s="47">
        <f t="shared" si="149"/>
        <v>3.1311684260813211E-2</v>
      </c>
      <c r="X657" s="47">
        <f t="shared" si="150"/>
        <v>3.3430746807039613E-2</v>
      </c>
      <c r="Y657" s="47">
        <f t="shared" si="151"/>
        <v>3.1875116859435448E-2</v>
      </c>
      <c r="AP657" s="48">
        <v>0.79920000000000002</v>
      </c>
      <c r="AQ657" s="48">
        <v>0.8367</v>
      </c>
      <c r="AR657" s="47">
        <f>IF(AP657="","",AP657-($AC$60+$AC$61*Volcanic!C657+$AC$62*Volcanic!D657+$AC$63*Volcanic!E657))</f>
        <v>3.9831696102944125E-2</v>
      </c>
      <c r="AS657" s="47">
        <f>IF(AQ657="","",AQ657-($AD$60+$AD$61*Volcanic!C657+$AD$62*Volcanic!D657+$AD$63*Volcanic!E657))</f>
        <v>5.1547126354964168E-2</v>
      </c>
    </row>
    <row r="658" spans="1:45">
      <c r="A658" s="45" t="str">
        <f>Volcanic!A658</f>
        <v>11/2012</v>
      </c>
      <c r="B658" s="43">
        <f>Volcanic!B658</f>
        <v>0.77999999999999758</v>
      </c>
      <c r="C658" s="47">
        <f>Volcanic!C658</f>
        <v>0.48983649450825167</v>
      </c>
      <c r="D658" s="41">
        <v>0.1</v>
      </c>
      <c r="E658" s="43">
        <f t="shared" si="152"/>
        <v>0.4</v>
      </c>
      <c r="F658" s="48">
        <v>4.5100000000000001E-3</v>
      </c>
      <c r="G658" s="47">
        <f t="shared" si="153"/>
        <v>4.8300000000000001E-3</v>
      </c>
      <c r="H658" s="43">
        <f>Volcanic!D658</f>
        <v>0.39</v>
      </c>
      <c r="I658" s="47">
        <f>Volcanic!E658</f>
        <v>6.96E-3</v>
      </c>
      <c r="K658" s="47">
        <f t="shared" si="140"/>
        <v>0.48983649450825167</v>
      </c>
      <c r="L658" s="47">
        <f t="shared" si="141"/>
        <v>0.4</v>
      </c>
      <c r="M658" s="47">
        <f t="shared" si="142"/>
        <v>6.96E-3</v>
      </c>
      <c r="O658" s="47">
        <f t="shared" si="143"/>
        <v>0.48983649450825167</v>
      </c>
      <c r="P658" s="47">
        <f t="shared" si="144"/>
        <v>0.39</v>
      </c>
      <c r="Q658" s="47">
        <f t="shared" si="145"/>
        <v>4.8300000000000001E-3</v>
      </c>
      <c r="S658" s="47">
        <f t="shared" si="146"/>
        <v>0.48983649450825167</v>
      </c>
      <c r="T658" s="47">
        <f t="shared" si="147"/>
        <v>0.4</v>
      </c>
      <c r="U658" s="47">
        <f t="shared" si="148"/>
        <v>4.8300000000000001E-3</v>
      </c>
      <c r="W658" s="47">
        <f t="shared" si="149"/>
        <v>-1.7202996396275316E-2</v>
      </c>
      <c r="X658" s="47">
        <f t="shared" si="150"/>
        <v>-1.6251227122217493E-2</v>
      </c>
      <c r="Y658" s="47">
        <f t="shared" si="151"/>
        <v>-1.6873025041945322E-2</v>
      </c>
      <c r="AP658" s="48">
        <v>0.79110000000000003</v>
      </c>
      <c r="AQ658" s="48">
        <v>0.79669999999999996</v>
      </c>
      <c r="AR658" s="47">
        <f>IF(AP658="","",AP658-($AC$60+$AC$61*Volcanic!C658+$AC$62*Volcanic!D658+$AC$63*Volcanic!E658))</f>
        <v>2.1910019980295736E-3</v>
      </c>
      <c r="AS658" s="47">
        <f>IF(AQ658="","",AQ658-($AD$60+$AD$61*Volcanic!C658+$AD$62*Volcanic!D658+$AD$63*Volcanic!E658))</f>
        <v>-1.8710572186943497E-2</v>
      </c>
    </row>
    <row r="659" spans="1:45">
      <c r="A659" s="45" t="str">
        <f>Volcanic!A659</f>
        <v>12/2012</v>
      </c>
      <c r="B659" s="43">
        <f>Volcanic!B659</f>
        <v>0.52999999999999758</v>
      </c>
      <c r="C659" s="47">
        <f>Volcanic!C659</f>
        <v>0.49485444187513067</v>
      </c>
      <c r="D659" s="41">
        <v>0</v>
      </c>
      <c r="E659" s="43">
        <f t="shared" si="152"/>
        <v>0.4</v>
      </c>
      <c r="F659" s="48">
        <v>4.3099999999999996E-3</v>
      </c>
      <c r="G659" s="47">
        <f t="shared" si="153"/>
        <v>4.7400000000000003E-3</v>
      </c>
      <c r="H659" s="43">
        <f>Volcanic!D659</f>
        <v>0.37</v>
      </c>
      <c r="I659" s="47">
        <f>Volcanic!E659</f>
        <v>6.5799999999999999E-3</v>
      </c>
      <c r="K659" s="47">
        <f t="shared" si="140"/>
        <v>0.49485444187513067</v>
      </c>
      <c r="L659" s="47">
        <f t="shared" si="141"/>
        <v>0.4</v>
      </c>
      <c r="M659" s="47">
        <f t="shared" si="142"/>
        <v>6.5799999999999999E-3</v>
      </c>
      <c r="O659" s="47">
        <f t="shared" si="143"/>
        <v>0.49485444187513067</v>
      </c>
      <c r="P659" s="47">
        <f t="shared" si="144"/>
        <v>0.37</v>
      </c>
      <c r="Q659" s="47">
        <f t="shared" si="145"/>
        <v>4.7400000000000003E-3</v>
      </c>
      <c r="S659" s="47">
        <f t="shared" si="146"/>
        <v>0.49485444187513067</v>
      </c>
      <c r="T659" s="47">
        <f t="shared" si="147"/>
        <v>0.4</v>
      </c>
      <c r="U659" s="47">
        <f t="shared" si="148"/>
        <v>4.7400000000000003E-3</v>
      </c>
      <c r="W659" s="47">
        <f t="shared" si="149"/>
        <v>-0.28172503396634874</v>
      </c>
      <c r="X659" s="47">
        <f t="shared" si="150"/>
        <v>-0.27817406711084969</v>
      </c>
      <c r="Y659" s="47">
        <f t="shared" si="151"/>
        <v>-0.28067334704725799</v>
      </c>
      <c r="AP659" s="48">
        <v>0.53110000000000002</v>
      </c>
      <c r="AQ659" s="48">
        <v>0.59670000000000001</v>
      </c>
      <c r="AR659" s="47">
        <f>IF(AP659="","",AP659-($AC$60+$AC$61*Volcanic!C659+$AC$62*Volcanic!D659+$AC$63*Volcanic!E659))</f>
        <v>-0.27055249978299545</v>
      </c>
      <c r="AS659" s="47">
        <f>IF(AQ659="","",AQ659-($AD$60+$AD$61*Volcanic!C659+$AD$62*Volcanic!D659+$AD$63*Volcanic!E659))</f>
        <v>-0.23172435338395059</v>
      </c>
    </row>
    <row r="660" spans="1:45">
      <c r="A660" s="45" t="str">
        <f>Volcanic!A660</f>
        <v>1/2013</v>
      </c>
      <c r="B660" s="43">
        <f>Volcanic!B660</f>
        <v>0.71000000000000085</v>
      </c>
      <c r="C660" s="47">
        <f>Volcanic!C660</f>
        <v>0.49927188316908833</v>
      </c>
      <c r="D660" s="41">
        <v>-0.2</v>
      </c>
      <c r="E660" s="43">
        <f t="shared" si="152"/>
        <v>0.3</v>
      </c>
      <c r="F660" s="48">
        <v>4.1599999999999996E-3</v>
      </c>
      <c r="G660" s="47">
        <f t="shared" si="153"/>
        <v>4.6800000000000001E-3</v>
      </c>
      <c r="H660" s="43">
        <f>Volcanic!D660</f>
        <v>0.28000000000000003</v>
      </c>
      <c r="I660" s="47">
        <f>Volcanic!E660</f>
        <v>6.3200000000000001E-3</v>
      </c>
      <c r="K660" s="47">
        <f t="shared" si="140"/>
        <v>0.49927188316908833</v>
      </c>
      <c r="L660" s="47">
        <f t="shared" si="141"/>
        <v>0.3</v>
      </c>
      <c r="M660" s="47">
        <f t="shared" si="142"/>
        <v>6.3200000000000001E-3</v>
      </c>
      <c r="O660" s="47">
        <f t="shared" si="143"/>
        <v>0.49927188316908833</v>
      </c>
      <c r="P660" s="47">
        <f t="shared" si="144"/>
        <v>0.28000000000000003</v>
      </c>
      <c r="Q660" s="47">
        <f t="shared" si="145"/>
        <v>4.6800000000000001E-3</v>
      </c>
      <c r="S660" s="47">
        <f t="shared" si="146"/>
        <v>0.49927188316908833</v>
      </c>
      <c r="T660" s="47">
        <f t="shared" si="147"/>
        <v>0.3</v>
      </c>
      <c r="U660" s="47">
        <f t="shared" si="148"/>
        <v>4.6800000000000001E-3</v>
      </c>
      <c r="W660" s="47">
        <f t="shared" si="149"/>
        <v>-0.10505764657722738</v>
      </c>
      <c r="X660" s="47">
        <f t="shared" si="150"/>
        <v>-0.10181947619638554</v>
      </c>
      <c r="Y660" s="47">
        <f t="shared" si="151"/>
        <v>-0.10337074807912927</v>
      </c>
      <c r="AP660" s="48">
        <v>0.67769999999999997</v>
      </c>
      <c r="AQ660" s="48">
        <v>0.72970000000000002</v>
      </c>
      <c r="AR660" s="47">
        <f>IF(AP660="","",AP660-($AC$60+$AC$61*Volcanic!C660+$AC$62*Volcanic!D660+$AC$63*Volcanic!E660))</f>
        <v>-0.12821235370227557</v>
      </c>
      <c r="AS660" s="47">
        <f>IF(AQ660="","",AQ660-($AD$60+$AD$61*Volcanic!C660+$AD$62*Volcanic!D660+$AD$63*Volcanic!E660))</f>
        <v>-0.10309183564065882</v>
      </c>
    </row>
    <row r="661" spans="1:45">
      <c r="A661" s="45" t="str">
        <f>Volcanic!A661</f>
        <v>2/2013</v>
      </c>
      <c r="B661" s="43">
        <f>Volcanic!B661</f>
        <v>0.62000000000000099</v>
      </c>
      <c r="C661" s="47">
        <f>Volcanic!C661</f>
        <v>0.50382119585545315</v>
      </c>
      <c r="D661" s="41">
        <v>-0.3</v>
      </c>
      <c r="E661" s="43">
        <f t="shared" si="152"/>
        <v>0.1</v>
      </c>
      <c r="F661" s="48">
        <v>3.8800000000000002E-3</v>
      </c>
      <c r="G661" s="47">
        <f t="shared" si="153"/>
        <v>4.7200000000000002E-3</v>
      </c>
      <c r="H661" s="43">
        <f>Volcanic!D661</f>
        <v>0.13</v>
      </c>
      <c r="I661" s="47">
        <f>Volcanic!E661</f>
        <v>6.2500000000000003E-3</v>
      </c>
      <c r="K661" s="47">
        <f t="shared" si="140"/>
        <v>0.50382119585545315</v>
      </c>
      <c r="L661" s="47">
        <f t="shared" si="141"/>
        <v>0.1</v>
      </c>
      <c r="M661" s="47">
        <f t="shared" si="142"/>
        <v>6.2500000000000003E-3</v>
      </c>
      <c r="O661" s="47">
        <f t="shared" si="143"/>
        <v>0.50382119585545315</v>
      </c>
      <c r="P661" s="47">
        <f t="shared" si="144"/>
        <v>0.13</v>
      </c>
      <c r="Q661" s="47">
        <f t="shared" si="145"/>
        <v>4.7200000000000002E-3</v>
      </c>
      <c r="S661" s="47">
        <f t="shared" si="146"/>
        <v>0.50382119585545315</v>
      </c>
      <c r="T661" s="47">
        <f t="shared" si="147"/>
        <v>0.1</v>
      </c>
      <c r="U661" s="47">
        <f t="shared" si="148"/>
        <v>4.7200000000000002E-3</v>
      </c>
      <c r="W661" s="47">
        <f t="shared" si="149"/>
        <v>-0.18904389110454678</v>
      </c>
      <c r="X661" s="47">
        <f t="shared" si="150"/>
        <v>-0.18992396372684894</v>
      </c>
      <c r="Y661" s="47">
        <f t="shared" si="151"/>
        <v>-0.18676193817566422</v>
      </c>
      <c r="AP661" s="48">
        <v>0.59419999999999995</v>
      </c>
      <c r="AQ661" s="48">
        <v>0.59870000000000001</v>
      </c>
      <c r="AR661" s="47">
        <f>IF(AP661="","",AP661-($AC$60+$AC$61*Volcanic!C661+$AC$62*Volcanic!D661+$AC$63*Volcanic!E661))</f>
        <v>-0.21025641258717453</v>
      </c>
      <c r="AS661" s="47">
        <f>IF(AQ661="","",AQ661-($AD$60+$AD$61*Volcanic!C661+$AD$62*Volcanic!D661+$AD$63*Volcanic!E661))</f>
        <v>-0.23265964810216677</v>
      </c>
    </row>
    <row r="662" spans="1:45">
      <c r="A662" s="45" t="str">
        <f>Volcanic!A662</f>
        <v>3/2013</v>
      </c>
      <c r="B662" s="43">
        <f>Volcanic!B662</f>
        <v>0.66999999999999993</v>
      </c>
      <c r="C662" s="47">
        <f>Volcanic!C662</f>
        <v>0.50610862382400879</v>
      </c>
      <c r="D662" s="41">
        <v>-0.2</v>
      </c>
      <c r="E662" s="43">
        <f t="shared" si="152"/>
        <v>0</v>
      </c>
      <c r="F662" s="48">
        <v>3.81E-3</v>
      </c>
      <c r="G662" s="47">
        <f t="shared" si="153"/>
        <v>4.7299999999999998E-3</v>
      </c>
      <c r="H662" s="43">
        <f>Volcanic!D662</f>
        <v>-0.03</v>
      </c>
      <c r="I662" s="47">
        <f>Volcanic!E662</f>
        <v>6.1700000000000001E-3</v>
      </c>
      <c r="K662" s="47">
        <f t="shared" si="140"/>
        <v>0.50610862382400879</v>
      </c>
      <c r="L662" s="47">
        <f t="shared" si="141"/>
        <v>0</v>
      </c>
      <c r="M662" s="47">
        <f t="shared" si="142"/>
        <v>6.1700000000000001E-3</v>
      </c>
      <c r="O662" s="47">
        <f t="shared" si="143"/>
        <v>0.50610862382400879</v>
      </c>
      <c r="P662" s="47">
        <f t="shared" si="144"/>
        <v>-0.03</v>
      </c>
      <c r="Q662" s="47">
        <f t="shared" si="145"/>
        <v>4.7299999999999998E-3</v>
      </c>
      <c r="S662" s="47">
        <f t="shared" si="146"/>
        <v>0.50610862382400879</v>
      </c>
      <c r="T662" s="47">
        <f t="shared" si="147"/>
        <v>0</v>
      </c>
      <c r="U662" s="47">
        <f t="shared" si="148"/>
        <v>4.7299999999999998E-3</v>
      </c>
      <c r="W662" s="47">
        <f t="shared" si="149"/>
        <v>-0.13617100213995437</v>
      </c>
      <c r="X662" s="47">
        <f t="shared" si="150"/>
        <v>-0.13105228848551664</v>
      </c>
      <c r="Y662" s="47">
        <f t="shared" si="151"/>
        <v>-0.13351821679819731</v>
      </c>
      <c r="AP662" s="48">
        <v>0.65129999999999999</v>
      </c>
      <c r="AQ662" s="48">
        <v>0.66969999999999996</v>
      </c>
      <c r="AR662" s="47">
        <f>IF(AP662="","",AP662-($AC$60+$AC$61*Volcanic!C662+$AC$62*Volcanic!D662+$AC$63*Volcanic!E662))</f>
        <v>-0.14461176174352441</v>
      </c>
      <c r="AS662" s="47">
        <f>IF(AQ662="","",AQ662-($AD$60+$AD$61*Volcanic!C662+$AD$62*Volcanic!D662+$AD$63*Volcanic!E662))</f>
        <v>-0.15295942424154396</v>
      </c>
    </row>
    <row r="663" spans="1:45">
      <c r="A663" s="45" t="str">
        <f>Volcanic!A663</f>
        <v>4/2013</v>
      </c>
      <c r="B663" s="43">
        <f>Volcanic!B663</f>
        <v>0.52999999999999758</v>
      </c>
      <c r="C663" s="47">
        <f>Volcanic!C663</f>
        <v>0.50965965196384122</v>
      </c>
      <c r="D663" s="41">
        <v>-0.2</v>
      </c>
      <c r="E663" s="43">
        <f t="shared" si="152"/>
        <v>-0.2</v>
      </c>
      <c r="F663" s="48">
        <v>3.8899999999999998E-3</v>
      </c>
      <c r="G663" s="47">
        <f t="shared" si="153"/>
        <v>4.7200000000000002E-3</v>
      </c>
      <c r="H663" s="43">
        <f>Volcanic!D663</f>
        <v>-0.24</v>
      </c>
      <c r="I663" s="47">
        <f>Volcanic!E663</f>
        <v>6.0899999999999999E-3</v>
      </c>
      <c r="K663" s="47">
        <f t="shared" si="140"/>
        <v>0.50965965196384122</v>
      </c>
      <c r="L663" s="47">
        <f t="shared" si="141"/>
        <v>-0.2</v>
      </c>
      <c r="M663" s="47">
        <f t="shared" si="142"/>
        <v>6.0899999999999999E-3</v>
      </c>
      <c r="O663" s="47">
        <f t="shared" si="143"/>
        <v>0.50965965196384122</v>
      </c>
      <c r="P663" s="47">
        <f t="shared" si="144"/>
        <v>-0.24</v>
      </c>
      <c r="Q663" s="47">
        <f t="shared" si="145"/>
        <v>4.7200000000000002E-3</v>
      </c>
      <c r="S663" s="47">
        <f t="shared" si="146"/>
        <v>0.50965965196384122</v>
      </c>
      <c r="T663" s="47">
        <f t="shared" si="147"/>
        <v>-0.2</v>
      </c>
      <c r="U663" s="47">
        <f t="shared" si="148"/>
        <v>4.7200000000000002E-3</v>
      </c>
      <c r="W663" s="47">
        <f t="shared" si="149"/>
        <v>-0.26745680963992446</v>
      </c>
      <c r="X663" s="47">
        <f t="shared" si="150"/>
        <v>-0.26095230169350392</v>
      </c>
      <c r="Y663" s="47">
        <f t="shared" si="151"/>
        <v>-0.26434155992386676</v>
      </c>
      <c r="AP663" s="48">
        <v>0.64100000000000001</v>
      </c>
      <c r="AQ663" s="48">
        <v>0.62670000000000003</v>
      </c>
      <c r="AR663" s="47">
        <f>IF(AP663="","",AP663-($AC$60+$AC$61*Volcanic!C663+$AC$62*Volcanic!D663+$AC$63*Volcanic!E663))</f>
        <v>-0.14513525269555005</v>
      </c>
      <c r="AS663" s="47">
        <f>IF(AQ663="","",AQ663-($AD$60+$AD$61*Volcanic!C663+$AD$62*Volcanic!D663+$AD$63*Volcanic!E663))</f>
        <v>-0.18602019247424084</v>
      </c>
    </row>
    <row r="664" spans="1:45">
      <c r="A664" s="45" t="str">
        <f>Volcanic!A664</f>
        <v>5/2013</v>
      </c>
      <c r="B664" s="43">
        <f>Volcanic!B664</f>
        <v>0.60000000000000142</v>
      </c>
      <c r="C664" s="47">
        <f>Volcanic!C664</f>
        <v>0.51464530577849399</v>
      </c>
      <c r="D664" s="41">
        <v>-0.3</v>
      </c>
      <c r="E664" s="43">
        <f t="shared" si="152"/>
        <v>-0.3</v>
      </c>
      <c r="F664" s="48">
        <v>3.9399999999999999E-3</v>
      </c>
      <c r="G664" s="47">
        <f t="shared" si="153"/>
        <v>4.5599999999999998E-3</v>
      </c>
      <c r="H664" s="43">
        <f>Volcanic!D664</f>
        <v>-0.28000000000000003</v>
      </c>
      <c r="I664" s="47">
        <f>Volcanic!E664</f>
        <v>5.94E-3</v>
      </c>
      <c r="K664" s="47">
        <f t="shared" si="140"/>
        <v>0.51464530577849399</v>
      </c>
      <c r="L664" s="47">
        <f t="shared" si="141"/>
        <v>-0.3</v>
      </c>
      <c r="M664" s="47">
        <f t="shared" si="142"/>
        <v>5.94E-3</v>
      </c>
      <c r="O664" s="47">
        <f t="shared" si="143"/>
        <v>0.51464530577849399</v>
      </c>
      <c r="P664" s="47">
        <f t="shared" si="144"/>
        <v>-0.28000000000000003</v>
      </c>
      <c r="Q664" s="47">
        <f t="shared" si="145"/>
        <v>4.5599999999999998E-3</v>
      </c>
      <c r="S664" s="47">
        <f t="shared" si="146"/>
        <v>0.51464530577849399</v>
      </c>
      <c r="T664" s="47">
        <f t="shared" si="147"/>
        <v>-0.3</v>
      </c>
      <c r="U664" s="47">
        <f t="shared" si="148"/>
        <v>4.5599999999999998E-3</v>
      </c>
      <c r="W664" s="47">
        <f t="shared" si="149"/>
        <v>-0.20209663560176627</v>
      </c>
      <c r="X664" s="47">
        <f t="shared" si="150"/>
        <v>-0.20109200249984327</v>
      </c>
      <c r="Y664" s="47">
        <f t="shared" si="151"/>
        <v>-0.19883657970345714</v>
      </c>
      <c r="AP664" s="48">
        <v>0.62649999999999995</v>
      </c>
      <c r="AQ664" s="48">
        <v>0.66869999999999996</v>
      </c>
      <c r="AR664" s="47">
        <f>IF(AP664="","",AP664-($AC$60+$AC$61*Volcanic!C664+$AC$62*Volcanic!D664+$AC$63*Volcanic!E664))</f>
        <v>-0.16986424535245215</v>
      </c>
      <c r="AS664" s="47">
        <f>IF(AQ664="","",AQ664-($AD$60+$AD$61*Volcanic!C664+$AD$62*Volcanic!D664+$AD$63*Volcanic!E664))</f>
        <v>-0.15450545443651853</v>
      </c>
    </row>
    <row r="665" spans="1:45">
      <c r="A665" s="45" t="str">
        <f>Volcanic!A665</f>
        <v>6/2013</v>
      </c>
      <c r="B665" s="43">
        <f>Volcanic!B665</f>
        <v>0.70000000000000107</v>
      </c>
      <c r="C665" s="47">
        <f>Volcanic!C665</f>
        <v>0.5102747580160486</v>
      </c>
      <c r="D665" s="41">
        <v>-0.4</v>
      </c>
      <c r="E665" s="43">
        <f t="shared" si="152"/>
        <v>-0.2</v>
      </c>
      <c r="F665" s="48">
        <v>4.0699999999999998E-3</v>
      </c>
      <c r="G665" s="47">
        <f t="shared" si="153"/>
        <v>4.5100000000000001E-3</v>
      </c>
      <c r="H665" s="43">
        <f>Volcanic!D665</f>
        <v>-0.23</v>
      </c>
      <c r="I665" s="47">
        <f>Volcanic!E665</f>
        <v>5.9500000000000004E-3</v>
      </c>
      <c r="K665" s="47">
        <f t="shared" si="140"/>
        <v>0.5102747580160486</v>
      </c>
      <c r="L665" s="47">
        <f t="shared" si="141"/>
        <v>-0.2</v>
      </c>
      <c r="M665" s="47">
        <f t="shared" si="142"/>
        <v>5.9500000000000004E-3</v>
      </c>
      <c r="O665" s="47">
        <f t="shared" si="143"/>
        <v>0.5102747580160486</v>
      </c>
      <c r="P665" s="47">
        <f t="shared" si="144"/>
        <v>-0.23</v>
      </c>
      <c r="Q665" s="47">
        <f t="shared" si="145"/>
        <v>4.5100000000000001E-3</v>
      </c>
      <c r="S665" s="47">
        <f t="shared" si="146"/>
        <v>0.5102747580160486</v>
      </c>
      <c r="T665" s="47">
        <f t="shared" si="147"/>
        <v>-0.2</v>
      </c>
      <c r="U665" s="47">
        <f t="shared" si="148"/>
        <v>4.5100000000000001E-3</v>
      </c>
      <c r="W665" s="47">
        <f t="shared" si="149"/>
        <v>-9.9442789969286127E-2</v>
      </c>
      <c r="X665" s="47">
        <f t="shared" si="150"/>
        <v>-9.4103329163341631E-2</v>
      </c>
      <c r="Y665" s="47">
        <f t="shared" si="151"/>
        <v>-9.6553686630976965E-2</v>
      </c>
      <c r="AP665" s="48">
        <v>0.73170000000000002</v>
      </c>
      <c r="AQ665" s="48">
        <v>0.66669999999999996</v>
      </c>
      <c r="AR665" s="47">
        <f>IF(AP665="","",AP665-($AC$60+$AC$61*Volcanic!C665+$AC$62*Volcanic!D665+$AC$63*Volcanic!E665))</f>
        <v>-5.7388185312258422E-2</v>
      </c>
      <c r="AS665" s="47">
        <f>IF(AQ665="","",AQ665-($AD$60+$AD$61*Volcanic!C665+$AD$62*Volcanic!D665+$AD$63*Volcanic!E665))</f>
        <v>-0.14901933170203818</v>
      </c>
    </row>
    <row r="666" spans="1:45">
      <c r="A666" s="45" t="str">
        <f>Volcanic!A666</f>
        <v>7/2013</v>
      </c>
      <c r="B666" s="43">
        <f>Volcanic!B666</f>
        <v>0.60000000000000142</v>
      </c>
      <c r="C666" s="47">
        <f>Volcanic!C666</f>
        <v>0.50556432698509302</v>
      </c>
      <c r="D666" s="41">
        <v>-0.4</v>
      </c>
      <c r="E666" s="43">
        <f t="shared" si="152"/>
        <v>-0.2</v>
      </c>
      <c r="F666" s="48">
        <v>4.1000000000000003E-3</v>
      </c>
      <c r="G666" s="47">
        <f t="shared" si="153"/>
        <v>4.3099999999999996E-3</v>
      </c>
      <c r="H666" s="43">
        <f>Volcanic!D666</f>
        <v>-0.2</v>
      </c>
      <c r="I666" s="47">
        <f>Volcanic!E666</f>
        <v>5.6800000000000002E-3</v>
      </c>
      <c r="K666" s="47">
        <f t="shared" si="140"/>
        <v>0.50556432698509302</v>
      </c>
      <c r="L666" s="47">
        <f t="shared" si="141"/>
        <v>-0.2</v>
      </c>
      <c r="M666" s="47">
        <f t="shared" si="142"/>
        <v>5.6800000000000002E-3</v>
      </c>
      <c r="O666" s="47">
        <f t="shared" si="143"/>
        <v>0.50556432698509302</v>
      </c>
      <c r="P666" s="47">
        <f t="shared" si="144"/>
        <v>-0.2</v>
      </c>
      <c r="Q666" s="47">
        <f t="shared" si="145"/>
        <v>4.3099999999999996E-3</v>
      </c>
      <c r="S666" s="47">
        <f t="shared" si="146"/>
        <v>0.50556432698509302</v>
      </c>
      <c r="T666" s="47">
        <f t="shared" si="147"/>
        <v>-0.2</v>
      </c>
      <c r="U666" s="47">
        <f t="shared" si="148"/>
        <v>4.3099999999999996E-3</v>
      </c>
      <c r="W666" s="47">
        <f t="shared" si="149"/>
        <v>-0.18719168702015154</v>
      </c>
      <c r="X666" s="47">
        <f t="shared" si="150"/>
        <v>-0.18470894379653435</v>
      </c>
      <c r="Y666" s="47">
        <f t="shared" si="151"/>
        <v>-0.18434325818498487</v>
      </c>
      <c r="AP666" s="48">
        <v>0.66010000000000002</v>
      </c>
      <c r="AQ666" s="48">
        <v>0.56969999999999998</v>
      </c>
      <c r="AR666" s="47">
        <f>IF(AP666="","",AP666-($AC$60+$AC$61*Volcanic!C666+$AC$62*Volcanic!D666+$AC$63*Volcanic!E666))</f>
        <v>-0.11958487132280393</v>
      </c>
      <c r="AS666" s="47">
        <f>IF(AQ666="","",AQ666-($AD$60+$AD$61*Volcanic!C666+$AD$62*Volcanic!D666+$AD$63*Volcanic!E666))</f>
        <v>-0.23631124542140858</v>
      </c>
    </row>
    <row r="667" spans="1:45">
      <c r="A667" s="45" t="str">
        <f>Volcanic!A667</f>
        <v>8/2013</v>
      </c>
      <c r="B667" s="43">
        <f>Volcanic!B667</f>
        <v>0.70000000000000107</v>
      </c>
      <c r="C667" s="47">
        <f>Volcanic!C667</f>
        <v>0.49784955645922896</v>
      </c>
      <c r="D667" s="41">
        <v>-0.3</v>
      </c>
      <c r="E667" s="43">
        <f t="shared" si="152"/>
        <v>-0.3</v>
      </c>
      <c r="F667" s="48">
        <v>3.9899999999999996E-3</v>
      </c>
      <c r="G667" s="47">
        <f t="shared" si="153"/>
        <v>4.1599999999999996E-3</v>
      </c>
      <c r="H667" s="43">
        <f>Volcanic!D667</f>
        <v>-0.3</v>
      </c>
      <c r="I667" s="47">
        <f>Volcanic!E667</f>
        <v>5.2100000000000002E-3</v>
      </c>
      <c r="K667" s="47">
        <f t="shared" si="140"/>
        <v>0.49784955645922896</v>
      </c>
      <c r="L667" s="47">
        <f t="shared" si="141"/>
        <v>-0.3</v>
      </c>
      <c r="M667" s="47">
        <f t="shared" si="142"/>
        <v>5.2100000000000002E-3</v>
      </c>
      <c r="O667" s="47">
        <f t="shared" si="143"/>
        <v>0.49784955645922896</v>
      </c>
      <c r="P667" s="47">
        <f t="shared" si="144"/>
        <v>-0.3</v>
      </c>
      <c r="Q667" s="47">
        <f t="shared" si="145"/>
        <v>4.1599999999999996E-3</v>
      </c>
      <c r="S667" s="47">
        <f t="shared" si="146"/>
        <v>0.49784955645922896</v>
      </c>
      <c r="T667" s="47">
        <f t="shared" si="147"/>
        <v>-0.3</v>
      </c>
      <c r="U667" s="47">
        <f t="shared" si="148"/>
        <v>4.1599999999999996E-3</v>
      </c>
      <c r="W667" s="47">
        <f t="shared" si="149"/>
        <v>-5.7900671415515581E-2</v>
      </c>
      <c r="X667" s="47">
        <f t="shared" si="150"/>
        <v>-5.4849748449807723E-2</v>
      </c>
      <c r="Y667" s="47">
        <f t="shared" si="151"/>
        <v>-5.44793667761726E-2</v>
      </c>
      <c r="AP667" s="48">
        <v>0.71150000000000002</v>
      </c>
      <c r="AQ667" s="48">
        <v>0.7157</v>
      </c>
      <c r="AR667" s="47">
        <f>IF(AP667="","",AP667-($AC$60+$AC$61*Volcanic!C667+$AC$62*Volcanic!D667+$AC$63*Volcanic!E667))</f>
        <v>-3.8885260489662676E-2</v>
      </c>
      <c r="AS667" s="47">
        <f>IF(AQ667="","",AQ667-($AD$60+$AD$61*Volcanic!C667+$AD$62*Volcanic!D667+$AD$63*Volcanic!E667))</f>
        <v>-6.0223034598035019E-2</v>
      </c>
    </row>
    <row r="668" spans="1:45">
      <c r="A668" s="45" t="str">
        <f>Volcanic!A668</f>
        <v>9/2013</v>
      </c>
      <c r="B668" s="43">
        <f>Volcanic!B668</f>
        <v>0.77000000000000135</v>
      </c>
      <c r="C668" s="47">
        <f>Volcanic!C668</f>
        <v>0.49174317251988486</v>
      </c>
      <c r="D668" s="41">
        <v>-0.3</v>
      </c>
      <c r="E668" s="43">
        <f t="shared" si="152"/>
        <v>-0.4</v>
      </c>
      <c r="F668" s="48">
        <v>3.9300000000000003E-3</v>
      </c>
      <c r="G668" s="47">
        <f t="shared" si="153"/>
        <v>3.8800000000000002E-3</v>
      </c>
      <c r="H668" s="43">
        <f>Volcanic!D668</f>
        <v>-0.38</v>
      </c>
      <c r="I668" s="47">
        <f>Volcanic!E668</f>
        <v>5.1200000000000004E-3</v>
      </c>
      <c r="K668" s="47">
        <f t="shared" si="140"/>
        <v>0.49174317251988486</v>
      </c>
      <c r="L668" s="47">
        <f t="shared" si="141"/>
        <v>-0.4</v>
      </c>
      <c r="M668" s="47">
        <f t="shared" si="142"/>
        <v>5.1200000000000004E-3</v>
      </c>
      <c r="O668" s="47">
        <f t="shared" si="143"/>
        <v>0.49174317251988486</v>
      </c>
      <c r="P668" s="47">
        <f t="shared" si="144"/>
        <v>-0.38</v>
      </c>
      <c r="Q668" s="47">
        <f t="shared" si="145"/>
        <v>3.8800000000000002E-3</v>
      </c>
      <c r="S668" s="47">
        <f t="shared" si="146"/>
        <v>0.49174317251988486</v>
      </c>
      <c r="T668" s="47">
        <f t="shared" si="147"/>
        <v>-0.4</v>
      </c>
      <c r="U668" s="47">
        <f t="shared" si="148"/>
        <v>3.8800000000000002E-3</v>
      </c>
      <c r="W668" s="47">
        <f t="shared" si="149"/>
        <v>3.784137129120313E-2</v>
      </c>
      <c r="X668" s="47">
        <f t="shared" si="150"/>
        <v>3.8442665603340309E-2</v>
      </c>
      <c r="Y668" s="47">
        <f t="shared" si="151"/>
        <v>4.0696553217133613E-2</v>
      </c>
      <c r="AP668" s="48">
        <v>0.79430000000000001</v>
      </c>
      <c r="AQ668" s="48">
        <v>0.77470000000000006</v>
      </c>
      <c r="AR668" s="47">
        <f>IF(AP668="","",AP668-($AC$60+$AC$61*Volcanic!C668+$AC$62*Volcanic!D668+$AC$63*Volcanic!E668))</f>
        <v>6.7863930994357613E-2</v>
      </c>
      <c r="AS668" s="47">
        <f>IF(AQ668="","",AQ668-($AD$60+$AD$61*Volcanic!C668+$AD$62*Volcanic!D668+$AD$63*Volcanic!E668))</f>
        <v>2.3319306480963031E-2</v>
      </c>
    </row>
    <row r="669" spans="1:45">
      <c r="A669" s="45" t="str">
        <f>Volcanic!A669</f>
        <v>10/2013</v>
      </c>
      <c r="B669" s="43">
        <f>Volcanic!B669</f>
        <v>0.69000000000000128</v>
      </c>
      <c r="C669" s="47">
        <f>Volcanic!C669</f>
        <v>0.49240258978171431</v>
      </c>
      <c r="D669" s="41">
        <v>-0.1</v>
      </c>
      <c r="E669" s="43">
        <f t="shared" si="152"/>
        <v>-0.4</v>
      </c>
      <c r="F669" s="48">
        <v>3.8300000000000001E-3</v>
      </c>
      <c r="G669" s="47">
        <f t="shared" si="153"/>
        <v>3.81E-3</v>
      </c>
      <c r="H669" s="43">
        <f>Volcanic!D669</f>
        <v>-0.45</v>
      </c>
      <c r="I669" s="47">
        <f>Volcanic!E669</f>
        <v>4.96E-3</v>
      </c>
      <c r="K669" s="47">
        <f t="shared" si="140"/>
        <v>0.49240258978171431</v>
      </c>
      <c r="L669" s="47">
        <f t="shared" si="141"/>
        <v>-0.4</v>
      </c>
      <c r="M669" s="47">
        <f t="shared" si="142"/>
        <v>4.96E-3</v>
      </c>
      <c r="O669" s="47">
        <f t="shared" si="143"/>
        <v>0.49240258978171431</v>
      </c>
      <c r="P669" s="47">
        <f t="shared" si="144"/>
        <v>-0.45</v>
      </c>
      <c r="Q669" s="47">
        <f t="shared" si="145"/>
        <v>3.81E-3</v>
      </c>
      <c r="S669" s="47">
        <f t="shared" si="146"/>
        <v>0.49240258978171431</v>
      </c>
      <c r="T669" s="47">
        <f t="shared" si="147"/>
        <v>-0.4</v>
      </c>
      <c r="U669" s="47">
        <f t="shared" si="148"/>
        <v>3.81E-3</v>
      </c>
      <c r="W669" s="47">
        <f t="shared" si="149"/>
        <v>-4.4309522879622643E-2</v>
      </c>
      <c r="X669" s="47">
        <f t="shared" si="150"/>
        <v>-3.6947480694783374E-2</v>
      </c>
      <c r="Y669" s="47">
        <f t="shared" si="151"/>
        <v>-4.1269142086084676E-2</v>
      </c>
      <c r="AP669" s="48">
        <v>0.72319999999999995</v>
      </c>
      <c r="AQ669" s="48">
        <v>0.68769999999999998</v>
      </c>
      <c r="AR669" s="47">
        <f>IF(AP669="","",AP669-($AC$60+$AC$61*Volcanic!C669+$AC$62*Volcanic!D669+$AC$63*Volcanic!E669))</f>
        <v>1.1334859207321468E-3</v>
      </c>
      <c r="AS669" s="47">
        <f>IF(AQ669="","",AQ669-($AD$60+$AD$61*Volcanic!C669+$AD$62*Volcanic!D669+$AD$63*Volcanic!E669))</f>
        <v>-5.9204604402614769E-2</v>
      </c>
    </row>
    <row r="670" spans="1:45">
      <c r="A670" s="45" t="str">
        <f>Volcanic!A670</f>
        <v>11/2013</v>
      </c>
      <c r="B670" s="43">
        <f>Volcanic!B670</f>
        <v>0.83000000000000362</v>
      </c>
      <c r="C670" s="47">
        <f>Volcanic!C670</f>
        <v>0.49774008860909347</v>
      </c>
      <c r="D670" s="41">
        <v>-0.1</v>
      </c>
      <c r="E670" s="43">
        <f t="shared" si="152"/>
        <v>-0.3</v>
      </c>
      <c r="F670" s="48">
        <v>3.7499999999999999E-3</v>
      </c>
      <c r="G670" s="47">
        <f t="shared" si="153"/>
        <v>3.8899999999999998E-3</v>
      </c>
      <c r="H670" s="43">
        <f>Volcanic!D670</f>
        <v>-0.34</v>
      </c>
      <c r="I670" s="47">
        <f>Volcanic!E670</f>
        <v>4.8300000000000001E-3</v>
      </c>
      <c r="K670" s="47">
        <f t="shared" si="140"/>
        <v>0.49774008860909347</v>
      </c>
      <c r="L670" s="47">
        <f t="shared" si="141"/>
        <v>-0.3</v>
      </c>
      <c r="M670" s="47">
        <f t="shared" si="142"/>
        <v>4.8300000000000001E-3</v>
      </c>
      <c r="O670" s="47">
        <f t="shared" si="143"/>
        <v>0.49774008860909347</v>
      </c>
      <c r="P670" s="47">
        <f t="shared" si="144"/>
        <v>-0.34</v>
      </c>
      <c r="Q670" s="47">
        <f t="shared" si="145"/>
        <v>3.8899999999999998E-3</v>
      </c>
      <c r="S670" s="47">
        <f t="shared" si="146"/>
        <v>0.49774008860909347</v>
      </c>
      <c r="T670" s="47">
        <f t="shared" si="147"/>
        <v>-0.3</v>
      </c>
      <c r="U670" s="47">
        <f t="shared" si="148"/>
        <v>3.8899999999999998E-3</v>
      </c>
      <c r="W670" s="47">
        <f t="shared" si="149"/>
        <v>7.1560524384786994E-2</v>
      </c>
      <c r="X670" s="47">
        <f t="shared" si="150"/>
        <v>7.8498210755971298E-2</v>
      </c>
      <c r="Y670" s="47">
        <f t="shared" si="151"/>
        <v>7.5110279715329131E-2</v>
      </c>
      <c r="AP670" s="48">
        <v>0.84019999999999995</v>
      </c>
      <c r="AQ670" s="48">
        <v>0.82169999999999999</v>
      </c>
      <c r="AR670" s="47">
        <f>IF(AP670="","",AP670-($AC$60+$AC$61*Volcanic!C670+$AC$62*Volcanic!D670+$AC$63*Volcanic!E670))</f>
        <v>9.2945101248958606E-2</v>
      </c>
      <c r="AS670" s="47">
        <f>IF(AQ670="","",AQ670-($AD$60+$AD$61*Volcanic!C670+$AD$62*Volcanic!D670+$AD$63*Volcanic!E670))</f>
        <v>4.9035811079066405E-2</v>
      </c>
    </row>
    <row r="671" spans="1:45">
      <c r="A671" s="45" t="str">
        <f>Volcanic!A671</f>
        <v>12/2013</v>
      </c>
      <c r="B671" s="43">
        <f>Volcanic!B671</f>
        <v>0.70000000000000107</v>
      </c>
      <c r="C671" s="47">
        <f>Volcanic!C671</f>
        <v>0.50382119585545315</v>
      </c>
      <c r="D671" s="41">
        <v>-0.1</v>
      </c>
      <c r="E671" s="43">
        <f t="shared" si="152"/>
        <v>-0.3</v>
      </c>
      <c r="F671" s="48">
        <v>3.7599999999999999E-3</v>
      </c>
      <c r="G671" s="47">
        <f t="shared" si="153"/>
        <v>3.9399999999999999E-3</v>
      </c>
      <c r="H671" s="43">
        <f>Volcanic!D671</f>
        <v>-0.32</v>
      </c>
      <c r="I671" s="47">
        <f>Volcanic!E671</f>
        <v>4.6699999999999997E-3</v>
      </c>
      <c r="K671" s="47">
        <f t="shared" si="140"/>
        <v>0.50382119585545315</v>
      </c>
      <c r="L671" s="47">
        <f t="shared" si="141"/>
        <v>-0.3</v>
      </c>
      <c r="M671" s="47">
        <f t="shared" si="142"/>
        <v>4.6699999999999997E-3</v>
      </c>
      <c r="O671" s="47">
        <f t="shared" si="143"/>
        <v>0.50382119585545315</v>
      </c>
      <c r="P671" s="47">
        <f t="shared" si="144"/>
        <v>-0.32</v>
      </c>
      <c r="Q671" s="47">
        <f t="shared" si="145"/>
        <v>3.9399999999999999E-3</v>
      </c>
      <c r="S671" s="47">
        <f t="shared" si="146"/>
        <v>0.50382119585545315</v>
      </c>
      <c r="T671" s="47">
        <f t="shared" si="147"/>
        <v>-0.3</v>
      </c>
      <c r="U671" s="47">
        <f t="shared" si="148"/>
        <v>3.9399999999999999E-3</v>
      </c>
      <c r="W671" s="47">
        <f t="shared" si="149"/>
        <v>-7.5376134758601054E-2</v>
      </c>
      <c r="X671" s="47">
        <f t="shared" si="150"/>
        <v>-6.9690627750928269E-2</v>
      </c>
      <c r="Y671" s="47">
        <f t="shared" si="151"/>
        <v>-7.1197840085749697E-2</v>
      </c>
      <c r="AP671" s="48">
        <v>0.67579999999999996</v>
      </c>
      <c r="AQ671" s="48">
        <v>0.72670000000000001</v>
      </c>
      <c r="AR671" s="47">
        <f>IF(AP671="","",AP671-($AC$60+$AC$61*Volcanic!C671+$AC$62*Volcanic!D671+$AC$63*Volcanic!E671))</f>
        <v>-9.0317913490854385E-2</v>
      </c>
      <c r="AS671" s="47">
        <f>IF(AQ671="","",AQ671-($AD$60+$AD$61*Volcanic!C671+$AD$62*Volcanic!D671+$AD$63*Volcanic!E671))</f>
        <v>-6.5274461858978339E-2</v>
      </c>
    </row>
    <row r="672" spans="1:45">
      <c r="A672" s="45" t="str">
        <f>Volcanic!A672</f>
        <v>1/2014</v>
      </c>
      <c r="B672" s="43">
        <f>Volcanic!B672</f>
        <v>0.75999999999999801</v>
      </c>
      <c r="C672" s="47">
        <f>Volcanic!C672</f>
        <v>0.50748659078948732</v>
      </c>
      <c r="D672" s="41">
        <v>-0.2</v>
      </c>
      <c r="E672" s="43">
        <f t="shared" si="152"/>
        <v>-0.1</v>
      </c>
      <c r="F672" s="48">
        <v>3.5699999999999998E-3</v>
      </c>
      <c r="G672" s="47">
        <f t="shared" si="153"/>
        <v>4.0699999999999998E-3</v>
      </c>
      <c r="H672" s="43">
        <f>Volcanic!D672</f>
        <v>-0.14000000000000001</v>
      </c>
      <c r="I672" s="47">
        <f>Volcanic!E672</f>
        <v>4.3899999999999998E-3</v>
      </c>
      <c r="K672" s="47">
        <f t="shared" si="140"/>
        <v>0.50748659078948732</v>
      </c>
      <c r="L672" s="47">
        <f t="shared" si="141"/>
        <v>-0.1</v>
      </c>
      <c r="M672" s="47">
        <f t="shared" si="142"/>
        <v>4.3899999999999998E-3</v>
      </c>
      <c r="O672" s="47">
        <f t="shared" si="143"/>
        <v>0.50748659078948732</v>
      </c>
      <c r="P672" s="47">
        <f t="shared" si="144"/>
        <v>-0.14000000000000001</v>
      </c>
      <c r="Q672" s="47">
        <f t="shared" si="145"/>
        <v>4.0699999999999998E-3</v>
      </c>
      <c r="S672" s="47">
        <f t="shared" si="146"/>
        <v>0.50748659078948732</v>
      </c>
      <c r="T672" s="47">
        <f t="shared" si="147"/>
        <v>-0.1</v>
      </c>
      <c r="U672" s="47">
        <f t="shared" si="148"/>
        <v>4.0699999999999998E-3</v>
      </c>
      <c r="W672" s="47">
        <f t="shared" si="149"/>
        <v>-4.4563868622182534E-2</v>
      </c>
      <c r="X672" s="47">
        <f t="shared" si="150"/>
        <v>-3.6169166970232314E-2</v>
      </c>
      <c r="Y672" s="47">
        <f t="shared" si="151"/>
        <v>-3.9568580420142108E-2</v>
      </c>
      <c r="AP672" s="48">
        <v>0.73980000000000001</v>
      </c>
      <c r="AQ672" s="48">
        <v>0.77769999999999995</v>
      </c>
      <c r="AR672" s="47">
        <f>IF(AP672="","",AP672-($AC$60+$AC$61*Volcanic!C672+$AC$62*Volcanic!D672+$AC$63*Volcanic!E672))</f>
        <v>-5.3856524863265642E-2</v>
      </c>
      <c r="AS672" s="47">
        <f>IF(AQ672="","",AQ672-($AD$60+$AD$61*Volcanic!C672+$AD$62*Volcanic!D672+$AD$63*Volcanic!E672))</f>
        <v>-4.2383719143465282E-2</v>
      </c>
    </row>
    <row r="673" spans="1:45">
      <c r="A673" s="45" t="str">
        <f>Volcanic!A673</f>
        <v>2/2014</v>
      </c>
      <c r="B673" s="43">
        <f>Volcanic!B673</f>
        <v>0.54999999999999893</v>
      </c>
      <c r="C673" s="47">
        <f>Volcanic!C673</f>
        <v>0.50831998448950766</v>
      </c>
      <c r="D673" s="41">
        <v>-0.2</v>
      </c>
      <c r="E673" s="43">
        <f t="shared" si="152"/>
        <v>-0.1</v>
      </c>
      <c r="F673" s="48">
        <v>3.49E-3</v>
      </c>
      <c r="G673" s="47">
        <f t="shared" si="153"/>
        <v>4.1000000000000003E-3</v>
      </c>
      <c r="H673" s="43">
        <f>Volcanic!D673</f>
        <v>-0.12</v>
      </c>
      <c r="I673" s="47">
        <f>Volcanic!E673</f>
        <v>4.3899999999999998E-3</v>
      </c>
      <c r="K673" s="47">
        <f t="shared" si="140"/>
        <v>0.50831998448950766</v>
      </c>
      <c r="L673" s="47">
        <f t="shared" si="141"/>
        <v>-0.1</v>
      </c>
      <c r="M673" s="47">
        <f t="shared" si="142"/>
        <v>4.3899999999999998E-3</v>
      </c>
      <c r="O673" s="47">
        <f t="shared" si="143"/>
        <v>0.50831998448950766</v>
      </c>
      <c r="P673" s="47">
        <f t="shared" si="144"/>
        <v>-0.12</v>
      </c>
      <c r="Q673" s="47">
        <f t="shared" si="145"/>
        <v>4.1000000000000003E-3</v>
      </c>
      <c r="S673" s="47">
        <f t="shared" si="146"/>
        <v>0.50831998448950766</v>
      </c>
      <c r="T673" s="47">
        <f t="shared" si="147"/>
        <v>-0.1</v>
      </c>
      <c r="U673" s="47">
        <f t="shared" si="148"/>
        <v>4.1000000000000003E-3</v>
      </c>
      <c r="W673" s="47">
        <f t="shared" si="149"/>
        <v>-0.25683665873251105</v>
      </c>
      <c r="X673" s="47">
        <f t="shared" si="150"/>
        <v>-0.25022265359301232</v>
      </c>
      <c r="Y673" s="47">
        <f t="shared" si="151"/>
        <v>-0.25174299860683802</v>
      </c>
      <c r="AP673" s="48">
        <v>0.55840000000000001</v>
      </c>
      <c r="AQ673" s="48">
        <v>0.57369999999999999</v>
      </c>
      <c r="AR673" s="47">
        <f>IF(AP673="","",AP673-($AC$60+$AC$61*Volcanic!C673+$AC$62*Volcanic!D673+$AC$63*Volcanic!E673))</f>
        <v>-0.23940509847056324</v>
      </c>
      <c r="AS673" s="47">
        <f>IF(AQ673="","",AQ673-($AD$60+$AD$61*Volcanic!C673+$AD$62*Volcanic!D673+$AD$63*Volcanic!E673))</f>
        <v>-0.2506292521447514</v>
      </c>
    </row>
    <row r="674" spans="1:45">
      <c r="A674" s="45" t="str">
        <f>Volcanic!A674</f>
        <v>3/2014</v>
      </c>
      <c r="B674" s="43">
        <f>Volcanic!B674</f>
        <v>0.77999999999999758</v>
      </c>
      <c r="C674" s="47">
        <f>Volcanic!C674</f>
        <v>0.51424852992186132</v>
      </c>
      <c r="D674" s="41">
        <v>0</v>
      </c>
      <c r="E674" s="43">
        <f t="shared" si="152"/>
        <v>-0.1</v>
      </c>
      <c r="F674" s="48">
        <v>4.3299999999999996E-3</v>
      </c>
      <c r="G674" s="47">
        <f t="shared" si="153"/>
        <v>3.9899999999999996E-3</v>
      </c>
      <c r="H674" s="43">
        <f>Volcanic!D674</f>
        <v>-0.11</v>
      </c>
      <c r="I674" s="47">
        <f>Volcanic!E674</f>
        <v>4.4999999999999997E-3</v>
      </c>
      <c r="K674" s="47">
        <f t="shared" si="140"/>
        <v>0.51424852992186132</v>
      </c>
      <c r="L674" s="47">
        <f t="shared" si="141"/>
        <v>-0.1</v>
      </c>
      <c r="M674" s="47">
        <f t="shared" si="142"/>
        <v>4.4999999999999997E-3</v>
      </c>
      <c r="O674" s="47">
        <f t="shared" si="143"/>
        <v>0.51424852992186132</v>
      </c>
      <c r="P674" s="47">
        <f t="shared" si="144"/>
        <v>-0.11</v>
      </c>
      <c r="Q674" s="47">
        <f t="shared" si="145"/>
        <v>3.9899999999999996E-3</v>
      </c>
      <c r="S674" s="47">
        <f t="shared" si="146"/>
        <v>0.51424852992186132</v>
      </c>
      <c r="T674" s="47">
        <f t="shared" si="147"/>
        <v>-0.1</v>
      </c>
      <c r="U674" s="47">
        <f t="shared" si="148"/>
        <v>3.9899999999999996E-3</v>
      </c>
      <c r="W674" s="47">
        <f t="shared" si="149"/>
        <v>-4.2762307079317385E-2</v>
      </c>
      <c r="X674" s="47">
        <f t="shared" si="150"/>
        <v>-3.7477707737378019E-2</v>
      </c>
      <c r="Y674" s="47">
        <f t="shared" si="151"/>
        <v>-3.8057235237198173E-2</v>
      </c>
      <c r="AP674" s="48">
        <v>0.75590000000000002</v>
      </c>
      <c r="AQ674" s="48">
        <v>0.76970000000000005</v>
      </c>
      <c r="AR674" s="47">
        <f>IF(AP674="","",AP674-($AC$60+$AC$61*Volcanic!C674+$AC$62*Volcanic!D674+$AC$63*Volcanic!E674))</f>
        <v>-5.8765401597883793E-2</v>
      </c>
      <c r="AS674" s="47">
        <f>IF(AQ674="","",AQ674-($AD$60+$AD$61*Volcanic!C674+$AD$62*Volcanic!D674+$AD$63*Volcanic!E674))</f>
        <v>-7.193817640722977E-2</v>
      </c>
    </row>
    <row r="675" spans="1:45">
      <c r="A675" s="45" t="str">
        <f>Volcanic!A675</f>
        <v>4/2014</v>
      </c>
      <c r="B675" s="43">
        <f>Volcanic!B675</f>
        <v>0.81000000000000227</v>
      </c>
      <c r="C675" s="47">
        <f>Volcanic!C675</f>
        <v>0.52000909275354024</v>
      </c>
      <c r="D675" s="41">
        <v>0.3</v>
      </c>
      <c r="E675" s="43">
        <f t="shared" si="152"/>
        <v>-0.2</v>
      </c>
      <c r="F675" s="48">
        <v>4.9800000000000001E-3</v>
      </c>
      <c r="G675" s="47">
        <f t="shared" si="153"/>
        <v>3.9300000000000003E-3</v>
      </c>
      <c r="H675" s="43">
        <f>Volcanic!D675</f>
        <v>-0.24</v>
      </c>
      <c r="I675" s="47">
        <f>Volcanic!E675</f>
        <v>4.5799999999999999E-3</v>
      </c>
      <c r="K675" s="47">
        <f t="shared" si="140"/>
        <v>0.52000909275354024</v>
      </c>
      <c r="L675" s="47">
        <f t="shared" si="141"/>
        <v>-0.2</v>
      </c>
      <c r="M675" s="47">
        <f t="shared" si="142"/>
        <v>4.5799999999999999E-3</v>
      </c>
      <c r="O675" s="47">
        <f t="shared" si="143"/>
        <v>0.52000909275354024</v>
      </c>
      <c r="P675" s="47">
        <f t="shared" si="144"/>
        <v>-0.24</v>
      </c>
      <c r="Q675" s="47">
        <f t="shared" si="145"/>
        <v>3.9300000000000003E-3</v>
      </c>
      <c r="S675" s="47">
        <f t="shared" si="146"/>
        <v>0.52000909275354024</v>
      </c>
      <c r="T675" s="47">
        <f t="shared" si="147"/>
        <v>-0.2</v>
      </c>
      <c r="U675" s="47">
        <f t="shared" si="148"/>
        <v>3.9300000000000003E-3</v>
      </c>
      <c r="W675" s="47">
        <f t="shared" si="149"/>
        <v>-1.9008615858176481E-2</v>
      </c>
      <c r="X675" s="47">
        <f t="shared" si="150"/>
        <v>-1.0996904343734237E-2</v>
      </c>
      <c r="Y675" s="47">
        <f t="shared" si="151"/>
        <v>-1.4385464543492543E-2</v>
      </c>
      <c r="AP675" s="48">
        <v>0.80500000000000005</v>
      </c>
      <c r="AQ675" s="48">
        <v>0.84570000000000001</v>
      </c>
      <c r="AR675" s="47">
        <f>IF(AP675="","",AP675-($AC$60+$AC$61*Volcanic!C675+$AC$62*Volcanic!D675+$AC$63*Volcanic!E675))</f>
        <v>-1.3028881915831292E-2</v>
      </c>
      <c r="AS675" s="47">
        <f>IF(AQ675="","",AQ675-($AD$60+$AD$61*Volcanic!C675+$AD$62*Volcanic!D675+$AD$63*Volcanic!E675))</f>
        <v>5.336961234589932E-4</v>
      </c>
    </row>
    <row r="676" spans="1:45">
      <c r="A676" s="45" t="str">
        <f>Volcanic!A676</f>
        <v>5/2014</v>
      </c>
      <c r="B676" s="43">
        <f>Volcanic!B676</f>
        <v>0.86999999999999744</v>
      </c>
      <c r="C676" s="47">
        <f>Volcanic!C676</f>
        <v>0.52162511534624834</v>
      </c>
      <c r="D676" s="41">
        <v>0.4</v>
      </c>
      <c r="E676" s="43">
        <f t="shared" si="152"/>
        <v>-0.2</v>
      </c>
      <c r="F676" s="48">
        <v>5.2199999999999998E-3</v>
      </c>
      <c r="G676" s="47">
        <f t="shared" si="153"/>
        <v>3.8300000000000001E-3</v>
      </c>
      <c r="H676" s="43">
        <f>Volcanic!D676</f>
        <v>-0.21</v>
      </c>
      <c r="I676" s="47">
        <f>Volcanic!E676</f>
        <v>4.5500000000000002E-3</v>
      </c>
      <c r="K676" s="47">
        <f t="shared" si="140"/>
        <v>0.52162511534624834</v>
      </c>
      <c r="L676" s="47">
        <f t="shared" si="141"/>
        <v>-0.2</v>
      </c>
      <c r="M676" s="47">
        <f t="shared" si="142"/>
        <v>4.5500000000000002E-3</v>
      </c>
      <c r="O676" s="47">
        <f t="shared" si="143"/>
        <v>0.52162511534624834</v>
      </c>
      <c r="P676" s="47">
        <f t="shared" si="144"/>
        <v>-0.21</v>
      </c>
      <c r="Q676" s="47">
        <f t="shared" si="145"/>
        <v>3.8300000000000001E-3</v>
      </c>
      <c r="S676" s="47">
        <f t="shared" si="146"/>
        <v>0.52162511534624834</v>
      </c>
      <c r="T676" s="47">
        <f t="shared" si="147"/>
        <v>-0.2</v>
      </c>
      <c r="U676" s="47">
        <f t="shared" si="148"/>
        <v>3.8300000000000001E-3</v>
      </c>
      <c r="W676" s="47">
        <f t="shared" si="149"/>
        <v>3.6518141443973029E-2</v>
      </c>
      <c r="X676" s="47">
        <f t="shared" si="150"/>
        <v>4.1554690547260464E-2</v>
      </c>
      <c r="Y676" s="47">
        <f t="shared" si="151"/>
        <v>4.0984396844537807E-2</v>
      </c>
      <c r="AP676" s="48">
        <v>0.80330000000000001</v>
      </c>
      <c r="AQ676" s="48">
        <v>0.88470000000000004</v>
      </c>
      <c r="AR676" s="47">
        <f>IF(AP676="","",AP676-($AC$60+$AC$61*Volcanic!C676+$AC$62*Volcanic!D676+$AC$63*Volcanic!E676))</f>
        <v>-2.202314533302463E-2</v>
      </c>
      <c r="AS676" s="47">
        <f>IF(AQ676="","",AQ676-($AD$60+$AD$61*Volcanic!C676+$AD$62*Volcanic!D676+$AD$63*Volcanic!E676))</f>
        <v>3.2071749527731619E-2</v>
      </c>
    </row>
    <row r="677" spans="1:45">
      <c r="A677" s="45" t="str">
        <f>Volcanic!A677</f>
        <v>6/2014</v>
      </c>
      <c r="B677" s="43">
        <f>Volcanic!B677</f>
        <v>0.66999999999999993</v>
      </c>
      <c r="C677" s="47">
        <f>Volcanic!C677</f>
        <v>0.5197216102426353</v>
      </c>
      <c r="D677" s="41">
        <v>0.2</v>
      </c>
      <c r="E677" s="43">
        <f t="shared" si="152"/>
        <v>0</v>
      </c>
      <c r="F677" s="48">
        <v>5.2500000000000003E-3</v>
      </c>
      <c r="G677" s="47">
        <f t="shared" si="153"/>
        <v>3.7499999999999999E-3</v>
      </c>
      <c r="H677" s="43">
        <f>Volcanic!D677</f>
        <v>-0.02</v>
      </c>
      <c r="I677" s="47">
        <f>Volcanic!E677</f>
        <v>4.5399999999999998E-3</v>
      </c>
      <c r="K677" s="47">
        <f t="shared" si="140"/>
        <v>0.5197216102426353</v>
      </c>
      <c r="L677" s="47">
        <f t="shared" si="141"/>
        <v>0</v>
      </c>
      <c r="M677" s="47">
        <f t="shared" si="142"/>
        <v>4.5399999999999998E-3</v>
      </c>
      <c r="O677" s="47">
        <f t="shared" si="143"/>
        <v>0.5197216102426353</v>
      </c>
      <c r="P677" s="47">
        <f t="shared" si="144"/>
        <v>-0.02</v>
      </c>
      <c r="Q677" s="47">
        <f t="shared" si="145"/>
        <v>3.7499999999999999E-3</v>
      </c>
      <c r="S677" s="47">
        <f t="shared" si="146"/>
        <v>0.5197216102426353</v>
      </c>
      <c r="T677" s="47">
        <f t="shared" si="147"/>
        <v>0</v>
      </c>
      <c r="U677" s="47">
        <f t="shared" si="148"/>
        <v>3.7499999999999999E-3</v>
      </c>
      <c r="W677" s="47">
        <f t="shared" si="149"/>
        <v>-0.17688741170826217</v>
      </c>
      <c r="X677" s="47">
        <f t="shared" si="150"/>
        <v>-0.17135592857110349</v>
      </c>
      <c r="Y677" s="47">
        <f t="shared" si="151"/>
        <v>-0.17288139469063846</v>
      </c>
      <c r="AP677" s="48">
        <v>0.68920000000000003</v>
      </c>
      <c r="AQ677" s="48">
        <v>0.66769999999999996</v>
      </c>
      <c r="AR677" s="47">
        <f>IF(AP677="","",AP677-($AC$60+$AC$61*Volcanic!C677+$AC$62*Volcanic!D677+$AC$63*Volcanic!E677))</f>
        <v>-0.14874205012090902</v>
      </c>
      <c r="AS677" s="47">
        <f>IF(AQ677="","",AQ677-($AD$60+$AD$61*Volcanic!C677+$AD$62*Volcanic!D677+$AD$63*Volcanic!E677))</f>
        <v>-0.19777686304788111</v>
      </c>
    </row>
    <row r="678" spans="1:45">
      <c r="A678" s="45" t="str">
        <f>Volcanic!A678</f>
        <v>7/2014</v>
      </c>
      <c r="B678" s="43">
        <f>Volcanic!B678</f>
        <v>0.58000000000000007</v>
      </c>
      <c r="C678" s="47">
        <f>Volcanic!C678</f>
        <v>0.51193784891495564</v>
      </c>
      <c r="D678" s="41">
        <v>0.1</v>
      </c>
      <c r="E678" s="43">
        <f t="shared" si="152"/>
        <v>0.3</v>
      </c>
      <c r="F678" s="48">
        <v>5.3299999999999997E-3</v>
      </c>
      <c r="G678" s="47">
        <f t="shared" si="153"/>
        <v>3.7599999999999999E-3</v>
      </c>
      <c r="H678" s="43">
        <f>Volcanic!D678</f>
        <v>0.25</v>
      </c>
      <c r="I678" s="47">
        <f>Volcanic!E678</f>
        <v>4.2700000000000004E-3</v>
      </c>
      <c r="K678" s="47">
        <f t="shared" si="140"/>
        <v>0.51193784891495564</v>
      </c>
      <c r="L678" s="47">
        <f t="shared" si="141"/>
        <v>0.3</v>
      </c>
      <c r="M678" s="47">
        <f t="shared" si="142"/>
        <v>4.2700000000000004E-3</v>
      </c>
      <c r="O678" s="47">
        <f t="shared" si="143"/>
        <v>0.51193784891495564</v>
      </c>
      <c r="P678" s="47">
        <f t="shared" si="144"/>
        <v>0.25</v>
      </c>
      <c r="Q678" s="47">
        <f t="shared" si="145"/>
        <v>3.7599999999999999E-3</v>
      </c>
      <c r="S678" s="47">
        <f t="shared" si="146"/>
        <v>0.51193784891495564</v>
      </c>
      <c r="T678" s="47">
        <f t="shared" si="147"/>
        <v>0.3</v>
      </c>
      <c r="U678" s="47">
        <f t="shared" si="148"/>
        <v>3.7599999999999999E-3</v>
      </c>
      <c r="W678" s="47">
        <f t="shared" si="149"/>
        <v>-0.27411686868239349</v>
      </c>
      <c r="X678" s="47">
        <f t="shared" si="150"/>
        <v>-0.26564855881113714</v>
      </c>
      <c r="Y678" s="47">
        <f t="shared" si="151"/>
        <v>-0.27001691760336288</v>
      </c>
      <c r="AP678" s="48">
        <v>0.65659999999999996</v>
      </c>
      <c r="AQ678" s="48">
        <v>0.56769999999999998</v>
      </c>
      <c r="AR678" s="47">
        <f>IF(AP678="","",AP678-($AC$60+$AC$61*Volcanic!C678+$AC$62*Volcanic!D678+$AC$63*Volcanic!E678))</f>
        <v>-0.18602149983528393</v>
      </c>
      <c r="AS678" s="47">
        <f>IF(AQ678="","",AQ678-($AD$60+$AD$61*Volcanic!C678+$AD$62*Volcanic!D678+$AD$63*Volcanic!E678))</f>
        <v>-0.30239614735010734</v>
      </c>
    </row>
    <row r="679" spans="1:45">
      <c r="A679" s="45" t="str">
        <f>Volcanic!A679</f>
        <v>8/2014</v>
      </c>
      <c r="B679" s="43">
        <f>Volcanic!B679</f>
        <v>0.83000000000000362</v>
      </c>
      <c r="C679" s="47">
        <f>Volcanic!C679</f>
        <v>0.50436615061227197</v>
      </c>
      <c r="D679" s="41">
        <v>0.1</v>
      </c>
      <c r="E679" s="43">
        <f t="shared" si="152"/>
        <v>0.4</v>
      </c>
      <c r="F679" s="48">
        <v>5.2100000000000002E-3</v>
      </c>
      <c r="G679" s="47">
        <f t="shared" si="153"/>
        <v>3.5699999999999998E-3</v>
      </c>
      <c r="H679" s="43">
        <f>Volcanic!D679</f>
        <v>0.35</v>
      </c>
      <c r="I679" s="47">
        <f>Volcanic!E679</f>
        <v>4.1099999999999999E-3</v>
      </c>
      <c r="K679" s="47">
        <f t="shared" si="140"/>
        <v>0.50436615061227197</v>
      </c>
      <c r="L679" s="47">
        <f t="shared" si="141"/>
        <v>0.4</v>
      </c>
      <c r="M679" s="47">
        <f t="shared" si="142"/>
        <v>4.1099999999999999E-3</v>
      </c>
      <c r="O679" s="47">
        <f t="shared" si="143"/>
        <v>0.50436615061227197</v>
      </c>
      <c r="P679" s="47">
        <f t="shared" si="144"/>
        <v>0.35</v>
      </c>
      <c r="Q679" s="47">
        <f t="shared" si="145"/>
        <v>3.5699999999999998E-3</v>
      </c>
      <c r="S679" s="47">
        <f t="shared" si="146"/>
        <v>0.50436615061227197</v>
      </c>
      <c r="T679" s="47">
        <f t="shared" si="147"/>
        <v>0.4</v>
      </c>
      <c r="U679" s="47">
        <f t="shared" si="148"/>
        <v>3.5699999999999998E-3</v>
      </c>
      <c r="W679" s="47">
        <f t="shared" si="149"/>
        <v>-1.3107602759964143E-2</v>
      </c>
      <c r="X679" s="47">
        <f t="shared" si="150"/>
        <v>-5.0679173411449785E-3</v>
      </c>
      <c r="Y679" s="47">
        <f t="shared" si="151"/>
        <v>-9.4466478038565116E-3</v>
      </c>
      <c r="AP679" s="48">
        <v>0.80389999999999995</v>
      </c>
      <c r="AQ679" s="48">
        <v>0.87570000000000003</v>
      </c>
      <c r="AR679" s="47">
        <f>IF(AP679="","",AP679-($AC$60+$AC$61*Volcanic!C679+$AC$62*Volcanic!D679+$AC$63*Volcanic!E679))</f>
        <v>-2.7795661326366683E-2</v>
      </c>
      <c r="AS679" s="47">
        <f>IF(AQ679="","",AQ679-($AD$60+$AD$61*Volcanic!C679+$AD$62*Volcanic!D679+$AD$63*Volcanic!E679))</f>
        <v>1.6888477819350878E-2</v>
      </c>
    </row>
    <row r="680" spans="1:45">
      <c r="A680" s="45" t="str">
        <f>Volcanic!A680</f>
        <v>9/2014</v>
      </c>
      <c r="B680" s="43">
        <f>Volcanic!B680</f>
        <v>0.88000000000000256</v>
      </c>
      <c r="C680" s="47">
        <f>Volcanic!C680</f>
        <v>0.49839677115263525</v>
      </c>
      <c r="D680" s="41">
        <v>0.2</v>
      </c>
      <c r="E680" s="43">
        <f t="shared" si="152"/>
        <v>0.2</v>
      </c>
      <c r="F680" s="48">
        <v>5.2500000000000003E-3</v>
      </c>
      <c r="G680" s="47">
        <f t="shared" si="153"/>
        <v>3.49E-3</v>
      </c>
      <c r="H680" s="43">
        <f>Volcanic!D680</f>
        <v>0.22</v>
      </c>
      <c r="I680" s="47">
        <f>Volcanic!E680</f>
        <v>4.5700000000000003E-3</v>
      </c>
      <c r="K680" s="47">
        <f t="shared" si="140"/>
        <v>0.49839677115263525</v>
      </c>
      <c r="L680" s="47">
        <f t="shared" si="141"/>
        <v>0.2</v>
      </c>
      <c r="M680" s="47">
        <f t="shared" si="142"/>
        <v>4.5700000000000003E-3</v>
      </c>
      <c r="O680" s="47">
        <f t="shared" si="143"/>
        <v>0.49839677115263525</v>
      </c>
      <c r="P680" s="47">
        <f t="shared" si="144"/>
        <v>0.22</v>
      </c>
      <c r="Q680" s="47">
        <f t="shared" si="145"/>
        <v>3.49E-3</v>
      </c>
      <c r="S680" s="47">
        <f t="shared" si="146"/>
        <v>0.49839677115263525</v>
      </c>
      <c r="T680" s="47">
        <f t="shared" si="147"/>
        <v>0.2</v>
      </c>
      <c r="U680" s="47">
        <f t="shared" si="148"/>
        <v>3.49E-3</v>
      </c>
      <c r="W680" s="47">
        <f t="shared" si="149"/>
        <v>7.276007833819087E-2</v>
      </c>
      <c r="X680" s="47">
        <f t="shared" si="150"/>
        <v>7.3073453946152944E-2</v>
      </c>
      <c r="Y680" s="47">
        <f t="shared" si="151"/>
        <v>7.5283190426624236E-2</v>
      </c>
      <c r="AP680" s="48">
        <v>0.83599999999999997</v>
      </c>
      <c r="AQ680" s="48">
        <v>0.91769999999999996</v>
      </c>
      <c r="AR680" s="47">
        <f>IF(AP680="","",AP680-($AC$60+$AC$61*Volcanic!C680+$AC$62*Volcanic!D680+$AC$63*Volcanic!E680))</f>
        <v>3.3885089831856563E-2</v>
      </c>
      <c r="AS680" s="47">
        <f>IF(AQ680="","",AQ680-($AD$60+$AD$61*Volcanic!C680+$AD$62*Volcanic!D680+$AD$63*Volcanic!E680))</f>
        <v>8.9084996286221907E-2</v>
      </c>
    </row>
    <row r="681" spans="1:45">
      <c r="A681" s="45" t="str">
        <f>Volcanic!A681</f>
        <v>10/2014</v>
      </c>
      <c r="B681" s="43">
        <f>Volcanic!B681</f>
        <v>0.79999999999999893</v>
      </c>
      <c r="C681" s="47">
        <f>Volcanic!C681</f>
        <v>0.50065639249457372</v>
      </c>
      <c r="D681" s="41">
        <v>0.5</v>
      </c>
      <c r="E681" s="43">
        <f t="shared" si="152"/>
        <v>0.1</v>
      </c>
      <c r="F681" s="48">
        <v>5.1500000000000001E-3</v>
      </c>
      <c r="G681" s="47">
        <f t="shared" si="153"/>
        <v>4.3299999999999996E-3</v>
      </c>
      <c r="H681" s="43">
        <f>Volcanic!D681</f>
        <v>7.0000000000000007E-2</v>
      </c>
      <c r="I681" s="47">
        <f>Volcanic!E681</f>
        <v>7.0000000000000001E-3</v>
      </c>
      <c r="K681" s="47">
        <f t="shared" si="140"/>
        <v>0.50065639249457372</v>
      </c>
      <c r="L681" s="47">
        <f t="shared" si="141"/>
        <v>0.1</v>
      </c>
      <c r="M681" s="47">
        <f t="shared" si="142"/>
        <v>7.0000000000000001E-3</v>
      </c>
      <c r="O681" s="47">
        <f t="shared" si="143"/>
        <v>0.50065639249457372</v>
      </c>
      <c r="P681" s="47">
        <f t="shared" si="144"/>
        <v>7.0000000000000007E-2</v>
      </c>
      <c r="Q681" s="47">
        <f t="shared" si="145"/>
        <v>4.3299999999999996E-3</v>
      </c>
      <c r="S681" s="47">
        <f t="shared" si="146"/>
        <v>0.50065639249457372</v>
      </c>
      <c r="T681" s="47">
        <f t="shared" si="147"/>
        <v>0.1</v>
      </c>
      <c r="U681" s="47">
        <f t="shared" si="148"/>
        <v>4.3299999999999996E-3</v>
      </c>
      <c r="W681" s="47">
        <f t="shared" si="149"/>
        <v>1.2396479794412052E-3</v>
      </c>
      <c r="X681" s="47">
        <f t="shared" si="150"/>
        <v>3.2495291059883025E-3</v>
      </c>
      <c r="Y681" s="47">
        <f t="shared" si="151"/>
        <v>7.7322345780972412E-4</v>
      </c>
      <c r="AP681" s="48">
        <v>0.81310000000000004</v>
      </c>
      <c r="AQ681" s="48">
        <v>0.8397</v>
      </c>
      <c r="AR681" s="47">
        <f>IF(AP681="","",AP681-($AC$60+$AC$61*Volcanic!C681+$AC$62*Volcanic!D681+$AC$63*Volcanic!E681))</f>
        <v>2.4708781371581834E-2</v>
      </c>
      <c r="AS681" s="47">
        <f>IF(AQ681="","",AQ681-($AD$60+$AD$61*Volcanic!C681+$AD$62*Volcanic!D681+$AD$63*Volcanic!E681))</f>
        <v>2.4656253513537618E-2</v>
      </c>
    </row>
    <row r="682" spans="1:45">
      <c r="A682" s="45" t="str">
        <f>Volcanic!A682</f>
        <v>11/2014</v>
      </c>
      <c r="B682" s="43">
        <f>Volcanic!B682</f>
        <v>0.66999999999999993</v>
      </c>
      <c r="C682" s="47">
        <f>Volcanic!C682</f>
        <v>0.50516504541734131</v>
      </c>
      <c r="D682" s="41">
        <v>0.7</v>
      </c>
      <c r="E682" s="43">
        <f t="shared" si="152"/>
        <v>0.1</v>
      </c>
      <c r="F682" s="48">
        <v>5.0800000000000003E-3</v>
      </c>
      <c r="G682" s="47">
        <f t="shared" si="153"/>
        <v>4.9800000000000001E-3</v>
      </c>
      <c r="H682" s="43">
        <f>Volcanic!D682</f>
        <v>7.0000000000000007E-2</v>
      </c>
      <c r="I682" s="47">
        <f>Volcanic!E682</f>
        <v>7.43E-3</v>
      </c>
      <c r="K682" s="47">
        <f t="shared" si="140"/>
        <v>0.50516504541734131</v>
      </c>
      <c r="L682" s="47">
        <f t="shared" si="141"/>
        <v>0.1</v>
      </c>
      <c r="M682" s="47">
        <f t="shared" si="142"/>
        <v>7.43E-3</v>
      </c>
      <c r="O682" s="47">
        <f t="shared" si="143"/>
        <v>0.50516504541734131</v>
      </c>
      <c r="P682" s="47">
        <f t="shared" si="144"/>
        <v>7.0000000000000007E-2</v>
      </c>
      <c r="Q682" s="47">
        <f t="shared" si="145"/>
        <v>4.9800000000000001E-3</v>
      </c>
      <c r="S682" s="47">
        <f t="shared" si="146"/>
        <v>0.50516504541734131</v>
      </c>
      <c r="T682" s="47">
        <f t="shared" si="147"/>
        <v>0.1</v>
      </c>
      <c r="U682" s="47">
        <f t="shared" si="148"/>
        <v>4.9800000000000001E-3</v>
      </c>
      <c r="W682" s="47">
        <f t="shared" si="149"/>
        <v>-0.14010861168102484</v>
      </c>
      <c r="X682" s="47">
        <f t="shared" si="150"/>
        <v>-0.1372416802621822</v>
      </c>
      <c r="Y682" s="47">
        <f t="shared" si="151"/>
        <v>-0.13971461752061143</v>
      </c>
      <c r="AP682" s="48">
        <v>0.70389999999999997</v>
      </c>
      <c r="AQ682" s="48">
        <v>0.61670000000000003</v>
      </c>
      <c r="AR682" s="47">
        <f>IF(AP682="","",AP682-($AC$60+$AC$61*Volcanic!C682+$AC$62*Volcanic!D682+$AC$63*Volcanic!E682))</f>
        <v>-9.5767916673350384E-2</v>
      </c>
      <c r="AS682" s="47">
        <f>IF(AQ682="","",AQ682-($AD$60+$AD$61*Volcanic!C682+$AD$62*Volcanic!D682+$AD$63*Volcanic!E682))</f>
        <v>-0.20998714688109876</v>
      </c>
    </row>
    <row r="683" spans="1:45">
      <c r="A683" s="45" t="str">
        <f>Volcanic!A683</f>
        <v>12/2014</v>
      </c>
      <c r="B683" s="43">
        <f>Volcanic!B683</f>
        <v>0.79000000000000092</v>
      </c>
      <c r="C683" s="47">
        <f>Volcanic!C683</f>
        <v>0.51125115244612851</v>
      </c>
      <c r="D683" s="41">
        <v>0.8</v>
      </c>
      <c r="E683" s="43">
        <f t="shared" si="152"/>
        <v>0.2</v>
      </c>
      <c r="F683" s="48">
        <v>5.0000000000000001E-3</v>
      </c>
      <c r="G683" s="47">
        <f t="shared" si="153"/>
        <v>5.2199999999999998E-3</v>
      </c>
      <c r="H683" s="43">
        <f>Volcanic!D683</f>
        <v>0.24</v>
      </c>
      <c r="I683" s="47">
        <f>Volcanic!E683</f>
        <v>7.3600000000000002E-3</v>
      </c>
      <c r="K683" s="47">
        <f t="shared" si="140"/>
        <v>0.51125115244612851</v>
      </c>
      <c r="L683" s="47">
        <f t="shared" si="141"/>
        <v>0.2</v>
      </c>
      <c r="M683" s="47">
        <f t="shared" si="142"/>
        <v>7.3600000000000002E-3</v>
      </c>
      <c r="O683" s="47">
        <f t="shared" si="143"/>
        <v>0.51125115244612851</v>
      </c>
      <c r="P683" s="47">
        <f t="shared" si="144"/>
        <v>0.24</v>
      </c>
      <c r="Q683" s="47">
        <f t="shared" si="145"/>
        <v>5.2199999999999998E-3</v>
      </c>
      <c r="S683" s="47">
        <f t="shared" si="146"/>
        <v>0.51125115244612851</v>
      </c>
      <c r="T683" s="47">
        <f t="shared" si="147"/>
        <v>0.2</v>
      </c>
      <c r="U683" s="47">
        <f t="shared" si="148"/>
        <v>5.2199999999999998E-3</v>
      </c>
      <c r="W683" s="47">
        <f t="shared" si="149"/>
        <v>-4.6147920203793324E-2</v>
      </c>
      <c r="X683" s="47">
        <f t="shared" si="150"/>
        <v>-4.9038040722803267E-2</v>
      </c>
      <c r="Y683" s="47">
        <f t="shared" si="151"/>
        <v>-4.4940356808904514E-2</v>
      </c>
      <c r="AP683" s="48">
        <v>0.75290000000000001</v>
      </c>
      <c r="AQ683" s="48">
        <v>0.79869999999999997</v>
      </c>
      <c r="AR683" s="47">
        <f>IF(AP683="","",AP683-($AC$60+$AC$61*Volcanic!C683+$AC$62*Volcanic!D683+$AC$63*Volcanic!E683))</f>
        <v>-7.9474791014878643E-2</v>
      </c>
      <c r="AS683" s="47">
        <f>IF(AQ683="","",AQ683-($AD$60+$AD$61*Volcanic!C683+$AD$62*Volcanic!D683+$AD$63*Volcanic!E683))</f>
        <v>-6.1439941160743583E-2</v>
      </c>
    </row>
    <row r="684" spans="1:45">
      <c r="A684" s="45" t="str">
        <f>Volcanic!A684</f>
        <v>1/2015</v>
      </c>
      <c r="B684" s="43">
        <f>Volcanic!B684</f>
        <v>0.86000000000000121</v>
      </c>
      <c r="C684" s="47">
        <f>Volcanic!C684</f>
        <v>0.51522223956909252</v>
      </c>
      <c r="D684" s="41">
        <v>0.7</v>
      </c>
      <c r="E684" s="43">
        <f t="shared" si="152"/>
        <v>0.5</v>
      </c>
      <c r="F684" s="48">
        <v>4.7999999999999996E-3</v>
      </c>
      <c r="G684" s="47">
        <f t="shared" si="153"/>
        <v>5.2500000000000003E-3</v>
      </c>
      <c r="H684" s="43">
        <f>Volcanic!D684</f>
        <v>0.51</v>
      </c>
      <c r="I684" s="47">
        <f>Volcanic!E684</f>
        <v>7.2700000000000004E-3</v>
      </c>
      <c r="K684" s="47">
        <f t="shared" si="140"/>
        <v>0.51522223956909252</v>
      </c>
      <c r="L684" s="47">
        <f t="shared" si="141"/>
        <v>0.5</v>
      </c>
      <c r="M684" s="47">
        <f t="shared" si="142"/>
        <v>7.2700000000000004E-3</v>
      </c>
      <c r="O684" s="47">
        <f t="shared" si="143"/>
        <v>0.51522223956909252</v>
      </c>
      <c r="P684" s="47">
        <f t="shared" si="144"/>
        <v>0.51</v>
      </c>
      <c r="Q684" s="47">
        <f t="shared" si="145"/>
        <v>5.2500000000000003E-3</v>
      </c>
      <c r="S684" s="47">
        <f t="shared" si="146"/>
        <v>0.51522223956909252</v>
      </c>
      <c r="T684" s="47">
        <f t="shared" si="147"/>
        <v>0.5</v>
      </c>
      <c r="U684" s="47">
        <f t="shared" si="148"/>
        <v>5.2500000000000003E-3</v>
      </c>
      <c r="W684" s="47">
        <f t="shared" si="149"/>
        <v>-1.5037984414068672E-2</v>
      </c>
      <c r="X684" s="47">
        <f t="shared" si="150"/>
        <v>-1.5058574620068876E-2</v>
      </c>
      <c r="Y684" s="47">
        <f t="shared" si="151"/>
        <v>-1.3800163224915951E-2</v>
      </c>
      <c r="AP684" s="48">
        <v>0.8075</v>
      </c>
      <c r="AQ684" s="48">
        <v>0.85370000000000001</v>
      </c>
      <c r="AR684" s="47">
        <f>IF(AP684="","",AP684-($AC$60+$AC$61*Volcanic!C684+$AC$62*Volcanic!D684+$AC$63*Volcanic!E684))</f>
        <v>-6.1219009007638658E-2</v>
      </c>
      <c r="AS684" s="47">
        <f>IF(AQ684="","",AQ684-($AD$60+$AD$61*Volcanic!C684+$AD$62*Volcanic!D684+$AD$63*Volcanic!E684))</f>
        <v>-4.3571031581713049E-2</v>
      </c>
    </row>
    <row r="685" spans="1:45">
      <c r="A685" s="45" t="str">
        <f>Volcanic!A685</f>
        <v>2/2015</v>
      </c>
      <c r="B685" s="43">
        <f>Volcanic!B685</f>
        <v>0.91000000000000014</v>
      </c>
      <c r="C685" s="47">
        <f>Volcanic!C685</f>
        <v>0.51655551596218474</v>
      </c>
      <c r="D685" s="41">
        <v>0.7</v>
      </c>
      <c r="E685" s="43">
        <f t="shared" si="152"/>
        <v>0.7</v>
      </c>
      <c r="F685" s="48">
        <v>4.5599999999999998E-3</v>
      </c>
      <c r="G685" s="47">
        <f t="shared" si="153"/>
        <v>5.3299999999999997E-3</v>
      </c>
      <c r="H685" s="43">
        <f>Volcanic!D685</f>
        <v>0.7</v>
      </c>
      <c r="I685" s="47">
        <f>Volcanic!E685</f>
        <v>6.8700000000000002E-3</v>
      </c>
      <c r="K685" s="47">
        <f t="shared" si="140"/>
        <v>0.51655551596218474</v>
      </c>
      <c r="L685" s="47">
        <f t="shared" si="141"/>
        <v>0.7</v>
      </c>
      <c r="M685" s="47">
        <f t="shared" si="142"/>
        <v>6.8700000000000002E-3</v>
      </c>
      <c r="O685" s="47">
        <f t="shared" si="143"/>
        <v>0.51655551596218474</v>
      </c>
      <c r="P685" s="47">
        <f t="shared" si="144"/>
        <v>0.7</v>
      </c>
      <c r="Q685" s="47">
        <f t="shared" si="145"/>
        <v>5.3299999999999997E-3</v>
      </c>
      <c r="S685" s="47">
        <f t="shared" si="146"/>
        <v>0.51655551596218474</v>
      </c>
      <c r="T685" s="47">
        <f t="shared" si="147"/>
        <v>0.7</v>
      </c>
      <c r="U685" s="47">
        <f t="shared" si="148"/>
        <v>5.3299999999999997E-3</v>
      </c>
      <c r="W685" s="47">
        <f t="shared" si="149"/>
        <v>1.1869897144885511E-2</v>
      </c>
      <c r="X685" s="47">
        <f t="shared" si="150"/>
        <v>1.3697952884638931E-2</v>
      </c>
      <c r="Y685" s="47">
        <f t="shared" si="151"/>
        <v>1.4002664892662331E-2</v>
      </c>
      <c r="AP685" s="48">
        <v>0.84830000000000005</v>
      </c>
      <c r="AQ685" s="48">
        <v>0.88470000000000004</v>
      </c>
      <c r="AR685" s="47">
        <f>IF(AP685="","",AP685-($AC$60+$AC$61*Volcanic!C685+$AC$62*Volcanic!D685+$AC$63*Volcanic!E685))</f>
        <v>-4.2814713660690562E-2</v>
      </c>
      <c r="AS685" s="47">
        <f>IF(AQ685="","",AQ685-($AD$60+$AD$61*Volcanic!C685+$AD$62*Volcanic!D685+$AD$63*Volcanic!E685))</f>
        <v>-3.5378760886196625E-2</v>
      </c>
    </row>
    <row r="686" spans="1:45">
      <c r="A686" s="45" t="str">
        <f>Volcanic!A686</f>
        <v>3/2015</v>
      </c>
      <c r="B686" s="43">
        <f>Volcanic!B686</f>
        <v>0.95999999999999908</v>
      </c>
      <c r="C686" s="47">
        <f>Volcanic!C686</f>
        <v>0.52083528601459983</v>
      </c>
      <c r="D686" s="41">
        <v>0.7</v>
      </c>
      <c r="E686" s="43">
        <f t="shared" si="152"/>
        <v>0.8</v>
      </c>
      <c r="F686" s="48">
        <v>4.3899999999999998E-3</v>
      </c>
      <c r="G686" s="47">
        <f t="shared" si="153"/>
        <v>5.2100000000000002E-3</v>
      </c>
      <c r="H686" s="43">
        <f>Volcanic!D686</f>
        <v>0.8</v>
      </c>
      <c r="I686" s="47">
        <f>Volcanic!E686</f>
        <v>6.9800000000000001E-3</v>
      </c>
      <c r="K686" s="47">
        <f t="shared" si="140"/>
        <v>0.52083528601459983</v>
      </c>
      <c r="L686" s="47">
        <f t="shared" si="141"/>
        <v>0.8</v>
      </c>
      <c r="M686" s="47">
        <f t="shared" si="142"/>
        <v>6.9800000000000001E-3</v>
      </c>
      <c r="O686" s="47">
        <f t="shared" si="143"/>
        <v>0.52083528601459983</v>
      </c>
      <c r="P686" s="47">
        <f t="shared" si="144"/>
        <v>0.8</v>
      </c>
      <c r="Q686" s="47">
        <f t="shared" si="145"/>
        <v>5.2100000000000002E-3</v>
      </c>
      <c r="S686" s="47">
        <f t="shared" si="146"/>
        <v>0.52083528601459983</v>
      </c>
      <c r="T686" s="47">
        <f t="shared" si="147"/>
        <v>0.8</v>
      </c>
      <c r="U686" s="47">
        <f t="shared" si="148"/>
        <v>5.2100000000000002E-3</v>
      </c>
      <c r="W686" s="47">
        <f t="shared" si="149"/>
        <v>4.1153376055397262E-2</v>
      </c>
      <c r="X686" s="47">
        <f t="shared" si="150"/>
        <v>4.2420108786587085E-2</v>
      </c>
      <c r="Y686" s="47">
        <f t="shared" si="151"/>
        <v>4.2718252642860666E-2</v>
      </c>
      <c r="AP686" s="48">
        <v>0.86270000000000002</v>
      </c>
      <c r="AQ686" s="48">
        <v>0.90069999999999995</v>
      </c>
      <c r="AR686" s="47">
        <f>IF(AP686="","",AP686-($AC$60+$AC$61*Volcanic!C686+$AC$62*Volcanic!D686+$AC$63*Volcanic!E686))</f>
        <v>-4.9200916497954661E-2</v>
      </c>
      <c r="AS686" s="47">
        <f>IF(AQ686="","",AQ686-($AD$60+$AD$61*Volcanic!C686+$AD$62*Volcanic!D686+$AD$63*Volcanic!E686))</f>
        <v>-4.0670431798221274E-2</v>
      </c>
    </row>
    <row r="687" spans="1:45">
      <c r="A687" s="45" t="str">
        <f>Volcanic!A687</f>
        <v>4/2015</v>
      </c>
      <c r="B687" s="43">
        <f>Volcanic!B687</f>
        <v>0.75</v>
      </c>
      <c r="C687" s="47">
        <f>Volcanic!C687</f>
        <v>0.52660542876170069</v>
      </c>
      <c r="D687" s="41">
        <v>0.9</v>
      </c>
      <c r="E687" s="43">
        <f t="shared" si="152"/>
        <v>0.7</v>
      </c>
      <c r="F687" s="48">
        <v>4.4900000000000001E-3</v>
      </c>
      <c r="G687" s="47">
        <f t="shared" si="153"/>
        <v>5.2500000000000003E-3</v>
      </c>
      <c r="H687" s="43">
        <f>Volcanic!D687</f>
        <v>0.73</v>
      </c>
      <c r="I687" s="47">
        <f>Volcanic!E687</f>
        <v>6.9300000000000004E-3</v>
      </c>
      <c r="K687" s="47">
        <f t="shared" si="140"/>
        <v>0.52660542876170069</v>
      </c>
      <c r="L687" s="47">
        <f t="shared" si="141"/>
        <v>0.7</v>
      </c>
      <c r="M687" s="47">
        <f t="shared" si="142"/>
        <v>6.9300000000000004E-3</v>
      </c>
      <c r="O687" s="47">
        <f t="shared" si="143"/>
        <v>0.52660542876170069</v>
      </c>
      <c r="P687" s="47">
        <f t="shared" si="144"/>
        <v>0.73</v>
      </c>
      <c r="Q687" s="47">
        <f t="shared" si="145"/>
        <v>5.2500000000000003E-3</v>
      </c>
      <c r="S687" s="47">
        <f t="shared" si="146"/>
        <v>0.52660542876170069</v>
      </c>
      <c r="T687" s="47">
        <f t="shared" si="147"/>
        <v>0.7</v>
      </c>
      <c r="U687" s="47">
        <f t="shared" si="148"/>
        <v>5.2500000000000003E-3</v>
      </c>
      <c r="W687" s="47">
        <f t="shared" si="149"/>
        <v>-0.17540551684890571</v>
      </c>
      <c r="X687" s="47">
        <f t="shared" si="150"/>
        <v>-0.17649988368142622</v>
      </c>
      <c r="Y687" s="47">
        <f t="shared" si="151"/>
        <v>-0.17337429036552554</v>
      </c>
      <c r="AP687" s="48">
        <v>0.75960000000000005</v>
      </c>
      <c r="AQ687" s="48">
        <v>0.85070000000000001</v>
      </c>
      <c r="AR687" s="47">
        <f>IF(AP687="","",AP687-($AC$60+$AC$61*Volcanic!C687+$AC$62*Volcanic!D687+$AC$63*Volcanic!E687))</f>
        <v>-0.16162206791948797</v>
      </c>
      <c r="AS687" s="47">
        <f>IF(AQ687="","",AQ687-($AD$60+$AD$61*Volcanic!C687+$AD$62*Volcanic!D687+$AD$63*Volcanic!E687))</f>
        <v>-0.10025699765634044</v>
      </c>
    </row>
    <row r="688" spans="1:45">
      <c r="A688" s="45" t="str">
        <f>Volcanic!A688</f>
        <v>5/2015</v>
      </c>
      <c r="B688" s="43">
        <f>Volcanic!B688</f>
        <v>0.79999999999999893</v>
      </c>
      <c r="C688" s="47">
        <f>Volcanic!C688</f>
        <v>0.52946402049003916</v>
      </c>
      <c r="D688" s="41">
        <v>1</v>
      </c>
      <c r="E688" s="43">
        <f t="shared" si="152"/>
        <v>0.7</v>
      </c>
      <c r="F688" s="48">
        <v>5.3499999999999997E-3</v>
      </c>
      <c r="G688" s="47">
        <f t="shared" si="153"/>
        <v>5.1500000000000001E-3</v>
      </c>
      <c r="H688" s="43">
        <f>Volcanic!D688</f>
        <v>0.65</v>
      </c>
      <c r="I688" s="47">
        <f>Volcanic!E688</f>
        <v>6.62E-3</v>
      </c>
      <c r="K688" s="47">
        <f t="shared" si="140"/>
        <v>0.52946402049003916</v>
      </c>
      <c r="L688" s="47">
        <f t="shared" si="141"/>
        <v>0.7</v>
      </c>
      <c r="M688" s="47">
        <f t="shared" si="142"/>
        <v>6.62E-3</v>
      </c>
      <c r="O688" s="47">
        <f t="shared" si="143"/>
        <v>0.52946402049003916</v>
      </c>
      <c r="P688" s="47">
        <f t="shared" si="144"/>
        <v>0.65</v>
      </c>
      <c r="Q688" s="47">
        <f t="shared" si="145"/>
        <v>5.1500000000000001E-3</v>
      </c>
      <c r="S688" s="47">
        <f t="shared" si="146"/>
        <v>0.52946402049003916</v>
      </c>
      <c r="T688" s="47">
        <f t="shared" si="147"/>
        <v>0.7</v>
      </c>
      <c r="U688" s="47">
        <f t="shared" si="148"/>
        <v>5.1500000000000001E-3</v>
      </c>
      <c r="W688" s="47">
        <f t="shared" si="149"/>
        <v>-0.13388441969029863</v>
      </c>
      <c r="X688" s="47">
        <f t="shared" si="150"/>
        <v>-0.12697469210492041</v>
      </c>
      <c r="Y688" s="47">
        <f t="shared" si="151"/>
        <v>-0.13136343635237735</v>
      </c>
      <c r="AP688" s="48">
        <v>0.80110000000000003</v>
      </c>
      <c r="AQ688" s="48">
        <v>0.84970000000000001</v>
      </c>
      <c r="AR688" s="47">
        <f>IF(AP688="","",AP688-($AC$60+$AC$61*Volcanic!C688+$AC$62*Volcanic!D688+$AC$63*Volcanic!E688))</f>
        <v>-0.12118207562291028</v>
      </c>
      <c r="AS688" s="47">
        <f>IF(AQ688="","",AQ688-($AD$60+$AD$61*Volcanic!C688+$AD$62*Volcanic!D688+$AD$63*Volcanic!E688))</f>
        <v>-0.10232847051217686</v>
      </c>
    </row>
    <row r="689" spans="1:45">
      <c r="A689" s="45" t="str">
        <f>Volcanic!A689</f>
        <v>6/2015</v>
      </c>
      <c r="B689" s="43">
        <f>Volcanic!B689</f>
        <v>0.82000000000000028</v>
      </c>
      <c r="C689" s="47">
        <f>Volcanic!C689</f>
        <v>0.52524561093224054</v>
      </c>
      <c r="D689" s="41">
        <v>1.2</v>
      </c>
      <c r="E689" s="43">
        <f t="shared" si="152"/>
        <v>0.7</v>
      </c>
      <c r="F689" s="48">
        <v>6.4700000000000001E-3</v>
      </c>
      <c r="G689" s="47">
        <f t="shared" si="153"/>
        <v>5.0800000000000003E-3</v>
      </c>
      <c r="H689" s="43">
        <f>Volcanic!D689</f>
        <v>0.72</v>
      </c>
      <c r="I689" s="47">
        <f>Volcanic!E689</f>
        <v>6.6100000000000004E-3</v>
      </c>
      <c r="K689" s="47">
        <f t="shared" si="140"/>
        <v>0.52524561093224054</v>
      </c>
      <c r="L689" s="47">
        <f t="shared" si="141"/>
        <v>0.7</v>
      </c>
      <c r="M689" s="47">
        <f t="shared" si="142"/>
        <v>6.6100000000000004E-3</v>
      </c>
      <c r="O689" s="47">
        <f t="shared" si="143"/>
        <v>0.52524561093224054</v>
      </c>
      <c r="P689" s="47">
        <f t="shared" si="144"/>
        <v>0.72</v>
      </c>
      <c r="Q689" s="47">
        <f t="shared" si="145"/>
        <v>5.0800000000000003E-3</v>
      </c>
      <c r="S689" s="47">
        <f t="shared" si="146"/>
        <v>0.52524561093224054</v>
      </c>
      <c r="T689" s="47">
        <f t="shared" si="147"/>
        <v>0.7</v>
      </c>
      <c r="U689" s="47">
        <f t="shared" si="148"/>
        <v>5.0800000000000003E-3</v>
      </c>
      <c r="W689" s="47">
        <f t="shared" si="149"/>
        <v>-0.10240221687871676</v>
      </c>
      <c r="X689" s="47">
        <f t="shared" si="150"/>
        <v>-0.10232831510928742</v>
      </c>
      <c r="Y689" s="47">
        <f t="shared" si="151"/>
        <v>-0.10014301927703873</v>
      </c>
      <c r="AP689" s="48">
        <v>0.82709999999999995</v>
      </c>
      <c r="AQ689" s="48">
        <v>0.81569999999999998</v>
      </c>
      <c r="AR689" s="47">
        <f>IF(AP689="","",AP689-($AC$60+$AC$61*Volcanic!C689+$AC$62*Volcanic!D689+$AC$63*Volcanic!E689))</f>
        <v>-9.0242471425555415E-2</v>
      </c>
      <c r="AS689" s="47">
        <f>IF(AQ689="","",AQ689-($AD$60+$AD$61*Volcanic!C689+$AD$62*Volcanic!D689+$AD$63*Volcanic!E689))</f>
        <v>-0.13122556429710752</v>
      </c>
    </row>
    <row r="690" spans="1:45">
      <c r="A690" s="45" t="str">
        <f>Volcanic!A690</f>
        <v>7/2015</v>
      </c>
      <c r="B690" s="43">
        <f>Volcanic!B690</f>
        <v>0.7300000000000022</v>
      </c>
      <c r="C690" s="47">
        <f>Volcanic!C690</f>
        <v>0.51982942289753653</v>
      </c>
      <c r="D690" s="41">
        <v>1.4</v>
      </c>
      <c r="E690" s="43">
        <f t="shared" si="152"/>
        <v>0.9</v>
      </c>
      <c r="F690" s="48">
        <v>6.9300000000000004E-3</v>
      </c>
      <c r="G690" s="47">
        <f t="shared" si="153"/>
        <v>5.0000000000000001E-3</v>
      </c>
      <c r="H690" s="43">
        <f>Volcanic!D690</f>
        <v>0.86</v>
      </c>
      <c r="I690" s="47">
        <f>Volcanic!E690</f>
        <v>6.6E-3</v>
      </c>
      <c r="K690" s="47">
        <f t="shared" si="140"/>
        <v>0.51982942289753653</v>
      </c>
      <c r="L690" s="47">
        <f t="shared" si="141"/>
        <v>0.9</v>
      </c>
      <c r="M690" s="47">
        <f t="shared" si="142"/>
        <v>6.6E-3</v>
      </c>
      <c r="O690" s="47">
        <f t="shared" si="143"/>
        <v>0.51982942289753653</v>
      </c>
      <c r="P690" s="47">
        <f t="shared" si="144"/>
        <v>0.86</v>
      </c>
      <c r="Q690" s="47">
        <f t="shared" si="145"/>
        <v>5.0000000000000001E-3</v>
      </c>
      <c r="S690" s="47">
        <f t="shared" si="146"/>
        <v>0.51982942289753653</v>
      </c>
      <c r="T690" s="47">
        <f t="shared" si="147"/>
        <v>0.9</v>
      </c>
      <c r="U690" s="47">
        <f t="shared" si="148"/>
        <v>5.0000000000000001E-3</v>
      </c>
      <c r="W690" s="47">
        <f t="shared" si="149"/>
        <v>-0.1962281547467094</v>
      </c>
      <c r="X690" s="47">
        <f t="shared" si="150"/>
        <v>-0.19104531004293179</v>
      </c>
      <c r="Y690" s="47">
        <f t="shared" si="151"/>
        <v>-0.19451305920143325</v>
      </c>
      <c r="AP690" s="48">
        <v>0.78490000000000004</v>
      </c>
      <c r="AQ690" s="48">
        <v>0.72170000000000001</v>
      </c>
      <c r="AR690" s="47">
        <f>IF(AP690="","",AP690-($AC$60+$AC$61*Volcanic!C690+$AC$62*Volcanic!D690+$AC$63*Volcanic!E690))</f>
        <v>-0.13078736070807007</v>
      </c>
      <c r="AS690" s="47">
        <f>IF(AQ690="","",AQ690-($AD$60+$AD$61*Volcanic!C690+$AD$62*Volcanic!D690+$AD$63*Volcanic!E690))</f>
        <v>-0.22345731209969522</v>
      </c>
    </row>
    <row r="691" spans="1:45">
      <c r="A691" s="45" t="str">
        <f>Volcanic!A691</f>
        <v>8/2015</v>
      </c>
      <c r="B691" s="43">
        <f>Volcanic!B691</f>
        <v>0.79999999999999893</v>
      </c>
      <c r="C691" s="47">
        <f>Volcanic!C691</f>
        <v>0.51135959993669367</v>
      </c>
      <c r="D691" s="41">
        <v>1.7</v>
      </c>
      <c r="E691" s="43">
        <f t="shared" si="152"/>
        <v>1</v>
      </c>
      <c r="F691" s="48">
        <v>7.1700000000000002E-3</v>
      </c>
      <c r="G691" s="47">
        <f t="shared" si="153"/>
        <v>4.7999999999999996E-3</v>
      </c>
      <c r="H691" s="43">
        <f>Volcanic!D691</f>
        <v>1.04</v>
      </c>
      <c r="I691" s="47">
        <f>Volcanic!E691</f>
        <v>6.2300000000000003E-3</v>
      </c>
      <c r="K691" s="47">
        <f t="shared" si="140"/>
        <v>0.51135959993669367</v>
      </c>
      <c r="L691" s="47">
        <f t="shared" si="141"/>
        <v>1</v>
      </c>
      <c r="M691" s="47">
        <f t="shared" si="142"/>
        <v>6.2300000000000003E-3</v>
      </c>
      <c r="O691" s="47">
        <f t="shared" si="143"/>
        <v>0.51135959993669367</v>
      </c>
      <c r="P691" s="47">
        <f t="shared" si="144"/>
        <v>1.04</v>
      </c>
      <c r="Q691" s="47">
        <f t="shared" si="145"/>
        <v>4.7999999999999996E-3</v>
      </c>
      <c r="S691" s="47">
        <f t="shared" si="146"/>
        <v>0.51135959993669367</v>
      </c>
      <c r="T691" s="47">
        <f t="shared" si="147"/>
        <v>1</v>
      </c>
      <c r="U691" s="47">
        <f t="shared" si="148"/>
        <v>4.7999999999999996E-3</v>
      </c>
      <c r="W691" s="47">
        <f t="shared" si="149"/>
        <v>-0.11323230789984229</v>
      </c>
      <c r="X691" s="47">
        <f t="shared" si="150"/>
        <v>-0.11557754004270837</v>
      </c>
      <c r="Y691" s="47">
        <f t="shared" si="151"/>
        <v>-0.11154106887617266</v>
      </c>
      <c r="AP691" s="48">
        <v>0.87470000000000003</v>
      </c>
      <c r="AQ691" s="48">
        <v>0.85770000000000002</v>
      </c>
      <c r="AR691" s="47">
        <f>IF(AP691="","",AP691-($AC$60+$AC$61*Volcanic!C691+$AC$62*Volcanic!D691+$AC$63*Volcanic!E691))</f>
        <v>-3.5606005893363157E-2</v>
      </c>
      <c r="AS691" s="47">
        <f>IF(AQ691="","",AQ691-($AD$60+$AD$61*Volcanic!C691+$AD$62*Volcanic!D691+$AD$63*Volcanic!E691))</f>
        <v>-8.1783257204332327E-2</v>
      </c>
    </row>
    <row r="692" spans="1:45">
      <c r="A692" s="45" t="str">
        <f>Volcanic!A692</f>
        <v>9/2015</v>
      </c>
      <c r="B692" s="43">
        <f>Volcanic!B692</f>
        <v>0.83999999999999986</v>
      </c>
      <c r="C692" s="47">
        <f>Volcanic!C692</f>
        <v>0.50668898086543035</v>
      </c>
      <c r="D692" s="41">
        <v>2</v>
      </c>
      <c r="E692" s="43">
        <f t="shared" si="152"/>
        <v>1.2</v>
      </c>
      <c r="F692" s="48">
        <v>7.1700000000000002E-3</v>
      </c>
      <c r="G692" s="47">
        <f t="shared" si="153"/>
        <v>4.5599999999999998E-3</v>
      </c>
      <c r="H692" s="43">
        <f>Volcanic!D692</f>
        <v>1.19</v>
      </c>
      <c r="I692" s="47">
        <f>Volcanic!E692</f>
        <v>5.9899999999999997E-3</v>
      </c>
      <c r="K692" s="47">
        <f t="shared" si="140"/>
        <v>0.50668898086543035</v>
      </c>
      <c r="L692" s="47">
        <f t="shared" si="141"/>
        <v>1.2</v>
      </c>
      <c r="M692" s="47">
        <f t="shared" si="142"/>
        <v>5.9899999999999997E-3</v>
      </c>
      <c r="O692" s="47">
        <f t="shared" si="143"/>
        <v>0.50668898086543035</v>
      </c>
      <c r="P692" s="47">
        <f t="shared" si="144"/>
        <v>1.19</v>
      </c>
      <c r="Q692" s="47">
        <f t="shared" si="145"/>
        <v>4.5599999999999998E-3</v>
      </c>
      <c r="S692" s="47">
        <f t="shared" si="146"/>
        <v>0.50668898086543035</v>
      </c>
      <c r="T692" s="47">
        <f t="shared" si="147"/>
        <v>1.2</v>
      </c>
      <c r="U692" s="47">
        <f t="shared" si="148"/>
        <v>4.5599999999999998E-3</v>
      </c>
      <c r="W692" s="47">
        <f t="shared" si="149"/>
        <v>-7.9598335353386118E-2</v>
      </c>
      <c r="X692" s="47">
        <f t="shared" si="150"/>
        <v>-7.7667641591601E-2</v>
      </c>
      <c r="Y692" s="47">
        <f t="shared" si="151"/>
        <v>-7.8345121043110977E-2</v>
      </c>
      <c r="AP692" s="48">
        <v>0.89319999999999999</v>
      </c>
      <c r="AQ692" s="48">
        <v>0.87870000000000004</v>
      </c>
      <c r="AR692" s="47">
        <f>IF(AP692="","",AP692-($AC$60+$AC$61*Volcanic!C692+$AC$62*Volcanic!D692+$AC$63*Volcanic!E692))</f>
        <v>-1.8976628899435188E-2</v>
      </c>
      <c r="AS692" s="47">
        <f>IF(AQ692="","",AQ692-($AD$60+$AD$61*Volcanic!C692+$AD$62*Volcanic!D692+$AD$63*Volcanic!E692))</f>
        <v>-6.2585688891362623E-2</v>
      </c>
    </row>
    <row r="693" spans="1:45">
      <c r="A693" s="45" t="str">
        <f>Volcanic!A693</f>
        <v>10/2015</v>
      </c>
      <c r="B693" s="43">
        <f>Volcanic!B693</f>
        <v>1.0800000000000036</v>
      </c>
      <c r="C693" s="47">
        <f>Volcanic!C693</f>
        <v>0.50911669345346611</v>
      </c>
      <c r="D693" s="41">
        <v>2.2999999999999998</v>
      </c>
      <c r="E693" s="43">
        <f t="shared" si="152"/>
        <v>1.4</v>
      </c>
      <c r="F693" s="48">
        <v>6.7999999999999996E-3</v>
      </c>
      <c r="G693" s="47">
        <f t="shared" si="153"/>
        <v>4.3899999999999998E-3</v>
      </c>
      <c r="H693" s="43">
        <f>Volcanic!D693</f>
        <v>1.44</v>
      </c>
      <c r="I693" s="47">
        <f>Volcanic!E693</f>
        <v>5.7499999999999999E-3</v>
      </c>
      <c r="K693" s="47">
        <f t="shared" si="140"/>
        <v>0.50911669345346611</v>
      </c>
      <c r="L693" s="47">
        <f t="shared" si="141"/>
        <v>1.4</v>
      </c>
      <c r="M693" s="47">
        <f t="shared" si="142"/>
        <v>5.7499999999999999E-3</v>
      </c>
      <c r="O693" s="47">
        <f t="shared" si="143"/>
        <v>0.50911669345346611</v>
      </c>
      <c r="P693" s="47">
        <f t="shared" si="144"/>
        <v>1.44</v>
      </c>
      <c r="Q693" s="47">
        <f t="shared" si="145"/>
        <v>4.3899999999999998E-3</v>
      </c>
      <c r="S693" s="47">
        <f t="shared" si="146"/>
        <v>0.50911669345346611</v>
      </c>
      <c r="T693" s="47">
        <f t="shared" si="147"/>
        <v>1.4</v>
      </c>
      <c r="U693" s="47">
        <f t="shared" si="148"/>
        <v>4.3899999999999998E-3</v>
      </c>
      <c r="W693" s="47">
        <f t="shared" si="149"/>
        <v>0.1346774179088378</v>
      </c>
      <c r="X693" s="47">
        <f t="shared" si="150"/>
        <v>0.13184063236626542</v>
      </c>
      <c r="Y693" s="47">
        <f t="shared" si="151"/>
        <v>0.13584518529478584</v>
      </c>
      <c r="AP693" s="48">
        <v>1.089</v>
      </c>
      <c r="AQ693" s="48">
        <v>1.0787</v>
      </c>
      <c r="AR693" s="47">
        <f>IF(AP693="","",AP693-($AC$60+$AC$61*Volcanic!C693+$AC$62*Volcanic!D693+$AC$63*Volcanic!E693))</f>
        <v>0.14620547608752132</v>
      </c>
      <c r="AS693" s="47">
        <f>IF(AQ693="","",AQ693-($AD$60+$AD$61*Volcanic!C693+$AD$62*Volcanic!D693+$AD$63*Volcanic!E693))</f>
        <v>0.10617378050107684</v>
      </c>
    </row>
    <row r="694" spans="1:45">
      <c r="A694" s="45" t="str">
        <f>Volcanic!A694</f>
        <v>11/2015</v>
      </c>
      <c r="B694" s="43">
        <f>Volcanic!B694</f>
        <v>1.0600000000000023</v>
      </c>
      <c r="C694" s="47">
        <f>Volcanic!C694</f>
        <v>0.51554666346621814</v>
      </c>
      <c r="D694" s="41">
        <v>2.5</v>
      </c>
      <c r="E694" s="43">
        <f t="shared" si="152"/>
        <v>1.7</v>
      </c>
      <c r="F694" s="48">
        <v>6.7400000000000003E-3</v>
      </c>
      <c r="G694" s="47">
        <f t="shared" si="153"/>
        <v>4.4900000000000001E-3</v>
      </c>
      <c r="H694" s="43">
        <f>Volcanic!D694</f>
        <v>1.73</v>
      </c>
      <c r="I694" s="47">
        <f>Volcanic!E694</f>
        <v>5.8199999999999997E-3</v>
      </c>
      <c r="K694" s="47">
        <f t="shared" si="140"/>
        <v>0.51554666346621814</v>
      </c>
      <c r="L694" s="47">
        <f t="shared" si="141"/>
        <v>1.7</v>
      </c>
      <c r="M694" s="47">
        <f t="shared" si="142"/>
        <v>5.8199999999999997E-3</v>
      </c>
      <c r="O694" s="47">
        <f t="shared" si="143"/>
        <v>0.51554666346621814</v>
      </c>
      <c r="P694" s="47">
        <f t="shared" si="144"/>
        <v>1.73</v>
      </c>
      <c r="Q694" s="47">
        <f t="shared" si="145"/>
        <v>4.4900000000000001E-3</v>
      </c>
      <c r="S694" s="47">
        <f t="shared" si="146"/>
        <v>0.51554666346621814</v>
      </c>
      <c r="T694" s="47">
        <f t="shared" si="147"/>
        <v>1.7</v>
      </c>
      <c r="U694" s="47">
        <f t="shared" si="148"/>
        <v>4.4900000000000001E-3</v>
      </c>
      <c r="W694" s="47">
        <f t="shared" si="149"/>
        <v>6.9434173809957089E-2</v>
      </c>
      <c r="X694" s="47">
        <f t="shared" si="150"/>
        <v>6.7476483873035509E-2</v>
      </c>
      <c r="Y694" s="47">
        <f t="shared" si="151"/>
        <v>7.0521448090339223E-2</v>
      </c>
      <c r="AP694" s="48">
        <v>1.0608</v>
      </c>
      <c r="AQ694" s="48">
        <v>1.0017</v>
      </c>
      <c r="AR694" s="47">
        <f>IF(AP694="","",AP694-($AC$60+$AC$61*Volcanic!C694+$AC$62*Volcanic!D694+$AC$63*Volcanic!E694))</f>
        <v>7.3459102593486092E-2</v>
      </c>
      <c r="AS694" s="47">
        <f>IF(AQ694="","",AQ694-($AD$60+$AD$61*Volcanic!C694+$AD$62*Volcanic!D694+$AD$63*Volcanic!E694))</f>
        <v>-1.6389206917398536E-2</v>
      </c>
    </row>
    <row r="695" spans="1:45">
      <c r="A695" s="45" t="str">
        <f>Volcanic!A695</f>
        <v>12/2015</v>
      </c>
      <c r="B695" s="43">
        <f>Volcanic!B695</f>
        <v>1.1699999999999964</v>
      </c>
      <c r="C695" s="47">
        <f>Volcanic!C695</f>
        <v>0.52198398578437877</v>
      </c>
      <c r="D695" s="41">
        <v>2.6</v>
      </c>
      <c r="E695" s="43">
        <f t="shared" si="152"/>
        <v>2</v>
      </c>
      <c r="F695" s="48">
        <v>6.62E-3</v>
      </c>
      <c r="G695" s="47">
        <f t="shared" si="153"/>
        <v>5.3499999999999997E-3</v>
      </c>
      <c r="H695" s="43">
        <f>Volcanic!D695</f>
        <v>2.02</v>
      </c>
      <c r="I695" s="47">
        <f>Volcanic!E695</f>
        <v>8.4600000000000005E-3</v>
      </c>
      <c r="K695" s="47">
        <f t="shared" si="140"/>
        <v>0.52198398578437877</v>
      </c>
      <c r="L695" s="47">
        <f t="shared" si="141"/>
        <v>2</v>
      </c>
      <c r="M695" s="47">
        <f t="shared" si="142"/>
        <v>8.4600000000000005E-3</v>
      </c>
      <c r="O695" s="47">
        <f t="shared" si="143"/>
        <v>0.52198398578437877</v>
      </c>
      <c r="P695" s="47">
        <f t="shared" si="144"/>
        <v>2.02</v>
      </c>
      <c r="Q695" s="47">
        <f t="shared" si="145"/>
        <v>5.3499999999999997E-3</v>
      </c>
      <c r="S695" s="47">
        <f t="shared" si="146"/>
        <v>0.52198398578437877</v>
      </c>
      <c r="T695" s="47">
        <f t="shared" si="147"/>
        <v>2</v>
      </c>
      <c r="U695" s="47">
        <f t="shared" si="148"/>
        <v>5.3499999999999997E-3</v>
      </c>
      <c r="W695" s="47">
        <f t="shared" si="149"/>
        <v>0.13983393818759771</v>
      </c>
      <c r="X695" s="47">
        <f t="shared" si="150"/>
        <v>0.13507814953814123</v>
      </c>
      <c r="Y695" s="47">
        <f t="shared" si="151"/>
        <v>0.1371658698233722</v>
      </c>
      <c r="AP695" s="48">
        <v>1.1104000000000001</v>
      </c>
      <c r="AQ695" s="48">
        <v>1.1747000000000001</v>
      </c>
      <c r="AR695" s="47">
        <f>IF(AP695="","",AP695-($AC$60+$AC$61*Volcanic!C695+$AC$62*Volcanic!D695+$AC$63*Volcanic!E695))</f>
        <v>8.4676587560125416E-2</v>
      </c>
      <c r="AS695" s="47">
        <f>IF(AQ695="","",AQ695-($AD$60+$AD$61*Volcanic!C695+$AD$62*Volcanic!D695+$AD$63*Volcanic!E695))</f>
        <v>0.11691342728653931</v>
      </c>
    </row>
    <row r="696" spans="1:45">
      <c r="A696" s="45" t="str">
        <f>Volcanic!A696</f>
        <v>1/2016</v>
      </c>
      <c r="B696" s="43">
        <f>Volcanic!B696</f>
        <v>1.1799999999999997</v>
      </c>
      <c r="C696" s="47">
        <f>Volcanic!C696</f>
        <v>0.52438611777087951</v>
      </c>
      <c r="D696" s="41">
        <v>2.5</v>
      </c>
      <c r="E696" s="43">
        <f t="shared" si="152"/>
        <v>2.2999999999999998</v>
      </c>
      <c r="F696" s="48">
        <v>6.2199999999999998E-3</v>
      </c>
      <c r="G696" s="47">
        <f t="shared" si="153"/>
        <v>6.4700000000000001E-3</v>
      </c>
      <c r="H696" s="43">
        <f>Volcanic!D696</f>
        <v>2.2799999999999998</v>
      </c>
      <c r="I696" s="47">
        <f>Volcanic!E696</f>
        <v>9.3200000000000002E-3</v>
      </c>
      <c r="K696" s="47">
        <f t="shared" si="140"/>
        <v>0.52438611777087951</v>
      </c>
      <c r="L696" s="47">
        <f t="shared" si="141"/>
        <v>2.2999999999999998</v>
      </c>
      <c r="M696" s="47">
        <f t="shared" si="142"/>
        <v>9.3200000000000002E-3</v>
      </c>
      <c r="O696" s="47">
        <f t="shared" si="143"/>
        <v>0.52438611777087951</v>
      </c>
      <c r="P696" s="47">
        <f t="shared" si="144"/>
        <v>2.2799999999999998</v>
      </c>
      <c r="Q696" s="47">
        <f t="shared" si="145"/>
        <v>6.4700000000000001E-3</v>
      </c>
      <c r="S696" s="47">
        <f t="shared" si="146"/>
        <v>0.52438611777087951</v>
      </c>
      <c r="T696" s="47">
        <f t="shared" si="147"/>
        <v>2.2999999999999998</v>
      </c>
      <c r="U696" s="47">
        <f t="shared" si="148"/>
        <v>6.4700000000000001E-3</v>
      </c>
      <c r="W696" s="47">
        <f t="shared" si="149"/>
        <v>0.11731599965991535</v>
      </c>
      <c r="X696" s="47">
        <f t="shared" si="150"/>
        <v>0.11708667120637095</v>
      </c>
      <c r="Y696" s="47">
        <f t="shared" si="151"/>
        <v>0.11539864188469218</v>
      </c>
      <c r="AP696" s="48">
        <v>1.1547000000000001</v>
      </c>
      <c r="AQ696" s="48">
        <v>1.2357</v>
      </c>
      <c r="AR696" s="47">
        <f>IF(AP696="","",AP696-($AC$60+$AC$61*Volcanic!C696+$AC$62*Volcanic!D696+$AC$63*Volcanic!E696))</f>
        <v>0.1001389124431018</v>
      </c>
      <c r="AS696" s="47">
        <f>IF(AQ696="","",AQ696-($AD$60+$AD$61*Volcanic!C696+$AD$62*Volcanic!D696+$AD$63*Volcanic!E696))</f>
        <v>0.14830829338084728</v>
      </c>
    </row>
    <row r="697" spans="1:45">
      <c r="A697" s="45" t="str">
        <f>Volcanic!A697</f>
        <v>2/2016</v>
      </c>
      <c r="B697" s="43">
        <f>Volcanic!B697</f>
        <v>1.370000000000001</v>
      </c>
      <c r="C697" s="47">
        <f>Volcanic!C697</f>
        <v>0.52982094652869527</v>
      </c>
      <c r="D697" s="41">
        <v>2.2000000000000002</v>
      </c>
      <c r="E697" s="43">
        <f t="shared" si="152"/>
        <v>2.5</v>
      </c>
      <c r="F697" s="48">
        <v>5.9100000000000003E-3</v>
      </c>
      <c r="G697" s="47">
        <f t="shared" si="153"/>
        <v>6.9300000000000004E-3</v>
      </c>
      <c r="H697" s="43">
        <f>Volcanic!D697</f>
        <v>2.4500000000000002</v>
      </c>
      <c r="I697" s="47">
        <f>Volcanic!E697</f>
        <v>9.6200000000000001E-3</v>
      </c>
      <c r="K697" s="47">
        <f t="shared" si="140"/>
        <v>0.52982094652869527</v>
      </c>
      <c r="L697" s="47">
        <f t="shared" si="141"/>
        <v>2.5</v>
      </c>
      <c r="M697" s="47">
        <f t="shared" si="142"/>
        <v>9.6200000000000001E-3</v>
      </c>
      <c r="O697" s="47">
        <f t="shared" si="143"/>
        <v>0.52982094652869527</v>
      </c>
      <c r="P697" s="47">
        <f t="shared" si="144"/>
        <v>2.4500000000000002</v>
      </c>
      <c r="Q697" s="47">
        <f t="shared" si="145"/>
        <v>6.9300000000000004E-3</v>
      </c>
      <c r="S697" s="47">
        <f t="shared" si="146"/>
        <v>0.52982094652869527</v>
      </c>
      <c r="T697" s="47">
        <f t="shared" si="147"/>
        <v>2.5</v>
      </c>
      <c r="U697" s="47">
        <f t="shared" si="148"/>
        <v>6.9300000000000004E-3</v>
      </c>
      <c r="W697" s="47">
        <f t="shared" si="149"/>
        <v>0.27458079783779477</v>
      </c>
      <c r="X697" s="47">
        <f t="shared" si="150"/>
        <v>0.27762589834244156</v>
      </c>
      <c r="Y697" s="47">
        <f t="shared" si="151"/>
        <v>0.27310785888395595</v>
      </c>
      <c r="AP697" s="48">
        <v>1.2914000000000001</v>
      </c>
      <c r="AQ697" s="48">
        <v>1.3207</v>
      </c>
      <c r="AR697" s="47">
        <f>IF(AP697="","",AP697-($AC$60+$AC$61*Volcanic!C697+$AC$62*Volcanic!D697+$AC$63*Volcanic!E697))</f>
        <v>0.20680071792449906</v>
      </c>
      <c r="AS697" s="47">
        <f>IF(AQ697="","",AQ697-($AD$60+$AD$61*Volcanic!C697+$AD$62*Volcanic!D697+$AD$63*Volcanic!E697))</f>
        <v>0.20252709138937197</v>
      </c>
    </row>
    <row r="698" spans="1:45">
      <c r="A698" s="45" t="str">
        <f>Volcanic!A698</f>
        <v>3/2016</v>
      </c>
      <c r="B698" s="43">
        <f>Volcanic!B698</f>
        <v>1.3499999999999979</v>
      </c>
      <c r="C698" s="47">
        <f>Volcanic!C698</f>
        <v>0.53270879759518996</v>
      </c>
      <c r="D698" s="41">
        <v>1.7</v>
      </c>
      <c r="E698" s="43">
        <f t="shared" si="152"/>
        <v>2.6</v>
      </c>
      <c r="F698" s="48">
        <v>5.4999999999999997E-3</v>
      </c>
      <c r="G698" s="47">
        <f t="shared" si="153"/>
        <v>7.1700000000000002E-3</v>
      </c>
      <c r="H698" s="43">
        <f>Volcanic!D698</f>
        <v>2.59</v>
      </c>
      <c r="I698" s="47">
        <f>Volcanic!E698</f>
        <v>9.3900000000000008E-3</v>
      </c>
      <c r="K698" s="47">
        <f t="shared" si="140"/>
        <v>0.53270879759518996</v>
      </c>
      <c r="L698" s="47">
        <f t="shared" si="141"/>
        <v>2.6</v>
      </c>
      <c r="M698" s="47">
        <f t="shared" si="142"/>
        <v>9.3900000000000008E-3</v>
      </c>
      <c r="O698" s="47">
        <f t="shared" si="143"/>
        <v>0.53270879759518996</v>
      </c>
      <c r="P698" s="47">
        <f t="shared" si="144"/>
        <v>2.59</v>
      </c>
      <c r="Q698" s="47">
        <f t="shared" si="145"/>
        <v>7.1700000000000002E-3</v>
      </c>
      <c r="S698" s="47">
        <f t="shared" si="146"/>
        <v>0.53270879759518996</v>
      </c>
      <c r="T698" s="47">
        <f t="shared" si="147"/>
        <v>2.6</v>
      </c>
      <c r="U698" s="47">
        <f t="shared" si="148"/>
        <v>7.1700000000000002E-3</v>
      </c>
      <c r="W698" s="47">
        <f t="shared" si="149"/>
        <v>0.23691105090532516</v>
      </c>
      <c r="X698" s="47">
        <f t="shared" si="150"/>
        <v>0.23729436031309636</v>
      </c>
      <c r="Y698" s="47">
        <f t="shared" si="151"/>
        <v>0.23652788831472771</v>
      </c>
      <c r="AP698" s="48">
        <v>1.2517</v>
      </c>
      <c r="AQ698" s="48">
        <v>1.3117000000000001</v>
      </c>
      <c r="AR698" s="47">
        <f>IF(AP698="","",AP698-($AC$60+$AC$61*Volcanic!C698+$AC$62*Volcanic!D698+$AC$63*Volcanic!E698))</f>
        <v>0.14555138819294711</v>
      </c>
      <c r="AS698" s="47">
        <f>IF(AQ698="","",AQ698-($AD$60+$AD$61*Volcanic!C698+$AD$62*Volcanic!D698+$AD$63*Volcanic!E698))</f>
        <v>0.17153274211039271</v>
      </c>
    </row>
    <row r="699" spans="1:45">
      <c r="A699" s="45" t="str">
        <f>Volcanic!A699</f>
        <v>4/2016</v>
      </c>
      <c r="B699" s="43">
        <f>Volcanic!B699</f>
        <v>1.0899999999999999</v>
      </c>
      <c r="C699" s="47">
        <f>Volcanic!C699</f>
        <v>0.54172722433348508</v>
      </c>
      <c r="D699" s="41">
        <v>1.1000000000000001</v>
      </c>
      <c r="E699" s="43">
        <f t="shared" si="152"/>
        <v>2.5</v>
      </c>
      <c r="F699" s="48">
        <v>5.1700000000000001E-3</v>
      </c>
      <c r="G699" s="47">
        <f t="shared" si="153"/>
        <v>7.1700000000000002E-3</v>
      </c>
      <c r="H699" s="43">
        <f>Volcanic!D699</f>
        <v>2.5</v>
      </c>
      <c r="I699" s="47">
        <f>Volcanic!E699</f>
        <v>9.4800000000000006E-3</v>
      </c>
      <c r="K699" s="47">
        <f t="shared" si="140"/>
        <v>0.54172722433348508</v>
      </c>
      <c r="L699" s="47">
        <f t="shared" si="141"/>
        <v>2.5</v>
      </c>
      <c r="M699" s="47">
        <f t="shared" si="142"/>
        <v>9.4800000000000006E-3</v>
      </c>
      <c r="O699" s="47">
        <f t="shared" si="143"/>
        <v>0.54172722433348508</v>
      </c>
      <c r="P699" s="47">
        <f t="shared" si="144"/>
        <v>2.5</v>
      </c>
      <c r="Q699" s="47">
        <f t="shared" si="145"/>
        <v>7.1700000000000002E-3</v>
      </c>
      <c r="S699" s="47">
        <f t="shared" si="146"/>
        <v>0.54172722433348508</v>
      </c>
      <c r="T699" s="47">
        <f t="shared" si="147"/>
        <v>2.5</v>
      </c>
      <c r="U699" s="47">
        <f t="shared" si="148"/>
        <v>7.1700000000000002E-3</v>
      </c>
      <c r="W699" s="47">
        <f t="shared" si="149"/>
        <v>-3.8197908057740815E-2</v>
      </c>
      <c r="X699" s="47">
        <f t="shared" si="150"/>
        <v>-3.8633410201567742E-2</v>
      </c>
      <c r="Y699" s="47">
        <f t="shared" si="151"/>
        <v>-3.8450296366187908E-2</v>
      </c>
      <c r="AP699" s="48">
        <v>1.0984</v>
      </c>
      <c r="AQ699" s="48">
        <v>1.1617</v>
      </c>
      <c r="AR699" s="47">
        <f>IF(AP699="","",AP699-($AC$60+$AC$61*Volcanic!C699+$AC$62*Volcanic!D699+$AC$63*Volcanic!E699))</f>
        <v>-2.3729783724629527E-2</v>
      </c>
      <c r="AS699" s="47">
        <f>IF(AQ699="","",AQ699-($AD$60+$AD$61*Volcanic!C699+$AD$62*Volcanic!D699+$AD$63*Volcanic!E699))</f>
        <v>5.080017494503819E-3</v>
      </c>
    </row>
    <row r="700" spans="1:45">
      <c r="A700" s="45" t="str">
        <f>Volcanic!A700</f>
        <v>5/2016</v>
      </c>
      <c r="B700" s="43">
        <f>Volcanic!B700</f>
        <v>0.95999999999999908</v>
      </c>
      <c r="C700" s="47">
        <f>Volcanic!C700</f>
        <v>0.5427886799601942</v>
      </c>
      <c r="D700" s="41">
        <v>0.6</v>
      </c>
      <c r="E700" s="43">
        <f t="shared" si="152"/>
        <v>2.2000000000000002</v>
      </c>
      <c r="F700" s="48">
        <v>5.0299999999999997E-3</v>
      </c>
      <c r="G700" s="47">
        <f t="shared" si="153"/>
        <v>6.7999999999999996E-3</v>
      </c>
      <c r="H700" s="43">
        <f>Volcanic!D700</f>
        <v>2.21</v>
      </c>
      <c r="I700" s="47">
        <f>Volcanic!E700</f>
        <v>9.6299999999999997E-3</v>
      </c>
      <c r="K700" s="47">
        <f t="shared" si="140"/>
        <v>0.5427886799601942</v>
      </c>
      <c r="L700" s="47">
        <f t="shared" si="141"/>
        <v>2.2000000000000002</v>
      </c>
      <c r="M700" s="47">
        <f t="shared" si="142"/>
        <v>9.6299999999999997E-3</v>
      </c>
      <c r="O700" s="47">
        <f t="shared" si="143"/>
        <v>0.5427886799601942</v>
      </c>
      <c r="P700" s="47">
        <f t="shared" si="144"/>
        <v>2.21</v>
      </c>
      <c r="Q700" s="47">
        <f t="shared" si="145"/>
        <v>6.7999999999999996E-3</v>
      </c>
      <c r="S700" s="47">
        <f t="shared" si="146"/>
        <v>0.5427886799601942</v>
      </c>
      <c r="T700" s="47">
        <f t="shared" si="147"/>
        <v>2.2000000000000002</v>
      </c>
      <c r="U700" s="47">
        <f t="shared" si="148"/>
        <v>6.7999999999999996E-3</v>
      </c>
      <c r="W700" s="47">
        <f t="shared" si="149"/>
        <v>-0.14290013421209169</v>
      </c>
      <c r="X700" s="47">
        <f t="shared" si="150"/>
        <v>-0.14522836411759332</v>
      </c>
      <c r="Y700" s="47">
        <f t="shared" si="151"/>
        <v>-0.14408422593851156</v>
      </c>
      <c r="AP700" s="48">
        <v>0.94869999999999999</v>
      </c>
      <c r="AQ700" s="48">
        <v>1.0347</v>
      </c>
      <c r="AR700" s="47">
        <f>IF(AP700="","",AP700-($AC$60+$AC$61*Volcanic!C700+$AC$62*Volcanic!D700+$AC$63*Volcanic!E700))</f>
        <v>-0.14881019365911274</v>
      </c>
      <c r="AS700" s="47">
        <f>IF(AQ700="","",AQ700-($AD$60+$AD$61*Volcanic!C700+$AD$62*Volcanic!D700+$AD$63*Volcanic!E700))</f>
        <v>-9.6835796791522988E-2</v>
      </c>
    </row>
    <row r="701" spans="1:45">
      <c r="A701" s="45" t="str">
        <f>Volcanic!A701</f>
        <v>6/2016</v>
      </c>
      <c r="B701" s="43">
        <f>Volcanic!B701</f>
        <v>0.81000000000000227</v>
      </c>
      <c r="C701" s="47">
        <f>Volcanic!C701</f>
        <v>0.53956651983320436</v>
      </c>
      <c r="D701" s="41">
        <v>0.1</v>
      </c>
      <c r="E701" s="43">
        <f t="shared" si="152"/>
        <v>1.7</v>
      </c>
      <c r="F701" s="48">
        <v>5.0200000000000002E-3</v>
      </c>
      <c r="G701" s="47">
        <f t="shared" si="153"/>
        <v>6.7400000000000003E-3</v>
      </c>
      <c r="H701" s="43">
        <f>Volcanic!D701</f>
        <v>1.69</v>
      </c>
      <c r="I701" s="47">
        <f>Volcanic!E701</f>
        <v>1.0120000000000001E-2</v>
      </c>
      <c r="K701" s="47">
        <f t="shared" si="140"/>
        <v>0.53956651983320436</v>
      </c>
      <c r="L701" s="47">
        <f t="shared" si="141"/>
        <v>1.7</v>
      </c>
      <c r="M701" s="47">
        <f t="shared" si="142"/>
        <v>1.0120000000000001E-2</v>
      </c>
      <c r="O701" s="47">
        <f t="shared" si="143"/>
        <v>0.53956651983320436</v>
      </c>
      <c r="P701" s="47">
        <f t="shared" si="144"/>
        <v>1.69</v>
      </c>
      <c r="Q701" s="47">
        <f t="shared" si="145"/>
        <v>6.7400000000000003E-3</v>
      </c>
      <c r="S701" s="47">
        <f t="shared" si="146"/>
        <v>0.53956651983320436</v>
      </c>
      <c r="T701" s="47">
        <f t="shared" si="147"/>
        <v>1.7</v>
      </c>
      <c r="U701" s="47">
        <f t="shared" si="148"/>
        <v>6.7400000000000003E-3</v>
      </c>
      <c r="W701" s="47">
        <f t="shared" si="149"/>
        <v>-0.2365964337358184</v>
      </c>
      <c r="X701" s="47">
        <f t="shared" si="150"/>
        <v>-0.23782694995979603</v>
      </c>
      <c r="Y701" s="47">
        <f t="shared" si="151"/>
        <v>-0.23852522644944507</v>
      </c>
      <c r="AP701" s="48">
        <v>0.84440000000000004</v>
      </c>
      <c r="AQ701" s="48">
        <v>0.82469999999999999</v>
      </c>
      <c r="AR701" s="47">
        <f>IF(AP701="","",AP701-($AC$60+$AC$61*Volcanic!C701+$AC$62*Volcanic!D701+$AC$63*Volcanic!E701))</f>
        <v>-0.19443724636962356</v>
      </c>
      <c r="AS701" s="47">
        <f>IF(AQ701="","",AQ701-($AD$60+$AD$61*Volcanic!C701+$AD$62*Volcanic!D701+$AD$63*Volcanic!E701))</f>
        <v>-0.24699514570228565</v>
      </c>
    </row>
    <row r="702" spans="1:45">
      <c r="A702" s="45" t="str">
        <f>Volcanic!A702</f>
        <v>7/2016</v>
      </c>
      <c r="B702" s="43">
        <f>Volcanic!B702</f>
        <v>0.83999999999999986</v>
      </c>
      <c r="C702" s="47">
        <f>Volcanic!C702</f>
        <v>0.53103383496841972</v>
      </c>
      <c r="D702" s="41">
        <v>-0.2</v>
      </c>
      <c r="E702" s="43">
        <f t="shared" si="152"/>
        <v>1.1000000000000001</v>
      </c>
      <c r="F702" s="48">
        <v>4.9899999999999996E-3</v>
      </c>
      <c r="G702" s="47">
        <f t="shared" si="153"/>
        <v>6.62E-3</v>
      </c>
      <c r="H702" s="43">
        <f>Volcanic!D702</f>
        <v>1.1100000000000001</v>
      </c>
      <c r="I702" s="47">
        <f>Volcanic!E702</f>
        <v>1.0109999999999999E-2</v>
      </c>
      <c r="K702" s="47">
        <f t="shared" si="140"/>
        <v>0.53103383496841972</v>
      </c>
      <c r="L702" s="47">
        <f t="shared" si="141"/>
        <v>1.1000000000000001</v>
      </c>
      <c r="M702" s="47">
        <f t="shared" si="142"/>
        <v>1.0109999999999999E-2</v>
      </c>
      <c r="O702" s="47">
        <f t="shared" si="143"/>
        <v>0.53103383496841972</v>
      </c>
      <c r="P702" s="47">
        <f t="shared" si="144"/>
        <v>1.1100000000000001</v>
      </c>
      <c r="Q702" s="47">
        <f t="shared" si="145"/>
        <v>6.62E-3</v>
      </c>
      <c r="S702" s="47">
        <f t="shared" si="146"/>
        <v>0.53103383496841972</v>
      </c>
      <c r="T702" s="47">
        <f t="shared" si="147"/>
        <v>1.1000000000000001</v>
      </c>
      <c r="U702" s="47">
        <f t="shared" si="148"/>
        <v>6.62E-3</v>
      </c>
      <c r="W702" s="47">
        <f t="shared" si="149"/>
        <v>-0.12762456369522068</v>
      </c>
      <c r="X702" s="47">
        <f t="shared" si="150"/>
        <v>-0.13058870797468658</v>
      </c>
      <c r="Y702" s="47">
        <f t="shared" si="151"/>
        <v>-0.12936625048117256</v>
      </c>
      <c r="AP702" s="48">
        <v>0.83650000000000002</v>
      </c>
      <c r="AQ702" s="48">
        <v>0.82469999999999999</v>
      </c>
      <c r="AR702" s="47">
        <f>IF(AP702="","",AP702-($AC$60+$AC$61*Volcanic!C702+$AC$62*Volcanic!D702+$AC$63*Volcanic!E702))</f>
        <v>-0.12474773131377803</v>
      </c>
      <c r="AS702" s="47">
        <f>IF(AQ702="","",AQ702-($AD$60+$AD$61*Volcanic!C702+$AD$62*Volcanic!D702+$AD$63*Volcanic!E702))</f>
        <v>-0.16769160234507197</v>
      </c>
    </row>
    <row r="703" spans="1:45">
      <c r="A703" s="45" t="str">
        <f>Volcanic!A703</f>
        <v>8/2016</v>
      </c>
      <c r="B703" s="43">
        <f>Volcanic!B703</f>
        <v>1.0099999999999998</v>
      </c>
      <c r="C703" s="47">
        <f>Volcanic!C703</f>
        <v>0.52338272814934861</v>
      </c>
      <c r="D703" s="41">
        <v>-0.3</v>
      </c>
      <c r="E703" s="43">
        <f t="shared" si="152"/>
        <v>0.6</v>
      </c>
      <c r="F703" s="48">
        <v>4.9500000000000004E-3</v>
      </c>
      <c r="G703" s="47">
        <f t="shared" si="153"/>
        <v>6.2199999999999998E-3</v>
      </c>
      <c r="H703" s="43">
        <f>Volcanic!D703</f>
        <v>0.56999999999999995</v>
      </c>
      <c r="I703" s="47">
        <f>Volcanic!E703</f>
        <v>9.4299999999999991E-3</v>
      </c>
      <c r="K703" s="47">
        <f t="shared" si="140"/>
        <v>0.52338272814934861</v>
      </c>
      <c r="L703" s="47">
        <f t="shared" si="141"/>
        <v>0.6</v>
      </c>
      <c r="M703" s="47">
        <f t="shared" si="142"/>
        <v>9.4299999999999991E-3</v>
      </c>
      <c r="O703" s="47">
        <f t="shared" si="143"/>
        <v>0.52338272814934861</v>
      </c>
      <c r="P703" s="47">
        <f t="shared" si="144"/>
        <v>0.56999999999999995</v>
      </c>
      <c r="Q703" s="47">
        <f t="shared" si="145"/>
        <v>6.2199999999999998E-3</v>
      </c>
      <c r="S703" s="47">
        <f t="shared" si="146"/>
        <v>0.52338272814934861</v>
      </c>
      <c r="T703" s="47">
        <f t="shared" si="147"/>
        <v>0.6</v>
      </c>
      <c r="U703" s="47">
        <f t="shared" si="148"/>
        <v>6.2199999999999998E-3</v>
      </c>
      <c r="W703" s="47">
        <f t="shared" si="149"/>
        <v>0.10817941702817646</v>
      </c>
      <c r="X703" s="47">
        <f t="shared" si="150"/>
        <v>0.1097771003459459</v>
      </c>
      <c r="Y703" s="47">
        <f t="shared" si="151"/>
        <v>0.10727603074914471</v>
      </c>
      <c r="AP703" s="48">
        <v>1.0149999999999999</v>
      </c>
      <c r="AQ703" s="48">
        <v>1.0257000000000001</v>
      </c>
      <c r="AR703" s="47">
        <f>IF(AP703="","",AP703-($AC$60+$AC$61*Volcanic!C703+$AC$62*Volcanic!D703+$AC$63*Volcanic!E703))</f>
        <v>0.12357658135719529</v>
      </c>
      <c r="AS703" s="47">
        <f>IF(AQ703="","",AQ703-($AD$60+$AD$61*Volcanic!C703+$AD$62*Volcanic!D703+$AD$63*Volcanic!E703))</f>
        <v>0.1047856237750735</v>
      </c>
    </row>
    <row r="704" spans="1:45">
      <c r="A704" s="45" t="str">
        <f>Volcanic!A704</f>
        <v>9/2016</v>
      </c>
      <c r="B704" s="43">
        <f>Volcanic!B704</f>
        <v>0.89999999999999858</v>
      </c>
      <c r="C704" s="47">
        <f>Volcanic!C704</f>
        <v>0.51900265323929839</v>
      </c>
      <c r="D704" s="41">
        <v>-0.4</v>
      </c>
      <c r="E704" s="43">
        <f t="shared" si="152"/>
        <v>0.1</v>
      </c>
      <c r="F704" s="48">
        <v>4.9399999999999999E-3</v>
      </c>
      <c r="G704" s="47">
        <f t="shared" si="153"/>
        <v>5.9100000000000003E-3</v>
      </c>
      <c r="H704" s="43">
        <f>Volcanic!D704</f>
        <v>0.09</v>
      </c>
      <c r="I704" s="47">
        <f>Volcanic!E704</f>
        <v>8.5800000000000008E-3</v>
      </c>
      <c r="K704" s="47">
        <f t="shared" si="140"/>
        <v>0.51900265323929839</v>
      </c>
      <c r="L704" s="47">
        <f t="shared" si="141"/>
        <v>0.1</v>
      </c>
      <c r="M704" s="47">
        <f t="shared" si="142"/>
        <v>8.5800000000000008E-3</v>
      </c>
      <c r="O704" s="47">
        <f t="shared" si="143"/>
        <v>0.51900265323929839</v>
      </c>
      <c r="P704" s="47">
        <f t="shared" si="144"/>
        <v>0.09</v>
      </c>
      <c r="Q704" s="47">
        <f t="shared" si="145"/>
        <v>5.9100000000000003E-3</v>
      </c>
      <c r="S704" s="47">
        <f t="shared" si="146"/>
        <v>0.51900265323929839</v>
      </c>
      <c r="T704" s="47">
        <f t="shared" si="147"/>
        <v>0.1</v>
      </c>
      <c r="U704" s="47">
        <f t="shared" si="148"/>
        <v>5.9100000000000003E-3</v>
      </c>
      <c r="W704" s="47">
        <f t="shared" si="149"/>
        <v>5.4688201937070025E-2</v>
      </c>
      <c r="X704" s="47">
        <f t="shared" si="150"/>
        <v>5.5898392917204331E-2</v>
      </c>
      <c r="Y704" s="47">
        <f t="shared" si="151"/>
        <v>5.5311234895547789E-2</v>
      </c>
      <c r="AP704" s="48">
        <v>0.91220000000000001</v>
      </c>
      <c r="AQ704" s="48">
        <v>0.90969999999999995</v>
      </c>
      <c r="AR704" s="47">
        <f>IF(AP704="","",AP704-($AC$60+$AC$61*Volcanic!C704+$AC$62*Volcanic!D704+$AC$63*Volcanic!E704))</f>
        <v>7.56412276996834E-2</v>
      </c>
      <c r="AS704" s="47">
        <f>IF(AQ704="","",AQ704-($AD$60+$AD$61*Volcanic!C704+$AD$62*Volcanic!D704+$AD$63*Volcanic!E704))</f>
        <v>4.4977819922942142E-2</v>
      </c>
    </row>
    <row r="705" spans="1:45">
      <c r="A705" s="45" t="str">
        <f>Volcanic!A705</f>
        <v>10/2016</v>
      </c>
      <c r="B705" s="43">
        <f>Volcanic!B705</f>
        <v>0.86999999999999744</v>
      </c>
      <c r="C705" s="47">
        <f>Volcanic!C705</f>
        <v>0.52101483065422127</v>
      </c>
      <c r="D705" s="41">
        <v>-0.5</v>
      </c>
      <c r="E705" s="43">
        <f t="shared" si="152"/>
        <v>-0.2</v>
      </c>
      <c r="F705" s="48">
        <v>4.8300000000000001E-3</v>
      </c>
      <c r="G705" s="47">
        <f t="shared" si="153"/>
        <v>5.4999999999999997E-3</v>
      </c>
      <c r="H705" s="43">
        <f>Volcanic!D705</f>
        <v>-0.19</v>
      </c>
      <c r="I705" s="47">
        <f>Volcanic!E705</f>
        <v>7.79E-3</v>
      </c>
      <c r="K705" s="47">
        <f t="shared" si="140"/>
        <v>0.52101483065422127</v>
      </c>
      <c r="L705" s="47">
        <f t="shared" si="141"/>
        <v>-0.2</v>
      </c>
      <c r="M705" s="47">
        <f t="shared" si="142"/>
        <v>7.79E-3</v>
      </c>
      <c r="O705" s="47">
        <f t="shared" si="143"/>
        <v>0.52101483065422127</v>
      </c>
      <c r="P705" s="47">
        <f t="shared" si="144"/>
        <v>-0.19</v>
      </c>
      <c r="Q705" s="47">
        <f t="shared" si="145"/>
        <v>5.4999999999999997E-3</v>
      </c>
      <c r="S705" s="47">
        <f t="shared" si="146"/>
        <v>0.52101483065422127</v>
      </c>
      <c r="T705" s="47">
        <f t="shared" si="147"/>
        <v>-0.2</v>
      </c>
      <c r="U705" s="47">
        <f t="shared" si="148"/>
        <v>5.4999999999999997E-3</v>
      </c>
      <c r="W705" s="47">
        <f t="shared" si="149"/>
        <v>4.5321900783136915E-2</v>
      </c>
      <c r="X705" s="47">
        <f t="shared" si="150"/>
        <v>4.5689215832166008E-2</v>
      </c>
      <c r="Y705" s="47">
        <f t="shared" si="151"/>
        <v>4.7002608509029487E-2</v>
      </c>
      <c r="AP705" s="48">
        <v>0.88700000000000001</v>
      </c>
      <c r="AQ705" s="48">
        <v>0.94469999999999998</v>
      </c>
      <c r="AR705" s="47">
        <f>IF(AP705="","",AP705-($AC$60+$AC$61*Volcanic!C705+$AC$62*Volcanic!D705+$AC$63*Volcanic!E705))</f>
        <v>6.9266489877318538E-2</v>
      </c>
      <c r="AS705" s="47">
        <f>IF(AQ705="","",AQ705-($AD$60+$AD$61*Volcanic!C705+$AD$62*Volcanic!D705+$AD$63*Volcanic!E705))</f>
        <v>9.9290558003275575E-2</v>
      </c>
    </row>
    <row r="706" spans="1:45">
      <c r="A706" s="45" t="str">
        <f>Volcanic!A706</f>
        <v>11/2016</v>
      </c>
      <c r="B706" s="43">
        <f>Volcanic!B706</f>
        <v>0.91000000000000014</v>
      </c>
      <c r="C706" s="47">
        <f>Volcanic!C706</f>
        <v>0.52792823149882584</v>
      </c>
      <c r="D706" s="41">
        <v>-0.5</v>
      </c>
      <c r="E706" s="43">
        <f t="shared" si="152"/>
        <v>-0.3</v>
      </c>
      <c r="F706" s="48">
        <v>4.62E-3</v>
      </c>
      <c r="G706" s="47">
        <f t="shared" si="153"/>
        <v>5.1700000000000001E-3</v>
      </c>
      <c r="H706" s="43">
        <f>Volcanic!D706</f>
        <v>-0.34</v>
      </c>
      <c r="I706" s="47">
        <f>Volcanic!E706</f>
        <v>7.1000000000000004E-3</v>
      </c>
      <c r="K706" s="47">
        <f t="shared" ref="K706:K769" si="154">C706</f>
        <v>0.52792823149882584</v>
      </c>
      <c r="L706" s="47">
        <f t="shared" ref="L706:L769" si="155">E706</f>
        <v>-0.3</v>
      </c>
      <c r="M706" s="47">
        <f t="shared" ref="M706:M769" si="156">I706</f>
        <v>7.1000000000000004E-3</v>
      </c>
      <c r="O706" s="47">
        <f t="shared" ref="O706:O769" si="157">C706</f>
        <v>0.52792823149882584</v>
      </c>
      <c r="P706" s="47">
        <f t="shared" ref="P706:P769" si="158">H706</f>
        <v>-0.34</v>
      </c>
      <c r="Q706" s="47">
        <f t="shared" ref="Q706:Q769" si="159">G706</f>
        <v>5.1700000000000001E-3</v>
      </c>
      <c r="S706" s="47">
        <f t="shared" ref="S706:S769" si="160">C706</f>
        <v>0.52792823149882584</v>
      </c>
      <c r="T706" s="47">
        <f t="shared" ref="T706:T769" si="161">E706</f>
        <v>-0.3</v>
      </c>
      <c r="U706" s="47">
        <f t="shared" ref="U706:U769" si="162">G706</f>
        <v>5.1700000000000001E-3</v>
      </c>
      <c r="W706" s="47">
        <f t="shared" ref="W706:W769" si="163">IF(OR(L706="",M706=""),"",B706-($AB$6+$AB$7*K706+$AB$8*L706+$AB$9*M706))</f>
        <v>7.4234914880401903E-2</v>
      </c>
      <c r="X706" s="47">
        <f t="shared" ref="X706:X769" si="164">IF(OR(P706="",Q706=""),"",B706-($AC$6+$AC$7*O706+$AC$8*P706+$AC$9*Q706))</f>
        <v>8.0226511424204672E-2</v>
      </c>
      <c r="Y706" s="47">
        <f t="shared" ref="Y706:Y769" si="165">IF(OR(T706="",U706=""),"",B706-($AD$6+$AD$7*S706+$AD$8*T706+$AD$9*U706))</f>
        <v>7.6851664496934924E-2</v>
      </c>
      <c r="AP706" s="48">
        <v>0.9143</v>
      </c>
      <c r="AQ706" s="48">
        <v>0.94369999999999998</v>
      </c>
      <c r="AR706" s="47">
        <f>IF(AP706="","",AP706-($AC$60+$AC$61*Volcanic!C706+$AC$62*Volcanic!D706+$AC$63*Volcanic!E706))</f>
        <v>9.0075188556386743E-2</v>
      </c>
      <c r="AS706" s="47">
        <f>IF(AQ706="","",AQ706-($AD$60+$AD$61*Volcanic!C706+$AD$62*Volcanic!D706+$AD$63*Volcanic!E706))</f>
        <v>9.1681167430447741E-2</v>
      </c>
    </row>
    <row r="707" spans="1:45">
      <c r="A707" s="45" t="str">
        <f>Volcanic!A707</f>
        <v>12/2016</v>
      </c>
      <c r="B707" s="43">
        <f>Volcanic!B707</f>
        <v>0.86000000000000121</v>
      </c>
      <c r="C707" s="47">
        <f>Volcanic!C707</f>
        <v>0.53121211494354725</v>
      </c>
      <c r="D707" s="41">
        <v>-0.4</v>
      </c>
      <c r="E707" s="43">
        <f t="shared" si="152"/>
        <v>-0.4</v>
      </c>
      <c r="F707" s="48">
        <v>4.4600000000000004E-3</v>
      </c>
      <c r="G707" s="47">
        <f t="shared" si="153"/>
        <v>5.0299999999999997E-3</v>
      </c>
      <c r="H707" s="43">
        <f>Volcanic!D707</f>
        <v>-0.42</v>
      </c>
      <c r="I707" s="47">
        <f>Volcanic!E707</f>
        <v>6.8199999999999997E-3</v>
      </c>
      <c r="K707" s="47">
        <f t="shared" si="154"/>
        <v>0.53121211494354725</v>
      </c>
      <c r="L707" s="47">
        <f t="shared" si="155"/>
        <v>-0.4</v>
      </c>
      <c r="M707" s="47">
        <f t="shared" si="156"/>
        <v>6.8199999999999997E-3</v>
      </c>
      <c r="O707" s="47">
        <f t="shared" si="157"/>
        <v>0.53121211494354725</v>
      </c>
      <c r="P707" s="47">
        <f t="shared" si="158"/>
        <v>-0.42</v>
      </c>
      <c r="Q707" s="47">
        <f t="shared" si="159"/>
        <v>5.0299999999999997E-3</v>
      </c>
      <c r="S707" s="47">
        <f t="shared" si="160"/>
        <v>0.53121211494354725</v>
      </c>
      <c r="T707" s="47">
        <f t="shared" si="161"/>
        <v>-0.4</v>
      </c>
      <c r="U707" s="47">
        <f t="shared" si="162"/>
        <v>5.0299999999999997E-3</v>
      </c>
      <c r="W707" s="47">
        <f t="shared" si="163"/>
        <v>2.3949614712193257E-2</v>
      </c>
      <c r="X707" s="47">
        <f t="shared" si="164"/>
        <v>2.8497383256527065E-2</v>
      </c>
      <c r="Y707" s="47">
        <f t="shared" si="165"/>
        <v>2.7009316478124545E-2</v>
      </c>
      <c r="AP707" s="48">
        <v>0.84740000000000004</v>
      </c>
      <c r="AQ707" s="48">
        <v>0.95669999999999999</v>
      </c>
      <c r="AR707" s="47">
        <f>IF(AP707="","",AP707-($AC$60+$AC$61*Volcanic!C707+$AC$62*Volcanic!D707+$AC$63*Volcanic!E707))</f>
        <v>2.1026061858143708E-2</v>
      </c>
      <c r="AS707" s="47">
        <f>IF(AQ707="","",AQ707-($AD$60+$AD$61*Volcanic!C707+$AD$62*Volcanic!D707+$AD$63*Volcanic!E707))</f>
        <v>0.10248720875268746</v>
      </c>
    </row>
    <row r="708" spans="1:45">
      <c r="A708" s="45" t="str">
        <f>Volcanic!A708</f>
        <v>1/2017</v>
      </c>
      <c r="B708" s="43">
        <f>Volcanic!B708</f>
        <v>1.0200000000000014</v>
      </c>
      <c r="C708" s="47">
        <f>Volcanic!C708</f>
        <v>0.5373315704079159</v>
      </c>
      <c r="D708" s="41">
        <v>-0.1</v>
      </c>
      <c r="E708" s="43">
        <f t="shared" si="152"/>
        <v>-0.5</v>
      </c>
      <c r="F708" s="48">
        <v>4.2199999999999998E-3</v>
      </c>
      <c r="G708" s="47">
        <f t="shared" si="153"/>
        <v>5.0200000000000002E-3</v>
      </c>
      <c r="H708" s="43">
        <f>Volcanic!D708</f>
        <v>-0.51</v>
      </c>
      <c r="I708" s="47">
        <f>Volcanic!E708</f>
        <v>6.2100000000000002E-3</v>
      </c>
      <c r="K708" s="47">
        <f t="shared" si="154"/>
        <v>0.5373315704079159</v>
      </c>
      <c r="L708" s="47">
        <f t="shared" si="155"/>
        <v>-0.5</v>
      </c>
      <c r="M708" s="47">
        <f t="shared" si="156"/>
        <v>6.2100000000000002E-3</v>
      </c>
      <c r="O708" s="47">
        <f t="shared" si="157"/>
        <v>0.5373315704079159</v>
      </c>
      <c r="P708" s="47">
        <f t="shared" si="158"/>
        <v>-0.51</v>
      </c>
      <c r="Q708" s="47">
        <f t="shared" si="159"/>
        <v>5.0200000000000002E-3</v>
      </c>
      <c r="S708" s="47">
        <f t="shared" si="160"/>
        <v>0.5373315704079159</v>
      </c>
      <c r="T708" s="47">
        <f t="shared" si="161"/>
        <v>-0.5</v>
      </c>
      <c r="U708" s="47">
        <f t="shared" si="162"/>
        <v>5.0200000000000002E-3</v>
      </c>
      <c r="W708" s="47">
        <f t="shared" si="163"/>
        <v>0.17520411941389558</v>
      </c>
      <c r="X708" s="47">
        <f t="shared" si="164"/>
        <v>0.18038108240715911</v>
      </c>
      <c r="Y708" s="47">
        <f t="shared" si="165"/>
        <v>0.17984169304310116</v>
      </c>
      <c r="AP708" s="48">
        <v>1.0223</v>
      </c>
      <c r="AQ708" s="48">
        <v>1.0767</v>
      </c>
      <c r="AR708" s="47">
        <f>IF(AP708="","",AP708-($AC$60+$AC$61*Volcanic!C708+$AC$62*Volcanic!D708+$AC$63*Volcanic!E708))</f>
        <v>0.18617650416936982</v>
      </c>
      <c r="AS708" s="47">
        <f>IF(AQ708="","",AQ708-($AD$60+$AD$61*Volcanic!C708+$AD$62*Volcanic!D708+$AD$63*Volcanic!E708))</f>
        <v>0.21255094272908492</v>
      </c>
    </row>
    <row r="709" spans="1:45">
      <c r="A709" s="45" t="str">
        <f>Volcanic!A709</f>
        <v>2/2017</v>
      </c>
      <c r="B709" s="43">
        <f>Volcanic!B709</f>
        <v>1.1299999999999955</v>
      </c>
      <c r="C709" s="47">
        <f>Volcanic!C709</f>
        <v>0.53839626385189021</v>
      </c>
      <c r="D709" s="41">
        <v>0.1</v>
      </c>
      <c r="E709" s="43">
        <f t="shared" ref="E709:E772" si="166">IF(D706="","",D706)</f>
        <v>-0.5</v>
      </c>
      <c r="F709" s="48">
        <v>4.0699999999999998E-3</v>
      </c>
      <c r="G709" s="47">
        <f t="shared" si="153"/>
        <v>4.9899999999999996E-3</v>
      </c>
      <c r="H709" s="43">
        <f>Volcanic!D709</f>
        <v>-0.49</v>
      </c>
      <c r="I709" s="47">
        <f>Volcanic!E709</f>
        <v>5.9300000000000004E-3</v>
      </c>
      <c r="K709" s="47">
        <f t="shared" si="154"/>
        <v>0.53839626385189021</v>
      </c>
      <c r="L709" s="47">
        <f t="shared" si="155"/>
        <v>-0.5</v>
      </c>
      <c r="M709" s="47">
        <f t="shared" si="156"/>
        <v>5.9300000000000004E-3</v>
      </c>
      <c r="O709" s="47">
        <f t="shared" si="157"/>
        <v>0.53839626385189021</v>
      </c>
      <c r="P709" s="47">
        <f t="shared" si="158"/>
        <v>-0.49</v>
      </c>
      <c r="Q709" s="47">
        <f t="shared" si="159"/>
        <v>4.9899999999999996E-3</v>
      </c>
      <c r="S709" s="47">
        <f t="shared" si="160"/>
        <v>0.53839626385189021</v>
      </c>
      <c r="T709" s="47">
        <f t="shared" si="161"/>
        <v>-0.5</v>
      </c>
      <c r="U709" s="47">
        <f t="shared" si="162"/>
        <v>4.9899999999999996E-3</v>
      </c>
      <c r="W709" s="47">
        <f t="shared" si="163"/>
        <v>0.2816835530655738</v>
      </c>
      <c r="X709" s="47">
        <f t="shared" si="164"/>
        <v>0.28554549357355785</v>
      </c>
      <c r="Y709" s="47">
        <f t="shared" si="165"/>
        <v>0.2868850577277916</v>
      </c>
      <c r="AP709" s="48">
        <v>1.1375999999999999</v>
      </c>
      <c r="AQ709" s="48">
        <v>1.1637</v>
      </c>
      <c r="AR709" s="47">
        <f>IF(AP709="","",AP709-($AC$60+$AC$61*Volcanic!C709+$AC$62*Volcanic!D709+$AC$63*Volcanic!E709))</f>
        <v>0.29602260552994586</v>
      </c>
      <c r="AS709" s="47">
        <f>IF(AQ709="","",AQ709-($AD$60+$AD$61*Volcanic!C709+$AD$62*Volcanic!D709+$AD$63*Volcanic!E709))</f>
        <v>0.29401626429480854</v>
      </c>
    </row>
    <row r="710" spans="1:45">
      <c r="A710" s="45" t="str">
        <f>Volcanic!A710</f>
        <v>3/2017</v>
      </c>
      <c r="B710" s="43">
        <f>Volcanic!B710</f>
        <v>1.1600000000000001</v>
      </c>
      <c r="C710" s="47">
        <f>Volcanic!C710</f>
        <v>0.54151483946067869</v>
      </c>
      <c r="D710" s="41">
        <v>0.3</v>
      </c>
      <c r="E710" s="43">
        <f t="shared" si="166"/>
        <v>-0.4</v>
      </c>
      <c r="F710" s="48">
        <v>3.9500000000000004E-3</v>
      </c>
      <c r="G710" s="47">
        <f t="shared" si="153"/>
        <v>4.9500000000000004E-3</v>
      </c>
      <c r="H710" s="43">
        <f>Volcanic!D710</f>
        <v>-0.37</v>
      </c>
      <c r="I710" s="47">
        <f>Volcanic!E710</f>
        <v>5.77E-3</v>
      </c>
      <c r="K710" s="47">
        <f t="shared" si="154"/>
        <v>0.54151483946067869</v>
      </c>
      <c r="L710" s="47">
        <f t="shared" si="155"/>
        <v>-0.4</v>
      </c>
      <c r="M710" s="47">
        <f t="shared" si="156"/>
        <v>5.77E-3</v>
      </c>
      <c r="O710" s="47">
        <f t="shared" si="157"/>
        <v>0.54151483946067869</v>
      </c>
      <c r="P710" s="47">
        <f t="shared" si="158"/>
        <v>-0.37</v>
      </c>
      <c r="Q710" s="47">
        <f t="shared" si="159"/>
        <v>4.9500000000000004E-3</v>
      </c>
      <c r="S710" s="47">
        <f t="shared" si="160"/>
        <v>0.54151483946067869</v>
      </c>
      <c r="T710" s="47">
        <f t="shared" si="161"/>
        <v>-0.4</v>
      </c>
      <c r="U710" s="47">
        <f t="shared" si="162"/>
        <v>4.9500000000000004E-3</v>
      </c>
      <c r="W710" s="47">
        <f t="shared" si="163"/>
        <v>0.29353883231626177</v>
      </c>
      <c r="X710" s="47">
        <f t="shared" si="164"/>
        <v>0.29573732662195484</v>
      </c>
      <c r="Y710" s="47">
        <f t="shared" si="165"/>
        <v>0.29894894136056738</v>
      </c>
      <c r="AP710" s="48">
        <v>1.1196999999999999</v>
      </c>
      <c r="AQ710" s="48">
        <v>1.2047000000000001</v>
      </c>
      <c r="AR710" s="47">
        <f>IF(AP710="","",AP710-($AC$60+$AC$61*Volcanic!C710+$AC$62*Volcanic!D710+$AC$63*Volcanic!E710))</f>
        <v>0.25798459353945824</v>
      </c>
      <c r="AS710" s="47">
        <f>IF(AQ710="","",AQ710-($AD$60+$AD$61*Volcanic!C710+$AD$62*Volcanic!D710+$AD$63*Volcanic!E710))</f>
        <v>0.31444729182540954</v>
      </c>
    </row>
    <row r="711" spans="1:45">
      <c r="A711" s="45" t="str">
        <f>Volcanic!A711</f>
        <v>4/2017</v>
      </c>
      <c r="B711" s="43">
        <f>Volcanic!B711</f>
        <v>0.93999999999999773</v>
      </c>
      <c r="C711" s="47">
        <f>Volcanic!C711</f>
        <v>0.54744982914396567</v>
      </c>
      <c r="D711" s="41">
        <v>0.3</v>
      </c>
      <c r="E711" s="43">
        <f t="shared" si="166"/>
        <v>-0.1</v>
      </c>
      <c r="F711" s="48">
        <v>3.98E-3</v>
      </c>
      <c r="G711" s="47">
        <f t="shared" si="153"/>
        <v>4.9399999999999999E-3</v>
      </c>
      <c r="H711" s="43">
        <f>Volcanic!D711</f>
        <v>-0.08</v>
      </c>
      <c r="I711" s="47">
        <f>Volcanic!E711</f>
        <v>5.7099999999999998E-3</v>
      </c>
      <c r="K711" s="47">
        <f t="shared" si="154"/>
        <v>0.54744982914396567</v>
      </c>
      <c r="L711" s="47">
        <f t="shared" si="155"/>
        <v>-0.1</v>
      </c>
      <c r="M711" s="47">
        <f t="shared" si="156"/>
        <v>5.7099999999999998E-3</v>
      </c>
      <c r="O711" s="47">
        <f t="shared" si="157"/>
        <v>0.54744982914396567</v>
      </c>
      <c r="P711" s="47">
        <f t="shared" si="158"/>
        <v>-0.08</v>
      </c>
      <c r="Q711" s="47">
        <f t="shared" si="159"/>
        <v>4.9399999999999999E-3</v>
      </c>
      <c r="S711" s="47">
        <f t="shared" si="160"/>
        <v>0.54744982914396567</v>
      </c>
      <c r="T711" s="47">
        <f t="shared" si="161"/>
        <v>-0.1</v>
      </c>
      <c r="U711" s="47">
        <f t="shared" si="162"/>
        <v>4.9399999999999999E-3</v>
      </c>
      <c r="W711" s="47">
        <f t="shared" si="163"/>
        <v>2.935901585518752E-2</v>
      </c>
      <c r="X711" s="47">
        <f t="shared" si="164"/>
        <v>3.2423993693098452E-2</v>
      </c>
      <c r="Y711" s="47">
        <f t="shared" si="165"/>
        <v>3.4675530822894873E-2</v>
      </c>
      <c r="AP711" s="48">
        <v>0.91049999999999998</v>
      </c>
      <c r="AQ711" s="48">
        <v>1.0277000000000001</v>
      </c>
      <c r="AR711" s="47">
        <f>IF(AP711="","",AP711-($AC$60+$AC$61*Volcanic!C711+$AC$62*Volcanic!D711+$AC$63*Volcanic!E711))</f>
        <v>5.2770113029982912E-3</v>
      </c>
      <c r="AS711" s="47">
        <f>IF(AQ711="","",AQ711-($AD$60+$AD$61*Volcanic!C711+$AD$62*Volcanic!D711+$AD$63*Volcanic!E711))</f>
        <v>9.2972944973062854E-2</v>
      </c>
    </row>
    <row r="712" spans="1:45">
      <c r="A712" s="45" t="str">
        <f>Volcanic!A712</f>
        <v>5/2017</v>
      </c>
      <c r="B712" s="43">
        <f>Volcanic!B712</f>
        <v>0.91000000000000014</v>
      </c>
      <c r="C712" s="47">
        <f>Volcanic!C712</f>
        <v>0.54980996610473554</v>
      </c>
      <c r="D712" s="41">
        <v>0.4</v>
      </c>
      <c r="E712" s="43">
        <f t="shared" si="166"/>
        <v>0.1</v>
      </c>
      <c r="F712" s="48">
        <v>4.0899999999999999E-3</v>
      </c>
      <c r="G712" s="47">
        <f t="shared" si="153"/>
        <v>4.8300000000000001E-3</v>
      </c>
      <c r="H712" s="43">
        <f>Volcanic!D712</f>
        <v>0.08</v>
      </c>
      <c r="I712" s="47">
        <f>Volcanic!E712</f>
        <v>5.8199999999999997E-3</v>
      </c>
      <c r="K712" s="47">
        <f t="shared" si="154"/>
        <v>0.54980996610473554</v>
      </c>
      <c r="L712" s="47">
        <f t="shared" si="155"/>
        <v>0.1</v>
      </c>
      <c r="M712" s="47">
        <f t="shared" si="156"/>
        <v>5.8199999999999997E-3</v>
      </c>
      <c r="O712" s="47">
        <f t="shared" si="157"/>
        <v>0.54980996610473554</v>
      </c>
      <c r="P712" s="47">
        <f t="shared" si="158"/>
        <v>0.08</v>
      </c>
      <c r="Q712" s="47">
        <f t="shared" si="159"/>
        <v>4.8300000000000001E-3</v>
      </c>
      <c r="S712" s="47">
        <f t="shared" si="160"/>
        <v>0.54980996610473554</v>
      </c>
      <c r="T712" s="47">
        <f t="shared" si="161"/>
        <v>0.1</v>
      </c>
      <c r="U712" s="47">
        <f t="shared" si="162"/>
        <v>4.8300000000000001E-3</v>
      </c>
      <c r="W712" s="47">
        <f t="shared" si="163"/>
        <v>-2.5409708212067228E-2</v>
      </c>
      <c r="X712" s="47">
        <f t="shared" si="164"/>
        <v>-1.9274014640908721E-2</v>
      </c>
      <c r="Y712" s="47">
        <f t="shared" si="165"/>
        <v>-2.0794537192744156E-2</v>
      </c>
      <c r="AP712" s="48">
        <v>0.8508</v>
      </c>
      <c r="AQ712" s="48">
        <v>0.96970000000000001</v>
      </c>
      <c r="AR712" s="47">
        <f>IF(AP712="","",AP712-($AC$60+$AC$61*Volcanic!C712+$AC$62*Volcanic!D712+$AC$63*Volcanic!E712))</f>
        <v>-7.5586131948009783E-2</v>
      </c>
      <c r="AS712" s="47">
        <f>IF(AQ712="","",AQ712-($AD$60+$AD$61*Volcanic!C712+$AD$62*Volcanic!D712+$AD$63*Volcanic!E712))</f>
        <v>1.332410072463508E-2</v>
      </c>
    </row>
    <row r="713" spans="1:45">
      <c r="A713" s="45" t="str">
        <f>Volcanic!A713</f>
        <v>6/2017</v>
      </c>
      <c r="B713" s="43">
        <f>Volcanic!B713</f>
        <v>0.71000000000000085</v>
      </c>
      <c r="C713" s="47">
        <f>Volcanic!C713</f>
        <v>0.54695617814141118</v>
      </c>
      <c r="D713" s="41">
        <v>0.3</v>
      </c>
      <c r="E713" s="43">
        <f t="shared" si="166"/>
        <v>0.3</v>
      </c>
      <c r="F713" s="48">
        <v>3.96E-3</v>
      </c>
      <c r="G713" s="47">
        <f t="shared" ref="G713:G776" si="167">IF(F706="","",F706)</f>
        <v>4.62E-3</v>
      </c>
      <c r="H713" s="43">
        <f>Volcanic!D713</f>
        <v>0.27</v>
      </c>
      <c r="I713" s="47">
        <f>Volcanic!E713</f>
        <v>5.7299999999999999E-3</v>
      </c>
      <c r="K713" s="47">
        <f t="shared" si="154"/>
        <v>0.54695617814141118</v>
      </c>
      <c r="L713" s="47">
        <f t="shared" si="155"/>
        <v>0.3</v>
      </c>
      <c r="M713" s="47">
        <f t="shared" si="156"/>
        <v>5.7299999999999999E-3</v>
      </c>
      <c r="O713" s="47">
        <f t="shared" si="157"/>
        <v>0.54695617814141118</v>
      </c>
      <c r="P713" s="47">
        <f t="shared" si="158"/>
        <v>0.27</v>
      </c>
      <c r="Q713" s="47">
        <f t="shared" si="159"/>
        <v>4.62E-3</v>
      </c>
      <c r="S713" s="47">
        <f t="shared" si="160"/>
        <v>0.54695617814141118</v>
      </c>
      <c r="T713" s="47">
        <f t="shared" si="161"/>
        <v>0.3</v>
      </c>
      <c r="U713" s="47">
        <f t="shared" si="162"/>
        <v>4.62E-3</v>
      </c>
      <c r="W713" s="47">
        <f t="shared" si="163"/>
        <v>-0.23639997891680864</v>
      </c>
      <c r="X713" s="47">
        <f t="shared" si="164"/>
        <v>-0.22995512698534537</v>
      </c>
      <c r="Y713" s="47">
        <f t="shared" si="165"/>
        <v>-0.23243151033001874</v>
      </c>
      <c r="AP713" s="48">
        <v>0.72509999999999997</v>
      </c>
      <c r="AQ713" s="48">
        <v>0.7157</v>
      </c>
      <c r="AR713" s="47">
        <f>IF(AP713="","",AP713-($AC$60+$AC$61*Volcanic!C713+$AC$62*Volcanic!D713+$AC$63*Volcanic!E713))</f>
        <v>-0.21150268268966133</v>
      </c>
      <c r="AS713" s="47">
        <f>IF(AQ713="","",AQ713-($AD$60+$AD$61*Volcanic!C713+$AD$62*Volcanic!D713+$AD$63*Volcanic!E713))</f>
        <v>-0.25104609991965987</v>
      </c>
    </row>
    <row r="714" spans="1:45">
      <c r="A714" s="45" t="str">
        <f>Volcanic!A714</f>
        <v>7/2017</v>
      </c>
      <c r="B714" s="43">
        <f>Volcanic!B714</f>
        <v>0.82000000000000028</v>
      </c>
      <c r="C714" s="47">
        <f>Volcanic!C714</f>
        <v>0.54077124608923599</v>
      </c>
      <c r="D714" s="41">
        <v>0.1</v>
      </c>
      <c r="E714" s="43">
        <f t="shared" si="166"/>
        <v>0.3</v>
      </c>
      <c r="F714" s="48">
        <v>4.0899999999999999E-3</v>
      </c>
      <c r="G714" s="47">
        <f t="shared" si="167"/>
        <v>4.4600000000000004E-3</v>
      </c>
      <c r="H714" s="43">
        <f>Volcanic!D714</f>
        <v>0.32</v>
      </c>
      <c r="I714" s="47">
        <f>Volcanic!E714</f>
        <v>5.5799999999999999E-3</v>
      </c>
      <c r="K714" s="47">
        <f t="shared" si="154"/>
        <v>0.54077124608923599</v>
      </c>
      <c r="L714" s="47">
        <f t="shared" si="155"/>
        <v>0.3</v>
      </c>
      <c r="M714" s="47">
        <f t="shared" si="156"/>
        <v>5.5799999999999999E-3</v>
      </c>
      <c r="O714" s="47">
        <f t="shared" si="157"/>
        <v>0.54077124608923599</v>
      </c>
      <c r="P714" s="47">
        <f t="shared" si="158"/>
        <v>0.32</v>
      </c>
      <c r="Q714" s="47">
        <f t="shared" si="159"/>
        <v>4.4600000000000004E-3</v>
      </c>
      <c r="S714" s="47">
        <f t="shared" si="160"/>
        <v>0.54077124608923599</v>
      </c>
      <c r="T714" s="47">
        <f t="shared" si="161"/>
        <v>0.3</v>
      </c>
      <c r="U714" s="47">
        <f t="shared" si="162"/>
        <v>4.4600000000000004E-3</v>
      </c>
      <c r="W714" s="47">
        <f t="shared" si="163"/>
        <v>-0.1098632666527809</v>
      </c>
      <c r="X714" s="47">
        <f t="shared" si="164"/>
        <v>-0.10834852555000229</v>
      </c>
      <c r="Y714" s="47">
        <f t="shared" si="165"/>
        <v>-0.10613046521794844</v>
      </c>
      <c r="AP714" s="48">
        <v>0.86880000000000002</v>
      </c>
      <c r="AQ714" s="48">
        <v>0.79669999999999996</v>
      </c>
      <c r="AR714" s="47">
        <f>IF(AP714="","",AP714-($AC$60+$AC$61*Volcanic!C714+$AC$62*Volcanic!D714+$AC$63*Volcanic!E714))</f>
        <v>-5.5957242266518104E-2</v>
      </c>
      <c r="AS714" s="47">
        <f>IF(AQ714="","",AQ714-($AD$60+$AD$61*Volcanic!C714+$AD$62*Volcanic!D714+$AD$63*Volcanic!E714))</f>
        <v>-0.1578445382669158</v>
      </c>
    </row>
    <row r="715" spans="1:45">
      <c r="A715" s="45" t="str">
        <f>Volcanic!A715</f>
        <v>8/2017</v>
      </c>
      <c r="B715" s="43">
        <f>Volcanic!B715</f>
        <v>0.86999999999999744</v>
      </c>
      <c r="C715" s="47">
        <f>Volcanic!C715</f>
        <v>0.53363453792318827</v>
      </c>
      <c r="D715" s="41">
        <v>-0.1</v>
      </c>
      <c r="E715" s="43">
        <f t="shared" si="166"/>
        <v>0.4</v>
      </c>
      <c r="F715" s="48">
        <v>3.9500000000000004E-3</v>
      </c>
      <c r="G715" s="47">
        <f t="shared" si="167"/>
        <v>4.2199999999999998E-3</v>
      </c>
      <c r="H715" s="43">
        <f>Volcanic!D715</f>
        <v>0.35</v>
      </c>
      <c r="I715" s="47">
        <f>Volcanic!E715</f>
        <v>5.3E-3</v>
      </c>
      <c r="K715" s="47">
        <f t="shared" si="154"/>
        <v>0.53363453792318827</v>
      </c>
      <c r="L715" s="47">
        <f t="shared" si="155"/>
        <v>0.4</v>
      </c>
      <c r="M715" s="47">
        <f t="shared" si="156"/>
        <v>5.3E-3</v>
      </c>
      <c r="O715" s="47">
        <f t="shared" si="157"/>
        <v>0.53363453792318827</v>
      </c>
      <c r="P715" s="47">
        <f t="shared" si="158"/>
        <v>0.35</v>
      </c>
      <c r="Q715" s="47">
        <f t="shared" si="159"/>
        <v>4.2199999999999998E-3</v>
      </c>
      <c r="S715" s="47">
        <f t="shared" si="160"/>
        <v>0.53363453792318827</v>
      </c>
      <c r="T715" s="47">
        <f t="shared" si="161"/>
        <v>0.4</v>
      </c>
      <c r="U715" s="47">
        <f t="shared" si="162"/>
        <v>4.2199999999999998E-3</v>
      </c>
      <c r="W715" s="47">
        <f t="shared" si="163"/>
        <v>-5.0304707335999788E-2</v>
      </c>
      <c r="X715" s="47">
        <f t="shared" si="164"/>
        <v>-4.2499018922711018E-2</v>
      </c>
      <c r="Y715" s="47">
        <f t="shared" si="165"/>
        <v>-4.6866885560203575E-2</v>
      </c>
      <c r="AP715" s="48">
        <v>0.87719999999999998</v>
      </c>
      <c r="AQ715" s="48">
        <v>0.88370000000000004</v>
      </c>
      <c r="AR715" s="47">
        <f>IF(AP715="","",AP715-($AC$60+$AC$61*Volcanic!C715+$AC$62*Volcanic!D715+$AC$63*Volcanic!E715))</f>
        <v>-3.1552778295253825E-2</v>
      </c>
      <c r="AS715" s="47">
        <f>IF(AQ715="","",AQ715-($AD$60+$AD$61*Volcanic!C715+$AD$62*Volcanic!D715+$AD$63*Volcanic!E715))</f>
        <v>-5.4363613430323476E-2</v>
      </c>
    </row>
    <row r="716" spans="1:45">
      <c r="A716" s="45" t="str">
        <f>Volcanic!A716</f>
        <v>9/2017</v>
      </c>
      <c r="B716" s="43">
        <f>Volcanic!B716</f>
        <v>0.73999999999999666</v>
      </c>
      <c r="C716" s="47">
        <f>Volcanic!C716</f>
        <v>0.52739210629320266</v>
      </c>
      <c r="D716" s="41">
        <v>-0.2</v>
      </c>
      <c r="E716" s="43">
        <f t="shared" si="166"/>
        <v>0.3</v>
      </c>
      <c r="F716" s="48">
        <v>4.6600000000000001E-3</v>
      </c>
      <c r="G716" s="47">
        <f t="shared" si="167"/>
        <v>4.0699999999999998E-3</v>
      </c>
      <c r="H716" s="43">
        <f>Volcanic!D716</f>
        <v>0.32</v>
      </c>
      <c r="I716" s="47">
        <f>Volcanic!E716</f>
        <v>5.1200000000000004E-3</v>
      </c>
      <c r="K716" s="47">
        <f t="shared" si="154"/>
        <v>0.52739210629320266</v>
      </c>
      <c r="L716" s="47">
        <f t="shared" si="155"/>
        <v>0.3</v>
      </c>
      <c r="M716" s="47">
        <f t="shared" si="156"/>
        <v>5.1200000000000004E-3</v>
      </c>
      <c r="O716" s="47">
        <f t="shared" si="157"/>
        <v>0.52739210629320266</v>
      </c>
      <c r="P716" s="47">
        <f t="shared" si="158"/>
        <v>0.32</v>
      </c>
      <c r="Q716" s="47">
        <f t="shared" si="159"/>
        <v>4.0699999999999998E-3</v>
      </c>
      <c r="S716" s="47">
        <f t="shared" si="160"/>
        <v>0.52739210629320266</v>
      </c>
      <c r="T716" s="47">
        <f t="shared" si="161"/>
        <v>0.3</v>
      </c>
      <c r="U716" s="47">
        <f t="shared" si="162"/>
        <v>4.0699999999999998E-3</v>
      </c>
      <c r="W716" s="47">
        <f t="shared" si="163"/>
        <v>-0.15438995934364375</v>
      </c>
      <c r="X716" s="47">
        <f t="shared" si="164"/>
        <v>-0.15319594062227027</v>
      </c>
      <c r="Y716" s="47">
        <f t="shared" si="165"/>
        <v>-0.15098313261433383</v>
      </c>
      <c r="AP716" s="48">
        <v>0.79800000000000004</v>
      </c>
      <c r="AQ716" s="48">
        <v>0.76870000000000005</v>
      </c>
      <c r="AR716" s="47">
        <f>IF(AP716="","",AP716-($AC$60+$AC$61*Volcanic!C716+$AC$62*Volcanic!D716+$AC$63*Volcanic!E716))</f>
        <v>-9.133090697157753E-2</v>
      </c>
      <c r="AS716" s="47">
        <f>IF(AQ716="","",AQ716-($AD$60+$AD$61*Volcanic!C716+$AD$62*Volcanic!D716+$AD$63*Volcanic!E716))</f>
        <v>-0.14942456589262409</v>
      </c>
    </row>
    <row r="717" spans="1:45">
      <c r="A717" s="45" t="str">
        <f>Volcanic!A717</f>
        <v>10/2017</v>
      </c>
      <c r="B717" s="43">
        <f>Volcanic!B717</f>
        <v>0.88000000000000256</v>
      </c>
      <c r="C717" s="47">
        <f>Volcanic!C717</f>
        <v>0.52828553765041275</v>
      </c>
      <c r="D717" s="41">
        <v>-0.4</v>
      </c>
      <c r="E717" s="43">
        <f t="shared" si="166"/>
        <v>0.1</v>
      </c>
      <c r="F717" s="48">
        <v>4.6800000000000001E-3</v>
      </c>
      <c r="G717" s="47">
        <f t="shared" si="167"/>
        <v>3.9500000000000004E-3</v>
      </c>
      <c r="H717" s="43">
        <f>Volcanic!D717</f>
        <v>0.14000000000000001</v>
      </c>
      <c r="I717" s="47">
        <f>Volcanic!E717</f>
        <v>4.9800000000000001E-3</v>
      </c>
      <c r="K717" s="47">
        <f t="shared" si="154"/>
        <v>0.52828553765041275</v>
      </c>
      <c r="L717" s="47">
        <f t="shared" si="155"/>
        <v>0.1</v>
      </c>
      <c r="M717" s="47">
        <f t="shared" si="156"/>
        <v>4.9800000000000001E-3</v>
      </c>
      <c r="O717" s="47">
        <f t="shared" si="157"/>
        <v>0.52828553765041275</v>
      </c>
      <c r="P717" s="47">
        <f t="shared" si="158"/>
        <v>0.14000000000000001</v>
      </c>
      <c r="Q717" s="47">
        <f t="shared" si="159"/>
        <v>3.9500000000000004E-3</v>
      </c>
      <c r="S717" s="47">
        <f t="shared" si="160"/>
        <v>0.52828553765041275</v>
      </c>
      <c r="T717" s="47">
        <f t="shared" si="161"/>
        <v>0.1</v>
      </c>
      <c r="U717" s="47">
        <f t="shared" si="162"/>
        <v>3.9500000000000004E-3</v>
      </c>
      <c r="W717" s="47">
        <f t="shared" si="163"/>
        <v>1.4396882553486812E-3</v>
      </c>
      <c r="X717" s="47">
        <f t="shared" si="164"/>
        <v>9.8358014760080437E-4</v>
      </c>
      <c r="Y717" s="47">
        <f t="shared" si="165"/>
        <v>5.0900001726487121E-3</v>
      </c>
      <c r="AP717" s="48">
        <v>0.87939999999999996</v>
      </c>
      <c r="AQ717" s="48">
        <v>0.90869999999999995</v>
      </c>
      <c r="AR717" s="47">
        <f>IF(AP717="","",AP717-($AC$60+$AC$61*Volcanic!C717+$AC$62*Volcanic!D717+$AC$63*Volcanic!E717))</f>
        <v>4.1487323099125284E-3</v>
      </c>
      <c r="AS717" s="47">
        <f>IF(AQ717="","",AQ717-($AD$60+$AD$61*Volcanic!C717+$AD$62*Volcanic!D717+$AD$63*Volcanic!E717))</f>
        <v>4.9539582636999313E-3</v>
      </c>
    </row>
    <row r="718" spans="1:45">
      <c r="A718" s="45" t="str">
        <f>Volcanic!A718</f>
        <v>11/2017</v>
      </c>
      <c r="B718" s="43">
        <f>Volcanic!B718</f>
        <v>0.86999999999999744</v>
      </c>
      <c r="C718" s="47">
        <f>Volcanic!C718</f>
        <v>0.53359894350795678</v>
      </c>
      <c r="D718" s="41">
        <v>-0.6</v>
      </c>
      <c r="E718" s="43">
        <f t="shared" si="166"/>
        <v>-0.1</v>
      </c>
      <c r="F718" s="48">
        <v>4.4900000000000001E-3</v>
      </c>
      <c r="G718" s="47">
        <f t="shared" si="167"/>
        <v>3.98E-3</v>
      </c>
      <c r="H718" s="43">
        <f>Volcanic!D718</f>
        <v>-7.0000000000000007E-2</v>
      </c>
      <c r="I718" s="47">
        <f>Volcanic!E718</f>
        <v>4.8700000000000002E-3</v>
      </c>
      <c r="K718" s="47">
        <f t="shared" si="154"/>
        <v>0.53359894350795678</v>
      </c>
      <c r="L718" s="47">
        <f t="shared" si="155"/>
        <v>-0.1</v>
      </c>
      <c r="M718" s="47">
        <f t="shared" si="156"/>
        <v>4.8700000000000002E-3</v>
      </c>
      <c r="O718" s="47">
        <f t="shared" si="157"/>
        <v>0.53359894350795678</v>
      </c>
      <c r="P718" s="47">
        <f t="shared" si="158"/>
        <v>-7.0000000000000007E-2</v>
      </c>
      <c r="Q718" s="47">
        <f t="shared" si="159"/>
        <v>3.98E-3</v>
      </c>
      <c r="S718" s="47">
        <f t="shared" si="160"/>
        <v>0.53359894350795678</v>
      </c>
      <c r="T718" s="47">
        <f t="shared" si="161"/>
        <v>-0.1</v>
      </c>
      <c r="U718" s="47">
        <f t="shared" si="162"/>
        <v>3.98E-3</v>
      </c>
      <c r="W718" s="47">
        <f t="shared" si="163"/>
        <v>-4.7184944061492429E-3</v>
      </c>
      <c r="X718" s="47">
        <f t="shared" si="164"/>
        <v>-3.5766499514150452E-3</v>
      </c>
      <c r="Y718" s="47">
        <f t="shared" si="165"/>
        <v>-3.9290303277639271E-4</v>
      </c>
      <c r="AP718" s="48">
        <v>0.87009999999999998</v>
      </c>
      <c r="AQ718" s="48">
        <v>0.8397</v>
      </c>
      <c r="AR718" s="47">
        <f>IF(AP718="","",AP718-($AC$60+$AC$61*Volcanic!C718+$AC$62*Volcanic!D718+$AC$63*Volcanic!E718))</f>
        <v>-2.5930751216574066E-4</v>
      </c>
      <c r="AS718" s="47">
        <f>IF(AQ718="","",AQ718-($AD$60+$AD$61*Volcanic!C718+$AD$62*Volcanic!D718+$AD$63*Volcanic!E718))</f>
        <v>-5.911175167449223E-2</v>
      </c>
    </row>
    <row r="719" spans="1:45">
      <c r="A719" s="45" t="str">
        <f>Volcanic!A719</f>
        <v>12/2017</v>
      </c>
      <c r="B719" s="43">
        <f>Volcanic!B719</f>
        <v>0.92999999999999794</v>
      </c>
      <c r="C719" s="47">
        <f>Volcanic!C719</f>
        <v>0.53960196732128063</v>
      </c>
      <c r="D719" s="41">
        <v>-0.8</v>
      </c>
      <c r="E719" s="43">
        <f t="shared" si="166"/>
        <v>-0.2</v>
      </c>
      <c r="F719" s="48">
        <v>4.2500000000000003E-3</v>
      </c>
      <c r="G719" s="47">
        <f t="shared" si="167"/>
        <v>4.0899999999999999E-3</v>
      </c>
      <c r="H719" s="43">
        <f>Volcanic!D719</f>
        <v>-0.23</v>
      </c>
      <c r="I719" s="47">
        <f>Volcanic!E719</f>
        <v>4.7499999999999999E-3</v>
      </c>
      <c r="K719" s="47">
        <f t="shared" si="154"/>
        <v>0.53960196732128063</v>
      </c>
      <c r="L719" s="47">
        <f t="shared" si="155"/>
        <v>-0.2</v>
      </c>
      <c r="M719" s="47">
        <f t="shared" si="156"/>
        <v>4.7499999999999999E-3</v>
      </c>
      <c r="O719" s="47">
        <f t="shared" si="157"/>
        <v>0.53960196732128063</v>
      </c>
      <c r="P719" s="47">
        <f t="shared" si="158"/>
        <v>-0.23</v>
      </c>
      <c r="Q719" s="47">
        <f t="shared" si="159"/>
        <v>4.0899999999999999E-3</v>
      </c>
      <c r="S719" s="47">
        <f t="shared" si="160"/>
        <v>0.53960196732128063</v>
      </c>
      <c r="T719" s="47">
        <f t="shared" si="161"/>
        <v>-0.2</v>
      </c>
      <c r="U719" s="47">
        <f t="shared" si="162"/>
        <v>4.0899999999999999E-3</v>
      </c>
      <c r="W719" s="47">
        <f t="shared" si="163"/>
        <v>4.7933264203379622E-2</v>
      </c>
      <c r="X719" s="47">
        <f t="shared" si="164"/>
        <v>5.5510894473537853E-2</v>
      </c>
      <c r="Y719" s="47">
        <f t="shared" si="165"/>
        <v>5.3068120569508825E-2</v>
      </c>
      <c r="AP719" s="48">
        <v>0.88180000000000003</v>
      </c>
      <c r="AQ719" s="48">
        <v>0.97870000000000001</v>
      </c>
      <c r="AR719" s="47">
        <f>IF(AP719="","",AP719-($AC$60+$AC$61*Volcanic!C719+$AC$62*Volcanic!D719+$AC$63*Volcanic!E719))</f>
        <v>9.7432592305051191E-3</v>
      </c>
      <c r="AS719" s="47">
        <f>IF(AQ719="","",AQ719-($AD$60+$AD$61*Volcanic!C719+$AD$62*Volcanic!D719+$AD$63*Volcanic!E719))</f>
        <v>7.8089872367919422E-2</v>
      </c>
    </row>
    <row r="720" spans="1:45">
      <c r="A720" s="45" t="str">
        <f>Volcanic!A720</f>
        <v>1/2018</v>
      </c>
      <c r="B720" s="43">
        <f>Volcanic!B720</f>
        <v>0.82000000000000028</v>
      </c>
      <c r="C720" s="47">
        <f>Volcanic!C720</f>
        <v>0.54367263013850597</v>
      </c>
      <c r="D720" s="41">
        <v>-0.7</v>
      </c>
      <c r="E720" s="43">
        <f t="shared" si="166"/>
        <v>-0.4</v>
      </c>
      <c r="F720" s="48">
        <v>4.0800000000000003E-3</v>
      </c>
      <c r="G720" s="47">
        <f t="shared" si="167"/>
        <v>3.96E-3</v>
      </c>
      <c r="H720" s="43">
        <f>Volcanic!D720</f>
        <v>-0.44</v>
      </c>
      <c r="I720" s="47">
        <f>Volcanic!E720</f>
        <v>4.5999999999999999E-3</v>
      </c>
      <c r="K720" s="47">
        <f t="shared" si="154"/>
        <v>0.54367263013850597</v>
      </c>
      <c r="L720" s="47">
        <f t="shared" si="155"/>
        <v>-0.4</v>
      </c>
      <c r="M720" s="47">
        <f t="shared" si="156"/>
        <v>4.5999999999999999E-3</v>
      </c>
      <c r="O720" s="47">
        <f t="shared" si="157"/>
        <v>0.54367263013850597</v>
      </c>
      <c r="P720" s="47">
        <f t="shared" si="158"/>
        <v>-0.44</v>
      </c>
      <c r="Q720" s="47">
        <f t="shared" si="159"/>
        <v>3.96E-3</v>
      </c>
      <c r="S720" s="47">
        <f t="shared" si="160"/>
        <v>0.54367263013850597</v>
      </c>
      <c r="T720" s="47">
        <f t="shared" si="161"/>
        <v>-0.4</v>
      </c>
      <c r="U720" s="47">
        <f t="shared" si="162"/>
        <v>3.96E-3</v>
      </c>
      <c r="W720" s="47">
        <f t="shared" si="163"/>
        <v>-5.4923912059067659E-2</v>
      </c>
      <c r="X720" s="47">
        <f t="shared" si="164"/>
        <v>-4.6107522283440616E-2</v>
      </c>
      <c r="Y720" s="47">
        <f t="shared" si="165"/>
        <v>-4.947383867465549E-2</v>
      </c>
      <c r="AP720" s="48">
        <v>0.78259999999999996</v>
      </c>
      <c r="AQ720" s="48">
        <v>0.86070000000000002</v>
      </c>
      <c r="AR720" s="47">
        <f>IF(AP720="","",AP720-($AC$60+$AC$61*Volcanic!C720+$AC$62*Volcanic!D720+$AC$63*Volcanic!E720))</f>
        <v>-8.1267584397559656E-2</v>
      </c>
      <c r="AS720" s="47">
        <f>IF(AQ720="","",AQ720-($AD$60+$AD$61*Volcanic!C720+$AD$62*Volcanic!D720+$AD$63*Volcanic!E720))</f>
        <v>-3.1586661794395066E-2</v>
      </c>
    </row>
    <row r="721" spans="1:45">
      <c r="A721" s="45" t="str">
        <f>Volcanic!A721</f>
        <v>2/2018</v>
      </c>
      <c r="B721" s="43">
        <f>Volcanic!B721</f>
        <v>0.8500000000000032</v>
      </c>
      <c r="C721" s="47">
        <f>Volcanic!C721</f>
        <v>0.54497988325580371</v>
      </c>
      <c r="D721" s="41">
        <v>-0.7</v>
      </c>
      <c r="E721" s="43">
        <f t="shared" si="166"/>
        <v>-0.6</v>
      </c>
      <c r="F721" s="48">
        <v>3.8700000000000002E-3</v>
      </c>
      <c r="G721" s="47">
        <f t="shared" si="167"/>
        <v>4.0899999999999999E-3</v>
      </c>
      <c r="H721" s="43">
        <f>Volcanic!D721</f>
        <v>-0.61</v>
      </c>
      <c r="I721" s="47">
        <f>Volcanic!E721</f>
        <v>4.5700000000000003E-3</v>
      </c>
      <c r="K721" s="47">
        <f t="shared" si="154"/>
        <v>0.54497988325580371</v>
      </c>
      <c r="L721" s="47">
        <f t="shared" si="155"/>
        <v>-0.6</v>
      </c>
      <c r="M721" s="47">
        <f t="shared" si="156"/>
        <v>4.5700000000000003E-3</v>
      </c>
      <c r="O721" s="47">
        <f t="shared" si="157"/>
        <v>0.54497988325580371</v>
      </c>
      <c r="P721" s="47">
        <f t="shared" si="158"/>
        <v>-0.61</v>
      </c>
      <c r="Q721" s="47">
        <f t="shared" si="159"/>
        <v>4.0899999999999999E-3</v>
      </c>
      <c r="S721" s="47">
        <f t="shared" si="160"/>
        <v>0.54497988325580371</v>
      </c>
      <c r="T721" s="47">
        <f t="shared" si="161"/>
        <v>-0.6</v>
      </c>
      <c r="U721" s="47">
        <f t="shared" si="162"/>
        <v>4.0899999999999999E-3</v>
      </c>
      <c r="W721" s="47">
        <f t="shared" si="163"/>
        <v>-9.9804309590841855E-3</v>
      </c>
      <c r="X721" s="47">
        <f t="shared" si="164"/>
        <v>-3.3329750187327534E-3</v>
      </c>
      <c r="Y721" s="47">
        <f t="shared" si="165"/>
        <v>-3.8654217029908677E-3</v>
      </c>
      <c r="AP721" s="48">
        <v>0.85160000000000002</v>
      </c>
      <c r="AQ721" s="48">
        <v>0.90969999999999995</v>
      </c>
      <c r="AR721" s="47">
        <f>IF(AP721="","",AP721-($AC$60+$AC$61*Volcanic!C721+$AC$62*Volcanic!D721+$AC$63*Volcanic!E721))</f>
        <v>1.0300855142197918E-5</v>
      </c>
      <c r="AS721" s="47">
        <f>IF(AQ721="","",AQ721-($AD$60+$AD$61*Volcanic!C721+$AD$62*Volcanic!D721+$AD$63*Volcanic!E721))</f>
        <v>2.9929087827980094E-2</v>
      </c>
    </row>
    <row r="722" spans="1:45">
      <c r="A722" s="45" t="str">
        <f>Volcanic!A722</f>
        <v>3/2018</v>
      </c>
      <c r="B722" s="43">
        <f>Volcanic!B722</f>
        <v>0.88000000000000256</v>
      </c>
      <c r="C722" s="47">
        <f>Volcanic!C722</f>
        <v>0.54875366569081085</v>
      </c>
      <c r="D722" s="41">
        <v>-0.5</v>
      </c>
      <c r="E722" s="43">
        <f t="shared" si="166"/>
        <v>-0.8</v>
      </c>
      <c r="F722" s="48">
        <v>3.7599999999999999E-3</v>
      </c>
      <c r="G722" s="47">
        <f t="shared" si="167"/>
        <v>3.9500000000000004E-3</v>
      </c>
      <c r="H722" s="43">
        <f>Volcanic!D722</f>
        <v>-0.76</v>
      </c>
      <c r="I722" s="47">
        <f>Volcanic!E722</f>
        <v>4.6600000000000001E-3</v>
      </c>
      <c r="K722" s="47">
        <f t="shared" si="154"/>
        <v>0.54875366569081085</v>
      </c>
      <c r="L722" s="47">
        <f t="shared" si="155"/>
        <v>-0.8</v>
      </c>
      <c r="M722" s="47">
        <f t="shared" si="156"/>
        <v>4.6600000000000001E-3</v>
      </c>
      <c r="O722" s="47">
        <f t="shared" si="157"/>
        <v>0.54875366569081085</v>
      </c>
      <c r="P722" s="47">
        <f t="shared" si="158"/>
        <v>-0.76</v>
      </c>
      <c r="Q722" s="47">
        <f t="shared" si="159"/>
        <v>3.9500000000000004E-3</v>
      </c>
      <c r="S722" s="47">
        <f t="shared" si="160"/>
        <v>0.54875366569081085</v>
      </c>
      <c r="T722" s="47">
        <f t="shared" si="161"/>
        <v>-0.8</v>
      </c>
      <c r="U722" s="47">
        <f t="shared" si="162"/>
        <v>3.9500000000000004E-3</v>
      </c>
      <c r="W722" s="47">
        <f t="shared" si="163"/>
        <v>2.8500876290873278E-2</v>
      </c>
      <c r="X722" s="47">
        <f t="shared" si="164"/>
        <v>3.0188949171468415E-2</v>
      </c>
      <c r="Y722" s="47">
        <f t="shared" si="165"/>
        <v>3.4369010332058081E-2</v>
      </c>
      <c r="AP722" s="48">
        <v>0.85099999999999998</v>
      </c>
      <c r="AQ722" s="48">
        <v>0.91369999999999996</v>
      </c>
      <c r="AR722" s="47">
        <f>IF(AP722="","",AP722-($AC$60+$AC$61*Volcanic!C722+$AC$62*Volcanic!D722+$AC$63*Volcanic!E722))</f>
        <v>3.3689031973029859E-3</v>
      </c>
      <c r="AS722" s="47">
        <f>IF(AQ722="","",AQ722-($AD$60+$AD$61*Volcanic!C722+$AD$62*Volcanic!D722+$AD$63*Volcanic!E722))</f>
        <v>3.7899909392410058E-2</v>
      </c>
    </row>
    <row r="723" spans="1:45">
      <c r="A723" s="45" t="str">
        <f>Volcanic!A723</f>
        <v>4/2018</v>
      </c>
      <c r="B723" s="43">
        <f>Volcanic!B723</f>
        <v>0.88000000000000256</v>
      </c>
      <c r="C723" s="47">
        <f>Volcanic!C723</f>
        <v>0.55177966000822387</v>
      </c>
      <c r="D723" s="41">
        <v>-0.3</v>
      </c>
      <c r="E723" s="43">
        <f t="shared" si="166"/>
        <v>-0.7</v>
      </c>
      <c r="F723" s="48">
        <v>4.0800000000000003E-3</v>
      </c>
      <c r="G723" s="47">
        <f t="shared" si="167"/>
        <v>4.6600000000000001E-3</v>
      </c>
      <c r="H723" s="43">
        <f>Volcanic!D723</f>
        <v>-0.71</v>
      </c>
      <c r="I723" s="47">
        <f>Volcanic!E723</f>
        <v>7.1000000000000004E-3</v>
      </c>
      <c r="K723" s="47">
        <f t="shared" si="154"/>
        <v>0.55177966000822387</v>
      </c>
      <c r="L723" s="47">
        <f t="shared" si="155"/>
        <v>-0.7</v>
      </c>
      <c r="M723" s="47">
        <f t="shared" si="156"/>
        <v>7.1000000000000004E-3</v>
      </c>
      <c r="O723" s="47">
        <f t="shared" si="157"/>
        <v>0.55177966000822387</v>
      </c>
      <c r="P723" s="47">
        <f t="shared" si="158"/>
        <v>-0.71</v>
      </c>
      <c r="Q723" s="47">
        <f t="shared" si="159"/>
        <v>4.6600000000000001E-3</v>
      </c>
      <c r="S723" s="47">
        <f t="shared" si="160"/>
        <v>0.55177966000822387</v>
      </c>
      <c r="T723" s="47">
        <f t="shared" si="161"/>
        <v>-0.7</v>
      </c>
      <c r="U723" s="47">
        <f t="shared" si="162"/>
        <v>4.6600000000000001E-3</v>
      </c>
      <c r="W723" s="47">
        <f t="shared" si="163"/>
        <v>1.6337803735090195E-2</v>
      </c>
      <c r="X723" s="47">
        <f t="shared" si="164"/>
        <v>1.9166180073336592E-2</v>
      </c>
      <c r="Y723" s="47">
        <f t="shared" si="165"/>
        <v>1.86450426549154E-2</v>
      </c>
      <c r="AP723" s="48">
        <v>0.8861</v>
      </c>
      <c r="AQ723" s="48">
        <v>0.97370000000000001</v>
      </c>
      <c r="AR723" s="47">
        <f>IF(AP723="","",AP723-($AC$60+$AC$61*Volcanic!C723+$AC$62*Volcanic!D723+$AC$63*Volcanic!E723))</f>
        <v>3.1394972248599551E-2</v>
      </c>
      <c r="AS723" s="47">
        <f>IF(AQ723="","",AQ723-($AD$60+$AD$61*Volcanic!C723+$AD$62*Volcanic!D723+$AD$63*Volcanic!E723))</f>
        <v>9.0234675620178728E-2</v>
      </c>
    </row>
    <row r="724" spans="1:45">
      <c r="A724" s="45" t="str">
        <f>Volcanic!A724</f>
        <v>5/2018</v>
      </c>
      <c r="B724" s="43">
        <f>Volcanic!B724</f>
        <v>0.81000000000000227</v>
      </c>
      <c r="C724" s="47">
        <f>Volcanic!C724</f>
        <v>0.55525523163276624</v>
      </c>
      <c r="D724" s="41">
        <v>-0.1</v>
      </c>
      <c r="E724" s="43">
        <f t="shared" si="166"/>
        <v>-0.7</v>
      </c>
      <c r="F724" s="48">
        <v>4.2199999999999998E-3</v>
      </c>
      <c r="G724" s="47">
        <f t="shared" si="167"/>
        <v>4.6800000000000001E-3</v>
      </c>
      <c r="H724" s="43">
        <f>Volcanic!D724</f>
        <v>-0.67</v>
      </c>
      <c r="I724" s="47">
        <f>Volcanic!E724</f>
        <v>6.8500000000000002E-3</v>
      </c>
      <c r="K724" s="47">
        <f t="shared" si="154"/>
        <v>0.55525523163276624</v>
      </c>
      <c r="L724" s="47">
        <f t="shared" si="155"/>
        <v>-0.7</v>
      </c>
      <c r="M724" s="47">
        <f t="shared" si="156"/>
        <v>6.8500000000000002E-3</v>
      </c>
      <c r="O724" s="47">
        <f t="shared" si="157"/>
        <v>0.55525523163276624</v>
      </c>
      <c r="P724" s="47">
        <f t="shared" si="158"/>
        <v>-0.67</v>
      </c>
      <c r="Q724" s="47">
        <f t="shared" si="159"/>
        <v>4.6800000000000001E-3</v>
      </c>
      <c r="S724" s="47">
        <f t="shared" si="160"/>
        <v>0.55525523163276624</v>
      </c>
      <c r="T724" s="47">
        <f t="shared" si="161"/>
        <v>-0.7</v>
      </c>
      <c r="U724" s="47">
        <f t="shared" si="162"/>
        <v>4.6800000000000001E-3</v>
      </c>
      <c r="W724" s="47">
        <f t="shared" si="163"/>
        <v>-6.3691484684920585E-2</v>
      </c>
      <c r="X724" s="47">
        <f t="shared" si="164"/>
        <v>-6.3935493888180539E-2</v>
      </c>
      <c r="Y724" s="47">
        <f t="shared" si="165"/>
        <v>-6.0698070159235229E-2</v>
      </c>
      <c r="AP724" s="48">
        <v>0.77669999999999995</v>
      </c>
      <c r="AQ724" s="48">
        <v>0.8347</v>
      </c>
      <c r="AR724" s="47">
        <f>IF(AP724="","",AP724-($AC$60+$AC$61*Volcanic!C724+$AC$62*Volcanic!D724+$AC$63*Volcanic!E724))</f>
        <v>-9.1842805881218736E-2</v>
      </c>
      <c r="AS724" s="47">
        <f>IF(AQ724="","",AQ724-($AD$60+$AD$61*Volcanic!C724+$AD$62*Volcanic!D724+$AD$63*Volcanic!E724))</f>
        <v>-6.2895190033961601E-2</v>
      </c>
    </row>
    <row r="725" spans="1:45">
      <c r="A725" s="45" t="str">
        <f>Volcanic!A725</f>
        <v>6/2018</v>
      </c>
      <c r="B725" s="43">
        <f>Volcanic!B725</f>
        <v>0.77000000000000135</v>
      </c>
      <c r="C725" s="47">
        <f>Volcanic!C725</f>
        <v>0.55367646424055572</v>
      </c>
      <c r="D725" s="41">
        <v>0.1</v>
      </c>
      <c r="E725" s="43">
        <f t="shared" si="166"/>
        <v>-0.5</v>
      </c>
      <c r="F725" s="48">
        <v>4.3200000000000001E-3</v>
      </c>
      <c r="G725" s="47">
        <f t="shared" si="167"/>
        <v>4.4900000000000001E-3</v>
      </c>
      <c r="H725" s="43">
        <f>Volcanic!D725</f>
        <v>-0.55000000000000004</v>
      </c>
      <c r="I725" s="47">
        <f>Volcanic!E725</f>
        <v>6.5399999999999998E-3</v>
      </c>
      <c r="K725" s="47">
        <f t="shared" si="154"/>
        <v>0.55367646424055572</v>
      </c>
      <c r="L725" s="47">
        <f t="shared" si="155"/>
        <v>-0.5</v>
      </c>
      <c r="M725" s="47">
        <f t="shared" si="156"/>
        <v>6.5399999999999998E-3</v>
      </c>
      <c r="O725" s="47">
        <f t="shared" si="157"/>
        <v>0.55367646424055572</v>
      </c>
      <c r="P725" s="47">
        <f t="shared" si="158"/>
        <v>-0.55000000000000004</v>
      </c>
      <c r="Q725" s="47">
        <f t="shared" si="159"/>
        <v>4.4900000000000001E-3</v>
      </c>
      <c r="S725" s="47">
        <f t="shared" si="160"/>
        <v>0.55367646424055572</v>
      </c>
      <c r="T725" s="47">
        <f t="shared" si="161"/>
        <v>-0.5</v>
      </c>
      <c r="U725" s="47">
        <f t="shared" si="162"/>
        <v>4.4900000000000001E-3</v>
      </c>
      <c r="W725" s="47">
        <f t="shared" si="163"/>
        <v>-0.11864370398258561</v>
      </c>
      <c r="X725" s="47">
        <f t="shared" si="164"/>
        <v>-0.11143593686699749</v>
      </c>
      <c r="Y725" s="47">
        <f t="shared" si="165"/>
        <v>-0.11572945916871735</v>
      </c>
      <c r="AP725" s="48">
        <v>0.80210000000000004</v>
      </c>
      <c r="AQ725" s="48">
        <v>0.79069999999999996</v>
      </c>
      <c r="AR725" s="47">
        <f>IF(AP725="","",AP725-($AC$60+$AC$61*Volcanic!C725+$AC$62*Volcanic!D725+$AC$63*Volcanic!E725))</f>
        <v>-7.4115145092775059E-2</v>
      </c>
      <c r="AS725" s="47">
        <f>IF(AQ725="","",AQ725-($AD$60+$AD$61*Volcanic!C725+$AD$62*Volcanic!D725+$AD$63*Volcanic!E725))</f>
        <v>-0.11465096178090128</v>
      </c>
    </row>
    <row r="726" spans="1:45">
      <c r="A726" s="45" t="str">
        <f>Volcanic!A726</f>
        <v>7/2018</v>
      </c>
      <c r="B726" s="43">
        <f>Volcanic!B726</f>
        <v>0.83999999999999986</v>
      </c>
      <c r="C726" s="47">
        <f>Volcanic!C726</f>
        <v>0.54632123569403679</v>
      </c>
      <c r="D726" s="41">
        <v>0.2</v>
      </c>
      <c r="E726" s="43">
        <f t="shared" si="166"/>
        <v>-0.3</v>
      </c>
      <c r="F726" s="48">
        <v>4.79E-3</v>
      </c>
      <c r="G726" s="47">
        <f t="shared" si="167"/>
        <v>4.2500000000000003E-3</v>
      </c>
      <c r="H726" s="43">
        <f>Volcanic!D726</f>
        <v>-0.35</v>
      </c>
      <c r="I726" s="47">
        <f>Volcanic!E726</f>
        <v>6.2100000000000002E-3</v>
      </c>
      <c r="K726" s="47">
        <f t="shared" si="154"/>
        <v>0.54632123569403679</v>
      </c>
      <c r="L726" s="47">
        <f t="shared" si="155"/>
        <v>-0.3</v>
      </c>
      <c r="M726" s="47">
        <f t="shared" si="156"/>
        <v>6.2100000000000002E-3</v>
      </c>
      <c r="O726" s="47">
        <f t="shared" si="157"/>
        <v>0.54632123569403679</v>
      </c>
      <c r="P726" s="47">
        <f t="shared" si="158"/>
        <v>-0.35</v>
      </c>
      <c r="Q726" s="47">
        <f t="shared" si="159"/>
        <v>4.2500000000000003E-3</v>
      </c>
      <c r="S726" s="47">
        <f t="shared" si="160"/>
        <v>0.54632123569403679</v>
      </c>
      <c r="T726" s="47">
        <f t="shared" si="161"/>
        <v>-0.3</v>
      </c>
      <c r="U726" s="47">
        <f t="shared" si="162"/>
        <v>4.2500000000000003E-3</v>
      </c>
      <c r="W726" s="47">
        <f t="shared" si="163"/>
        <v>-4.7886714407684439E-2</v>
      </c>
      <c r="X726" s="47">
        <f t="shared" si="164"/>
        <v>-4.0964794426652573E-2</v>
      </c>
      <c r="Y726" s="47">
        <f t="shared" si="165"/>
        <v>-4.5276270859056944E-2</v>
      </c>
      <c r="AP726" s="48">
        <v>0.79959999999999998</v>
      </c>
      <c r="AQ726" s="48">
        <v>0.79269999999999996</v>
      </c>
      <c r="AR726" s="47">
        <f>IF(AP726="","",AP726-($AC$60+$AC$61*Volcanic!C726+$AC$62*Volcanic!D726+$AC$63*Volcanic!E726))</f>
        <v>-7.6053964820738895E-2</v>
      </c>
      <c r="AS726" s="47">
        <f>IF(AQ726="","",AQ726-($AD$60+$AD$61*Volcanic!C726+$AD$62*Volcanic!D726+$AD$63*Volcanic!E726))</f>
        <v>-0.1119184387021519</v>
      </c>
    </row>
    <row r="727" spans="1:45">
      <c r="A727" s="45" t="str">
        <f>Volcanic!A727</f>
        <v>8/2018</v>
      </c>
      <c r="B727" s="43">
        <f>Volcanic!B727</f>
        <v>0.77999999999999758</v>
      </c>
      <c r="C727" s="47">
        <f>Volcanic!C727</f>
        <v>0.54016900871244178</v>
      </c>
      <c r="D727" s="41">
        <v>0.3</v>
      </c>
      <c r="E727" s="43">
        <f t="shared" si="166"/>
        <v>-0.1</v>
      </c>
      <c r="F727" s="48">
        <v>5.3400000000000001E-3</v>
      </c>
      <c r="G727" s="47">
        <f t="shared" si="167"/>
        <v>4.0800000000000003E-3</v>
      </c>
      <c r="H727" s="43">
        <f>Volcanic!D727</f>
        <v>-7.0000000000000007E-2</v>
      </c>
      <c r="I727" s="47">
        <f>Volcanic!E727</f>
        <v>5.8700000000000002E-3</v>
      </c>
      <c r="K727" s="47">
        <f t="shared" si="154"/>
        <v>0.54016900871244178</v>
      </c>
      <c r="L727" s="47">
        <f t="shared" si="155"/>
        <v>-0.1</v>
      </c>
      <c r="M727" s="47">
        <f t="shared" si="156"/>
        <v>5.8700000000000002E-3</v>
      </c>
      <c r="O727" s="47">
        <f t="shared" si="157"/>
        <v>0.54016900871244178</v>
      </c>
      <c r="P727" s="47">
        <f t="shared" si="158"/>
        <v>-7.0000000000000007E-2</v>
      </c>
      <c r="Q727" s="47">
        <f t="shared" si="159"/>
        <v>4.0800000000000003E-3</v>
      </c>
      <c r="S727" s="47">
        <f t="shared" si="160"/>
        <v>0.54016900871244178</v>
      </c>
      <c r="T727" s="47">
        <f t="shared" si="161"/>
        <v>-0.1</v>
      </c>
      <c r="U727" s="47">
        <f t="shared" si="162"/>
        <v>4.0800000000000003E-3</v>
      </c>
      <c r="W727" s="47">
        <f t="shared" si="163"/>
        <v>-0.11043252649562307</v>
      </c>
      <c r="X727" s="47">
        <f t="shared" si="164"/>
        <v>-0.11107806352496952</v>
      </c>
      <c r="Y727" s="47">
        <f t="shared" si="165"/>
        <v>-0.10789201944072269</v>
      </c>
      <c r="AP727" s="48">
        <v>0.80879999999999996</v>
      </c>
      <c r="AQ727" s="48">
        <v>0.81569999999999998</v>
      </c>
      <c r="AR727" s="47">
        <f>IF(AP727="","",AP727-($AC$60+$AC$61*Volcanic!C727+$AC$62*Volcanic!D727+$AC$63*Volcanic!E727))</f>
        <v>-7.7093380458826521E-2</v>
      </c>
      <c r="AS727" s="47">
        <f>IF(AQ727="","",AQ727-($AD$60+$AD$61*Volcanic!C727+$AD$62*Volcanic!D727+$AD$63*Volcanic!E727))</f>
        <v>-9.9223443991529381E-2</v>
      </c>
    </row>
    <row r="728" spans="1:45">
      <c r="A728" s="45" t="str">
        <f>Volcanic!A728</f>
        <v>9/2018</v>
      </c>
      <c r="B728" s="43">
        <f>Volcanic!B728</f>
        <v>0.79999999999999893</v>
      </c>
      <c r="C728" s="47">
        <f>Volcanic!C728</f>
        <v>0.53502203557263439</v>
      </c>
      <c r="D728" s="41">
        <v>0.5</v>
      </c>
      <c r="E728" s="43">
        <f t="shared" si="166"/>
        <v>0.1</v>
      </c>
      <c r="F728" s="48">
        <v>6.5500000000000003E-3</v>
      </c>
      <c r="G728" s="47">
        <f t="shared" si="167"/>
        <v>3.8700000000000002E-3</v>
      </c>
      <c r="H728" s="43">
        <f>Volcanic!D728</f>
        <v>0.13</v>
      </c>
      <c r="I728" s="47">
        <f>Volcanic!E728</f>
        <v>5.6899999999999997E-3</v>
      </c>
      <c r="K728" s="47">
        <f t="shared" si="154"/>
        <v>0.53502203557263439</v>
      </c>
      <c r="L728" s="47">
        <f t="shared" si="155"/>
        <v>0.1</v>
      </c>
      <c r="M728" s="47">
        <f t="shared" si="156"/>
        <v>5.6899999999999997E-3</v>
      </c>
      <c r="O728" s="47">
        <f t="shared" si="157"/>
        <v>0.53502203557263439</v>
      </c>
      <c r="P728" s="47">
        <f t="shared" si="158"/>
        <v>0.13</v>
      </c>
      <c r="Q728" s="47">
        <f t="shared" si="159"/>
        <v>3.8700000000000002E-3</v>
      </c>
      <c r="S728" s="47">
        <f t="shared" si="160"/>
        <v>0.53502203557263439</v>
      </c>
      <c r="T728" s="47">
        <f t="shared" si="161"/>
        <v>0.1</v>
      </c>
      <c r="U728" s="47">
        <f t="shared" si="162"/>
        <v>3.8700000000000002E-3</v>
      </c>
      <c r="W728" s="47">
        <f t="shared" si="163"/>
        <v>-9.5367253174377664E-2</v>
      </c>
      <c r="X728" s="47">
        <f t="shared" si="164"/>
        <v>-9.6498730951422362E-2</v>
      </c>
      <c r="Y728" s="47">
        <f t="shared" si="165"/>
        <v>-9.3329880030526113E-2</v>
      </c>
      <c r="AP728" s="48">
        <v>0.75190000000000001</v>
      </c>
      <c r="AQ728" s="48">
        <v>0.79469999999999996</v>
      </c>
      <c r="AR728" s="47">
        <f>IF(AP728="","",AP728-($AC$60+$AC$61*Volcanic!C728+$AC$62*Volcanic!D728+$AC$63*Volcanic!E728))</f>
        <v>-0.13910115023279013</v>
      </c>
      <c r="AS728" s="47">
        <f>IF(AQ728="","",AQ728-($AD$60+$AD$61*Volcanic!C728+$AD$62*Volcanic!D728+$AD$63*Volcanic!E728))</f>
        <v>-0.12533245415856442</v>
      </c>
    </row>
    <row r="729" spans="1:45">
      <c r="A729" s="45" t="str">
        <f>Volcanic!A729</f>
        <v>10/2018</v>
      </c>
      <c r="B729" s="43">
        <f>Volcanic!B729</f>
        <v>1.0200000000000014</v>
      </c>
      <c r="C729" s="47">
        <f>Volcanic!C729</f>
        <v>0.53672789516201203</v>
      </c>
      <c r="D729" s="41">
        <v>0.8</v>
      </c>
      <c r="E729" s="43">
        <f t="shared" si="166"/>
        <v>0.2</v>
      </c>
      <c r="F729" s="48">
        <v>6.6100000000000004E-3</v>
      </c>
      <c r="G729" s="47">
        <f t="shared" si="167"/>
        <v>3.7599999999999999E-3</v>
      </c>
      <c r="H729" s="43">
        <f>Volcanic!D729</f>
        <v>0.2</v>
      </c>
      <c r="I729" s="47">
        <f>Volcanic!E729</f>
        <v>5.3800000000000002E-3</v>
      </c>
      <c r="K729" s="47">
        <f t="shared" si="154"/>
        <v>0.53672789516201203</v>
      </c>
      <c r="L729" s="47">
        <f t="shared" si="155"/>
        <v>0.2</v>
      </c>
      <c r="M729" s="47">
        <f t="shared" si="156"/>
        <v>5.3800000000000002E-3</v>
      </c>
      <c r="O729" s="47">
        <f t="shared" si="157"/>
        <v>0.53672789516201203</v>
      </c>
      <c r="P729" s="47">
        <f t="shared" si="158"/>
        <v>0.2</v>
      </c>
      <c r="Q729" s="47">
        <f t="shared" si="159"/>
        <v>3.7599999999999999E-3</v>
      </c>
      <c r="S729" s="47">
        <f t="shared" si="160"/>
        <v>0.53672789516201203</v>
      </c>
      <c r="T729" s="47">
        <f t="shared" si="161"/>
        <v>0.2</v>
      </c>
      <c r="U729" s="47">
        <f t="shared" si="162"/>
        <v>3.7599999999999999E-3</v>
      </c>
      <c r="W729" s="47">
        <f t="shared" si="163"/>
        <v>0.11001018663043294</v>
      </c>
      <c r="X729" s="47">
        <f t="shared" si="164"/>
        <v>0.11202640766792016</v>
      </c>
      <c r="Y729" s="47">
        <f t="shared" si="165"/>
        <v>0.11236985655404952</v>
      </c>
      <c r="AP729" s="48">
        <v>0.9335</v>
      </c>
      <c r="AQ729" s="48">
        <v>0.99570000000000003</v>
      </c>
      <c r="AR729" s="47">
        <f>IF(AP729="","",AP729-($AC$60+$AC$61*Volcanic!C729+$AC$62*Volcanic!D729+$AC$63*Volcanic!E729))</f>
        <v>3.0539736592498645E-2</v>
      </c>
      <c r="AS729" s="47">
        <f>IF(AQ729="","",AQ729-($AD$60+$AD$61*Volcanic!C729+$AD$62*Volcanic!D729+$AD$63*Volcanic!E729))</f>
        <v>6.3490102595889941E-2</v>
      </c>
    </row>
    <row r="730" spans="1:45">
      <c r="A730" s="45" t="str">
        <f>Volcanic!A730</f>
        <v>11/2018</v>
      </c>
      <c r="B730" s="43">
        <f>Volcanic!B730</f>
        <v>0.83000000000000362</v>
      </c>
      <c r="C730" s="47">
        <f>Volcanic!C730</f>
        <v>0.54388469761513192</v>
      </c>
      <c r="D730" s="41">
        <v>1</v>
      </c>
      <c r="E730" s="43">
        <f t="shared" si="166"/>
        <v>0.3</v>
      </c>
      <c r="F730" s="48">
        <v>6.4799999999999996E-3</v>
      </c>
      <c r="G730" s="47">
        <f t="shared" si="167"/>
        <v>4.0800000000000003E-3</v>
      </c>
      <c r="H730" s="43">
        <f>Volcanic!D730</f>
        <v>0.3</v>
      </c>
      <c r="I730" s="47">
        <f>Volcanic!E730</f>
        <v>5.2100000000000002E-3</v>
      </c>
      <c r="K730" s="47">
        <f t="shared" si="154"/>
        <v>0.54388469761513192</v>
      </c>
      <c r="L730" s="47">
        <f t="shared" si="155"/>
        <v>0.3</v>
      </c>
      <c r="M730" s="47">
        <f t="shared" si="156"/>
        <v>5.2100000000000002E-3</v>
      </c>
      <c r="O730" s="47">
        <f t="shared" si="157"/>
        <v>0.54388469761513192</v>
      </c>
      <c r="P730" s="47">
        <f t="shared" si="158"/>
        <v>0.3</v>
      </c>
      <c r="Q730" s="47">
        <f t="shared" si="159"/>
        <v>4.0800000000000003E-3</v>
      </c>
      <c r="S730" s="47">
        <f t="shared" si="160"/>
        <v>0.54388469761513192</v>
      </c>
      <c r="T730" s="47">
        <f t="shared" si="161"/>
        <v>0.3</v>
      </c>
      <c r="U730" s="47">
        <f t="shared" si="162"/>
        <v>4.0800000000000003E-3</v>
      </c>
      <c r="W730" s="47">
        <f t="shared" si="163"/>
        <v>-0.10916942203991564</v>
      </c>
      <c r="X730" s="47">
        <f t="shared" si="164"/>
        <v>-0.10588010916447754</v>
      </c>
      <c r="Y730" s="47">
        <f t="shared" si="165"/>
        <v>-0.10554100126012134</v>
      </c>
      <c r="AP730" s="48">
        <v>0.80730000000000002</v>
      </c>
      <c r="AQ730" s="48">
        <v>0.80369999999999997</v>
      </c>
      <c r="AR730" s="47">
        <f>IF(AP730="","",AP730-($AC$60+$AC$61*Volcanic!C730+$AC$62*Volcanic!D730+$AC$63*Volcanic!E730))</f>
        <v>-0.12497625028535198</v>
      </c>
      <c r="AS730" s="47">
        <f>IF(AQ730="","",AQ730-($AD$60+$AD$61*Volcanic!C730+$AD$62*Volcanic!D730+$AD$63*Volcanic!E730))</f>
        <v>-0.1585011272505944</v>
      </c>
    </row>
    <row r="731" spans="1:45">
      <c r="A731" s="45" t="str">
        <f>Volcanic!A731</f>
        <v>12/2018</v>
      </c>
      <c r="B731" s="43">
        <f>Volcanic!B731</f>
        <v>0.92999999999999794</v>
      </c>
      <c r="C731" s="47">
        <f>Volcanic!C731</f>
        <v>0.54762609214567415</v>
      </c>
      <c r="D731" s="41">
        <v>1.1000000000000001</v>
      </c>
      <c r="E731" s="43">
        <f t="shared" si="166"/>
        <v>0.5</v>
      </c>
      <c r="F731" s="48">
        <v>6.2899999999999996E-3</v>
      </c>
      <c r="G731" s="47">
        <f t="shared" si="167"/>
        <v>4.2199999999999998E-3</v>
      </c>
      <c r="H731" s="43">
        <f>Volcanic!D731</f>
        <v>0.52</v>
      </c>
      <c r="I731" s="47">
        <f>Volcanic!E731</f>
        <v>5.3299999999999997E-3</v>
      </c>
      <c r="K731" s="47">
        <f t="shared" si="154"/>
        <v>0.54762609214567415</v>
      </c>
      <c r="L731" s="47">
        <f t="shared" si="155"/>
        <v>0.5</v>
      </c>
      <c r="M731" s="47">
        <f t="shared" si="156"/>
        <v>5.3299999999999997E-3</v>
      </c>
      <c r="O731" s="47">
        <f t="shared" si="157"/>
        <v>0.54762609214567415</v>
      </c>
      <c r="P731" s="47">
        <f t="shared" si="158"/>
        <v>0.52</v>
      </c>
      <c r="Q731" s="47">
        <f t="shared" si="159"/>
        <v>4.2199999999999998E-3</v>
      </c>
      <c r="S731" s="47">
        <f t="shared" si="160"/>
        <v>0.54762609214567415</v>
      </c>
      <c r="T731" s="47">
        <f t="shared" si="161"/>
        <v>0.5</v>
      </c>
      <c r="U731" s="47">
        <f t="shared" si="162"/>
        <v>4.2199999999999998E-3</v>
      </c>
      <c r="W731" s="47">
        <f t="shared" si="163"/>
        <v>-3.768300823604176E-2</v>
      </c>
      <c r="X731" s="47">
        <f t="shared" si="164"/>
        <v>-3.629543910954236E-2</v>
      </c>
      <c r="Y731" s="47">
        <f t="shared" si="165"/>
        <v>-3.409103113758305E-2</v>
      </c>
      <c r="AP731" s="48">
        <v>0.89090000000000003</v>
      </c>
      <c r="AQ731" s="48">
        <v>0.9607</v>
      </c>
      <c r="AR731" s="47">
        <f>IF(AP731="","",AP731-($AC$60+$AC$61*Volcanic!C731+$AC$62*Volcanic!D731+$AC$63*Volcanic!E731))</f>
        <v>-7.1905710706475445E-2</v>
      </c>
      <c r="AS731" s="47">
        <f>IF(AQ731="","",AQ731-($AD$60+$AD$61*Volcanic!C731+$AD$62*Volcanic!D731+$AD$63*Volcanic!E731))</f>
        <v>-3.2729682104337132E-2</v>
      </c>
    </row>
    <row r="732" spans="1:45">
      <c r="A732" s="45" t="str">
        <f>Volcanic!A732</f>
        <v>1/2019</v>
      </c>
      <c r="B732" s="43">
        <f>Volcanic!B732</f>
        <v>0.92999999999999794</v>
      </c>
      <c r="C732" s="47">
        <f>Volcanic!C732</f>
        <v>0.55381686910097527</v>
      </c>
      <c r="D732" s="41">
        <v>1</v>
      </c>
      <c r="E732" s="43">
        <f t="shared" si="166"/>
        <v>0.8</v>
      </c>
      <c r="F732" s="48">
        <v>5.8599999999999998E-3</v>
      </c>
      <c r="G732" s="47">
        <f t="shared" si="167"/>
        <v>4.3200000000000001E-3</v>
      </c>
      <c r="H732" s="43">
        <f>Volcanic!D732</f>
        <v>0.82</v>
      </c>
      <c r="I732" s="47">
        <f>Volcanic!E732</f>
        <v>5.13E-3</v>
      </c>
      <c r="K732" s="47">
        <f t="shared" si="154"/>
        <v>0.55381686910097527</v>
      </c>
      <c r="L732" s="47">
        <f t="shared" si="155"/>
        <v>0.8</v>
      </c>
      <c r="M732" s="47">
        <f t="shared" si="156"/>
        <v>5.13E-3</v>
      </c>
      <c r="O732" s="47">
        <f t="shared" si="157"/>
        <v>0.55381686910097527</v>
      </c>
      <c r="P732" s="47">
        <f t="shared" si="158"/>
        <v>0.82</v>
      </c>
      <c r="Q732" s="47">
        <f t="shared" si="159"/>
        <v>4.3200000000000001E-3</v>
      </c>
      <c r="S732" s="47">
        <f t="shared" si="160"/>
        <v>0.55381686910097527</v>
      </c>
      <c r="T732" s="47">
        <f t="shared" si="161"/>
        <v>0.8</v>
      </c>
      <c r="U732" s="47">
        <f t="shared" si="162"/>
        <v>4.3200000000000001E-3</v>
      </c>
      <c r="W732" s="47">
        <f t="shared" si="163"/>
        <v>-8.2868888607553259E-2</v>
      </c>
      <c r="X732" s="47">
        <f t="shared" si="164"/>
        <v>-8.095227216912404E-2</v>
      </c>
      <c r="Y732" s="47">
        <f t="shared" si="165"/>
        <v>-7.8768163480406717E-2</v>
      </c>
      <c r="AP732" s="48">
        <v>0.88849999999999996</v>
      </c>
      <c r="AQ732" s="48">
        <v>0.93869999999999998</v>
      </c>
      <c r="AR732" s="47">
        <f>IF(AP732="","",AP732-($AC$60+$AC$61*Volcanic!C732+$AC$62*Volcanic!D732+$AC$63*Volcanic!E732))</f>
        <v>-0.11978506678993484</v>
      </c>
      <c r="AS732" s="47">
        <f>IF(AQ732="","",AQ732-($AD$60+$AD$61*Volcanic!C732+$AD$62*Volcanic!D732+$AD$63*Volcanic!E732))</f>
        <v>-0.10119675480659096</v>
      </c>
    </row>
    <row r="733" spans="1:45">
      <c r="A733" s="45" t="str">
        <f>Volcanic!A733</f>
        <v>2/2019</v>
      </c>
      <c r="B733" s="43">
        <f>Volcanic!B733</f>
        <v>0.95999999999999908</v>
      </c>
      <c r="C733" s="47">
        <f>Volcanic!C733</f>
        <v>0.55707743595872172</v>
      </c>
      <c r="D733" s="41">
        <v>0.9</v>
      </c>
      <c r="E733" s="43">
        <f t="shared" si="166"/>
        <v>1</v>
      </c>
      <c r="F733" s="48">
        <v>5.4900000000000001E-3</v>
      </c>
      <c r="G733" s="47">
        <f t="shared" si="167"/>
        <v>4.79E-3</v>
      </c>
      <c r="H733" s="43">
        <f>Volcanic!D733</f>
        <v>1.04</v>
      </c>
      <c r="I733" s="47">
        <f>Volcanic!E733</f>
        <v>5.0299999999999997E-3</v>
      </c>
      <c r="K733" s="47">
        <f t="shared" si="154"/>
        <v>0.55707743595872172</v>
      </c>
      <c r="L733" s="47">
        <f t="shared" si="155"/>
        <v>1</v>
      </c>
      <c r="M733" s="47">
        <f t="shared" si="156"/>
        <v>5.0299999999999997E-3</v>
      </c>
      <c r="O733" s="47">
        <f t="shared" si="157"/>
        <v>0.55707743595872172</v>
      </c>
      <c r="P733" s="47">
        <f t="shared" si="158"/>
        <v>1.04</v>
      </c>
      <c r="Q733" s="47">
        <f t="shared" si="159"/>
        <v>4.79E-3</v>
      </c>
      <c r="S733" s="47">
        <f t="shared" si="160"/>
        <v>0.55707743595872172</v>
      </c>
      <c r="T733" s="47">
        <f t="shared" si="161"/>
        <v>1</v>
      </c>
      <c r="U733" s="47">
        <f t="shared" si="162"/>
        <v>4.79E-3</v>
      </c>
      <c r="W733" s="47">
        <f t="shared" si="163"/>
        <v>-8.0555960844142183E-2</v>
      </c>
      <c r="X733" s="47">
        <f t="shared" si="164"/>
        <v>-7.9205438390500982E-2</v>
      </c>
      <c r="Y733" s="47">
        <f t="shared" si="165"/>
        <v>-7.5155158032263358E-2</v>
      </c>
      <c r="AP733" s="48">
        <v>0.90980000000000005</v>
      </c>
      <c r="AQ733" s="48">
        <v>0.97570000000000001</v>
      </c>
      <c r="AR733" s="47">
        <f>IF(AP733="","",AP733-($AC$60+$AC$61*Volcanic!C733+$AC$62*Volcanic!D733+$AC$63*Volcanic!E733))</f>
        <v>-0.12823093933774332</v>
      </c>
      <c r="AS733" s="47">
        <f>IF(AQ733="","",AQ733-($AD$60+$AD$61*Volcanic!C733+$AD$62*Volcanic!D733+$AD$63*Volcanic!E733))</f>
        <v>-9.4582441198365785E-2</v>
      </c>
    </row>
    <row r="734" spans="1:45">
      <c r="A734" s="45" t="str">
        <f>Volcanic!A734</f>
        <v>3/2019</v>
      </c>
      <c r="B734" s="43">
        <f>Volcanic!B734</f>
        <v>1.1699999999999964</v>
      </c>
      <c r="C734" s="47">
        <f>Volcanic!C734</f>
        <v>0.55784767624929055</v>
      </c>
      <c r="D734" s="41">
        <v>0.9</v>
      </c>
      <c r="E734" s="43">
        <f t="shared" si="166"/>
        <v>1.1000000000000001</v>
      </c>
      <c r="F734" s="48">
        <v>5.1500000000000001E-3</v>
      </c>
      <c r="G734" s="47">
        <f t="shared" si="167"/>
        <v>5.3400000000000001E-3</v>
      </c>
      <c r="H734" s="43">
        <f>Volcanic!D734</f>
        <v>1.05</v>
      </c>
      <c r="I734" s="47">
        <f>Volcanic!E734</f>
        <v>6.3499999999999997E-3</v>
      </c>
      <c r="K734" s="47">
        <f t="shared" si="154"/>
        <v>0.55784767624929055</v>
      </c>
      <c r="L734" s="47">
        <f t="shared" si="155"/>
        <v>1.1000000000000001</v>
      </c>
      <c r="M734" s="47">
        <f t="shared" si="156"/>
        <v>6.3499999999999997E-3</v>
      </c>
      <c r="O734" s="47">
        <f t="shared" si="157"/>
        <v>0.55784767624929055</v>
      </c>
      <c r="P734" s="47">
        <f t="shared" si="158"/>
        <v>1.05</v>
      </c>
      <c r="Q734" s="47">
        <f t="shared" si="159"/>
        <v>5.3400000000000001E-3</v>
      </c>
      <c r="S734" s="47">
        <f t="shared" si="160"/>
        <v>0.55784767624929055</v>
      </c>
      <c r="T734" s="47">
        <f t="shared" si="161"/>
        <v>1.1000000000000001</v>
      </c>
      <c r="U734" s="47">
        <f t="shared" si="162"/>
        <v>5.3400000000000001E-3</v>
      </c>
      <c r="W734" s="47">
        <f t="shared" si="163"/>
        <v>0.12096479946646133</v>
      </c>
      <c r="X734" s="47">
        <f t="shared" si="164"/>
        <v>0.12920980820164929</v>
      </c>
      <c r="Y734" s="47">
        <f t="shared" si="165"/>
        <v>0.12480026658200805</v>
      </c>
      <c r="AP734" s="48">
        <v>1.1523000000000001</v>
      </c>
      <c r="AQ734" s="48">
        <v>1.2017</v>
      </c>
      <c r="AR734" s="47">
        <f>IF(AP734="","",AP734-($AC$60+$AC$61*Volcanic!C734+$AC$62*Volcanic!D734+$AC$63*Volcanic!E734))</f>
        <v>0.11440556965060011</v>
      </c>
      <c r="AS734" s="47">
        <f>IF(AQ734="","",AQ734-($AD$60+$AD$61*Volcanic!C734+$AD$62*Volcanic!D734+$AD$63*Volcanic!E734))</f>
        <v>0.13132782480718674</v>
      </c>
    </row>
    <row r="735" spans="1:45">
      <c r="A735" s="45" t="str">
        <f>Volcanic!A735</f>
        <v>4/2019</v>
      </c>
      <c r="B735" s="43">
        <f>Volcanic!B735</f>
        <v>1.0099999999999998</v>
      </c>
      <c r="C735" s="47">
        <f>Volcanic!C735</f>
        <v>0.56260005485176923</v>
      </c>
      <c r="D735" s="41">
        <v>0.8</v>
      </c>
      <c r="E735" s="43">
        <f t="shared" si="166"/>
        <v>1</v>
      </c>
      <c r="F735" s="48">
        <v>4.9899999999999996E-3</v>
      </c>
      <c r="G735" s="47">
        <f t="shared" si="167"/>
        <v>6.5500000000000003E-3</v>
      </c>
      <c r="H735" s="43">
        <f>Volcanic!D735</f>
        <v>0.99</v>
      </c>
      <c r="I735" s="47">
        <f>Volcanic!E735</f>
        <v>8.0000000000000002E-3</v>
      </c>
      <c r="K735" s="47">
        <f t="shared" si="154"/>
        <v>0.56260005485176923</v>
      </c>
      <c r="L735" s="47">
        <f t="shared" si="155"/>
        <v>1</v>
      </c>
      <c r="M735" s="47">
        <f t="shared" si="156"/>
        <v>8.0000000000000002E-3</v>
      </c>
      <c r="O735" s="47">
        <f t="shared" si="157"/>
        <v>0.56260005485176923</v>
      </c>
      <c r="P735" s="47">
        <f t="shared" si="158"/>
        <v>0.99</v>
      </c>
      <c r="Q735" s="47">
        <f t="shared" si="159"/>
        <v>6.5500000000000003E-3</v>
      </c>
      <c r="S735" s="47">
        <f t="shared" si="160"/>
        <v>0.56260005485176923</v>
      </c>
      <c r="T735" s="47">
        <f t="shared" si="161"/>
        <v>1</v>
      </c>
      <c r="U735" s="47">
        <f t="shared" si="162"/>
        <v>6.5500000000000003E-3</v>
      </c>
      <c r="W735" s="47">
        <f t="shared" si="163"/>
        <v>-3.9072504816419995E-2</v>
      </c>
      <c r="X735" s="47">
        <f t="shared" si="164"/>
        <v>-3.4841020461790384E-2</v>
      </c>
      <c r="Y735" s="47">
        <f t="shared" si="165"/>
        <v>-3.5480452588856126E-2</v>
      </c>
      <c r="AP735" s="48">
        <v>1.0004</v>
      </c>
      <c r="AQ735" s="48">
        <v>1.0956999999999999</v>
      </c>
      <c r="AR735" s="47">
        <f>IF(AP735="","",AP735-($AC$60+$AC$61*Volcanic!C735+$AC$62*Volcanic!D735+$AC$63*Volcanic!E735))</f>
        <v>-4.0882377291570737E-2</v>
      </c>
      <c r="AS735" s="47">
        <f>IF(AQ735="","",AQ735-($AD$60+$AD$61*Volcanic!C735+$AD$62*Volcanic!D735+$AD$63*Volcanic!E735))</f>
        <v>2.1529868910211247E-2</v>
      </c>
    </row>
    <row r="736" spans="1:45">
      <c r="A736" s="45" t="str">
        <f>Volcanic!A736</f>
        <v>5/2019</v>
      </c>
      <c r="B736" s="43">
        <f>Volcanic!B736</f>
        <v>0.86000000000000121</v>
      </c>
      <c r="C736" s="47">
        <f>Volcanic!C736</f>
        <v>0.5671977348752254</v>
      </c>
      <c r="D736" s="41">
        <v>0.7</v>
      </c>
      <c r="E736" s="43">
        <f t="shared" si="166"/>
        <v>0.9</v>
      </c>
      <c r="F736" s="48">
        <v>4.8999999999999998E-3</v>
      </c>
      <c r="G736" s="47">
        <f t="shared" si="167"/>
        <v>6.6100000000000004E-3</v>
      </c>
      <c r="H736" s="43">
        <f>Volcanic!D736</f>
        <v>0.94</v>
      </c>
      <c r="I736" s="47">
        <f>Volcanic!E736</f>
        <v>8.5100000000000002E-3</v>
      </c>
      <c r="K736" s="47">
        <f t="shared" si="154"/>
        <v>0.5671977348752254</v>
      </c>
      <c r="L736" s="47">
        <f t="shared" si="155"/>
        <v>0.9</v>
      </c>
      <c r="M736" s="47">
        <f t="shared" si="156"/>
        <v>8.5100000000000002E-3</v>
      </c>
      <c r="O736" s="47">
        <f t="shared" si="157"/>
        <v>0.5671977348752254</v>
      </c>
      <c r="P736" s="47">
        <f t="shared" si="158"/>
        <v>0.94</v>
      </c>
      <c r="Q736" s="47">
        <f t="shared" si="159"/>
        <v>6.6100000000000004E-3</v>
      </c>
      <c r="S736" s="47">
        <f t="shared" si="160"/>
        <v>0.5671977348752254</v>
      </c>
      <c r="T736" s="47">
        <f t="shared" si="161"/>
        <v>0.9</v>
      </c>
      <c r="U736" s="47">
        <f t="shared" si="162"/>
        <v>6.6100000000000004E-3</v>
      </c>
      <c r="W736" s="47">
        <f t="shared" si="163"/>
        <v>-0.19119994131143492</v>
      </c>
      <c r="X736" s="47">
        <f t="shared" si="164"/>
        <v>-0.19241763623456909</v>
      </c>
      <c r="Y736" s="47">
        <f t="shared" si="165"/>
        <v>-0.18835118851551669</v>
      </c>
      <c r="AP736" s="48">
        <v>0.85189999999999999</v>
      </c>
      <c r="AQ736" s="48">
        <v>0.91169999999999995</v>
      </c>
      <c r="AR736" s="47">
        <f>IF(AP736="","",AP736-($AC$60+$AC$61*Volcanic!C736+$AC$62*Volcanic!D736+$AC$63*Volcanic!E736))</f>
        <v>-0.19602742237544646</v>
      </c>
      <c r="AS736" s="47">
        <f>IF(AQ736="","",AQ736-($AD$60+$AD$61*Volcanic!C736+$AD$62*Volcanic!D736+$AD$63*Volcanic!E736))</f>
        <v>-0.16940144187103701</v>
      </c>
    </row>
    <row r="737" spans="1:45">
      <c r="A737" s="45" t="str">
        <f>Volcanic!A737</f>
        <v>6/2019</v>
      </c>
      <c r="B737" s="43">
        <f>Volcanic!B737</f>
        <v>0.89999999999999858</v>
      </c>
      <c r="C737" s="47">
        <f>Volcanic!C737</f>
        <v>0.56472656147689648</v>
      </c>
      <c r="D737" s="41">
        <v>0.6</v>
      </c>
      <c r="E737" s="43">
        <f t="shared" si="166"/>
        <v>0.9</v>
      </c>
      <c r="F737" s="48">
        <v>4.9399999999999999E-3</v>
      </c>
      <c r="G737" s="47">
        <f t="shared" si="167"/>
        <v>6.4799999999999996E-3</v>
      </c>
      <c r="H737" s="43">
        <f>Volcanic!D737</f>
        <v>0.87</v>
      </c>
      <c r="I737" s="47">
        <f>Volcanic!E737</f>
        <v>8.6099999999999996E-3</v>
      </c>
      <c r="K737" s="47">
        <f t="shared" si="154"/>
        <v>0.56472656147689648</v>
      </c>
      <c r="L737" s="47">
        <f t="shared" si="155"/>
        <v>0.9</v>
      </c>
      <c r="M737" s="47">
        <f t="shared" si="156"/>
        <v>8.6099999999999996E-3</v>
      </c>
      <c r="O737" s="47">
        <f t="shared" si="157"/>
        <v>0.56472656147689648</v>
      </c>
      <c r="P737" s="47">
        <f t="shared" si="158"/>
        <v>0.87</v>
      </c>
      <c r="Q737" s="47">
        <f t="shared" si="159"/>
        <v>6.4799999999999996E-3</v>
      </c>
      <c r="S737" s="47">
        <f t="shared" si="160"/>
        <v>0.56472656147689648</v>
      </c>
      <c r="T737" s="47">
        <f t="shared" si="161"/>
        <v>0.9</v>
      </c>
      <c r="U737" s="47">
        <f t="shared" si="162"/>
        <v>6.4799999999999996E-3</v>
      </c>
      <c r="W737" s="47">
        <f t="shared" si="163"/>
        <v>-0.14424032684823906</v>
      </c>
      <c r="X737" s="47">
        <f t="shared" si="164"/>
        <v>-0.13950074922385647</v>
      </c>
      <c r="Y737" s="47">
        <f t="shared" si="165"/>
        <v>-0.14201098316205707</v>
      </c>
      <c r="AP737" s="48">
        <v>0.88319999999999999</v>
      </c>
      <c r="AQ737" s="48">
        <v>0.87070000000000003</v>
      </c>
      <c r="AR737" s="47">
        <f>IF(AP737="","",AP737-($AC$60+$AC$61*Volcanic!C737+$AC$62*Volcanic!D737+$AC$63*Volcanic!E737))</f>
        <v>-0.15118383917843348</v>
      </c>
      <c r="AS737" s="47">
        <f>IF(AQ737="","",AQ737-($AD$60+$AD$61*Volcanic!C737+$AD$62*Volcanic!D737+$AD$63*Volcanic!E737))</f>
        <v>-0.19656141143926154</v>
      </c>
    </row>
    <row r="738" spans="1:45">
      <c r="A738" s="45" t="str">
        <f>Volcanic!A738</f>
        <v>7/2019</v>
      </c>
      <c r="B738" s="43">
        <f>Volcanic!B738</f>
        <v>0.93999999999999773</v>
      </c>
      <c r="C738" s="47">
        <f>Volcanic!C738</f>
        <v>0.55707743595872172</v>
      </c>
      <c r="D738" s="41">
        <v>0.4</v>
      </c>
      <c r="E738" s="43">
        <f t="shared" si="166"/>
        <v>0.8</v>
      </c>
      <c r="F738" s="48">
        <v>6.7000000000000002E-3</v>
      </c>
      <c r="G738" s="47">
        <f t="shared" si="167"/>
        <v>6.2899999999999996E-3</v>
      </c>
      <c r="H738" s="43">
        <f>Volcanic!D738</f>
        <v>0.82</v>
      </c>
      <c r="I738" s="47">
        <f>Volcanic!E738</f>
        <v>8.3300000000000006E-3</v>
      </c>
      <c r="K738" s="47">
        <f t="shared" si="154"/>
        <v>0.55707743595872172</v>
      </c>
      <c r="L738" s="47">
        <f t="shared" si="155"/>
        <v>0.8</v>
      </c>
      <c r="M738" s="47">
        <f t="shared" si="156"/>
        <v>8.3300000000000006E-3</v>
      </c>
      <c r="O738" s="47">
        <f t="shared" si="157"/>
        <v>0.55707743595872172</v>
      </c>
      <c r="P738" s="47">
        <f t="shared" si="158"/>
        <v>0.82</v>
      </c>
      <c r="Q738" s="47">
        <f t="shared" si="159"/>
        <v>6.2899999999999996E-3</v>
      </c>
      <c r="S738" s="47">
        <f t="shared" si="160"/>
        <v>0.55707743595872172</v>
      </c>
      <c r="T738" s="47">
        <f t="shared" si="161"/>
        <v>0.8</v>
      </c>
      <c r="U738" s="47">
        <f t="shared" si="162"/>
        <v>6.2899999999999996E-3</v>
      </c>
      <c r="W738" s="47">
        <f t="shared" si="163"/>
        <v>-7.4709665309026674E-2</v>
      </c>
      <c r="X738" s="47">
        <f t="shared" si="164"/>
        <v>-7.4620349606046688E-2</v>
      </c>
      <c r="Y738" s="47">
        <f t="shared" si="165"/>
        <v>-7.2429181711311408E-2</v>
      </c>
      <c r="AP738" s="48">
        <v>0.92679999999999996</v>
      </c>
      <c r="AQ738" s="48">
        <v>0.93969999999999998</v>
      </c>
      <c r="AR738" s="47">
        <f>IF(AP738="","",AP738-($AC$60+$AC$61*Volcanic!C738+$AC$62*Volcanic!D738+$AC$63*Volcanic!E738))</f>
        <v>-8.2688556141279013E-2</v>
      </c>
      <c r="AS738" s="47">
        <f>IF(AQ738="","",AQ738-($AD$60+$AD$61*Volcanic!C738+$AD$62*Volcanic!D738+$AD$63*Volcanic!E738))</f>
        <v>-0.10200011413046473</v>
      </c>
    </row>
    <row r="739" spans="1:45">
      <c r="A739" s="45" t="str">
        <f>Volcanic!A739</f>
        <v>8/2019</v>
      </c>
      <c r="B739" s="43">
        <f>Volcanic!B739</f>
        <v>0.94999999999999751</v>
      </c>
      <c r="C739" s="47">
        <f>Volcanic!C739</f>
        <v>0.55079514920632977</v>
      </c>
      <c r="D739" s="41">
        <v>0.2</v>
      </c>
      <c r="E739" s="43">
        <f t="shared" si="166"/>
        <v>0.7</v>
      </c>
      <c r="F739" s="48">
        <v>8.8100000000000001E-3</v>
      </c>
      <c r="G739" s="47">
        <f t="shared" si="167"/>
        <v>5.8599999999999998E-3</v>
      </c>
      <c r="H739" s="43">
        <f>Volcanic!D739</f>
        <v>0.71</v>
      </c>
      <c r="I739" s="47">
        <f>Volcanic!E739</f>
        <v>7.8899999999999994E-3</v>
      </c>
      <c r="K739" s="47">
        <f t="shared" si="154"/>
        <v>0.55079514920632977</v>
      </c>
      <c r="L739" s="47">
        <f t="shared" si="155"/>
        <v>0.7</v>
      </c>
      <c r="M739" s="47">
        <f t="shared" si="156"/>
        <v>7.8899999999999994E-3</v>
      </c>
      <c r="O739" s="47">
        <f t="shared" si="157"/>
        <v>0.55079514920632977</v>
      </c>
      <c r="P739" s="47">
        <f t="shared" si="158"/>
        <v>0.71</v>
      </c>
      <c r="Q739" s="47">
        <f t="shared" si="159"/>
        <v>5.8599999999999998E-3</v>
      </c>
      <c r="S739" s="47">
        <f t="shared" si="160"/>
        <v>0.55079514920632977</v>
      </c>
      <c r="T739" s="47">
        <f t="shared" si="161"/>
        <v>0.7</v>
      </c>
      <c r="U739" s="47">
        <f t="shared" si="162"/>
        <v>5.8599999999999998E-3</v>
      </c>
      <c r="W739" s="47">
        <f t="shared" si="163"/>
        <v>-3.9259142903710464E-2</v>
      </c>
      <c r="X739" s="47">
        <f t="shared" si="164"/>
        <v>-3.8426195762357396E-2</v>
      </c>
      <c r="Y739" s="47">
        <f t="shared" si="165"/>
        <v>-3.7170123038406611E-2</v>
      </c>
      <c r="AP739" s="48">
        <v>0.91169999999999995</v>
      </c>
      <c r="AQ739" s="48">
        <v>0.98470000000000002</v>
      </c>
      <c r="AR739" s="47">
        <f>IF(AP739="","",AP739-($AC$60+$AC$61*Volcanic!C739+$AC$62*Volcanic!D739+$AC$63*Volcanic!E739))</f>
        <v>-7.139186007473286E-2</v>
      </c>
      <c r="AS739" s="47">
        <f>IF(AQ739="","",AQ739-($AD$60+$AD$61*Volcanic!C739+$AD$62*Volcanic!D739+$AD$63*Volcanic!E739))</f>
        <v>-2.9899782790675622E-2</v>
      </c>
    </row>
    <row r="740" spans="1:45">
      <c r="A740" s="45" t="str">
        <f>Volcanic!A740</f>
        <v>9/2019</v>
      </c>
      <c r="B740" s="43">
        <f>Volcanic!B740</f>
        <v>0.92999999999999794</v>
      </c>
      <c r="C740" s="47">
        <f>Volcanic!C740</f>
        <v>0.54582719830025894</v>
      </c>
      <c r="D740" s="41">
        <v>0.3</v>
      </c>
      <c r="E740" s="43">
        <f t="shared" si="166"/>
        <v>0.6</v>
      </c>
      <c r="F740" s="48">
        <v>1.038E-2</v>
      </c>
      <c r="G740" s="47">
        <f t="shared" si="167"/>
        <v>5.4900000000000001E-3</v>
      </c>
      <c r="H740" s="43">
        <f>Volcanic!D740</f>
        <v>0.59</v>
      </c>
      <c r="I740" s="47">
        <f>Volcanic!E740</f>
        <v>7.3600000000000002E-3</v>
      </c>
      <c r="K740" s="47">
        <f t="shared" si="154"/>
        <v>0.54582719830025894</v>
      </c>
      <c r="L740" s="47">
        <f t="shared" si="155"/>
        <v>0.6</v>
      </c>
      <c r="M740" s="47">
        <f t="shared" si="156"/>
        <v>7.3600000000000002E-3</v>
      </c>
      <c r="O740" s="47">
        <f t="shared" si="157"/>
        <v>0.54582719830025894</v>
      </c>
      <c r="P740" s="47">
        <f t="shared" si="158"/>
        <v>0.59</v>
      </c>
      <c r="Q740" s="47">
        <f t="shared" si="159"/>
        <v>5.4900000000000001E-3</v>
      </c>
      <c r="S740" s="47">
        <f t="shared" si="160"/>
        <v>0.54582719830025894</v>
      </c>
      <c r="T740" s="47">
        <f t="shared" si="161"/>
        <v>0.6</v>
      </c>
      <c r="U740" s="47">
        <f t="shared" si="162"/>
        <v>5.4900000000000001E-3</v>
      </c>
      <c r="W740" s="47">
        <f t="shared" si="163"/>
        <v>-3.7591329513239069E-2</v>
      </c>
      <c r="X740" s="47">
        <f t="shared" si="164"/>
        <v>-3.4689325435925067E-2</v>
      </c>
      <c r="Y740" s="47">
        <f t="shared" si="165"/>
        <v>-3.530712689775739E-2</v>
      </c>
      <c r="AP740" s="48">
        <v>0.88870000000000005</v>
      </c>
      <c r="AQ740" s="48">
        <v>0.93169999999999997</v>
      </c>
      <c r="AR740" s="47">
        <f>IF(AP740="","",AP740-($AC$60+$AC$61*Volcanic!C740+$AC$62*Volcanic!D740+$AC$63*Volcanic!E740))</f>
        <v>-7.0864207122420142E-2</v>
      </c>
      <c r="AS740" s="47">
        <f>IF(AQ740="","",AQ740-($AD$60+$AD$61*Volcanic!C740+$AD$62*Volcanic!D740+$AD$63*Volcanic!E740))</f>
        <v>-5.8731253965101926E-2</v>
      </c>
    </row>
    <row r="741" spans="1:45">
      <c r="A741" s="45" t="str">
        <f>Volcanic!A741</f>
        <v>10/2019</v>
      </c>
      <c r="B741" s="43">
        <f>Volcanic!B741</f>
        <v>1</v>
      </c>
      <c r="C741" s="47">
        <f>Volcanic!C741</f>
        <v>0.54575660771720447</v>
      </c>
      <c r="D741" s="41">
        <v>0.5</v>
      </c>
      <c r="E741" s="43">
        <f t="shared" si="166"/>
        <v>0.4</v>
      </c>
      <c r="F741" s="48">
        <v>9.9000000000000008E-3</v>
      </c>
      <c r="G741" s="47">
        <f t="shared" si="167"/>
        <v>5.1500000000000001E-3</v>
      </c>
      <c r="H741" s="43">
        <f>Volcanic!D741</f>
        <v>0.38</v>
      </c>
      <c r="I741" s="47">
        <f>Volcanic!E741</f>
        <v>6.9899999999999997E-3</v>
      </c>
      <c r="K741" s="47">
        <f t="shared" si="154"/>
        <v>0.54575660771720447</v>
      </c>
      <c r="L741" s="47">
        <f t="shared" si="155"/>
        <v>0.4</v>
      </c>
      <c r="M741" s="47">
        <f t="shared" si="156"/>
        <v>6.9899999999999997E-3</v>
      </c>
      <c r="O741" s="47">
        <f t="shared" si="157"/>
        <v>0.54575660771720447</v>
      </c>
      <c r="P741" s="47">
        <f t="shared" si="158"/>
        <v>0.38</v>
      </c>
      <c r="Q741" s="47">
        <f t="shared" si="159"/>
        <v>5.1500000000000001E-3</v>
      </c>
      <c r="S741" s="47">
        <f t="shared" si="160"/>
        <v>0.54575660771720447</v>
      </c>
      <c r="T741" s="47">
        <f t="shared" si="161"/>
        <v>0.4</v>
      </c>
      <c r="U741" s="47">
        <f t="shared" si="162"/>
        <v>5.1500000000000001E-3</v>
      </c>
      <c r="W741" s="47">
        <f t="shared" si="163"/>
        <v>5.036054032059778E-2</v>
      </c>
      <c r="X741" s="47">
        <f t="shared" si="164"/>
        <v>5.4339784607995378E-2</v>
      </c>
      <c r="Y741" s="47">
        <f t="shared" si="165"/>
        <v>5.27965397060427E-2</v>
      </c>
      <c r="AP741" s="48">
        <v>1.0294000000000001</v>
      </c>
      <c r="AQ741" s="48">
        <v>1.0916999999999999</v>
      </c>
      <c r="AR741" s="47">
        <f>IF(AP741="","",AP741-($AC$60+$AC$61*Volcanic!C741+$AC$62*Volcanic!D741+$AC$63*Volcanic!E741))</f>
        <v>8.8803725243687959E-2</v>
      </c>
      <c r="AS741" s="47">
        <f>IF(AQ741="","",AQ741-($AD$60+$AD$61*Volcanic!C741+$AD$62*Volcanic!D741+$AD$63*Volcanic!E741))</f>
        <v>0.12068754033381168</v>
      </c>
    </row>
    <row r="742" spans="1:45">
      <c r="A742" s="45" t="str">
        <f>Volcanic!A742</f>
        <v>11/2019</v>
      </c>
      <c r="B742" s="43">
        <f>Volcanic!B742</f>
        <v>0.99000000000000021</v>
      </c>
      <c r="C742" s="47">
        <f>Volcanic!C742</f>
        <v>0.55184995650684376</v>
      </c>
      <c r="D742" s="41">
        <v>0.7</v>
      </c>
      <c r="E742" s="43">
        <f t="shared" si="166"/>
        <v>0.2</v>
      </c>
      <c r="F742" s="48">
        <v>9.3900000000000008E-3</v>
      </c>
      <c r="G742" s="47">
        <f t="shared" si="167"/>
        <v>4.9899999999999996E-3</v>
      </c>
      <c r="H742" s="43">
        <f>Volcanic!D742</f>
        <v>0.2</v>
      </c>
      <c r="I742" s="47">
        <f>Volcanic!E742</f>
        <v>6.6E-3</v>
      </c>
      <c r="K742" s="47">
        <f t="shared" si="154"/>
        <v>0.55184995650684376</v>
      </c>
      <c r="L742" s="47">
        <f t="shared" si="155"/>
        <v>0.2</v>
      </c>
      <c r="M742" s="47">
        <f t="shared" si="156"/>
        <v>6.6E-3</v>
      </c>
      <c r="O742" s="47">
        <f t="shared" si="157"/>
        <v>0.55184995650684376</v>
      </c>
      <c r="P742" s="47">
        <f t="shared" si="158"/>
        <v>0.2</v>
      </c>
      <c r="Q742" s="47">
        <f t="shared" si="159"/>
        <v>4.9899999999999996E-3</v>
      </c>
      <c r="S742" s="47">
        <f t="shared" si="160"/>
        <v>0.55184995650684376</v>
      </c>
      <c r="T742" s="47">
        <f t="shared" si="161"/>
        <v>0.2</v>
      </c>
      <c r="U742" s="47">
        <f t="shared" si="162"/>
        <v>4.9899999999999996E-3</v>
      </c>
      <c r="W742" s="47">
        <f t="shared" si="163"/>
        <v>4.1458348833715353E-2</v>
      </c>
      <c r="X742" s="47">
        <f t="shared" si="164"/>
        <v>4.4356408918717172E-2</v>
      </c>
      <c r="Y742" s="47">
        <f t="shared" si="165"/>
        <v>4.470822689602072E-2</v>
      </c>
      <c r="AP742" s="48">
        <v>1.0083</v>
      </c>
      <c r="AQ742" s="48">
        <v>0.99470000000000003</v>
      </c>
      <c r="AR742" s="47">
        <f>IF(AP742="","",AP742-($AC$60+$AC$61*Volcanic!C742+$AC$62*Volcanic!D742+$AC$63*Volcanic!E742))</f>
        <v>6.6982877822791664E-2</v>
      </c>
      <c r="AS742" s="47">
        <f>IF(AQ742="","",AQ742-($AD$60+$AD$61*Volcanic!C742+$AD$62*Volcanic!D742+$AD$63*Volcanic!E742))</f>
        <v>2.2929064313588321E-2</v>
      </c>
    </row>
    <row r="743" spans="1:45">
      <c r="A743" s="45" t="str">
        <f>Volcanic!A743</f>
        <v>12/2019</v>
      </c>
      <c r="B743" s="43">
        <f>Volcanic!B743</f>
        <v>1.120000000000001</v>
      </c>
      <c r="C743" s="47">
        <f>Volcanic!C743</f>
        <v>0.55711245580363478</v>
      </c>
      <c r="D743" s="41">
        <v>0.8</v>
      </c>
      <c r="E743" s="43">
        <f t="shared" si="166"/>
        <v>0.3</v>
      </c>
      <c r="F743" s="48">
        <v>9.2899999999999996E-3</v>
      </c>
      <c r="G743" s="47">
        <f t="shared" si="167"/>
        <v>4.8999999999999998E-3</v>
      </c>
      <c r="H743" s="43">
        <f>Volcanic!D743</f>
        <v>0.31</v>
      </c>
      <c r="I743" s="47">
        <f>Volcanic!E743</f>
        <v>6.3400000000000001E-3</v>
      </c>
      <c r="K743" s="47">
        <f t="shared" si="154"/>
        <v>0.55711245580363478</v>
      </c>
      <c r="L743" s="47">
        <f t="shared" si="155"/>
        <v>0.3</v>
      </c>
      <c r="M743" s="47">
        <f t="shared" si="156"/>
        <v>6.3400000000000001E-3</v>
      </c>
      <c r="O743" s="47">
        <f t="shared" si="157"/>
        <v>0.55711245580363478</v>
      </c>
      <c r="P743" s="47">
        <f t="shared" si="158"/>
        <v>0.31</v>
      </c>
      <c r="Q743" s="47">
        <f t="shared" si="159"/>
        <v>4.8999999999999998E-3</v>
      </c>
      <c r="S743" s="47">
        <f t="shared" si="160"/>
        <v>0.55711245580363478</v>
      </c>
      <c r="T743" s="47">
        <f t="shared" si="161"/>
        <v>0.3</v>
      </c>
      <c r="U743" s="47">
        <f t="shared" si="162"/>
        <v>4.8999999999999998E-3</v>
      </c>
      <c r="W743" s="47">
        <f t="shared" si="163"/>
        <v>0.14724647285771764</v>
      </c>
      <c r="X743" s="47">
        <f t="shared" si="164"/>
        <v>0.14956069962886265</v>
      </c>
      <c r="Y743" s="47">
        <f t="shared" si="165"/>
        <v>0.15084570126024766</v>
      </c>
      <c r="AP743" s="48">
        <v>1.101</v>
      </c>
      <c r="AQ743" s="48">
        <v>1.1436999999999999</v>
      </c>
      <c r="AR743" s="47">
        <f>IF(AP743="","",AP743-($AC$60+$AC$61*Volcanic!C743+$AC$62*Volcanic!D743+$AC$63*Volcanic!E743))</f>
        <v>0.13438648143963705</v>
      </c>
      <c r="AS743" s="47">
        <f>IF(AQ743="","",AQ743-($AD$60+$AD$61*Volcanic!C743+$AD$62*Volcanic!D743+$AD$63*Volcanic!E743))</f>
        <v>0.1460817991732335</v>
      </c>
    </row>
    <row r="744" spans="1:45">
      <c r="A744" s="45" t="str">
        <f>Volcanic!A744</f>
        <v>1/2020</v>
      </c>
      <c r="B744" s="43">
        <f>Volcanic!B744</f>
        <v>1.1799999999999997</v>
      </c>
      <c r="C744" s="47">
        <f>Volcanic!C744</f>
        <v>0.56277447665277325</v>
      </c>
      <c r="D744" s="41">
        <v>0.7</v>
      </c>
      <c r="E744" s="43">
        <f t="shared" si="166"/>
        <v>0.5</v>
      </c>
      <c r="F744" s="48">
        <v>9.8200000000000006E-3</v>
      </c>
      <c r="G744" s="47">
        <f t="shared" si="167"/>
        <v>4.9399999999999999E-3</v>
      </c>
      <c r="H744" s="43">
        <f>Volcanic!D744</f>
        <v>0.51</v>
      </c>
      <c r="I744" s="47">
        <f>Volcanic!E744</f>
        <v>6.28E-3</v>
      </c>
      <c r="K744" s="47">
        <f t="shared" si="154"/>
        <v>0.56277447665277325</v>
      </c>
      <c r="L744" s="47">
        <f t="shared" si="155"/>
        <v>0.5</v>
      </c>
      <c r="M744" s="47">
        <f t="shared" si="156"/>
        <v>6.28E-3</v>
      </c>
      <c r="O744" s="47">
        <f t="shared" si="157"/>
        <v>0.56277447665277325</v>
      </c>
      <c r="P744" s="47">
        <f t="shared" si="158"/>
        <v>0.51</v>
      </c>
      <c r="Q744" s="47">
        <f t="shared" si="159"/>
        <v>4.9399999999999999E-3</v>
      </c>
      <c r="S744" s="47">
        <f t="shared" si="160"/>
        <v>0.56277447665277325</v>
      </c>
      <c r="T744" s="47">
        <f t="shared" si="161"/>
        <v>0.5</v>
      </c>
      <c r="U744" s="47">
        <f t="shared" si="162"/>
        <v>4.9399999999999999E-3</v>
      </c>
      <c r="W744" s="47">
        <f t="shared" si="163"/>
        <v>0.17309841498266021</v>
      </c>
      <c r="X744" s="47">
        <f t="shared" si="164"/>
        <v>0.17557025359921763</v>
      </c>
      <c r="Y744" s="47">
        <f t="shared" si="165"/>
        <v>0.17684210481632645</v>
      </c>
      <c r="AP744" s="48">
        <v>1.1335</v>
      </c>
      <c r="AQ744" s="48">
        <v>1.1837</v>
      </c>
      <c r="AR744" s="47">
        <f>IF(AP744="","",AP744-($AC$60+$AC$61*Volcanic!C744+$AC$62*Volcanic!D744+$AC$63*Volcanic!E744))</f>
        <v>0.13255232921970417</v>
      </c>
      <c r="AS744" s="47">
        <f>IF(AQ744="","",AQ744-($AD$60+$AD$61*Volcanic!C744+$AD$62*Volcanic!D744+$AD$63*Volcanic!E744))</f>
        <v>0.15097279846857425</v>
      </c>
    </row>
    <row r="745" spans="1:45">
      <c r="A745" s="45" t="str">
        <f>Volcanic!A745</f>
        <v>2/2020</v>
      </c>
      <c r="B745" s="43">
        <f>Volcanic!B745</f>
        <v>1.240000000000002</v>
      </c>
      <c r="C745" s="47">
        <f>Volcanic!C745</f>
        <v>0.5653186364111572</v>
      </c>
      <c r="D745" s="41">
        <v>0.7</v>
      </c>
      <c r="E745" s="43">
        <f t="shared" si="166"/>
        <v>0.7</v>
      </c>
      <c r="F745" s="48">
        <v>1.061E-2</v>
      </c>
      <c r="G745" s="47">
        <f t="shared" si="167"/>
        <v>6.7000000000000002E-3</v>
      </c>
      <c r="H745" s="43">
        <f>Volcanic!D745</f>
        <v>0.72</v>
      </c>
      <c r="I745" s="47">
        <f>Volcanic!E745</f>
        <v>1.026E-2</v>
      </c>
      <c r="K745" s="47">
        <f t="shared" si="154"/>
        <v>0.5653186364111572</v>
      </c>
      <c r="L745" s="47">
        <f t="shared" si="155"/>
        <v>0.7</v>
      </c>
      <c r="M745" s="47">
        <f t="shared" si="156"/>
        <v>1.026E-2</v>
      </c>
      <c r="O745" s="47">
        <f t="shared" si="157"/>
        <v>0.5653186364111572</v>
      </c>
      <c r="P745" s="47">
        <f t="shared" si="158"/>
        <v>0.72</v>
      </c>
      <c r="Q745" s="47">
        <f t="shared" si="159"/>
        <v>6.7000000000000002E-3</v>
      </c>
      <c r="S745" s="47">
        <f t="shared" si="160"/>
        <v>0.5653186364111572</v>
      </c>
      <c r="T745" s="47">
        <f t="shared" si="161"/>
        <v>0.7</v>
      </c>
      <c r="U745" s="47">
        <f t="shared" si="162"/>
        <v>6.7000000000000002E-3</v>
      </c>
      <c r="W745" s="47">
        <f t="shared" si="163"/>
        <v>0.21635547489272322</v>
      </c>
      <c r="X745" s="47">
        <f t="shared" si="164"/>
        <v>0.21356376261692156</v>
      </c>
      <c r="Y745" s="47">
        <f t="shared" si="165"/>
        <v>0.21576618296595829</v>
      </c>
      <c r="AP745" s="48">
        <v>1.1850000000000001</v>
      </c>
      <c r="AQ745" s="48">
        <v>1.2137</v>
      </c>
      <c r="AR745" s="47">
        <f>IF(AP745="","",AP745-($AC$60+$AC$61*Volcanic!C745+$AC$62*Volcanic!D745+$AC$63*Volcanic!E745))</f>
        <v>0.16701643185994364</v>
      </c>
      <c r="AS745" s="47">
        <f>IF(AQ745="","",AQ745-($AD$60+$AD$61*Volcanic!C745+$AD$62*Volcanic!D745+$AD$63*Volcanic!E745))</f>
        <v>0.16289398688952161</v>
      </c>
    </row>
    <row r="746" spans="1:45">
      <c r="A746" s="45" t="str">
        <f>Volcanic!A746</f>
        <v>3/2020</v>
      </c>
      <c r="B746" s="43">
        <f>Volcanic!B746</f>
        <v>1.1799999999999997</v>
      </c>
      <c r="C746" s="47">
        <f>Volcanic!C746</f>
        <v>0.56671079616493381</v>
      </c>
      <c r="D746" s="41">
        <v>0.6</v>
      </c>
      <c r="E746" s="43">
        <f t="shared" si="166"/>
        <v>0.8</v>
      </c>
      <c r="F746" s="48">
        <v>1.064E-2</v>
      </c>
      <c r="G746" s="47">
        <f t="shared" si="167"/>
        <v>8.8100000000000001E-3</v>
      </c>
      <c r="H746" s="43">
        <f>Volcanic!D746</f>
        <v>0.75</v>
      </c>
      <c r="I746" s="47">
        <f>Volcanic!E746</f>
        <v>1.898E-2</v>
      </c>
      <c r="K746" s="47">
        <f t="shared" si="154"/>
        <v>0.56671079616493381</v>
      </c>
      <c r="L746" s="47">
        <f t="shared" si="155"/>
        <v>0.8</v>
      </c>
      <c r="M746" s="47">
        <f t="shared" si="156"/>
        <v>1.898E-2</v>
      </c>
      <c r="O746" s="47">
        <f t="shared" si="157"/>
        <v>0.56671079616493381</v>
      </c>
      <c r="P746" s="47">
        <f t="shared" si="158"/>
        <v>0.75</v>
      </c>
      <c r="Q746" s="47">
        <f t="shared" si="159"/>
        <v>8.8100000000000001E-3</v>
      </c>
      <c r="S746" s="47">
        <f t="shared" si="160"/>
        <v>0.56671079616493381</v>
      </c>
      <c r="T746" s="47">
        <f t="shared" si="161"/>
        <v>0.8</v>
      </c>
      <c r="U746" s="47">
        <f t="shared" si="162"/>
        <v>8.8100000000000001E-3</v>
      </c>
      <c r="W746" s="47">
        <f t="shared" si="163"/>
        <v>0.16248625238295733</v>
      </c>
      <c r="X746" s="47">
        <f t="shared" si="164"/>
        <v>0.15249477075568518</v>
      </c>
      <c r="Y746" s="47">
        <f t="shared" si="165"/>
        <v>0.14812108947388269</v>
      </c>
      <c r="AP746" s="48">
        <v>1.1500999999999999</v>
      </c>
      <c r="AQ746" s="48">
        <v>1.1607000000000001</v>
      </c>
      <c r="AR746" s="47">
        <f>IF(AP746="","",AP746-($AC$60+$AC$61*Volcanic!C746+$AC$62*Volcanic!D746+$AC$63*Volcanic!E746))</f>
        <v>0.14648770259233035</v>
      </c>
      <c r="AS746" s="47">
        <f>IF(AQ746="","",AQ746-($AD$60+$AD$61*Volcanic!C746+$AD$62*Volcanic!D746+$AD$63*Volcanic!E746))</f>
        <v>0.12309967015553713</v>
      </c>
    </row>
    <row r="747" spans="1:45">
      <c r="A747" s="45" t="str">
        <f>Volcanic!A747</f>
        <v>4/2020</v>
      </c>
      <c r="B747" s="43">
        <f>Volcanic!B747</f>
        <v>1.120000000000001</v>
      </c>
      <c r="C747" s="47">
        <f>Volcanic!C747</f>
        <v>0.57261253351296471</v>
      </c>
      <c r="D747" s="41">
        <v>0.3</v>
      </c>
      <c r="E747" s="43">
        <f t="shared" si="166"/>
        <v>0.7</v>
      </c>
      <c r="F747" s="48">
        <v>9.5600000000000008E-3</v>
      </c>
      <c r="G747" s="47">
        <f t="shared" si="167"/>
        <v>1.038E-2</v>
      </c>
      <c r="H747" s="43">
        <f>Volcanic!D747</f>
        <v>0.71</v>
      </c>
      <c r="I747" s="47">
        <f>Volcanic!E747</f>
        <v>1.9550000000000001E-2</v>
      </c>
      <c r="K747" s="47">
        <f t="shared" si="154"/>
        <v>0.57261253351296471</v>
      </c>
      <c r="L747" s="47">
        <f t="shared" si="155"/>
        <v>0.7</v>
      </c>
      <c r="M747" s="47">
        <f t="shared" si="156"/>
        <v>1.9550000000000001E-2</v>
      </c>
      <c r="O747" s="47">
        <f t="shared" si="157"/>
        <v>0.57261253351296471</v>
      </c>
      <c r="P747" s="47">
        <f t="shared" si="158"/>
        <v>0.71</v>
      </c>
      <c r="Q747" s="47">
        <f t="shared" si="159"/>
        <v>1.038E-2</v>
      </c>
      <c r="S747" s="47">
        <f t="shared" si="160"/>
        <v>0.57261253351296471</v>
      </c>
      <c r="T747" s="47">
        <f t="shared" si="161"/>
        <v>0.7</v>
      </c>
      <c r="U747" s="47">
        <f t="shared" si="162"/>
        <v>1.038E-2</v>
      </c>
      <c r="W747" s="47">
        <f t="shared" si="163"/>
        <v>9.6934666703726746E-2</v>
      </c>
      <c r="X747" s="47">
        <f t="shared" si="164"/>
        <v>8.4398427316723312E-2</v>
      </c>
      <c r="Y747" s="47">
        <f t="shared" si="165"/>
        <v>8.5675036776017732E-2</v>
      </c>
      <c r="AP747" s="48">
        <v>1.1252</v>
      </c>
      <c r="AQ747" s="48">
        <v>1.2137</v>
      </c>
      <c r="AR747" s="47">
        <f>IF(AP747="","",AP747-($AC$60+$AC$61*Volcanic!C747+$AC$62*Volcanic!D747+$AC$63*Volcanic!E747))</f>
        <v>0.11058970902713638</v>
      </c>
      <c r="AS747" s="47">
        <f>IF(AQ747="","",AQ747-($AD$60+$AD$61*Volcanic!C747+$AD$62*Volcanic!D747+$AD$63*Volcanic!E747))</f>
        <v>0.16469761267888017</v>
      </c>
    </row>
    <row r="748" spans="1:45">
      <c r="A748" s="45" t="str">
        <f>Volcanic!A748</f>
        <v>5/2020</v>
      </c>
      <c r="B748" s="43">
        <f>Volcanic!B748</f>
        <v>0.99000000000000021</v>
      </c>
      <c r="C748" s="47">
        <f>Volcanic!C748</f>
        <v>0.57558894751138634</v>
      </c>
      <c r="D748" s="41">
        <v>0</v>
      </c>
      <c r="E748" s="43">
        <f t="shared" si="166"/>
        <v>0.7</v>
      </c>
      <c r="F748" s="48">
        <v>8.8400000000000006E-3</v>
      </c>
      <c r="G748" s="47">
        <f t="shared" si="167"/>
        <v>9.9000000000000008E-3</v>
      </c>
      <c r="H748" s="43">
        <f>Volcanic!D748</f>
        <v>0.66</v>
      </c>
      <c r="I748" s="47">
        <f>Volcanic!E748</f>
        <v>1.9689999999999999E-2</v>
      </c>
      <c r="K748" s="47">
        <f t="shared" si="154"/>
        <v>0.57558894751138634</v>
      </c>
      <c r="L748" s="47">
        <f t="shared" si="155"/>
        <v>0.7</v>
      </c>
      <c r="M748" s="47">
        <f t="shared" si="156"/>
        <v>1.9689999999999999E-2</v>
      </c>
      <c r="O748" s="47">
        <f t="shared" si="157"/>
        <v>0.57558894751138634</v>
      </c>
      <c r="P748" s="47">
        <f t="shared" si="158"/>
        <v>0.66</v>
      </c>
      <c r="Q748" s="47">
        <f t="shared" si="159"/>
        <v>9.9000000000000008E-3</v>
      </c>
      <c r="S748" s="47">
        <f t="shared" si="160"/>
        <v>0.57558894751138634</v>
      </c>
      <c r="T748" s="47">
        <f t="shared" si="161"/>
        <v>0.7</v>
      </c>
      <c r="U748" s="47">
        <f t="shared" si="162"/>
        <v>9.9000000000000008E-3</v>
      </c>
      <c r="W748" s="47">
        <f t="shared" si="163"/>
        <v>-4.0873968947231942E-2</v>
      </c>
      <c r="X748" s="47">
        <f t="shared" si="164"/>
        <v>-5.0205854256612392E-2</v>
      </c>
      <c r="Y748" s="47">
        <f t="shared" si="165"/>
        <v>-5.3626632455038736E-2</v>
      </c>
      <c r="AP748" s="48">
        <v>0.96970000000000001</v>
      </c>
      <c r="AQ748" s="48">
        <v>1.0286999999999999</v>
      </c>
      <c r="AR748" s="47">
        <f>IF(AP748="","",AP748-($AC$60+$AC$61*Volcanic!C748+$AC$62*Volcanic!D748+$AC$63*Volcanic!E748))</f>
        <v>-4.8018588029835163E-2</v>
      </c>
      <c r="AS748" s="47">
        <f>IF(AQ748="","",AQ748-($AD$60+$AD$61*Volcanic!C748+$AD$62*Volcanic!D748+$AD$63*Volcanic!E748))</f>
        <v>-2.3540137475015266E-2</v>
      </c>
    </row>
    <row r="749" spans="1:45">
      <c r="A749" s="45" t="str">
        <f>Volcanic!A749</f>
        <v>6/2020</v>
      </c>
      <c r="B749" s="43">
        <f>Volcanic!B749</f>
        <v>0.91000000000000014</v>
      </c>
      <c r="C749" s="47">
        <f>Volcanic!C749</f>
        <v>0.57316675010211449</v>
      </c>
      <c r="D749" s="41">
        <v>-0.2</v>
      </c>
      <c r="E749" s="43">
        <f t="shared" si="166"/>
        <v>0.6</v>
      </c>
      <c r="F749" s="48">
        <v>8.3800000000000003E-3</v>
      </c>
      <c r="G749" s="47">
        <f t="shared" si="167"/>
        <v>9.3900000000000008E-3</v>
      </c>
      <c r="H749" s="43">
        <f>Volcanic!D749</f>
        <v>0.56999999999999995</v>
      </c>
      <c r="I749" s="47">
        <f>Volcanic!E749</f>
        <v>1.771E-2</v>
      </c>
      <c r="K749" s="47">
        <f t="shared" si="154"/>
        <v>0.57316675010211449</v>
      </c>
      <c r="L749" s="47">
        <f t="shared" si="155"/>
        <v>0.6</v>
      </c>
      <c r="M749" s="47">
        <f t="shared" si="156"/>
        <v>1.771E-2</v>
      </c>
      <c r="O749" s="47">
        <f t="shared" si="157"/>
        <v>0.57316675010211449</v>
      </c>
      <c r="P749" s="47">
        <f t="shared" si="158"/>
        <v>0.56999999999999995</v>
      </c>
      <c r="Q749" s="47">
        <f t="shared" si="159"/>
        <v>9.3900000000000008E-3</v>
      </c>
      <c r="S749" s="47">
        <f t="shared" si="160"/>
        <v>0.57316675010211449</v>
      </c>
      <c r="T749" s="47">
        <f t="shared" si="161"/>
        <v>0.6</v>
      </c>
      <c r="U749" s="47">
        <f t="shared" si="162"/>
        <v>9.3900000000000008E-3</v>
      </c>
      <c r="W749" s="47">
        <f t="shared" si="163"/>
        <v>-0.10934391996559101</v>
      </c>
      <c r="X749" s="47">
        <f t="shared" si="164"/>
        <v>-0.11653549986141409</v>
      </c>
      <c r="Y749" s="47">
        <f t="shared" si="165"/>
        <v>-0.11901172758639866</v>
      </c>
      <c r="AP749" s="48">
        <v>0.88660000000000005</v>
      </c>
      <c r="AQ749" s="48">
        <v>0.90569999999999995</v>
      </c>
      <c r="AR749" s="47">
        <f>IF(AP749="","",AP749-($AC$60+$AC$61*Volcanic!C749+$AC$62*Volcanic!D749+$AC$63*Volcanic!E749))</f>
        <v>-0.12084073362792136</v>
      </c>
      <c r="AS749" s="47">
        <f>IF(AQ749="","",AQ749-($AD$60+$AD$61*Volcanic!C749+$AD$62*Volcanic!D749+$AD$63*Volcanic!E749))</f>
        <v>-0.13568993718982125</v>
      </c>
    </row>
    <row r="750" spans="1:45">
      <c r="A750" s="45" t="str">
        <f>Volcanic!A750</f>
        <v>7/2020</v>
      </c>
      <c r="B750" s="43">
        <f>Volcanic!B750</f>
        <v>0.8900000000000059</v>
      </c>
      <c r="C750" s="47">
        <f>Volcanic!C750</f>
        <v>0.56622369304750153</v>
      </c>
      <c r="D750" s="41">
        <v>-0.3</v>
      </c>
      <c r="E750" s="43">
        <f t="shared" si="166"/>
        <v>0.3</v>
      </c>
      <c r="F750" s="48">
        <v>8.0700000000000008E-3</v>
      </c>
      <c r="G750" s="47">
        <f t="shared" si="167"/>
        <v>9.2899999999999996E-3</v>
      </c>
      <c r="H750" s="43">
        <f>Volcanic!D750</f>
        <v>0.33</v>
      </c>
      <c r="I750" s="47">
        <f>Volcanic!E750</f>
        <v>1.494E-2</v>
      </c>
      <c r="K750" s="47">
        <f t="shared" si="154"/>
        <v>0.56622369304750153</v>
      </c>
      <c r="L750" s="47">
        <f t="shared" si="155"/>
        <v>0.3</v>
      </c>
      <c r="M750" s="47">
        <f t="shared" si="156"/>
        <v>1.494E-2</v>
      </c>
      <c r="O750" s="47">
        <f t="shared" si="157"/>
        <v>0.56622369304750153</v>
      </c>
      <c r="P750" s="47">
        <f t="shared" si="158"/>
        <v>0.33</v>
      </c>
      <c r="Q750" s="47">
        <f t="shared" si="159"/>
        <v>9.2899999999999996E-3</v>
      </c>
      <c r="S750" s="47">
        <f t="shared" si="160"/>
        <v>0.56622369304750153</v>
      </c>
      <c r="T750" s="47">
        <f t="shared" si="161"/>
        <v>0.3</v>
      </c>
      <c r="U750" s="47">
        <f t="shared" si="162"/>
        <v>9.2899999999999996E-3</v>
      </c>
      <c r="W750" s="47">
        <f t="shared" si="163"/>
        <v>-8.8650927818197389E-2</v>
      </c>
      <c r="X750" s="47">
        <f t="shared" si="164"/>
        <v>-9.5480989325878673E-2</v>
      </c>
      <c r="Y750" s="47">
        <f t="shared" si="165"/>
        <v>-9.2300974474221253E-2</v>
      </c>
      <c r="AP750" s="48">
        <v>0.89700000000000002</v>
      </c>
      <c r="AQ750" s="48">
        <v>0.91369999999999996</v>
      </c>
      <c r="AR750" s="47">
        <f>IF(AP750="","",AP750-($AC$60+$AC$61*Volcanic!C750+$AC$62*Volcanic!D750+$AC$63*Volcanic!E750))</f>
        <v>-7.5672316326463651E-2</v>
      </c>
      <c r="AS750" s="47">
        <f>IF(AQ750="","",AQ750-($AD$60+$AD$61*Volcanic!C750+$AD$62*Volcanic!D750+$AD$63*Volcanic!E750))</f>
        <v>-9.16520253925035E-2</v>
      </c>
    </row>
    <row r="751" spans="1:45">
      <c r="A751" s="45" t="str">
        <f>Volcanic!A751</f>
        <v>8/2020</v>
      </c>
      <c r="B751" s="43">
        <f>Volcanic!B751</f>
        <v>0.86000000000000121</v>
      </c>
      <c r="C751" s="47">
        <f>Volcanic!C751</f>
        <v>0.55984138796829153</v>
      </c>
      <c r="D751" s="41">
        <v>-0.4</v>
      </c>
      <c r="E751" s="43">
        <f t="shared" si="166"/>
        <v>0</v>
      </c>
      <c r="F751" s="48">
        <v>7.7499999999999999E-3</v>
      </c>
      <c r="G751" s="47">
        <f t="shared" si="167"/>
        <v>9.8200000000000006E-3</v>
      </c>
      <c r="H751" s="43">
        <f>Volcanic!D751</f>
        <v>0.04</v>
      </c>
      <c r="I751" s="47">
        <f>Volcanic!E751</f>
        <v>1.8069999999999999E-2</v>
      </c>
      <c r="K751" s="47">
        <f t="shared" si="154"/>
        <v>0.55984138796829153</v>
      </c>
      <c r="L751" s="47">
        <f t="shared" si="155"/>
        <v>0</v>
      </c>
      <c r="M751" s="47">
        <f t="shared" si="156"/>
        <v>1.8069999999999999E-2</v>
      </c>
      <c r="O751" s="47">
        <f t="shared" si="157"/>
        <v>0.55984138796829153</v>
      </c>
      <c r="P751" s="47">
        <f t="shared" si="158"/>
        <v>0.04</v>
      </c>
      <c r="Q751" s="47">
        <f t="shared" si="159"/>
        <v>9.8200000000000006E-3</v>
      </c>
      <c r="S751" s="47">
        <f t="shared" si="160"/>
        <v>0.55984138796829153</v>
      </c>
      <c r="T751" s="47">
        <f t="shared" si="161"/>
        <v>0</v>
      </c>
      <c r="U751" s="47">
        <f t="shared" si="162"/>
        <v>9.8200000000000006E-3</v>
      </c>
      <c r="W751" s="47">
        <f t="shared" si="163"/>
        <v>-6.6486393082619388E-2</v>
      </c>
      <c r="X751" s="47">
        <f t="shared" si="164"/>
        <v>-7.9599672829809842E-2</v>
      </c>
      <c r="Y751" s="47">
        <f t="shared" si="165"/>
        <v>-7.5458112984003622E-2</v>
      </c>
      <c r="AP751" s="48">
        <v>0.88480000000000003</v>
      </c>
      <c r="AQ751" s="48">
        <v>0.93669999999999998</v>
      </c>
      <c r="AR751" s="47">
        <f>IF(AP751="","",AP751-($AC$60+$AC$61*Volcanic!C751+$AC$62*Volcanic!D751+$AC$63*Volcanic!E751))</f>
        <v>-3.5756256182640112E-2</v>
      </c>
      <c r="AS751" s="47">
        <f>IF(AQ751="","",AQ751-($AD$60+$AD$61*Volcanic!C751+$AD$62*Volcanic!D751+$AD$63*Volcanic!E751))</f>
        <v>-1.5893403489033342E-2</v>
      </c>
    </row>
    <row r="752" spans="1:45">
      <c r="A752" s="45" t="str">
        <f>Volcanic!A752</f>
        <v>9/2020</v>
      </c>
      <c r="B752" s="43">
        <f>Volcanic!B752</f>
        <v>0.95999999999999908</v>
      </c>
      <c r="C752" s="47">
        <f>Volcanic!C752</f>
        <v>0.5554656034766593</v>
      </c>
      <c r="D752" s="41">
        <v>-0.8</v>
      </c>
      <c r="E752" s="43">
        <f t="shared" si="166"/>
        <v>-0.2</v>
      </c>
      <c r="F752" s="48">
        <v>7.5100000000000002E-3</v>
      </c>
      <c r="G752" s="47">
        <f t="shared" si="167"/>
        <v>1.061E-2</v>
      </c>
      <c r="H752" s="43">
        <f>Volcanic!D752</f>
        <v>-0.18</v>
      </c>
      <c r="I752" s="47">
        <f>Volcanic!E752</f>
        <v>2.5749999999999999E-2</v>
      </c>
      <c r="K752" s="47">
        <f t="shared" si="154"/>
        <v>0.5554656034766593</v>
      </c>
      <c r="L752" s="47">
        <f t="shared" si="155"/>
        <v>-0.2</v>
      </c>
      <c r="M752" s="47">
        <f t="shared" si="156"/>
        <v>2.5749999999999999E-2</v>
      </c>
      <c r="O752" s="47">
        <f t="shared" si="157"/>
        <v>0.5554656034766593</v>
      </c>
      <c r="P752" s="47">
        <f t="shared" si="158"/>
        <v>-0.18</v>
      </c>
      <c r="Q752" s="47">
        <f t="shared" si="159"/>
        <v>1.061E-2</v>
      </c>
      <c r="S752" s="47">
        <f t="shared" si="160"/>
        <v>0.5554656034766593</v>
      </c>
      <c r="T752" s="47">
        <f t="shared" si="161"/>
        <v>-0.2</v>
      </c>
      <c r="U752" s="47">
        <f t="shared" si="162"/>
        <v>1.061E-2</v>
      </c>
      <c r="W752" s="47">
        <f t="shared" si="163"/>
        <v>8.0944765276140695E-2</v>
      </c>
      <c r="X752" s="47">
        <f t="shared" si="164"/>
        <v>5.4960639919524046E-2</v>
      </c>
      <c r="Y752" s="47">
        <f t="shared" si="165"/>
        <v>5.7239574196488396E-2</v>
      </c>
      <c r="AP752" s="48">
        <v>0.94189999999999996</v>
      </c>
      <c r="AQ752" s="48">
        <v>0.99170000000000003</v>
      </c>
      <c r="AR752" s="47">
        <f>IF(AP752="","",AP752-($AC$60+$AC$61*Volcanic!C752+$AC$62*Volcanic!D752+$AC$63*Volcanic!E752))</f>
        <v>7.2373836802728686E-2</v>
      </c>
      <c r="AS752" s="47">
        <f>IF(AQ752="","",AQ752-($AD$60+$AD$61*Volcanic!C752+$AD$62*Volcanic!D752+$AD$63*Volcanic!E752))</f>
        <v>8.9976785582657204E-2</v>
      </c>
    </row>
    <row r="753" spans="1:45">
      <c r="A753" s="45" t="str">
        <f>Volcanic!A753</f>
        <v>10/2020</v>
      </c>
      <c r="B753" s="43">
        <f>Volcanic!B753</f>
        <v>0.86999999999999744</v>
      </c>
      <c r="C753" s="47">
        <f>Volcanic!C753</f>
        <v>0.55543054363289546</v>
      </c>
      <c r="D753" s="41">
        <v>-1</v>
      </c>
      <c r="E753" s="43">
        <f t="shared" si="166"/>
        <v>-0.3</v>
      </c>
      <c r="F753" s="48">
        <v>7.1599999999999997E-3</v>
      </c>
      <c r="G753" s="47">
        <f t="shared" si="167"/>
        <v>1.064E-2</v>
      </c>
      <c r="H753" s="43">
        <f>Volcanic!D753</f>
        <v>-0.28999999999999998</v>
      </c>
      <c r="I753" s="47">
        <f>Volcanic!E753</f>
        <v>1.8339999999999999E-2</v>
      </c>
      <c r="K753" s="47">
        <f t="shared" si="154"/>
        <v>0.55543054363289546</v>
      </c>
      <c r="L753" s="47">
        <f t="shared" si="155"/>
        <v>-0.3</v>
      </c>
      <c r="M753" s="47">
        <f t="shared" si="156"/>
        <v>1.8339999999999999E-2</v>
      </c>
      <c r="O753" s="47">
        <f t="shared" si="157"/>
        <v>0.55543054363289546</v>
      </c>
      <c r="P753" s="47">
        <f t="shared" si="158"/>
        <v>-0.28999999999999998</v>
      </c>
      <c r="Q753" s="47">
        <f t="shared" si="159"/>
        <v>1.064E-2</v>
      </c>
      <c r="S753" s="47">
        <f t="shared" si="160"/>
        <v>0.55543054363289546</v>
      </c>
      <c r="T753" s="47">
        <f t="shared" si="161"/>
        <v>-0.3</v>
      </c>
      <c r="U753" s="47">
        <f t="shared" si="162"/>
        <v>1.064E-2</v>
      </c>
      <c r="W753" s="47">
        <f t="shared" si="163"/>
        <v>-1.600041023155041E-2</v>
      </c>
      <c r="X753" s="47">
        <f t="shared" si="164"/>
        <v>-2.4533210244938597E-2</v>
      </c>
      <c r="Y753" s="47">
        <f t="shared" si="165"/>
        <v>-2.3186062074399327E-2</v>
      </c>
      <c r="AP753" s="48">
        <v>0.87460000000000004</v>
      </c>
      <c r="AQ753" s="48">
        <v>0.91369999999999996</v>
      </c>
      <c r="AR753" s="47">
        <f>IF(AP753="","",AP753-($AC$60+$AC$61*Volcanic!C753+$AC$62*Volcanic!D753+$AC$63*Volcanic!E753))</f>
        <v>-2.3594114628882057E-3</v>
      </c>
      <c r="AS753" s="47">
        <f>IF(AQ753="","",AQ753-($AD$60+$AD$61*Volcanic!C753+$AD$62*Volcanic!D753+$AD$63*Volcanic!E753))</f>
        <v>5.6155236015152932E-3</v>
      </c>
    </row>
    <row r="754" spans="1:45">
      <c r="A754" s="45" t="str">
        <f>Volcanic!A754</f>
        <v>11/2020</v>
      </c>
      <c r="B754" s="43">
        <f>Volcanic!B754</f>
        <v>1.0899999999999999</v>
      </c>
      <c r="C754" s="47">
        <f>Volcanic!C754</f>
        <v>0.56106423302379171</v>
      </c>
      <c r="D754" s="41">
        <v>-1.1000000000000001</v>
      </c>
      <c r="E754" s="43">
        <f t="shared" si="166"/>
        <v>-0.4</v>
      </c>
      <c r="F754" s="48">
        <v>6.9899999999999997E-3</v>
      </c>
      <c r="G754" s="47">
        <f t="shared" si="167"/>
        <v>9.5600000000000008E-3</v>
      </c>
      <c r="H754" s="43">
        <f>Volcanic!D754</f>
        <v>-0.43</v>
      </c>
      <c r="I754" s="47">
        <f>Volcanic!E754</f>
        <v>1.528E-2</v>
      </c>
      <c r="K754" s="47">
        <f t="shared" si="154"/>
        <v>0.56106423302379171</v>
      </c>
      <c r="L754" s="47">
        <f t="shared" si="155"/>
        <v>-0.4</v>
      </c>
      <c r="M754" s="47">
        <f t="shared" si="156"/>
        <v>1.528E-2</v>
      </c>
      <c r="O754" s="47">
        <f t="shared" si="157"/>
        <v>0.56106423302379171</v>
      </c>
      <c r="P754" s="47">
        <f t="shared" si="158"/>
        <v>-0.43</v>
      </c>
      <c r="Q754" s="47">
        <f t="shared" si="159"/>
        <v>9.5600000000000008E-3</v>
      </c>
      <c r="S754" s="47">
        <f t="shared" si="160"/>
        <v>0.56106423302379171</v>
      </c>
      <c r="T754" s="47">
        <f t="shared" si="161"/>
        <v>-0.4</v>
      </c>
      <c r="U754" s="47">
        <f t="shared" si="162"/>
        <v>9.5600000000000008E-3</v>
      </c>
      <c r="W754" s="47">
        <f t="shared" si="163"/>
        <v>0.19118021538079755</v>
      </c>
      <c r="X754" s="47">
        <f t="shared" si="164"/>
        <v>0.1905649600525926</v>
      </c>
      <c r="Y754" s="47">
        <f t="shared" si="165"/>
        <v>0.1881605313238236</v>
      </c>
      <c r="AP754" s="48">
        <v>1.0826</v>
      </c>
      <c r="AQ754" s="48">
        <v>1.0707</v>
      </c>
      <c r="AR754" s="47">
        <f>IF(AP754="","",AP754-($AC$60+$AC$61*Volcanic!C754+$AC$62*Volcanic!D754+$AC$63*Volcanic!E754))</f>
        <v>0.19600453198938594</v>
      </c>
      <c r="AS754" s="47">
        <f>IF(AQ754="","",AQ754-($AD$60+$AD$61*Volcanic!C754+$AD$62*Volcanic!D754+$AD$63*Volcanic!E754))</f>
        <v>0.15320668083807021</v>
      </c>
    </row>
    <row r="755" spans="1:45">
      <c r="A755" s="45" t="str">
        <f>Volcanic!A755</f>
        <v>12/2020</v>
      </c>
      <c r="B755" s="43">
        <f>Volcanic!B755</f>
        <v>0.79999999999999893</v>
      </c>
      <c r="C755" s="47">
        <f>Volcanic!C755</f>
        <v>0.56500521524359781</v>
      </c>
      <c r="D755" s="41">
        <v>-1.1000000000000001</v>
      </c>
      <c r="E755" s="43">
        <f t="shared" si="166"/>
        <v>-0.8</v>
      </c>
      <c r="F755" s="48">
        <v>6.5599999999999999E-3</v>
      </c>
      <c r="G755" s="47">
        <f t="shared" si="167"/>
        <v>8.8400000000000006E-3</v>
      </c>
      <c r="H755" s="43">
        <f>Volcanic!D755</f>
        <v>-0.77</v>
      </c>
      <c r="I755" s="47">
        <f>Volcanic!E755</f>
        <v>1.337E-2</v>
      </c>
      <c r="K755" s="47">
        <f t="shared" si="154"/>
        <v>0.56500521524359781</v>
      </c>
      <c r="L755" s="47">
        <f t="shared" si="155"/>
        <v>-0.8</v>
      </c>
      <c r="M755" s="47">
        <f t="shared" si="156"/>
        <v>1.337E-2</v>
      </c>
      <c r="O755" s="47">
        <f t="shared" si="157"/>
        <v>0.56500521524359781</v>
      </c>
      <c r="P755" s="47">
        <f t="shared" si="158"/>
        <v>-0.77</v>
      </c>
      <c r="Q755" s="47">
        <f t="shared" si="159"/>
        <v>8.8400000000000006E-3</v>
      </c>
      <c r="S755" s="47">
        <f t="shared" si="160"/>
        <v>0.56500521524359781</v>
      </c>
      <c r="T755" s="47">
        <f t="shared" si="161"/>
        <v>-0.8</v>
      </c>
      <c r="U755" s="47">
        <f t="shared" si="162"/>
        <v>8.8400000000000006E-3</v>
      </c>
      <c r="W755" s="47">
        <f t="shared" si="163"/>
        <v>-7.6626843469128736E-2</v>
      </c>
      <c r="X755" s="47">
        <f t="shared" si="164"/>
        <v>-8.0032674914807256E-2</v>
      </c>
      <c r="Y755" s="47">
        <f t="shared" si="165"/>
        <v>-7.6771983330783056E-2</v>
      </c>
      <c r="AP755" s="48">
        <v>0.76770000000000005</v>
      </c>
      <c r="AQ755" s="48">
        <v>0.84870000000000001</v>
      </c>
      <c r="AR755" s="47">
        <f>IF(AP755="","",AP755-($AC$60+$AC$61*Volcanic!C755+$AC$62*Volcanic!D755+$AC$63*Volcanic!E755))</f>
        <v>-0.10241325408974289</v>
      </c>
      <c r="AS755" s="47">
        <f>IF(AQ755="","",AQ755-($AD$60+$AD$61*Volcanic!C755+$AD$62*Volcanic!D755+$AD$63*Volcanic!E755))</f>
        <v>-5.1714295329258086E-2</v>
      </c>
    </row>
    <row r="756" spans="1:45">
      <c r="A756" s="45" t="str">
        <f>Volcanic!A756</f>
        <v>1/2021</v>
      </c>
      <c r="B756" s="43">
        <f>Volcanic!B756</f>
        <v>0.82000000000000028</v>
      </c>
      <c r="C756" s="47">
        <f>Volcanic!C756</f>
        <v>0.56938692750523079</v>
      </c>
      <c r="D756" s="41">
        <v>-1</v>
      </c>
      <c r="E756" s="43">
        <f t="shared" si="166"/>
        <v>-1</v>
      </c>
      <c r="F756" s="48">
        <v>6.3200000000000001E-3</v>
      </c>
      <c r="G756" s="47">
        <f t="shared" si="167"/>
        <v>8.3800000000000003E-3</v>
      </c>
      <c r="H756" s="43">
        <f>Volcanic!D756</f>
        <v>-1</v>
      </c>
      <c r="I756" s="47">
        <f>Volcanic!E756</f>
        <v>1.159E-2</v>
      </c>
      <c r="K756" s="47">
        <f t="shared" si="154"/>
        <v>0.56938692750523079</v>
      </c>
      <c r="L756" s="47">
        <f t="shared" si="155"/>
        <v>-1</v>
      </c>
      <c r="M756" s="47">
        <f t="shared" si="156"/>
        <v>1.159E-2</v>
      </c>
      <c r="O756" s="47">
        <f t="shared" si="157"/>
        <v>0.56938692750523079</v>
      </c>
      <c r="P756" s="47">
        <f t="shared" si="158"/>
        <v>-1</v>
      </c>
      <c r="Q756" s="47">
        <f t="shared" si="159"/>
        <v>8.3800000000000003E-3</v>
      </c>
      <c r="S756" s="47">
        <f t="shared" si="160"/>
        <v>0.56938692750523079</v>
      </c>
      <c r="T756" s="47">
        <f t="shared" si="161"/>
        <v>-1</v>
      </c>
      <c r="U756" s="47">
        <f t="shared" si="162"/>
        <v>8.3800000000000003E-3</v>
      </c>
      <c r="W756" s="47">
        <f t="shared" si="163"/>
        <v>-5.3924044198230381E-2</v>
      </c>
      <c r="X756" s="47">
        <f t="shared" si="164"/>
        <v>-5.1475522905537585E-2</v>
      </c>
      <c r="Y756" s="47">
        <f t="shared" si="165"/>
        <v>-5.1018020483291182E-2</v>
      </c>
      <c r="AP756" s="48">
        <v>0.7823</v>
      </c>
      <c r="AQ756" s="48">
        <v>0.87670000000000003</v>
      </c>
      <c r="AR756" s="47">
        <f>IF(AP756="","",AP756-($AC$60+$AC$61*Volcanic!C756+$AC$62*Volcanic!D756+$AC$63*Volcanic!E756))</f>
        <v>-8.2522656284441442E-2</v>
      </c>
      <c r="AS756" s="47">
        <f>IF(AQ756="","",AQ756-($AD$60+$AD$61*Volcanic!C756+$AD$62*Volcanic!D756+$AD$63*Volcanic!E756))</f>
        <v>-1.8084039136360253E-2</v>
      </c>
    </row>
    <row r="757" spans="1:45">
      <c r="A757" s="45" t="str">
        <f>Volcanic!A757</f>
        <v>2/2021</v>
      </c>
      <c r="B757" s="43">
        <f>Volcanic!B757</f>
        <v>0.64000000000000234</v>
      </c>
      <c r="C757" s="47">
        <f>Volcanic!C757</f>
        <v>0.57365151503101131</v>
      </c>
      <c r="D757" s="41">
        <v>-0.9</v>
      </c>
      <c r="E757" s="43">
        <f t="shared" si="166"/>
        <v>-1.1000000000000001</v>
      </c>
      <c r="F757" s="48">
        <v>5.94E-3</v>
      </c>
      <c r="G757" s="47">
        <f t="shared" si="167"/>
        <v>8.0700000000000008E-3</v>
      </c>
      <c r="H757" s="43">
        <f>Volcanic!D757</f>
        <v>-1.1100000000000001</v>
      </c>
      <c r="I757" s="47">
        <f>Volcanic!E757</f>
        <v>1.061E-2</v>
      </c>
      <c r="K757" s="47">
        <f t="shared" si="154"/>
        <v>0.57365151503101131</v>
      </c>
      <c r="L757" s="47">
        <f t="shared" si="155"/>
        <v>-1.1000000000000001</v>
      </c>
      <c r="M757" s="47">
        <f t="shared" si="156"/>
        <v>1.061E-2</v>
      </c>
      <c r="O757" s="47">
        <f t="shared" si="157"/>
        <v>0.57365151503101131</v>
      </c>
      <c r="P757" s="47">
        <f t="shared" si="158"/>
        <v>-1.1100000000000001</v>
      </c>
      <c r="Q757" s="47">
        <f t="shared" si="159"/>
        <v>8.0700000000000008E-3</v>
      </c>
      <c r="S757" s="47">
        <f t="shared" si="160"/>
        <v>0.57365151503101131</v>
      </c>
      <c r="T757" s="47">
        <f t="shared" si="161"/>
        <v>-1.1000000000000001</v>
      </c>
      <c r="U757" s="47">
        <f t="shared" si="162"/>
        <v>8.0700000000000008E-3</v>
      </c>
      <c r="W757" s="47">
        <f t="shared" si="163"/>
        <v>-0.23842633958668835</v>
      </c>
      <c r="X757" s="47">
        <f t="shared" si="164"/>
        <v>-0.23348214417005841</v>
      </c>
      <c r="Y757" s="47">
        <f t="shared" si="165"/>
        <v>-0.23395617422011095</v>
      </c>
      <c r="AP757" s="48">
        <v>0.64</v>
      </c>
      <c r="AQ757" s="48">
        <v>0.68069999999999997</v>
      </c>
      <c r="AR757" s="47">
        <f>IF(AP757="","",AP757-($AC$60+$AC$61*Volcanic!C757+$AC$62*Volcanic!D757+$AC$63*Volcanic!E757))</f>
        <v>-0.22852468864616637</v>
      </c>
      <c r="AS757" s="47">
        <f>IF(AQ757="","",AQ757-($AD$60+$AD$61*Volcanic!C757+$AD$62*Volcanic!D757+$AD$63*Volcanic!E757))</f>
        <v>-0.21776116401675838</v>
      </c>
    </row>
    <row r="758" spans="1:45">
      <c r="A758" s="45" t="str">
        <f>Volcanic!A758</f>
        <v>3/2021</v>
      </c>
      <c r="B758" s="43">
        <f>Volcanic!B758</f>
        <v>0.8900000000000059</v>
      </c>
      <c r="C758" s="47">
        <f>Volcanic!C758</f>
        <v>0.57672943161896173</v>
      </c>
      <c r="D758" s="41">
        <v>-0.7</v>
      </c>
      <c r="E758" s="43">
        <f t="shared" si="166"/>
        <v>-1.1000000000000001</v>
      </c>
      <c r="F758" s="48">
        <v>5.6600000000000001E-3</v>
      </c>
      <c r="G758" s="47">
        <f t="shared" si="167"/>
        <v>7.7499999999999999E-3</v>
      </c>
      <c r="H758" s="43">
        <f>Volcanic!D758</f>
        <v>-1.06</v>
      </c>
      <c r="I758" s="47">
        <f>Volcanic!E758</f>
        <v>1.0070000000000001E-2</v>
      </c>
      <c r="K758" s="47">
        <f t="shared" si="154"/>
        <v>0.57672943161896173</v>
      </c>
      <c r="L758" s="47">
        <f t="shared" si="155"/>
        <v>-1.1000000000000001</v>
      </c>
      <c r="M758" s="47">
        <f t="shared" si="156"/>
        <v>1.0070000000000001E-2</v>
      </c>
      <c r="O758" s="47">
        <f t="shared" si="157"/>
        <v>0.57672943161896173</v>
      </c>
      <c r="P758" s="47">
        <f t="shared" si="158"/>
        <v>-1.06</v>
      </c>
      <c r="Q758" s="47">
        <f t="shared" si="159"/>
        <v>7.7499999999999999E-3</v>
      </c>
      <c r="S758" s="47">
        <f t="shared" si="160"/>
        <v>0.57672943161896173</v>
      </c>
      <c r="T758" s="47">
        <f t="shared" si="161"/>
        <v>-1.1000000000000001</v>
      </c>
      <c r="U758" s="47">
        <f t="shared" si="162"/>
        <v>7.7499999999999999E-3</v>
      </c>
      <c r="W758" s="47">
        <f t="shared" si="163"/>
        <v>1.9898148980570518E-3</v>
      </c>
      <c r="X758" s="47">
        <f t="shared" si="164"/>
        <v>2.6635759861914909E-3</v>
      </c>
      <c r="Y758" s="47">
        <f t="shared" si="165"/>
        <v>6.8863005563722934E-3</v>
      </c>
      <c r="AP758" s="48">
        <v>0.81269999999999998</v>
      </c>
      <c r="AQ758" s="48">
        <v>0.85070000000000001</v>
      </c>
      <c r="AR758" s="47">
        <f>IF(AP758="","",AP758-($AC$60+$AC$61*Volcanic!C758+$AC$62*Volcanic!D758+$AC$63*Volcanic!E758))</f>
        <v>-7.0210875808137341E-2</v>
      </c>
      <c r="AS758" s="47">
        <f>IF(AQ758="","",AQ758-($AD$60+$AD$61*Volcanic!C758+$AD$62*Volcanic!D758+$AD$63*Volcanic!E758))</f>
        <v>-6.2397087058907785E-2</v>
      </c>
    </row>
    <row r="759" spans="1:45">
      <c r="A759" s="45" t="str">
        <f>Volcanic!A759</f>
        <v>4/2021</v>
      </c>
      <c r="B759" s="43">
        <f>Volcanic!B759</f>
        <v>0.75999999999999801</v>
      </c>
      <c r="C759" s="47">
        <f>Volcanic!C759</f>
        <v>0.58155784820606116</v>
      </c>
      <c r="D759" s="41">
        <v>-0.6</v>
      </c>
      <c r="E759" s="43">
        <f t="shared" si="166"/>
        <v>-1</v>
      </c>
      <c r="F759" s="48">
        <v>5.6800000000000002E-3</v>
      </c>
      <c r="G759" s="47">
        <f t="shared" si="167"/>
        <v>7.5100000000000002E-3</v>
      </c>
      <c r="H759" s="43">
        <f>Volcanic!D759</f>
        <v>-0.99</v>
      </c>
      <c r="I759" s="47">
        <f>Volcanic!E759</f>
        <v>1.0240000000000001E-2</v>
      </c>
      <c r="K759" s="47">
        <f t="shared" si="154"/>
        <v>0.58155784820606116</v>
      </c>
      <c r="L759" s="47">
        <f t="shared" si="155"/>
        <v>-1</v>
      </c>
      <c r="M759" s="47">
        <f t="shared" si="156"/>
        <v>1.0240000000000001E-2</v>
      </c>
      <c r="O759" s="47">
        <f t="shared" si="157"/>
        <v>0.58155784820606116</v>
      </c>
      <c r="P759" s="47">
        <f t="shared" si="158"/>
        <v>-0.99</v>
      </c>
      <c r="Q759" s="47">
        <f t="shared" si="159"/>
        <v>7.5100000000000002E-3</v>
      </c>
      <c r="S759" s="47">
        <f t="shared" si="160"/>
        <v>0.58155784820606116</v>
      </c>
      <c r="T759" s="47">
        <f t="shared" si="161"/>
        <v>-1</v>
      </c>
      <c r="U759" s="47">
        <f t="shared" si="162"/>
        <v>7.5100000000000002E-3</v>
      </c>
      <c r="W759" s="47">
        <f t="shared" si="163"/>
        <v>-0.15009073640372306</v>
      </c>
      <c r="X759" s="47">
        <f t="shared" si="164"/>
        <v>-0.14759302198790203</v>
      </c>
      <c r="Y759" s="47">
        <f t="shared" si="165"/>
        <v>-0.14619515487068568</v>
      </c>
      <c r="AP759" s="48">
        <v>0.8327</v>
      </c>
      <c r="AQ759" s="48">
        <v>0.86770000000000003</v>
      </c>
      <c r="AR759" s="47">
        <f>IF(AP759="","",AP759-($AC$60+$AC$61*Volcanic!C759+$AC$62*Volcanic!D759+$AC$63*Volcanic!E759))</f>
        <v>-6.9541492260957072E-2</v>
      </c>
      <c r="AS759" s="47">
        <f>IF(AQ759="","",AQ759-($AD$60+$AD$61*Volcanic!C759+$AD$62*Volcanic!D759+$AD$63*Volcanic!E759))</f>
        <v>-6.5221106832847875E-2</v>
      </c>
    </row>
    <row r="760" spans="1:45">
      <c r="A760" s="45" t="str">
        <f>Volcanic!A760</f>
        <v>5/2021</v>
      </c>
      <c r="B760" s="43">
        <f>Volcanic!B760</f>
        <v>0.79000000000000092</v>
      </c>
      <c r="C760" s="47">
        <f>Volcanic!C760</f>
        <v>0.58183327024071485</v>
      </c>
      <c r="D760" s="41">
        <v>-0.4</v>
      </c>
      <c r="E760" s="43">
        <f t="shared" si="166"/>
        <v>-0.9</v>
      </c>
      <c r="F760" s="48">
        <v>6.9499999999999996E-3</v>
      </c>
      <c r="G760" s="47">
        <f t="shared" si="167"/>
        <v>7.1599999999999997E-3</v>
      </c>
      <c r="H760" s="43">
        <f>Volcanic!D760</f>
        <v>-0.85</v>
      </c>
      <c r="I760" s="47">
        <f>Volcanic!E760</f>
        <v>1.022E-2</v>
      </c>
      <c r="K760" s="47">
        <f t="shared" si="154"/>
        <v>0.58183327024071485</v>
      </c>
      <c r="L760" s="47">
        <f t="shared" si="155"/>
        <v>-0.9</v>
      </c>
      <c r="M760" s="47">
        <f t="shared" si="156"/>
        <v>1.022E-2</v>
      </c>
      <c r="O760" s="47">
        <f t="shared" si="157"/>
        <v>0.58183327024071485</v>
      </c>
      <c r="P760" s="47">
        <f t="shared" si="158"/>
        <v>-0.85</v>
      </c>
      <c r="Q760" s="47">
        <f t="shared" si="159"/>
        <v>7.1599999999999997E-3</v>
      </c>
      <c r="S760" s="47">
        <f t="shared" si="160"/>
        <v>0.58183327024071485</v>
      </c>
      <c r="T760" s="47">
        <f t="shared" si="161"/>
        <v>-0.9</v>
      </c>
      <c r="U760" s="47">
        <f t="shared" si="162"/>
        <v>7.1599999999999997E-3</v>
      </c>
      <c r="W760" s="47">
        <f t="shared" si="163"/>
        <v>-0.13017325573745886</v>
      </c>
      <c r="X760" s="47">
        <f t="shared" si="164"/>
        <v>-0.13240317616767794</v>
      </c>
      <c r="Y760" s="47">
        <f t="shared" si="165"/>
        <v>-0.12725635100385335</v>
      </c>
      <c r="AP760" s="48">
        <v>0.77349999999999997</v>
      </c>
      <c r="AQ760" s="48">
        <v>0.85070000000000001</v>
      </c>
      <c r="AR760" s="47">
        <f>IF(AP760="","",AP760-($AC$60+$AC$61*Volcanic!C760+$AC$62*Volcanic!D760+$AC$63*Volcanic!E760))</f>
        <v>-0.14265200007253542</v>
      </c>
      <c r="AS760" s="47">
        <f>IF(AQ760="","",AQ760-($AD$60+$AD$61*Volcanic!C760+$AD$62*Volcanic!D760+$AD$63*Volcanic!E760))</f>
        <v>-9.6417347755734517E-2</v>
      </c>
    </row>
    <row r="761" spans="1:45">
      <c r="A761" s="45" t="str">
        <f>Volcanic!A761</f>
        <v>6/2021</v>
      </c>
      <c r="B761" s="43">
        <f>Volcanic!B761</f>
        <v>0.8500000000000032</v>
      </c>
      <c r="C761" s="47">
        <f>Volcanic!C761</f>
        <v>0.5812823735810958</v>
      </c>
      <c r="D761" s="41">
        <v>-0.3</v>
      </c>
      <c r="E761" s="43">
        <f t="shared" si="166"/>
        <v>-0.7</v>
      </c>
      <c r="F761" s="48">
        <v>7.9299999999999995E-3</v>
      </c>
      <c r="G761" s="47">
        <f t="shared" si="167"/>
        <v>6.9899999999999997E-3</v>
      </c>
      <c r="H761" s="43">
        <f>Volcanic!D761</f>
        <v>-0.74</v>
      </c>
      <c r="I761" s="47">
        <f>Volcanic!E761</f>
        <v>1.0319999999999999E-2</v>
      </c>
      <c r="K761" s="47">
        <f t="shared" si="154"/>
        <v>0.5812823735810958</v>
      </c>
      <c r="L761" s="47">
        <f t="shared" si="155"/>
        <v>-0.7</v>
      </c>
      <c r="M761" s="47">
        <f t="shared" si="156"/>
        <v>1.0319999999999999E-2</v>
      </c>
      <c r="O761" s="47">
        <f t="shared" si="157"/>
        <v>0.5812823735810958</v>
      </c>
      <c r="P761" s="47">
        <f t="shared" si="158"/>
        <v>-0.74</v>
      </c>
      <c r="Q761" s="47">
        <f t="shared" si="159"/>
        <v>6.9899999999999997E-3</v>
      </c>
      <c r="S761" s="47">
        <f t="shared" si="160"/>
        <v>0.5812823735810958</v>
      </c>
      <c r="T761" s="47">
        <f t="shared" si="161"/>
        <v>-0.7</v>
      </c>
      <c r="U761" s="47">
        <f t="shared" si="162"/>
        <v>6.9899999999999997E-3</v>
      </c>
      <c r="W761" s="47">
        <f t="shared" si="163"/>
        <v>-8.7025188035902978E-2</v>
      </c>
      <c r="X761" s="47">
        <f t="shared" si="164"/>
        <v>-8.1690931753480966E-2</v>
      </c>
      <c r="Y761" s="47">
        <f t="shared" si="165"/>
        <v>-8.5014041648274863E-2</v>
      </c>
      <c r="AP761" s="48">
        <v>0.79320000000000002</v>
      </c>
      <c r="AQ761" s="48">
        <v>0.82769999999999999</v>
      </c>
      <c r="AR761" s="47">
        <f>IF(AP761="","",AP761-($AC$60+$AC$61*Volcanic!C761+$AC$62*Volcanic!D761+$AC$63*Volcanic!E761))</f>
        <v>-0.13150805829886147</v>
      </c>
      <c r="AS761" s="47">
        <f>IF(AQ761="","",AQ761-($AD$60+$AD$61*Volcanic!C761+$AD$62*Volcanic!D761+$AD$63*Volcanic!E761))</f>
        <v>-0.12815738600171189</v>
      </c>
    </row>
    <row r="762" spans="1:45">
      <c r="A762" s="45" t="str">
        <f>Volcanic!A762</f>
        <v>7/2021</v>
      </c>
      <c r="B762" s="43">
        <f>Volcanic!B762</f>
        <v>0.91999999999999993</v>
      </c>
      <c r="C762" s="47">
        <f>Volcanic!C762</f>
        <v>0.57427454497606012</v>
      </c>
      <c r="D762" s="41">
        <v>-0.3</v>
      </c>
      <c r="E762" s="43">
        <f t="shared" si="166"/>
        <v>-0.6</v>
      </c>
      <c r="F762" s="48">
        <v>7.9500000000000005E-3</v>
      </c>
      <c r="G762" s="47">
        <f t="shared" si="167"/>
        <v>6.5599999999999999E-3</v>
      </c>
      <c r="H762" s="43">
        <f>Volcanic!D762</f>
        <v>-0.56000000000000005</v>
      </c>
      <c r="I762" s="47">
        <f>Volcanic!E762</f>
        <v>9.7000000000000003E-3</v>
      </c>
      <c r="K762" s="47">
        <f t="shared" si="154"/>
        <v>0.57427454497606012</v>
      </c>
      <c r="L762" s="47">
        <f t="shared" si="155"/>
        <v>-0.6</v>
      </c>
      <c r="M762" s="47">
        <f t="shared" si="156"/>
        <v>9.7000000000000003E-3</v>
      </c>
      <c r="O762" s="47">
        <f t="shared" si="157"/>
        <v>0.57427454497606012</v>
      </c>
      <c r="P762" s="47">
        <f t="shared" si="158"/>
        <v>-0.56000000000000005</v>
      </c>
      <c r="Q762" s="47">
        <f t="shared" si="159"/>
        <v>6.5599999999999999E-3</v>
      </c>
      <c r="S762" s="47">
        <f t="shared" si="160"/>
        <v>0.57427454497606012</v>
      </c>
      <c r="T762" s="47">
        <f t="shared" si="161"/>
        <v>-0.6</v>
      </c>
      <c r="U762" s="47">
        <f t="shared" si="162"/>
        <v>6.5599999999999999E-3</v>
      </c>
      <c r="W762" s="47">
        <f t="shared" si="163"/>
        <v>-8.567301197692001E-3</v>
      </c>
      <c r="X762" s="47">
        <f t="shared" si="164"/>
        <v>-1.0776711666754868E-2</v>
      </c>
      <c r="Y762" s="47">
        <f t="shared" si="165"/>
        <v>-6.5958675822558321E-3</v>
      </c>
      <c r="AP762" s="48">
        <v>0.86629999999999996</v>
      </c>
      <c r="AQ762" s="48">
        <v>0.88870000000000005</v>
      </c>
      <c r="AR762" s="47">
        <f>IF(AP762="","",AP762-($AC$60+$AC$61*Volcanic!C762+$AC$62*Volcanic!D762+$AC$63*Volcanic!E762))</f>
        <v>-5.762038717682294E-2</v>
      </c>
      <c r="AS762" s="47">
        <f>IF(AQ762="","",AQ762-($AD$60+$AD$61*Volcanic!C762+$AD$62*Volcanic!D762+$AD$63*Volcanic!E762))</f>
        <v>-6.6150809517809606E-2</v>
      </c>
    </row>
    <row r="763" spans="1:45">
      <c r="A763" s="45" t="str">
        <f>Volcanic!A763</f>
        <v>8/2021</v>
      </c>
      <c r="B763" s="43">
        <f>Volcanic!B763</f>
        <v>0.81000000000000227</v>
      </c>
      <c r="C763" s="47">
        <f>Volcanic!C763</f>
        <v>0.56566680231310262</v>
      </c>
      <c r="D763" s="41">
        <v>-0.5</v>
      </c>
      <c r="E763" s="43">
        <f t="shared" si="166"/>
        <v>-0.4</v>
      </c>
      <c r="F763" s="48">
        <v>7.7999999999999996E-3</v>
      </c>
      <c r="G763" s="47">
        <f t="shared" si="167"/>
        <v>6.3200000000000001E-3</v>
      </c>
      <c r="H763" s="43">
        <f>Volcanic!D763</f>
        <v>-0.4</v>
      </c>
      <c r="I763" s="47">
        <f>Volcanic!E763</f>
        <v>8.9800000000000001E-3</v>
      </c>
      <c r="K763" s="47">
        <f t="shared" si="154"/>
        <v>0.56566680231310262</v>
      </c>
      <c r="L763" s="47">
        <f t="shared" si="155"/>
        <v>-0.4</v>
      </c>
      <c r="M763" s="47">
        <f t="shared" si="156"/>
        <v>8.9800000000000001E-3</v>
      </c>
      <c r="O763" s="47">
        <f t="shared" si="157"/>
        <v>0.56566680231310262</v>
      </c>
      <c r="P763" s="47">
        <f t="shared" si="158"/>
        <v>-0.4</v>
      </c>
      <c r="Q763" s="47">
        <f t="shared" si="159"/>
        <v>6.3200000000000001E-3</v>
      </c>
      <c r="S763" s="47">
        <f t="shared" si="160"/>
        <v>0.56566680231310262</v>
      </c>
      <c r="T763" s="47">
        <f t="shared" si="161"/>
        <v>-0.4</v>
      </c>
      <c r="U763" s="47">
        <f t="shared" si="162"/>
        <v>6.3200000000000001E-3</v>
      </c>
      <c r="W763" s="47">
        <f t="shared" si="163"/>
        <v>-0.11525389178745671</v>
      </c>
      <c r="X763" s="47">
        <f t="shared" si="164"/>
        <v>-0.11316185130105272</v>
      </c>
      <c r="Y763" s="47">
        <f t="shared" si="165"/>
        <v>-0.11275678786934873</v>
      </c>
      <c r="AP763" s="48">
        <v>0.88470000000000004</v>
      </c>
      <c r="AQ763" s="48">
        <v>0.88670000000000004</v>
      </c>
      <c r="AR763" s="47">
        <f>IF(AP763="","",AP763-($AC$60+$AC$61*Volcanic!C763+$AC$62*Volcanic!D763+$AC$63*Volcanic!E763))</f>
        <v>-3.2431695781809156E-2</v>
      </c>
      <c r="AS763" s="47">
        <f>IF(AQ763="","",AQ763-($AD$60+$AD$61*Volcanic!C763+$AD$62*Volcanic!D763+$AD$63*Volcanic!E763))</f>
        <v>-6.0980794284063333E-2</v>
      </c>
    </row>
    <row r="764" spans="1:45">
      <c r="A764" s="45" t="str">
        <f>Volcanic!A764</f>
        <v>9/2021</v>
      </c>
      <c r="B764" s="43">
        <f>Volcanic!B764</f>
        <v>0.91999999999999993</v>
      </c>
      <c r="C764" s="47">
        <f>Volcanic!C764</f>
        <v>0.56162290287573691</v>
      </c>
      <c r="D764" s="41">
        <v>-0.6</v>
      </c>
      <c r="E764" s="43">
        <f t="shared" si="166"/>
        <v>-0.3</v>
      </c>
      <c r="F764" s="48">
        <v>7.7099999999999998E-3</v>
      </c>
      <c r="G764" s="47">
        <f t="shared" si="167"/>
        <v>5.94E-3</v>
      </c>
      <c r="H764" s="43">
        <f>Volcanic!D764</f>
        <v>-0.31</v>
      </c>
      <c r="I764" s="47">
        <f>Volcanic!E764</f>
        <v>8.4200000000000004E-3</v>
      </c>
      <c r="K764" s="47">
        <f t="shared" si="154"/>
        <v>0.56162290287573691</v>
      </c>
      <c r="L764" s="47">
        <f t="shared" si="155"/>
        <v>-0.3</v>
      </c>
      <c r="M764" s="47">
        <f t="shared" si="156"/>
        <v>8.4200000000000004E-3</v>
      </c>
      <c r="O764" s="47">
        <f t="shared" si="157"/>
        <v>0.56162290287573691</v>
      </c>
      <c r="P764" s="47">
        <f t="shared" si="158"/>
        <v>-0.31</v>
      </c>
      <c r="Q764" s="47">
        <f t="shared" si="159"/>
        <v>5.94E-3</v>
      </c>
      <c r="S764" s="47">
        <f t="shared" si="160"/>
        <v>0.56162290287573691</v>
      </c>
      <c r="T764" s="47">
        <f t="shared" si="161"/>
        <v>-0.3</v>
      </c>
      <c r="U764" s="47">
        <f t="shared" si="162"/>
        <v>5.94E-3</v>
      </c>
      <c r="W764" s="47">
        <f t="shared" si="163"/>
        <v>-4.7468745890013597E-3</v>
      </c>
      <c r="X764" s="47">
        <f t="shared" si="164"/>
        <v>-1.6759530296630576E-3</v>
      </c>
      <c r="Y764" s="47">
        <f t="shared" si="165"/>
        <v>-2.2201407856160538E-3</v>
      </c>
      <c r="AP764" s="48">
        <v>0.95</v>
      </c>
      <c r="AQ764" s="48">
        <v>0.97170000000000001</v>
      </c>
      <c r="AR764" s="47">
        <f>IF(AP764="","",AP764-($AC$60+$AC$61*Volcanic!C764+$AC$62*Volcanic!D764+$AC$63*Volcanic!E764))</f>
        <v>3.413507748878819E-2</v>
      </c>
      <c r="AS764" s="47">
        <f>IF(AQ764="","",AQ764-($AD$60+$AD$61*Volcanic!C764+$AD$62*Volcanic!D764+$AD$63*Volcanic!E764))</f>
        <v>2.5462345451571E-2</v>
      </c>
    </row>
    <row r="765" spans="1:45">
      <c r="A765" s="45" t="str">
        <f>Volcanic!A765</f>
        <v>10/2021</v>
      </c>
      <c r="B765" s="43">
        <f>Volcanic!B765</f>
        <v>0.97999999999999865</v>
      </c>
      <c r="C765" s="47">
        <f>Volcanic!C765</f>
        <v>0.56385542139796185</v>
      </c>
      <c r="D765" s="41">
        <v>-0.8</v>
      </c>
      <c r="E765" s="43">
        <f t="shared" si="166"/>
        <v>-0.3</v>
      </c>
      <c r="F765" s="48">
        <v>7.5199999999999998E-3</v>
      </c>
      <c r="G765" s="47">
        <f t="shared" si="167"/>
        <v>5.6600000000000001E-3</v>
      </c>
      <c r="H765" s="43">
        <f>Volcanic!D765</f>
        <v>-0.35</v>
      </c>
      <c r="I765" s="47">
        <f>Volcanic!E765</f>
        <v>8.0099999999999998E-3</v>
      </c>
      <c r="K765" s="47">
        <f t="shared" si="154"/>
        <v>0.56385542139796185</v>
      </c>
      <c r="L765" s="47">
        <f t="shared" si="155"/>
        <v>-0.3</v>
      </c>
      <c r="M765" s="47">
        <f t="shared" si="156"/>
        <v>8.0099999999999998E-3</v>
      </c>
      <c r="O765" s="47">
        <f t="shared" si="157"/>
        <v>0.56385542139796185</v>
      </c>
      <c r="P765" s="47">
        <f t="shared" si="158"/>
        <v>-0.35</v>
      </c>
      <c r="Q765" s="47">
        <f t="shared" si="159"/>
        <v>5.6600000000000001E-3</v>
      </c>
      <c r="S765" s="47">
        <f t="shared" si="160"/>
        <v>0.56385542139796185</v>
      </c>
      <c r="T765" s="47">
        <f t="shared" si="161"/>
        <v>-0.3</v>
      </c>
      <c r="U765" s="47">
        <f t="shared" si="162"/>
        <v>5.6600000000000001E-3</v>
      </c>
      <c r="W765" s="47">
        <f t="shared" si="163"/>
        <v>4.8261265972499023E-2</v>
      </c>
      <c r="X765" s="47">
        <f t="shared" si="164"/>
        <v>5.5314134020631234E-2</v>
      </c>
      <c r="Y765" s="47">
        <f t="shared" si="165"/>
        <v>5.1012311709399127E-2</v>
      </c>
      <c r="AP765" s="48">
        <v>1.0031000000000001</v>
      </c>
      <c r="AQ765" s="48">
        <v>1.0427</v>
      </c>
      <c r="AR765" s="47">
        <f>IF(AP765="","",AP765-($AC$60+$AC$61*Volcanic!C765+$AC$62*Volcanic!D765+$AC$63*Volcanic!E765))</f>
        <v>8.389820627331912E-2</v>
      </c>
      <c r="AS765" s="47">
        <f>IF(AQ765="","",AQ765-($AD$60+$AD$61*Volcanic!C765+$AD$62*Volcanic!D765+$AD$63*Volcanic!E765))</f>
        <v>9.3092827725970051E-2</v>
      </c>
    </row>
    <row r="766" spans="1:45">
      <c r="A766" s="45" t="str">
        <f>Volcanic!A766</f>
        <v>11/2021</v>
      </c>
      <c r="B766" s="43">
        <f>Volcanic!B766</f>
        <v>0.92999999999999794</v>
      </c>
      <c r="C766" s="47">
        <f>Volcanic!C766</f>
        <v>0.56758021431180217</v>
      </c>
      <c r="D766" s="41">
        <v>-0.9</v>
      </c>
      <c r="E766" s="43">
        <f t="shared" si="166"/>
        <v>-0.5</v>
      </c>
      <c r="F766" s="48">
        <v>7.1799999999999998E-3</v>
      </c>
      <c r="G766" s="47">
        <f t="shared" si="167"/>
        <v>5.6800000000000002E-3</v>
      </c>
      <c r="H766" s="43">
        <f>Volcanic!D766</f>
        <v>-0.46</v>
      </c>
      <c r="I766" s="47">
        <f>Volcanic!E766</f>
        <v>8.6199999999999992E-3</v>
      </c>
      <c r="K766" s="47">
        <f t="shared" si="154"/>
        <v>0.56758021431180217</v>
      </c>
      <c r="L766" s="47">
        <f t="shared" si="155"/>
        <v>-0.5</v>
      </c>
      <c r="M766" s="47">
        <f t="shared" si="156"/>
        <v>8.6199999999999992E-3</v>
      </c>
      <c r="O766" s="47">
        <f t="shared" si="157"/>
        <v>0.56758021431180217</v>
      </c>
      <c r="P766" s="47">
        <f t="shared" si="158"/>
        <v>-0.46</v>
      </c>
      <c r="Q766" s="47">
        <f t="shared" si="159"/>
        <v>5.6800000000000002E-3</v>
      </c>
      <c r="S766" s="47">
        <f t="shared" si="160"/>
        <v>0.56758021431180217</v>
      </c>
      <c r="T766" s="47">
        <f t="shared" si="161"/>
        <v>-0.5</v>
      </c>
      <c r="U766" s="47">
        <f t="shared" si="162"/>
        <v>5.6800000000000002E-3</v>
      </c>
      <c r="W766" s="47">
        <f t="shared" si="163"/>
        <v>8.0220080376577352E-3</v>
      </c>
      <c r="X766" s="47">
        <f t="shared" si="164"/>
        <v>5.6290982445217352E-3</v>
      </c>
      <c r="Y766" s="47">
        <f t="shared" si="165"/>
        <v>9.7977094693382227E-3</v>
      </c>
      <c r="AP766" s="48">
        <v>0.93969999999999998</v>
      </c>
      <c r="AQ766" s="48">
        <v>0.91369999999999996</v>
      </c>
      <c r="AR766" s="47">
        <f>IF(AP766="","",AP766-($AC$60+$AC$61*Volcanic!C766+$AC$62*Volcanic!D766+$AC$63*Volcanic!E766))</f>
        <v>2.2095999897085439E-2</v>
      </c>
      <c r="AS766" s="47">
        <f>IF(AQ766="","",AQ766-($AD$60+$AD$61*Volcanic!C766+$AD$62*Volcanic!D766+$AD$63*Volcanic!E766))</f>
        <v>-3.4430724454329487E-2</v>
      </c>
    </row>
    <row r="767" spans="1:45">
      <c r="A767" s="45" t="str">
        <f>Volcanic!A767</f>
        <v>12/2021</v>
      </c>
      <c r="B767" s="43">
        <f>Volcanic!B767</f>
        <v>0.88000000000000256</v>
      </c>
      <c r="C767" s="47">
        <f>Volcanic!C767</f>
        <v>0.5734784033974879</v>
      </c>
      <c r="D767" s="41">
        <v>-0.8</v>
      </c>
      <c r="E767" s="43">
        <f t="shared" si="166"/>
        <v>-0.6</v>
      </c>
      <c r="F767" s="48">
        <v>6.8300000000000001E-3</v>
      </c>
      <c r="G767" s="47">
        <f t="shared" si="167"/>
        <v>6.9499999999999996E-3</v>
      </c>
      <c r="H767" s="43">
        <f>Volcanic!D767</f>
        <v>-0.64</v>
      </c>
      <c r="I767" s="47">
        <f>Volcanic!E767</f>
        <v>1.023E-2</v>
      </c>
      <c r="K767" s="47">
        <f t="shared" si="154"/>
        <v>0.5734784033974879</v>
      </c>
      <c r="L767" s="47">
        <f t="shared" si="155"/>
        <v>-0.6</v>
      </c>
      <c r="M767" s="47">
        <f t="shared" si="156"/>
        <v>1.023E-2</v>
      </c>
      <c r="O767" s="47">
        <f t="shared" si="157"/>
        <v>0.5734784033974879</v>
      </c>
      <c r="P767" s="47">
        <f t="shared" si="158"/>
        <v>-0.64</v>
      </c>
      <c r="Q767" s="47">
        <f t="shared" si="159"/>
        <v>6.9499999999999996E-3</v>
      </c>
      <c r="S767" s="47">
        <f t="shared" si="160"/>
        <v>0.5734784033974879</v>
      </c>
      <c r="T767" s="47">
        <f t="shared" si="161"/>
        <v>-0.6</v>
      </c>
      <c r="U767" s="47">
        <f t="shared" si="162"/>
        <v>6.9499999999999996E-3</v>
      </c>
      <c r="W767" s="47">
        <f t="shared" si="163"/>
        <v>-4.5228234967349623E-2</v>
      </c>
      <c r="X767" s="47">
        <f t="shared" si="164"/>
        <v>-4.0090412123064634E-2</v>
      </c>
      <c r="Y767" s="47">
        <f t="shared" si="165"/>
        <v>-4.3423501657203989E-2</v>
      </c>
      <c r="AP767" s="48">
        <v>0.83340000000000003</v>
      </c>
      <c r="AQ767" s="48">
        <v>0.87170000000000003</v>
      </c>
      <c r="AR767" s="47">
        <f>IF(AP767="","",AP767-($AC$60+$AC$61*Volcanic!C767+$AC$62*Volcanic!D767+$AC$63*Volcanic!E767))</f>
        <v>-7.95795422920067E-2</v>
      </c>
      <c r="AS767" s="47">
        <f>IF(AQ767="","",AQ767-($AD$60+$AD$61*Volcanic!C767+$AD$62*Volcanic!D767+$AD$63*Volcanic!E767))</f>
        <v>-7.2061867285088899E-2</v>
      </c>
    </row>
    <row r="768" spans="1:45">
      <c r="A768" s="45" t="str">
        <f>Volcanic!A768</f>
        <v>1/2022</v>
      </c>
      <c r="B768" s="43">
        <f>Volcanic!B768</f>
        <v>0.91000000000000014</v>
      </c>
      <c r="C768" s="47">
        <f>Volcanic!C768</f>
        <v>0.57852473043934227</v>
      </c>
      <c r="D768" s="41">
        <v>-0.8</v>
      </c>
      <c r="E768" s="43">
        <f t="shared" si="166"/>
        <v>-0.8</v>
      </c>
      <c r="F768" s="48">
        <v>6.5300000000000002E-3</v>
      </c>
      <c r="G768" s="47">
        <f t="shared" si="167"/>
        <v>7.9299999999999995E-3</v>
      </c>
      <c r="H768" s="43">
        <f>Volcanic!D768</f>
        <v>-0.77</v>
      </c>
      <c r="I768" s="47">
        <f>Volcanic!E768</f>
        <v>1.047E-2</v>
      </c>
      <c r="K768" s="47">
        <f t="shared" si="154"/>
        <v>0.57852473043934227</v>
      </c>
      <c r="L768" s="47">
        <f t="shared" si="155"/>
        <v>-0.8</v>
      </c>
      <c r="M768" s="47">
        <f t="shared" si="156"/>
        <v>1.047E-2</v>
      </c>
      <c r="O768" s="47">
        <f t="shared" si="157"/>
        <v>0.57852473043934227</v>
      </c>
      <c r="P768" s="47">
        <f t="shared" si="158"/>
        <v>-0.77</v>
      </c>
      <c r="Q768" s="47">
        <f t="shared" si="159"/>
        <v>7.9299999999999995E-3</v>
      </c>
      <c r="S768" s="47">
        <f t="shared" si="160"/>
        <v>0.57852473043934227</v>
      </c>
      <c r="T768" s="47">
        <f t="shared" si="161"/>
        <v>-0.8</v>
      </c>
      <c r="U768" s="47">
        <f t="shared" si="162"/>
        <v>7.9299999999999995E-3</v>
      </c>
      <c r="W768" s="47">
        <f t="shared" si="163"/>
        <v>-9.8868197227913734E-3</v>
      </c>
      <c r="X768" s="47">
        <f t="shared" si="164"/>
        <v>-8.9613536924554316E-3</v>
      </c>
      <c r="Y768" s="47">
        <f t="shared" si="165"/>
        <v>-5.6993742881594756E-3</v>
      </c>
      <c r="AP768" s="48">
        <v>0.85699999999999998</v>
      </c>
      <c r="AQ768" s="48">
        <v>0.92869999999999997</v>
      </c>
      <c r="AR768" s="47">
        <f>IF(AP768="","",AP768-($AC$60+$AC$61*Volcanic!C768+$AC$62*Volcanic!D768+$AC$63*Volcanic!E768))</f>
        <v>-5.7007732535706457E-2</v>
      </c>
      <c r="AS768" s="47">
        <f>IF(AQ768="","",AQ768-($AD$60+$AD$61*Volcanic!C768+$AD$62*Volcanic!D768+$AD$63*Volcanic!E768))</f>
        <v>-1.6223039943348838E-2</v>
      </c>
    </row>
    <row r="769" spans="1:45">
      <c r="A769" s="45" t="str">
        <f>Volcanic!A769</f>
        <v>2/2022</v>
      </c>
      <c r="B769" s="43">
        <f>Volcanic!B769</f>
        <v>0.8900000000000059</v>
      </c>
      <c r="C769" s="47">
        <f>Volcanic!C769</f>
        <v>0.58234954487825097</v>
      </c>
      <c r="D769" s="41">
        <v>-0.7</v>
      </c>
      <c r="E769" s="43">
        <f t="shared" si="166"/>
        <v>-0.9</v>
      </c>
      <c r="F769" s="48">
        <v>9.8700000000000003E-3</v>
      </c>
      <c r="G769" s="47">
        <f t="shared" si="167"/>
        <v>7.9500000000000005E-3</v>
      </c>
      <c r="H769" s="43">
        <f>Volcanic!D769</f>
        <v>-0.91</v>
      </c>
      <c r="I769" s="47">
        <f>Volcanic!E769</f>
        <v>1.085E-2</v>
      </c>
      <c r="K769" s="47">
        <f t="shared" si="154"/>
        <v>0.58234954487825097</v>
      </c>
      <c r="L769" s="47">
        <f t="shared" si="155"/>
        <v>-0.9</v>
      </c>
      <c r="M769" s="47">
        <f t="shared" si="156"/>
        <v>1.085E-2</v>
      </c>
      <c r="O769" s="47">
        <f t="shared" si="157"/>
        <v>0.58234954487825097</v>
      </c>
      <c r="P769" s="47">
        <f t="shared" si="158"/>
        <v>-0.91</v>
      </c>
      <c r="Q769" s="47">
        <f t="shared" si="159"/>
        <v>7.9500000000000005E-3</v>
      </c>
      <c r="S769" s="47">
        <f t="shared" si="160"/>
        <v>0.58234954487825097</v>
      </c>
      <c r="T769" s="47">
        <f t="shared" si="161"/>
        <v>-0.9</v>
      </c>
      <c r="U769" s="47">
        <f t="shared" si="162"/>
        <v>7.9500000000000005E-3</v>
      </c>
      <c r="W769" s="47">
        <f t="shared" si="163"/>
        <v>-3.019299364610617E-2</v>
      </c>
      <c r="X769" s="47">
        <f t="shared" si="164"/>
        <v>-2.609872002577962E-2</v>
      </c>
      <c r="Y769" s="47">
        <f t="shared" si="165"/>
        <v>-2.6585474577920154E-2</v>
      </c>
      <c r="AP769" s="48">
        <v>0.82809999999999995</v>
      </c>
      <c r="AQ769" s="48">
        <v>0.87170000000000003</v>
      </c>
      <c r="AR769" s="47">
        <f>IF(AP769="","",AP769-($AC$60+$AC$61*Volcanic!C769+$AC$62*Volcanic!D769+$AC$63*Volcanic!E769))</f>
        <v>-8.2327131526681252E-2</v>
      </c>
      <c r="AS769" s="47">
        <f>IF(AQ769="","",AQ769-($AD$60+$AD$61*Volcanic!C769+$AD$62*Volcanic!D769+$AD$63*Volcanic!E769))</f>
        <v>-6.9686593642873995E-2</v>
      </c>
    </row>
    <row r="770" spans="1:45">
      <c r="A770" s="45" t="str">
        <f>Volcanic!A770</f>
        <v>3/2022</v>
      </c>
      <c r="B770" s="43">
        <f>Volcanic!B770</f>
        <v>1.0500000000000025</v>
      </c>
      <c r="C770" s="47">
        <f>Volcanic!C770</f>
        <v>0.5806968152950519</v>
      </c>
      <c r="D770" s="41">
        <v>-0.8</v>
      </c>
      <c r="E770" s="43">
        <f t="shared" si="166"/>
        <v>-0.8</v>
      </c>
      <c r="F770" s="48">
        <v>1.4319999999999999E-2</v>
      </c>
      <c r="G770" s="47">
        <f t="shared" si="167"/>
        <v>7.7999999999999996E-3</v>
      </c>
      <c r="H770" s="43">
        <f>Volcanic!D770</f>
        <v>-0.83</v>
      </c>
      <c r="I770" s="47">
        <f>Volcanic!E770</f>
        <v>1.0070000000000001E-2</v>
      </c>
      <c r="K770" s="47">
        <f t="shared" ref="K770:K823" si="168">C770</f>
        <v>0.5806968152950519</v>
      </c>
      <c r="L770" s="47">
        <f t="shared" ref="L770:L823" si="169">E770</f>
        <v>-0.8</v>
      </c>
      <c r="M770" s="47">
        <f t="shared" ref="M770:M823" si="170">I770</f>
        <v>1.0070000000000001E-2</v>
      </c>
      <c r="O770" s="47">
        <f t="shared" ref="O770:O823" si="171">C770</f>
        <v>0.5806968152950519</v>
      </c>
      <c r="P770" s="47">
        <f t="shared" ref="P770:P823" si="172">H770</f>
        <v>-0.83</v>
      </c>
      <c r="Q770" s="47">
        <f t="shared" ref="Q770:Q823" si="173">G770</f>
        <v>7.7999999999999996E-3</v>
      </c>
      <c r="S770" s="47">
        <f t="shared" ref="S770:S823" si="174">C770</f>
        <v>0.5806968152950519</v>
      </c>
      <c r="T770" s="47">
        <f t="shared" ref="T770:T823" si="175">E770</f>
        <v>-0.8</v>
      </c>
      <c r="U770" s="47">
        <f t="shared" ref="U770:U823" si="176">G770</f>
        <v>7.7999999999999996E-3</v>
      </c>
      <c r="W770" s="47">
        <f t="shared" ref="W770:W823" si="177">IF(OR(L770="",M770=""),"",B770-($AB$6+$AB$7*K770+$AB$8*L770+$AB$9*M770))</f>
        <v>0.12330816779752696</v>
      </c>
      <c r="X770" s="47">
        <f t="shared" ref="X770:X823" si="178">IF(OR(P770="",Q770=""),"",B770-($AC$6+$AC$7*O770+$AC$8*P770+$AC$9*Q770))</f>
        <v>0.13046275704637511</v>
      </c>
      <c r="Y770" s="47">
        <f t="shared" ref="Y770:Y823" si="179">IF(OR(T770="",U770=""),"",B770-($AD$6+$AD$7*S770+$AD$8*T770+$AD$9*U770))</f>
        <v>0.12808882227031526</v>
      </c>
      <c r="AP770" s="48">
        <v>0.96509999999999996</v>
      </c>
      <c r="AQ770" s="48">
        <v>1.0607</v>
      </c>
      <c r="AR770" s="47">
        <f>IF(AP770="","",AP770-($AC$60+$AC$61*Volcanic!C770+$AC$62*Volcanic!D770+$AC$63*Volcanic!E770))</f>
        <v>4.9817380934714772E-2</v>
      </c>
      <c r="AS770" s="47">
        <f>IF(AQ770="","",AQ770-($AD$60+$AD$61*Volcanic!C770+$AD$62*Volcanic!D770+$AD$63*Volcanic!E770))</f>
        <v>0.11451090071261227</v>
      </c>
    </row>
    <row r="771" spans="1:45">
      <c r="A771" s="45" t="str">
        <f>Volcanic!A771</f>
        <v>4/2022</v>
      </c>
      <c r="B771" s="43">
        <f>Volcanic!B771</f>
        <v>0.83000000000000362</v>
      </c>
      <c r="C771" s="47">
        <f>Volcanic!C771</f>
        <v>0.5856150008995481</v>
      </c>
      <c r="D771" s="41">
        <v>-0.9</v>
      </c>
      <c r="E771" s="43">
        <f t="shared" si="166"/>
        <v>-0.8</v>
      </c>
      <c r="F771" s="48">
        <v>1.4630000000000001E-2</v>
      </c>
      <c r="G771" s="47">
        <f t="shared" si="167"/>
        <v>7.7099999999999998E-3</v>
      </c>
      <c r="H771" s="43">
        <f>Volcanic!D771</f>
        <v>-0.76</v>
      </c>
      <c r="I771" s="47">
        <f>Volcanic!E771</f>
        <v>9.9699999999999997E-3</v>
      </c>
      <c r="K771" s="47">
        <f t="shared" si="168"/>
        <v>0.5856150008995481</v>
      </c>
      <c r="L771" s="47">
        <f t="shared" si="169"/>
        <v>-0.8</v>
      </c>
      <c r="M771" s="47">
        <f t="shared" si="170"/>
        <v>9.9699999999999997E-3</v>
      </c>
      <c r="O771" s="47">
        <f t="shared" si="171"/>
        <v>0.5856150008995481</v>
      </c>
      <c r="P771" s="47">
        <f t="shared" si="172"/>
        <v>-0.76</v>
      </c>
      <c r="Q771" s="47">
        <f t="shared" si="173"/>
        <v>7.7099999999999998E-3</v>
      </c>
      <c r="S771" s="47">
        <f t="shared" si="174"/>
        <v>0.5856150008995481</v>
      </c>
      <c r="T771" s="47">
        <f t="shared" si="175"/>
        <v>-0.8</v>
      </c>
      <c r="U771" s="47">
        <f t="shared" si="176"/>
        <v>7.7099999999999998E-3</v>
      </c>
      <c r="W771" s="47">
        <f t="shared" si="177"/>
        <v>-0.11032481741696942</v>
      </c>
      <c r="X771" s="47">
        <f t="shared" si="178"/>
        <v>-0.10964462570267275</v>
      </c>
      <c r="Y771" s="47">
        <f t="shared" si="179"/>
        <v>-0.10544181615283854</v>
      </c>
      <c r="AP771" s="48">
        <v>0.84250000000000003</v>
      </c>
      <c r="AQ771" s="48">
        <v>0.90969999999999995</v>
      </c>
      <c r="AR771" s="47">
        <f>IF(AP771="","",AP771-($AC$60+$AC$61*Volcanic!C771+$AC$62*Volcanic!D771+$AC$63*Volcanic!E771))</f>
        <v>-9.300803359984855E-2</v>
      </c>
      <c r="AS771" s="47">
        <f>IF(AQ771="","",AQ771-($AD$60+$AD$61*Volcanic!C771+$AD$62*Volcanic!D771+$AD$63*Volcanic!E771))</f>
        <v>-5.7182948544951762E-2</v>
      </c>
    </row>
    <row r="772" spans="1:45">
      <c r="A772" s="45" t="str">
        <f>Volcanic!A772</f>
        <v>5/2022</v>
      </c>
      <c r="B772" s="43">
        <f>Volcanic!B772</f>
        <v>0.83999999999999986</v>
      </c>
      <c r="C772" s="47">
        <f>Volcanic!C772</f>
        <v>0.58829059758610203</v>
      </c>
      <c r="D772" s="41">
        <v>-0.8</v>
      </c>
      <c r="E772" s="43">
        <f t="shared" si="166"/>
        <v>-0.7</v>
      </c>
      <c r="F772" s="48">
        <v>1.4290000000000001E-2</v>
      </c>
      <c r="G772" s="47">
        <f t="shared" si="167"/>
        <v>7.5199999999999998E-3</v>
      </c>
      <c r="H772" s="43">
        <f>Volcanic!D772</f>
        <v>-0.68</v>
      </c>
      <c r="I772" s="47">
        <f>Volcanic!E772</f>
        <v>9.9100000000000004E-3</v>
      </c>
      <c r="K772" s="47">
        <f t="shared" si="168"/>
        <v>0.58829059758610203</v>
      </c>
      <c r="L772" s="47">
        <f t="shared" si="169"/>
        <v>-0.7</v>
      </c>
      <c r="M772" s="47">
        <f t="shared" si="170"/>
        <v>9.9100000000000004E-3</v>
      </c>
      <c r="O772" s="47">
        <f t="shared" si="171"/>
        <v>0.58829059758610203</v>
      </c>
      <c r="P772" s="47">
        <f t="shared" si="172"/>
        <v>-0.68</v>
      </c>
      <c r="Q772" s="47">
        <f t="shared" si="173"/>
        <v>7.5199999999999998E-3</v>
      </c>
      <c r="S772" s="47">
        <f t="shared" si="174"/>
        <v>0.58829059758610203</v>
      </c>
      <c r="T772" s="47">
        <f t="shared" si="175"/>
        <v>-0.7</v>
      </c>
      <c r="U772" s="47">
        <f t="shared" si="176"/>
        <v>7.5199999999999998E-3</v>
      </c>
      <c r="W772" s="47">
        <f t="shared" si="177"/>
        <v>-0.11704111543993745</v>
      </c>
      <c r="X772" s="47">
        <f t="shared" si="178"/>
        <v>-0.11488962972716021</v>
      </c>
      <c r="Y772" s="47">
        <f t="shared" si="179"/>
        <v>-0.11257281339311509</v>
      </c>
      <c r="AP772" s="48">
        <v>0.82499999999999996</v>
      </c>
      <c r="AQ772" s="48">
        <v>0.87870000000000004</v>
      </c>
      <c r="AR772" s="47">
        <f>IF(AP772="","",AP772-($AC$60+$AC$61*Volcanic!C772+$AC$62*Volcanic!D772+$AC$63*Volcanic!E772))</f>
        <v>-0.12545001968315794</v>
      </c>
      <c r="AS772" s="47">
        <f>IF(AQ772="","",AQ772-($AD$60+$AD$61*Volcanic!C772+$AD$62*Volcanic!D772+$AD$63*Volcanic!E772))</f>
        <v>-0.10345957575468445</v>
      </c>
    </row>
    <row r="773" spans="1:45">
      <c r="A773" s="45" t="str">
        <f>Volcanic!A773</f>
        <v>6/2022</v>
      </c>
      <c r="B773" s="43">
        <f>Volcanic!B773</f>
        <v>0.92999999999999794</v>
      </c>
      <c r="C773" s="47">
        <f>Volcanic!C773</f>
        <v>0.58818778172396691</v>
      </c>
      <c r="D773" s="41">
        <v>-0.7</v>
      </c>
      <c r="E773" s="43">
        <f t="shared" ref="E773:E823" si="180">IF(D770="","",D770)</f>
        <v>-0.8</v>
      </c>
      <c r="F773" s="48">
        <v>1.435E-2</v>
      </c>
      <c r="G773" s="47">
        <f t="shared" si="167"/>
        <v>7.1799999999999998E-3</v>
      </c>
      <c r="H773" s="43">
        <f>Volcanic!D773</f>
        <v>-0.77</v>
      </c>
      <c r="I773" s="47">
        <f>Volcanic!E773</f>
        <v>9.7999999999999997E-3</v>
      </c>
      <c r="K773" s="47">
        <f t="shared" si="168"/>
        <v>0.58818778172396691</v>
      </c>
      <c r="L773" s="47">
        <f t="shared" si="169"/>
        <v>-0.8</v>
      </c>
      <c r="M773" s="47">
        <f t="shared" si="170"/>
        <v>9.7999999999999997E-3</v>
      </c>
      <c r="O773" s="47">
        <f t="shared" si="171"/>
        <v>0.58818778172396691</v>
      </c>
      <c r="P773" s="47">
        <f t="shared" si="172"/>
        <v>-0.77</v>
      </c>
      <c r="Q773" s="47">
        <f t="shared" si="173"/>
        <v>7.1799999999999998E-3</v>
      </c>
      <c r="S773" s="47">
        <f t="shared" si="174"/>
        <v>0.58818778172396691</v>
      </c>
      <c r="T773" s="47">
        <f t="shared" si="175"/>
        <v>-0.8</v>
      </c>
      <c r="U773" s="47">
        <f t="shared" si="176"/>
        <v>7.1799999999999998E-3</v>
      </c>
      <c r="W773" s="47">
        <f t="shared" si="177"/>
        <v>-1.7715777382836251E-2</v>
      </c>
      <c r="X773" s="47">
        <f t="shared" si="178"/>
        <v>-1.7045738160415658E-2</v>
      </c>
      <c r="Y773" s="47">
        <f t="shared" si="179"/>
        <v>-1.378314522173707E-2</v>
      </c>
      <c r="AP773" s="48">
        <v>0.92279999999999995</v>
      </c>
      <c r="AQ773" s="48">
        <v>0.95469999999999999</v>
      </c>
      <c r="AR773" s="47">
        <f>IF(AP773="","",AP773-($AC$60+$AC$61*Volcanic!C773+$AC$62*Volcanic!D773+$AC$63*Volcanic!E773))</f>
        <v>-1.9205892780362555E-2</v>
      </c>
      <c r="AS773" s="47">
        <f>IF(AQ773="","",AQ773-($AD$60+$AD$61*Volcanic!C773+$AD$62*Volcanic!D773+$AD$63*Volcanic!E773))</f>
        <v>-1.8822748986232818E-2</v>
      </c>
    </row>
    <row r="774" spans="1:45">
      <c r="A774" s="45" t="str">
        <f>Volcanic!A774</f>
        <v>7/2022</v>
      </c>
      <c r="B774" s="43">
        <f>Volcanic!B774</f>
        <v>0.93999999999999773</v>
      </c>
      <c r="C774" s="47">
        <f>Volcanic!C774</f>
        <v>0.58100684634573119</v>
      </c>
      <c r="D774" s="41">
        <v>-0.7</v>
      </c>
      <c r="E774" s="43">
        <f t="shared" si="180"/>
        <v>-0.9</v>
      </c>
      <c r="F774" s="48">
        <v>1.482E-2</v>
      </c>
      <c r="G774" s="47">
        <f t="shared" si="167"/>
        <v>6.8300000000000001E-3</v>
      </c>
      <c r="H774" s="43">
        <f>Volcanic!D774</f>
        <v>-0.86</v>
      </c>
      <c r="I774" s="47">
        <f>Volcanic!E774</f>
        <v>9.4699999999999993E-3</v>
      </c>
      <c r="K774" s="47">
        <f t="shared" si="168"/>
        <v>0.58100684634573119</v>
      </c>
      <c r="L774" s="47">
        <f t="shared" si="169"/>
        <v>-0.9</v>
      </c>
      <c r="M774" s="47">
        <f t="shared" si="170"/>
        <v>9.4699999999999993E-3</v>
      </c>
      <c r="O774" s="47">
        <f t="shared" si="171"/>
        <v>0.58100684634573119</v>
      </c>
      <c r="P774" s="47">
        <f t="shared" si="172"/>
        <v>-0.86</v>
      </c>
      <c r="Q774" s="47">
        <f t="shared" si="173"/>
        <v>6.8300000000000001E-3</v>
      </c>
      <c r="S774" s="47">
        <f t="shared" si="174"/>
        <v>0.58100684634573119</v>
      </c>
      <c r="T774" s="47">
        <f t="shared" si="175"/>
        <v>-0.9</v>
      </c>
      <c r="U774" s="47">
        <f t="shared" si="176"/>
        <v>6.8300000000000001E-3</v>
      </c>
      <c r="W774" s="47">
        <f t="shared" si="177"/>
        <v>2.042788289447206E-2</v>
      </c>
      <c r="X774" s="47">
        <f t="shared" si="178"/>
        <v>1.9908279530917228E-2</v>
      </c>
      <c r="Y774" s="47">
        <f t="shared" si="179"/>
        <v>2.4114475514597777E-2</v>
      </c>
      <c r="AP774" s="48">
        <v>0.85289999999999999</v>
      </c>
      <c r="AQ774" s="48">
        <v>0.90769999999999995</v>
      </c>
      <c r="AR774" s="47">
        <f>IF(AP774="","",AP774-($AC$60+$AC$61*Volcanic!C774+$AC$62*Volcanic!D774+$AC$63*Volcanic!E774))</f>
        <v>-6.186355949501221E-2</v>
      </c>
      <c r="AS774" s="47">
        <f>IF(AQ774="","",AQ774-($AD$60+$AD$61*Volcanic!C774+$AD$62*Volcanic!D774+$AD$63*Volcanic!E774))</f>
        <v>-3.7864746650967951E-2</v>
      </c>
    </row>
    <row r="775" spans="1:45">
      <c r="A775" s="45" t="str">
        <f>Volcanic!A775</f>
        <v>8/2022</v>
      </c>
      <c r="B775" s="43">
        <f>Volcanic!B775</f>
        <v>0.93999999999999773</v>
      </c>
      <c r="C775" s="47">
        <f>Volcanic!C775</f>
        <v>0.57513941823551418</v>
      </c>
      <c r="D775" s="41">
        <v>-0.8</v>
      </c>
      <c r="E775" s="43">
        <f t="shared" si="180"/>
        <v>-0.8</v>
      </c>
      <c r="F775" s="48">
        <v>1.469E-2</v>
      </c>
      <c r="G775" s="47">
        <f t="shared" si="167"/>
        <v>6.5300000000000002E-3</v>
      </c>
      <c r="H775" s="43">
        <f>Volcanic!D775</f>
        <v>-0.83</v>
      </c>
      <c r="I775" s="47">
        <f>Volcanic!E775</f>
        <v>1.5140000000000001E-2</v>
      </c>
      <c r="K775" s="47">
        <f t="shared" si="168"/>
        <v>0.57513941823551418</v>
      </c>
      <c r="L775" s="47">
        <f t="shared" si="169"/>
        <v>-0.8</v>
      </c>
      <c r="M775" s="47">
        <f t="shared" si="170"/>
        <v>1.5140000000000001E-2</v>
      </c>
      <c r="O775" s="47">
        <f t="shared" si="171"/>
        <v>0.57513941823551418</v>
      </c>
      <c r="P775" s="47">
        <f t="shared" si="172"/>
        <v>-0.83</v>
      </c>
      <c r="Q775" s="47">
        <f t="shared" si="173"/>
        <v>6.5300000000000002E-3</v>
      </c>
      <c r="S775" s="47">
        <f t="shared" si="174"/>
        <v>0.57513941823551418</v>
      </c>
      <c r="T775" s="47">
        <f t="shared" si="175"/>
        <v>-0.8</v>
      </c>
      <c r="U775" s="47">
        <f t="shared" si="176"/>
        <v>6.5300000000000002E-3</v>
      </c>
      <c r="W775" s="47">
        <f t="shared" si="177"/>
        <v>3.9635898287079696E-2</v>
      </c>
      <c r="X775" s="47">
        <f t="shared" si="178"/>
        <v>3.2169422413755311E-2</v>
      </c>
      <c r="Y775" s="47">
        <f t="shared" si="179"/>
        <v>2.9789890734568392E-2</v>
      </c>
      <c r="AP775" s="48">
        <v>0.9506</v>
      </c>
      <c r="AQ775" s="48">
        <v>0.9587</v>
      </c>
      <c r="AR775" s="47">
        <f>IF(AP775="","",AP775-($AC$60+$AC$61*Volcanic!C775+$AC$62*Volcanic!D775+$AC$63*Volcanic!E775))</f>
        <v>6.2691889760868924E-2</v>
      </c>
      <c r="AS775" s="47">
        <f>IF(AQ775="","",AQ775-($AD$60+$AD$61*Volcanic!C775+$AD$62*Volcanic!D775+$AD$63*Volcanic!E775))</f>
        <v>3.9688678394246391E-2</v>
      </c>
    </row>
    <row r="776" spans="1:45">
      <c r="A776" s="45" t="str">
        <f>Volcanic!A776</f>
        <v>9/2022</v>
      </c>
      <c r="B776" s="43">
        <f>Volcanic!B776</f>
        <v>0.88000000000000256</v>
      </c>
      <c r="C776" s="47">
        <f>Volcanic!C776</f>
        <v>0.57084454590484046</v>
      </c>
      <c r="D776" s="41">
        <v>-0.9</v>
      </c>
      <c r="E776" s="43">
        <f t="shared" si="180"/>
        <v>-0.7</v>
      </c>
      <c r="F776" s="48">
        <v>1.44E-2</v>
      </c>
      <c r="G776" s="47">
        <f t="shared" si="167"/>
        <v>9.8700000000000003E-3</v>
      </c>
      <c r="H776" s="43">
        <f>Volcanic!D776</f>
        <v>-0.73</v>
      </c>
      <c r="I776" s="47">
        <f>Volcanic!E776</f>
        <v>2.1350000000000001E-2</v>
      </c>
      <c r="K776" s="47">
        <f t="shared" si="168"/>
        <v>0.57084454590484046</v>
      </c>
      <c r="L776" s="47">
        <f t="shared" si="169"/>
        <v>-0.7</v>
      </c>
      <c r="M776" s="47">
        <f t="shared" si="170"/>
        <v>2.1350000000000001E-2</v>
      </c>
      <c r="O776" s="47">
        <f t="shared" si="171"/>
        <v>0.57084454590484046</v>
      </c>
      <c r="P776" s="47">
        <f t="shared" si="172"/>
        <v>-0.73</v>
      </c>
      <c r="Q776" s="47">
        <f t="shared" si="173"/>
        <v>9.8700000000000003E-3</v>
      </c>
      <c r="S776" s="47">
        <f t="shared" si="174"/>
        <v>0.57084454590484046</v>
      </c>
      <c r="T776" s="47">
        <f t="shared" si="175"/>
        <v>-0.7</v>
      </c>
      <c r="U776" s="47">
        <f t="shared" si="176"/>
        <v>9.8700000000000003E-3</v>
      </c>
      <c r="W776" s="47">
        <f t="shared" si="177"/>
        <v>-4.254779207898518E-3</v>
      </c>
      <c r="X776" s="47">
        <f t="shared" si="178"/>
        <v>-1.6886077869787797E-2</v>
      </c>
      <c r="Y776" s="47">
        <f t="shared" si="179"/>
        <v>-1.9264108692281678E-2</v>
      </c>
      <c r="AP776" s="48">
        <v>0.89129999999999998</v>
      </c>
      <c r="AQ776" s="48">
        <v>0.90169999999999995</v>
      </c>
      <c r="AR776" s="47">
        <f>IF(AP776="","",AP776-($AC$60+$AC$61*Volcanic!C776+$AC$62*Volcanic!D776+$AC$63*Volcanic!E776))</f>
        <v>2.0697496544100247E-2</v>
      </c>
      <c r="AS776" s="47">
        <f>IF(AQ776="","",AQ776-($AD$60+$AD$61*Volcanic!C776+$AD$62*Volcanic!D776+$AD$63*Volcanic!E776))</f>
        <v>-6.1516761939317544E-4</v>
      </c>
    </row>
    <row r="777" spans="1:45">
      <c r="A777" s="45" t="str">
        <f>Volcanic!A777</f>
        <v>10/2022</v>
      </c>
      <c r="B777" s="43">
        <f>Volcanic!B777</f>
        <v>0.96999999999999886</v>
      </c>
      <c r="C777" s="47">
        <f>Volcanic!C777</f>
        <v>0.57025473490173317</v>
      </c>
      <c r="D777" s="41">
        <v>-0.9</v>
      </c>
      <c r="E777" s="43">
        <f t="shared" si="180"/>
        <v>-0.7</v>
      </c>
      <c r="F777" s="48">
        <v>1.3860000000000001E-2</v>
      </c>
      <c r="G777" s="47">
        <f t="shared" ref="G777:G823" si="181">IF(F770="","",F770)</f>
        <v>1.4319999999999999E-2</v>
      </c>
      <c r="H777" s="43">
        <f>Volcanic!D777</f>
        <v>-0.7</v>
      </c>
      <c r="I777" s="47">
        <f>Volcanic!E777</f>
        <v>2.3550000000000001E-2</v>
      </c>
      <c r="K777" s="47">
        <f t="shared" si="168"/>
        <v>0.57025473490173317</v>
      </c>
      <c r="L777" s="47">
        <f t="shared" si="169"/>
        <v>-0.7</v>
      </c>
      <c r="M777" s="47">
        <f t="shared" si="170"/>
        <v>2.3550000000000001E-2</v>
      </c>
      <c r="O777" s="47">
        <f t="shared" si="171"/>
        <v>0.57025473490173317</v>
      </c>
      <c r="P777" s="47">
        <f t="shared" si="172"/>
        <v>-0.7</v>
      </c>
      <c r="Q777" s="47">
        <f t="shared" si="173"/>
        <v>1.4319999999999999E-2</v>
      </c>
      <c r="S777" s="47">
        <f t="shared" si="174"/>
        <v>0.57025473490173317</v>
      </c>
      <c r="T777" s="47">
        <f t="shared" si="175"/>
        <v>-0.7</v>
      </c>
      <c r="U777" s="47">
        <f t="shared" si="176"/>
        <v>1.4319999999999999E-2</v>
      </c>
      <c r="W777" s="47">
        <f t="shared" si="177"/>
        <v>9.2201479270183739E-2</v>
      </c>
      <c r="X777" s="47">
        <f t="shared" si="178"/>
        <v>8.3517184546968104E-2</v>
      </c>
      <c r="Y777" s="47">
        <f t="shared" si="179"/>
        <v>8.397077695388544E-2</v>
      </c>
      <c r="AP777" s="48">
        <v>1.026</v>
      </c>
      <c r="AQ777" s="48">
        <v>1.0237000000000001</v>
      </c>
      <c r="AR777" s="47">
        <f>IF(AP777="","",AP777-($AC$60+$AC$61*Volcanic!C777+$AC$62*Volcanic!D777+$AC$63*Volcanic!E777))</f>
        <v>0.15949232682818293</v>
      </c>
      <c r="AS777" s="47">
        <f>IF(AQ777="","",AQ777-($AD$60+$AD$61*Volcanic!C777+$AD$62*Volcanic!D777+$AD$63*Volcanic!E777))</f>
        <v>0.12520868282015296</v>
      </c>
    </row>
    <row r="778" spans="1:45">
      <c r="A778" s="45" t="str">
        <f>Volcanic!A778</f>
        <v>11/2022</v>
      </c>
      <c r="B778" s="43">
        <f>Volcanic!B778</f>
        <v>0.7300000000000022</v>
      </c>
      <c r="C778" s="47">
        <f>Volcanic!C778</f>
        <v>0.57624569998219233</v>
      </c>
      <c r="D778" s="41">
        <v>-0.8</v>
      </c>
      <c r="E778" s="43">
        <f t="shared" si="180"/>
        <v>-0.8</v>
      </c>
      <c r="F778" s="48">
        <v>1.3639999999999999E-2</v>
      </c>
      <c r="G778" s="47">
        <f t="shared" si="181"/>
        <v>1.4630000000000001E-2</v>
      </c>
      <c r="H778" s="43">
        <f>Volcanic!D778</f>
        <v>-0.78</v>
      </c>
      <c r="I778" s="47">
        <f>Volcanic!E778</f>
        <v>2.726E-2</v>
      </c>
      <c r="K778" s="47">
        <f t="shared" si="168"/>
        <v>0.57624569998219233</v>
      </c>
      <c r="L778" s="47">
        <f t="shared" si="169"/>
        <v>-0.8</v>
      </c>
      <c r="M778" s="47">
        <f t="shared" si="170"/>
        <v>2.726E-2</v>
      </c>
      <c r="O778" s="47">
        <f t="shared" si="171"/>
        <v>0.57624569998219233</v>
      </c>
      <c r="P778" s="47">
        <f t="shared" si="172"/>
        <v>-0.78</v>
      </c>
      <c r="Q778" s="47">
        <f t="shared" si="173"/>
        <v>1.4630000000000001E-2</v>
      </c>
      <c r="S778" s="47">
        <f t="shared" si="174"/>
        <v>0.57624569998219233</v>
      </c>
      <c r="T778" s="47">
        <f t="shared" si="175"/>
        <v>-0.8</v>
      </c>
      <c r="U778" s="47">
        <f t="shared" si="176"/>
        <v>1.4630000000000001E-2</v>
      </c>
      <c r="W778" s="47">
        <f t="shared" si="177"/>
        <v>-0.14667437528497296</v>
      </c>
      <c r="X778" s="47">
        <f t="shared" si="178"/>
        <v>-0.16435501355284243</v>
      </c>
      <c r="Y778" s="47">
        <f t="shared" si="179"/>
        <v>-0.16201243445266345</v>
      </c>
      <c r="AP778" s="48">
        <v>0.74409999999999998</v>
      </c>
      <c r="AQ778" s="48">
        <v>0.7127</v>
      </c>
      <c r="AR778" s="47">
        <f>IF(AP778="","",AP778-($AC$60+$AC$61*Volcanic!C778+$AC$62*Volcanic!D778+$AC$63*Volcanic!E778))</f>
        <v>-0.12234803977102637</v>
      </c>
      <c r="AS778" s="47">
        <f>IF(AQ778="","",AQ778-($AD$60+$AD$61*Volcanic!C778+$AD$62*Volcanic!D778+$AD$63*Volcanic!E778))</f>
        <v>-0.18642900126378681</v>
      </c>
    </row>
    <row r="779" spans="1:45">
      <c r="A779" s="45" t="str">
        <f>Volcanic!A779</f>
        <v>12/2022</v>
      </c>
      <c r="B779" s="43">
        <f>Volcanic!B779</f>
        <v>0.79999999999999893</v>
      </c>
      <c r="C779" s="47">
        <f>Volcanic!C779</f>
        <v>0.5814889844809461</v>
      </c>
      <c r="D779" s="41">
        <v>-0.7</v>
      </c>
      <c r="E779" s="43">
        <f t="shared" si="180"/>
        <v>-0.9</v>
      </c>
      <c r="F779" s="48">
        <v>1.2880000000000001E-2</v>
      </c>
      <c r="G779" s="47">
        <f t="shared" si="181"/>
        <v>1.4290000000000001E-2</v>
      </c>
      <c r="H779" s="43">
        <f>Volcanic!D779</f>
        <v>-0.87</v>
      </c>
      <c r="I779" s="47">
        <f>Volcanic!E779</f>
        <v>2.929E-2</v>
      </c>
      <c r="K779" s="47">
        <f t="shared" si="168"/>
        <v>0.5814889844809461</v>
      </c>
      <c r="L779" s="47">
        <f t="shared" si="169"/>
        <v>-0.9</v>
      </c>
      <c r="M779" s="47">
        <f t="shared" si="170"/>
        <v>2.929E-2</v>
      </c>
      <c r="O779" s="47">
        <f t="shared" si="171"/>
        <v>0.5814889844809461</v>
      </c>
      <c r="P779" s="47">
        <f t="shared" si="172"/>
        <v>-0.87</v>
      </c>
      <c r="Q779" s="47">
        <f t="shared" si="173"/>
        <v>1.4290000000000001E-2</v>
      </c>
      <c r="S779" s="47">
        <f t="shared" si="174"/>
        <v>0.5814889844809461</v>
      </c>
      <c r="T779" s="47">
        <f t="shared" si="175"/>
        <v>-0.9</v>
      </c>
      <c r="U779" s="47">
        <f t="shared" si="176"/>
        <v>1.4290000000000001E-2</v>
      </c>
      <c r="W779" s="47">
        <f t="shared" si="177"/>
        <v>-7.7213114355986545E-2</v>
      </c>
      <c r="X779" s="47">
        <f t="shared" si="178"/>
        <v>-0.10096472541777179</v>
      </c>
      <c r="Y779" s="47">
        <f t="shared" si="179"/>
        <v>-9.7674751305038554E-2</v>
      </c>
      <c r="AP779" s="48">
        <v>0.82050000000000001</v>
      </c>
      <c r="AQ779" s="48">
        <v>0.91869999999999996</v>
      </c>
      <c r="AR779" s="47">
        <f>IF(AP779="","",AP779-($AC$60+$AC$61*Volcanic!C779+$AC$62*Volcanic!D779+$AC$63*Volcanic!E779))</f>
        <v>-4.6952749183815978E-2</v>
      </c>
      <c r="AS779" s="47">
        <f>IF(AQ779="","",AQ779-($AD$60+$AD$61*Volcanic!C779+$AD$62*Volcanic!D779+$AD$63*Volcanic!E779))</f>
        <v>1.8135333200003267E-2</v>
      </c>
    </row>
    <row r="780" spans="1:45">
      <c r="A780" s="45" t="str">
        <f>Volcanic!A780</f>
        <v>1/2023</v>
      </c>
      <c r="B780" s="43">
        <f>Volcanic!B780</f>
        <v>0.88000000000000256</v>
      </c>
      <c r="C780" s="47">
        <f>Volcanic!C780</f>
        <v>0.58317520020842994</v>
      </c>
      <c r="D780" s="41">
        <v>-0.5</v>
      </c>
      <c r="E780" s="43">
        <f t="shared" si="180"/>
        <v>-0.9</v>
      </c>
      <c r="F780" s="48">
        <v>1.2330000000000001E-2</v>
      </c>
      <c r="G780" s="47">
        <f t="shared" si="181"/>
        <v>1.435E-2</v>
      </c>
      <c r="H780" s="43">
        <f>Volcanic!D780</f>
        <v>-0.89</v>
      </c>
      <c r="I780" s="47">
        <f>Volcanic!E780</f>
        <v>2.878E-2</v>
      </c>
      <c r="K780" s="47">
        <f t="shared" si="168"/>
        <v>0.58317520020842994</v>
      </c>
      <c r="L780" s="47">
        <f t="shared" si="169"/>
        <v>-0.9</v>
      </c>
      <c r="M780" s="47">
        <f t="shared" si="170"/>
        <v>2.878E-2</v>
      </c>
      <c r="O780" s="47">
        <f t="shared" si="171"/>
        <v>0.58317520020842994</v>
      </c>
      <c r="P780" s="47">
        <f t="shared" si="172"/>
        <v>-0.89</v>
      </c>
      <c r="Q780" s="47">
        <f t="shared" si="173"/>
        <v>1.435E-2</v>
      </c>
      <c r="S780" s="47">
        <f t="shared" si="174"/>
        <v>0.58317520020842994</v>
      </c>
      <c r="T780" s="47">
        <f t="shared" si="175"/>
        <v>-0.9</v>
      </c>
      <c r="U780" s="47">
        <f t="shared" si="176"/>
        <v>1.435E-2</v>
      </c>
      <c r="W780" s="47">
        <f t="shared" si="177"/>
        <v>-2.9354763150327701E-3</v>
      </c>
      <c r="X780" s="47">
        <f t="shared" si="178"/>
        <v>-2.3488053648162088E-2</v>
      </c>
      <c r="Y780" s="47">
        <f t="shared" si="179"/>
        <v>-2.2076107810541923E-2</v>
      </c>
      <c r="AP780" s="48">
        <v>0.85809999999999997</v>
      </c>
      <c r="AQ780" s="48">
        <v>0.90769999999999995</v>
      </c>
      <c r="AR780" s="47">
        <f>IF(AP780="","",AP780-($AC$60+$AC$61*Volcanic!C780+$AC$62*Volcanic!D780+$AC$63*Volcanic!E780))</f>
        <v>-1.3311403618229245E-2</v>
      </c>
      <c r="AS780" s="47">
        <f>IF(AQ780="","",AQ780-($AD$60+$AD$61*Volcanic!C780+$AD$62*Volcanic!D780+$AD$63*Volcanic!E780))</f>
        <v>3.1556288375170771E-3</v>
      </c>
    </row>
    <row r="781" spans="1:45">
      <c r="A781" s="45" t="str">
        <f>Volcanic!A781</f>
        <v>2/2023</v>
      </c>
      <c r="B781" s="43">
        <f>Volcanic!B781</f>
        <v>0.96999999999999886</v>
      </c>
      <c r="C781" s="47">
        <f>Volcanic!C781</f>
        <v>0.58602695427511742</v>
      </c>
      <c r="D781" s="41">
        <v>-0.3</v>
      </c>
      <c r="E781" s="43">
        <f t="shared" si="180"/>
        <v>-0.8</v>
      </c>
      <c r="F781" s="48">
        <v>1.176E-2</v>
      </c>
      <c r="G781" s="47">
        <f t="shared" si="181"/>
        <v>1.482E-2</v>
      </c>
      <c r="H781" s="43">
        <f>Volcanic!D781</f>
        <v>-0.82</v>
      </c>
      <c r="I781" s="47">
        <f>Volcanic!E781</f>
        <v>2.8219999999999999E-2</v>
      </c>
      <c r="K781" s="47">
        <f t="shared" si="168"/>
        <v>0.58602695427511742</v>
      </c>
      <c r="L781" s="47">
        <f t="shared" si="169"/>
        <v>-0.8</v>
      </c>
      <c r="M781" s="47">
        <f t="shared" si="170"/>
        <v>2.8219999999999999E-2</v>
      </c>
      <c r="O781" s="47">
        <f t="shared" si="171"/>
        <v>0.58602695427511742</v>
      </c>
      <c r="P781" s="47">
        <f t="shared" si="172"/>
        <v>-0.82</v>
      </c>
      <c r="Q781" s="47">
        <f t="shared" si="173"/>
        <v>1.482E-2</v>
      </c>
      <c r="S781" s="47">
        <f t="shared" si="174"/>
        <v>0.58602695427511742</v>
      </c>
      <c r="T781" s="47">
        <f t="shared" si="175"/>
        <v>-0.8</v>
      </c>
      <c r="U781" s="47">
        <f t="shared" si="176"/>
        <v>1.482E-2</v>
      </c>
      <c r="W781" s="47">
        <f t="shared" si="177"/>
        <v>6.8766055447320285E-2</v>
      </c>
      <c r="X781" s="47">
        <f t="shared" si="178"/>
        <v>5.3454465284676234E-2</v>
      </c>
      <c r="Y781" s="47">
        <f t="shared" si="179"/>
        <v>5.204314371863572E-2</v>
      </c>
      <c r="AP781" s="48">
        <v>0.9617</v>
      </c>
      <c r="AQ781" s="48">
        <v>0.9677</v>
      </c>
      <c r="AR781" s="47">
        <f>IF(AP781="","",AP781-($AC$60+$AC$61*Volcanic!C781+$AC$62*Volcanic!D781+$AC$63*Volcanic!E781))</f>
        <v>7.4598944401293443E-2</v>
      </c>
      <c r="AS781" s="47">
        <f>IF(AQ781="","",AQ781-($AD$60+$AD$61*Volcanic!C781+$AD$62*Volcanic!D781+$AD$63*Volcanic!E781))</f>
        <v>4.7196069048593636E-2</v>
      </c>
    </row>
    <row r="782" spans="1:45">
      <c r="A782" s="45" t="str">
        <f>Volcanic!A782</f>
        <v>3/2023</v>
      </c>
      <c r="B782" s="43">
        <f>Volcanic!B782</f>
        <v>1.2299999999999986</v>
      </c>
      <c r="C782" s="47">
        <f>Volcanic!C782</f>
        <v>0.58835913742367907</v>
      </c>
      <c r="D782" s="41">
        <v>-0.1</v>
      </c>
      <c r="E782" s="43">
        <f t="shared" si="180"/>
        <v>-0.7</v>
      </c>
      <c r="F782" s="48">
        <v>1.1089999999999999E-2</v>
      </c>
      <c r="G782" s="47">
        <f t="shared" si="181"/>
        <v>1.469E-2</v>
      </c>
      <c r="H782" s="43">
        <f>Volcanic!D782</f>
        <v>-0.7</v>
      </c>
      <c r="I782" s="47">
        <f>Volcanic!E782</f>
        <v>2.588E-2</v>
      </c>
      <c r="K782" s="47">
        <f t="shared" si="168"/>
        <v>0.58835913742367907</v>
      </c>
      <c r="L782" s="47">
        <f t="shared" si="169"/>
        <v>-0.7</v>
      </c>
      <c r="M782" s="47">
        <f t="shared" si="170"/>
        <v>2.588E-2</v>
      </c>
      <c r="O782" s="47">
        <f t="shared" si="171"/>
        <v>0.58835913742367907</v>
      </c>
      <c r="P782" s="47">
        <f t="shared" si="172"/>
        <v>-0.7</v>
      </c>
      <c r="Q782" s="47">
        <f t="shared" si="173"/>
        <v>1.469E-2</v>
      </c>
      <c r="S782" s="47">
        <f t="shared" si="174"/>
        <v>0.58835913742367907</v>
      </c>
      <c r="T782" s="47">
        <f t="shared" si="175"/>
        <v>-0.7</v>
      </c>
      <c r="U782" s="47">
        <f t="shared" si="176"/>
        <v>1.469E-2</v>
      </c>
      <c r="W782" s="47">
        <f t="shared" si="177"/>
        <v>0.30796226079031119</v>
      </c>
      <c r="X782" s="47">
        <f t="shared" si="178"/>
        <v>0.29553722459175591</v>
      </c>
      <c r="Y782" s="47">
        <f t="shared" si="179"/>
        <v>0.29599743814037172</v>
      </c>
      <c r="AP782" s="48">
        <v>1.2048000000000001</v>
      </c>
      <c r="AQ782" s="48">
        <v>1.2506999999999999</v>
      </c>
      <c r="AR782" s="47">
        <f>IF(AP782="","",AP782-($AC$60+$AC$61*Volcanic!C782+$AC$62*Volcanic!D782+$AC$63*Volcanic!E782))</f>
        <v>0.29446274541290451</v>
      </c>
      <c r="AS782" s="47">
        <f>IF(AQ782="","",AQ782-($AD$60+$AD$61*Volcanic!C782+$AD$62*Volcanic!D782+$AD$63*Volcanic!E782))</f>
        <v>0.30683672170106857</v>
      </c>
    </row>
    <row r="783" spans="1:45">
      <c r="A783" s="45" t="str">
        <f>Volcanic!A783</f>
        <v>4/2023</v>
      </c>
      <c r="B783" s="43">
        <f>Volcanic!B783</f>
        <v>0.99000000000000021</v>
      </c>
      <c r="C783" s="47">
        <f>Volcanic!C783</f>
        <v>0.59642406189270203</v>
      </c>
      <c r="D783" s="41">
        <v>0.2</v>
      </c>
      <c r="E783" s="43">
        <f t="shared" si="180"/>
        <v>-0.5</v>
      </c>
      <c r="F783" s="48">
        <v>1.051E-2</v>
      </c>
      <c r="G783" s="47">
        <f t="shared" si="181"/>
        <v>1.44E-2</v>
      </c>
      <c r="H783" s="43">
        <f>Volcanic!D783</f>
        <v>-0.55000000000000004</v>
      </c>
      <c r="I783" s="47">
        <f>Volcanic!E783</f>
        <v>2.4309999999999998E-2</v>
      </c>
      <c r="K783" s="47">
        <f t="shared" si="168"/>
        <v>0.59642406189270203</v>
      </c>
      <c r="L783" s="47">
        <f t="shared" si="169"/>
        <v>-0.5</v>
      </c>
      <c r="M783" s="47">
        <f t="shared" si="170"/>
        <v>2.4309999999999998E-2</v>
      </c>
      <c r="O783" s="47">
        <f t="shared" si="171"/>
        <v>0.59642406189270203</v>
      </c>
      <c r="P783" s="47">
        <f t="shared" si="172"/>
        <v>-0.55000000000000004</v>
      </c>
      <c r="Q783" s="47">
        <f t="shared" si="173"/>
        <v>1.44E-2</v>
      </c>
      <c r="S783" s="47">
        <f t="shared" si="174"/>
        <v>0.59642406189270203</v>
      </c>
      <c r="T783" s="47">
        <f t="shared" si="175"/>
        <v>-0.5</v>
      </c>
      <c r="U783" s="47">
        <f t="shared" si="176"/>
        <v>1.44E-2</v>
      </c>
      <c r="W783" s="47">
        <f t="shared" si="177"/>
        <v>2.3933800129110616E-2</v>
      </c>
      <c r="X783" s="47">
        <f t="shared" si="178"/>
        <v>1.8884940306457265E-2</v>
      </c>
      <c r="Y783" s="47">
        <f t="shared" si="179"/>
        <v>1.4634904512173197E-2</v>
      </c>
      <c r="AP783" s="48">
        <v>1.0002</v>
      </c>
      <c r="AQ783" s="48">
        <v>1.0687</v>
      </c>
      <c r="AR783" s="47">
        <f>IF(AP783="","",AP783-($AC$60+$AC$61*Volcanic!C783+$AC$62*Volcanic!D783+$AC$63*Volcanic!E783))</f>
        <v>5.0016097752242139E-2</v>
      </c>
      <c r="AS783" s="47">
        <f>IF(AQ783="","",AQ783-($AD$60+$AD$61*Volcanic!C783+$AD$62*Volcanic!D783+$AD$63*Volcanic!E783))</f>
        <v>8.4317224700939386E-2</v>
      </c>
    </row>
    <row r="784" spans="1:45">
      <c r="A784" s="45" t="str">
        <f>Volcanic!A784</f>
        <v>5/2023</v>
      </c>
      <c r="B784" s="43">
        <f>Volcanic!B784</f>
        <v>0.93999999999999773</v>
      </c>
      <c r="C784" s="47">
        <f>Volcanic!C784</f>
        <v>0.59863743761823274</v>
      </c>
      <c r="D784" s="41">
        <v>0.5</v>
      </c>
      <c r="E784" s="43">
        <f t="shared" si="180"/>
        <v>-0.3</v>
      </c>
      <c r="F784" s="48">
        <v>1.0160000000000001E-2</v>
      </c>
      <c r="G784" s="47">
        <f t="shared" si="181"/>
        <v>1.3860000000000001E-2</v>
      </c>
      <c r="H784" s="43">
        <f>Volcanic!D784</f>
        <v>-0.33</v>
      </c>
      <c r="I784" s="47">
        <f>Volcanic!E784</f>
        <v>2.2939999999999999E-2</v>
      </c>
      <c r="K784" s="47">
        <f t="shared" si="168"/>
        <v>0.59863743761823274</v>
      </c>
      <c r="L784" s="47">
        <f t="shared" si="169"/>
        <v>-0.3</v>
      </c>
      <c r="M784" s="47">
        <f t="shared" si="170"/>
        <v>2.2939999999999999E-2</v>
      </c>
      <c r="O784" s="47">
        <f t="shared" si="171"/>
        <v>0.59863743761823274</v>
      </c>
      <c r="P784" s="47">
        <f t="shared" si="172"/>
        <v>-0.33</v>
      </c>
      <c r="Q784" s="47">
        <f t="shared" si="173"/>
        <v>1.3860000000000001E-2</v>
      </c>
      <c r="S784" s="47">
        <f t="shared" si="174"/>
        <v>0.59863743761823274</v>
      </c>
      <c r="T784" s="47">
        <f t="shared" si="175"/>
        <v>-0.3</v>
      </c>
      <c r="U784" s="47">
        <f t="shared" si="176"/>
        <v>1.3860000000000001E-2</v>
      </c>
      <c r="W784" s="47">
        <f t="shared" si="177"/>
        <v>-5.3695900991286183E-2</v>
      </c>
      <c r="X784" s="47">
        <f t="shared" si="178"/>
        <v>-5.9175941955728173E-2</v>
      </c>
      <c r="Y784" s="47">
        <f t="shared" si="179"/>
        <v>-6.1563236223506346E-2</v>
      </c>
      <c r="AP784" s="48">
        <v>0.95520000000000005</v>
      </c>
      <c r="AQ784" s="48">
        <v>0.98470000000000002</v>
      </c>
      <c r="AR784" s="47">
        <f>IF(AP784="","",AP784-($AC$60+$AC$61*Volcanic!C784+$AC$62*Volcanic!D784+$AC$63*Volcanic!E784))</f>
        <v>-2.4926180571863465E-2</v>
      </c>
      <c r="AS784" s="47">
        <f>IF(AQ784="","",AQ784-($AD$60+$AD$61*Volcanic!C784+$AD$62*Volcanic!D784+$AD$63*Volcanic!E784))</f>
        <v>-3.0044143589615158E-2</v>
      </c>
    </row>
    <row r="785" spans="1:45">
      <c r="A785" s="45" t="str">
        <f>Volcanic!A785</f>
        <v>6/2023</v>
      </c>
      <c r="B785" s="43">
        <f>Volcanic!B785</f>
        <v>1.0899999999999999</v>
      </c>
      <c r="C785" s="47">
        <f>Volcanic!C785</f>
        <v>0.59754820008752652</v>
      </c>
      <c r="D785" s="41">
        <v>0.7</v>
      </c>
      <c r="E785" s="43">
        <f t="shared" si="180"/>
        <v>-0.1</v>
      </c>
      <c r="F785" s="48">
        <v>9.7400000000000004E-3</v>
      </c>
      <c r="G785" s="47">
        <f t="shared" si="181"/>
        <v>1.3639999999999999E-2</v>
      </c>
      <c r="H785" s="43">
        <f>Volcanic!D785</f>
        <v>-0.11</v>
      </c>
      <c r="I785" s="47">
        <f>Volcanic!E785</f>
        <v>2.172E-2</v>
      </c>
      <c r="K785" s="47">
        <f t="shared" si="168"/>
        <v>0.59754820008752652</v>
      </c>
      <c r="L785" s="47">
        <f t="shared" si="169"/>
        <v>-0.1</v>
      </c>
      <c r="M785" s="47">
        <f t="shared" si="170"/>
        <v>2.172E-2</v>
      </c>
      <c r="O785" s="47">
        <f t="shared" si="171"/>
        <v>0.59754820008752652</v>
      </c>
      <c r="P785" s="47">
        <f t="shared" si="172"/>
        <v>-0.11</v>
      </c>
      <c r="Q785" s="47">
        <f t="shared" si="173"/>
        <v>1.3639999999999999E-2</v>
      </c>
      <c r="S785" s="47">
        <f t="shared" si="174"/>
        <v>0.59754820008752652</v>
      </c>
      <c r="T785" s="47">
        <f t="shared" si="175"/>
        <v>-0.1</v>
      </c>
      <c r="U785" s="47">
        <f t="shared" si="176"/>
        <v>1.3639999999999999E-2</v>
      </c>
      <c r="W785" s="47">
        <f t="shared" si="177"/>
        <v>7.8011650291575529E-2</v>
      </c>
      <c r="X785" s="47">
        <f t="shared" si="178"/>
        <v>7.252813157701743E-2</v>
      </c>
      <c r="Y785" s="47">
        <f t="shared" si="179"/>
        <v>7.2003565384437085E-2</v>
      </c>
      <c r="AP785" s="48">
        <v>1.1346000000000001</v>
      </c>
      <c r="AQ785" s="48">
        <v>1.1127</v>
      </c>
      <c r="AR785" s="47">
        <f>IF(AP785="","",AP785-($AC$60+$AC$61*Volcanic!C785+$AC$62*Volcanic!D785+$AC$63*Volcanic!E785))</f>
        <v>0.13391061363691703</v>
      </c>
      <c r="AS785" s="47">
        <f>IF(AQ785="","",AQ785-($AD$60+$AD$61*Volcanic!C785+$AD$62*Volcanic!D785+$AD$63*Volcanic!E785))</f>
        <v>7.7188307134802958E-2</v>
      </c>
    </row>
    <row r="786" spans="1:45">
      <c r="A786" s="45" t="str">
        <f>Volcanic!A786</f>
        <v>7/2023</v>
      </c>
      <c r="B786" s="43">
        <f>Volcanic!B786</f>
        <v>1.1899999999999977</v>
      </c>
      <c r="C786" s="47">
        <f>Volcanic!C786</f>
        <v>0.59123487420164555</v>
      </c>
      <c r="D786" s="41">
        <v>1</v>
      </c>
      <c r="E786" s="43">
        <f t="shared" si="180"/>
        <v>0.2</v>
      </c>
      <c r="F786" s="48">
        <v>9.1800000000000007E-3</v>
      </c>
      <c r="G786" s="47">
        <f t="shared" si="181"/>
        <v>1.2880000000000001E-2</v>
      </c>
      <c r="H786" s="43">
        <f>Volcanic!D786</f>
        <v>0.19</v>
      </c>
      <c r="I786" s="47">
        <f>Volcanic!E786</f>
        <v>2.0449999999999999E-2</v>
      </c>
      <c r="K786" s="47">
        <f t="shared" si="168"/>
        <v>0.59123487420164555</v>
      </c>
      <c r="L786" s="47">
        <f t="shared" si="169"/>
        <v>0.2</v>
      </c>
      <c r="M786" s="47">
        <f t="shared" si="170"/>
        <v>2.0449999999999999E-2</v>
      </c>
      <c r="O786" s="47">
        <f t="shared" si="171"/>
        <v>0.59123487420164555</v>
      </c>
      <c r="P786" s="47">
        <f t="shared" si="172"/>
        <v>0.19</v>
      </c>
      <c r="Q786" s="47">
        <f t="shared" si="173"/>
        <v>1.2880000000000001E-2</v>
      </c>
      <c r="S786" s="47">
        <f t="shared" si="174"/>
        <v>0.59123487420164555</v>
      </c>
      <c r="T786" s="47">
        <f t="shared" si="175"/>
        <v>0.2</v>
      </c>
      <c r="U786" s="47">
        <f t="shared" si="176"/>
        <v>1.2880000000000001E-2</v>
      </c>
      <c r="W786" s="47">
        <f t="shared" si="177"/>
        <v>0.16456856942568487</v>
      </c>
      <c r="X786" s="47">
        <f t="shared" si="178"/>
        <v>0.15943015856378806</v>
      </c>
      <c r="Y786" s="47">
        <f t="shared" si="179"/>
        <v>0.15887885697665483</v>
      </c>
      <c r="AP786" s="48">
        <v>1.2364999999999999</v>
      </c>
      <c r="AQ786" s="48">
        <v>1.2486999999999999</v>
      </c>
      <c r="AR786" s="47">
        <f>IF(AP786="","",AP786-($AC$60+$AC$61*Volcanic!C786+$AC$62*Volcanic!D786+$AC$63*Volcanic!E786))</f>
        <v>0.22190042768431506</v>
      </c>
      <c r="AS786" s="47">
        <f>IF(AQ786="","",AQ786-($AD$60+$AD$61*Volcanic!C786+$AD$62*Volcanic!D786+$AD$63*Volcanic!E786))</f>
        <v>0.19929320502207859</v>
      </c>
    </row>
    <row r="787" spans="1:45">
      <c r="A787" s="45" t="str">
        <f>Volcanic!A787</f>
        <v>8/2023</v>
      </c>
      <c r="B787" s="43">
        <f>Volcanic!B787</f>
        <v>1.1899999999999977</v>
      </c>
      <c r="C787" s="47">
        <f>Volcanic!C787</f>
        <v>0.58386288554529309</v>
      </c>
      <c r="D787" s="41">
        <v>1.3</v>
      </c>
      <c r="E787" s="43">
        <f t="shared" si="180"/>
        <v>0.5</v>
      </c>
      <c r="F787" s="48">
        <v>8.8800000000000007E-3</v>
      </c>
      <c r="G787" s="47">
        <f t="shared" si="181"/>
        <v>1.2330000000000001E-2</v>
      </c>
      <c r="H787" s="43">
        <f>Volcanic!D787</f>
        <v>0.46</v>
      </c>
      <c r="I787" s="47">
        <f>Volcanic!E787</f>
        <v>1.9570000000000001E-2</v>
      </c>
      <c r="K787" s="47">
        <f t="shared" si="168"/>
        <v>0.58386288554529309</v>
      </c>
      <c r="L787" s="47">
        <f t="shared" si="169"/>
        <v>0.5</v>
      </c>
      <c r="M787" s="47">
        <f t="shared" si="170"/>
        <v>1.9570000000000001E-2</v>
      </c>
      <c r="O787" s="47">
        <f t="shared" si="171"/>
        <v>0.58386288554529309</v>
      </c>
      <c r="P787" s="47">
        <f t="shared" si="172"/>
        <v>0.46</v>
      </c>
      <c r="Q787" s="47">
        <f t="shared" si="173"/>
        <v>1.2330000000000001E-2</v>
      </c>
      <c r="S787" s="47">
        <f t="shared" si="174"/>
        <v>0.58386288554529309</v>
      </c>
      <c r="T787" s="47">
        <f t="shared" si="175"/>
        <v>0.5</v>
      </c>
      <c r="U787" s="47">
        <f t="shared" si="176"/>
        <v>1.2330000000000001E-2</v>
      </c>
      <c r="W787" s="47">
        <f t="shared" si="177"/>
        <v>0.15487199610640223</v>
      </c>
      <c r="X787" s="47">
        <f t="shared" si="178"/>
        <v>0.1525611272229197</v>
      </c>
      <c r="Y787" s="47">
        <f t="shared" si="179"/>
        <v>0.14916533152574241</v>
      </c>
      <c r="AP787" s="48">
        <v>1.288</v>
      </c>
      <c r="AQ787" s="48">
        <v>1.2977000000000001</v>
      </c>
      <c r="AR787" s="47">
        <f>IF(AP787="","",AP787-($AC$60+$AC$61*Volcanic!C787+$AC$62*Volcanic!D787+$AC$63*Volcanic!E787))</f>
        <v>0.26612880600835065</v>
      </c>
      <c r="AS787" s="47">
        <f>IF(AQ787="","",AQ787-($AD$60+$AD$61*Volcanic!C787+$AD$62*Volcanic!D787+$AD$63*Volcanic!E787))</f>
        <v>0.24112347252298361</v>
      </c>
    </row>
    <row r="788" spans="1:45">
      <c r="A788" s="45" t="str">
        <f>Volcanic!A788</f>
        <v>9/2023</v>
      </c>
      <c r="B788" s="43">
        <f>Volcanic!B788</f>
        <v>1.4800000000000022</v>
      </c>
      <c r="C788" s="47">
        <f>Volcanic!C788</f>
        <v>0.57980079560537734</v>
      </c>
      <c r="D788" s="41">
        <v>1.5</v>
      </c>
      <c r="E788" s="43">
        <f t="shared" si="180"/>
        <v>0.7</v>
      </c>
      <c r="F788" s="48">
        <v>8.3999999999999995E-3</v>
      </c>
      <c r="G788" s="47">
        <f t="shared" si="181"/>
        <v>1.176E-2</v>
      </c>
      <c r="H788" s="43">
        <f>Volcanic!D788</f>
        <v>0.73</v>
      </c>
      <c r="I788" s="47">
        <f>Volcanic!E788</f>
        <v>1.916E-2</v>
      </c>
      <c r="K788" s="47">
        <f t="shared" si="168"/>
        <v>0.57980079560537734</v>
      </c>
      <c r="L788" s="47">
        <f t="shared" si="169"/>
        <v>0.7</v>
      </c>
      <c r="M788" s="47">
        <f t="shared" si="170"/>
        <v>1.916E-2</v>
      </c>
      <c r="O788" s="47">
        <f t="shared" si="171"/>
        <v>0.57980079560537734</v>
      </c>
      <c r="P788" s="47">
        <f t="shared" si="172"/>
        <v>0.73</v>
      </c>
      <c r="Q788" s="47">
        <f t="shared" si="173"/>
        <v>1.176E-2</v>
      </c>
      <c r="S788" s="47">
        <f t="shared" si="174"/>
        <v>0.57980079560537734</v>
      </c>
      <c r="T788" s="47">
        <f t="shared" si="175"/>
        <v>0.7</v>
      </c>
      <c r="U788" s="47">
        <f t="shared" si="176"/>
        <v>1.176E-2</v>
      </c>
      <c r="W788" s="47">
        <f t="shared" si="177"/>
        <v>0.43647181882619557</v>
      </c>
      <c r="X788" s="47">
        <f t="shared" si="178"/>
        <v>0.42669126894074871</v>
      </c>
      <c r="Y788" s="47">
        <f t="shared" si="179"/>
        <v>0.42985303173977685</v>
      </c>
      <c r="AP788" s="48">
        <v>1.4234</v>
      </c>
      <c r="AQ788" s="48">
        <v>1.5306999999999999</v>
      </c>
      <c r="AR788" s="47">
        <f>IF(AP788="","",AP788-($AC$60+$AC$61*Volcanic!C788+$AC$62*Volcanic!D788+$AC$63*Volcanic!E788))</f>
        <v>0.38635006223789081</v>
      </c>
      <c r="AS788" s="47">
        <f>IF(AQ788="","",AQ788-($AD$60+$AD$61*Volcanic!C788+$AD$62*Volcanic!D788+$AD$63*Volcanic!E788))</f>
        <v>0.45875953586885676</v>
      </c>
    </row>
    <row r="789" spans="1:45">
      <c r="A789" s="45" t="str">
        <f>Volcanic!A789</f>
        <v>10/2023</v>
      </c>
      <c r="B789" s="43">
        <f>Volcanic!B789</f>
        <v>1.3499999999999979</v>
      </c>
      <c r="C789" s="47">
        <f>Volcanic!C789</f>
        <v>0.58090351006474894</v>
      </c>
      <c r="D789" s="41">
        <v>1.7</v>
      </c>
      <c r="E789" s="43">
        <f t="shared" si="180"/>
        <v>1</v>
      </c>
      <c r="F789" s="48">
        <v>8.0199999999999994E-3</v>
      </c>
      <c r="G789" s="47">
        <f t="shared" si="181"/>
        <v>1.1089999999999999E-2</v>
      </c>
      <c r="H789" s="43">
        <f>Volcanic!D789</f>
        <v>1</v>
      </c>
      <c r="I789" s="47">
        <f>Volcanic!E789</f>
        <v>1.8919999999999999E-2</v>
      </c>
      <c r="K789" s="47">
        <f t="shared" si="168"/>
        <v>0.58090351006474894</v>
      </c>
      <c r="L789" s="47">
        <f t="shared" si="169"/>
        <v>1</v>
      </c>
      <c r="M789" s="47">
        <f t="shared" si="170"/>
        <v>1.8919999999999999E-2</v>
      </c>
      <c r="O789" s="47">
        <f t="shared" si="171"/>
        <v>0.58090351006474894</v>
      </c>
      <c r="P789" s="47">
        <f t="shared" si="172"/>
        <v>1</v>
      </c>
      <c r="Q789" s="47">
        <f t="shared" si="173"/>
        <v>1.1089999999999999E-2</v>
      </c>
      <c r="S789" s="47">
        <f t="shared" si="174"/>
        <v>0.58090351006474894</v>
      </c>
      <c r="T789" s="47">
        <f t="shared" si="175"/>
        <v>1</v>
      </c>
      <c r="U789" s="47">
        <f t="shared" si="176"/>
        <v>1.1089999999999999E-2</v>
      </c>
      <c r="W789" s="47">
        <f t="shared" si="177"/>
        <v>0.27507371002792147</v>
      </c>
      <c r="X789" s="47">
        <f t="shared" si="178"/>
        <v>0.26659667991650848</v>
      </c>
      <c r="Y789" s="47">
        <f t="shared" si="179"/>
        <v>0.26691614424850107</v>
      </c>
      <c r="AP789" s="48">
        <v>1.4019999999999999</v>
      </c>
      <c r="AQ789" s="48">
        <v>1.3756999999999999</v>
      </c>
      <c r="AR789" s="47">
        <f>IF(AP789="","",AP789-($AC$60+$AC$61*Volcanic!C789+$AC$62*Volcanic!D789+$AC$63*Volcanic!E789))</f>
        <v>0.33607731581610167</v>
      </c>
      <c r="AS789" s="47">
        <f>IF(AQ789="","",AQ789-($AD$60+$AD$61*Volcanic!C789+$AD$62*Volcanic!D789+$AD$63*Volcanic!E789))</f>
        <v>0.27431889635376105</v>
      </c>
    </row>
    <row r="790" spans="1:45">
      <c r="A790" s="45" t="str">
        <f>Volcanic!A790</f>
        <v>11/2023</v>
      </c>
      <c r="B790" s="43">
        <f>Volcanic!B790</f>
        <v>1.3999999999999986</v>
      </c>
      <c r="C790" s="47">
        <f>Volcanic!C790</f>
        <v>0.58654173063114645</v>
      </c>
      <c r="D790" s="41">
        <v>1.9</v>
      </c>
      <c r="E790" s="43">
        <f t="shared" si="180"/>
        <v>1.3</v>
      </c>
      <c r="F790" s="48">
        <v>7.7999999999999996E-3</v>
      </c>
      <c r="G790" s="47">
        <f t="shared" si="181"/>
        <v>1.051E-2</v>
      </c>
      <c r="H790" s="43">
        <f>Volcanic!D790</f>
        <v>1.25</v>
      </c>
      <c r="I790" s="47">
        <f>Volcanic!E790</f>
        <v>1.8620000000000001E-2</v>
      </c>
      <c r="K790" s="47">
        <f t="shared" si="168"/>
        <v>0.58654173063114645</v>
      </c>
      <c r="L790" s="47">
        <f t="shared" si="169"/>
        <v>1.3</v>
      </c>
      <c r="M790" s="47">
        <f t="shared" si="170"/>
        <v>1.8620000000000001E-2</v>
      </c>
      <c r="O790" s="47">
        <f t="shared" si="171"/>
        <v>0.58654173063114645</v>
      </c>
      <c r="P790" s="47">
        <f t="shared" si="172"/>
        <v>1.25</v>
      </c>
      <c r="Q790" s="47">
        <f t="shared" si="173"/>
        <v>1.051E-2</v>
      </c>
      <c r="S790" s="47">
        <f t="shared" si="174"/>
        <v>0.58654173063114645</v>
      </c>
      <c r="T790" s="47">
        <f t="shared" si="175"/>
        <v>1.3</v>
      </c>
      <c r="U790" s="47">
        <f t="shared" si="176"/>
        <v>1.051E-2</v>
      </c>
      <c r="W790" s="47">
        <f t="shared" si="177"/>
        <v>0.28117438162879149</v>
      </c>
      <c r="X790" s="47">
        <f t="shared" si="178"/>
        <v>0.27635386425246389</v>
      </c>
      <c r="Y790" s="47">
        <f t="shared" si="179"/>
        <v>0.27195395686811508</v>
      </c>
      <c r="AP790" s="48">
        <v>1.4174</v>
      </c>
      <c r="AQ790" s="48">
        <v>1.3827</v>
      </c>
      <c r="AR790" s="47">
        <f>IF(AP790="","",AP790-($AC$60+$AC$61*Volcanic!C790+$AC$62*Volcanic!D790+$AC$63*Volcanic!E790))</f>
        <v>0.3119484097128884</v>
      </c>
      <c r="AS790" s="47">
        <f>IF(AQ790="","",AQ790-($AD$60+$AD$61*Volcanic!C790+$AD$62*Volcanic!D790+$AD$63*Volcanic!E790))</f>
        <v>0.24094865576946423</v>
      </c>
    </row>
    <row r="791" spans="1:45">
      <c r="A791" s="45" t="str">
        <f>Volcanic!A791</f>
        <v>12/2023</v>
      </c>
      <c r="B791" s="43">
        <f>Volcanic!B791</f>
        <v>1.3599999999999977</v>
      </c>
      <c r="C791" s="47">
        <f>Volcanic!C791</f>
        <v>0.59133747314496576</v>
      </c>
      <c r="D791" s="41">
        <v>2</v>
      </c>
      <c r="E791" s="43">
        <f t="shared" si="180"/>
        <v>1.5</v>
      </c>
      <c r="F791" s="48">
        <v>7.5100000000000002E-3</v>
      </c>
      <c r="G791" s="47">
        <f t="shared" si="181"/>
        <v>1.0160000000000001E-2</v>
      </c>
      <c r="H791" s="43">
        <f>Volcanic!D791</f>
        <v>1.5</v>
      </c>
      <c r="I791" s="47">
        <f>Volcanic!E791</f>
        <v>1.7600000000000001E-2</v>
      </c>
      <c r="K791" s="47">
        <f t="shared" si="168"/>
        <v>0.59133747314496576</v>
      </c>
      <c r="L791" s="47">
        <f t="shared" si="169"/>
        <v>1.5</v>
      </c>
      <c r="M791" s="47">
        <f t="shared" si="170"/>
        <v>1.7600000000000001E-2</v>
      </c>
      <c r="O791" s="47">
        <f t="shared" si="171"/>
        <v>0.59133747314496576</v>
      </c>
      <c r="P791" s="47">
        <f t="shared" si="172"/>
        <v>1.5</v>
      </c>
      <c r="Q791" s="47">
        <f t="shared" si="173"/>
        <v>1.0160000000000001E-2</v>
      </c>
      <c r="S791" s="47">
        <f t="shared" si="174"/>
        <v>0.59133747314496576</v>
      </c>
      <c r="T791" s="47">
        <f t="shared" si="175"/>
        <v>1.5</v>
      </c>
      <c r="U791" s="47">
        <f t="shared" si="176"/>
        <v>1.0160000000000001E-2</v>
      </c>
      <c r="W791" s="47">
        <f t="shared" si="177"/>
        <v>0.20727341118988907</v>
      </c>
      <c r="X791" s="47">
        <f t="shared" si="178"/>
        <v>0.19898968737756806</v>
      </c>
      <c r="Y791" s="47">
        <f t="shared" si="179"/>
        <v>0.19927197442412137</v>
      </c>
      <c r="AP791" s="48">
        <v>1.3396999999999999</v>
      </c>
      <c r="AQ791" s="48">
        <v>1.4097</v>
      </c>
      <c r="AR791" s="47">
        <f>IF(AP791="","",AP791-($AC$60+$AC$61*Volcanic!C791+$AC$62*Volcanic!D791+$AC$63*Volcanic!E791))</f>
        <v>0.19528751679629308</v>
      </c>
      <c r="AS791" s="47">
        <f>IF(AQ791="","",AQ791-($AD$60+$AD$61*Volcanic!C791+$AD$62*Volcanic!D791+$AD$63*Volcanic!E791))</f>
        <v>0.22828904963965591</v>
      </c>
    </row>
    <row r="792" spans="1:45">
      <c r="A792" s="45" t="str">
        <f>Volcanic!A792</f>
        <v>1/2024</v>
      </c>
      <c r="B792" s="43">
        <f>Volcanic!B792</f>
        <v>1.25</v>
      </c>
      <c r="C792" s="47">
        <f>Volcanic!C792</f>
        <v>0.5945485495503543</v>
      </c>
      <c r="D792" s="41">
        <v>1.8</v>
      </c>
      <c r="E792" s="43">
        <f t="shared" si="180"/>
        <v>1.7</v>
      </c>
      <c r="F792" s="48">
        <v>7.28E-3</v>
      </c>
      <c r="G792" s="47">
        <f t="shared" si="181"/>
        <v>9.7400000000000004E-3</v>
      </c>
      <c r="H792" s="43">
        <f>Volcanic!D792</f>
        <v>1.74</v>
      </c>
      <c r="I792" s="47">
        <f>Volcanic!E792</f>
        <v>1.6219999999999998E-2</v>
      </c>
      <c r="K792" s="47">
        <f t="shared" si="168"/>
        <v>0.5945485495503543</v>
      </c>
      <c r="L792" s="47">
        <f t="shared" si="169"/>
        <v>1.7</v>
      </c>
      <c r="M792" s="47">
        <f t="shared" si="170"/>
        <v>1.6219999999999998E-2</v>
      </c>
      <c r="O792" s="47">
        <f t="shared" si="171"/>
        <v>0.5945485495503543</v>
      </c>
      <c r="P792" s="47">
        <f t="shared" si="172"/>
        <v>1.74</v>
      </c>
      <c r="Q792" s="47">
        <f t="shared" si="173"/>
        <v>9.7400000000000004E-3</v>
      </c>
      <c r="S792" s="47">
        <f t="shared" si="174"/>
        <v>0.5945485495503543</v>
      </c>
      <c r="T792" s="47">
        <f t="shared" si="175"/>
        <v>1.7</v>
      </c>
      <c r="U792" s="47">
        <f t="shared" si="176"/>
        <v>9.7400000000000004E-3</v>
      </c>
      <c r="W792" s="47">
        <f t="shared" si="177"/>
        <v>6.6900794833935739E-2</v>
      </c>
      <c r="X792" s="47">
        <f t="shared" si="178"/>
        <v>5.6666249331090324E-2</v>
      </c>
      <c r="Y792" s="47">
        <f t="shared" si="179"/>
        <v>6.0690673488001501E-2</v>
      </c>
      <c r="AP792" s="48">
        <v>1.2212000000000001</v>
      </c>
      <c r="AQ792" s="48">
        <v>1.2827</v>
      </c>
      <c r="AR792" s="47">
        <f>IF(AP792="","",AP792-($AC$60+$AC$61*Volcanic!C792+$AC$62*Volcanic!D792+$AC$63*Volcanic!E792))</f>
        <v>4.2223944892937348E-2</v>
      </c>
      <c r="AS792" s="47">
        <f>IF(AQ792="","",AQ792-($AD$60+$AD$61*Volcanic!C792+$AD$62*Volcanic!D792+$AD$63*Volcanic!E792))</f>
        <v>6.6199038555034839E-2</v>
      </c>
    </row>
    <row r="793" spans="1:45">
      <c r="A793" s="45" t="str">
        <f>Volcanic!A793</f>
        <v>2/2024</v>
      </c>
      <c r="B793" s="43">
        <f>Volcanic!B793</f>
        <v>1.4400000000000013</v>
      </c>
      <c r="C793" s="47">
        <f>Volcanic!C793</f>
        <v>0.60050764534578571</v>
      </c>
      <c r="D793" s="41">
        <v>1.5</v>
      </c>
      <c r="E793" s="43">
        <f t="shared" si="180"/>
        <v>1.9</v>
      </c>
      <c r="F793" s="48">
        <v>6.7400000000000003E-3</v>
      </c>
      <c r="G793" s="47">
        <f t="shared" si="181"/>
        <v>9.1800000000000007E-3</v>
      </c>
      <c r="H793" s="43">
        <f>Volcanic!D793</f>
        <v>1.9</v>
      </c>
      <c r="I793" s="47">
        <f>Volcanic!E793</f>
        <v>1.4800000000000001E-2</v>
      </c>
      <c r="K793" s="47">
        <f t="shared" si="168"/>
        <v>0.60050764534578571</v>
      </c>
      <c r="L793" s="47">
        <f t="shared" si="169"/>
        <v>1.9</v>
      </c>
      <c r="M793" s="47">
        <f t="shared" si="170"/>
        <v>1.4800000000000001E-2</v>
      </c>
      <c r="O793" s="47">
        <f t="shared" si="171"/>
        <v>0.60050764534578571</v>
      </c>
      <c r="P793" s="47">
        <f t="shared" si="172"/>
        <v>1.9</v>
      </c>
      <c r="Q793" s="47">
        <f t="shared" si="173"/>
        <v>9.1800000000000007E-3</v>
      </c>
      <c r="S793" s="47">
        <f t="shared" si="174"/>
        <v>0.60050764534578571</v>
      </c>
      <c r="T793" s="47">
        <f t="shared" si="175"/>
        <v>1.9</v>
      </c>
      <c r="U793" s="47">
        <f t="shared" si="176"/>
        <v>9.1800000000000007E-3</v>
      </c>
      <c r="W793" s="47">
        <f t="shared" si="177"/>
        <v>0.21894577481023525</v>
      </c>
      <c r="X793" s="47">
        <f t="shared" si="178"/>
        <v>0.21406243379813428</v>
      </c>
      <c r="Y793" s="47">
        <f t="shared" si="179"/>
        <v>0.21431450073655034</v>
      </c>
      <c r="AP793" s="48">
        <v>1.351</v>
      </c>
      <c r="AQ793" s="48">
        <v>1.4087000000000001</v>
      </c>
      <c r="AR793" s="47">
        <f>IF(AP793="","",AP793-($AC$60+$AC$61*Volcanic!C793+$AC$62*Volcanic!D793+$AC$63*Volcanic!E793))</f>
        <v>0.13735196908434189</v>
      </c>
      <c r="AS793" s="47">
        <f>IF(AQ793="","",AQ793-($AD$60+$AD$61*Volcanic!C793+$AD$62*Volcanic!D793+$AD$63*Volcanic!E793))</f>
        <v>0.15696565196954926</v>
      </c>
    </row>
    <row r="794" spans="1:45">
      <c r="A794" s="45" t="str">
        <f>Volcanic!A794</f>
        <v>3/2024</v>
      </c>
      <c r="B794" s="43">
        <f>Volcanic!B794</f>
        <v>1.3999999999999986</v>
      </c>
      <c r="C794" s="47">
        <f>Volcanic!C794</f>
        <v>0.6033253768403416</v>
      </c>
      <c r="D794" s="41">
        <v>1.2</v>
      </c>
      <c r="E794" s="43">
        <f t="shared" si="180"/>
        <v>2</v>
      </c>
      <c r="F794" s="48">
        <v>6.3499999999999997E-3</v>
      </c>
      <c r="G794" s="47">
        <f t="shared" si="181"/>
        <v>8.8800000000000007E-3</v>
      </c>
      <c r="H794" s="43">
        <f>Volcanic!D794</f>
        <v>1.99</v>
      </c>
      <c r="I794" s="47">
        <f>Volcanic!E794</f>
        <v>1.3599999999999999E-2</v>
      </c>
      <c r="K794" s="47">
        <f t="shared" si="168"/>
        <v>0.6033253768403416</v>
      </c>
      <c r="L794" s="47">
        <f t="shared" si="169"/>
        <v>2</v>
      </c>
      <c r="M794" s="47">
        <f t="shared" si="170"/>
        <v>1.3599999999999999E-2</v>
      </c>
      <c r="O794" s="47">
        <f t="shared" si="171"/>
        <v>0.6033253768403416</v>
      </c>
      <c r="P794" s="47">
        <f t="shared" si="172"/>
        <v>1.99</v>
      </c>
      <c r="Q794" s="47">
        <f t="shared" si="173"/>
        <v>8.8800000000000007E-3</v>
      </c>
      <c r="S794" s="47">
        <f t="shared" si="174"/>
        <v>0.6033253768403416</v>
      </c>
      <c r="T794" s="47">
        <f t="shared" si="175"/>
        <v>2</v>
      </c>
      <c r="U794" s="47">
        <f t="shared" si="176"/>
        <v>8.8800000000000007E-3</v>
      </c>
      <c r="W794" s="47">
        <f t="shared" si="177"/>
        <v>0.15932983523227917</v>
      </c>
      <c r="X794" s="47">
        <f t="shared" si="178"/>
        <v>0.15720639254094748</v>
      </c>
      <c r="Y794" s="47">
        <f t="shared" si="179"/>
        <v>0.15651153207593582</v>
      </c>
      <c r="AP794" s="48">
        <v>1.2965</v>
      </c>
      <c r="AQ794" s="48">
        <v>1.3257000000000001</v>
      </c>
      <c r="AR794" s="47">
        <f>IF(AP794="","",AP794-($AC$60+$AC$61*Volcanic!C794+$AC$62*Volcanic!D794+$AC$63*Volcanic!E794))</f>
        <v>6.3842349209994653E-2</v>
      </c>
      <c r="AS794" s="47">
        <f>IF(AQ794="","",AQ794-($AD$60+$AD$61*Volcanic!C794+$AD$62*Volcanic!D794+$AD$63*Volcanic!E794))</f>
        <v>5.4724271384361867E-2</v>
      </c>
    </row>
    <row r="795" spans="1:45">
      <c r="A795" s="45" t="str">
        <f>Volcanic!A795</f>
        <v>4/2024</v>
      </c>
      <c r="B795" s="43">
        <f>Volcanic!B795</f>
        <v>1.3200000000000003</v>
      </c>
      <c r="C795" s="47">
        <f>Volcanic!C795</f>
        <v>0.60715274035522215</v>
      </c>
      <c r="D795" s="41">
        <v>0.8</v>
      </c>
      <c r="E795" s="43">
        <f t="shared" si="180"/>
        <v>1.8</v>
      </c>
      <c r="F795" s="48">
        <v>6.13E-3</v>
      </c>
      <c r="G795" s="47">
        <f t="shared" si="181"/>
        <v>8.3999999999999995E-3</v>
      </c>
      <c r="H795" s="43">
        <f>Volcanic!D795</f>
        <v>1.84</v>
      </c>
      <c r="I795" s="47">
        <f>Volcanic!E795</f>
        <v>1.3509999999999999E-2</v>
      </c>
      <c r="K795" s="47">
        <f t="shared" si="168"/>
        <v>0.60715274035522215</v>
      </c>
      <c r="L795" s="47">
        <f t="shared" si="169"/>
        <v>1.8</v>
      </c>
      <c r="M795" s="47">
        <f t="shared" si="170"/>
        <v>1.3509999999999999E-2</v>
      </c>
      <c r="O795" s="47">
        <f t="shared" si="171"/>
        <v>0.60715274035522215</v>
      </c>
      <c r="P795" s="47">
        <f t="shared" si="172"/>
        <v>1.84</v>
      </c>
      <c r="Q795" s="47">
        <f t="shared" si="173"/>
        <v>8.3999999999999995E-3</v>
      </c>
      <c r="S795" s="47">
        <f t="shared" si="174"/>
        <v>0.60715274035522215</v>
      </c>
      <c r="T795" s="47">
        <f t="shared" si="175"/>
        <v>1.8</v>
      </c>
      <c r="U795" s="47">
        <f t="shared" si="176"/>
        <v>8.3999999999999995E-3</v>
      </c>
      <c r="W795" s="47">
        <f t="shared" si="177"/>
        <v>8.7268384304381108E-2</v>
      </c>
      <c r="X795" s="47">
        <f t="shared" si="178"/>
        <v>7.969512030284065E-2</v>
      </c>
      <c r="Y795" s="47">
        <f t="shared" si="179"/>
        <v>8.3711735918688746E-2</v>
      </c>
      <c r="AP795" s="48">
        <v>1.2823</v>
      </c>
      <c r="AQ795" s="48">
        <v>1.3347</v>
      </c>
      <c r="AR795" s="47">
        <f>IF(AP795="","",AP795-($AC$60+$AC$61*Volcanic!C795+$AC$62*Volcanic!D795+$AC$63*Volcanic!E795))</f>
        <v>5.3021526570938393E-2</v>
      </c>
      <c r="AS795" s="47">
        <f>IF(AQ795="","",AQ795-($AD$60+$AD$61*Volcanic!C795+$AD$62*Volcanic!D795+$AD$63*Volcanic!E795))</f>
        <v>6.7132754028422337E-2</v>
      </c>
    </row>
    <row r="796" spans="1:45">
      <c r="A796" s="45" t="str">
        <f>Volcanic!A796</f>
        <v>5/2024</v>
      </c>
      <c r="B796" s="43">
        <f>Volcanic!B796</f>
        <v>1.1600000000000001</v>
      </c>
      <c r="C796" s="47">
        <f>Volcanic!C796</f>
        <v>0.60847133541530962</v>
      </c>
      <c r="D796" s="41">
        <v>0.4</v>
      </c>
      <c r="E796" s="43">
        <f t="shared" si="180"/>
        <v>1.5</v>
      </c>
      <c r="F796" s="48">
        <v>7.8600000000000007E-3</v>
      </c>
      <c r="G796" s="47">
        <f t="shared" si="181"/>
        <v>8.0199999999999994E-3</v>
      </c>
      <c r="H796" s="43">
        <f>Volcanic!D796</f>
        <v>1.53</v>
      </c>
      <c r="I796" s="47">
        <f>Volcanic!E796</f>
        <v>1.3769999999999999E-2</v>
      </c>
      <c r="K796" s="47">
        <f t="shared" si="168"/>
        <v>0.60847133541530962</v>
      </c>
      <c r="L796" s="47">
        <f t="shared" si="169"/>
        <v>1.5</v>
      </c>
      <c r="M796" s="47">
        <f t="shared" si="170"/>
        <v>1.3769999999999999E-2</v>
      </c>
      <c r="O796" s="47">
        <f t="shared" si="171"/>
        <v>0.60847133541530962</v>
      </c>
      <c r="P796" s="47">
        <f t="shared" si="172"/>
        <v>1.53</v>
      </c>
      <c r="Q796" s="47">
        <f t="shared" si="173"/>
        <v>8.0199999999999994E-3</v>
      </c>
      <c r="S796" s="47">
        <f t="shared" si="174"/>
        <v>0.60847133541530962</v>
      </c>
      <c r="T796" s="47">
        <f t="shared" si="175"/>
        <v>1.5</v>
      </c>
      <c r="U796" s="47">
        <f t="shared" si="176"/>
        <v>8.0199999999999994E-3</v>
      </c>
      <c r="W796" s="47">
        <f t="shared" si="177"/>
        <v>-4.789271205119916E-2</v>
      </c>
      <c r="X796" s="47">
        <f t="shared" si="178"/>
        <v>-5.5742434171944577E-2</v>
      </c>
      <c r="Y796" s="47">
        <f t="shared" si="179"/>
        <v>-5.2643470868717124E-2</v>
      </c>
      <c r="AP796" s="48">
        <v>1.1366000000000001</v>
      </c>
      <c r="AQ796" s="48">
        <v>1.2057</v>
      </c>
      <c r="AR796" s="47">
        <f>IF(AP796="","",AP796-($AC$60+$AC$61*Volcanic!C796+$AC$62*Volcanic!D796+$AC$63*Volcanic!E796))</f>
        <v>-6.6623446326603109E-2</v>
      </c>
      <c r="AS796" s="47">
        <f>IF(AQ796="","",AQ796-($AD$60+$AD$61*Volcanic!C796+$AD$62*Volcanic!D796+$AD$63*Volcanic!E796))</f>
        <v>-3.5340054490134332E-2</v>
      </c>
    </row>
    <row r="797" spans="1:45">
      <c r="A797" s="45" t="str">
        <f>Volcanic!A797</f>
        <v>6/2024</v>
      </c>
      <c r="B797" s="43">
        <f>Volcanic!B797</f>
        <v>1.2299999999999986</v>
      </c>
      <c r="C797" s="47">
        <f>Volcanic!C797</f>
        <v>0.60850512970305437</v>
      </c>
      <c r="D797" s="41">
        <v>0.2</v>
      </c>
      <c r="E797" s="43">
        <f t="shared" si="180"/>
        <v>1.2</v>
      </c>
      <c r="F797" s="48">
        <v>1.1010000000000001E-2</v>
      </c>
      <c r="G797" s="47">
        <f t="shared" si="181"/>
        <v>7.7999999999999996E-3</v>
      </c>
      <c r="H797" s="43">
        <f>Volcanic!D797</f>
        <v>1.18</v>
      </c>
      <c r="I797" s="47">
        <f>Volcanic!E797</f>
        <v>1.2930000000000001E-2</v>
      </c>
      <c r="K797" s="47">
        <f t="shared" si="168"/>
        <v>0.60850512970305437</v>
      </c>
      <c r="L797" s="47">
        <f t="shared" si="169"/>
        <v>1.2</v>
      </c>
      <c r="M797" s="47">
        <f t="shared" si="170"/>
        <v>1.2930000000000001E-2</v>
      </c>
      <c r="O797" s="47">
        <f t="shared" si="171"/>
        <v>0.60850512970305437</v>
      </c>
      <c r="P797" s="47">
        <f t="shared" si="172"/>
        <v>1.18</v>
      </c>
      <c r="Q797" s="47">
        <f t="shared" si="173"/>
        <v>7.7999999999999996E-3</v>
      </c>
      <c r="S797" s="47">
        <f t="shared" si="174"/>
        <v>0.60850512970305437</v>
      </c>
      <c r="T797" s="47">
        <f t="shared" si="175"/>
        <v>1.2</v>
      </c>
      <c r="U797" s="47">
        <f t="shared" si="176"/>
        <v>7.7999999999999996E-3</v>
      </c>
      <c r="W797" s="47">
        <f t="shared" si="177"/>
        <v>4.8026159231377541E-2</v>
      </c>
      <c r="X797" s="47">
        <f t="shared" si="178"/>
        <v>4.6469059152913994E-2</v>
      </c>
      <c r="Y797" s="47">
        <f t="shared" si="179"/>
        <v>4.4893027016511322E-2</v>
      </c>
      <c r="AP797" s="48">
        <v>1.1689000000000001</v>
      </c>
      <c r="AQ797" s="48">
        <v>1.2126999999999999</v>
      </c>
      <c r="AR797" s="47">
        <f>IF(AP797="","",AP797-($AC$60+$AC$61*Volcanic!C797+$AC$62*Volcanic!D797+$AC$63*Volcanic!E797))</f>
        <v>-3.6611480975947686E-3</v>
      </c>
      <c r="AS797" s="47">
        <f>IF(AQ797="","",AQ797-($AD$60+$AD$61*Volcanic!C797+$AD$62*Volcanic!D797+$AD$63*Volcanic!E797))</f>
        <v>3.0889079247056195E-3</v>
      </c>
    </row>
    <row r="798" spans="1:45">
      <c r="A798" s="45" t="str">
        <f>Volcanic!A798</f>
        <v>7/2024</v>
      </c>
      <c r="B798" s="43">
        <f>Volcanic!B798</f>
        <v>1.2000000000000011</v>
      </c>
      <c r="C798" s="47">
        <f>Volcanic!C798</f>
        <v>0.60390182416318638</v>
      </c>
      <c r="D798" s="41">
        <v>0.1</v>
      </c>
      <c r="E798" s="43">
        <f t="shared" si="180"/>
        <v>0.8</v>
      </c>
      <c r="F798" s="48">
        <v>1.1509999999999999E-2</v>
      </c>
      <c r="G798" s="47">
        <f t="shared" si="181"/>
        <v>7.5100000000000002E-3</v>
      </c>
      <c r="H798" s="43">
        <f>Volcanic!D798</f>
        <v>0.77</v>
      </c>
      <c r="I798" s="47">
        <f>Volcanic!E798</f>
        <v>1.235E-2</v>
      </c>
      <c r="K798" s="47">
        <f t="shared" si="168"/>
        <v>0.60390182416318638</v>
      </c>
      <c r="L798" s="47">
        <f t="shared" si="169"/>
        <v>0.8</v>
      </c>
      <c r="M798" s="47">
        <f t="shared" si="170"/>
        <v>1.235E-2</v>
      </c>
      <c r="O798" s="47">
        <f t="shared" si="171"/>
        <v>0.60390182416318638</v>
      </c>
      <c r="P798" s="47">
        <f t="shared" si="172"/>
        <v>0.77</v>
      </c>
      <c r="Q798" s="47">
        <f t="shared" si="173"/>
        <v>7.5100000000000002E-3</v>
      </c>
      <c r="S798" s="47">
        <f t="shared" si="174"/>
        <v>0.60390182416318638</v>
      </c>
      <c r="T798" s="47">
        <f t="shared" si="175"/>
        <v>0.8</v>
      </c>
      <c r="U798" s="47">
        <f t="shared" si="176"/>
        <v>7.5100000000000002E-3</v>
      </c>
      <c r="W798" s="47">
        <f t="shared" si="177"/>
        <v>6.6451347966393293E-2</v>
      </c>
      <c r="X798" s="47">
        <f t="shared" si="178"/>
        <v>6.6670595493227625E-2</v>
      </c>
      <c r="Y798" s="47">
        <f t="shared" si="179"/>
        <v>6.4182889609793792E-2</v>
      </c>
      <c r="AP798" s="48">
        <v>1.2055</v>
      </c>
      <c r="AQ798" s="48">
        <v>1.2117</v>
      </c>
      <c r="AR798" s="47">
        <f>IF(AP798="","",AP798-($AC$60+$AC$61*Volcanic!C798+$AC$62*Volcanic!D798+$AC$63*Volcanic!E798))</f>
        <v>8.2507570601471514E-2</v>
      </c>
      <c r="AS798" s="47">
        <f>IF(AQ798="","",AQ798-($AD$60+$AD$61*Volcanic!C798+$AD$62*Volcanic!D798+$AD$63*Volcanic!E798))</f>
        <v>5.2835242115016223E-2</v>
      </c>
    </row>
    <row r="799" spans="1:45">
      <c r="A799" s="45" t="str">
        <f>Volcanic!A799</f>
        <v>8/2024</v>
      </c>
      <c r="B799" s="43">
        <f>Volcanic!B799</f>
        <v>1.3000000000000043</v>
      </c>
      <c r="C799" s="47">
        <f>Volcanic!C799</f>
        <v>0.5951967295060876</v>
      </c>
      <c r="D799" s="41">
        <v>0</v>
      </c>
      <c r="E799" s="43">
        <f t="shared" si="180"/>
        <v>0.4</v>
      </c>
      <c r="F799" s="48">
        <v>1.1639999999999999E-2</v>
      </c>
      <c r="G799" s="47">
        <f t="shared" si="181"/>
        <v>7.28E-3</v>
      </c>
      <c r="H799" s="43">
        <f>Volcanic!D799</f>
        <v>0.43</v>
      </c>
      <c r="I799" s="47">
        <f>Volcanic!E799</f>
        <v>1.175E-2</v>
      </c>
      <c r="K799" s="47">
        <f t="shared" si="168"/>
        <v>0.5951967295060876</v>
      </c>
      <c r="L799" s="47">
        <f t="shared" si="169"/>
        <v>0.4</v>
      </c>
      <c r="M799" s="47">
        <f t="shared" si="170"/>
        <v>1.175E-2</v>
      </c>
      <c r="O799" s="47">
        <f t="shared" si="171"/>
        <v>0.5951967295060876</v>
      </c>
      <c r="P799" s="47">
        <f t="shared" si="172"/>
        <v>0.43</v>
      </c>
      <c r="Q799" s="47">
        <f t="shared" si="173"/>
        <v>7.28E-3</v>
      </c>
      <c r="S799" s="47">
        <f t="shared" si="174"/>
        <v>0.5951967295060876</v>
      </c>
      <c r="T799" s="47">
        <f t="shared" si="175"/>
        <v>0.4</v>
      </c>
      <c r="U799" s="47">
        <f t="shared" si="176"/>
        <v>7.28E-3</v>
      </c>
      <c r="W799" s="47">
        <f t="shared" si="177"/>
        <v>0.22601866276086868</v>
      </c>
      <c r="X799" s="47">
        <f t="shared" si="178"/>
        <v>0.22154287407200268</v>
      </c>
      <c r="Y799" s="47">
        <f t="shared" si="179"/>
        <v>0.22471797052530329</v>
      </c>
      <c r="AP799" s="48">
        <v>1.2908999999999999</v>
      </c>
      <c r="AQ799" s="48">
        <v>1.3656999999999999</v>
      </c>
      <c r="AR799" s="47">
        <f>IF(AP799="","",AP799-($AC$60+$AC$61*Volcanic!C799+$AC$62*Volcanic!D799+$AC$63*Volcanic!E799))</f>
        <v>0.22207338677606914</v>
      </c>
      <c r="AS799" s="47">
        <f>IF(AQ799="","",AQ799-($AD$60+$AD$61*Volcanic!C799+$AD$62*Volcanic!D799+$AD$63*Volcanic!E799))</f>
        <v>0.26233493761125648</v>
      </c>
    </row>
    <row r="800" spans="1:45">
      <c r="A800" s="45" t="str">
        <f>Volcanic!A800</f>
        <v>9/2024</v>
      </c>
      <c r="B800" s="43">
        <f>Volcanic!B800</f>
        <v>1.2099999999999991</v>
      </c>
      <c r="C800" s="47">
        <f>Volcanic!C800</f>
        <v>0.59191872937568002</v>
      </c>
      <c r="D800" s="41">
        <v>-0.1</v>
      </c>
      <c r="E800" s="43">
        <f t="shared" si="180"/>
        <v>0.2</v>
      </c>
      <c r="F800" s="48">
        <v>1.171E-2</v>
      </c>
      <c r="G800" s="47">
        <f t="shared" si="181"/>
        <v>6.7400000000000003E-3</v>
      </c>
      <c r="H800" s="43">
        <f>Volcanic!D800</f>
        <v>0.18</v>
      </c>
      <c r="I800" s="47">
        <f>Volcanic!E800</f>
        <v>1.065E-2</v>
      </c>
      <c r="K800" s="47">
        <f t="shared" si="168"/>
        <v>0.59191872937568002</v>
      </c>
      <c r="L800" s="47">
        <f t="shared" si="169"/>
        <v>0.2</v>
      </c>
      <c r="M800" s="47">
        <f t="shared" si="170"/>
        <v>1.065E-2</v>
      </c>
      <c r="O800" s="47">
        <f t="shared" si="171"/>
        <v>0.59191872937568002</v>
      </c>
      <c r="P800" s="47">
        <f t="shared" si="172"/>
        <v>0.18</v>
      </c>
      <c r="Q800" s="47">
        <f t="shared" si="173"/>
        <v>6.7400000000000003E-3</v>
      </c>
      <c r="S800" s="47">
        <f t="shared" si="174"/>
        <v>0.59191872937568002</v>
      </c>
      <c r="T800" s="47">
        <f t="shared" si="175"/>
        <v>0.2</v>
      </c>
      <c r="U800" s="47">
        <f t="shared" si="176"/>
        <v>6.7400000000000003E-3</v>
      </c>
      <c r="W800" s="47">
        <f t="shared" si="177"/>
        <v>0.16110904812415683</v>
      </c>
      <c r="X800" s="47">
        <f t="shared" si="178"/>
        <v>0.16247836537745997</v>
      </c>
      <c r="Y800" s="47">
        <f t="shared" si="179"/>
        <v>0.16096898360784473</v>
      </c>
      <c r="AP800" s="48">
        <v>1.2188000000000001</v>
      </c>
      <c r="AQ800" s="48">
        <v>1.2537</v>
      </c>
      <c r="AR800" s="47">
        <f>IF(AP800="","",AP800-($AC$60+$AC$61*Volcanic!C800+$AC$62*Volcanic!D800+$AC$63*Volcanic!E800))</f>
        <v>0.17968877545679218</v>
      </c>
      <c r="AS800" s="47">
        <f>IF(AQ800="","",AQ800-($AD$60+$AD$61*Volcanic!C800+$AD$62*Volcanic!D800+$AD$63*Volcanic!E800))</f>
        <v>0.18088795556407145</v>
      </c>
    </row>
    <row r="801" spans="1:45">
      <c r="A801" s="45" t="str">
        <f>Volcanic!A801</f>
        <v>10/2024</v>
      </c>
      <c r="B801" s="43">
        <f>Volcanic!B801</f>
        <v>1.3499999999999979</v>
      </c>
      <c r="C801" s="47">
        <f>Volcanic!C801</f>
        <v>0.59311469648461523</v>
      </c>
      <c r="D801" s="41">
        <v>-0.2</v>
      </c>
      <c r="E801" s="43">
        <f t="shared" si="180"/>
        <v>0.1</v>
      </c>
      <c r="F801" s="48">
        <v>1.136E-2</v>
      </c>
      <c r="G801" s="47">
        <f t="shared" si="181"/>
        <v>6.3499999999999997E-3</v>
      </c>
      <c r="H801" s="43">
        <f>Volcanic!D801</f>
        <v>0.06</v>
      </c>
      <c r="I801" s="47">
        <f>Volcanic!E801</f>
        <v>9.9600000000000001E-3</v>
      </c>
      <c r="K801" s="47">
        <f t="shared" si="168"/>
        <v>0.59311469648461523</v>
      </c>
      <c r="L801" s="47">
        <f t="shared" si="169"/>
        <v>0.1</v>
      </c>
      <c r="M801" s="47">
        <f t="shared" si="170"/>
        <v>9.9600000000000001E-3</v>
      </c>
      <c r="O801" s="47">
        <f t="shared" si="171"/>
        <v>0.59311469648461523</v>
      </c>
      <c r="P801" s="47">
        <f t="shared" si="172"/>
        <v>0.06</v>
      </c>
      <c r="Q801" s="47">
        <f t="shared" si="173"/>
        <v>6.3499999999999997E-3</v>
      </c>
      <c r="S801" s="47">
        <f t="shared" si="174"/>
        <v>0.59311469648461523</v>
      </c>
      <c r="T801" s="47">
        <f t="shared" si="175"/>
        <v>0.1</v>
      </c>
      <c r="U801" s="47">
        <f t="shared" si="176"/>
        <v>6.3499999999999997E-3</v>
      </c>
      <c r="W801" s="47">
        <f t="shared" si="177"/>
        <v>0.30561436493570082</v>
      </c>
      <c r="X801" s="47">
        <f t="shared" si="178"/>
        <v>0.30949834278117216</v>
      </c>
      <c r="Y801" s="47">
        <f t="shared" si="179"/>
        <v>0.30611689116288487</v>
      </c>
      <c r="AP801" s="48">
        <v>1.2759</v>
      </c>
      <c r="AQ801" s="48">
        <v>1.3507</v>
      </c>
      <c r="AR801" s="47">
        <f>IF(AP801="","",AP801-($AC$60+$AC$61*Volcanic!C801+$AC$62*Volcanic!D801+$AC$63*Volcanic!E801))</f>
        <v>0.24310019193821208</v>
      </c>
      <c r="AS801" s="47">
        <f>IF(AQ801="","",AQ801-($AD$60+$AD$61*Volcanic!C801+$AD$62*Volcanic!D801+$AD$63*Volcanic!E801))</f>
        <v>0.28442555396973623</v>
      </c>
    </row>
    <row r="802" spans="1:45">
      <c r="A802" s="45" t="str">
        <f>Volcanic!A802</f>
        <v>11/2024</v>
      </c>
      <c r="B802" s="43">
        <f>Volcanic!B802</f>
        <v>1.3000000000000043</v>
      </c>
      <c r="C802" s="47">
        <f>Volcanic!C802</f>
        <v>0.59812695991960418</v>
      </c>
      <c r="D802" s="41">
        <v>-0.3</v>
      </c>
      <c r="E802" s="43">
        <f t="shared" si="180"/>
        <v>0</v>
      </c>
      <c r="F802" s="48">
        <v>1.094E-2</v>
      </c>
      <c r="G802" s="47">
        <f t="shared" si="181"/>
        <v>6.13E-3</v>
      </c>
      <c r="H802" s="43">
        <f>Volcanic!D802</f>
        <v>-0.04</v>
      </c>
      <c r="I802" s="47">
        <f>Volcanic!E802</f>
        <v>9.6799999999999994E-3</v>
      </c>
      <c r="K802" s="47">
        <f t="shared" si="168"/>
        <v>0.59812695991960418</v>
      </c>
      <c r="L802" s="47">
        <f t="shared" si="169"/>
        <v>0</v>
      </c>
      <c r="M802" s="47">
        <f t="shared" si="170"/>
        <v>9.6799999999999994E-3</v>
      </c>
      <c r="O802" s="47">
        <f t="shared" si="171"/>
        <v>0.59812695991960418</v>
      </c>
      <c r="P802" s="47">
        <f t="shared" si="172"/>
        <v>-0.04</v>
      </c>
      <c r="Q802" s="47">
        <f t="shared" si="173"/>
        <v>6.13E-3</v>
      </c>
      <c r="S802" s="47">
        <f t="shared" si="174"/>
        <v>0.59812695991960418</v>
      </c>
      <c r="T802" s="47">
        <f t="shared" si="175"/>
        <v>0</v>
      </c>
      <c r="U802" s="47">
        <f t="shared" si="176"/>
        <v>6.13E-3</v>
      </c>
      <c r="W802" s="47">
        <f t="shared" si="177"/>
        <v>0.25061551227882917</v>
      </c>
      <c r="X802" s="47">
        <f t="shared" si="178"/>
        <v>0.25476610666517741</v>
      </c>
      <c r="Y802" s="47">
        <f t="shared" si="179"/>
        <v>0.2513929881619017</v>
      </c>
      <c r="AP802" s="48">
        <v>1.2839</v>
      </c>
      <c r="AQ802" s="48">
        <v>1.2957000000000001</v>
      </c>
      <c r="AR802" s="47">
        <f>IF(AP802="","",AP802-($AC$60+$AC$61*Volcanic!C802+$AC$62*Volcanic!D802+$AC$63*Volcanic!E802))</f>
        <v>0.24610443887223776</v>
      </c>
      <c r="AS802" s="47">
        <f>IF(AQ802="","",AQ802-($AD$60+$AD$61*Volcanic!C802+$AD$62*Volcanic!D802+$AD$63*Volcanic!E802))</f>
        <v>0.22430187485494568</v>
      </c>
    </row>
    <row r="803" spans="1:45">
      <c r="A803" s="45" t="str">
        <f>Volcanic!A803</f>
        <v>12/2024</v>
      </c>
      <c r="B803" s="43">
        <f>Volcanic!B803</f>
        <v>1.2700000000000014</v>
      </c>
      <c r="C803" s="47">
        <f>Volcanic!C803</f>
        <v>0.60339320612834335</v>
      </c>
      <c r="D803" s="41">
        <v>-0.4</v>
      </c>
      <c r="E803" s="43">
        <f t="shared" si="180"/>
        <v>-0.1</v>
      </c>
      <c r="F803" s="48">
        <v>1.076E-2</v>
      </c>
      <c r="G803" s="47">
        <f t="shared" si="181"/>
        <v>7.8600000000000007E-3</v>
      </c>
      <c r="H803" s="43">
        <f>Volcanic!D803</f>
        <v>-0.12</v>
      </c>
      <c r="I803" s="47">
        <f>Volcanic!E803</f>
        <v>1.523E-2</v>
      </c>
      <c r="K803" s="47">
        <f t="shared" si="168"/>
        <v>0.60339320612834335</v>
      </c>
      <c r="L803" s="47">
        <f t="shared" si="169"/>
        <v>-0.1</v>
      </c>
      <c r="M803" s="47">
        <f t="shared" si="170"/>
        <v>1.523E-2</v>
      </c>
      <c r="O803" s="47">
        <f t="shared" si="171"/>
        <v>0.60339320612834335</v>
      </c>
      <c r="P803" s="47">
        <f t="shared" si="172"/>
        <v>-0.12</v>
      </c>
      <c r="Q803" s="47">
        <f t="shared" si="173"/>
        <v>7.8600000000000007E-3</v>
      </c>
      <c r="S803" s="47">
        <f t="shared" si="174"/>
        <v>0.60339320612834335</v>
      </c>
      <c r="T803" s="47">
        <f t="shared" si="175"/>
        <v>-0.1</v>
      </c>
      <c r="U803" s="47">
        <f t="shared" si="176"/>
        <v>7.8600000000000007E-3</v>
      </c>
      <c r="W803" s="47">
        <f t="shared" si="177"/>
        <v>0.22777056126368311</v>
      </c>
      <c r="X803" s="47">
        <f t="shared" si="178"/>
        <v>0.22256335128755045</v>
      </c>
      <c r="Y803" s="47">
        <f t="shared" si="179"/>
        <v>0.22108337696179747</v>
      </c>
      <c r="AP803" s="48">
        <v>1.2002999999999999</v>
      </c>
      <c r="AQ803" s="48">
        <v>1.2717000000000001</v>
      </c>
      <c r="AR803" s="47">
        <f>IF(AP803="","",AP803-($AC$60+$AC$61*Volcanic!C803+$AC$62*Volcanic!D803+$AC$63*Volcanic!E803))</f>
        <v>0.16897040400970553</v>
      </c>
      <c r="AS803" s="47">
        <f>IF(AQ803="","",AQ803-($AD$60+$AD$61*Volcanic!C803+$AD$62*Volcanic!D803+$AD$63*Volcanic!E803))</f>
        <v>0.20590830546845829</v>
      </c>
    </row>
    <row r="804" spans="1:45">
      <c r="A804" s="45" t="str">
        <f>Volcanic!A804</f>
        <v>1/2025</v>
      </c>
      <c r="B804" s="43">
        <f>Volcanic!B804</f>
        <v>1.379999999999999</v>
      </c>
      <c r="C804" s="47">
        <f>Volcanic!C804</f>
        <v>0.60762622084548734</v>
      </c>
      <c r="D804" s="41">
        <v>-0.5</v>
      </c>
      <c r="E804" s="43">
        <f t="shared" si="180"/>
        <v>-0.2</v>
      </c>
      <c r="F804" s="48">
        <v>1.0449999999999999E-2</v>
      </c>
      <c r="G804" s="47">
        <f t="shared" si="181"/>
        <v>1.1010000000000001E-2</v>
      </c>
      <c r="H804" s="43">
        <f>Volcanic!D804</f>
        <v>-0.19</v>
      </c>
      <c r="I804" s="47">
        <f>Volcanic!E804</f>
        <v>1.8540000000000001E-2</v>
      </c>
      <c r="K804" s="47">
        <f t="shared" si="168"/>
        <v>0.60762622084548734</v>
      </c>
      <c r="L804" s="47">
        <f t="shared" si="169"/>
        <v>-0.2</v>
      </c>
      <c r="M804" s="47">
        <f t="shared" si="170"/>
        <v>1.8540000000000001E-2</v>
      </c>
      <c r="O804" s="47">
        <f t="shared" si="171"/>
        <v>0.60762622084548734</v>
      </c>
      <c r="P804" s="47">
        <f t="shared" si="172"/>
        <v>-0.19</v>
      </c>
      <c r="Q804" s="47">
        <f t="shared" si="173"/>
        <v>1.1010000000000001E-2</v>
      </c>
      <c r="S804" s="47">
        <f t="shared" si="174"/>
        <v>0.60762622084548734</v>
      </c>
      <c r="T804" s="47">
        <f t="shared" si="175"/>
        <v>-0.2</v>
      </c>
      <c r="U804" s="47">
        <f t="shared" si="176"/>
        <v>1.1010000000000001E-2</v>
      </c>
      <c r="W804" s="47">
        <f t="shared" si="177"/>
        <v>0.34280749204615635</v>
      </c>
      <c r="X804" s="47">
        <f t="shared" si="178"/>
        <v>0.33592476496299417</v>
      </c>
      <c r="Y804" s="47">
        <f t="shared" si="179"/>
        <v>0.3372813607421099</v>
      </c>
      <c r="AP804" s="48">
        <v>1.3284</v>
      </c>
      <c r="AR804" s="47">
        <f>IF(AP804="","",AP804-($AC$60+$AC$61*Volcanic!C804+$AC$62*Volcanic!D804+$AC$63*Volcanic!E804))</f>
        <v>0.30003137977738659</v>
      </c>
    </row>
    <row r="805" spans="1:45">
      <c r="A805" s="45" t="str">
        <f>Volcanic!A805</f>
        <v>2/2025</v>
      </c>
      <c r="B805" s="43">
        <f>Volcanic!B805</f>
        <v>1.2600000000000033</v>
      </c>
      <c r="C805" s="47">
        <f>Volcanic!C805</f>
        <v>0.60911329155599458</v>
      </c>
      <c r="D805" s="41">
        <v>-0.2</v>
      </c>
      <c r="E805" s="43">
        <f t="shared" si="180"/>
        <v>-0.3</v>
      </c>
      <c r="F805" s="48">
        <v>9.8700000000000003E-3</v>
      </c>
      <c r="G805" s="47">
        <f t="shared" si="181"/>
        <v>1.1509999999999999E-2</v>
      </c>
      <c r="H805" s="43">
        <f>Volcanic!D805</f>
        <v>-0.28999999999999998</v>
      </c>
      <c r="I805" s="47">
        <f>Volcanic!E805</f>
        <v>1.687E-2</v>
      </c>
      <c r="K805" s="47">
        <f t="shared" si="168"/>
        <v>0.60911329155599458</v>
      </c>
      <c r="L805" s="47">
        <f t="shared" si="169"/>
        <v>-0.3</v>
      </c>
      <c r="M805" s="47">
        <f t="shared" si="170"/>
        <v>1.687E-2</v>
      </c>
      <c r="O805" s="47">
        <f t="shared" si="171"/>
        <v>0.60911329155599458</v>
      </c>
      <c r="P805" s="47">
        <f t="shared" si="172"/>
        <v>-0.28999999999999998</v>
      </c>
      <c r="Q805" s="47">
        <f t="shared" si="173"/>
        <v>1.1509999999999999E-2</v>
      </c>
      <c r="S805" s="47">
        <f t="shared" si="174"/>
        <v>0.60911329155599458</v>
      </c>
      <c r="T805" s="47">
        <f t="shared" si="175"/>
        <v>-0.3</v>
      </c>
      <c r="U805" s="47">
        <f t="shared" si="176"/>
        <v>1.1509999999999999E-2</v>
      </c>
      <c r="W805" s="47">
        <f t="shared" si="177"/>
        <v>0.22435947097568376</v>
      </c>
      <c r="X805" s="47">
        <f t="shared" si="178"/>
        <v>0.222604346658827</v>
      </c>
      <c r="Y805" s="47">
        <f t="shared" si="179"/>
        <v>0.22397042764371666</v>
      </c>
      <c r="AP805" s="48">
        <v>1.1866000000000001</v>
      </c>
      <c r="AR805" s="47">
        <f>IF(AP805="","",AP805-($AC$60+$AC$61*Volcanic!C805+$AC$62*Volcanic!D805+$AC$63*Volcanic!E805))</f>
        <v>0.15951692810732299</v>
      </c>
    </row>
    <row r="806" spans="1:45">
      <c r="A806" s="45" t="str">
        <f>Volcanic!A806</f>
        <v>3/2025</v>
      </c>
      <c r="B806" s="43">
        <f>Volcanic!B806</f>
        <v>1.370000000000001</v>
      </c>
      <c r="C806" s="47">
        <f>Volcanic!C806</f>
        <v>0.61268949829656494</v>
      </c>
      <c r="D806" s="41">
        <v>-0.1</v>
      </c>
      <c r="E806" s="43">
        <f t="shared" si="180"/>
        <v>-0.4</v>
      </c>
      <c r="F806" s="48">
        <v>9.6100000000000005E-3</v>
      </c>
      <c r="G806" s="47">
        <f t="shared" si="181"/>
        <v>1.1639999999999999E-2</v>
      </c>
      <c r="H806" s="43">
        <f>Volcanic!D806</f>
        <v>-0.43</v>
      </c>
      <c r="I806" s="47">
        <f>Volcanic!E806</f>
        <v>1.6629999999999999E-2</v>
      </c>
      <c r="K806" s="47">
        <f t="shared" si="168"/>
        <v>0.61268949829656494</v>
      </c>
      <c r="L806" s="47">
        <f t="shared" si="169"/>
        <v>-0.4</v>
      </c>
      <c r="M806" s="47">
        <f t="shared" si="170"/>
        <v>1.6629999999999999E-2</v>
      </c>
      <c r="O806" s="47">
        <f t="shared" si="171"/>
        <v>0.61268949829656494</v>
      </c>
      <c r="P806" s="47">
        <f t="shared" si="172"/>
        <v>-0.43</v>
      </c>
      <c r="Q806" s="47">
        <f t="shared" si="173"/>
        <v>1.1639999999999999E-2</v>
      </c>
      <c r="S806" s="47">
        <f t="shared" si="174"/>
        <v>0.61268949829656494</v>
      </c>
      <c r="T806" s="47">
        <f t="shared" si="175"/>
        <v>-0.4</v>
      </c>
      <c r="U806" s="47">
        <f t="shared" si="176"/>
        <v>1.1639999999999999E-2</v>
      </c>
      <c r="W806" s="47">
        <f t="shared" si="177"/>
        <v>0.33336510216346538</v>
      </c>
      <c r="X806" s="47">
        <f t="shared" si="178"/>
        <v>0.33642651356583708</v>
      </c>
      <c r="Y806" s="47">
        <f t="shared" si="179"/>
        <v>0.33404412438785669</v>
      </c>
      <c r="AP806" s="48">
        <v>1.2352000000000001</v>
      </c>
      <c r="AR806" s="47">
        <f>IF(AP806="","",AP806-($AC$60+$AC$61*Volcanic!C806+$AC$62*Volcanic!D806+$AC$63*Volcanic!E806))</f>
        <v>0.21088453513480676</v>
      </c>
    </row>
    <row r="807" spans="1:45">
      <c r="A807" s="45" t="str">
        <f>Volcanic!A807</f>
        <v>4/2025</v>
      </c>
      <c r="B807" s="43">
        <f>Volcanic!B807</f>
        <v>1.25</v>
      </c>
      <c r="C807" s="47">
        <f>Volcanic!C807</f>
        <v>0.61770148904698363</v>
      </c>
      <c r="D807" s="41">
        <v>0</v>
      </c>
      <c r="E807" s="43">
        <f t="shared" si="180"/>
        <v>-0.5</v>
      </c>
      <c r="F807" s="48">
        <v>9.2599999999999991E-3</v>
      </c>
      <c r="G807" s="47">
        <f t="shared" si="181"/>
        <v>1.171E-2</v>
      </c>
      <c r="H807" s="43">
        <f>Volcanic!D807</f>
        <v>-0.46</v>
      </c>
      <c r="I807" s="47">
        <f>Volcanic!E807</f>
        <v>1.5630000000000002E-2</v>
      </c>
      <c r="K807" s="47">
        <f t="shared" si="168"/>
        <v>0.61770148904698363</v>
      </c>
      <c r="L807" s="47">
        <f t="shared" si="169"/>
        <v>-0.5</v>
      </c>
      <c r="M807" s="47">
        <f t="shared" si="170"/>
        <v>1.5630000000000002E-2</v>
      </c>
      <c r="O807" s="47">
        <f t="shared" si="171"/>
        <v>0.61770148904698363</v>
      </c>
      <c r="P807" s="47">
        <f t="shared" si="172"/>
        <v>-0.46</v>
      </c>
      <c r="Q807" s="47">
        <f t="shared" si="173"/>
        <v>1.171E-2</v>
      </c>
      <c r="S807" s="47">
        <f t="shared" si="174"/>
        <v>0.61770148904698363</v>
      </c>
      <c r="T807" s="47">
        <f t="shared" si="175"/>
        <v>-0.5</v>
      </c>
      <c r="U807" s="47">
        <f t="shared" si="176"/>
        <v>1.171E-2</v>
      </c>
      <c r="W807" s="47">
        <f t="shared" si="177"/>
        <v>0.206780455138728</v>
      </c>
      <c r="X807" s="47">
        <f t="shared" si="178"/>
        <v>0.20587717995399868</v>
      </c>
      <c r="Y807" s="47">
        <f t="shared" si="179"/>
        <v>0.21007955054442506</v>
      </c>
      <c r="AP807" s="48">
        <v>1.1652</v>
      </c>
      <c r="AR807" s="47">
        <f>IF(AP807="","",AP807-($AC$60+$AC$61*Volcanic!C807+$AC$62*Volcanic!D807+$AC$63*Volcanic!E807))</f>
        <v>0.12760190537597005</v>
      </c>
    </row>
    <row r="808" spans="1:45">
      <c r="A808" s="45" t="str">
        <f>Volcanic!A808</f>
        <v>5/2025</v>
      </c>
      <c r="B808" s="43">
        <f>Volcanic!B808</f>
        <v>1.0800000000000036</v>
      </c>
      <c r="C808" s="47">
        <f>Volcanic!C808</f>
        <v>0.62061992214258854</v>
      </c>
      <c r="D808" s="41">
        <v>0</v>
      </c>
      <c r="E808" s="43">
        <f t="shared" si="180"/>
        <v>-0.2</v>
      </c>
      <c r="F808" s="48">
        <v>9.0299999999999998E-3</v>
      </c>
      <c r="G808" s="47">
        <f t="shared" si="181"/>
        <v>1.136E-2</v>
      </c>
      <c r="H808" s="43">
        <f>Volcanic!D808</f>
        <v>-0.22</v>
      </c>
      <c r="I808" s="47">
        <f>Volcanic!E808</f>
        <v>1.5779999999999999E-2</v>
      </c>
      <c r="K808" s="47">
        <f t="shared" si="168"/>
        <v>0.62061992214258854</v>
      </c>
      <c r="L808" s="47">
        <f t="shared" si="169"/>
        <v>-0.2</v>
      </c>
      <c r="M808" s="47">
        <f t="shared" si="170"/>
        <v>1.5779999999999999E-2</v>
      </c>
      <c r="O808" s="47">
        <f t="shared" si="171"/>
        <v>0.62061992214258854</v>
      </c>
      <c r="P808" s="47">
        <f t="shared" si="172"/>
        <v>-0.22</v>
      </c>
      <c r="Q808" s="47">
        <f t="shared" si="173"/>
        <v>1.136E-2</v>
      </c>
      <c r="S808" s="47">
        <f t="shared" si="174"/>
        <v>0.62061992214258854</v>
      </c>
      <c r="T808" s="47">
        <f t="shared" si="175"/>
        <v>-0.2</v>
      </c>
      <c r="U808" s="47">
        <f t="shared" si="176"/>
        <v>1.136E-2</v>
      </c>
      <c r="W808" s="47">
        <f t="shared" si="177"/>
        <v>1.2899829736998658E-3</v>
      </c>
      <c r="X808" s="47">
        <f t="shared" si="178"/>
        <v>4.5278188028217148E-3</v>
      </c>
      <c r="Y808" s="47">
        <f t="shared" si="179"/>
        <v>3.0713414168237474E-3</v>
      </c>
      <c r="AP808" s="48">
        <v>1.024</v>
      </c>
      <c r="AR808" s="47">
        <f>IF(AP808="","",AP808-($AC$60+$AC$61*Volcanic!C808+$AC$62*Volcanic!D808+$AC$63*Volcanic!E808))</f>
        <v>-4.3681085905068029E-2</v>
      </c>
    </row>
    <row r="809" spans="1:45">
      <c r="A809" s="45" t="str">
        <f>Volcanic!A809</f>
        <v>6/2025</v>
      </c>
      <c r="B809" s="43">
        <f>Volcanic!B809</f>
        <v>1.0700000000000021</v>
      </c>
      <c r="C809" s="47">
        <f>Volcanic!C809</f>
        <v>0.61760074804903375</v>
      </c>
      <c r="D809" s="41">
        <v>0</v>
      </c>
      <c r="E809" s="43">
        <f t="shared" si="180"/>
        <v>-0.1</v>
      </c>
      <c r="F809" s="48">
        <v>9.2200000000000008E-3</v>
      </c>
      <c r="G809" s="47">
        <f t="shared" si="181"/>
        <v>1.094E-2</v>
      </c>
      <c r="H809" s="43">
        <f>Volcanic!D809</f>
        <v>-0.08</v>
      </c>
      <c r="I809" s="47">
        <f>Volcanic!E809</f>
        <v>1.6060000000000001E-2</v>
      </c>
      <c r="K809" s="47">
        <f t="shared" si="168"/>
        <v>0.61760074804903375</v>
      </c>
      <c r="L809" s="47">
        <f t="shared" si="169"/>
        <v>-0.1</v>
      </c>
      <c r="M809" s="47">
        <f t="shared" si="170"/>
        <v>1.6060000000000001E-2</v>
      </c>
      <c r="O809" s="47">
        <f t="shared" si="171"/>
        <v>0.61760074804903375</v>
      </c>
      <c r="P809" s="47">
        <f t="shared" si="172"/>
        <v>-0.08</v>
      </c>
      <c r="Q809" s="47">
        <f t="shared" si="173"/>
        <v>1.094E-2</v>
      </c>
      <c r="S809" s="47">
        <f t="shared" si="174"/>
        <v>0.61760074804903375</v>
      </c>
      <c r="T809" s="47">
        <f t="shared" si="175"/>
        <v>-0.1</v>
      </c>
      <c r="U809" s="47">
        <f t="shared" si="176"/>
        <v>1.094E-2</v>
      </c>
      <c r="W809" s="47">
        <f t="shared" si="177"/>
        <v>-9.146619118006738E-3</v>
      </c>
      <c r="X809" s="47">
        <f t="shared" si="178"/>
        <v>-1.1558027889034372E-2</v>
      </c>
      <c r="Y809" s="47">
        <f t="shared" si="179"/>
        <v>-9.2667603525056208E-3</v>
      </c>
      <c r="AP809" s="48">
        <v>0.95760000000000001</v>
      </c>
      <c r="AR809" s="47">
        <f>IF(AP809="","",AP809-($AC$60+$AC$61*Volcanic!C809+$AC$62*Volcanic!D809+$AC$63*Volcanic!E809))</f>
        <v>-0.1142734827761156</v>
      </c>
    </row>
    <row r="810" spans="1:45">
      <c r="A810" s="45" t="str">
        <f>Volcanic!A810</f>
        <v>7/2025</v>
      </c>
      <c r="B810" s="43">
        <f>Volcanic!B810</f>
        <v>1.0200000000000014</v>
      </c>
      <c r="C810" s="47">
        <f>Volcanic!C810</f>
        <v>0.61174570112861226</v>
      </c>
      <c r="D810" s="41">
        <v>-0.1</v>
      </c>
      <c r="E810" s="43">
        <f t="shared" si="180"/>
        <v>0</v>
      </c>
      <c r="F810" s="48">
        <v>9.1599999999999997E-3</v>
      </c>
      <c r="G810" s="47">
        <f t="shared" si="181"/>
        <v>1.076E-2</v>
      </c>
      <c r="H810" s="43">
        <f>Volcanic!D810</f>
        <v>0.02</v>
      </c>
      <c r="I810" s="47">
        <f>Volcanic!E810</f>
        <v>1.601E-2</v>
      </c>
      <c r="K810" s="47">
        <f t="shared" si="168"/>
        <v>0.61174570112861226</v>
      </c>
      <c r="L810" s="47">
        <f t="shared" si="169"/>
        <v>0</v>
      </c>
      <c r="M810" s="47">
        <f t="shared" si="170"/>
        <v>1.601E-2</v>
      </c>
      <c r="O810" s="47">
        <f t="shared" si="171"/>
        <v>0.61174570112861226</v>
      </c>
      <c r="P810" s="47">
        <f t="shared" si="172"/>
        <v>0.02</v>
      </c>
      <c r="Q810" s="47">
        <f t="shared" si="173"/>
        <v>1.076E-2</v>
      </c>
      <c r="S810" s="47">
        <f t="shared" si="174"/>
        <v>0.61174570112861226</v>
      </c>
      <c r="T810" s="47">
        <f t="shared" si="175"/>
        <v>0</v>
      </c>
      <c r="U810" s="47">
        <f t="shared" si="176"/>
        <v>1.076E-2</v>
      </c>
      <c r="W810" s="47">
        <f t="shared" si="177"/>
        <v>-5.257653225113823E-2</v>
      </c>
      <c r="X810" s="47">
        <f t="shared" si="178"/>
        <v>-5.5592361127288825E-2</v>
      </c>
      <c r="Y810" s="47">
        <f t="shared" si="179"/>
        <v>-5.3310914761773853E-2</v>
      </c>
      <c r="AP810" s="48">
        <v>1.0064</v>
      </c>
      <c r="AR810" s="47">
        <f>IF(AP810="","",AP810-($AC$60+$AC$61*Volcanic!C810+$AC$62*Volcanic!D810+$AC$63*Volcanic!E810))</f>
        <v>-5.89704643960276E-2</v>
      </c>
    </row>
    <row r="811" spans="1:45">
      <c r="A811" s="45" t="str">
        <f>Volcanic!A811</f>
        <v>8/2025</v>
      </c>
      <c r="B811" s="43">
        <f>Volcanic!B811</f>
        <v>1.1799999999999997</v>
      </c>
      <c r="C811" s="47">
        <f>Volcanic!C811</f>
        <v>0.60366449139444733</v>
      </c>
      <c r="D811" s="41">
        <v>-0.3</v>
      </c>
      <c r="E811" s="43">
        <f t="shared" si="180"/>
        <v>0</v>
      </c>
      <c r="F811" s="48">
        <v>9.0600000000000003E-3</v>
      </c>
      <c r="G811" s="47">
        <f t="shared" si="181"/>
        <v>1.0449999999999999E-2</v>
      </c>
      <c r="H811" s="43">
        <f>Volcanic!D811</f>
        <v>-0.04</v>
      </c>
      <c r="I811" s="47">
        <f>Volcanic!E811</f>
        <v>1.532E-2</v>
      </c>
      <c r="K811" s="47">
        <f t="shared" si="168"/>
        <v>0.60366449139444733</v>
      </c>
      <c r="L811" s="47">
        <f t="shared" si="169"/>
        <v>0</v>
      </c>
      <c r="M811" s="47">
        <f t="shared" si="170"/>
        <v>1.532E-2</v>
      </c>
      <c r="O811" s="47">
        <f t="shared" si="171"/>
        <v>0.60366449139444733</v>
      </c>
      <c r="P811" s="47">
        <f t="shared" si="172"/>
        <v>-0.04</v>
      </c>
      <c r="Q811" s="47">
        <f t="shared" si="173"/>
        <v>1.0449999999999999E-2</v>
      </c>
      <c r="S811" s="47">
        <f t="shared" si="174"/>
        <v>0.60366449139444733</v>
      </c>
      <c r="T811" s="47">
        <f t="shared" si="175"/>
        <v>0</v>
      </c>
      <c r="U811" s="47">
        <f t="shared" si="176"/>
        <v>1.0449999999999999E-2</v>
      </c>
      <c r="W811" s="47">
        <f t="shared" si="177"/>
        <v>0.12794171127369824</v>
      </c>
      <c r="X811" s="47">
        <f t="shared" si="178"/>
        <v>0.13108204377368393</v>
      </c>
      <c r="Y811" s="47">
        <f t="shared" si="179"/>
        <v>0.12772391719637488</v>
      </c>
      <c r="AP811" s="48">
        <v>1.091</v>
      </c>
      <c r="AR811" s="47">
        <f>IF(AP811="","",AP811-($AC$60+$AC$61*Volcanic!C811+$AC$62*Volcanic!D811+$AC$63*Volcanic!E811))</f>
        <v>5.1654580195159339E-2</v>
      </c>
    </row>
    <row r="812" spans="1:45">
      <c r="A812" s="45" t="str">
        <f>Volcanic!A812</f>
        <v>9/2025</v>
      </c>
      <c r="B812" s="43">
        <f>Volcanic!B812</f>
        <v>1.25</v>
      </c>
      <c r="C812" s="47">
        <f>Volcanic!C812</f>
        <v>0.59989584420727626</v>
      </c>
      <c r="D812" s="41">
        <v>-0.4</v>
      </c>
      <c r="E812" s="43">
        <f t="shared" si="180"/>
        <v>0</v>
      </c>
      <c r="F812" s="48">
        <v>8.7299999999999999E-3</v>
      </c>
      <c r="G812" s="47">
        <f t="shared" si="181"/>
        <v>9.8700000000000003E-3</v>
      </c>
      <c r="H812" s="43">
        <f>Volcanic!D812</f>
        <v>-0.02</v>
      </c>
      <c r="I812" s="47">
        <f>Volcanic!E812</f>
        <v>1.4789999999999999E-2</v>
      </c>
      <c r="K812" s="47">
        <f t="shared" si="168"/>
        <v>0.59989584420727626</v>
      </c>
      <c r="L812" s="47">
        <f t="shared" si="169"/>
        <v>0</v>
      </c>
      <c r="M812" s="47">
        <f t="shared" si="170"/>
        <v>1.4789999999999999E-2</v>
      </c>
      <c r="O812" s="47">
        <f t="shared" si="171"/>
        <v>0.59989584420727626</v>
      </c>
      <c r="P812" s="47">
        <f t="shared" si="172"/>
        <v>-0.02</v>
      </c>
      <c r="Q812" s="47">
        <f t="shared" si="173"/>
        <v>9.8700000000000003E-3</v>
      </c>
      <c r="S812" s="47">
        <f t="shared" si="174"/>
        <v>0.59989584420727626</v>
      </c>
      <c r="T812" s="47">
        <f t="shared" si="175"/>
        <v>0</v>
      </c>
      <c r="U812" s="47">
        <f t="shared" si="176"/>
        <v>9.8700000000000003E-3</v>
      </c>
      <c r="W812" s="47">
        <f t="shared" si="177"/>
        <v>0.20705151136220845</v>
      </c>
      <c r="X812" s="47">
        <f t="shared" si="178"/>
        <v>0.20787675832617269</v>
      </c>
      <c r="Y812" s="47">
        <f t="shared" si="179"/>
        <v>0.20639442681644149</v>
      </c>
      <c r="AP812" s="48">
        <v>1.1776</v>
      </c>
      <c r="AR812" s="47">
        <f>IF(AP812="","",AP812-($AC$60+$AC$61*Volcanic!C812+$AC$62*Volcanic!D812+$AC$63*Volcanic!E812))</f>
        <v>0.14539709053615679</v>
      </c>
    </row>
    <row r="813" spans="1:45">
      <c r="A813" s="45" t="str">
        <f>Volcanic!A813</f>
        <v>10/2025</v>
      </c>
      <c r="B813" s="43">
        <f>Volcanic!B813</f>
        <v>1.1899999999999977</v>
      </c>
      <c r="C813" s="47">
        <f>Volcanic!C813</f>
        <v>0.60159465162047843</v>
      </c>
      <c r="D813" s="41">
        <v>-0.6</v>
      </c>
      <c r="E813" s="43">
        <f t="shared" si="180"/>
        <v>-0.1</v>
      </c>
      <c r="F813" s="48">
        <v>8.1700000000000002E-3</v>
      </c>
      <c r="G813" s="47">
        <f t="shared" si="181"/>
        <v>9.6100000000000005E-3</v>
      </c>
      <c r="H813" s="43">
        <f>Volcanic!D813</f>
        <v>-0.11</v>
      </c>
      <c r="I813" s="47">
        <f>Volcanic!E813</f>
        <v>1.422E-2</v>
      </c>
      <c r="K813" s="47">
        <f t="shared" si="168"/>
        <v>0.60159465162047843</v>
      </c>
      <c r="L813" s="47">
        <f t="shared" si="169"/>
        <v>-0.1</v>
      </c>
      <c r="M813" s="47">
        <f t="shared" si="170"/>
        <v>1.422E-2</v>
      </c>
      <c r="O813" s="47">
        <f t="shared" si="171"/>
        <v>0.60159465162047843</v>
      </c>
      <c r="P813" s="47">
        <f t="shared" si="172"/>
        <v>-0.11</v>
      </c>
      <c r="Q813" s="47">
        <f t="shared" si="173"/>
        <v>9.6100000000000005E-3</v>
      </c>
      <c r="S813" s="47">
        <f t="shared" si="174"/>
        <v>0.60159465162047843</v>
      </c>
      <c r="T813" s="47">
        <f t="shared" si="175"/>
        <v>-0.1</v>
      </c>
      <c r="U813" s="47">
        <f t="shared" si="176"/>
        <v>9.6100000000000005E-3</v>
      </c>
      <c r="W813" s="47">
        <f t="shared" si="177"/>
        <v>0.15044992995084905</v>
      </c>
      <c r="X813" s="47">
        <f t="shared" si="178"/>
        <v>0.15105883963474231</v>
      </c>
      <c r="Y813" s="47">
        <f t="shared" si="179"/>
        <v>0.15052307671388454</v>
      </c>
      <c r="AP813" s="48">
        <v>1.1654</v>
      </c>
      <c r="AR813" s="47">
        <f>IF(AP813="","",AP813-($AC$60+$AC$61*Volcanic!C813+$AC$62*Volcanic!D813+$AC$63*Volcanic!E813))</f>
        <v>0.13561483821021292</v>
      </c>
    </row>
    <row r="814" spans="1:45">
      <c r="A814" s="45" t="str">
        <f>Volcanic!A814</f>
        <v>11/2025</v>
      </c>
      <c r="B814" s="43">
        <f>Volcanic!B814</f>
        <v>1.2099999999999991</v>
      </c>
      <c r="C814" s="47">
        <f>Volcanic!C814</f>
        <v>0.60698360251420269</v>
      </c>
      <c r="D814" s="41">
        <v>-0.6</v>
      </c>
      <c r="E814" s="43">
        <f t="shared" si="180"/>
        <v>-0.3</v>
      </c>
      <c r="F814" s="48">
        <v>7.8100000000000001E-3</v>
      </c>
      <c r="G814" s="47">
        <f t="shared" si="181"/>
        <v>9.2599999999999991E-3</v>
      </c>
      <c r="H814" s="43">
        <f>Volcanic!D814</f>
        <v>-0.26</v>
      </c>
      <c r="I814" s="47">
        <f>Volcanic!E814</f>
        <v>1.404E-2</v>
      </c>
      <c r="K814" s="47">
        <f t="shared" si="168"/>
        <v>0.60698360251420269</v>
      </c>
      <c r="L814" s="47">
        <f t="shared" si="169"/>
        <v>-0.3</v>
      </c>
      <c r="M814" s="47">
        <f t="shared" si="170"/>
        <v>1.404E-2</v>
      </c>
      <c r="O814" s="47">
        <f t="shared" si="171"/>
        <v>0.60698360251420269</v>
      </c>
      <c r="P814" s="47">
        <f t="shared" si="172"/>
        <v>-0.26</v>
      </c>
      <c r="Q814" s="47">
        <f t="shared" si="173"/>
        <v>9.2599999999999991E-3</v>
      </c>
      <c r="S814" s="47">
        <f t="shared" si="174"/>
        <v>0.60698360251420269</v>
      </c>
      <c r="T814" s="47">
        <f t="shared" si="175"/>
        <v>-0.3</v>
      </c>
      <c r="U814" s="47">
        <f t="shared" si="176"/>
        <v>9.2599999999999991E-3</v>
      </c>
      <c r="W814" s="47">
        <f t="shared" si="177"/>
        <v>0.17393147784838869</v>
      </c>
      <c r="X814" s="47">
        <f t="shared" si="178"/>
        <v>0.16966535070349686</v>
      </c>
      <c r="Y814" s="47">
        <f t="shared" si="179"/>
        <v>0.17384193729779285</v>
      </c>
      <c r="AP814" s="48">
        <v>1.1463000000000001</v>
      </c>
      <c r="AR814" s="47">
        <f>IF(AP814="","",AP814-($AC$60+$AC$61*Volcanic!C814+$AC$62*Volcanic!D814+$AC$63*Volcanic!E814))</f>
        <v>0.11541337440878463</v>
      </c>
    </row>
    <row r="815" spans="1:45">
      <c r="A815" s="45" t="str">
        <f>Volcanic!A815</f>
        <v>12/2025</v>
      </c>
      <c r="B815" s="43">
        <f>Volcanic!B815</f>
        <v>1.0600000000000023</v>
      </c>
      <c r="C815" s="47">
        <f>Volcanic!C815</f>
        <v>0.61046384518116448</v>
      </c>
      <c r="D815" s="41">
        <v>-0.6</v>
      </c>
      <c r="E815" s="43">
        <f t="shared" si="180"/>
        <v>-0.4</v>
      </c>
      <c r="F815" s="48">
        <v>7.4200000000000004E-3</v>
      </c>
      <c r="G815" s="47">
        <f t="shared" si="181"/>
        <v>9.0299999999999998E-3</v>
      </c>
      <c r="H815" s="43">
        <f>Volcanic!D815</f>
        <v>-0.43</v>
      </c>
      <c r="I815" s="47">
        <f>Volcanic!E815</f>
        <v>1.328E-2</v>
      </c>
      <c r="K815" s="47">
        <f t="shared" si="168"/>
        <v>0.61046384518116448</v>
      </c>
      <c r="L815" s="47">
        <f t="shared" si="169"/>
        <v>-0.4</v>
      </c>
      <c r="M815" s="47">
        <f t="shared" si="170"/>
        <v>1.328E-2</v>
      </c>
      <c r="O815" s="47">
        <f t="shared" si="171"/>
        <v>0.61046384518116448</v>
      </c>
      <c r="P815" s="47">
        <f t="shared" si="172"/>
        <v>-0.43</v>
      </c>
      <c r="Q815" s="47">
        <f t="shared" si="173"/>
        <v>9.0299999999999998E-3</v>
      </c>
      <c r="S815" s="47">
        <f t="shared" si="174"/>
        <v>0.61046384518116448</v>
      </c>
      <c r="T815" s="47">
        <f t="shared" si="175"/>
        <v>-0.4</v>
      </c>
      <c r="U815" s="47">
        <f t="shared" si="176"/>
        <v>9.0299999999999998E-3</v>
      </c>
      <c r="W815" s="47">
        <f t="shared" si="177"/>
        <v>2.2052984500682937E-2</v>
      </c>
      <c r="X815" s="47">
        <f t="shared" si="178"/>
        <v>2.5624458753904511E-2</v>
      </c>
      <c r="Y815" s="47">
        <f t="shared" si="179"/>
        <v>2.3233350989494639E-2</v>
      </c>
      <c r="AP815" s="48">
        <v>0.99619999999999997</v>
      </c>
      <c r="AR815" s="47">
        <f>IF(AP815="","",AP815-($AC$60+$AC$61*Volcanic!C815+$AC$62*Volcanic!D815+$AC$63*Volcanic!E815))</f>
        <v>-3.0098849398164207E-2</v>
      </c>
    </row>
    <row r="816" spans="1:45">
      <c r="A816" s="45" t="str">
        <f>Volcanic!A816</f>
        <v>1/2026</v>
      </c>
      <c r="B816" s="43">
        <f>Volcanic!B816</f>
        <v>1.0899999999999999</v>
      </c>
      <c r="C816" s="47">
        <f>Volcanic!C816</f>
        <v>0.61427234255403185</v>
      </c>
      <c r="D816" s="41">
        <v>-0.4</v>
      </c>
      <c r="E816" s="43">
        <f t="shared" si="180"/>
        <v>-0.6</v>
      </c>
      <c r="G816" s="47">
        <f t="shared" si="181"/>
        <v>9.2200000000000008E-3</v>
      </c>
      <c r="H816" s="43">
        <f>Volcanic!D816</f>
        <v>-0.56999999999999995</v>
      </c>
      <c r="I816" s="47">
        <f>Volcanic!E816</f>
        <v>1.4590000000000001E-2</v>
      </c>
      <c r="K816" s="47">
        <f t="shared" si="168"/>
        <v>0.61427234255403185</v>
      </c>
      <c r="L816" s="47">
        <f t="shared" si="169"/>
        <v>-0.6</v>
      </c>
      <c r="M816" s="47">
        <f t="shared" si="170"/>
        <v>1.4590000000000001E-2</v>
      </c>
      <c r="O816" s="47">
        <f t="shared" si="171"/>
        <v>0.61427234255403185</v>
      </c>
      <c r="P816" s="47">
        <f t="shared" si="172"/>
        <v>-0.56999999999999995</v>
      </c>
      <c r="Q816" s="47">
        <f t="shared" si="173"/>
        <v>9.2200000000000008E-3</v>
      </c>
      <c r="S816" s="47">
        <f t="shared" si="174"/>
        <v>0.61427234255403185</v>
      </c>
      <c r="T816" s="47">
        <f t="shared" si="175"/>
        <v>-0.6</v>
      </c>
      <c r="U816" s="47">
        <f t="shared" si="176"/>
        <v>9.2200000000000008E-3</v>
      </c>
      <c r="W816" s="47">
        <f t="shared" si="177"/>
        <v>6.3127919421255063E-2</v>
      </c>
      <c r="X816" s="47">
        <f t="shared" si="178"/>
        <v>5.8975374773068356E-2</v>
      </c>
      <c r="Y816" s="47">
        <f t="shared" si="179"/>
        <v>6.2237164362120456E-2</v>
      </c>
      <c r="AP816" s="48">
        <v>1.0699000000000001</v>
      </c>
      <c r="AR816" s="47">
        <f>IF(AP816="","",AP816-($AC$60+$AC$61*Volcanic!C816+$AC$62*Volcanic!D816+$AC$63*Volcanic!E816))</f>
        <v>4.946407338594816E-2</v>
      </c>
    </row>
    <row r="817" spans="1:44">
      <c r="A817" s="45" t="str">
        <f>Volcanic!A817</f>
        <v>2/2026</v>
      </c>
      <c r="B817" s="43">
        <f>Volcanic!B817</f>
        <v>1.25</v>
      </c>
      <c r="C817" s="47">
        <f>Volcanic!C817</f>
        <v>0.61672736460373478</v>
      </c>
      <c r="D817" s="41">
        <v>-0.2</v>
      </c>
      <c r="E817" s="43">
        <f t="shared" si="180"/>
        <v>-0.6</v>
      </c>
      <c r="G817" s="47">
        <f t="shared" si="181"/>
        <v>9.1599999999999997E-3</v>
      </c>
      <c r="H817" s="43">
        <f>Volcanic!D817</f>
        <v>-0.61</v>
      </c>
      <c r="I817" s="47">
        <f>Volcanic!E817</f>
        <v>1.387E-2</v>
      </c>
      <c r="K817" s="47">
        <f t="shared" si="168"/>
        <v>0.61672736460373478</v>
      </c>
      <c r="L817" s="47">
        <f t="shared" si="169"/>
        <v>-0.6</v>
      </c>
      <c r="M817" s="47">
        <f t="shared" si="170"/>
        <v>1.387E-2</v>
      </c>
      <c r="O817" s="47">
        <f t="shared" si="171"/>
        <v>0.61672736460373478</v>
      </c>
      <c r="P817" s="47">
        <f t="shared" si="172"/>
        <v>-0.61</v>
      </c>
      <c r="Q817" s="47">
        <f t="shared" si="173"/>
        <v>9.1599999999999997E-3</v>
      </c>
      <c r="S817" s="47">
        <f t="shared" si="174"/>
        <v>0.61672736460373478</v>
      </c>
      <c r="T817" s="47">
        <f t="shared" si="175"/>
        <v>-0.6</v>
      </c>
      <c r="U817" s="47">
        <f t="shared" si="176"/>
        <v>9.1599999999999997E-3</v>
      </c>
      <c r="W817" s="47">
        <f t="shared" si="177"/>
        <v>0.21484616660079037</v>
      </c>
      <c r="X817" s="47">
        <f t="shared" si="178"/>
        <v>0.21593871150118682</v>
      </c>
      <c r="Y817" s="47">
        <f t="shared" si="179"/>
        <v>0.21544361200030826</v>
      </c>
      <c r="AP817" s="48">
        <v>1.1234</v>
      </c>
      <c r="AR817" s="47">
        <f>IF(AP817="","",AP817-($AC$60+$AC$61*Volcanic!C817+$AC$62*Volcanic!D817+$AC$63*Volcanic!E817))</f>
        <v>9.8273710149796134E-2</v>
      </c>
    </row>
    <row r="818" spans="1:44">
      <c r="A818" s="45" t="str">
        <f>Volcanic!A818</f>
        <v>3/2026</v>
      </c>
      <c r="B818" s="43">
        <f>Volcanic!B818</f>
        <v>1.3200000000000003</v>
      </c>
      <c r="C818" s="47">
        <f>Volcanic!C818</f>
        <v>0.61941301059793685</v>
      </c>
      <c r="D818" s="41">
        <v>0.1</v>
      </c>
      <c r="E818" s="43">
        <f t="shared" si="180"/>
        <v>-0.6</v>
      </c>
      <c r="G818" s="47">
        <f t="shared" si="181"/>
        <v>9.0600000000000003E-3</v>
      </c>
      <c r="H818" s="43">
        <f>Volcanic!D818</f>
        <v>-0.6</v>
      </c>
      <c r="I818" s="47">
        <f>Volcanic!E818</f>
        <v>1.291E-2</v>
      </c>
      <c r="K818" s="47">
        <f t="shared" si="168"/>
        <v>0.61941301059793685</v>
      </c>
      <c r="L818" s="47">
        <f t="shared" si="169"/>
        <v>-0.6</v>
      </c>
      <c r="M818" s="47">
        <f t="shared" si="170"/>
        <v>1.291E-2</v>
      </c>
      <c r="O818" s="47">
        <f t="shared" si="171"/>
        <v>0.61941301059793685</v>
      </c>
      <c r="P818" s="47">
        <f t="shared" si="172"/>
        <v>-0.6</v>
      </c>
      <c r="Q818" s="47">
        <f t="shared" si="173"/>
        <v>9.0600000000000003E-3</v>
      </c>
      <c r="S818" s="47">
        <f t="shared" si="174"/>
        <v>0.61941301059793685</v>
      </c>
      <c r="T818" s="47">
        <f t="shared" si="175"/>
        <v>-0.6</v>
      </c>
      <c r="U818" s="47">
        <f t="shared" si="176"/>
        <v>9.0600000000000003E-3</v>
      </c>
      <c r="W818" s="47">
        <f t="shared" si="177"/>
        <v>0.27540662155030948</v>
      </c>
      <c r="X818" s="47">
        <f t="shared" si="178"/>
        <v>0.27747721894952826</v>
      </c>
      <c r="Y818" s="47">
        <f t="shared" si="179"/>
        <v>0.27792198607311569</v>
      </c>
      <c r="AP818" s="48">
        <v>1.1197999999999999</v>
      </c>
      <c r="AR818" s="47">
        <f>IF(AP818="","",AP818-($AC$60+$AC$61*Volcanic!C818+$AC$62*Volcanic!D818+$AC$63*Volcanic!E818))</f>
        <v>8.4093860176018831E-2</v>
      </c>
    </row>
    <row r="819" spans="1:44">
      <c r="A819" s="45" t="str">
        <f>Volcanic!A819</f>
        <v>4/2026</v>
      </c>
      <c r="B819" s="43">
        <f>Volcanic!B819</f>
        <v>1.1699999999999964</v>
      </c>
      <c r="C819" s="47">
        <f>Volcanic!C819</f>
        <v>0.6226626646700556</v>
      </c>
      <c r="D819" s="41">
        <v>0.5</v>
      </c>
      <c r="E819" s="43">
        <f t="shared" si="180"/>
        <v>-0.4</v>
      </c>
      <c r="G819" s="47">
        <f t="shared" si="181"/>
        <v>8.7299999999999999E-3</v>
      </c>
      <c r="H819" s="43">
        <f>Volcanic!D819</f>
        <v>-0.39</v>
      </c>
      <c r="I819" s="47">
        <f>Volcanic!E819</f>
        <v>1.2019999999999999E-2</v>
      </c>
      <c r="K819" s="47">
        <f t="shared" si="168"/>
        <v>0.6226626646700556</v>
      </c>
      <c r="L819" s="47">
        <f t="shared" si="169"/>
        <v>-0.4</v>
      </c>
      <c r="M819" s="47">
        <f t="shared" si="170"/>
        <v>1.2019999999999999E-2</v>
      </c>
      <c r="O819" s="47">
        <f t="shared" si="171"/>
        <v>0.6226626646700556</v>
      </c>
      <c r="P819" s="47">
        <f t="shared" si="172"/>
        <v>-0.39</v>
      </c>
      <c r="Q819" s="47">
        <f t="shared" si="173"/>
        <v>8.7299999999999999E-3</v>
      </c>
      <c r="S819" s="47">
        <f t="shared" si="174"/>
        <v>0.6226626646700556</v>
      </c>
      <c r="T819" s="47">
        <f t="shared" si="175"/>
        <v>-0.4</v>
      </c>
      <c r="U819" s="47">
        <f t="shared" si="176"/>
        <v>8.7299999999999999E-3</v>
      </c>
      <c r="W819" s="47">
        <f t="shared" si="177"/>
        <v>9.6008525351681584E-2</v>
      </c>
      <c r="X819" s="47">
        <f t="shared" si="178"/>
        <v>9.8102716357441055E-2</v>
      </c>
      <c r="Y819" s="47">
        <f t="shared" si="179"/>
        <v>9.9471824163142264E-2</v>
      </c>
      <c r="AP819" s="48">
        <v>1.1105</v>
      </c>
      <c r="AR819" s="47">
        <f>IF(AP819="","",AP819-($AC$60+$AC$61*Volcanic!C819+$AC$62*Volcanic!D819+$AC$63*Volcanic!E819))</f>
        <v>4.4113338958065462E-2</v>
      </c>
    </row>
    <row r="820" spans="1:44">
      <c r="A820" s="45" t="str">
        <f>Volcanic!A820</f>
        <v>5/2026</v>
      </c>
      <c r="B820" s="43">
        <f>Volcanic!B820</f>
        <v>1.1299999999999955</v>
      </c>
      <c r="C820" s="47">
        <f>Volcanic!C820</f>
        <v>0.62673949306079169</v>
      </c>
      <c r="D820" s="41">
        <v>0.9</v>
      </c>
      <c r="E820" s="43">
        <f t="shared" si="180"/>
        <v>-0.2</v>
      </c>
      <c r="G820" s="47">
        <f t="shared" si="181"/>
        <v>8.1700000000000002E-3</v>
      </c>
      <c r="H820" s="43">
        <f>Volcanic!D820</f>
        <v>-0.21</v>
      </c>
      <c r="I820" s="47">
        <f>Volcanic!E820</f>
        <v>1.1639999999999999E-2</v>
      </c>
      <c r="K820" s="47">
        <f t="shared" si="168"/>
        <v>0.62673949306079169</v>
      </c>
      <c r="L820" s="47">
        <f t="shared" si="169"/>
        <v>-0.2</v>
      </c>
      <c r="M820" s="47">
        <f t="shared" si="170"/>
        <v>1.1639999999999999E-2</v>
      </c>
      <c r="O820" s="47">
        <f t="shared" si="171"/>
        <v>0.62673949306079169</v>
      </c>
      <c r="P820" s="47">
        <f t="shared" si="172"/>
        <v>-0.21</v>
      </c>
      <c r="Q820" s="47">
        <f t="shared" si="173"/>
        <v>8.1700000000000002E-3</v>
      </c>
      <c r="S820" s="47">
        <f t="shared" si="174"/>
        <v>0.62673949306079169</v>
      </c>
      <c r="T820" s="47">
        <f t="shared" si="175"/>
        <v>-0.2</v>
      </c>
      <c r="U820" s="47">
        <f t="shared" si="176"/>
        <v>8.1700000000000002E-3</v>
      </c>
      <c r="W820" s="47">
        <f t="shared" si="177"/>
        <v>2.5478397996296032E-2</v>
      </c>
      <c r="X820" s="47">
        <f t="shared" si="178"/>
        <v>2.8709035340804157E-2</v>
      </c>
      <c r="Y820" s="47">
        <f t="shared" si="179"/>
        <v>2.8183939791450507E-2</v>
      </c>
      <c r="AP820" s="48">
        <v>1.0841000000000001</v>
      </c>
      <c r="AR820" s="47">
        <f>IF(AP820="","",AP820-($AC$60+$AC$61*Volcanic!C820+$AC$62*Volcanic!D820+$AC$63*Volcanic!E820))</f>
        <v>-1.1189355969795312E-2</v>
      </c>
    </row>
    <row r="821" spans="1:44">
      <c r="A821" s="45" t="str">
        <f>Volcanic!A821</f>
        <v>6/2026</v>
      </c>
      <c r="B821" s="43">
        <f>Volcanic!B821</f>
        <v>1.1799999999999997</v>
      </c>
      <c r="C821" s="47">
        <f>Volcanic!C821</f>
        <v>0.6236996723378585</v>
      </c>
      <c r="D821" s="41">
        <v>1.4</v>
      </c>
      <c r="E821" s="43">
        <f t="shared" si="180"/>
        <v>0.1</v>
      </c>
      <c r="G821" s="47">
        <f t="shared" si="181"/>
        <v>7.8100000000000001E-3</v>
      </c>
      <c r="H821" s="43">
        <f>Volcanic!D821</f>
        <v>0.11</v>
      </c>
      <c r="I821" s="47">
        <f>Volcanic!E821</f>
        <v>1.159E-2</v>
      </c>
      <c r="K821" s="47">
        <f t="shared" si="168"/>
        <v>0.6236996723378585</v>
      </c>
      <c r="L821" s="47">
        <f t="shared" si="169"/>
        <v>0.1</v>
      </c>
      <c r="M821" s="47">
        <f t="shared" si="170"/>
        <v>1.159E-2</v>
      </c>
      <c r="O821" s="47">
        <f t="shared" si="171"/>
        <v>0.6236996723378585</v>
      </c>
      <c r="P821" s="47">
        <f t="shared" si="172"/>
        <v>0.11</v>
      </c>
      <c r="Q821" s="47">
        <f t="shared" si="173"/>
        <v>7.8100000000000001E-3</v>
      </c>
      <c r="S821" s="47">
        <f t="shared" si="174"/>
        <v>0.6236996723378585</v>
      </c>
      <c r="T821" s="47">
        <f t="shared" si="175"/>
        <v>0.1</v>
      </c>
      <c r="U821" s="47">
        <f t="shared" si="176"/>
        <v>7.8100000000000001E-3</v>
      </c>
      <c r="W821" s="47">
        <f t="shared" si="177"/>
        <v>5.5796276168146752E-2</v>
      </c>
      <c r="X821" s="47">
        <f t="shared" si="178"/>
        <v>5.5927260485346686E-2</v>
      </c>
      <c r="Y821" s="47">
        <f t="shared" si="179"/>
        <v>5.7256377118320545E-2</v>
      </c>
      <c r="AP821" s="48">
        <v>1.1424000000000001</v>
      </c>
      <c r="AR821" s="47">
        <f>IF(AP821="","",AP821-($AC$60+$AC$61*Volcanic!C821+$AC$62*Volcanic!D821+$AC$63*Volcanic!E821))</f>
        <v>2.5324460702426776E-2</v>
      </c>
    </row>
    <row r="822" spans="1:44">
      <c r="A822" s="45" t="str">
        <f>Volcanic!A822</f>
        <v>7/2026</v>
      </c>
      <c r="B822" s="43">
        <f>Volcanic!B822</f>
        <v>1.25</v>
      </c>
      <c r="C822" s="47">
        <f>Volcanic!C822</f>
        <v>0.61598793464393697</v>
      </c>
      <c r="D822" s="41">
        <v>1.8</v>
      </c>
      <c r="E822" s="43">
        <f t="shared" si="180"/>
        <v>0.5</v>
      </c>
      <c r="G822" s="47">
        <f t="shared" si="181"/>
        <v>7.4200000000000004E-3</v>
      </c>
      <c r="H822" s="43">
        <f>Volcanic!D822</f>
        <v>0.46</v>
      </c>
      <c r="I822" s="47">
        <f>Volcanic!E822</f>
        <v>1.102E-2</v>
      </c>
      <c r="K822" s="47">
        <f t="shared" si="168"/>
        <v>0.61598793464393697</v>
      </c>
      <c r="L822" s="47">
        <f t="shared" si="169"/>
        <v>0.5</v>
      </c>
      <c r="M822" s="47">
        <f t="shared" si="170"/>
        <v>1.102E-2</v>
      </c>
      <c r="O822" s="47">
        <f t="shared" si="171"/>
        <v>0.61598793464393697</v>
      </c>
      <c r="P822" s="47">
        <f t="shared" si="172"/>
        <v>0.46</v>
      </c>
      <c r="Q822" s="47">
        <f t="shared" si="173"/>
        <v>7.4200000000000004E-3</v>
      </c>
      <c r="S822" s="47">
        <f t="shared" si="174"/>
        <v>0.61598793464393697</v>
      </c>
      <c r="T822" s="47">
        <f t="shared" si="175"/>
        <v>0.5</v>
      </c>
      <c r="U822" s="47">
        <f t="shared" si="176"/>
        <v>7.4200000000000004E-3</v>
      </c>
      <c r="W822" s="47">
        <f t="shared" si="177"/>
        <v>0.10842201091907278</v>
      </c>
      <c r="X822" s="47">
        <f t="shared" si="178"/>
        <v>0.11287991308104095</v>
      </c>
      <c r="Y822" s="47">
        <f t="shared" si="179"/>
        <v>0.10947870836967022</v>
      </c>
      <c r="AP822" s="48">
        <v>1.1719999999999999</v>
      </c>
      <c r="AR822" s="47">
        <f>IF(AP822="","",AP822-($AC$60+$AC$61*Volcanic!C822+$AC$62*Volcanic!D822+$AC$63*Volcanic!E822))</f>
        <v>4.1834874489646401E-2</v>
      </c>
    </row>
    <row r="823" spans="1:44">
      <c r="A823" s="45" t="str">
        <f>Volcanic!A823</f>
        <v>8/2026</v>
      </c>
      <c r="B823" s="43">
        <f>Volcanic!B823</f>
        <v>1.3999999999999986</v>
      </c>
      <c r="C823" s="47">
        <f>Volcanic!C823</f>
        <v>0.61066631922353776</v>
      </c>
      <c r="E823" s="43">
        <f t="shared" si="180"/>
        <v>0.9</v>
      </c>
      <c r="G823" s="47" t="str">
        <f t="shared" si="181"/>
        <v/>
      </c>
      <c r="H823" s="43">
        <f>Volcanic!D823</f>
        <v>0.95</v>
      </c>
      <c r="I823" s="47" t="str">
        <f>Volcanic!E823</f>
        <v/>
      </c>
      <c r="K823" s="47">
        <f t="shared" si="168"/>
        <v>0.61066631922353776</v>
      </c>
      <c r="L823" s="47">
        <f t="shared" si="169"/>
        <v>0.9</v>
      </c>
      <c r="M823" s="47" t="str">
        <f t="shared" si="170"/>
        <v/>
      </c>
      <c r="O823" s="47">
        <f t="shared" si="171"/>
        <v>0.61066631922353776</v>
      </c>
      <c r="P823" s="47">
        <f t="shared" si="172"/>
        <v>0.95</v>
      </c>
      <c r="Q823" s="47" t="str">
        <f t="shared" si="173"/>
        <v/>
      </c>
      <c r="S823" s="47">
        <f t="shared" si="174"/>
        <v>0.61066631922353776</v>
      </c>
      <c r="T823" s="47">
        <f t="shared" si="175"/>
        <v>0.9</v>
      </c>
      <c r="U823" s="47" t="str">
        <f t="shared" si="176"/>
        <v/>
      </c>
      <c r="W823" s="47" t="str">
        <f t="shared" si="177"/>
        <v/>
      </c>
      <c r="X823" s="47" t="str">
        <f t="shared" si="178"/>
        <v/>
      </c>
      <c r="Y823" s="47" t="str">
        <f t="shared" si="179"/>
        <v/>
      </c>
      <c r="AR823" s="47" t="str">
        <f>IF(AP823="","",AP823-($AC$60+$AC$61*Volcanic!C823+$AC$62*Volcanic!D823+$AC$63*Volcanic!E823))</f>
        <v/>
      </c>
    </row>
  </sheetData>
  <mergeCells count="19">
    <mergeCell ref="AA85:AH85"/>
    <mergeCell ref="AA86:AH86"/>
    <mergeCell ref="AA55:AH55"/>
    <mergeCell ref="AA56:AH56"/>
    <mergeCell ref="AA82:AH82"/>
    <mergeCell ref="AA83:AH83"/>
    <mergeCell ref="AA84:AH84"/>
    <mergeCell ref="AA52:AH52"/>
    <mergeCell ref="AA53:AH53"/>
    <mergeCell ref="AA32:AH32"/>
    <mergeCell ref="AA35:AH35"/>
    <mergeCell ref="AA49:AH49"/>
    <mergeCell ref="AA50:AH50"/>
    <mergeCell ref="AA51:AH51"/>
    <mergeCell ref="AA3:AH3"/>
    <mergeCell ref="AA28:AH28"/>
    <mergeCell ref="AA29:AH29"/>
    <mergeCell ref="AA30:AH30"/>
    <mergeCell ref="AA31:AH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19"/>
  <sheetViews>
    <sheetView showGridLines="0" workbookViewId="0">
      <pane ySplit="4" topLeftCell="A5" activePane="bottomLeft" state="frozen"/>
      <selection pane="bottomLeft" activeCell="A5" sqref="A5"/>
    </sheetView>
  </sheetViews>
  <sheetFormatPr defaultColWidth="8.5703125" defaultRowHeight="15"/>
  <cols>
    <col min="1" max="1" width="7" customWidth="1"/>
    <col min="2" max="2" width="8" customWidth="1"/>
    <col min="3" max="12" width="15" customWidth="1"/>
    <col min="13" max="13" width="3" customWidth="1"/>
    <col min="14" max="14" width="64" customWidth="1"/>
    <col min="15" max="15" width="12" customWidth="1"/>
    <col min="16" max="16" width="3" customWidth="1"/>
    <col min="17" max="18" width="7" customWidth="1"/>
    <col min="19" max="22" width="15" customWidth="1"/>
    <col min="23" max="23" width="3" customWidth="1"/>
    <col min="24" max="25" width="9" customWidth="1"/>
    <col min="26" max="26" width="16" customWidth="1"/>
  </cols>
  <sheetData>
    <row r="1" spans="1:26" ht="18.75">
      <c r="A1" s="42" t="s">
        <v>2509</v>
      </c>
    </row>
    <row r="2" spans="1:26" ht="62.1" customHeight="1">
      <c r="A2" s="65" t="s">
        <v>2510</v>
      </c>
      <c r="B2" s="53"/>
      <c r="C2" s="53"/>
      <c r="D2" s="53"/>
      <c r="E2" s="53"/>
      <c r="F2" s="53"/>
      <c r="G2" s="53"/>
      <c r="H2" s="53"/>
      <c r="I2" s="53"/>
      <c r="J2" s="53"/>
      <c r="K2" s="53"/>
      <c r="L2" s="53"/>
      <c r="M2" s="53"/>
      <c r="N2" s="53"/>
      <c r="O2" s="53"/>
    </row>
    <row r="4" spans="1:26" ht="45" customHeight="1">
      <c r="A4" s="17" t="s">
        <v>49</v>
      </c>
      <c r="B4" s="17" t="s">
        <v>10</v>
      </c>
      <c r="C4" s="17" t="s">
        <v>2511</v>
      </c>
      <c r="D4" s="17" t="s">
        <v>2512</v>
      </c>
      <c r="E4" s="17" t="s">
        <v>2513</v>
      </c>
      <c r="F4" s="17" t="s">
        <v>2514</v>
      </c>
      <c r="G4" s="17" t="s">
        <v>2515</v>
      </c>
      <c r="H4" s="17" t="s">
        <v>2516</v>
      </c>
      <c r="I4" s="17" t="s">
        <v>2517</v>
      </c>
      <c r="J4" s="17" t="s">
        <v>2518</v>
      </c>
      <c r="K4" s="17" t="s">
        <v>2519</v>
      </c>
      <c r="L4" s="17" t="s">
        <v>2520</v>
      </c>
      <c r="N4" s="17" t="s">
        <v>2521</v>
      </c>
      <c r="Q4" s="17" t="s">
        <v>49</v>
      </c>
      <c r="R4" s="17" t="s">
        <v>2522</v>
      </c>
      <c r="S4" s="17" t="s">
        <v>1961</v>
      </c>
      <c r="T4" s="17" t="s">
        <v>2523</v>
      </c>
      <c r="U4" s="17" t="s">
        <v>2512</v>
      </c>
      <c r="V4" s="17" t="s">
        <v>2513</v>
      </c>
      <c r="X4" s="17" t="s">
        <v>49</v>
      </c>
      <c r="Y4" s="17" t="s">
        <v>2524</v>
      </c>
      <c r="Z4" s="17" t="s">
        <v>2525</v>
      </c>
    </row>
    <row r="5" spans="1:26">
      <c r="A5" s="22">
        <v>2001</v>
      </c>
      <c r="B5" s="22">
        <f t="shared" ref="B5:B29" si="0">COUNTIF($Q$5:$Q$319,A5)</f>
        <v>12</v>
      </c>
      <c r="C5" s="20">
        <f t="shared" ref="C5:C29" si="1">AVERAGEIFS($T$5:$T$319,$Q$5:$Q$319,A5)</f>
        <v>0.54314166666666663</v>
      </c>
      <c r="D5" s="20">
        <f t="shared" ref="D5:D29" si="2">AVERAGEIFS($U$5:$U$319,$Q$5:$Q$319,A5)</f>
        <v>239.96050000000002</v>
      </c>
      <c r="E5" s="20">
        <f t="shared" ref="E5:E29" si="3">AVERAGEIFS($V$5:$V$319,$Q$5:$Q$319,A5)</f>
        <v>99.808766666666671</v>
      </c>
      <c r="F5" s="20">
        <f>INDEX(Forcing!$O$2:$O$68,MATCH(A5,Forcing!$A$2:$A$68,0))</f>
        <v>2.0698000000000003</v>
      </c>
      <c r="G5" s="20">
        <f>INDEX(Forcing!$B$2:$B$68,MATCH(A5,Forcing!$A$2:$A$68,0))</f>
        <v>0.5333333333333331</v>
      </c>
      <c r="H5" s="20">
        <f t="shared" ref="H5:H29" si="4">F5-C5</f>
        <v>1.5266583333333337</v>
      </c>
      <c r="I5" s="20" t="str">
        <f t="shared" ref="I5:I29" si="5">IF(COUNTIF($X$5:$X$89,A5)=4,AVERAGEIFS($Z$5:$Z$89,$X$5:$X$89,A5),"")</f>
        <v/>
      </c>
      <c r="J5" s="20" t="str">
        <f t="shared" ref="J5:J29" si="6">IF(AND(ISNUMBER(I4),ISNUMBER(I6)),(I6-I4)/2,"")</f>
        <v/>
      </c>
      <c r="K5" s="20" t="str">
        <f t="shared" ref="K5:K29" si="7">IF(ISNUMBER(J5),J5*$O$31,"")</f>
        <v/>
      </c>
      <c r="L5" s="19" t="str">
        <f t="shared" ref="L5:L29" si="8">IF(ISNUMBER(K5),K5/C5,"")</f>
        <v/>
      </c>
      <c r="N5" s="18" t="s">
        <v>2526</v>
      </c>
      <c r="O5" s="20">
        <f>AVERAGE(C9:C29)</f>
        <v>0.98487380952380954</v>
      </c>
      <c r="Q5" s="22">
        <v>2000</v>
      </c>
      <c r="R5" s="22">
        <v>3</v>
      </c>
      <c r="S5" s="19">
        <v>2000.2083</v>
      </c>
      <c r="T5" s="20">
        <v>5.9564000000000004</v>
      </c>
      <c r="U5" s="20">
        <v>238.261</v>
      </c>
      <c r="V5" s="20">
        <v>99.259299999999996</v>
      </c>
      <c r="X5" s="22">
        <v>2005</v>
      </c>
      <c r="Y5" s="22">
        <v>3</v>
      </c>
      <c r="Z5" s="20">
        <v>8.9729869999999998</v>
      </c>
    </row>
    <row r="6" spans="1:26">
      <c r="A6" s="22">
        <v>2002</v>
      </c>
      <c r="B6" s="22">
        <f t="shared" si="0"/>
        <v>12</v>
      </c>
      <c r="C6" s="20">
        <f t="shared" si="1"/>
        <v>0.13521666666666685</v>
      </c>
      <c r="D6" s="20">
        <f t="shared" si="2"/>
        <v>240.42791666666665</v>
      </c>
      <c r="E6" s="20">
        <f t="shared" si="3"/>
        <v>99.76510833333333</v>
      </c>
      <c r="F6" s="20">
        <f>INDEX(Forcing!$O$2:$O$68,MATCH(A6,Forcing!$A$2:$A$68,0))</f>
        <v>2.0601000000000003</v>
      </c>
      <c r="G6" s="20">
        <f>INDEX(Forcing!$B$2:$B$68,MATCH(A6,Forcing!$A$2:$A$68,0))</f>
        <v>0.6275000000000005</v>
      </c>
      <c r="H6" s="20">
        <f t="shared" si="4"/>
        <v>1.9248833333333335</v>
      </c>
      <c r="I6" s="20" t="str">
        <f t="shared" si="5"/>
        <v/>
      </c>
      <c r="J6" s="20" t="str">
        <f t="shared" si="6"/>
        <v/>
      </c>
      <c r="K6" s="20" t="str">
        <f t="shared" si="7"/>
        <v/>
      </c>
      <c r="L6" s="19" t="str">
        <f t="shared" si="8"/>
        <v/>
      </c>
      <c r="N6" s="18" t="s">
        <v>2527</v>
      </c>
      <c r="O6" s="20">
        <f>SLOPE(C9:C29,A9:A29)*10</f>
        <v>0.47306179653679659</v>
      </c>
      <c r="Q6" s="22">
        <v>2000</v>
      </c>
      <c r="R6" s="22">
        <v>4</v>
      </c>
      <c r="S6" s="19">
        <v>2000.2917</v>
      </c>
      <c r="T6" s="20">
        <v>1.9306000000000001</v>
      </c>
      <c r="U6" s="20">
        <v>238.04499999999999</v>
      </c>
      <c r="V6" s="20">
        <v>97.778000000000006</v>
      </c>
      <c r="X6" s="22">
        <v>2005</v>
      </c>
      <c r="Y6" s="22">
        <v>6</v>
      </c>
      <c r="Z6" s="20">
        <v>9.3915290000000002</v>
      </c>
    </row>
    <row r="7" spans="1:26">
      <c r="A7" s="22">
        <v>2003</v>
      </c>
      <c r="B7" s="22">
        <f t="shared" si="0"/>
        <v>12</v>
      </c>
      <c r="C7" s="20">
        <f t="shared" si="1"/>
        <v>0.48634999999999984</v>
      </c>
      <c r="D7" s="20">
        <f t="shared" si="2"/>
        <v>240.54333333333338</v>
      </c>
      <c r="E7" s="20">
        <f t="shared" si="3"/>
        <v>99.184850000000026</v>
      </c>
      <c r="F7" s="20">
        <f>INDEX(Forcing!$O$2:$O$68,MATCH(A7,Forcing!$A$2:$A$68,0))</f>
        <v>1.9887999999999999</v>
      </c>
      <c r="G7" s="20">
        <f>INDEX(Forcing!$B$2:$B$68,MATCH(A7,Forcing!$A$2:$A$68,0))</f>
        <v>0.61666666666666703</v>
      </c>
      <c r="H7" s="20">
        <f t="shared" si="4"/>
        <v>1.5024500000000001</v>
      </c>
      <c r="I7" s="20" t="str">
        <f t="shared" si="5"/>
        <v/>
      </c>
      <c r="J7" s="20" t="str">
        <f t="shared" si="6"/>
        <v/>
      </c>
      <c r="K7" s="20" t="str">
        <f t="shared" si="7"/>
        <v/>
      </c>
      <c r="L7" s="19" t="str">
        <f t="shared" si="8"/>
        <v/>
      </c>
      <c r="N7" s="18" t="s">
        <v>2528</v>
      </c>
      <c r="O7" s="20">
        <f>SLOPE(F9:F29,A9:A29)*10</f>
        <v>0.67310000000000003</v>
      </c>
      <c r="Q7" s="22">
        <v>2000</v>
      </c>
      <c r="R7" s="22">
        <v>5</v>
      </c>
      <c r="S7" s="19">
        <v>2000.375</v>
      </c>
      <c r="T7" s="20">
        <v>-5.9297000000000004</v>
      </c>
      <c r="U7" s="20">
        <v>240.76</v>
      </c>
      <c r="V7" s="20">
        <v>97.927800000000005</v>
      </c>
      <c r="X7" s="22">
        <v>2005</v>
      </c>
      <c r="Y7" s="22">
        <v>9</v>
      </c>
      <c r="Z7" s="20">
        <v>9.6818480000000005</v>
      </c>
    </row>
    <row r="8" spans="1:26">
      <c r="A8" s="22">
        <v>2004</v>
      </c>
      <c r="B8" s="22">
        <f t="shared" si="0"/>
        <v>12</v>
      </c>
      <c r="C8" s="20">
        <f t="shared" si="1"/>
        <v>0.69521666666666648</v>
      </c>
      <c r="D8" s="20">
        <f t="shared" si="2"/>
        <v>240.13016666666667</v>
      </c>
      <c r="E8" s="20">
        <f t="shared" si="3"/>
        <v>99.348658333333333</v>
      </c>
      <c r="F8" s="20">
        <f>INDEX(Forcing!$O$2:$O$68,MATCH(A8,Forcing!$A$2:$A$68,0))</f>
        <v>2.0139</v>
      </c>
      <c r="G8" s="20">
        <f>INDEX(Forcing!$B$2:$B$68,MATCH(A8,Forcing!$A$2:$A$68,0))</f>
        <v>0.53416666666666723</v>
      </c>
      <c r="H8" s="20">
        <f t="shared" si="4"/>
        <v>1.3186833333333334</v>
      </c>
      <c r="I8" s="20" t="str">
        <f t="shared" si="5"/>
        <v/>
      </c>
      <c r="J8" s="20" t="str">
        <f t="shared" si="6"/>
        <v/>
      </c>
      <c r="K8" s="20" t="str">
        <f t="shared" si="7"/>
        <v/>
      </c>
      <c r="L8" s="19" t="str">
        <f t="shared" si="8"/>
        <v/>
      </c>
      <c r="N8" s="18" t="s">
        <v>2529</v>
      </c>
      <c r="O8" s="20">
        <f>SLOPE(E9:E29,A9:A29)*10</f>
        <v>-0.89579556277056316</v>
      </c>
      <c r="Q8" s="22">
        <v>2000</v>
      </c>
      <c r="R8" s="22">
        <v>6</v>
      </c>
      <c r="S8" s="19">
        <v>2000.4583</v>
      </c>
      <c r="T8" s="20">
        <v>-10.2302</v>
      </c>
      <c r="U8" s="20">
        <v>243.22800000000001</v>
      </c>
      <c r="V8" s="20">
        <v>96.820099999999996</v>
      </c>
      <c r="X8" s="22">
        <v>2005</v>
      </c>
      <c r="Y8" s="22">
        <v>12</v>
      </c>
      <c r="Z8" s="20">
        <v>12.636982</v>
      </c>
    </row>
    <row r="9" spans="1:26">
      <c r="A9" s="22">
        <v>2005</v>
      </c>
      <c r="B9" s="22">
        <f t="shared" si="0"/>
        <v>12</v>
      </c>
      <c r="C9" s="20">
        <f t="shared" si="1"/>
        <v>0.41510000000000002</v>
      </c>
      <c r="D9" s="20">
        <f t="shared" si="2"/>
        <v>240.38783333333333</v>
      </c>
      <c r="E9" s="20">
        <f t="shared" si="3"/>
        <v>99.313433333333322</v>
      </c>
      <c r="F9" s="20">
        <f>INDEX(Forcing!$O$2:$O$68,MATCH(A9,Forcing!$A$2:$A$68,0))</f>
        <v>1.9566999999999999</v>
      </c>
      <c r="G9" s="20">
        <f>INDEX(Forcing!$B$2:$B$68,MATCH(A9,Forcing!$A$2:$A$68,0))</f>
        <v>0.67916666666666681</v>
      </c>
      <c r="H9" s="20">
        <f t="shared" si="4"/>
        <v>1.5415999999999999</v>
      </c>
      <c r="I9" s="20">
        <f t="shared" si="5"/>
        <v>10.1708365</v>
      </c>
      <c r="J9" s="20" t="str">
        <f t="shared" si="6"/>
        <v/>
      </c>
      <c r="K9" s="20" t="str">
        <f t="shared" si="7"/>
        <v/>
      </c>
      <c r="L9" s="19" t="str">
        <f t="shared" si="8"/>
        <v/>
      </c>
      <c r="N9" s="18" t="s">
        <v>2530</v>
      </c>
      <c r="O9" s="20">
        <f>SLOPE(D9:D29,A9:A29)*10</f>
        <v>0.57264069264068007</v>
      </c>
      <c r="Q9" s="22">
        <v>2000</v>
      </c>
      <c r="R9" s="22">
        <v>7</v>
      </c>
      <c r="S9" s="19">
        <v>2000.5417</v>
      </c>
      <c r="T9" s="20">
        <v>-8.7086000000000006</v>
      </c>
      <c r="U9" s="20">
        <v>243.98599999999999</v>
      </c>
      <c r="V9" s="20">
        <v>94.220799999999997</v>
      </c>
      <c r="X9" s="22">
        <v>2006</v>
      </c>
      <c r="Y9" s="22">
        <v>3</v>
      </c>
      <c r="Z9" s="20">
        <v>11.932278</v>
      </c>
    </row>
    <row r="10" spans="1:26">
      <c r="A10" s="22">
        <v>2006</v>
      </c>
      <c r="B10" s="22">
        <f t="shared" si="0"/>
        <v>12</v>
      </c>
      <c r="C10" s="20">
        <f t="shared" si="1"/>
        <v>0.81294166666666656</v>
      </c>
      <c r="D10" s="20">
        <f t="shared" si="2"/>
        <v>240.09358333333338</v>
      </c>
      <c r="E10" s="20">
        <f t="shared" si="3"/>
        <v>99.200266666666664</v>
      </c>
      <c r="F10" s="20">
        <f>INDEX(Forcing!$O$2:$O$68,MATCH(A10,Forcing!$A$2:$A$68,0))</f>
        <v>1.9534999999999998</v>
      </c>
      <c r="G10" s="20">
        <f>INDEX(Forcing!$B$2:$B$68,MATCH(A10,Forcing!$A$2:$A$68,0))</f>
        <v>0.64083333333333392</v>
      </c>
      <c r="H10" s="20">
        <f t="shared" si="4"/>
        <v>1.1405583333333333</v>
      </c>
      <c r="I10" s="20">
        <f t="shared" si="5"/>
        <v>12.637935000000001</v>
      </c>
      <c r="J10" s="20">
        <f t="shared" si="6"/>
        <v>1.1116812500000002</v>
      </c>
      <c r="K10" s="20">
        <f t="shared" si="7"/>
        <v>0.69064309337500018</v>
      </c>
      <c r="L10" s="19">
        <f t="shared" si="8"/>
        <v>0.84956045641856259</v>
      </c>
      <c r="N10" s="18" t="s">
        <v>2531</v>
      </c>
      <c r="O10" s="20">
        <f>SLOPE(G9:G29,A9:A29)*10</f>
        <v>0.29709956709956697</v>
      </c>
      <c r="Q10" s="22">
        <v>2000</v>
      </c>
      <c r="R10" s="22">
        <v>8</v>
      </c>
      <c r="S10" s="19">
        <v>2000.625</v>
      </c>
      <c r="T10" s="20">
        <v>-5.2125000000000004</v>
      </c>
      <c r="U10" s="20">
        <v>243.661</v>
      </c>
      <c r="V10" s="20">
        <v>93.580299999999994</v>
      </c>
      <c r="X10" s="22">
        <v>2006</v>
      </c>
      <c r="Y10" s="22">
        <v>6</v>
      </c>
      <c r="Z10" s="20">
        <v>12.998004</v>
      </c>
    </row>
    <row r="11" spans="1:26">
      <c r="A11" s="22">
        <v>2007</v>
      </c>
      <c r="B11" s="22">
        <f t="shared" si="0"/>
        <v>12</v>
      </c>
      <c r="C11" s="20">
        <f t="shared" si="1"/>
        <v>0.1959333333333336</v>
      </c>
      <c r="D11" s="20">
        <f t="shared" si="2"/>
        <v>240.54441666666671</v>
      </c>
      <c r="E11" s="20">
        <f t="shared" si="3"/>
        <v>99.344658333333328</v>
      </c>
      <c r="F11" s="20">
        <f>INDEX(Forcing!$O$2:$O$68,MATCH(A11,Forcing!$A$2:$A$68,0))</f>
        <v>2.0032000000000001</v>
      </c>
      <c r="G11" s="20">
        <f>INDEX(Forcing!$B$2:$B$68,MATCH(A11,Forcing!$A$2:$A$68,0))</f>
        <v>0.66416666666666746</v>
      </c>
      <c r="H11" s="20">
        <f t="shared" si="4"/>
        <v>1.8072666666666666</v>
      </c>
      <c r="I11" s="20">
        <f t="shared" si="5"/>
        <v>12.394199</v>
      </c>
      <c r="J11" s="20">
        <f t="shared" si="6"/>
        <v>0.30940474999999967</v>
      </c>
      <c r="K11" s="20">
        <f t="shared" si="7"/>
        <v>0.1922207949849998</v>
      </c>
      <c r="L11" s="19">
        <f t="shared" si="8"/>
        <v>0.98105203292786425</v>
      </c>
      <c r="Q11" s="22">
        <v>2000</v>
      </c>
      <c r="R11" s="22">
        <v>9</v>
      </c>
      <c r="S11" s="19">
        <v>2000.7083</v>
      </c>
      <c r="T11" s="20">
        <v>-0.89990000000000003</v>
      </c>
      <c r="U11" s="20">
        <v>242.23599999999999</v>
      </c>
      <c r="V11" s="20">
        <v>95.207599999999999</v>
      </c>
      <c r="X11" s="22">
        <v>2006</v>
      </c>
      <c r="Y11" s="22">
        <v>9</v>
      </c>
      <c r="Z11" s="20">
        <v>12.264493</v>
      </c>
    </row>
    <row r="12" spans="1:26">
      <c r="A12" s="22">
        <v>2008</v>
      </c>
      <c r="B12" s="22">
        <f t="shared" si="0"/>
        <v>12</v>
      </c>
      <c r="C12" s="20">
        <f t="shared" si="1"/>
        <v>1.198275</v>
      </c>
      <c r="D12" s="20">
        <f t="shared" si="2"/>
        <v>239.80966666666666</v>
      </c>
      <c r="E12" s="20">
        <f t="shared" si="3"/>
        <v>99.072408333333328</v>
      </c>
      <c r="F12" s="20">
        <f>INDEX(Forcing!$O$2:$O$68,MATCH(A12,Forcing!$A$2:$A$68,0))</f>
        <v>2.1115000000000004</v>
      </c>
      <c r="G12" s="20">
        <f>INDEX(Forcing!$B$2:$B$68,MATCH(A12,Forcing!$A$2:$A$68,0))</f>
        <v>0.54333333333333378</v>
      </c>
      <c r="H12" s="20">
        <f t="shared" si="4"/>
        <v>0.9132250000000004</v>
      </c>
      <c r="I12" s="20">
        <f t="shared" si="5"/>
        <v>13.2567445</v>
      </c>
      <c r="J12" s="20">
        <f t="shared" si="6"/>
        <v>0.51859012499999935</v>
      </c>
      <c r="K12" s="20">
        <f t="shared" si="7"/>
        <v>0.32217930105749959</v>
      </c>
      <c r="L12" s="19">
        <f t="shared" si="8"/>
        <v>0.26886925042874099</v>
      </c>
      <c r="N12" s="17" t="s">
        <v>2532</v>
      </c>
      <c r="Q12" s="22">
        <v>2000</v>
      </c>
      <c r="R12" s="22">
        <v>10</v>
      </c>
      <c r="S12" s="19">
        <v>2000.7917</v>
      </c>
      <c r="T12" s="20">
        <v>1.6594</v>
      </c>
      <c r="U12" s="20">
        <v>238.959</v>
      </c>
      <c r="V12" s="20">
        <v>101.913</v>
      </c>
      <c r="X12" s="22">
        <v>2006</v>
      </c>
      <c r="Y12" s="22">
        <v>12</v>
      </c>
      <c r="Z12" s="20">
        <v>13.356965000000001</v>
      </c>
    </row>
    <row r="13" spans="1:26">
      <c r="A13" s="22">
        <v>2009</v>
      </c>
      <c r="B13" s="22">
        <f t="shared" si="0"/>
        <v>12</v>
      </c>
      <c r="C13" s="20">
        <f t="shared" si="1"/>
        <v>0.9026666666666664</v>
      </c>
      <c r="D13" s="20">
        <f t="shared" si="2"/>
        <v>240.01333333333335</v>
      </c>
      <c r="E13" s="20">
        <f t="shared" si="3"/>
        <v>99.158558333333346</v>
      </c>
      <c r="F13" s="20">
        <f>INDEX(Forcing!$O$2:$O$68,MATCH(A13,Forcing!$A$2:$A$68,0))</f>
        <v>2.1757</v>
      </c>
      <c r="G13" s="20">
        <f>INDEX(Forcing!$B$2:$B$68,MATCH(A13,Forcing!$A$2:$A$68,0))</f>
        <v>0.65583333333333371</v>
      </c>
      <c r="H13" s="20">
        <f t="shared" si="4"/>
        <v>1.2730333333333337</v>
      </c>
      <c r="I13" s="20">
        <f t="shared" si="5"/>
        <v>13.431379249999999</v>
      </c>
      <c r="J13" s="20">
        <f t="shared" si="6"/>
        <v>0.64025799999999933</v>
      </c>
      <c r="K13" s="20">
        <f t="shared" si="7"/>
        <v>0.39776668507999963</v>
      </c>
      <c r="L13" s="19">
        <f t="shared" si="8"/>
        <v>0.44065733206794655</v>
      </c>
      <c r="N13" s="18" t="s">
        <v>2533</v>
      </c>
      <c r="O13" s="20">
        <f>AVERAGE(G20:G29)-AVERAGE(G9:G18)</f>
        <v>0.35716666666666652</v>
      </c>
      <c r="Q13" s="22">
        <v>2000</v>
      </c>
      <c r="R13" s="22">
        <v>11</v>
      </c>
      <c r="S13" s="19">
        <v>2000.875</v>
      </c>
      <c r="T13" s="20">
        <v>4.1520999999999999</v>
      </c>
      <c r="U13" s="20">
        <v>237.25299999999999</v>
      </c>
      <c r="V13" s="20">
        <v>106.52800000000001</v>
      </c>
      <c r="X13" s="22">
        <v>2007</v>
      </c>
      <c r="Y13" s="22">
        <v>3</v>
      </c>
      <c r="Z13" s="20">
        <v>13.498150000000001</v>
      </c>
    </row>
    <row r="14" spans="1:26">
      <c r="A14" s="22">
        <v>2010</v>
      </c>
      <c r="B14" s="22">
        <f t="shared" si="0"/>
        <v>12</v>
      </c>
      <c r="C14" s="20">
        <f t="shared" si="1"/>
        <v>2.1225000000000122E-2</v>
      </c>
      <c r="D14" s="20">
        <f t="shared" si="2"/>
        <v>240.45933333333335</v>
      </c>
      <c r="E14" s="20">
        <f t="shared" si="3"/>
        <v>99.648908333333338</v>
      </c>
      <c r="F14" s="20">
        <f>INDEX(Forcing!$O$2:$O$68,MATCH(A14,Forcing!$A$2:$A$68,0))</f>
        <v>2.2715999999999998</v>
      </c>
      <c r="G14" s="20">
        <f>INDEX(Forcing!$B$2:$B$68,MATCH(A14,Forcing!$A$2:$A$68,0))</f>
        <v>0.7241666666666674</v>
      </c>
      <c r="H14" s="20">
        <f t="shared" si="4"/>
        <v>2.2503749999999996</v>
      </c>
      <c r="I14" s="20">
        <f t="shared" si="5"/>
        <v>14.537260499999999</v>
      </c>
      <c r="J14" s="20">
        <f t="shared" si="6"/>
        <v>0.98134300000000074</v>
      </c>
      <c r="K14" s="20">
        <f t="shared" si="7"/>
        <v>0.60966915218000051</v>
      </c>
      <c r="L14" s="19">
        <f t="shared" si="8"/>
        <v>28.724106109776066</v>
      </c>
      <c r="N14" s="18" t="s">
        <v>2534</v>
      </c>
      <c r="O14" s="20">
        <f>AVERAGE(F20:F29)-AVERAGE(F9:F18)</f>
        <v>0.72243000000000013</v>
      </c>
      <c r="Q14" s="22">
        <v>2000</v>
      </c>
      <c r="R14" s="22">
        <v>12</v>
      </c>
      <c r="S14" s="19">
        <v>2000.9583</v>
      </c>
      <c r="T14" s="20">
        <v>6.0058999999999996</v>
      </c>
      <c r="U14" s="20">
        <v>237.07599999999999</v>
      </c>
      <c r="V14" s="20">
        <v>108.285</v>
      </c>
      <c r="X14" s="22">
        <v>2007</v>
      </c>
      <c r="Y14" s="22">
        <v>6</v>
      </c>
      <c r="Z14" s="20">
        <v>11.382808000000001</v>
      </c>
    </row>
    <row r="15" spans="1:26">
      <c r="A15" s="22">
        <v>2011</v>
      </c>
      <c r="B15" s="22">
        <f t="shared" si="0"/>
        <v>12</v>
      </c>
      <c r="C15" s="20">
        <f t="shared" si="1"/>
        <v>0.72567500000000029</v>
      </c>
      <c r="D15" s="20">
        <f t="shared" si="2"/>
        <v>240.10549999999992</v>
      </c>
      <c r="E15" s="20">
        <f t="shared" si="3"/>
        <v>99.35130833333335</v>
      </c>
      <c r="F15" s="20">
        <f>INDEX(Forcing!$O$2:$O$68,MATCH(A15,Forcing!$A$2:$A$68,0))</f>
        <v>2.3127</v>
      </c>
      <c r="G15" s="20">
        <f>INDEX(Forcing!$B$2:$B$68,MATCH(A15,Forcing!$A$2:$A$68,0))</f>
        <v>0.60750000000000037</v>
      </c>
      <c r="H15" s="20">
        <f t="shared" si="4"/>
        <v>1.5870249999999997</v>
      </c>
      <c r="I15" s="20">
        <f t="shared" si="5"/>
        <v>15.394065250000001</v>
      </c>
      <c r="J15" s="20">
        <f t="shared" si="6"/>
        <v>0.82462087500000081</v>
      </c>
      <c r="K15" s="20">
        <f t="shared" si="7"/>
        <v>0.51230396480250051</v>
      </c>
      <c r="L15" s="19">
        <f t="shared" si="8"/>
        <v>0.70596887698005351</v>
      </c>
      <c r="N15" s="18" t="s">
        <v>2535</v>
      </c>
      <c r="O15" s="20">
        <f>AVERAGE(C20:C29)-AVERAGE(C9:C18)</f>
        <v>0.53949916666666686</v>
      </c>
      <c r="Q15" s="22">
        <v>2001</v>
      </c>
      <c r="R15" s="22">
        <v>1</v>
      </c>
      <c r="S15" s="19">
        <v>2001.0417</v>
      </c>
      <c r="T15" s="20">
        <v>9.7788000000000004</v>
      </c>
      <c r="U15" s="20">
        <v>237.071</v>
      </c>
      <c r="V15" s="20">
        <v>104.70699999999999</v>
      </c>
      <c r="X15" s="22">
        <v>2007</v>
      </c>
      <c r="Y15" s="22">
        <v>9</v>
      </c>
      <c r="Z15" s="20">
        <v>12.277043000000001</v>
      </c>
    </row>
    <row r="16" spans="1:26">
      <c r="A16" s="22">
        <v>2012</v>
      </c>
      <c r="B16" s="22">
        <f t="shared" si="0"/>
        <v>12</v>
      </c>
      <c r="C16" s="20">
        <f t="shared" si="1"/>
        <v>1.3831333333333333</v>
      </c>
      <c r="D16" s="20">
        <f t="shared" si="2"/>
        <v>239.91208333333336</v>
      </c>
      <c r="E16" s="20">
        <f t="shared" si="3"/>
        <v>98.932466666666656</v>
      </c>
      <c r="F16" s="20">
        <f>INDEX(Forcing!$O$2:$O$68,MATCH(A16,Forcing!$A$2:$A$68,0))</f>
        <v>2.3955000000000002</v>
      </c>
      <c r="G16" s="20">
        <f>INDEX(Forcing!$B$2:$B$68,MATCH(A16,Forcing!$A$2:$A$68,0))</f>
        <v>0.64666666666666694</v>
      </c>
      <c r="H16" s="20">
        <f t="shared" si="4"/>
        <v>1.0123666666666669</v>
      </c>
      <c r="I16" s="20">
        <f t="shared" si="5"/>
        <v>16.18650225</v>
      </c>
      <c r="J16" s="20">
        <f t="shared" si="6"/>
        <v>1.6278278749999995</v>
      </c>
      <c r="K16" s="20">
        <f t="shared" si="7"/>
        <v>1.0113043456224997</v>
      </c>
      <c r="L16" s="19">
        <f t="shared" si="8"/>
        <v>0.73116909357196203</v>
      </c>
      <c r="N16" s="18" t="s">
        <v>2536</v>
      </c>
      <c r="O16" s="21">
        <v>3</v>
      </c>
      <c r="Q16" s="22">
        <v>2001</v>
      </c>
      <c r="R16" s="22">
        <v>2</v>
      </c>
      <c r="S16" s="19">
        <v>2001.125</v>
      </c>
      <c r="T16" s="20">
        <v>8.9704999999999995</v>
      </c>
      <c r="U16" s="20">
        <v>236.851</v>
      </c>
      <c r="V16" s="20">
        <v>102.869</v>
      </c>
      <c r="X16" s="22">
        <v>2007</v>
      </c>
      <c r="Y16" s="22">
        <v>12</v>
      </c>
      <c r="Z16" s="20">
        <v>12.418794999999999</v>
      </c>
    </row>
    <row r="17" spans="1:26">
      <c r="A17" s="22">
        <v>2013</v>
      </c>
      <c r="B17" s="22">
        <f t="shared" si="0"/>
        <v>12</v>
      </c>
      <c r="C17" s="20">
        <f t="shared" si="1"/>
        <v>0.58678333333333355</v>
      </c>
      <c r="D17" s="20">
        <f t="shared" si="2"/>
        <v>240.22975</v>
      </c>
      <c r="E17" s="20">
        <f t="shared" si="3"/>
        <v>99.407283333333339</v>
      </c>
      <c r="F17" s="20">
        <f>INDEX(Forcing!$O$2:$O$68,MATCH(A17,Forcing!$A$2:$A$68,0))</f>
        <v>2.5524</v>
      </c>
      <c r="G17" s="20">
        <f>INDEX(Forcing!$B$2:$B$68,MATCH(A17,Forcing!$A$2:$A$68,0))</f>
        <v>0.67666666666666764</v>
      </c>
      <c r="H17" s="20">
        <f t="shared" si="4"/>
        <v>1.9656166666666666</v>
      </c>
      <c r="I17" s="20">
        <f t="shared" si="5"/>
        <v>18.649721</v>
      </c>
      <c r="J17" s="20">
        <f t="shared" si="6"/>
        <v>1.9615971249999991</v>
      </c>
      <c r="K17" s="20">
        <f t="shared" si="7"/>
        <v>1.2186618298774994</v>
      </c>
      <c r="L17" s="19">
        <f t="shared" si="8"/>
        <v>2.0768514725097265</v>
      </c>
      <c r="N17" s="18" t="s">
        <v>2537</v>
      </c>
      <c r="O17" s="20">
        <f>Forcing!$T$3/O16</f>
        <v>1.31</v>
      </c>
      <c r="Q17" s="22">
        <v>2001</v>
      </c>
      <c r="R17" s="22">
        <v>3</v>
      </c>
      <c r="S17" s="19">
        <v>2001.2083</v>
      </c>
      <c r="T17" s="20">
        <v>7.5392000000000001</v>
      </c>
      <c r="U17" s="20">
        <v>236.92500000000001</v>
      </c>
      <c r="V17" s="20">
        <v>99.093999999999994</v>
      </c>
      <c r="X17" s="22">
        <v>2008</v>
      </c>
      <c r="Y17" s="22">
        <v>3</v>
      </c>
      <c r="Z17" s="20">
        <v>13.305184000000001</v>
      </c>
    </row>
    <row r="18" spans="1:26">
      <c r="A18" s="22">
        <v>2014</v>
      </c>
      <c r="B18" s="22">
        <f t="shared" si="0"/>
        <v>12</v>
      </c>
      <c r="C18" s="20">
        <f t="shared" si="1"/>
        <v>0.85615833333333313</v>
      </c>
      <c r="D18" s="20">
        <f t="shared" si="2"/>
        <v>240.30366666666666</v>
      </c>
      <c r="E18" s="20">
        <f t="shared" si="3"/>
        <v>99.094283333333337</v>
      </c>
      <c r="F18" s="20">
        <f>INDEX(Forcing!$O$2:$O$68,MATCH(A18,Forcing!$A$2:$A$68,0))</f>
        <v>2.5649000000000002</v>
      </c>
      <c r="G18" s="20">
        <f>INDEX(Forcing!$B$2:$B$68,MATCH(A18,Forcing!$A$2:$A$68,0))</f>
        <v>0.74916666666666665</v>
      </c>
      <c r="H18" s="20">
        <f t="shared" si="4"/>
        <v>1.708741666666667</v>
      </c>
      <c r="I18" s="20">
        <f t="shared" si="5"/>
        <v>20.109696499999998</v>
      </c>
      <c r="J18" s="20">
        <f t="shared" si="6"/>
        <v>1.8756237500000008</v>
      </c>
      <c r="K18" s="20">
        <f t="shared" si="7"/>
        <v>1.1652500109250006</v>
      </c>
      <c r="L18" s="19">
        <f t="shared" si="8"/>
        <v>1.361021630646591</v>
      </c>
      <c r="N18" s="18" t="s">
        <v>2538</v>
      </c>
      <c r="O18" s="20">
        <f>O14-O17*O13</f>
        <v>0.25454166666666694</v>
      </c>
      <c r="Q18" s="22">
        <v>2001</v>
      </c>
      <c r="R18" s="22">
        <v>4</v>
      </c>
      <c r="S18" s="19">
        <v>2001.2917</v>
      </c>
      <c r="T18" s="20">
        <v>1.0013000000000001</v>
      </c>
      <c r="U18" s="20">
        <v>238.27500000000001</v>
      </c>
      <c r="V18" s="20">
        <v>98.469899999999996</v>
      </c>
      <c r="X18" s="22">
        <v>2008</v>
      </c>
      <c r="Y18" s="22">
        <v>6</v>
      </c>
      <c r="Z18" s="20">
        <v>14.606297</v>
      </c>
    </row>
    <row r="19" spans="1:26">
      <c r="A19" s="22">
        <v>2015</v>
      </c>
      <c r="B19" s="22">
        <f t="shared" si="0"/>
        <v>12</v>
      </c>
      <c r="C19" s="20">
        <f t="shared" si="1"/>
        <v>1.091575</v>
      </c>
      <c r="D19" s="20">
        <f t="shared" si="2"/>
        <v>240.5573333333333</v>
      </c>
      <c r="E19" s="20">
        <f t="shared" si="3"/>
        <v>98.639200000000017</v>
      </c>
      <c r="F19" s="20">
        <f>INDEX(Forcing!$O$2:$O$68,MATCH(A19,Forcing!$A$2:$A$68,0))</f>
        <v>2.6038999999999999</v>
      </c>
      <c r="G19" s="20">
        <f>INDEX(Forcing!$B$2:$B$68,MATCH(A19,Forcing!$A$2:$A$68,0))</f>
        <v>0.89833333333333354</v>
      </c>
      <c r="H19" s="20">
        <f t="shared" si="4"/>
        <v>1.5123249999999999</v>
      </c>
      <c r="I19" s="20">
        <f t="shared" si="5"/>
        <v>22.400968500000001</v>
      </c>
      <c r="J19" s="20">
        <f t="shared" si="6"/>
        <v>0.34486212500000235</v>
      </c>
      <c r="K19" s="20">
        <f t="shared" si="7"/>
        <v>0.21424904377750148</v>
      </c>
      <c r="L19" s="19">
        <f t="shared" si="8"/>
        <v>0.19627514717495498</v>
      </c>
      <c r="N19" s="18" t="s">
        <v>2539</v>
      </c>
      <c r="O19" s="20">
        <f>O15-O18</f>
        <v>0.28495749999999992</v>
      </c>
      <c r="Q19" s="22">
        <v>2001</v>
      </c>
      <c r="R19" s="22">
        <v>5</v>
      </c>
      <c r="S19" s="19">
        <v>2001.375</v>
      </c>
      <c r="T19" s="20">
        <v>-6.1147</v>
      </c>
      <c r="U19" s="20">
        <v>241.08799999999999</v>
      </c>
      <c r="V19" s="20">
        <v>97.902000000000001</v>
      </c>
      <c r="X19" s="22">
        <v>2008</v>
      </c>
      <c r="Y19" s="22">
        <v>9</v>
      </c>
      <c r="Z19" s="20">
        <v>13.024848</v>
      </c>
    </row>
    <row r="20" spans="1:26">
      <c r="A20" s="22">
        <v>2016</v>
      </c>
      <c r="B20" s="22">
        <f t="shared" si="0"/>
        <v>12</v>
      </c>
      <c r="C20" s="20">
        <f t="shared" si="1"/>
        <v>0.94690833333333302</v>
      </c>
      <c r="D20" s="20">
        <f t="shared" si="2"/>
        <v>240.76008333333337</v>
      </c>
      <c r="E20" s="20">
        <f t="shared" si="3"/>
        <v>98.488333333333344</v>
      </c>
      <c r="F20" s="20">
        <f>INDEX(Forcing!$O$2:$O$68,MATCH(A20,Forcing!$A$2:$A$68,0))</f>
        <v>2.7109000000000001</v>
      </c>
      <c r="G20" s="20">
        <f>INDEX(Forcing!$B$2:$B$68,MATCH(A20,Forcing!$A$2:$A$68,0))</f>
        <v>1.0124999999999997</v>
      </c>
      <c r="H20" s="20">
        <f t="shared" si="4"/>
        <v>1.7639916666666671</v>
      </c>
      <c r="I20" s="20">
        <f t="shared" si="5"/>
        <v>20.799420750000003</v>
      </c>
      <c r="J20" s="20">
        <f t="shared" si="6"/>
        <v>0.59397849999999863</v>
      </c>
      <c r="K20" s="20">
        <f t="shared" si="7"/>
        <v>0.36901508290999918</v>
      </c>
      <c r="L20" s="19">
        <f t="shared" si="8"/>
        <v>0.38970518044865232</v>
      </c>
      <c r="N20" s="18" t="s">
        <v>2540</v>
      </c>
      <c r="O20" s="20">
        <f>(O14-O15)/O13</f>
        <v>0.51217218852076529</v>
      </c>
      <c r="Q20" s="22">
        <v>2001</v>
      </c>
      <c r="R20" s="22">
        <v>6</v>
      </c>
      <c r="S20" s="19">
        <v>2001.4583</v>
      </c>
      <c r="T20" s="20">
        <v>-9.7254000000000005</v>
      </c>
      <c r="U20" s="20">
        <v>242.92500000000001</v>
      </c>
      <c r="V20" s="20">
        <v>96.671300000000002</v>
      </c>
      <c r="X20" s="22">
        <v>2008</v>
      </c>
      <c r="Y20" s="22">
        <v>12</v>
      </c>
      <c r="Z20" s="20">
        <v>12.090649000000001</v>
      </c>
    </row>
    <row r="21" spans="1:26">
      <c r="A21" s="22">
        <v>2017</v>
      </c>
      <c r="B21" s="22">
        <f t="shared" si="0"/>
        <v>12</v>
      </c>
      <c r="C21" s="20">
        <f t="shared" si="1"/>
        <v>0.94661666666666644</v>
      </c>
      <c r="D21" s="20">
        <f t="shared" si="2"/>
        <v>240.71883333333327</v>
      </c>
      <c r="E21" s="20">
        <f t="shared" si="3"/>
        <v>98.467641666666665</v>
      </c>
      <c r="F21" s="20">
        <f>INDEX(Forcing!$O$2:$O$68,MATCH(A21,Forcing!$A$2:$A$68,0))</f>
        <v>2.7793000000000001</v>
      </c>
      <c r="G21" s="20">
        <f>INDEX(Forcing!$B$2:$B$68,MATCH(A21,Forcing!$A$2:$A$68,0))</f>
        <v>0.91499999999999904</v>
      </c>
      <c r="H21" s="20">
        <f t="shared" si="4"/>
        <v>1.8326833333333337</v>
      </c>
      <c r="I21" s="20">
        <f t="shared" si="5"/>
        <v>23.588925499999998</v>
      </c>
      <c r="J21" s="20">
        <f t="shared" si="6"/>
        <v>1.6299401249999974</v>
      </c>
      <c r="K21" s="20">
        <f t="shared" si="7"/>
        <v>1.0126166020574985</v>
      </c>
      <c r="L21" s="19">
        <f t="shared" si="8"/>
        <v>1.0697219241060254</v>
      </c>
      <c r="N21" s="18" t="s">
        <v>2541</v>
      </c>
      <c r="O21" s="19">
        <f>Forcing!$T$3/O20</f>
        <v>7.6732007088289294</v>
      </c>
      <c r="Q21" s="22">
        <v>2001</v>
      </c>
      <c r="R21" s="22">
        <v>7</v>
      </c>
      <c r="S21" s="19">
        <v>2001.5417</v>
      </c>
      <c r="T21" s="20">
        <v>-8.6728000000000005</v>
      </c>
      <c r="U21" s="20">
        <v>244.351</v>
      </c>
      <c r="V21" s="20">
        <v>93.905699999999996</v>
      </c>
      <c r="X21" s="22">
        <v>2009</v>
      </c>
      <c r="Y21" s="22">
        <v>3</v>
      </c>
      <c r="Z21" s="20">
        <v>12.614718999999999</v>
      </c>
    </row>
    <row r="22" spans="1:26">
      <c r="A22" s="22">
        <v>2018</v>
      </c>
      <c r="B22" s="22">
        <f t="shared" si="0"/>
        <v>12</v>
      </c>
      <c r="C22" s="20">
        <f t="shared" si="1"/>
        <v>1.36585</v>
      </c>
      <c r="D22" s="20">
        <f t="shared" si="2"/>
        <v>240.22808333333333</v>
      </c>
      <c r="E22" s="20">
        <f t="shared" si="3"/>
        <v>98.522266666666667</v>
      </c>
      <c r="F22" s="20">
        <f>INDEX(Forcing!$O$2:$O$68,MATCH(A22,Forcing!$A$2:$A$68,0))</f>
        <v>2.8153999999999999</v>
      </c>
      <c r="G22" s="20">
        <f>INDEX(Forcing!$B$2:$B$68,MATCH(A22,Forcing!$A$2:$A$68,0))</f>
        <v>0.85083333333333433</v>
      </c>
      <c r="H22" s="20">
        <f t="shared" si="4"/>
        <v>1.4495499999999999</v>
      </c>
      <c r="I22" s="20">
        <f t="shared" si="5"/>
        <v>24.059300999999998</v>
      </c>
      <c r="J22" s="20">
        <f t="shared" si="6"/>
        <v>0.92369200000000085</v>
      </c>
      <c r="K22" s="20">
        <f t="shared" si="7"/>
        <v>0.57385289192000055</v>
      </c>
      <c r="L22" s="19">
        <f t="shared" si="8"/>
        <v>0.42014342125416448</v>
      </c>
      <c r="Q22" s="22">
        <v>2001</v>
      </c>
      <c r="R22" s="22">
        <v>8</v>
      </c>
      <c r="S22" s="19">
        <v>2001.625</v>
      </c>
      <c r="T22" s="20">
        <v>-6.0959000000000003</v>
      </c>
      <c r="U22" s="20">
        <v>244.67500000000001</v>
      </c>
      <c r="V22" s="20">
        <v>93.333699999999993</v>
      </c>
      <c r="X22" s="22">
        <v>2009</v>
      </c>
      <c r="Y22" s="22">
        <v>6</v>
      </c>
      <c r="Z22" s="20">
        <v>12.241168999999999</v>
      </c>
    </row>
    <row r="23" spans="1:26">
      <c r="A23" s="22">
        <v>2019</v>
      </c>
      <c r="B23" s="22">
        <f t="shared" si="0"/>
        <v>12</v>
      </c>
      <c r="C23" s="20">
        <f t="shared" si="1"/>
        <v>1.3514416666666662</v>
      </c>
      <c r="D23" s="20">
        <f t="shared" si="2"/>
        <v>240.76633333333328</v>
      </c>
      <c r="E23" s="20">
        <f t="shared" si="3"/>
        <v>97.990116666666651</v>
      </c>
      <c r="F23" s="20">
        <f>INDEX(Forcing!$O$2:$O$68,MATCH(A23,Forcing!$A$2:$A$68,0))</f>
        <v>2.7113000000000005</v>
      </c>
      <c r="G23" s="20">
        <f>INDEX(Forcing!$B$2:$B$68,MATCH(A23,Forcing!$A$2:$A$68,0))</f>
        <v>0.97999999999999898</v>
      </c>
      <c r="H23" s="20">
        <f t="shared" si="4"/>
        <v>1.3598583333333343</v>
      </c>
      <c r="I23" s="20">
        <f t="shared" si="5"/>
        <v>25.4363095</v>
      </c>
      <c r="J23" s="20">
        <f t="shared" si="6"/>
        <v>0.73308600000000013</v>
      </c>
      <c r="K23" s="20">
        <f t="shared" si="7"/>
        <v>0.45543700836000012</v>
      </c>
      <c r="L23" s="19">
        <f t="shared" si="8"/>
        <v>0.33700086329536993</v>
      </c>
      <c r="N23" s="17" t="s">
        <v>2542</v>
      </c>
      <c r="Q23" s="22">
        <v>2001</v>
      </c>
      <c r="R23" s="22">
        <v>9</v>
      </c>
      <c r="S23" s="19">
        <v>2001.7083</v>
      </c>
      <c r="T23" s="20">
        <v>1.2200000000000001E-2</v>
      </c>
      <c r="U23" s="20">
        <v>241.98599999999999</v>
      </c>
      <c r="V23" s="20">
        <v>94.460599999999999</v>
      </c>
      <c r="X23" s="22">
        <v>2009</v>
      </c>
      <c r="Y23" s="22">
        <v>9</v>
      </c>
      <c r="Z23" s="20">
        <v>13.816815</v>
      </c>
    </row>
    <row r="24" spans="1:26">
      <c r="A24" s="22">
        <v>2020</v>
      </c>
      <c r="B24" s="22">
        <f t="shared" si="0"/>
        <v>12</v>
      </c>
      <c r="C24" s="20">
        <f t="shared" si="1"/>
        <v>0.73359166666666697</v>
      </c>
      <c r="D24" s="20">
        <f t="shared" si="2"/>
        <v>240.99083333333328</v>
      </c>
      <c r="E24" s="20">
        <f t="shared" si="3"/>
        <v>98.41109999999999</v>
      </c>
      <c r="F24" s="20">
        <f>INDEX(Forcing!$O$2:$O$68,MATCH(A24,Forcing!$A$2:$A$68,0))</f>
        <v>2.8289</v>
      </c>
      <c r="G24" s="20">
        <f>INDEX(Forcing!$B$2:$B$68,MATCH(A24,Forcing!$A$2:$A$68,0))</f>
        <v>1.0075000000000005</v>
      </c>
      <c r="H24" s="20">
        <f t="shared" si="4"/>
        <v>2.0953083333333331</v>
      </c>
      <c r="I24" s="20">
        <f t="shared" si="5"/>
        <v>25.525472999999998</v>
      </c>
      <c r="J24" s="20">
        <f t="shared" si="6"/>
        <v>0.92159687499999876</v>
      </c>
      <c r="K24" s="20">
        <f t="shared" si="7"/>
        <v>0.57255127456249921</v>
      </c>
      <c r="L24" s="19">
        <f t="shared" si="8"/>
        <v>0.7804767973497958</v>
      </c>
      <c r="N24" s="18" t="s">
        <v>2543</v>
      </c>
      <c r="O24" s="20">
        <f>AVERAGE(K10:K28)</f>
        <v>0.65461780364842115</v>
      </c>
      <c r="Q24" s="22">
        <v>2001</v>
      </c>
      <c r="R24" s="22">
        <v>10</v>
      </c>
      <c r="S24" s="19">
        <v>2001.7917</v>
      </c>
      <c r="T24" s="20">
        <v>1.0952999999999999</v>
      </c>
      <c r="U24" s="20">
        <v>239.70599999999999</v>
      </c>
      <c r="V24" s="20">
        <v>101.595</v>
      </c>
      <c r="X24" s="22">
        <v>2009</v>
      </c>
      <c r="Y24" s="22">
        <v>12</v>
      </c>
      <c r="Z24" s="20">
        <v>15.052814</v>
      </c>
    </row>
    <row r="25" spans="1:26">
      <c r="A25" s="22">
        <v>2021</v>
      </c>
      <c r="B25" s="22">
        <f t="shared" si="0"/>
        <v>12</v>
      </c>
      <c r="C25" s="20">
        <f t="shared" si="1"/>
        <v>1.5108916666666665</v>
      </c>
      <c r="D25" s="20">
        <f t="shared" si="2"/>
        <v>240.35874999999999</v>
      </c>
      <c r="E25" s="20">
        <f t="shared" si="3"/>
        <v>98.325800000000015</v>
      </c>
      <c r="F25" s="20">
        <f>INDEX(Forcing!$O$2:$O$68,MATCH(A25,Forcing!$A$2:$A$68,0))</f>
        <v>2.9164000000000003</v>
      </c>
      <c r="G25" s="20">
        <f>INDEX(Forcing!$B$2:$B$68,MATCH(A25,Forcing!$A$2:$A$68,0))</f>
        <v>0.84916666666666762</v>
      </c>
      <c r="H25" s="20">
        <f t="shared" si="4"/>
        <v>1.4055083333333338</v>
      </c>
      <c r="I25" s="20">
        <f t="shared" si="5"/>
        <v>27.279503249999998</v>
      </c>
      <c r="J25" s="20">
        <f t="shared" si="6"/>
        <v>1.3332496250000005</v>
      </c>
      <c r="K25" s="20">
        <f t="shared" si="7"/>
        <v>0.82829466202750035</v>
      </c>
      <c r="L25" s="19">
        <f t="shared" si="8"/>
        <v>0.5482157856194193</v>
      </c>
      <c r="N25" s="18" t="s">
        <v>2544</v>
      </c>
      <c r="O25" s="20">
        <f>AVERAGE(C10:C28)</f>
        <v>0.98884429824561393</v>
      </c>
      <c r="Q25" s="22">
        <v>2001</v>
      </c>
      <c r="R25" s="22">
        <v>11</v>
      </c>
      <c r="S25" s="19">
        <v>2001.875</v>
      </c>
      <c r="T25" s="20">
        <v>3.5733000000000001</v>
      </c>
      <c r="U25" s="20">
        <v>238.398</v>
      </c>
      <c r="V25" s="20">
        <v>105.82599999999999</v>
      </c>
      <c r="X25" s="22">
        <v>2010</v>
      </c>
      <c r="Y25" s="22">
        <v>3</v>
      </c>
      <c r="Z25" s="20">
        <v>15.881297999999999</v>
      </c>
    </row>
    <row r="26" spans="1:26">
      <c r="A26" s="22">
        <v>2022</v>
      </c>
      <c r="B26" s="22">
        <f t="shared" si="0"/>
        <v>12</v>
      </c>
      <c r="C26" s="20">
        <f t="shared" si="1"/>
        <v>1.5007250000000001</v>
      </c>
      <c r="D26" s="20">
        <f t="shared" si="2"/>
        <v>240.63208333333333</v>
      </c>
      <c r="E26" s="20">
        <f t="shared" si="3"/>
        <v>98.229150000000004</v>
      </c>
      <c r="F26" s="20">
        <f>INDEX(Forcing!$O$2:$O$68,MATCH(A26,Forcing!$A$2:$A$68,0))</f>
        <v>2.9845000000000002</v>
      </c>
      <c r="G26" s="20">
        <f>INDEX(Forcing!$B$2:$B$68,MATCH(A26,Forcing!$A$2:$A$68,0))</f>
        <v>0.89250000000000063</v>
      </c>
      <c r="H26" s="20">
        <f t="shared" si="4"/>
        <v>1.4837750000000001</v>
      </c>
      <c r="I26" s="20">
        <f t="shared" si="5"/>
        <v>28.191972249999999</v>
      </c>
      <c r="J26" s="20">
        <f t="shared" si="6"/>
        <v>0.97024412500000068</v>
      </c>
      <c r="K26" s="20">
        <f t="shared" si="7"/>
        <v>0.60277386509750042</v>
      </c>
      <c r="L26" s="19">
        <f t="shared" si="8"/>
        <v>0.40165511009512095</v>
      </c>
      <c r="N26" s="18" t="s">
        <v>2545</v>
      </c>
      <c r="O26" s="19">
        <f>O24/O25</f>
        <v>0.66200291068050843</v>
      </c>
      <c r="Q26" s="22">
        <v>2001</v>
      </c>
      <c r="R26" s="22">
        <v>12</v>
      </c>
      <c r="S26" s="19">
        <v>2001.9583</v>
      </c>
      <c r="T26" s="20">
        <v>5.1558999999999999</v>
      </c>
      <c r="U26" s="20">
        <v>237.27500000000001</v>
      </c>
      <c r="V26" s="20">
        <v>108.871</v>
      </c>
      <c r="X26" s="22">
        <v>2010</v>
      </c>
      <c r="Y26" s="22">
        <v>6</v>
      </c>
      <c r="Z26" s="20">
        <v>13.484779</v>
      </c>
    </row>
    <row r="27" spans="1:26">
      <c r="A27" s="22">
        <v>2023</v>
      </c>
      <c r="B27" s="22">
        <f t="shared" si="0"/>
        <v>12</v>
      </c>
      <c r="C27" s="20">
        <f t="shared" si="1"/>
        <v>1.8402000000000005</v>
      </c>
      <c r="D27" s="20">
        <f t="shared" si="2"/>
        <v>241.21100000000001</v>
      </c>
      <c r="E27" s="20">
        <f t="shared" si="3"/>
        <v>97.414508333333345</v>
      </c>
      <c r="F27" s="20">
        <f>INDEX(Forcing!$O$2:$O$68,MATCH(A27,Forcing!$A$2:$A$68,0))</f>
        <v>3.1362000000000001</v>
      </c>
      <c r="G27" s="20">
        <f>INDEX(Forcing!$B$2:$B$68,MATCH(A27,Forcing!$A$2:$A$68,0))</f>
        <v>1.1724999999999992</v>
      </c>
      <c r="H27" s="20">
        <f t="shared" si="4"/>
        <v>1.2959999999999996</v>
      </c>
      <c r="I27" s="20">
        <f t="shared" si="5"/>
        <v>29.219991499999999</v>
      </c>
      <c r="J27" s="20">
        <f t="shared" si="6"/>
        <v>1.0620263750000003</v>
      </c>
      <c r="K27" s="20">
        <f t="shared" si="7"/>
        <v>0.6597945057325002</v>
      </c>
      <c r="L27" s="19">
        <f t="shared" si="8"/>
        <v>0.3585449982243778</v>
      </c>
      <c r="N27" s="18" t="s">
        <v>2546</v>
      </c>
      <c r="O27" s="20">
        <f>SLOPE(K10:K28,A10:A28)*10</f>
        <v>0.1473821419592983</v>
      </c>
      <c r="Q27" s="22">
        <v>2002</v>
      </c>
      <c r="R27" s="22">
        <v>1</v>
      </c>
      <c r="S27" s="19">
        <v>2002.0417</v>
      </c>
      <c r="T27" s="20">
        <v>7.8197000000000001</v>
      </c>
      <c r="U27" s="20">
        <v>237.23099999999999</v>
      </c>
      <c r="V27" s="20">
        <v>106.613</v>
      </c>
      <c r="X27" s="22">
        <v>2010</v>
      </c>
      <c r="Y27" s="22">
        <v>9</v>
      </c>
      <c r="Z27" s="20">
        <v>13.959781</v>
      </c>
    </row>
    <row r="28" spans="1:26">
      <c r="A28" s="22">
        <v>2024</v>
      </c>
      <c r="B28" s="22">
        <f t="shared" si="0"/>
        <v>12</v>
      </c>
      <c r="C28" s="20">
        <f t="shared" si="1"/>
        <v>0.81745000000000012</v>
      </c>
      <c r="D28" s="20">
        <f t="shared" si="2"/>
        <v>241.59741666666665</v>
      </c>
      <c r="E28" s="20">
        <f t="shared" si="3"/>
        <v>98.059491666666659</v>
      </c>
      <c r="F28" s="20">
        <f>INDEX(Forcing!$O$2:$O$68,MATCH(A28,Forcing!$A$2:$A$68,0))</f>
        <v>3.2734000000000001</v>
      </c>
      <c r="G28" s="20">
        <f>INDEX(Forcing!$B$2:$B$68,MATCH(A28,Forcing!$A$2:$A$68,0))</f>
        <v>1.2858333333333338</v>
      </c>
      <c r="H28" s="20">
        <f t="shared" si="4"/>
        <v>2.4559500000000001</v>
      </c>
      <c r="I28" s="20">
        <f t="shared" si="5"/>
        <v>30.316025</v>
      </c>
      <c r="J28" s="20">
        <f t="shared" si="6"/>
        <v>1.6565595000000002</v>
      </c>
      <c r="K28" s="20">
        <f t="shared" si="7"/>
        <v>1.0291541549700001</v>
      </c>
      <c r="L28" s="19">
        <f t="shared" si="8"/>
        <v>1.2589811670071562</v>
      </c>
      <c r="N28" s="18" t="s">
        <v>2547</v>
      </c>
      <c r="O28" s="20">
        <f>SLOPE(C10:C28,A10:A28)*10</f>
        <v>0.45236271929824556</v>
      </c>
      <c r="Q28" s="22">
        <v>2002</v>
      </c>
      <c r="R28" s="22">
        <v>2</v>
      </c>
      <c r="S28" s="19">
        <v>2002.125</v>
      </c>
      <c r="T28" s="20">
        <v>8.0444999999999993</v>
      </c>
      <c r="U28" s="20">
        <v>238.011</v>
      </c>
      <c r="V28" s="20">
        <v>102.751</v>
      </c>
      <c r="X28" s="22">
        <v>2010</v>
      </c>
      <c r="Y28" s="22">
        <v>12</v>
      </c>
      <c r="Z28" s="20">
        <v>14.823183999999999</v>
      </c>
    </row>
    <row r="29" spans="1:26">
      <c r="A29" s="22">
        <v>2025</v>
      </c>
      <c r="B29" s="22">
        <f t="shared" si="0"/>
        <v>12</v>
      </c>
      <c r="C29" s="20">
        <f t="shared" si="1"/>
        <v>1.4792083333333332</v>
      </c>
      <c r="D29" s="20">
        <f t="shared" si="2"/>
        <v>241.35916666666671</v>
      </c>
      <c r="E29" s="20">
        <f t="shared" si="3"/>
        <v>97.611524999999986</v>
      </c>
      <c r="F29" s="20">
        <f>INDEX(Forcing!$O$2:$O$68,MATCH(A29,Forcing!$A$2:$A$68,0))</f>
        <v>3.3657000000000004</v>
      </c>
      <c r="G29" s="20">
        <f>INDEX(Forcing!$B$2:$B$68,MATCH(A29,Forcing!$A$2:$A$68,0))</f>
        <v>1.193333333333334</v>
      </c>
      <c r="H29" s="20">
        <f t="shared" si="4"/>
        <v>1.8864916666666671</v>
      </c>
      <c r="I29" s="20">
        <f t="shared" si="5"/>
        <v>32.533110499999999</v>
      </c>
      <c r="J29" s="20" t="str">
        <f t="shared" si="6"/>
        <v/>
      </c>
      <c r="K29" s="20" t="str">
        <f t="shared" si="7"/>
        <v/>
      </c>
      <c r="L29" s="19" t="str">
        <f t="shared" si="8"/>
        <v/>
      </c>
      <c r="N29" s="18" t="s">
        <v>2548</v>
      </c>
      <c r="O29" s="19">
        <f>CORREL(K10:K28,C10:C28)</f>
        <v>4.4888884286776135E-2</v>
      </c>
      <c r="Q29" s="22">
        <v>2002</v>
      </c>
      <c r="R29" s="22">
        <v>3</v>
      </c>
      <c r="S29" s="19">
        <v>2002.2083</v>
      </c>
      <c r="T29" s="20">
        <v>6.4966999999999997</v>
      </c>
      <c r="U29" s="20">
        <v>238.10300000000001</v>
      </c>
      <c r="V29" s="20">
        <v>99.190600000000003</v>
      </c>
      <c r="X29" s="22">
        <v>2011</v>
      </c>
      <c r="Y29" s="22">
        <v>3</v>
      </c>
      <c r="Z29" s="20">
        <v>15.215552000000001</v>
      </c>
    </row>
    <row r="30" spans="1:26">
      <c r="N30" s="18" t="s">
        <v>2549</v>
      </c>
      <c r="O30" s="19">
        <f>I29-I9</f>
        <v>22.362273999999999</v>
      </c>
      <c r="Q30" s="22">
        <v>2002</v>
      </c>
      <c r="R30" s="22">
        <v>4</v>
      </c>
      <c r="S30" s="19">
        <v>2002.2917</v>
      </c>
      <c r="T30" s="20">
        <v>0.69940000000000002</v>
      </c>
      <c r="U30" s="20">
        <v>239.27799999999999</v>
      </c>
      <c r="V30" s="20">
        <v>97.886200000000002</v>
      </c>
      <c r="X30" s="22">
        <v>2011</v>
      </c>
      <c r="Y30" s="22">
        <v>6</v>
      </c>
      <c r="Z30" s="20">
        <v>14.630487</v>
      </c>
    </row>
    <row r="31" spans="1:26">
      <c r="N31" s="18" t="s">
        <v>2550</v>
      </c>
      <c r="O31" s="25">
        <v>0.62126000000000003</v>
      </c>
      <c r="Q31" s="22">
        <v>2002</v>
      </c>
      <c r="R31" s="22">
        <v>5</v>
      </c>
      <c r="S31" s="19">
        <v>2002.375</v>
      </c>
      <c r="T31" s="20">
        <v>-5.5650000000000004</v>
      </c>
      <c r="U31" s="20">
        <v>241.77699999999999</v>
      </c>
      <c r="V31" s="20">
        <v>96.691000000000003</v>
      </c>
      <c r="X31" s="22">
        <v>2011</v>
      </c>
      <c r="Y31" s="22">
        <v>9</v>
      </c>
      <c r="Z31" s="20">
        <v>16.870249000000001</v>
      </c>
    </row>
    <row r="32" spans="1:26">
      <c r="Q32" s="22">
        <v>2002</v>
      </c>
      <c r="R32" s="22">
        <v>6</v>
      </c>
      <c r="S32" s="19">
        <v>2002.4583</v>
      </c>
      <c r="T32" s="20">
        <v>-10.1121</v>
      </c>
      <c r="U32" s="20">
        <v>243.21199999999999</v>
      </c>
      <c r="V32" s="20">
        <v>96.836299999999994</v>
      </c>
      <c r="X32" s="22">
        <v>2011</v>
      </c>
      <c r="Y32" s="22">
        <v>12</v>
      </c>
      <c r="Z32" s="20">
        <v>14.859973</v>
      </c>
    </row>
    <row r="33" spans="14:26">
      <c r="N33" s="17" t="s">
        <v>2551</v>
      </c>
      <c r="Q33" s="22">
        <v>2002</v>
      </c>
      <c r="R33" s="22">
        <v>7</v>
      </c>
      <c r="S33" s="19">
        <v>2002.5417</v>
      </c>
      <c r="T33" s="20">
        <v>-10.167</v>
      </c>
      <c r="U33" s="20">
        <v>244.946</v>
      </c>
      <c r="V33" s="20">
        <v>94.641499999999994</v>
      </c>
      <c r="X33" s="22">
        <v>2012</v>
      </c>
      <c r="Y33" s="22">
        <v>3</v>
      </c>
      <c r="Z33" s="20">
        <v>17.308126000000001</v>
      </c>
    </row>
    <row r="34" spans="14:26" ht="75" customHeight="1">
      <c r="N34" s="66" t="s">
        <v>2552</v>
      </c>
      <c r="O34" s="53"/>
      <c r="Q34" s="22">
        <v>2002</v>
      </c>
      <c r="R34" s="22">
        <v>8</v>
      </c>
      <c r="S34" s="19">
        <v>2002.625</v>
      </c>
      <c r="T34" s="20">
        <v>-6.5795000000000003</v>
      </c>
      <c r="U34" s="20">
        <v>244.577</v>
      </c>
      <c r="V34" s="20">
        <v>93.817300000000003</v>
      </c>
      <c r="X34" s="22">
        <v>2012</v>
      </c>
      <c r="Y34" s="22">
        <v>6</v>
      </c>
      <c r="Z34" s="20">
        <v>15.461417000000001</v>
      </c>
    </row>
    <row r="35" spans="14:26" ht="75" customHeight="1">
      <c r="N35" s="66" t="s">
        <v>2553</v>
      </c>
      <c r="O35" s="53"/>
      <c r="Q35" s="22">
        <v>2002</v>
      </c>
      <c r="R35" s="22">
        <v>9</v>
      </c>
      <c r="S35" s="19">
        <v>2002.7083</v>
      </c>
      <c r="T35" s="20">
        <v>-1.1693</v>
      </c>
      <c r="U35" s="20">
        <v>243.16300000000001</v>
      </c>
      <c r="V35" s="20">
        <v>94.4619</v>
      </c>
      <c r="X35" s="22">
        <v>2012</v>
      </c>
      <c r="Y35" s="22">
        <v>9</v>
      </c>
      <c r="Z35" s="20">
        <v>15.34632</v>
      </c>
    </row>
    <row r="36" spans="14:26" ht="75" customHeight="1">
      <c r="N36" s="66" t="s">
        <v>2554</v>
      </c>
      <c r="O36" s="53"/>
      <c r="Q36" s="22">
        <v>2002</v>
      </c>
      <c r="R36" s="22">
        <v>10</v>
      </c>
      <c r="S36" s="19">
        <v>2002.7917</v>
      </c>
      <c r="T36" s="20">
        <v>2.5889000000000002</v>
      </c>
      <c r="U36" s="20">
        <v>240.04400000000001</v>
      </c>
      <c r="V36" s="20">
        <v>99.637500000000003</v>
      </c>
      <c r="X36" s="22">
        <v>2012</v>
      </c>
      <c r="Y36" s="22">
        <v>12</v>
      </c>
      <c r="Z36" s="20">
        <v>16.630146</v>
      </c>
    </row>
    <row r="37" spans="14:26" ht="75" customHeight="1">
      <c r="N37" s="66" t="s">
        <v>2555</v>
      </c>
      <c r="O37" s="53"/>
      <c r="Q37" s="22">
        <v>2002</v>
      </c>
      <c r="R37" s="22">
        <v>11</v>
      </c>
      <c r="S37" s="19">
        <v>2002.875</v>
      </c>
      <c r="T37" s="20">
        <v>3.5198999999999998</v>
      </c>
      <c r="U37" s="20">
        <v>237.88499999999999</v>
      </c>
      <c r="V37" s="20">
        <v>106.31699999999999</v>
      </c>
      <c r="X37" s="22">
        <v>2013</v>
      </c>
      <c r="Y37" s="22">
        <v>3</v>
      </c>
      <c r="Z37" s="20">
        <v>20.317979999999999</v>
      </c>
    </row>
    <row r="38" spans="14:26">
      <c r="Q38" s="22">
        <v>2002</v>
      </c>
      <c r="R38" s="22">
        <v>12</v>
      </c>
      <c r="S38" s="19">
        <v>2002.9583</v>
      </c>
      <c r="T38" s="20">
        <v>6.0464000000000002</v>
      </c>
      <c r="U38" s="20">
        <v>236.90799999999999</v>
      </c>
      <c r="V38" s="20">
        <v>108.33799999999999</v>
      </c>
      <c r="X38" s="22">
        <v>2013</v>
      </c>
      <c r="Y38" s="22">
        <v>6</v>
      </c>
      <c r="Z38" s="20">
        <v>17.425899999999999</v>
      </c>
    </row>
    <row r="39" spans="14:26">
      <c r="Q39" s="22">
        <v>2003</v>
      </c>
      <c r="R39" s="22">
        <v>1</v>
      </c>
      <c r="S39" s="19">
        <v>2003.0417</v>
      </c>
      <c r="T39" s="20">
        <v>7.6157000000000004</v>
      </c>
      <c r="U39" s="20">
        <v>237.96299999999999</v>
      </c>
      <c r="V39" s="20">
        <v>105.976</v>
      </c>
      <c r="X39" s="22">
        <v>2013</v>
      </c>
      <c r="Y39" s="22">
        <v>9</v>
      </c>
      <c r="Z39" s="20">
        <v>16.296842999999999</v>
      </c>
    </row>
    <row r="40" spans="14:26">
      <c r="Q40" s="22">
        <v>2003</v>
      </c>
      <c r="R40" s="22">
        <v>2</v>
      </c>
      <c r="S40" s="19">
        <v>2003.125</v>
      </c>
      <c r="T40" s="20">
        <v>8.8460999999999999</v>
      </c>
      <c r="U40" s="20">
        <v>238.083</v>
      </c>
      <c r="V40" s="20">
        <v>101.79300000000001</v>
      </c>
      <c r="X40" s="22">
        <v>2013</v>
      </c>
      <c r="Y40" s="22">
        <v>12</v>
      </c>
      <c r="Z40" s="20">
        <v>20.558160999999998</v>
      </c>
    </row>
    <row r="41" spans="14:26">
      <c r="Q41" s="22">
        <v>2003</v>
      </c>
      <c r="R41" s="22">
        <v>3</v>
      </c>
      <c r="S41" s="19">
        <v>2003.2083</v>
      </c>
      <c r="T41" s="20">
        <v>6.4086999999999996</v>
      </c>
      <c r="U41" s="20">
        <v>238.904</v>
      </c>
      <c r="V41" s="20">
        <v>98.305700000000002</v>
      </c>
      <c r="X41" s="22">
        <v>2014</v>
      </c>
      <c r="Y41" s="22">
        <v>3</v>
      </c>
      <c r="Z41" s="20">
        <v>20.874860999999999</v>
      </c>
    </row>
    <row r="42" spans="14:26">
      <c r="Q42" s="22">
        <v>2003</v>
      </c>
      <c r="R42" s="22">
        <v>4</v>
      </c>
      <c r="S42" s="19">
        <v>2003.2917</v>
      </c>
      <c r="T42" s="20">
        <v>1.2901</v>
      </c>
      <c r="U42" s="20">
        <v>239.035</v>
      </c>
      <c r="V42" s="20">
        <v>97.487700000000004</v>
      </c>
      <c r="X42" s="22">
        <v>2014</v>
      </c>
      <c r="Y42" s="22">
        <v>6</v>
      </c>
      <c r="Z42" s="20">
        <v>19.914608000000001</v>
      </c>
    </row>
    <row r="43" spans="14:26">
      <c r="Q43" s="22">
        <v>2003</v>
      </c>
      <c r="R43" s="22">
        <v>5</v>
      </c>
      <c r="S43" s="19">
        <v>2003.375</v>
      </c>
      <c r="T43" s="20">
        <v>-6.0076999999999998</v>
      </c>
      <c r="U43" s="20">
        <v>240.971</v>
      </c>
      <c r="V43" s="20">
        <v>97.869</v>
      </c>
      <c r="X43" s="22">
        <v>2014</v>
      </c>
      <c r="Y43" s="22">
        <v>9</v>
      </c>
      <c r="Z43" s="20">
        <v>18.526078999999999</v>
      </c>
    </row>
    <row r="44" spans="14:26">
      <c r="Q44" s="22">
        <v>2003</v>
      </c>
      <c r="R44" s="22">
        <v>6</v>
      </c>
      <c r="S44" s="19">
        <v>2003.4583</v>
      </c>
      <c r="T44" s="20">
        <v>-9.4374000000000002</v>
      </c>
      <c r="U44" s="20">
        <v>243.23500000000001</v>
      </c>
      <c r="V44" s="20">
        <v>95.968100000000007</v>
      </c>
      <c r="X44" s="22">
        <v>2014</v>
      </c>
      <c r="Y44" s="22">
        <v>12</v>
      </c>
      <c r="Z44" s="20">
        <v>21.123238000000001</v>
      </c>
    </row>
    <row r="45" spans="14:26">
      <c r="Q45" s="22">
        <v>2003</v>
      </c>
      <c r="R45" s="22">
        <v>7</v>
      </c>
      <c r="S45" s="19">
        <v>2003.5417</v>
      </c>
      <c r="T45" s="20">
        <v>-8.9138000000000002</v>
      </c>
      <c r="U45" s="20">
        <v>244.66</v>
      </c>
      <c r="V45" s="20">
        <v>93.638800000000003</v>
      </c>
      <c r="X45" s="22">
        <v>2015</v>
      </c>
      <c r="Y45" s="22">
        <v>3</v>
      </c>
      <c r="Z45" s="20">
        <v>23.416958000000001</v>
      </c>
    </row>
    <row r="46" spans="14:26">
      <c r="Q46" s="22">
        <v>2003</v>
      </c>
      <c r="R46" s="22">
        <v>8</v>
      </c>
      <c r="S46" s="19">
        <v>2003.625</v>
      </c>
      <c r="T46" s="20">
        <v>-4.7249999999999996</v>
      </c>
      <c r="U46" s="20">
        <v>244.26</v>
      </c>
      <c r="V46" s="20">
        <v>92.237899999999996</v>
      </c>
      <c r="X46" s="22">
        <v>2015</v>
      </c>
      <c r="Y46" s="22">
        <v>6</v>
      </c>
      <c r="Z46" s="20">
        <v>22.368597000000001</v>
      </c>
    </row>
    <row r="47" spans="14:26">
      <c r="Q47" s="22">
        <v>2003</v>
      </c>
      <c r="R47" s="22">
        <v>9</v>
      </c>
      <c r="S47" s="19">
        <v>2003.7083</v>
      </c>
      <c r="T47" s="20">
        <v>-0.59250000000000003</v>
      </c>
      <c r="U47" s="20">
        <v>242.828</v>
      </c>
      <c r="V47" s="20">
        <v>94.162000000000006</v>
      </c>
      <c r="X47" s="22">
        <v>2015</v>
      </c>
      <c r="Y47" s="22">
        <v>9</v>
      </c>
      <c r="Z47" s="20">
        <v>21.546423000000001</v>
      </c>
    </row>
    <row r="48" spans="14:26">
      <c r="Q48" s="22">
        <v>2003</v>
      </c>
      <c r="R48" s="22">
        <v>10</v>
      </c>
      <c r="S48" s="19">
        <v>2003.7917</v>
      </c>
      <c r="T48" s="20">
        <v>1.5893999999999999</v>
      </c>
      <c r="U48" s="20">
        <v>240.756</v>
      </c>
      <c r="V48" s="20">
        <v>99.614999999999995</v>
      </c>
      <c r="X48" s="22">
        <v>2015</v>
      </c>
      <c r="Y48" s="22">
        <v>12</v>
      </c>
      <c r="Z48" s="20">
        <v>22.271896000000002</v>
      </c>
    </row>
    <row r="49" spans="17:26">
      <c r="Q49" s="22">
        <v>2003</v>
      </c>
      <c r="R49" s="22">
        <v>11</v>
      </c>
      <c r="S49" s="19">
        <v>2003.875</v>
      </c>
      <c r="T49" s="20">
        <v>3.7480000000000002</v>
      </c>
      <c r="U49" s="20">
        <v>238.18600000000001</v>
      </c>
      <c r="V49" s="20">
        <v>105.676</v>
      </c>
      <c r="X49" s="22">
        <v>2016</v>
      </c>
      <c r="Y49" s="22">
        <v>3</v>
      </c>
      <c r="Z49" s="20">
        <v>22.763397000000001</v>
      </c>
    </row>
    <row r="50" spans="17:26">
      <c r="Q50" s="22">
        <v>2003</v>
      </c>
      <c r="R50" s="22">
        <v>12</v>
      </c>
      <c r="S50" s="19">
        <v>2003.9583</v>
      </c>
      <c r="T50" s="20">
        <v>6.0145999999999997</v>
      </c>
      <c r="U50" s="20">
        <v>237.63900000000001</v>
      </c>
      <c r="V50" s="20">
        <v>107.489</v>
      </c>
      <c r="X50" s="22">
        <v>2016</v>
      </c>
      <c r="Y50" s="22">
        <v>6</v>
      </c>
      <c r="Z50" s="20">
        <v>19.730758999999999</v>
      </c>
    </row>
    <row r="51" spans="17:26">
      <c r="Q51" s="22">
        <v>2004</v>
      </c>
      <c r="R51" s="22">
        <v>1</v>
      </c>
      <c r="S51" s="19">
        <v>2004.0417</v>
      </c>
      <c r="T51" s="20">
        <v>8.6402000000000001</v>
      </c>
      <c r="U51" s="20">
        <v>236.965</v>
      </c>
      <c r="V51" s="20">
        <v>105.794</v>
      </c>
      <c r="X51" s="22">
        <v>2016</v>
      </c>
      <c r="Y51" s="22">
        <v>9</v>
      </c>
      <c r="Z51" s="20">
        <v>19.145727000000001</v>
      </c>
    </row>
    <row r="52" spans="17:26">
      <c r="Q52" s="22">
        <v>2004</v>
      </c>
      <c r="R52" s="22">
        <v>2</v>
      </c>
      <c r="S52" s="19">
        <v>2004.125</v>
      </c>
      <c r="T52" s="20">
        <v>9.0946999999999996</v>
      </c>
      <c r="U52" s="20">
        <v>238.08</v>
      </c>
      <c r="V52" s="20">
        <v>101.354</v>
      </c>
      <c r="X52" s="22">
        <v>2016</v>
      </c>
      <c r="Y52" s="22">
        <v>12</v>
      </c>
      <c r="Z52" s="20">
        <v>21.5578</v>
      </c>
    </row>
    <row r="53" spans="17:26">
      <c r="Q53" s="22">
        <v>2004</v>
      </c>
      <c r="R53" s="22">
        <v>3</v>
      </c>
      <c r="S53" s="19">
        <v>2004.2083</v>
      </c>
      <c r="T53" s="20">
        <v>5.5674999999999999</v>
      </c>
      <c r="U53" s="20">
        <v>237.999</v>
      </c>
      <c r="V53" s="20">
        <v>99.885000000000005</v>
      </c>
      <c r="X53" s="22">
        <v>2017</v>
      </c>
      <c r="Y53" s="22">
        <v>3</v>
      </c>
      <c r="Z53" s="20">
        <v>23.699746999999999</v>
      </c>
    </row>
    <row r="54" spans="17:26">
      <c r="Q54" s="22">
        <v>2004</v>
      </c>
      <c r="R54" s="22">
        <v>4</v>
      </c>
      <c r="S54" s="19">
        <v>2004.2917</v>
      </c>
      <c r="T54" s="20">
        <v>2.3589000000000002</v>
      </c>
      <c r="U54" s="20">
        <v>238.88900000000001</v>
      </c>
      <c r="V54" s="20">
        <v>96.409899999999993</v>
      </c>
      <c r="X54" s="22">
        <v>2017</v>
      </c>
      <c r="Y54" s="22">
        <v>6</v>
      </c>
      <c r="Z54" s="20">
        <v>24.154409000000001</v>
      </c>
    </row>
    <row r="55" spans="17:26">
      <c r="Q55" s="22">
        <v>2004</v>
      </c>
      <c r="R55" s="22">
        <v>5</v>
      </c>
      <c r="S55" s="19">
        <v>2004.375</v>
      </c>
      <c r="T55" s="20">
        <v>-6.4753999999999996</v>
      </c>
      <c r="U55" s="20">
        <v>240.64699999999999</v>
      </c>
      <c r="V55" s="20">
        <v>98.502099999999999</v>
      </c>
      <c r="X55" s="22">
        <v>2017</v>
      </c>
      <c r="Y55" s="22">
        <v>9</v>
      </c>
      <c r="Z55" s="20">
        <v>21.977036999999999</v>
      </c>
    </row>
    <row r="56" spans="17:26">
      <c r="Q56" s="22">
        <v>2004</v>
      </c>
      <c r="R56" s="22">
        <v>6</v>
      </c>
      <c r="S56" s="19">
        <v>2004.4583</v>
      </c>
      <c r="T56" s="20">
        <v>-10.4877</v>
      </c>
      <c r="U56" s="20">
        <v>243.303</v>
      </c>
      <c r="V56" s="20">
        <v>96.887299999999996</v>
      </c>
      <c r="X56" s="22">
        <v>2017</v>
      </c>
      <c r="Y56" s="22">
        <v>12</v>
      </c>
      <c r="Z56" s="20">
        <v>24.524508999999998</v>
      </c>
    </row>
    <row r="57" spans="17:26">
      <c r="Q57" s="22">
        <v>2004</v>
      </c>
      <c r="R57" s="22">
        <v>7</v>
      </c>
      <c r="S57" s="19">
        <v>2004.5417</v>
      </c>
      <c r="T57" s="20">
        <v>-7.8541999999999996</v>
      </c>
      <c r="U57" s="20">
        <v>243.791</v>
      </c>
      <c r="V57" s="20">
        <v>93.359899999999996</v>
      </c>
      <c r="X57" s="22">
        <v>2018</v>
      </c>
      <c r="Y57" s="22">
        <v>3</v>
      </c>
      <c r="Z57" s="20">
        <v>25.366713000000001</v>
      </c>
    </row>
    <row r="58" spans="17:26">
      <c r="Q58" s="22">
        <v>2004</v>
      </c>
      <c r="R58" s="22">
        <v>8</v>
      </c>
      <c r="S58" s="19">
        <v>2004.625</v>
      </c>
      <c r="T58" s="20">
        <v>-5.1977000000000002</v>
      </c>
      <c r="U58" s="20">
        <v>244.36199999999999</v>
      </c>
      <c r="V58" s="20">
        <v>92.594899999999996</v>
      </c>
      <c r="X58" s="22">
        <v>2018</v>
      </c>
      <c r="Y58" s="22">
        <v>6</v>
      </c>
      <c r="Z58" s="20">
        <v>22.651783000000002</v>
      </c>
    </row>
    <row r="59" spans="17:26">
      <c r="Q59" s="22">
        <v>2004</v>
      </c>
      <c r="R59" s="22">
        <v>9</v>
      </c>
      <c r="S59" s="19">
        <v>2004.7083</v>
      </c>
      <c r="T59" s="20">
        <v>-3.5999999999999997E-2</v>
      </c>
      <c r="U59" s="20">
        <v>242.50899999999999</v>
      </c>
      <c r="V59" s="20">
        <v>93.990799999999993</v>
      </c>
      <c r="X59" s="22">
        <v>2018</v>
      </c>
      <c r="Y59" s="22">
        <v>9</v>
      </c>
      <c r="Z59" s="20">
        <v>22.602892000000001</v>
      </c>
    </row>
    <row r="60" spans="17:26">
      <c r="Q60" s="22">
        <v>2004</v>
      </c>
      <c r="R60" s="22">
        <v>10</v>
      </c>
      <c r="S60" s="19">
        <v>2004.7917</v>
      </c>
      <c r="T60" s="20">
        <v>1.3617999999999999</v>
      </c>
      <c r="U60" s="20">
        <v>240.501</v>
      </c>
      <c r="V60" s="20">
        <v>100.425</v>
      </c>
      <c r="X60" s="22">
        <v>2018</v>
      </c>
      <c r="Y60" s="22">
        <v>12</v>
      </c>
      <c r="Z60" s="20">
        <v>25.615815999999999</v>
      </c>
    </row>
    <row r="61" spans="17:26">
      <c r="Q61" s="22">
        <v>2004</v>
      </c>
      <c r="R61" s="22">
        <v>11</v>
      </c>
      <c r="S61" s="19">
        <v>2004.875</v>
      </c>
      <c r="T61" s="20">
        <v>4.1835000000000004</v>
      </c>
      <c r="U61" s="20">
        <v>237.857</v>
      </c>
      <c r="V61" s="20">
        <v>105.67</v>
      </c>
      <c r="X61" s="22">
        <v>2019</v>
      </c>
      <c r="Y61" s="22">
        <v>3</v>
      </c>
      <c r="Z61" s="20">
        <v>25.724392000000002</v>
      </c>
    </row>
    <row r="62" spans="17:26">
      <c r="Q62" s="22">
        <v>2004</v>
      </c>
      <c r="R62" s="22">
        <v>12</v>
      </c>
      <c r="S62" s="19">
        <v>2004.9583</v>
      </c>
      <c r="T62" s="20">
        <v>7.1870000000000003</v>
      </c>
      <c r="U62" s="20">
        <v>236.65899999999999</v>
      </c>
      <c r="V62" s="20">
        <v>107.31100000000001</v>
      </c>
      <c r="X62" s="22">
        <v>2019</v>
      </c>
      <c r="Y62" s="22">
        <v>6</v>
      </c>
      <c r="Z62" s="20">
        <v>25.266767999999999</v>
      </c>
    </row>
    <row r="63" spans="17:26">
      <c r="Q63" s="22">
        <v>2005</v>
      </c>
      <c r="R63" s="22">
        <v>1</v>
      </c>
      <c r="S63" s="19">
        <v>2005.0417</v>
      </c>
      <c r="T63" s="20">
        <v>8.0402000000000005</v>
      </c>
      <c r="U63" s="20">
        <v>237.56</v>
      </c>
      <c r="V63" s="20">
        <v>105.654</v>
      </c>
      <c r="X63" s="22">
        <v>2019</v>
      </c>
      <c r="Y63" s="22">
        <v>9</v>
      </c>
      <c r="Z63" s="20">
        <v>24.717939000000001</v>
      </c>
    </row>
    <row r="64" spans="17:26">
      <c r="Q64" s="22">
        <v>2005</v>
      </c>
      <c r="R64" s="22">
        <v>2</v>
      </c>
      <c r="S64" s="19">
        <v>2005.125</v>
      </c>
      <c r="T64" s="20">
        <v>7.8189000000000002</v>
      </c>
      <c r="U64" s="20">
        <v>238.26300000000001</v>
      </c>
      <c r="V64" s="20">
        <v>102.355</v>
      </c>
      <c r="X64" s="22">
        <v>2019</v>
      </c>
      <c r="Y64" s="22">
        <v>12</v>
      </c>
      <c r="Z64" s="20">
        <v>26.036138999999999</v>
      </c>
    </row>
    <row r="65" spans="17:26">
      <c r="Q65" s="22">
        <v>2005</v>
      </c>
      <c r="R65" s="22">
        <v>3</v>
      </c>
      <c r="S65" s="19">
        <v>2005.2083</v>
      </c>
      <c r="T65" s="20">
        <v>6.6128</v>
      </c>
      <c r="U65" s="20">
        <v>238.095</v>
      </c>
      <c r="V65" s="20">
        <v>98.735500000000002</v>
      </c>
      <c r="X65" s="22">
        <v>2020</v>
      </c>
      <c r="Y65" s="22">
        <v>3</v>
      </c>
      <c r="Z65" s="20">
        <v>27.448157999999999</v>
      </c>
    </row>
    <row r="66" spans="17:26">
      <c r="Q66" s="22">
        <v>2005</v>
      </c>
      <c r="R66" s="22">
        <v>4</v>
      </c>
      <c r="S66" s="19">
        <v>2005.2917</v>
      </c>
      <c r="T66" s="20">
        <v>1.1222000000000001</v>
      </c>
      <c r="U66" s="20">
        <v>239.22499999999999</v>
      </c>
      <c r="V66" s="20">
        <v>97.285899999999998</v>
      </c>
      <c r="X66" s="22">
        <v>2020</v>
      </c>
      <c r="Y66" s="22">
        <v>6</v>
      </c>
      <c r="Z66" s="20">
        <v>25.725584000000001</v>
      </c>
    </row>
    <row r="67" spans="17:26">
      <c r="Q67" s="22">
        <v>2005</v>
      </c>
      <c r="R67" s="22">
        <v>5</v>
      </c>
      <c r="S67" s="19">
        <v>2005.375</v>
      </c>
      <c r="T67" s="20">
        <v>-4.3150000000000004</v>
      </c>
      <c r="U67" s="20">
        <v>239.99700000000001</v>
      </c>
      <c r="V67" s="20">
        <v>96.968000000000004</v>
      </c>
      <c r="X67" s="22">
        <v>2020</v>
      </c>
      <c r="Y67" s="22">
        <v>9</v>
      </c>
      <c r="Z67" s="20">
        <v>23.006824000000002</v>
      </c>
    </row>
    <row r="68" spans="17:26">
      <c r="Q68" s="22">
        <v>2005</v>
      </c>
      <c r="R68" s="22">
        <v>6</v>
      </c>
      <c r="S68" s="19">
        <v>2005.4583</v>
      </c>
      <c r="T68" s="20">
        <v>-9.9074000000000009</v>
      </c>
      <c r="U68" s="20">
        <v>243.09800000000001</v>
      </c>
      <c r="V68" s="20">
        <v>96.478399999999993</v>
      </c>
      <c r="X68" s="22">
        <v>2020</v>
      </c>
      <c r="Y68" s="22">
        <v>12</v>
      </c>
      <c r="Z68" s="20">
        <v>25.921326000000001</v>
      </c>
    </row>
    <row r="69" spans="17:26">
      <c r="Q69" s="22">
        <v>2005</v>
      </c>
      <c r="R69" s="22">
        <v>7</v>
      </c>
      <c r="S69" s="19">
        <v>2005.5417</v>
      </c>
      <c r="T69" s="20">
        <v>-9.8500999999999994</v>
      </c>
      <c r="U69" s="20">
        <v>244.792</v>
      </c>
      <c r="V69" s="20">
        <v>94.384600000000006</v>
      </c>
      <c r="X69" s="22">
        <v>2021</v>
      </c>
      <c r="Y69" s="22">
        <v>3</v>
      </c>
      <c r="Z69" s="20">
        <v>27.433605</v>
      </c>
    </row>
    <row r="70" spans="17:26">
      <c r="Q70" s="22">
        <v>2005</v>
      </c>
      <c r="R70" s="22">
        <v>8</v>
      </c>
      <c r="S70" s="19">
        <v>2005.625</v>
      </c>
      <c r="T70" s="20">
        <v>-5.9424999999999999</v>
      </c>
      <c r="U70" s="20">
        <v>244.51499999999999</v>
      </c>
      <c r="V70" s="20">
        <v>93.181100000000001</v>
      </c>
      <c r="X70" s="22">
        <v>2021</v>
      </c>
      <c r="Y70" s="22">
        <v>6</v>
      </c>
      <c r="Z70" s="20">
        <v>26.952787000000001</v>
      </c>
    </row>
    <row r="71" spans="17:26">
      <c r="Q71" s="22">
        <v>2005</v>
      </c>
      <c r="R71" s="22">
        <v>9</v>
      </c>
      <c r="S71" s="19">
        <v>2005.7083</v>
      </c>
      <c r="T71" s="20">
        <v>-0.65529999999999999</v>
      </c>
      <c r="U71" s="20">
        <v>242.80199999999999</v>
      </c>
      <c r="V71" s="20">
        <v>94.201700000000002</v>
      </c>
      <c r="X71" s="22">
        <v>2021</v>
      </c>
      <c r="Y71" s="22">
        <v>9</v>
      </c>
      <c r="Z71" s="20">
        <v>26.505027999999999</v>
      </c>
    </row>
    <row r="72" spans="17:26">
      <c r="Q72" s="22">
        <v>2005</v>
      </c>
      <c r="R72" s="22">
        <v>10</v>
      </c>
      <c r="S72" s="19">
        <v>2005.7917</v>
      </c>
      <c r="T72" s="20">
        <v>1.4922</v>
      </c>
      <c r="U72" s="20">
        <v>240.62200000000001</v>
      </c>
      <c r="V72" s="20">
        <v>100.093</v>
      </c>
      <c r="X72" s="22">
        <v>2021</v>
      </c>
      <c r="Y72" s="22">
        <v>12</v>
      </c>
      <c r="Z72" s="20">
        <v>28.226593000000001</v>
      </c>
    </row>
    <row r="73" spans="17:26">
      <c r="Q73" s="22">
        <v>2005</v>
      </c>
      <c r="R73" s="22">
        <v>11</v>
      </c>
      <c r="S73" s="19">
        <v>2005.875</v>
      </c>
      <c r="T73" s="20">
        <v>3.5697999999999999</v>
      </c>
      <c r="U73" s="20">
        <v>238.35400000000001</v>
      </c>
      <c r="V73" s="20">
        <v>105.699</v>
      </c>
      <c r="X73" s="22">
        <v>2022</v>
      </c>
      <c r="Y73" s="22">
        <v>3</v>
      </c>
      <c r="Z73" s="20">
        <v>28.261278000000001</v>
      </c>
    </row>
    <row r="74" spans="17:26">
      <c r="Q74" s="22">
        <v>2005</v>
      </c>
      <c r="R74" s="22">
        <v>12</v>
      </c>
      <c r="S74" s="19">
        <v>2005.9583</v>
      </c>
      <c r="T74" s="20">
        <v>6.9954000000000001</v>
      </c>
      <c r="U74" s="20">
        <v>237.33099999999999</v>
      </c>
      <c r="V74" s="20">
        <v>106.72499999999999</v>
      </c>
      <c r="X74" s="22">
        <v>2022</v>
      </c>
      <c r="Y74" s="22">
        <v>6</v>
      </c>
      <c r="Z74" s="20">
        <v>28.196306</v>
      </c>
    </row>
    <row r="75" spans="17:26">
      <c r="Q75" s="22">
        <v>2006</v>
      </c>
      <c r="R75" s="22">
        <v>1</v>
      </c>
      <c r="S75" s="19">
        <v>2006.0417</v>
      </c>
      <c r="T75" s="20">
        <v>8.9779999999999998</v>
      </c>
      <c r="U75" s="20">
        <v>236.357</v>
      </c>
      <c r="V75" s="20">
        <v>105.973</v>
      </c>
      <c r="X75" s="22">
        <v>2022</v>
      </c>
      <c r="Y75" s="22">
        <v>9</v>
      </c>
      <c r="Z75" s="20">
        <v>27.546327999999999</v>
      </c>
    </row>
    <row r="76" spans="17:26">
      <c r="Q76" s="22">
        <v>2006</v>
      </c>
      <c r="R76" s="22">
        <v>2</v>
      </c>
      <c r="S76" s="19">
        <v>2006.125</v>
      </c>
      <c r="T76" s="20">
        <v>9.1914999999999996</v>
      </c>
      <c r="U76" s="20">
        <v>237.16300000000001</v>
      </c>
      <c r="V76" s="20">
        <v>102.10299999999999</v>
      </c>
      <c r="X76" s="22">
        <v>2022</v>
      </c>
      <c r="Y76" s="22">
        <v>12</v>
      </c>
      <c r="Z76" s="20">
        <v>28.763977000000001</v>
      </c>
    </row>
    <row r="77" spans="17:26">
      <c r="Q77" s="22">
        <v>2006</v>
      </c>
      <c r="R77" s="22">
        <v>3</v>
      </c>
      <c r="S77" s="19">
        <v>2006.2083</v>
      </c>
      <c r="T77" s="20">
        <v>6.6040000000000001</v>
      </c>
      <c r="U77" s="20">
        <v>238</v>
      </c>
      <c r="V77" s="20">
        <v>98.869399999999999</v>
      </c>
      <c r="X77" s="22">
        <v>2023</v>
      </c>
      <c r="Y77" s="22">
        <v>3</v>
      </c>
      <c r="Z77" s="20">
        <v>29.338851999999999</v>
      </c>
    </row>
    <row r="78" spans="17:26">
      <c r="Q78" s="22">
        <v>2006</v>
      </c>
      <c r="R78" s="22">
        <v>4</v>
      </c>
      <c r="S78" s="19">
        <v>2006.2917</v>
      </c>
      <c r="T78" s="20">
        <v>2.3982999999999999</v>
      </c>
      <c r="U78" s="20">
        <v>238.07599999999999</v>
      </c>
      <c r="V78" s="20">
        <v>97.202600000000004</v>
      </c>
      <c r="X78" s="22">
        <v>2023</v>
      </c>
      <c r="Y78" s="22">
        <v>6</v>
      </c>
      <c r="Z78" s="20">
        <v>28.553080000000001</v>
      </c>
    </row>
    <row r="79" spans="17:26">
      <c r="Q79" s="22">
        <v>2006</v>
      </c>
      <c r="R79" s="22">
        <v>5</v>
      </c>
      <c r="S79" s="19">
        <v>2006.375</v>
      </c>
      <c r="T79" s="20">
        <v>-4.2272999999999996</v>
      </c>
      <c r="U79" s="20">
        <v>240.18199999999999</v>
      </c>
      <c r="V79" s="20">
        <v>96.805199999999999</v>
      </c>
      <c r="X79" s="22">
        <v>2023</v>
      </c>
      <c r="Y79" s="22">
        <v>9</v>
      </c>
      <c r="Z79" s="20">
        <v>28.275513</v>
      </c>
    </row>
    <row r="80" spans="17:26">
      <c r="Q80" s="22">
        <v>2006</v>
      </c>
      <c r="R80" s="22">
        <v>6</v>
      </c>
      <c r="S80" s="19">
        <v>2006.4583</v>
      </c>
      <c r="T80" s="20">
        <v>-9.2047000000000008</v>
      </c>
      <c r="U80" s="20">
        <v>243.489</v>
      </c>
      <c r="V80" s="20">
        <v>95.444699999999997</v>
      </c>
      <c r="X80" s="22">
        <v>2023</v>
      </c>
      <c r="Y80" s="22">
        <v>12</v>
      </c>
      <c r="Z80" s="20">
        <v>30.712520999999999</v>
      </c>
    </row>
    <row r="81" spans="17:26">
      <c r="Q81" s="22">
        <v>2006</v>
      </c>
      <c r="R81" s="22">
        <v>7</v>
      </c>
      <c r="S81" s="19">
        <v>2006.5417</v>
      </c>
      <c r="T81" s="20">
        <v>-9.3287999999999993</v>
      </c>
      <c r="U81" s="20">
        <v>244.893</v>
      </c>
      <c r="V81" s="20">
        <v>93.753900000000002</v>
      </c>
      <c r="X81" s="22">
        <v>2024</v>
      </c>
      <c r="Y81" s="22">
        <v>3</v>
      </c>
      <c r="Z81" s="20">
        <v>30.811070999999998</v>
      </c>
    </row>
    <row r="82" spans="17:26">
      <c r="Q82" s="22">
        <v>2006</v>
      </c>
      <c r="R82" s="22">
        <v>8</v>
      </c>
      <c r="S82" s="19">
        <v>2006.625</v>
      </c>
      <c r="T82" s="20">
        <v>-5.8106</v>
      </c>
      <c r="U82" s="20">
        <v>244.68</v>
      </c>
      <c r="V82" s="20">
        <v>92.7851</v>
      </c>
      <c r="X82" s="22">
        <v>2024</v>
      </c>
      <c r="Y82" s="22">
        <v>6</v>
      </c>
      <c r="Z82" s="20">
        <v>30.306346999999999</v>
      </c>
    </row>
    <row r="83" spans="17:26">
      <c r="Q83" s="22">
        <v>2006</v>
      </c>
      <c r="R83" s="22">
        <v>9</v>
      </c>
      <c r="S83" s="19">
        <v>2006.7083</v>
      </c>
      <c r="T83" s="20">
        <v>-0.49459999999999998</v>
      </c>
      <c r="U83" s="20">
        <v>242.93100000000001</v>
      </c>
      <c r="V83" s="20">
        <v>93.859300000000005</v>
      </c>
      <c r="X83" s="22">
        <v>2024</v>
      </c>
      <c r="Y83" s="22">
        <v>9</v>
      </c>
      <c r="Z83" s="20">
        <v>29.889755000000001</v>
      </c>
    </row>
    <row r="84" spans="17:26">
      <c r="Q84" s="22">
        <v>2006</v>
      </c>
      <c r="R84" s="22">
        <v>10</v>
      </c>
      <c r="S84" s="19">
        <v>2006.7917</v>
      </c>
      <c r="T84" s="20">
        <v>1.2166999999999999</v>
      </c>
      <c r="U84" s="20">
        <v>240.13200000000001</v>
      </c>
      <c r="V84" s="20">
        <v>100.754</v>
      </c>
      <c r="X84" s="22">
        <v>2024</v>
      </c>
      <c r="Y84" s="22">
        <v>12</v>
      </c>
      <c r="Z84" s="20">
        <v>30.256927000000001</v>
      </c>
    </row>
    <row r="85" spans="17:26">
      <c r="Q85" s="22">
        <v>2006</v>
      </c>
      <c r="R85" s="22">
        <v>11</v>
      </c>
      <c r="S85" s="19">
        <v>2006.875</v>
      </c>
      <c r="T85" s="20">
        <v>4.3383000000000003</v>
      </c>
      <c r="U85" s="20">
        <v>238.12799999999999</v>
      </c>
      <c r="V85" s="20">
        <v>105.051</v>
      </c>
      <c r="X85" s="22">
        <v>2025</v>
      </c>
      <c r="Y85" s="22">
        <v>3</v>
      </c>
      <c r="Z85" s="20">
        <v>32.144775000000003</v>
      </c>
    </row>
    <row r="86" spans="17:26">
      <c r="Q86" s="22">
        <v>2006</v>
      </c>
      <c r="R86" s="22">
        <v>12</v>
      </c>
      <c r="S86" s="19">
        <v>2006.9583</v>
      </c>
      <c r="T86" s="20">
        <v>6.0945</v>
      </c>
      <c r="U86" s="20">
        <v>237.09200000000001</v>
      </c>
      <c r="V86" s="20">
        <v>107.80200000000001</v>
      </c>
      <c r="X86" s="22">
        <v>2025</v>
      </c>
      <c r="Y86" s="22">
        <v>6</v>
      </c>
      <c r="Z86" s="20">
        <v>32.460278000000002</v>
      </c>
    </row>
    <row r="87" spans="17:26">
      <c r="Q87" s="22">
        <v>2007</v>
      </c>
      <c r="R87" s="22">
        <v>1</v>
      </c>
      <c r="S87" s="19">
        <v>2007.0417</v>
      </c>
      <c r="T87" s="20">
        <v>6.915</v>
      </c>
      <c r="U87" s="20">
        <v>238.37100000000001</v>
      </c>
      <c r="V87" s="20">
        <v>105.991</v>
      </c>
      <c r="X87" s="22">
        <v>2025</v>
      </c>
      <c r="Y87" s="22">
        <v>9</v>
      </c>
      <c r="Z87" s="20">
        <v>32.218829999999997</v>
      </c>
    </row>
    <row r="88" spans="17:26">
      <c r="Q88" s="22">
        <v>2007</v>
      </c>
      <c r="R88" s="22">
        <v>2</v>
      </c>
      <c r="S88" s="19">
        <v>2007.125</v>
      </c>
      <c r="T88" s="20">
        <v>8.5526999999999997</v>
      </c>
      <c r="U88" s="20">
        <v>238.41300000000001</v>
      </c>
      <c r="V88" s="20">
        <v>101.495</v>
      </c>
      <c r="X88" s="22">
        <v>2025</v>
      </c>
      <c r="Y88" s="22">
        <v>12</v>
      </c>
      <c r="Z88" s="20">
        <v>33.308559000000002</v>
      </c>
    </row>
    <row r="89" spans="17:26">
      <c r="Q89" s="22">
        <v>2007</v>
      </c>
      <c r="R89" s="22">
        <v>3</v>
      </c>
      <c r="S89" s="19">
        <v>2007.2083</v>
      </c>
      <c r="T89" s="20">
        <v>5.8775000000000004</v>
      </c>
      <c r="U89" s="20">
        <v>238.839</v>
      </c>
      <c r="V89" s="20">
        <v>98.808700000000002</v>
      </c>
      <c r="X89" s="22">
        <v>2026</v>
      </c>
      <c r="Y89" s="22">
        <v>3</v>
      </c>
      <c r="Z89" s="20">
        <v>33.965076000000003</v>
      </c>
    </row>
    <row r="90" spans="17:26">
      <c r="Q90" s="22">
        <v>2007</v>
      </c>
      <c r="R90" s="22">
        <v>4</v>
      </c>
      <c r="S90" s="19">
        <v>2007.2917</v>
      </c>
      <c r="T90" s="20">
        <v>1.9052</v>
      </c>
      <c r="U90" s="20">
        <v>239.267</v>
      </c>
      <c r="V90" s="20">
        <v>96.534499999999994</v>
      </c>
    </row>
    <row r="91" spans="17:26">
      <c r="Q91" s="22">
        <v>2007</v>
      </c>
      <c r="R91" s="22">
        <v>5</v>
      </c>
      <c r="S91" s="19">
        <v>2007.375</v>
      </c>
      <c r="T91" s="20">
        <v>-5.6238000000000001</v>
      </c>
      <c r="U91" s="20">
        <v>241.05500000000001</v>
      </c>
      <c r="V91" s="20">
        <v>97.284599999999998</v>
      </c>
    </row>
    <row r="92" spans="17:26">
      <c r="Q92" s="22">
        <v>2007</v>
      </c>
      <c r="R92" s="22">
        <v>6</v>
      </c>
      <c r="S92" s="19">
        <v>2007.4583</v>
      </c>
      <c r="T92" s="20">
        <v>-8.6986000000000008</v>
      </c>
      <c r="U92" s="20">
        <v>242.352</v>
      </c>
      <c r="V92" s="20">
        <v>96.053600000000003</v>
      </c>
    </row>
    <row r="93" spans="17:26">
      <c r="Q93" s="22">
        <v>2007</v>
      </c>
      <c r="R93" s="22">
        <v>7</v>
      </c>
      <c r="S93" s="19">
        <v>2007.5417</v>
      </c>
      <c r="T93" s="20">
        <v>-8.8583999999999996</v>
      </c>
      <c r="U93" s="20">
        <v>244.43600000000001</v>
      </c>
      <c r="V93" s="20">
        <v>93.6935</v>
      </c>
    </row>
    <row r="94" spans="17:26">
      <c r="Q94" s="22">
        <v>2007</v>
      </c>
      <c r="R94" s="22">
        <v>8</v>
      </c>
      <c r="S94" s="19">
        <v>2007.625</v>
      </c>
      <c r="T94" s="20">
        <v>-5.7081</v>
      </c>
      <c r="U94" s="20">
        <v>244.374</v>
      </c>
      <c r="V94" s="20">
        <v>92.965199999999996</v>
      </c>
    </row>
    <row r="95" spans="17:26">
      <c r="Q95" s="22">
        <v>2007</v>
      </c>
      <c r="R95" s="22">
        <v>9</v>
      </c>
      <c r="S95" s="19">
        <v>2007.7083</v>
      </c>
      <c r="T95" s="20">
        <v>-1.7603</v>
      </c>
      <c r="U95" s="20">
        <v>243.291</v>
      </c>
      <c r="V95" s="20">
        <v>94.668899999999994</v>
      </c>
    </row>
    <row r="96" spans="17:26">
      <c r="Q96" s="22">
        <v>2007</v>
      </c>
      <c r="R96" s="22">
        <v>10</v>
      </c>
      <c r="S96" s="19">
        <v>2007.7917</v>
      </c>
      <c r="T96" s="20">
        <v>1.6373</v>
      </c>
      <c r="U96" s="20">
        <v>240.762</v>
      </c>
      <c r="V96" s="20">
        <v>99.621899999999997</v>
      </c>
    </row>
    <row r="97" spans="17:22">
      <c r="Q97" s="22">
        <v>2007</v>
      </c>
      <c r="R97" s="22">
        <v>11</v>
      </c>
      <c r="S97" s="19">
        <v>2007.875</v>
      </c>
      <c r="T97" s="20">
        <v>3.0552999999999999</v>
      </c>
      <c r="U97" s="20">
        <v>238.33500000000001</v>
      </c>
      <c r="V97" s="20">
        <v>106.117</v>
      </c>
    </row>
    <row r="98" spans="17:22">
      <c r="Q98" s="22">
        <v>2007</v>
      </c>
      <c r="R98" s="22">
        <v>12</v>
      </c>
      <c r="S98" s="19">
        <v>2007.9583</v>
      </c>
      <c r="T98" s="20">
        <v>5.0574000000000003</v>
      </c>
      <c r="U98" s="20">
        <v>237.03800000000001</v>
      </c>
      <c r="V98" s="20">
        <v>108.902</v>
      </c>
    </row>
    <row r="99" spans="17:22">
      <c r="Q99" s="22">
        <v>2008</v>
      </c>
      <c r="R99" s="22">
        <v>1</v>
      </c>
      <c r="S99" s="19">
        <v>2008.0417</v>
      </c>
      <c r="T99" s="20">
        <v>8.5647000000000002</v>
      </c>
      <c r="U99" s="20">
        <v>236.19900000000001</v>
      </c>
      <c r="V99" s="20">
        <v>106.553</v>
      </c>
    </row>
    <row r="100" spans="17:22">
      <c r="Q100" s="22">
        <v>2008</v>
      </c>
      <c r="R100" s="22">
        <v>2</v>
      </c>
      <c r="S100" s="19">
        <v>2008.125</v>
      </c>
      <c r="T100" s="20">
        <v>8.4071999999999996</v>
      </c>
      <c r="U100" s="20">
        <v>237.696</v>
      </c>
      <c r="V100" s="20">
        <v>102.325</v>
      </c>
    </row>
    <row r="101" spans="17:22">
      <c r="Q101" s="22">
        <v>2008</v>
      </c>
      <c r="R101" s="22">
        <v>3</v>
      </c>
      <c r="S101" s="19">
        <v>2008.2083</v>
      </c>
      <c r="T101" s="20">
        <v>7.5593000000000004</v>
      </c>
      <c r="U101" s="20">
        <v>238.05699999999999</v>
      </c>
      <c r="V101" s="20">
        <v>97.727699999999999</v>
      </c>
    </row>
    <row r="102" spans="17:22">
      <c r="Q102" s="22">
        <v>2008</v>
      </c>
      <c r="R102" s="22">
        <v>4</v>
      </c>
      <c r="S102" s="19">
        <v>2008.2917</v>
      </c>
      <c r="T102" s="20">
        <v>1.7878000000000001</v>
      </c>
      <c r="U102" s="20">
        <v>238.637</v>
      </c>
      <c r="V102" s="20">
        <v>97.122799999999998</v>
      </c>
    </row>
    <row r="103" spans="17:22">
      <c r="Q103" s="22">
        <v>2008</v>
      </c>
      <c r="R103" s="22">
        <v>5</v>
      </c>
      <c r="S103" s="19">
        <v>2008.375</v>
      </c>
      <c r="T103" s="20">
        <v>-4.1590999999999996</v>
      </c>
      <c r="U103" s="20">
        <v>240.37100000000001</v>
      </c>
      <c r="V103" s="20">
        <v>96.387600000000006</v>
      </c>
    </row>
    <row r="104" spans="17:22">
      <c r="Q104" s="22">
        <v>2008</v>
      </c>
      <c r="R104" s="22">
        <v>6</v>
      </c>
      <c r="S104" s="19">
        <v>2008.4583</v>
      </c>
      <c r="T104" s="20">
        <v>-8.6266999999999996</v>
      </c>
      <c r="U104" s="20">
        <v>242.53800000000001</v>
      </c>
      <c r="V104" s="20">
        <v>95.710099999999997</v>
      </c>
    </row>
    <row r="105" spans="17:22">
      <c r="Q105" s="22">
        <v>2008</v>
      </c>
      <c r="R105" s="22">
        <v>7</v>
      </c>
      <c r="S105" s="19">
        <v>2008.5417</v>
      </c>
      <c r="T105" s="20">
        <v>-8.0898000000000003</v>
      </c>
      <c r="U105" s="20">
        <v>244.29400000000001</v>
      </c>
      <c r="V105" s="20">
        <v>93.077600000000004</v>
      </c>
    </row>
    <row r="106" spans="17:22">
      <c r="Q106" s="22">
        <v>2008</v>
      </c>
      <c r="R106" s="22">
        <v>8</v>
      </c>
      <c r="S106" s="19">
        <v>2008.625</v>
      </c>
      <c r="T106" s="20">
        <v>-3.8708</v>
      </c>
      <c r="U106" s="20">
        <v>243.55099999999999</v>
      </c>
      <c r="V106" s="20">
        <v>92.020099999999999</v>
      </c>
    </row>
    <row r="107" spans="17:22">
      <c r="Q107" s="22">
        <v>2008</v>
      </c>
      <c r="R107" s="22">
        <v>9</v>
      </c>
      <c r="S107" s="19">
        <v>2008.7083</v>
      </c>
      <c r="T107" s="20">
        <v>-0.70730000000000004</v>
      </c>
      <c r="U107" s="20">
        <v>241.99299999999999</v>
      </c>
      <c r="V107" s="20">
        <v>95.0398</v>
      </c>
    </row>
    <row r="108" spans="17:22">
      <c r="Q108" s="22">
        <v>2008</v>
      </c>
      <c r="R108" s="22">
        <v>10</v>
      </c>
      <c r="S108" s="19">
        <v>2008.7917</v>
      </c>
      <c r="T108" s="20">
        <v>2.6577000000000002</v>
      </c>
      <c r="U108" s="20">
        <v>239.874</v>
      </c>
      <c r="V108" s="20">
        <v>99.623199999999997</v>
      </c>
    </row>
    <row r="109" spans="17:22">
      <c r="Q109" s="22">
        <v>2008</v>
      </c>
      <c r="R109" s="22">
        <v>11</v>
      </c>
      <c r="S109" s="19">
        <v>2008.875</v>
      </c>
      <c r="T109" s="20">
        <v>3.5167999999999999</v>
      </c>
      <c r="U109" s="20">
        <v>237.893</v>
      </c>
      <c r="V109" s="20">
        <v>106.205</v>
      </c>
    </row>
    <row r="110" spans="17:22">
      <c r="Q110" s="22">
        <v>2008</v>
      </c>
      <c r="R110" s="22">
        <v>12</v>
      </c>
      <c r="S110" s="19">
        <v>2008.9583</v>
      </c>
      <c r="T110" s="20">
        <v>7.3395000000000001</v>
      </c>
      <c r="U110" s="20">
        <v>236.613</v>
      </c>
      <c r="V110" s="20">
        <v>107.077</v>
      </c>
    </row>
    <row r="111" spans="17:22">
      <c r="Q111" s="22">
        <v>2009</v>
      </c>
      <c r="R111" s="22">
        <v>1</v>
      </c>
      <c r="S111" s="19">
        <v>2009.0417</v>
      </c>
      <c r="T111" s="20">
        <v>8.6768000000000001</v>
      </c>
      <c r="U111" s="20">
        <v>236.852</v>
      </c>
      <c r="V111" s="20">
        <v>105.724</v>
      </c>
    </row>
    <row r="112" spans="17:22">
      <c r="Q112" s="22">
        <v>2009</v>
      </c>
      <c r="R112" s="22">
        <v>2</v>
      </c>
      <c r="S112" s="19">
        <v>2009.125</v>
      </c>
      <c r="T112" s="20">
        <v>9.2913999999999994</v>
      </c>
      <c r="U112" s="20">
        <v>237.374</v>
      </c>
      <c r="V112" s="20">
        <v>101.721</v>
      </c>
    </row>
    <row r="113" spans="17:22">
      <c r="Q113" s="22">
        <v>2009</v>
      </c>
      <c r="R113" s="22">
        <v>3</v>
      </c>
      <c r="S113" s="19">
        <v>2009.2083</v>
      </c>
      <c r="T113" s="20">
        <v>7.4276</v>
      </c>
      <c r="U113" s="20">
        <v>237.18</v>
      </c>
      <c r="V113" s="20">
        <v>98.787999999999997</v>
      </c>
    </row>
    <row r="114" spans="17:22">
      <c r="Q114" s="22">
        <v>2009</v>
      </c>
      <c r="R114" s="22">
        <v>4</v>
      </c>
      <c r="S114" s="19">
        <v>2009.2917</v>
      </c>
      <c r="T114" s="20">
        <v>1.8908</v>
      </c>
      <c r="U114" s="20">
        <v>238.971</v>
      </c>
      <c r="V114" s="20">
        <v>96.726100000000002</v>
      </c>
    </row>
    <row r="115" spans="17:22">
      <c r="Q115" s="22">
        <v>2009</v>
      </c>
      <c r="R115" s="22">
        <v>5</v>
      </c>
      <c r="S115" s="19">
        <v>2009.375</v>
      </c>
      <c r="T115" s="20">
        <v>-4.4002999999999997</v>
      </c>
      <c r="U115" s="20">
        <v>240.613</v>
      </c>
      <c r="V115" s="20">
        <v>96.436099999999996</v>
      </c>
    </row>
    <row r="116" spans="17:22">
      <c r="Q116" s="22">
        <v>2009</v>
      </c>
      <c r="R116" s="22">
        <v>6</v>
      </c>
      <c r="S116" s="19">
        <v>2009.4583</v>
      </c>
      <c r="T116" s="20">
        <v>-7.5323000000000002</v>
      </c>
      <c r="U116" s="20">
        <v>241.98</v>
      </c>
      <c r="V116" s="20">
        <v>95.215800000000002</v>
      </c>
    </row>
    <row r="117" spans="17:22">
      <c r="Q117" s="22">
        <v>2009</v>
      </c>
      <c r="R117" s="22">
        <v>7</v>
      </c>
      <c r="S117" s="19">
        <v>2009.5417</v>
      </c>
      <c r="T117" s="20">
        <v>-8.8260000000000005</v>
      </c>
      <c r="U117" s="20">
        <v>244.26</v>
      </c>
      <c r="V117" s="20">
        <v>93.865099999999998</v>
      </c>
    </row>
    <row r="118" spans="17:22">
      <c r="Q118" s="22">
        <v>2009</v>
      </c>
      <c r="R118" s="22">
        <v>8</v>
      </c>
      <c r="S118" s="19">
        <v>2009.625</v>
      </c>
      <c r="T118" s="20">
        <v>-5.0384000000000002</v>
      </c>
      <c r="U118" s="20">
        <v>244.595</v>
      </c>
      <c r="V118" s="20">
        <v>92.135199999999998</v>
      </c>
    </row>
    <row r="119" spans="17:22">
      <c r="Q119" s="22">
        <v>2009</v>
      </c>
      <c r="R119" s="22">
        <v>9</v>
      </c>
      <c r="S119" s="19">
        <v>2009.7083</v>
      </c>
      <c r="T119" s="20">
        <v>-1.3917999999999999</v>
      </c>
      <c r="U119" s="20">
        <v>242.74299999999999</v>
      </c>
      <c r="V119" s="20">
        <v>94.948400000000007</v>
      </c>
    </row>
    <row r="120" spans="17:22">
      <c r="Q120" s="22">
        <v>2009</v>
      </c>
      <c r="R120" s="22">
        <v>10</v>
      </c>
      <c r="S120" s="19">
        <v>2009.7917</v>
      </c>
      <c r="T120" s="20">
        <v>1.542</v>
      </c>
      <c r="U120" s="20">
        <v>240.52500000000001</v>
      </c>
      <c r="V120" s="20">
        <v>100.039</v>
      </c>
    </row>
    <row r="121" spans="17:22">
      <c r="Q121" s="22">
        <v>2009</v>
      </c>
      <c r="R121" s="22">
        <v>11</v>
      </c>
      <c r="S121" s="19">
        <v>2009.875</v>
      </c>
      <c r="T121" s="20">
        <v>2.9302999999999999</v>
      </c>
      <c r="U121" s="20">
        <v>238.25899999999999</v>
      </c>
      <c r="V121" s="20">
        <v>106.38</v>
      </c>
    </row>
    <row r="122" spans="17:22">
      <c r="Q122" s="22">
        <v>2009</v>
      </c>
      <c r="R122" s="22">
        <v>12</v>
      </c>
      <c r="S122" s="19">
        <v>2009.9583</v>
      </c>
      <c r="T122" s="20">
        <v>6.2618999999999998</v>
      </c>
      <c r="U122" s="20">
        <v>236.80799999999999</v>
      </c>
      <c r="V122" s="20">
        <v>107.92400000000001</v>
      </c>
    </row>
    <row r="123" spans="17:22">
      <c r="Q123" s="22">
        <v>2010</v>
      </c>
      <c r="R123" s="22">
        <v>1</v>
      </c>
      <c r="S123" s="19">
        <v>2010.0417</v>
      </c>
      <c r="T123" s="20">
        <v>6.6626000000000003</v>
      </c>
      <c r="U123" s="20">
        <v>238.251</v>
      </c>
      <c r="V123" s="20">
        <v>106.357</v>
      </c>
    </row>
    <row r="124" spans="17:22">
      <c r="Q124" s="22">
        <v>2010</v>
      </c>
      <c r="R124" s="22">
        <v>2</v>
      </c>
      <c r="S124" s="19">
        <v>2010.125</v>
      </c>
      <c r="T124" s="20">
        <v>8.0752000000000006</v>
      </c>
      <c r="U124" s="20">
        <v>237.952</v>
      </c>
      <c r="V124" s="20">
        <v>102.455</v>
      </c>
    </row>
    <row r="125" spans="17:22">
      <c r="Q125" s="22">
        <v>2010</v>
      </c>
      <c r="R125" s="22">
        <v>3</v>
      </c>
      <c r="S125" s="19">
        <v>2010.2083</v>
      </c>
      <c r="T125" s="20">
        <v>5.6276999999999999</v>
      </c>
      <c r="U125" s="20">
        <v>238.99299999999999</v>
      </c>
      <c r="V125" s="20">
        <v>98.890199999999993</v>
      </c>
    </row>
    <row r="126" spans="17:22">
      <c r="Q126" s="22">
        <v>2010</v>
      </c>
      <c r="R126" s="22">
        <v>4</v>
      </c>
      <c r="S126" s="19">
        <v>2010.2917</v>
      </c>
      <c r="T126" s="20">
        <v>2.0775999999999999</v>
      </c>
      <c r="U126" s="20">
        <v>238.64599999999999</v>
      </c>
      <c r="V126" s="20">
        <v>97.001400000000004</v>
      </c>
    </row>
    <row r="127" spans="17:22">
      <c r="Q127" s="22">
        <v>2010</v>
      </c>
      <c r="R127" s="22">
        <v>5</v>
      </c>
      <c r="S127" s="19">
        <v>2010.375</v>
      </c>
      <c r="T127" s="20">
        <v>-5.9450000000000003</v>
      </c>
      <c r="U127" s="20">
        <v>241.16900000000001</v>
      </c>
      <c r="V127" s="20">
        <v>97.525499999999994</v>
      </c>
    </row>
    <row r="128" spans="17:22">
      <c r="Q128" s="22">
        <v>2010</v>
      </c>
      <c r="R128" s="22">
        <v>6</v>
      </c>
      <c r="S128" s="19">
        <v>2010.4583</v>
      </c>
      <c r="T128" s="20">
        <v>-9.7271999999999998</v>
      </c>
      <c r="U128" s="20">
        <v>242.94300000000001</v>
      </c>
      <c r="V128" s="20">
        <v>96.515799999999999</v>
      </c>
    </row>
    <row r="129" spans="17:22">
      <c r="Q129" s="22">
        <v>2010</v>
      </c>
      <c r="R129" s="22">
        <v>7</v>
      </c>
      <c r="S129" s="19">
        <v>2010.5417</v>
      </c>
      <c r="T129" s="20">
        <v>-9.3461999999999996</v>
      </c>
      <c r="U129" s="20">
        <v>244.07400000000001</v>
      </c>
      <c r="V129" s="20">
        <v>94.630399999999995</v>
      </c>
    </row>
    <row r="130" spans="17:22">
      <c r="Q130" s="22">
        <v>2010</v>
      </c>
      <c r="R130" s="22">
        <v>8</v>
      </c>
      <c r="S130" s="19">
        <v>2010.625</v>
      </c>
      <c r="T130" s="20">
        <v>-6.0491000000000001</v>
      </c>
      <c r="U130" s="20">
        <v>244.62100000000001</v>
      </c>
      <c r="V130" s="20">
        <v>93.1477</v>
      </c>
    </row>
    <row r="131" spans="17:22">
      <c r="Q131" s="22">
        <v>2010</v>
      </c>
      <c r="R131" s="22">
        <v>9</v>
      </c>
      <c r="S131" s="19">
        <v>2010.7083</v>
      </c>
      <c r="T131" s="20">
        <v>-0.94730000000000003</v>
      </c>
      <c r="U131" s="20">
        <v>242.726</v>
      </c>
      <c r="V131" s="20">
        <v>94.532899999999998</v>
      </c>
    </row>
    <row r="132" spans="17:22">
      <c r="Q132" s="22">
        <v>2010</v>
      </c>
      <c r="R132" s="22">
        <v>10</v>
      </c>
      <c r="S132" s="19">
        <v>2010.7917</v>
      </c>
      <c r="T132" s="20">
        <v>1.5139</v>
      </c>
      <c r="U132" s="20">
        <v>240.22800000000001</v>
      </c>
      <c r="V132" s="20">
        <v>100.351</v>
      </c>
    </row>
    <row r="133" spans="17:22">
      <c r="Q133" s="22">
        <v>2010</v>
      </c>
      <c r="R133" s="22">
        <v>11</v>
      </c>
      <c r="S133" s="19">
        <v>2010.875</v>
      </c>
      <c r="T133" s="20">
        <v>2.6524000000000001</v>
      </c>
      <c r="U133" s="20">
        <v>238.70400000000001</v>
      </c>
      <c r="V133" s="20">
        <v>106.22199999999999</v>
      </c>
    </row>
    <row r="134" spans="17:22">
      <c r="Q134" s="22">
        <v>2010</v>
      </c>
      <c r="R134" s="22">
        <v>12</v>
      </c>
      <c r="S134" s="19">
        <v>2010.9583</v>
      </c>
      <c r="T134" s="20">
        <v>5.6600999999999999</v>
      </c>
      <c r="U134" s="20">
        <v>237.20500000000001</v>
      </c>
      <c r="V134" s="20">
        <v>108.158</v>
      </c>
    </row>
    <row r="135" spans="17:22">
      <c r="Q135" s="22">
        <v>2011</v>
      </c>
      <c r="R135" s="22">
        <v>1</v>
      </c>
      <c r="S135" s="19">
        <v>2011.0417</v>
      </c>
      <c r="T135" s="20">
        <v>8.5759000000000007</v>
      </c>
      <c r="U135" s="20">
        <v>236.64599999999999</v>
      </c>
      <c r="V135" s="20">
        <v>106.09699999999999</v>
      </c>
    </row>
    <row r="136" spans="17:22">
      <c r="Q136" s="22">
        <v>2011</v>
      </c>
      <c r="R136" s="22">
        <v>2</v>
      </c>
      <c r="S136" s="19">
        <v>2011.125</v>
      </c>
      <c r="T136" s="20">
        <v>8.4929000000000006</v>
      </c>
      <c r="U136" s="20">
        <v>237.93</v>
      </c>
      <c r="V136" s="20">
        <v>102.096</v>
      </c>
    </row>
    <row r="137" spans="17:22">
      <c r="Q137" s="22">
        <v>2011</v>
      </c>
      <c r="R137" s="22">
        <v>3</v>
      </c>
      <c r="S137" s="19">
        <v>2011.2083</v>
      </c>
      <c r="T137" s="20">
        <v>6.8597999999999999</v>
      </c>
      <c r="U137" s="20">
        <v>238.49199999999999</v>
      </c>
      <c r="V137" s="20">
        <v>98.219399999999993</v>
      </c>
    </row>
    <row r="138" spans="17:22">
      <c r="Q138" s="22">
        <v>2011</v>
      </c>
      <c r="R138" s="22">
        <v>4</v>
      </c>
      <c r="S138" s="19">
        <v>2011.2917</v>
      </c>
      <c r="T138" s="20">
        <v>2.3965000000000001</v>
      </c>
      <c r="U138" s="20">
        <v>238.42500000000001</v>
      </c>
      <c r="V138" s="20">
        <v>97.025000000000006</v>
      </c>
    </row>
    <row r="139" spans="17:22">
      <c r="Q139" s="22">
        <v>2011</v>
      </c>
      <c r="R139" s="22">
        <v>5</v>
      </c>
      <c r="S139" s="19">
        <v>2011.375</v>
      </c>
      <c r="T139" s="20">
        <v>-4.2689000000000004</v>
      </c>
      <c r="U139" s="20">
        <v>239.60400000000001</v>
      </c>
      <c r="V139" s="20">
        <v>97.521699999999996</v>
      </c>
    </row>
    <row r="140" spans="17:22">
      <c r="Q140" s="22">
        <v>2011</v>
      </c>
      <c r="R140" s="22">
        <v>6</v>
      </c>
      <c r="S140" s="19">
        <v>2011.4583</v>
      </c>
      <c r="T140" s="20">
        <v>-9.4922000000000004</v>
      </c>
      <c r="U140" s="20">
        <v>242.38800000000001</v>
      </c>
      <c r="V140" s="20">
        <v>96.920199999999994</v>
      </c>
    </row>
    <row r="141" spans="17:22">
      <c r="Q141" s="22">
        <v>2011</v>
      </c>
      <c r="R141" s="22">
        <v>7</v>
      </c>
      <c r="S141" s="19">
        <v>2011.5417</v>
      </c>
      <c r="T141" s="20">
        <v>-8.9844000000000008</v>
      </c>
      <c r="U141" s="20">
        <v>244.59</v>
      </c>
      <c r="V141" s="20">
        <v>93.748999999999995</v>
      </c>
    </row>
    <row r="142" spans="17:22">
      <c r="Q142" s="22">
        <v>2011</v>
      </c>
      <c r="R142" s="22">
        <v>8</v>
      </c>
      <c r="S142" s="19">
        <v>2011.625</v>
      </c>
      <c r="T142" s="20">
        <v>-5.3825000000000003</v>
      </c>
      <c r="U142" s="20">
        <v>244.84800000000001</v>
      </c>
      <c r="V142" s="20">
        <v>92.221100000000007</v>
      </c>
    </row>
    <row r="143" spans="17:22">
      <c r="Q143" s="22">
        <v>2011</v>
      </c>
      <c r="R143" s="22">
        <v>9</v>
      </c>
      <c r="S143" s="19">
        <v>2011.7083</v>
      </c>
      <c r="T143" s="20">
        <v>-1.3625</v>
      </c>
      <c r="U143" s="20">
        <v>243.79</v>
      </c>
      <c r="V143" s="20">
        <v>93.841499999999996</v>
      </c>
    </row>
    <row r="144" spans="17:22">
      <c r="Q144" s="22">
        <v>2011</v>
      </c>
      <c r="R144" s="22">
        <v>10</v>
      </c>
      <c r="S144" s="19">
        <v>2011.7917</v>
      </c>
      <c r="T144" s="20">
        <v>3.0945</v>
      </c>
      <c r="U144" s="20">
        <v>239.863</v>
      </c>
      <c r="V144" s="20">
        <v>99.166799999999995</v>
      </c>
    </row>
    <row r="145" spans="17:22">
      <c r="Q145" s="22">
        <v>2011</v>
      </c>
      <c r="R145" s="22">
        <v>11</v>
      </c>
      <c r="S145" s="19">
        <v>2011.875</v>
      </c>
      <c r="T145" s="20">
        <v>3.9803999999999999</v>
      </c>
      <c r="U145" s="20">
        <v>237.64400000000001</v>
      </c>
      <c r="V145" s="20">
        <v>106.036</v>
      </c>
    </row>
    <row r="146" spans="17:22">
      <c r="Q146" s="22">
        <v>2011</v>
      </c>
      <c r="R146" s="22">
        <v>12</v>
      </c>
      <c r="S146" s="19">
        <v>2011.9583</v>
      </c>
      <c r="T146" s="20">
        <v>4.7986000000000004</v>
      </c>
      <c r="U146" s="20">
        <v>237.04599999999999</v>
      </c>
      <c r="V146" s="20">
        <v>109.322</v>
      </c>
    </row>
    <row r="147" spans="17:22">
      <c r="Q147" s="22">
        <v>2012</v>
      </c>
      <c r="R147" s="22">
        <v>1</v>
      </c>
      <c r="S147" s="19">
        <v>2012.0417</v>
      </c>
      <c r="T147" s="20">
        <v>8.7405000000000008</v>
      </c>
      <c r="U147" s="20">
        <v>237.15600000000001</v>
      </c>
      <c r="V147" s="20">
        <v>105.55200000000001</v>
      </c>
    </row>
    <row r="148" spans="17:22">
      <c r="Q148" s="22">
        <v>2012</v>
      </c>
      <c r="R148" s="22">
        <v>2</v>
      </c>
      <c r="S148" s="19">
        <v>2012.125</v>
      </c>
      <c r="T148" s="20">
        <v>10.6678</v>
      </c>
      <c r="U148" s="20">
        <v>236.684</v>
      </c>
      <c r="V148" s="20">
        <v>101.235</v>
      </c>
    </row>
    <row r="149" spans="17:22">
      <c r="Q149" s="22">
        <v>2012</v>
      </c>
      <c r="R149" s="22">
        <v>3</v>
      </c>
      <c r="S149" s="19">
        <v>2012.2083</v>
      </c>
      <c r="T149" s="20">
        <v>6.6978999999999997</v>
      </c>
      <c r="U149" s="20">
        <v>237.637</v>
      </c>
      <c r="V149" s="20">
        <v>99.147499999999994</v>
      </c>
    </row>
    <row r="150" spans="17:22">
      <c r="Q150" s="22">
        <v>2012</v>
      </c>
      <c r="R150" s="22">
        <v>4</v>
      </c>
      <c r="S150" s="19">
        <v>2012.2917</v>
      </c>
      <c r="T150" s="20">
        <v>2.5745</v>
      </c>
      <c r="U150" s="20">
        <v>238.08199999999999</v>
      </c>
      <c r="V150" s="20">
        <v>97.042699999999996</v>
      </c>
    </row>
    <row r="151" spans="17:22">
      <c r="Q151" s="22">
        <v>2012</v>
      </c>
      <c r="R151" s="22">
        <v>5</v>
      </c>
      <c r="S151" s="19">
        <v>2012.375</v>
      </c>
      <c r="T151" s="20">
        <v>-4.2020999999999997</v>
      </c>
      <c r="U151" s="20">
        <v>240.62299999999999</v>
      </c>
      <c r="V151" s="20">
        <v>96.294799999999995</v>
      </c>
    </row>
    <row r="152" spans="17:22">
      <c r="Q152" s="22">
        <v>2012</v>
      </c>
      <c r="R152" s="22">
        <v>6</v>
      </c>
      <c r="S152" s="19">
        <v>2012.4583</v>
      </c>
      <c r="T152" s="20">
        <v>-8.7431999999999999</v>
      </c>
      <c r="U152" s="20">
        <v>243.34200000000001</v>
      </c>
      <c r="V152" s="20">
        <v>95.163200000000003</v>
      </c>
    </row>
    <row r="153" spans="17:22">
      <c r="Q153" s="22">
        <v>2012</v>
      </c>
      <c r="R153" s="22">
        <v>7</v>
      </c>
      <c r="S153" s="19">
        <v>2012.5417</v>
      </c>
      <c r="T153" s="20">
        <v>-8.1951000000000001</v>
      </c>
      <c r="U153" s="20">
        <v>243.68100000000001</v>
      </c>
      <c r="V153" s="20">
        <v>93.872699999999995</v>
      </c>
    </row>
    <row r="154" spans="17:22">
      <c r="Q154" s="22">
        <v>2012</v>
      </c>
      <c r="R154" s="22">
        <v>8</v>
      </c>
      <c r="S154" s="19">
        <v>2012.625</v>
      </c>
      <c r="T154" s="20">
        <v>-4.5305</v>
      </c>
      <c r="U154" s="20">
        <v>243.95599999999999</v>
      </c>
      <c r="V154" s="20">
        <v>92.450400000000002</v>
      </c>
    </row>
    <row r="155" spans="17:22">
      <c r="Q155" s="22">
        <v>2012</v>
      </c>
      <c r="R155" s="22">
        <v>9</v>
      </c>
      <c r="S155" s="19">
        <v>2012.7083</v>
      </c>
      <c r="T155" s="20">
        <v>-0.65710000000000002</v>
      </c>
      <c r="U155" s="20">
        <v>242.977</v>
      </c>
      <c r="V155" s="20">
        <v>94.210899999999995</v>
      </c>
    </row>
    <row r="156" spans="17:22">
      <c r="Q156" s="22">
        <v>2012</v>
      </c>
      <c r="R156" s="22">
        <v>10</v>
      </c>
      <c r="S156" s="19">
        <v>2012.7917</v>
      </c>
      <c r="T156" s="20">
        <v>2.6213000000000002</v>
      </c>
      <c r="U156" s="20">
        <v>240.761</v>
      </c>
      <c r="V156" s="20">
        <v>98.930400000000006</v>
      </c>
    </row>
    <row r="157" spans="17:22">
      <c r="Q157" s="22">
        <v>2012</v>
      </c>
      <c r="R157" s="22">
        <v>11</v>
      </c>
      <c r="S157" s="19">
        <v>2012.875</v>
      </c>
      <c r="T157" s="20">
        <v>4.5651999999999999</v>
      </c>
      <c r="U157" s="20">
        <v>237.59200000000001</v>
      </c>
      <c r="V157" s="20">
        <v>105.623</v>
      </c>
    </row>
    <row r="158" spans="17:22">
      <c r="Q158" s="22">
        <v>2012</v>
      </c>
      <c r="R158" s="22">
        <v>12</v>
      </c>
      <c r="S158" s="19">
        <v>2012.9583</v>
      </c>
      <c r="T158" s="20">
        <v>7.0583999999999998</v>
      </c>
      <c r="U158" s="20">
        <v>236.45400000000001</v>
      </c>
      <c r="V158" s="20">
        <v>107.667</v>
      </c>
    </row>
    <row r="159" spans="17:22">
      <c r="Q159" s="22">
        <v>2013</v>
      </c>
      <c r="R159" s="22">
        <v>1</v>
      </c>
      <c r="S159" s="19">
        <v>2013.0417</v>
      </c>
      <c r="T159" s="20">
        <v>6.7763</v>
      </c>
      <c r="U159" s="20">
        <v>238.059</v>
      </c>
      <c r="V159" s="20">
        <v>106.527</v>
      </c>
    </row>
    <row r="160" spans="17:22">
      <c r="Q160" s="22">
        <v>2013</v>
      </c>
      <c r="R160" s="22">
        <v>2</v>
      </c>
      <c r="S160" s="19">
        <v>2013.125</v>
      </c>
      <c r="T160" s="20">
        <v>8.4792000000000005</v>
      </c>
      <c r="U160" s="20">
        <v>237.995</v>
      </c>
      <c r="V160" s="20">
        <v>102.03400000000001</v>
      </c>
    </row>
    <row r="161" spans="17:22">
      <c r="Q161" s="22">
        <v>2013</v>
      </c>
      <c r="R161" s="22">
        <v>3</v>
      </c>
      <c r="S161" s="19">
        <v>2013.2083</v>
      </c>
      <c r="T161" s="20">
        <v>7.3380000000000001</v>
      </c>
      <c r="U161" s="20">
        <v>237.67400000000001</v>
      </c>
      <c r="V161" s="20">
        <v>98.5184</v>
      </c>
    </row>
    <row r="162" spans="17:22">
      <c r="Q162" s="22">
        <v>2013</v>
      </c>
      <c r="R162" s="22">
        <v>4</v>
      </c>
      <c r="S162" s="19">
        <v>2013.2917</v>
      </c>
      <c r="T162" s="20">
        <v>1.3017000000000001</v>
      </c>
      <c r="U162" s="20">
        <v>238.96600000000001</v>
      </c>
      <c r="V162" s="20">
        <v>97.421700000000001</v>
      </c>
    </row>
    <row r="163" spans="17:22">
      <c r="Q163" s="22">
        <v>2013</v>
      </c>
      <c r="R163" s="22">
        <v>5</v>
      </c>
      <c r="S163" s="19">
        <v>2013.375</v>
      </c>
      <c r="T163" s="20">
        <v>-4.8037999999999998</v>
      </c>
      <c r="U163" s="20">
        <v>240.41399999999999</v>
      </c>
      <c r="V163" s="20">
        <v>97.184100000000001</v>
      </c>
    </row>
    <row r="164" spans="17:22">
      <c r="Q164" s="22">
        <v>2013</v>
      </c>
      <c r="R164" s="22">
        <v>6</v>
      </c>
      <c r="S164" s="19">
        <v>2013.4583</v>
      </c>
      <c r="T164" s="20">
        <v>-9.6013000000000002</v>
      </c>
      <c r="U164" s="20">
        <v>242.81800000000001</v>
      </c>
      <c r="V164" s="20">
        <v>96.605900000000005</v>
      </c>
    </row>
    <row r="165" spans="17:22">
      <c r="Q165" s="22">
        <v>2013</v>
      </c>
      <c r="R165" s="22">
        <v>7</v>
      </c>
      <c r="S165" s="19">
        <v>2013.5417</v>
      </c>
      <c r="T165" s="20">
        <v>-8.3594000000000008</v>
      </c>
      <c r="U165" s="20">
        <v>243.559</v>
      </c>
      <c r="V165" s="20">
        <v>94.2864</v>
      </c>
    </row>
    <row r="166" spans="17:22">
      <c r="Q166" s="22">
        <v>2013</v>
      </c>
      <c r="R166" s="22">
        <v>8</v>
      </c>
      <c r="S166" s="19">
        <v>2013.625</v>
      </c>
      <c r="T166" s="20">
        <v>-4.9405000000000001</v>
      </c>
      <c r="U166" s="20">
        <v>244.565</v>
      </c>
      <c r="V166" s="20">
        <v>92.251499999999993</v>
      </c>
    </row>
    <row r="167" spans="17:22">
      <c r="Q167" s="22">
        <v>2013</v>
      </c>
      <c r="R167" s="22">
        <v>9</v>
      </c>
      <c r="S167" s="19">
        <v>2013.7083</v>
      </c>
      <c r="T167" s="20">
        <v>-0.78869999999999996</v>
      </c>
      <c r="U167" s="20">
        <v>242.74100000000001</v>
      </c>
      <c r="V167" s="20">
        <v>94.550299999999993</v>
      </c>
    </row>
    <row r="168" spans="17:22">
      <c r="Q168" s="22">
        <v>2013</v>
      </c>
      <c r="R168" s="22">
        <v>10</v>
      </c>
      <c r="S168" s="19">
        <v>2013.7917</v>
      </c>
      <c r="T168" s="20">
        <v>1.5627</v>
      </c>
      <c r="U168" s="20">
        <v>240.85499999999999</v>
      </c>
      <c r="V168" s="20">
        <v>99.817099999999996</v>
      </c>
    </row>
    <row r="169" spans="17:22">
      <c r="Q169" s="22">
        <v>2013</v>
      </c>
      <c r="R169" s="22">
        <v>11</v>
      </c>
      <c r="S169" s="19">
        <v>2013.875</v>
      </c>
      <c r="T169" s="20">
        <v>3.8752</v>
      </c>
      <c r="U169" s="20">
        <v>237.786</v>
      </c>
      <c r="V169" s="20">
        <v>106.032</v>
      </c>
    </row>
    <row r="170" spans="17:22">
      <c r="Q170" s="22">
        <v>2013</v>
      </c>
      <c r="R170" s="22">
        <v>12</v>
      </c>
      <c r="S170" s="19">
        <v>2013.9583</v>
      </c>
      <c r="T170" s="20">
        <v>6.202</v>
      </c>
      <c r="U170" s="20">
        <v>237.32499999999999</v>
      </c>
      <c r="V170" s="20">
        <v>107.65900000000001</v>
      </c>
    </row>
    <row r="171" spans="17:22">
      <c r="Q171" s="22">
        <v>2014</v>
      </c>
      <c r="R171" s="22">
        <v>1</v>
      </c>
      <c r="S171" s="19">
        <v>2014.0417</v>
      </c>
      <c r="T171" s="20">
        <v>7.8475999999999999</v>
      </c>
      <c r="U171" s="20">
        <v>237.596</v>
      </c>
      <c r="V171" s="20">
        <v>105.931</v>
      </c>
    </row>
    <row r="172" spans="17:22">
      <c r="Q172" s="22">
        <v>2014</v>
      </c>
      <c r="R172" s="22">
        <v>2</v>
      </c>
      <c r="S172" s="19">
        <v>2014.125</v>
      </c>
      <c r="T172" s="20">
        <v>8.4465000000000003</v>
      </c>
      <c r="U172" s="20">
        <v>238.00200000000001</v>
      </c>
      <c r="V172" s="20">
        <v>102.048</v>
      </c>
    </row>
    <row r="173" spans="17:22">
      <c r="Q173" s="22">
        <v>2014</v>
      </c>
      <c r="R173" s="22">
        <v>3</v>
      </c>
      <c r="S173" s="19">
        <v>2014.2083</v>
      </c>
      <c r="T173" s="20">
        <v>7.0506000000000002</v>
      </c>
      <c r="U173" s="20">
        <v>238.476</v>
      </c>
      <c r="V173" s="20">
        <v>98.193200000000004</v>
      </c>
    </row>
    <row r="174" spans="17:22">
      <c r="Q174" s="22">
        <v>2014</v>
      </c>
      <c r="R174" s="22">
        <v>4</v>
      </c>
      <c r="S174" s="19">
        <v>2014.2917</v>
      </c>
      <c r="T174" s="20">
        <v>2.4015</v>
      </c>
      <c r="U174" s="20">
        <v>238.70099999999999</v>
      </c>
      <c r="V174" s="20">
        <v>96.770099999999999</v>
      </c>
    </row>
    <row r="175" spans="17:22">
      <c r="Q175" s="22">
        <v>2014</v>
      </c>
      <c r="R175" s="22">
        <v>5</v>
      </c>
      <c r="S175" s="19">
        <v>2014.375</v>
      </c>
      <c r="T175" s="20">
        <v>-4.3015999999999996</v>
      </c>
      <c r="U175" s="20">
        <v>240.251</v>
      </c>
      <c r="V175" s="20">
        <v>96.932000000000002</v>
      </c>
    </row>
    <row r="176" spans="17:22">
      <c r="Q176" s="22">
        <v>2014</v>
      </c>
      <c r="R176" s="22">
        <v>6</v>
      </c>
      <c r="S176" s="19">
        <v>2014.4583</v>
      </c>
      <c r="T176" s="20">
        <v>-9.5719999999999992</v>
      </c>
      <c r="U176" s="20">
        <v>243.09100000000001</v>
      </c>
      <c r="V176" s="20">
        <v>96.339500000000001</v>
      </c>
    </row>
    <row r="177" spans="17:22">
      <c r="Q177" s="22">
        <v>2014</v>
      </c>
      <c r="R177" s="22">
        <v>7</v>
      </c>
      <c r="S177" s="19">
        <v>2014.5417</v>
      </c>
      <c r="T177" s="20">
        <v>-9.3795999999999999</v>
      </c>
      <c r="U177" s="20">
        <v>244.60499999999999</v>
      </c>
      <c r="V177" s="20">
        <v>94.225099999999998</v>
      </c>
    </row>
    <row r="178" spans="17:22">
      <c r="Q178" s="22">
        <v>2014</v>
      </c>
      <c r="R178" s="22">
        <v>8</v>
      </c>
      <c r="S178" s="19">
        <v>2014.625</v>
      </c>
      <c r="T178" s="20">
        <v>-4.2114000000000003</v>
      </c>
      <c r="U178" s="20">
        <v>244.404</v>
      </c>
      <c r="V178" s="20">
        <v>91.675799999999995</v>
      </c>
    </row>
    <row r="179" spans="17:22">
      <c r="Q179" s="22">
        <v>2014</v>
      </c>
      <c r="R179" s="22">
        <v>9</v>
      </c>
      <c r="S179" s="19">
        <v>2014.7083</v>
      </c>
      <c r="T179" s="20">
        <v>-0.18310000000000001</v>
      </c>
      <c r="U179" s="20">
        <v>242.738</v>
      </c>
      <c r="V179" s="20">
        <v>93.884600000000006</v>
      </c>
    </row>
    <row r="180" spans="17:22">
      <c r="Q180" s="22">
        <v>2014</v>
      </c>
      <c r="R180" s="22">
        <v>10</v>
      </c>
      <c r="S180" s="19">
        <v>2014.7917</v>
      </c>
      <c r="T180" s="20">
        <v>2.2261000000000002</v>
      </c>
      <c r="U180" s="20">
        <v>240.74100000000001</v>
      </c>
      <c r="V180" s="20">
        <v>99.197100000000006</v>
      </c>
    </row>
    <row r="181" spans="17:22">
      <c r="Q181" s="22">
        <v>2014</v>
      </c>
      <c r="R181" s="22">
        <v>11</v>
      </c>
      <c r="S181" s="19">
        <v>2014.875</v>
      </c>
      <c r="T181" s="20">
        <v>4.0975000000000001</v>
      </c>
      <c r="U181" s="20">
        <v>238.02199999999999</v>
      </c>
      <c r="V181" s="20">
        <v>105.61799999999999</v>
      </c>
    </row>
    <row r="182" spans="17:22">
      <c r="Q182" s="22">
        <v>2014</v>
      </c>
      <c r="R182" s="22">
        <v>12</v>
      </c>
      <c r="S182" s="19">
        <v>2014.9583</v>
      </c>
      <c r="T182" s="20">
        <v>5.8517999999999999</v>
      </c>
      <c r="U182" s="20">
        <v>237.017</v>
      </c>
      <c r="V182" s="20">
        <v>108.31699999999999</v>
      </c>
    </row>
    <row r="183" spans="17:22">
      <c r="Q183" s="22">
        <v>2015</v>
      </c>
      <c r="R183" s="22">
        <v>1</v>
      </c>
      <c r="S183" s="19">
        <v>2015.0417</v>
      </c>
      <c r="T183" s="20">
        <v>7.4084000000000003</v>
      </c>
      <c r="U183" s="20">
        <v>238.274</v>
      </c>
      <c r="V183" s="20">
        <v>105.831</v>
      </c>
    </row>
    <row r="184" spans="17:22">
      <c r="Q184" s="22">
        <v>2015</v>
      </c>
      <c r="R184" s="22">
        <v>2</v>
      </c>
      <c r="S184" s="19">
        <v>2015.125</v>
      </c>
      <c r="T184" s="20">
        <v>9.2111999999999998</v>
      </c>
      <c r="U184" s="20">
        <v>238.20099999999999</v>
      </c>
      <c r="V184" s="20">
        <v>101.378</v>
      </c>
    </row>
    <row r="185" spans="17:22">
      <c r="Q185" s="22">
        <v>2015</v>
      </c>
      <c r="R185" s="22">
        <v>3</v>
      </c>
      <c r="S185" s="19">
        <v>2015.2083</v>
      </c>
      <c r="T185" s="20">
        <v>7.0971000000000002</v>
      </c>
      <c r="U185" s="20">
        <v>238.11799999999999</v>
      </c>
      <c r="V185" s="20">
        <v>98.567499999999995</v>
      </c>
    </row>
    <row r="186" spans="17:22">
      <c r="Q186" s="22">
        <v>2015</v>
      </c>
      <c r="R186" s="22">
        <v>4</v>
      </c>
      <c r="S186" s="19">
        <v>2015.2917</v>
      </c>
      <c r="T186" s="20">
        <v>2.3153999999999999</v>
      </c>
      <c r="U186" s="20">
        <v>239.14599999999999</v>
      </c>
      <c r="V186" s="20">
        <v>96.511099999999999</v>
      </c>
    </row>
    <row r="187" spans="17:22">
      <c r="Q187" s="22">
        <v>2015</v>
      </c>
      <c r="R187" s="22">
        <v>5</v>
      </c>
      <c r="S187" s="19">
        <v>2015.375</v>
      </c>
      <c r="T187" s="20">
        <v>-4.2972999999999999</v>
      </c>
      <c r="U187" s="20">
        <v>240.78</v>
      </c>
      <c r="V187" s="20">
        <v>96.450400000000002</v>
      </c>
    </row>
    <row r="188" spans="17:22">
      <c r="Q188" s="22">
        <v>2015</v>
      </c>
      <c r="R188" s="22">
        <v>6</v>
      </c>
      <c r="S188" s="19">
        <v>2015.4583</v>
      </c>
      <c r="T188" s="20">
        <v>-8.8987999999999996</v>
      </c>
      <c r="U188" s="20">
        <v>242.94499999999999</v>
      </c>
      <c r="V188" s="20">
        <v>95.822199999999995</v>
      </c>
    </row>
    <row r="189" spans="17:22">
      <c r="Q189" s="22">
        <v>2015</v>
      </c>
      <c r="R189" s="22">
        <v>7</v>
      </c>
      <c r="S189" s="19">
        <v>2015.5417</v>
      </c>
      <c r="T189" s="20">
        <v>-8.0541999999999998</v>
      </c>
      <c r="U189" s="20">
        <v>244.49199999999999</v>
      </c>
      <c r="V189" s="20">
        <v>93.053200000000004</v>
      </c>
    </row>
    <row r="190" spans="17:22">
      <c r="Q190" s="22">
        <v>2015</v>
      </c>
      <c r="R190" s="22">
        <v>8</v>
      </c>
      <c r="S190" s="19">
        <v>2015.625</v>
      </c>
      <c r="T190" s="20">
        <v>-4.2137000000000002</v>
      </c>
      <c r="U190" s="20">
        <v>244.49700000000001</v>
      </c>
      <c r="V190" s="20">
        <v>91.476799999999997</v>
      </c>
    </row>
    <row r="191" spans="17:22">
      <c r="Q191" s="22">
        <v>2015</v>
      </c>
      <c r="R191" s="22">
        <v>9</v>
      </c>
      <c r="S191" s="19">
        <v>2015.7083</v>
      </c>
      <c r="T191" s="20">
        <v>0.21379999999999999</v>
      </c>
      <c r="U191" s="20">
        <v>243.09299999999999</v>
      </c>
      <c r="V191" s="20">
        <v>93.02</v>
      </c>
    </row>
    <row r="192" spans="17:22">
      <c r="Q192" s="22">
        <v>2015</v>
      </c>
      <c r="R192" s="22">
        <v>10</v>
      </c>
      <c r="S192" s="19">
        <v>2015.7917</v>
      </c>
      <c r="T192" s="20">
        <v>2.2949000000000002</v>
      </c>
      <c r="U192" s="20">
        <v>241.15199999999999</v>
      </c>
      <c r="V192" s="20">
        <v>98.741200000000006</v>
      </c>
    </row>
    <row r="193" spans="17:22">
      <c r="Q193" s="22">
        <v>2015</v>
      </c>
      <c r="R193" s="22">
        <v>11</v>
      </c>
      <c r="S193" s="19">
        <v>2015.875</v>
      </c>
      <c r="T193" s="20">
        <v>3.9035000000000002</v>
      </c>
      <c r="U193" s="20">
        <v>238.363</v>
      </c>
      <c r="V193" s="20">
        <v>105.419</v>
      </c>
    </row>
    <row r="194" spans="17:22">
      <c r="Q194" s="22">
        <v>2015</v>
      </c>
      <c r="R194" s="22">
        <v>12</v>
      </c>
      <c r="S194" s="19">
        <v>2015.9583</v>
      </c>
      <c r="T194" s="20">
        <v>6.1185999999999998</v>
      </c>
      <c r="U194" s="20">
        <v>237.62700000000001</v>
      </c>
      <c r="V194" s="20">
        <v>107.4</v>
      </c>
    </row>
    <row r="195" spans="17:22">
      <c r="Q195" s="22">
        <v>2016</v>
      </c>
      <c r="R195" s="22">
        <v>1</v>
      </c>
      <c r="S195" s="19">
        <v>2016.0417</v>
      </c>
      <c r="T195" s="20">
        <v>7.9965999999999999</v>
      </c>
      <c r="U195" s="20">
        <v>238.10499999999999</v>
      </c>
      <c r="V195" s="20">
        <v>105.366</v>
      </c>
    </row>
    <row r="196" spans="17:22">
      <c r="Q196" s="22">
        <v>2016</v>
      </c>
      <c r="R196" s="22">
        <v>2</v>
      </c>
      <c r="S196" s="19">
        <v>2016.125</v>
      </c>
      <c r="T196" s="20">
        <v>7.3133999999999997</v>
      </c>
      <c r="U196" s="20">
        <v>239.68799999999999</v>
      </c>
      <c r="V196" s="20">
        <v>101.608</v>
      </c>
    </row>
    <row r="197" spans="17:22">
      <c r="Q197" s="22">
        <v>2016</v>
      </c>
      <c r="R197" s="22">
        <v>3</v>
      </c>
      <c r="S197" s="19">
        <v>2016.2083</v>
      </c>
      <c r="T197" s="20">
        <v>6.3224</v>
      </c>
      <c r="U197" s="20">
        <v>238.85400000000001</v>
      </c>
      <c r="V197" s="20">
        <v>98.342799999999997</v>
      </c>
    </row>
    <row r="198" spans="17:22">
      <c r="Q198" s="22">
        <v>2016</v>
      </c>
      <c r="R198" s="22">
        <v>4</v>
      </c>
      <c r="S198" s="19">
        <v>2016.2917</v>
      </c>
      <c r="T198" s="20">
        <v>1.4809000000000001</v>
      </c>
      <c r="U198" s="20">
        <v>240.25299999999999</v>
      </c>
      <c r="V198" s="20">
        <v>95.898600000000002</v>
      </c>
    </row>
    <row r="199" spans="17:22">
      <c r="Q199" s="22">
        <v>2016</v>
      </c>
      <c r="R199" s="22">
        <v>5</v>
      </c>
      <c r="S199" s="19">
        <v>2016.375</v>
      </c>
      <c r="T199" s="20">
        <v>-4.8926999999999996</v>
      </c>
      <c r="U199" s="20">
        <v>241.05500000000001</v>
      </c>
      <c r="V199" s="20">
        <v>96.537400000000005</v>
      </c>
    </row>
    <row r="200" spans="17:22">
      <c r="Q200" s="22">
        <v>2016</v>
      </c>
      <c r="R200" s="22">
        <v>6</v>
      </c>
      <c r="S200" s="19">
        <v>2016.4583</v>
      </c>
      <c r="T200" s="20">
        <v>-7.5321999999999996</v>
      </c>
      <c r="U200" s="20">
        <v>242.583</v>
      </c>
      <c r="V200" s="20">
        <v>94.6952</v>
      </c>
    </row>
    <row r="201" spans="17:22">
      <c r="Q201" s="22">
        <v>2016</v>
      </c>
      <c r="R201" s="22">
        <v>7</v>
      </c>
      <c r="S201" s="19">
        <v>2016.5417</v>
      </c>
      <c r="T201" s="20">
        <v>-8.1852</v>
      </c>
      <c r="U201" s="20">
        <v>244.511</v>
      </c>
      <c r="V201" s="20">
        <v>93.057299999999998</v>
      </c>
    </row>
    <row r="202" spans="17:22">
      <c r="Q202" s="22">
        <v>2016</v>
      </c>
      <c r="R202" s="22">
        <v>8</v>
      </c>
      <c r="S202" s="19">
        <v>2016.625</v>
      </c>
      <c r="T202" s="20">
        <v>-4.6382000000000003</v>
      </c>
      <c r="U202" s="20">
        <v>244.43899999999999</v>
      </c>
      <c r="V202" s="20">
        <v>92.003699999999995</v>
      </c>
    </row>
    <row r="203" spans="17:22">
      <c r="Q203" s="22">
        <v>2016</v>
      </c>
      <c r="R203" s="22">
        <v>9</v>
      </c>
      <c r="S203" s="19">
        <v>2016.7083</v>
      </c>
      <c r="T203" s="20">
        <v>-0.23799999999999999</v>
      </c>
      <c r="U203" s="20">
        <v>243.11799999999999</v>
      </c>
      <c r="V203" s="20">
        <v>93.557100000000005</v>
      </c>
    </row>
    <row r="204" spans="17:22">
      <c r="Q204" s="22">
        <v>2016</v>
      </c>
      <c r="R204" s="22">
        <v>10</v>
      </c>
      <c r="S204" s="19">
        <v>2016.7917</v>
      </c>
      <c r="T204" s="20">
        <v>2.0436999999999999</v>
      </c>
      <c r="U204" s="20">
        <v>240.947</v>
      </c>
      <c r="V204" s="20">
        <v>99.261899999999997</v>
      </c>
    </row>
    <row r="205" spans="17:22">
      <c r="Q205" s="22">
        <v>2016</v>
      </c>
      <c r="R205" s="22">
        <v>11</v>
      </c>
      <c r="S205" s="19">
        <v>2016.875</v>
      </c>
      <c r="T205" s="20">
        <v>4.8179999999999996</v>
      </c>
      <c r="U205" s="20">
        <v>238.34200000000001</v>
      </c>
      <c r="V205" s="20">
        <v>104.54600000000001</v>
      </c>
    </row>
    <row r="206" spans="17:22">
      <c r="Q206" s="22">
        <v>2016</v>
      </c>
      <c r="R206" s="22">
        <v>12</v>
      </c>
      <c r="S206" s="19">
        <v>2016.9583</v>
      </c>
      <c r="T206" s="20">
        <v>6.8742000000000001</v>
      </c>
      <c r="U206" s="20">
        <v>237.226</v>
      </c>
      <c r="V206" s="20">
        <v>106.986</v>
      </c>
    </row>
    <row r="207" spans="17:22">
      <c r="Q207" s="22">
        <v>2017</v>
      </c>
      <c r="R207" s="22">
        <v>1</v>
      </c>
      <c r="S207" s="19">
        <v>2017.0417</v>
      </c>
      <c r="T207" s="20">
        <v>9.2766999999999999</v>
      </c>
      <c r="U207" s="20">
        <v>238.28700000000001</v>
      </c>
      <c r="V207" s="20">
        <v>103.747</v>
      </c>
    </row>
    <row r="208" spans="17:22">
      <c r="Q208" s="22">
        <v>2017</v>
      </c>
      <c r="R208" s="22">
        <v>2</v>
      </c>
      <c r="S208" s="19">
        <v>2017.125</v>
      </c>
      <c r="T208" s="20">
        <v>9.7082999999999995</v>
      </c>
      <c r="U208" s="20">
        <v>238.643</v>
      </c>
      <c r="V208" s="20">
        <v>100.107</v>
      </c>
    </row>
    <row r="209" spans="17:22">
      <c r="Q209" s="22">
        <v>2017</v>
      </c>
      <c r="R209" s="22">
        <v>3</v>
      </c>
      <c r="S209" s="19">
        <v>2017.2083</v>
      </c>
      <c r="T209" s="20">
        <v>7.2488000000000001</v>
      </c>
      <c r="U209" s="20">
        <v>238.51400000000001</v>
      </c>
      <c r="V209" s="20">
        <v>97.694999999999993</v>
      </c>
    </row>
    <row r="210" spans="17:22">
      <c r="Q210" s="22">
        <v>2017</v>
      </c>
      <c r="R210" s="22">
        <v>4</v>
      </c>
      <c r="S210" s="19">
        <v>2017.2917</v>
      </c>
      <c r="T210" s="20">
        <v>1.9280999999999999</v>
      </c>
      <c r="U210" s="20">
        <v>240.09899999999999</v>
      </c>
      <c r="V210" s="20">
        <v>95.642200000000003</v>
      </c>
    </row>
    <row r="211" spans="17:22">
      <c r="Q211" s="22">
        <v>2017</v>
      </c>
      <c r="R211" s="22">
        <v>5</v>
      </c>
      <c r="S211" s="19">
        <v>2017.375</v>
      </c>
      <c r="T211" s="20">
        <v>-5.2140000000000004</v>
      </c>
      <c r="U211" s="20">
        <v>241.50399999999999</v>
      </c>
      <c r="V211" s="20">
        <v>96.429900000000004</v>
      </c>
    </row>
    <row r="212" spans="17:22">
      <c r="Q212" s="22">
        <v>2017</v>
      </c>
      <c r="R212" s="22">
        <v>6</v>
      </c>
      <c r="S212" s="19">
        <v>2017.4583</v>
      </c>
      <c r="T212" s="20">
        <v>-8.4359999999999999</v>
      </c>
      <c r="U212" s="20">
        <v>242.994</v>
      </c>
      <c r="V212" s="20">
        <v>95.178200000000004</v>
      </c>
    </row>
    <row r="213" spans="17:22">
      <c r="Q213" s="22">
        <v>2017</v>
      </c>
      <c r="R213" s="22">
        <v>7</v>
      </c>
      <c r="S213" s="19">
        <v>2017.5417</v>
      </c>
      <c r="T213" s="20">
        <v>-8.1037999999999997</v>
      </c>
      <c r="U213" s="20">
        <v>244.68799999999999</v>
      </c>
      <c r="V213" s="20">
        <v>92.751300000000001</v>
      </c>
    </row>
    <row r="214" spans="17:22">
      <c r="Q214" s="22">
        <v>2017</v>
      </c>
      <c r="R214" s="22">
        <v>8</v>
      </c>
      <c r="S214" s="19">
        <v>2017.625</v>
      </c>
      <c r="T214" s="20">
        <v>-5.0740999999999996</v>
      </c>
      <c r="U214" s="20">
        <v>244.26599999999999</v>
      </c>
      <c r="V214" s="20">
        <v>92.532799999999995</v>
      </c>
    </row>
    <row r="215" spans="17:22">
      <c r="Q215" s="22">
        <v>2017</v>
      </c>
      <c r="R215" s="22">
        <v>9</v>
      </c>
      <c r="S215" s="19">
        <v>2017.7083</v>
      </c>
      <c r="T215" s="20">
        <v>-1.0438000000000001</v>
      </c>
      <c r="U215" s="20">
        <v>243.41</v>
      </c>
      <c r="V215" s="20">
        <v>93.939300000000003</v>
      </c>
    </row>
    <row r="216" spans="17:22">
      <c r="Q216" s="22">
        <v>2017</v>
      </c>
      <c r="R216" s="22">
        <v>10</v>
      </c>
      <c r="S216" s="19">
        <v>2017.7917</v>
      </c>
      <c r="T216" s="20">
        <v>1.3628</v>
      </c>
      <c r="U216" s="20">
        <v>240.738</v>
      </c>
      <c r="V216" s="20">
        <v>100.092</v>
      </c>
    </row>
    <row r="217" spans="17:22">
      <c r="Q217" s="22">
        <v>2017</v>
      </c>
      <c r="R217" s="22">
        <v>11</v>
      </c>
      <c r="S217" s="19">
        <v>2017.875</v>
      </c>
      <c r="T217" s="20">
        <v>4.0094000000000003</v>
      </c>
      <c r="U217" s="20">
        <v>238.042</v>
      </c>
      <c r="V217" s="20">
        <v>105.587</v>
      </c>
    </row>
    <row r="218" spans="17:22">
      <c r="Q218" s="22">
        <v>2017</v>
      </c>
      <c r="R218" s="22">
        <v>12</v>
      </c>
      <c r="S218" s="19">
        <v>2017.9583</v>
      </c>
      <c r="T218" s="20">
        <v>5.6970000000000001</v>
      </c>
      <c r="U218" s="20">
        <v>237.441</v>
      </c>
      <c r="V218" s="20">
        <v>107.91</v>
      </c>
    </row>
    <row r="219" spans="17:22">
      <c r="Q219" s="22">
        <v>2018</v>
      </c>
      <c r="R219" s="22">
        <v>1</v>
      </c>
      <c r="S219" s="19">
        <v>2018.0417</v>
      </c>
      <c r="T219" s="20">
        <v>8.8505000000000003</v>
      </c>
      <c r="U219" s="20">
        <v>237.286</v>
      </c>
      <c r="V219" s="20">
        <v>105.151</v>
      </c>
    </row>
    <row r="220" spans="17:22">
      <c r="Q220" s="22">
        <v>2018</v>
      </c>
      <c r="R220" s="22">
        <v>2</v>
      </c>
      <c r="S220" s="19">
        <v>2018.125</v>
      </c>
      <c r="T220" s="20">
        <v>9.1583000000000006</v>
      </c>
      <c r="U220" s="20">
        <v>237.09</v>
      </c>
      <c r="V220" s="20">
        <v>102.18899999999999</v>
      </c>
    </row>
    <row r="221" spans="17:22">
      <c r="Q221" s="22">
        <v>2018</v>
      </c>
      <c r="R221" s="22">
        <v>3</v>
      </c>
      <c r="S221" s="19">
        <v>2018.2083</v>
      </c>
      <c r="T221" s="20">
        <v>6.7069999999999999</v>
      </c>
      <c r="U221" s="20">
        <v>238.40199999999999</v>
      </c>
      <c r="V221" s="20">
        <v>98.375399999999999</v>
      </c>
    </row>
    <row r="222" spans="17:22">
      <c r="Q222" s="22">
        <v>2018</v>
      </c>
      <c r="R222" s="22">
        <v>4</v>
      </c>
      <c r="S222" s="19">
        <v>2018.2917</v>
      </c>
      <c r="T222" s="20">
        <v>2.9942000000000002</v>
      </c>
      <c r="U222" s="20">
        <v>239.23599999999999</v>
      </c>
      <c r="V222" s="20">
        <v>95.471400000000003</v>
      </c>
    </row>
    <row r="223" spans="17:22">
      <c r="Q223" s="22">
        <v>2018</v>
      </c>
      <c r="R223" s="22">
        <v>5</v>
      </c>
      <c r="S223" s="19">
        <v>2018.375</v>
      </c>
      <c r="T223" s="20">
        <v>-4.4147999999999996</v>
      </c>
      <c r="U223" s="20">
        <v>240.93799999999999</v>
      </c>
      <c r="V223" s="20">
        <v>96.219399999999993</v>
      </c>
    </row>
    <row r="224" spans="17:22">
      <c r="Q224" s="22">
        <v>2018</v>
      </c>
      <c r="R224" s="22">
        <v>6</v>
      </c>
      <c r="S224" s="19">
        <v>2018.4583</v>
      </c>
      <c r="T224" s="20">
        <v>-9.5549999999999997</v>
      </c>
      <c r="U224" s="20">
        <v>243.376</v>
      </c>
      <c r="V224" s="20">
        <v>95.914299999999997</v>
      </c>
    </row>
    <row r="225" spans="17:22">
      <c r="Q225" s="22">
        <v>2018</v>
      </c>
      <c r="R225" s="22">
        <v>7</v>
      </c>
      <c r="S225" s="19">
        <v>2018.5417</v>
      </c>
      <c r="T225" s="20">
        <v>-8.5373999999999999</v>
      </c>
      <c r="U225" s="20">
        <v>244.39699999999999</v>
      </c>
      <c r="V225" s="20">
        <v>93.477800000000002</v>
      </c>
    </row>
    <row r="226" spans="17:22">
      <c r="Q226" s="22">
        <v>2018</v>
      </c>
      <c r="R226" s="22">
        <v>8</v>
      </c>
      <c r="S226" s="19">
        <v>2018.625</v>
      </c>
      <c r="T226" s="20">
        <v>-4.8036000000000003</v>
      </c>
      <c r="U226" s="20">
        <v>243.98699999999999</v>
      </c>
      <c r="V226" s="20">
        <v>92.508200000000002</v>
      </c>
    </row>
    <row r="227" spans="17:22">
      <c r="Q227" s="22">
        <v>2018</v>
      </c>
      <c r="R227" s="22">
        <v>9</v>
      </c>
      <c r="S227" s="19">
        <v>2018.7083</v>
      </c>
      <c r="T227" s="20">
        <v>0.42420000000000002</v>
      </c>
      <c r="U227" s="20">
        <v>242.822</v>
      </c>
      <c r="V227" s="20">
        <v>93.035799999999995</v>
      </c>
    </row>
    <row r="228" spans="17:22">
      <c r="Q228" s="22">
        <v>2018</v>
      </c>
      <c r="R228" s="22">
        <v>10</v>
      </c>
      <c r="S228" s="19">
        <v>2018.7917</v>
      </c>
      <c r="T228" s="20">
        <v>2.9821</v>
      </c>
      <c r="U228" s="20">
        <v>240.28899999999999</v>
      </c>
      <c r="V228" s="20">
        <v>98.821899999999999</v>
      </c>
    </row>
    <row r="229" spans="17:22">
      <c r="Q229" s="22">
        <v>2018</v>
      </c>
      <c r="R229" s="22">
        <v>11</v>
      </c>
      <c r="S229" s="19">
        <v>2018.875</v>
      </c>
      <c r="T229" s="20">
        <v>5.1177999999999999</v>
      </c>
      <c r="U229" s="20">
        <v>237.79400000000001</v>
      </c>
      <c r="V229" s="20">
        <v>104.657</v>
      </c>
    </row>
    <row r="230" spans="17:22">
      <c r="Q230" s="22">
        <v>2018</v>
      </c>
      <c r="R230" s="22">
        <v>12</v>
      </c>
      <c r="S230" s="19">
        <v>2018.9583</v>
      </c>
      <c r="T230" s="20">
        <v>7.4668999999999999</v>
      </c>
      <c r="U230" s="20">
        <v>237.12</v>
      </c>
      <c r="V230" s="20">
        <v>106.446</v>
      </c>
    </row>
    <row r="231" spans="17:22">
      <c r="Q231" s="22">
        <v>2019</v>
      </c>
      <c r="R231" s="22">
        <v>1</v>
      </c>
      <c r="S231" s="19">
        <v>2019.0417</v>
      </c>
      <c r="T231" s="20">
        <v>8.6613000000000007</v>
      </c>
      <c r="U231" s="20">
        <v>237.53899999999999</v>
      </c>
      <c r="V231" s="20">
        <v>105.122</v>
      </c>
    </row>
    <row r="232" spans="17:22">
      <c r="Q232" s="22">
        <v>2019</v>
      </c>
      <c r="R232" s="22">
        <v>2</v>
      </c>
      <c r="S232" s="19">
        <v>2019.125</v>
      </c>
      <c r="T232" s="20">
        <v>9.4514999999999993</v>
      </c>
      <c r="U232" s="20">
        <v>238.37100000000001</v>
      </c>
      <c r="V232" s="20">
        <v>100.693</v>
      </c>
    </row>
    <row r="233" spans="17:22">
      <c r="Q233" s="22">
        <v>2019</v>
      </c>
      <c r="R233" s="22">
        <v>3</v>
      </c>
      <c r="S233" s="19">
        <v>2019.2083</v>
      </c>
      <c r="T233" s="20">
        <v>7.3482000000000003</v>
      </c>
      <c r="U233" s="20">
        <v>238.94200000000001</v>
      </c>
      <c r="V233" s="20">
        <v>97.261799999999994</v>
      </c>
    </row>
    <row r="234" spans="17:22">
      <c r="Q234" s="22">
        <v>2019</v>
      </c>
      <c r="R234" s="22">
        <v>4</v>
      </c>
      <c r="S234" s="19">
        <v>2019.2917</v>
      </c>
      <c r="T234" s="20">
        <v>2.1888999999999998</v>
      </c>
      <c r="U234" s="20">
        <v>239.50700000000001</v>
      </c>
      <c r="V234" s="20">
        <v>96.031300000000002</v>
      </c>
    </row>
    <row r="235" spans="17:22">
      <c r="Q235" s="22">
        <v>2019</v>
      </c>
      <c r="R235" s="22">
        <v>5</v>
      </c>
      <c r="S235" s="19">
        <v>2019.375</v>
      </c>
      <c r="T235" s="20">
        <v>-4.4080000000000004</v>
      </c>
      <c r="U235" s="20">
        <v>241.33</v>
      </c>
      <c r="V235" s="20">
        <v>95.825500000000005</v>
      </c>
    </row>
    <row r="236" spans="17:22">
      <c r="Q236" s="22">
        <v>2019</v>
      </c>
      <c r="R236" s="22">
        <v>6</v>
      </c>
      <c r="S236" s="19">
        <v>2019.4583</v>
      </c>
      <c r="T236" s="20">
        <v>-8.4014000000000006</v>
      </c>
      <c r="U236" s="20">
        <v>242.80799999999999</v>
      </c>
      <c r="V236" s="20">
        <v>95.3172</v>
      </c>
    </row>
    <row r="237" spans="17:22">
      <c r="Q237" s="22">
        <v>2019</v>
      </c>
      <c r="R237" s="22">
        <v>7</v>
      </c>
      <c r="S237" s="19">
        <v>2019.5417</v>
      </c>
      <c r="T237" s="20">
        <v>-8.1716999999999995</v>
      </c>
      <c r="U237" s="20">
        <v>244.78700000000001</v>
      </c>
      <c r="V237" s="20">
        <v>92.6828</v>
      </c>
    </row>
    <row r="238" spans="17:22">
      <c r="Q238" s="22">
        <v>2019</v>
      </c>
      <c r="R238" s="22">
        <v>8</v>
      </c>
      <c r="S238" s="19">
        <v>2019.625</v>
      </c>
      <c r="T238" s="20">
        <v>-4.9661</v>
      </c>
      <c r="U238" s="20">
        <v>244.90799999999999</v>
      </c>
      <c r="V238" s="20">
        <v>91.685400000000001</v>
      </c>
    </row>
    <row r="239" spans="17:22">
      <c r="Q239" s="22">
        <v>2019</v>
      </c>
      <c r="R239" s="22">
        <v>9</v>
      </c>
      <c r="S239" s="19">
        <v>2019.7083</v>
      </c>
      <c r="T239" s="20">
        <v>2.1299999999999999E-2</v>
      </c>
      <c r="U239" s="20">
        <v>243.55500000000001</v>
      </c>
      <c r="V239" s="20">
        <v>92.630399999999995</v>
      </c>
    </row>
    <row r="240" spans="17:22">
      <c r="Q240" s="22">
        <v>2019</v>
      </c>
      <c r="R240" s="22">
        <v>10</v>
      </c>
      <c r="S240" s="19">
        <v>2019.7917</v>
      </c>
      <c r="T240" s="20">
        <v>3.4944000000000002</v>
      </c>
      <c r="U240" s="20">
        <v>240.66200000000001</v>
      </c>
      <c r="V240" s="20">
        <v>97.864999999999995</v>
      </c>
    </row>
    <row r="241" spans="17:22">
      <c r="Q241" s="22">
        <v>2019</v>
      </c>
      <c r="R241" s="22">
        <v>11</v>
      </c>
      <c r="S241" s="19">
        <v>2019.875</v>
      </c>
      <c r="T241" s="20">
        <v>4.7450000000000001</v>
      </c>
      <c r="U241" s="20">
        <v>238.36500000000001</v>
      </c>
      <c r="V241" s="20">
        <v>104.417</v>
      </c>
    </row>
    <row r="242" spans="17:22">
      <c r="Q242" s="22">
        <v>2019</v>
      </c>
      <c r="R242" s="22">
        <v>12</v>
      </c>
      <c r="S242" s="19">
        <v>2019.9583</v>
      </c>
      <c r="T242" s="20">
        <v>6.2538999999999998</v>
      </c>
      <c r="U242" s="20">
        <v>238.422</v>
      </c>
      <c r="V242" s="20">
        <v>106.35</v>
      </c>
    </row>
    <row r="243" spans="17:22">
      <c r="Q243" s="22">
        <v>2020</v>
      </c>
      <c r="R243" s="22">
        <v>1</v>
      </c>
      <c r="S243" s="19">
        <v>2020.0417</v>
      </c>
      <c r="T243" s="20">
        <v>8.1768000000000001</v>
      </c>
      <c r="U243" s="20">
        <v>237.679</v>
      </c>
      <c r="V243" s="20">
        <v>105.496</v>
      </c>
    </row>
    <row r="244" spans="17:22">
      <c r="Q244" s="22">
        <v>2020</v>
      </c>
      <c r="R244" s="22">
        <v>2</v>
      </c>
      <c r="S244" s="19">
        <v>2020.125</v>
      </c>
      <c r="T244" s="20">
        <v>8.4126999999999992</v>
      </c>
      <c r="U244" s="20">
        <v>239.02</v>
      </c>
      <c r="V244" s="20">
        <v>101.04900000000001</v>
      </c>
    </row>
    <row r="245" spans="17:22">
      <c r="Q245" s="22">
        <v>2020</v>
      </c>
      <c r="R245" s="22">
        <v>3</v>
      </c>
      <c r="S245" s="19">
        <v>2020.2083</v>
      </c>
      <c r="T245" s="20">
        <v>7.0201000000000002</v>
      </c>
      <c r="U245" s="20">
        <v>239.024</v>
      </c>
      <c r="V245" s="20">
        <v>97.365799999999993</v>
      </c>
    </row>
    <row r="246" spans="17:22">
      <c r="Q246" s="22">
        <v>2020</v>
      </c>
      <c r="R246" s="22">
        <v>4</v>
      </c>
      <c r="S246" s="19">
        <v>2020.2917</v>
      </c>
      <c r="T246" s="20">
        <v>2.4016000000000002</v>
      </c>
      <c r="U246" s="20">
        <v>239.76599999999999</v>
      </c>
      <c r="V246" s="20">
        <v>95.424800000000005</v>
      </c>
    </row>
    <row r="247" spans="17:22">
      <c r="Q247" s="22">
        <v>2020</v>
      </c>
      <c r="R247" s="22">
        <v>5</v>
      </c>
      <c r="S247" s="19">
        <v>2020.375</v>
      </c>
      <c r="T247" s="20">
        <v>-4.7417999999999996</v>
      </c>
      <c r="U247" s="20">
        <v>241.86500000000001</v>
      </c>
      <c r="V247" s="20">
        <v>95.521900000000002</v>
      </c>
    </row>
    <row r="248" spans="17:22">
      <c r="Q248" s="22">
        <v>2020</v>
      </c>
      <c r="R248" s="22">
        <v>6</v>
      </c>
      <c r="S248" s="19">
        <v>2020.4583</v>
      </c>
      <c r="T248" s="20">
        <v>-8.8774999999999995</v>
      </c>
      <c r="U248" s="20">
        <v>243.73599999999999</v>
      </c>
      <c r="V248" s="20">
        <v>94.819500000000005</v>
      </c>
    </row>
    <row r="249" spans="17:22">
      <c r="Q249" s="22">
        <v>2020</v>
      </c>
      <c r="R249" s="22">
        <v>7</v>
      </c>
      <c r="S249" s="19">
        <v>2020.5417</v>
      </c>
      <c r="T249" s="20">
        <v>-8.4319000000000006</v>
      </c>
      <c r="U249" s="20">
        <v>244.45500000000001</v>
      </c>
      <c r="V249" s="20">
        <v>93.304500000000004</v>
      </c>
    </row>
    <row r="250" spans="17:22">
      <c r="Q250" s="22">
        <v>2020</v>
      </c>
      <c r="R250" s="22">
        <v>8</v>
      </c>
      <c r="S250" s="19">
        <v>2020.625</v>
      </c>
      <c r="T250" s="20">
        <v>-4.2007000000000003</v>
      </c>
      <c r="U250" s="20">
        <v>244.86099999999999</v>
      </c>
      <c r="V250" s="20">
        <v>91.1</v>
      </c>
    </row>
    <row r="251" spans="17:22">
      <c r="Q251" s="22">
        <v>2020</v>
      </c>
      <c r="R251" s="22">
        <v>9</v>
      </c>
      <c r="S251" s="19">
        <v>2020.7083</v>
      </c>
      <c r="T251" s="20">
        <v>-0.69799999999999995</v>
      </c>
      <c r="U251" s="20">
        <v>243.488</v>
      </c>
      <c r="V251" s="20">
        <v>93.586699999999993</v>
      </c>
    </row>
    <row r="252" spans="17:22">
      <c r="Q252" s="22">
        <v>2020</v>
      </c>
      <c r="R252" s="22">
        <v>10</v>
      </c>
      <c r="S252" s="19">
        <v>2020.7917</v>
      </c>
      <c r="T252" s="20">
        <v>1.427</v>
      </c>
      <c r="U252" s="20">
        <v>240.74799999999999</v>
      </c>
      <c r="V252" s="20">
        <v>100.032</v>
      </c>
    </row>
    <row r="253" spans="17:22">
      <c r="Q253" s="22">
        <v>2020</v>
      </c>
      <c r="R253" s="22">
        <v>11</v>
      </c>
      <c r="S253" s="19">
        <v>2020.875</v>
      </c>
      <c r="T253" s="20">
        <v>3.0211000000000001</v>
      </c>
      <c r="U253" s="20">
        <v>239.40899999999999</v>
      </c>
      <c r="V253" s="20">
        <v>105.235</v>
      </c>
    </row>
    <row r="254" spans="17:22">
      <c r="Q254" s="22">
        <v>2020</v>
      </c>
      <c r="R254" s="22">
        <v>12</v>
      </c>
      <c r="S254" s="19">
        <v>2020.9583</v>
      </c>
      <c r="T254" s="20">
        <v>5.2937000000000003</v>
      </c>
      <c r="U254" s="20">
        <v>237.839</v>
      </c>
      <c r="V254" s="20">
        <v>107.998</v>
      </c>
    </row>
    <row r="255" spans="17:22">
      <c r="Q255" s="22">
        <v>2021</v>
      </c>
      <c r="R255" s="22">
        <v>1</v>
      </c>
      <c r="S255" s="19">
        <v>2021.0417</v>
      </c>
      <c r="T255" s="20">
        <v>8.1660000000000004</v>
      </c>
      <c r="U255" s="20">
        <v>237.529</v>
      </c>
      <c r="V255" s="20">
        <v>105.678</v>
      </c>
    </row>
    <row r="256" spans="17:22">
      <c r="Q256" s="22">
        <v>2021</v>
      </c>
      <c r="R256" s="22">
        <v>2</v>
      </c>
      <c r="S256" s="19">
        <v>2021.125</v>
      </c>
      <c r="T256" s="20">
        <v>8.8854000000000006</v>
      </c>
      <c r="U256" s="20">
        <v>238.63200000000001</v>
      </c>
      <c r="V256" s="20">
        <v>100.985</v>
      </c>
    </row>
    <row r="257" spans="17:22">
      <c r="Q257" s="22">
        <v>2021</v>
      </c>
      <c r="R257" s="22">
        <v>3</v>
      </c>
      <c r="S257" s="19">
        <v>2021.2083</v>
      </c>
      <c r="T257" s="20">
        <v>7.6947999999999999</v>
      </c>
      <c r="U257" s="20">
        <v>238.40799999999999</v>
      </c>
      <c r="V257" s="20">
        <v>97.427899999999994</v>
      </c>
    </row>
    <row r="258" spans="17:22">
      <c r="Q258" s="22">
        <v>2021</v>
      </c>
      <c r="R258" s="22">
        <v>4</v>
      </c>
      <c r="S258" s="19">
        <v>2021.2917</v>
      </c>
      <c r="T258" s="20">
        <v>2.9607999999999999</v>
      </c>
      <c r="U258" s="20">
        <v>238.65799999999999</v>
      </c>
      <c r="V258" s="20">
        <v>96.087000000000003</v>
      </c>
    </row>
    <row r="259" spans="17:22">
      <c r="Q259" s="22">
        <v>2021</v>
      </c>
      <c r="R259" s="22">
        <v>5</v>
      </c>
      <c r="S259" s="19">
        <v>2021.375</v>
      </c>
      <c r="T259" s="20">
        <v>-4.3651999999999997</v>
      </c>
      <c r="U259" s="20">
        <v>240.57400000000001</v>
      </c>
      <c r="V259" s="20">
        <v>96.528899999999993</v>
      </c>
    </row>
    <row r="260" spans="17:22">
      <c r="Q260" s="22">
        <v>2021</v>
      </c>
      <c r="R260" s="22">
        <v>6</v>
      </c>
      <c r="S260" s="19">
        <v>2021.4583</v>
      </c>
      <c r="T260" s="20">
        <v>-7.2876000000000003</v>
      </c>
      <c r="U260" s="20">
        <v>242.54499999999999</v>
      </c>
      <c r="V260" s="20">
        <v>94.511399999999995</v>
      </c>
    </row>
    <row r="261" spans="17:22">
      <c r="Q261" s="22">
        <v>2021</v>
      </c>
      <c r="R261" s="22">
        <v>7</v>
      </c>
      <c r="S261" s="19">
        <v>2021.5417</v>
      </c>
      <c r="T261" s="20">
        <v>-8.0193999999999992</v>
      </c>
      <c r="U261" s="20">
        <v>244.101</v>
      </c>
      <c r="V261" s="20">
        <v>93.333100000000002</v>
      </c>
    </row>
    <row r="262" spans="17:22">
      <c r="Q262" s="22">
        <v>2021</v>
      </c>
      <c r="R262" s="22">
        <v>8</v>
      </c>
      <c r="S262" s="19">
        <v>2021.625</v>
      </c>
      <c r="T262" s="20">
        <v>-4.1262999999999996</v>
      </c>
      <c r="U262" s="20">
        <v>244.61</v>
      </c>
      <c r="V262" s="20">
        <v>91.325900000000004</v>
      </c>
    </row>
    <row r="263" spans="17:22">
      <c r="Q263" s="22">
        <v>2021</v>
      </c>
      <c r="R263" s="22">
        <v>9</v>
      </c>
      <c r="S263" s="19">
        <v>2021.7083</v>
      </c>
      <c r="T263" s="20">
        <v>0.40699999999999997</v>
      </c>
      <c r="U263" s="20">
        <v>242.61099999999999</v>
      </c>
      <c r="V263" s="20">
        <v>93.384</v>
      </c>
    </row>
    <row r="264" spans="17:22">
      <c r="Q264" s="22">
        <v>2021</v>
      </c>
      <c r="R264" s="22">
        <v>10</v>
      </c>
      <c r="S264" s="19">
        <v>2021.7917</v>
      </c>
      <c r="T264" s="20">
        <v>2.5636999999999999</v>
      </c>
      <c r="U264" s="20">
        <v>240.95500000000001</v>
      </c>
      <c r="V264" s="20">
        <v>98.707400000000007</v>
      </c>
    </row>
    <row r="265" spans="17:22">
      <c r="Q265" s="22">
        <v>2021</v>
      </c>
      <c r="R265" s="22">
        <v>11</v>
      </c>
      <c r="S265" s="19">
        <v>2021.875</v>
      </c>
      <c r="T265" s="20">
        <v>4.9965999999999999</v>
      </c>
      <c r="U265" s="20">
        <v>238.27199999999999</v>
      </c>
      <c r="V265" s="20">
        <v>104.435</v>
      </c>
    </row>
    <row r="266" spans="17:22">
      <c r="Q266" s="22">
        <v>2021</v>
      </c>
      <c r="R266" s="22">
        <v>12</v>
      </c>
      <c r="S266" s="19">
        <v>2021.9583</v>
      </c>
      <c r="T266" s="20">
        <v>6.2549000000000001</v>
      </c>
      <c r="U266" s="20">
        <v>237.41</v>
      </c>
      <c r="V266" s="20">
        <v>107.506</v>
      </c>
    </row>
    <row r="267" spans="17:22">
      <c r="Q267" s="22">
        <v>2022</v>
      </c>
      <c r="R267" s="22">
        <v>1</v>
      </c>
      <c r="S267" s="19">
        <v>2022.0417</v>
      </c>
      <c r="T267" s="20">
        <v>9.2530000000000001</v>
      </c>
      <c r="U267" s="20">
        <v>237.39599999999999</v>
      </c>
      <c r="V267" s="20">
        <v>104.822</v>
      </c>
    </row>
    <row r="268" spans="17:22">
      <c r="Q268" s="22">
        <v>2022</v>
      </c>
      <c r="R268" s="22">
        <v>2</v>
      </c>
      <c r="S268" s="19">
        <v>2022.125</v>
      </c>
      <c r="T268" s="20">
        <v>9.4367000000000001</v>
      </c>
      <c r="U268" s="20">
        <v>238.78</v>
      </c>
      <c r="V268" s="20">
        <v>100.499</v>
      </c>
    </row>
    <row r="269" spans="17:22">
      <c r="Q269" s="22">
        <v>2022</v>
      </c>
      <c r="R269" s="22">
        <v>3</v>
      </c>
      <c r="S269" s="19">
        <v>2022.2083</v>
      </c>
      <c r="T269" s="20">
        <v>7.3783000000000003</v>
      </c>
      <c r="U269" s="20">
        <v>238.57</v>
      </c>
      <c r="V269" s="20">
        <v>97.799300000000002</v>
      </c>
    </row>
    <row r="270" spans="17:22">
      <c r="Q270" s="22">
        <v>2022</v>
      </c>
      <c r="R270" s="22">
        <v>4</v>
      </c>
      <c r="S270" s="19">
        <v>2022.2917</v>
      </c>
      <c r="T270" s="20">
        <v>1.7948999999999999</v>
      </c>
      <c r="U270" s="20">
        <v>240.08199999999999</v>
      </c>
      <c r="V270" s="20">
        <v>96.0976</v>
      </c>
    </row>
    <row r="271" spans="17:22">
      <c r="Q271" s="22">
        <v>2022</v>
      </c>
      <c r="R271" s="22">
        <v>5</v>
      </c>
      <c r="S271" s="19">
        <v>2022.375</v>
      </c>
      <c r="T271" s="20">
        <v>-5.2819000000000003</v>
      </c>
      <c r="U271" s="20">
        <v>241.50399999999999</v>
      </c>
      <c r="V271" s="20">
        <v>96.790800000000004</v>
      </c>
    </row>
    <row r="272" spans="17:22">
      <c r="Q272" s="22">
        <v>2022</v>
      </c>
      <c r="R272" s="22">
        <v>6</v>
      </c>
      <c r="S272" s="19">
        <v>2022.4583</v>
      </c>
      <c r="T272" s="20">
        <v>-7.3893000000000004</v>
      </c>
      <c r="U272" s="20">
        <v>243.10400000000001</v>
      </c>
      <c r="V272" s="20">
        <v>94.291799999999995</v>
      </c>
    </row>
    <row r="273" spans="17:22">
      <c r="Q273" s="22">
        <v>2022</v>
      </c>
      <c r="R273" s="22">
        <v>7</v>
      </c>
      <c r="S273" s="19">
        <v>2022.5417</v>
      </c>
      <c r="T273" s="20">
        <v>-8.6564999999999994</v>
      </c>
      <c r="U273" s="20">
        <v>244.79300000000001</v>
      </c>
      <c r="V273" s="20">
        <v>93.422399999999996</v>
      </c>
    </row>
    <row r="274" spans="17:22">
      <c r="Q274" s="22">
        <v>2022</v>
      </c>
      <c r="R274" s="22">
        <v>8</v>
      </c>
      <c r="S274" s="19">
        <v>2022.625</v>
      </c>
      <c r="T274" s="20">
        <v>-3.8613</v>
      </c>
      <c r="U274" s="20">
        <v>243.958</v>
      </c>
      <c r="V274" s="20">
        <v>91.810699999999997</v>
      </c>
    </row>
    <row r="275" spans="17:22">
      <c r="Q275" s="22">
        <v>2022</v>
      </c>
      <c r="R275" s="22">
        <v>9</v>
      </c>
      <c r="S275" s="19">
        <v>2022.7083</v>
      </c>
      <c r="T275" s="20">
        <v>0.2387</v>
      </c>
      <c r="U275" s="20">
        <v>242.96299999999999</v>
      </c>
      <c r="V275" s="20">
        <v>93.334599999999995</v>
      </c>
    </row>
    <row r="276" spans="17:22">
      <c r="Q276" s="22">
        <v>2022</v>
      </c>
      <c r="R276" s="22">
        <v>10</v>
      </c>
      <c r="S276" s="19">
        <v>2022.7917</v>
      </c>
      <c r="T276" s="20">
        <v>2.7427999999999999</v>
      </c>
      <c r="U276" s="20">
        <v>240.67099999999999</v>
      </c>
      <c r="V276" s="20">
        <v>98.949600000000004</v>
      </c>
    </row>
    <row r="277" spans="17:22">
      <c r="Q277" s="22">
        <v>2022</v>
      </c>
      <c r="R277" s="22">
        <v>11</v>
      </c>
      <c r="S277" s="19">
        <v>2022.875</v>
      </c>
      <c r="T277" s="20">
        <v>4.6624999999999996</v>
      </c>
      <c r="U277" s="20">
        <v>238.47300000000001</v>
      </c>
      <c r="V277" s="20">
        <v>104.68899999999999</v>
      </c>
    </row>
    <row r="278" spans="17:22">
      <c r="Q278" s="22">
        <v>2022</v>
      </c>
      <c r="R278" s="22">
        <v>12</v>
      </c>
      <c r="S278" s="19">
        <v>2022.9583</v>
      </c>
      <c r="T278" s="20">
        <v>7.6908000000000003</v>
      </c>
      <c r="U278" s="20">
        <v>237.291</v>
      </c>
      <c r="V278" s="20">
        <v>106.24299999999999</v>
      </c>
    </row>
    <row r="279" spans="17:22">
      <c r="Q279" s="22">
        <v>2023</v>
      </c>
      <c r="R279" s="22">
        <v>1</v>
      </c>
      <c r="S279" s="19">
        <v>2023.0417</v>
      </c>
      <c r="T279" s="20">
        <v>9.5616000000000003</v>
      </c>
      <c r="U279" s="20">
        <v>238.172</v>
      </c>
      <c r="V279" s="20">
        <v>103.861</v>
      </c>
    </row>
    <row r="280" spans="17:22">
      <c r="Q280" s="22">
        <v>2023</v>
      </c>
      <c r="R280" s="22">
        <v>2</v>
      </c>
      <c r="S280" s="19">
        <v>2023.125</v>
      </c>
      <c r="T280" s="20">
        <v>10.013999999999999</v>
      </c>
      <c r="U280" s="20">
        <v>238.40799999999999</v>
      </c>
      <c r="V280" s="20">
        <v>100.43600000000001</v>
      </c>
    </row>
    <row r="281" spans="17:22">
      <c r="Q281" s="22">
        <v>2023</v>
      </c>
      <c r="R281" s="22">
        <v>3</v>
      </c>
      <c r="S281" s="19">
        <v>2023.2083</v>
      </c>
      <c r="T281" s="20">
        <v>8.3010000000000002</v>
      </c>
      <c r="U281" s="20">
        <v>238.83799999999999</v>
      </c>
      <c r="V281" s="20">
        <v>96.838899999999995</v>
      </c>
    </row>
    <row r="282" spans="17:22">
      <c r="Q282" s="22">
        <v>2023</v>
      </c>
      <c r="R282" s="22">
        <v>4</v>
      </c>
      <c r="S282" s="19">
        <v>2023.2917</v>
      </c>
      <c r="T282" s="20">
        <v>3.9093</v>
      </c>
      <c r="U282" s="20">
        <v>238.81200000000001</v>
      </c>
      <c r="V282" s="20">
        <v>95.438699999999997</v>
      </c>
    </row>
    <row r="283" spans="17:22">
      <c r="Q283" s="22">
        <v>2023</v>
      </c>
      <c r="R283" s="22">
        <v>5</v>
      </c>
      <c r="S283" s="19">
        <v>2023.375</v>
      </c>
      <c r="T283" s="20">
        <v>-3.3144</v>
      </c>
      <c r="U283" s="20">
        <v>240.08799999999999</v>
      </c>
      <c r="V283" s="20">
        <v>96.28</v>
      </c>
    </row>
    <row r="284" spans="17:22">
      <c r="Q284" s="22">
        <v>2023</v>
      </c>
      <c r="R284" s="22">
        <v>6</v>
      </c>
      <c r="S284" s="19">
        <v>2023.4583</v>
      </c>
      <c r="T284" s="20">
        <v>-7.9531000000000001</v>
      </c>
      <c r="U284" s="20">
        <v>243.91900000000001</v>
      </c>
      <c r="V284" s="20">
        <v>94.115499999999997</v>
      </c>
    </row>
    <row r="285" spans="17:22">
      <c r="Q285" s="22">
        <v>2023</v>
      </c>
      <c r="R285" s="22">
        <v>7</v>
      </c>
      <c r="S285" s="19">
        <v>2023.5417</v>
      </c>
      <c r="T285" s="20">
        <v>-7.9874999999999998</v>
      </c>
      <c r="U285" s="20">
        <v>245.59100000000001</v>
      </c>
      <c r="V285" s="20">
        <v>91.941500000000005</v>
      </c>
    </row>
    <row r="286" spans="17:22">
      <c r="Q286" s="22">
        <v>2023</v>
      </c>
      <c r="R286" s="22">
        <v>8</v>
      </c>
      <c r="S286" s="19">
        <v>2023.625</v>
      </c>
      <c r="T286" s="20">
        <v>-4.0719000000000003</v>
      </c>
      <c r="U286" s="20">
        <v>246.01400000000001</v>
      </c>
      <c r="V286" s="20">
        <v>90.044200000000004</v>
      </c>
    </row>
    <row r="287" spans="17:22">
      <c r="Q287" s="22">
        <v>2023</v>
      </c>
      <c r="R287" s="22">
        <v>9</v>
      </c>
      <c r="S287" s="19">
        <v>2023.7083</v>
      </c>
      <c r="T287" s="20">
        <v>0.13189999999999999</v>
      </c>
      <c r="U287" s="20">
        <v>244.60499999999999</v>
      </c>
      <c r="V287" s="20">
        <v>91.849900000000005</v>
      </c>
    </row>
    <row r="288" spans="17:22">
      <c r="Q288" s="22">
        <v>2023</v>
      </c>
      <c r="R288" s="22">
        <v>10</v>
      </c>
      <c r="S288" s="19">
        <v>2023.7917</v>
      </c>
      <c r="T288" s="20">
        <v>2.2282999999999999</v>
      </c>
      <c r="U288" s="20">
        <v>242.53100000000001</v>
      </c>
      <c r="V288" s="20">
        <v>97.712400000000002</v>
      </c>
    </row>
    <row r="289" spans="17:22">
      <c r="Q289" s="22">
        <v>2023</v>
      </c>
      <c r="R289" s="22">
        <v>11</v>
      </c>
      <c r="S289" s="19">
        <v>2023.875</v>
      </c>
      <c r="T289" s="20">
        <v>4.4884000000000004</v>
      </c>
      <c r="U289" s="20">
        <v>239.297</v>
      </c>
      <c r="V289" s="20">
        <v>104.119</v>
      </c>
    </row>
    <row r="290" spans="17:22">
      <c r="Q290" s="22">
        <v>2023</v>
      </c>
      <c r="R290" s="22">
        <v>12</v>
      </c>
      <c r="S290" s="19">
        <v>2023.9583</v>
      </c>
      <c r="T290" s="20">
        <v>6.7747999999999999</v>
      </c>
      <c r="U290" s="20">
        <v>238.25700000000001</v>
      </c>
      <c r="V290" s="20">
        <v>106.337</v>
      </c>
    </row>
    <row r="291" spans="17:22">
      <c r="Q291" s="22">
        <v>2024</v>
      </c>
      <c r="R291" s="22">
        <v>1</v>
      </c>
      <c r="S291" s="19">
        <v>2024.0417</v>
      </c>
      <c r="T291" s="20">
        <v>8.0029000000000003</v>
      </c>
      <c r="U291" s="20">
        <v>238.816</v>
      </c>
      <c r="V291" s="20">
        <v>104.892</v>
      </c>
    </row>
    <row r="292" spans="17:22">
      <c r="Q292" s="22">
        <v>2024</v>
      </c>
      <c r="R292" s="22">
        <v>2</v>
      </c>
      <c r="S292" s="19">
        <v>2024.125</v>
      </c>
      <c r="T292" s="20">
        <v>8.7420000000000009</v>
      </c>
      <c r="U292" s="20">
        <v>239.18899999999999</v>
      </c>
      <c r="V292" s="20">
        <v>100.83</v>
      </c>
    </row>
    <row r="293" spans="17:22">
      <c r="Q293" s="22">
        <v>2024</v>
      </c>
      <c r="R293" s="22">
        <v>3</v>
      </c>
      <c r="S293" s="19">
        <v>2024.2083</v>
      </c>
      <c r="T293" s="20">
        <v>6.7146999999999997</v>
      </c>
      <c r="U293" s="20">
        <v>239.21</v>
      </c>
      <c r="V293" s="20">
        <v>97.854799999999997</v>
      </c>
    </row>
    <row r="294" spans="17:22">
      <c r="Q294" s="22">
        <v>2024</v>
      </c>
      <c r="R294" s="22">
        <v>4</v>
      </c>
      <c r="S294" s="19">
        <v>2024.2917</v>
      </c>
      <c r="T294" s="20">
        <v>2.2766999999999999</v>
      </c>
      <c r="U294" s="20">
        <v>239.87200000000001</v>
      </c>
      <c r="V294" s="20">
        <v>95.849400000000003</v>
      </c>
    </row>
    <row r="295" spans="17:22">
      <c r="Q295" s="22">
        <v>2024</v>
      </c>
      <c r="R295" s="22">
        <v>5</v>
      </c>
      <c r="S295" s="19">
        <v>2024.375</v>
      </c>
      <c r="T295" s="20">
        <v>-5.8926999999999996</v>
      </c>
      <c r="U295" s="20">
        <v>242.417</v>
      </c>
      <c r="V295" s="20">
        <v>96.439800000000005</v>
      </c>
    </row>
    <row r="296" spans="17:22">
      <c r="Q296" s="22">
        <v>2024</v>
      </c>
      <c r="R296" s="22">
        <v>6</v>
      </c>
      <c r="S296" s="19">
        <v>2024.4583</v>
      </c>
      <c r="T296" s="20">
        <v>-8.8701000000000008</v>
      </c>
      <c r="U296" s="20">
        <v>244.13300000000001</v>
      </c>
      <c r="V296" s="20">
        <v>94.759</v>
      </c>
    </row>
    <row r="297" spans="17:22">
      <c r="Q297" s="22">
        <v>2024</v>
      </c>
      <c r="R297" s="22">
        <v>7</v>
      </c>
      <c r="S297" s="19">
        <v>2024.5417</v>
      </c>
      <c r="T297" s="20">
        <v>-8.7731999999999992</v>
      </c>
      <c r="U297" s="20">
        <v>245.304</v>
      </c>
      <c r="V297" s="20">
        <v>93.173199999999994</v>
      </c>
    </row>
    <row r="298" spans="17:22">
      <c r="Q298" s="22">
        <v>2024</v>
      </c>
      <c r="R298" s="22">
        <v>8</v>
      </c>
      <c r="S298" s="19">
        <v>2024.625</v>
      </c>
      <c r="T298" s="20">
        <v>-4.5747</v>
      </c>
      <c r="U298" s="20">
        <v>245.631</v>
      </c>
      <c r="V298" s="20">
        <v>90.930700000000002</v>
      </c>
    </row>
    <row r="299" spans="17:22">
      <c r="Q299" s="22">
        <v>2024</v>
      </c>
      <c r="R299" s="22">
        <v>9</v>
      </c>
      <c r="S299" s="19">
        <v>2024.7083</v>
      </c>
      <c r="T299" s="20">
        <v>-0.3599</v>
      </c>
      <c r="U299" s="20">
        <v>244.55600000000001</v>
      </c>
      <c r="V299" s="20">
        <v>92.647000000000006</v>
      </c>
    </row>
    <row r="300" spans="17:22">
      <c r="Q300" s="22">
        <v>2024</v>
      </c>
      <c r="R300" s="22">
        <v>10</v>
      </c>
      <c r="S300" s="19">
        <v>2024.7917</v>
      </c>
      <c r="T300" s="20">
        <v>2.4456000000000002</v>
      </c>
      <c r="U300" s="20">
        <v>241.52600000000001</v>
      </c>
      <c r="V300" s="20">
        <v>98.518000000000001</v>
      </c>
    </row>
    <row r="301" spans="17:22">
      <c r="Q301" s="22">
        <v>2024</v>
      </c>
      <c r="R301" s="22">
        <v>11</v>
      </c>
      <c r="S301" s="19">
        <v>2024.875</v>
      </c>
      <c r="T301" s="20">
        <v>4.2103999999999999</v>
      </c>
      <c r="U301" s="20">
        <v>239.63499999999999</v>
      </c>
      <c r="V301" s="20">
        <v>104.14700000000001</v>
      </c>
    </row>
    <row r="302" spans="17:22">
      <c r="Q302" s="22">
        <v>2024</v>
      </c>
      <c r="R302" s="22">
        <v>12</v>
      </c>
      <c r="S302" s="19">
        <v>2024.9583</v>
      </c>
      <c r="T302" s="20">
        <v>5.8876999999999997</v>
      </c>
      <c r="U302" s="20">
        <v>238.88</v>
      </c>
      <c r="V302" s="20">
        <v>106.673</v>
      </c>
    </row>
    <row r="303" spans="17:22">
      <c r="Q303" s="22">
        <v>2025</v>
      </c>
      <c r="R303" s="22">
        <v>1</v>
      </c>
      <c r="S303" s="19">
        <v>2025.0417</v>
      </c>
      <c r="T303" s="20">
        <v>9.7051999999999996</v>
      </c>
      <c r="U303" s="20">
        <v>238.76</v>
      </c>
      <c r="V303" s="20">
        <v>103.203</v>
      </c>
    </row>
    <row r="304" spans="17:22">
      <c r="Q304" s="22">
        <v>2025</v>
      </c>
      <c r="R304" s="22">
        <v>2</v>
      </c>
      <c r="S304" s="19">
        <v>2025.125</v>
      </c>
      <c r="T304" s="20">
        <v>9.0044000000000004</v>
      </c>
      <c r="U304" s="20">
        <v>239.65</v>
      </c>
      <c r="V304" s="20">
        <v>100.142</v>
      </c>
    </row>
    <row r="305" spans="17:22">
      <c r="Q305" s="22">
        <v>2025</v>
      </c>
      <c r="R305" s="22">
        <v>3</v>
      </c>
      <c r="S305" s="19">
        <v>2025.2083</v>
      </c>
      <c r="T305" s="20">
        <v>7.3590999999999998</v>
      </c>
      <c r="U305" s="20">
        <v>240.00700000000001</v>
      </c>
      <c r="V305" s="20">
        <v>96.537700000000001</v>
      </c>
    </row>
    <row r="306" spans="17:22">
      <c r="Q306" s="22">
        <v>2025</v>
      </c>
      <c r="R306" s="22">
        <v>4</v>
      </c>
      <c r="S306" s="19">
        <v>2025.2917</v>
      </c>
      <c r="T306" s="20">
        <v>1.9776</v>
      </c>
      <c r="U306" s="20">
        <v>240.21700000000001</v>
      </c>
      <c r="V306" s="20">
        <v>95.849299999999999</v>
      </c>
    </row>
    <row r="307" spans="17:22">
      <c r="Q307" s="22">
        <v>2025</v>
      </c>
      <c r="R307" s="22">
        <v>5</v>
      </c>
      <c r="S307" s="19">
        <v>2025.375</v>
      </c>
      <c r="T307" s="20">
        <v>-5.0214999999999996</v>
      </c>
      <c r="U307" s="20">
        <v>241.56200000000001</v>
      </c>
      <c r="V307" s="20">
        <v>96.453999999999994</v>
      </c>
    </row>
    <row r="308" spans="17:22">
      <c r="Q308" s="22">
        <v>2025</v>
      </c>
      <c r="R308" s="22">
        <v>6</v>
      </c>
      <c r="S308" s="19">
        <v>2025.4583</v>
      </c>
      <c r="T308" s="20">
        <v>-8.9269999999999996</v>
      </c>
      <c r="U308" s="20">
        <v>244.209</v>
      </c>
      <c r="V308" s="20">
        <v>94.759100000000004</v>
      </c>
    </row>
    <row r="309" spans="17:22">
      <c r="Q309" s="22">
        <v>2025</v>
      </c>
      <c r="R309" s="22">
        <v>7</v>
      </c>
      <c r="S309" s="19">
        <v>2025.5417</v>
      </c>
      <c r="T309" s="20">
        <v>-7.9093999999999998</v>
      </c>
      <c r="U309" s="20">
        <v>244.928</v>
      </c>
      <c r="V309" s="20">
        <v>92.671800000000005</v>
      </c>
    </row>
    <row r="310" spans="17:22">
      <c r="Q310" s="22">
        <v>2025</v>
      </c>
      <c r="R310" s="22">
        <v>8</v>
      </c>
      <c r="S310" s="19">
        <v>2025.625</v>
      </c>
      <c r="T310" s="20">
        <v>-3.7391999999999999</v>
      </c>
      <c r="U310" s="20">
        <v>244.83799999999999</v>
      </c>
      <c r="V310" s="20">
        <v>90.939499999999995</v>
      </c>
    </row>
    <row r="311" spans="17:22">
      <c r="Q311" s="22">
        <v>2025</v>
      </c>
      <c r="R311" s="22">
        <v>9</v>
      </c>
      <c r="S311" s="19">
        <v>2025.7083</v>
      </c>
      <c r="T311" s="20">
        <v>0.3574</v>
      </c>
      <c r="U311" s="20">
        <v>243.89599999999999</v>
      </c>
      <c r="V311" s="20">
        <v>92.357399999999998</v>
      </c>
    </row>
    <row r="312" spans="17:22">
      <c r="Q312" s="22">
        <v>2025</v>
      </c>
      <c r="R312" s="22">
        <v>10</v>
      </c>
      <c r="S312" s="19">
        <v>2025.7917</v>
      </c>
      <c r="T312" s="20">
        <v>2.2799999999999998</v>
      </c>
      <c r="U312" s="20">
        <v>241.62100000000001</v>
      </c>
      <c r="V312" s="20">
        <v>98.518500000000003</v>
      </c>
    </row>
    <row r="313" spans="17:22">
      <c r="Q313" s="22">
        <v>2025</v>
      </c>
      <c r="R313" s="22">
        <v>11</v>
      </c>
      <c r="S313" s="19">
        <v>2025.875</v>
      </c>
      <c r="T313" s="20">
        <v>4.6558999999999999</v>
      </c>
      <c r="U313" s="20">
        <v>239.38</v>
      </c>
      <c r="V313" s="20">
        <v>103.89400000000001</v>
      </c>
    </row>
    <row r="314" spans="17:22">
      <c r="Q314" s="22">
        <v>2025</v>
      </c>
      <c r="R314" s="22">
        <v>12</v>
      </c>
      <c r="S314" s="19">
        <v>2025.9583</v>
      </c>
      <c r="T314" s="20">
        <v>8.0079999999999991</v>
      </c>
      <c r="U314" s="20">
        <v>237.24199999999999</v>
      </c>
      <c r="V314" s="20">
        <v>106.012</v>
      </c>
    </row>
    <row r="315" spans="17:22">
      <c r="Q315" s="22">
        <v>2026</v>
      </c>
      <c r="R315" s="22">
        <v>1</v>
      </c>
      <c r="S315" s="19">
        <v>2026.0417</v>
      </c>
      <c r="T315" s="20">
        <v>9.7834000000000003</v>
      </c>
      <c r="U315" s="20">
        <v>238.262</v>
      </c>
      <c r="V315" s="20">
        <v>103.497</v>
      </c>
    </row>
    <row r="316" spans="17:22">
      <c r="Q316" s="22">
        <v>2026</v>
      </c>
      <c r="R316" s="22">
        <v>2</v>
      </c>
      <c r="S316" s="19">
        <v>2026.125</v>
      </c>
      <c r="T316" s="20">
        <v>10.4116</v>
      </c>
      <c r="U316" s="20">
        <v>238.99</v>
      </c>
      <c r="V316" s="20">
        <v>99.312299999999993</v>
      </c>
    </row>
    <row r="317" spans="17:22">
      <c r="Q317" s="22">
        <v>2026</v>
      </c>
      <c r="R317" s="22">
        <v>3</v>
      </c>
      <c r="S317" s="19">
        <v>2026.2083</v>
      </c>
      <c r="T317" s="20">
        <v>7.5765000000000002</v>
      </c>
      <c r="U317" s="20">
        <v>239.21799999999999</v>
      </c>
      <c r="V317" s="20">
        <v>96.9726</v>
      </c>
    </row>
    <row r="318" spans="17:22">
      <c r="Q318" s="22">
        <v>2026</v>
      </c>
      <c r="R318" s="22">
        <v>4</v>
      </c>
      <c r="S318" s="19">
        <v>2026.2917</v>
      </c>
      <c r="T318" s="20">
        <v>3.3391000000000002</v>
      </c>
      <c r="U318" s="20">
        <v>239.36699999999999</v>
      </c>
      <c r="V318" s="20">
        <v>95.242500000000007</v>
      </c>
    </row>
    <row r="319" spans="17:22">
      <c r="Q319" s="22">
        <v>2026</v>
      </c>
      <c r="R319" s="22">
        <v>5</v>
      </c>
      <c r="S319" s="19">
        <v>2026.375</v>
      </c>
      <c r="T319" s="20">
        <v>-5.1265000000000001</v>
      </c>
      <c r="U319" s="20">
        <v>241.57300000000001</v>
      </c>
      <c r="V319" s="20">
        <v>96.560199999999995</v>
      </c>
    </row>
  </sheetData>
  <mergeCells count="5">
    <mergeCell ref="A2:O2"/>
    <mergeCell ref="N34:O34"/>
    <mergeCell ref="N35:O35"/>
    <mergeCell ref="N36:O36"/>
    <mergeCell ref="N37:O3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CD6E-1D9A-4A78-8562-B2142D4AD9C5}">
  <dimension ref="B2:L63"/>
  <sheetViews>
    <sheetView showGridLines="0" workbookViewId="0">
      <selection activeCell="B3" sqref="B3:L3"/>
    </sheetView>
  </sheetViews>
  <sheetFormatPr defaultRowHeight="15"/>
  <cols>
    <col min="1" max="1" width="2" customWidth="1"/>
    <col min="2" max="2" width="30" customWidth="1"/>
    <col min="3" max="4" width="34" customWidth="1"/>
    <col min="5" max="5" width="26" customWidth="1"/>
    <col min="6" max="6" width="14" customWidth="1"/>
    <col min="7" max="7" width="26" customWidth="1"/>
    <col min="8" max="8" width="30" customWidth="1"/>
    <col min="9" max="9" width="20" customWidth="1"/>
    <col min="10" max="10" width="26" customWidth="1"/>
    <col min="11" max="11" width="22" customWidth="1"/>
    <col min="12" max="12" width="40" customWidth="1"/>
  </cols>
  <sheetData>
    <row r="2" spans="2:12" ht="18.75">
      <c r="B2" s="42" t="s">
        <v>2287</v>
      </c>
    </row>
    <row r="3" spans="2:12" ht="48" customHeight="1">
      <c r="B3" s="62" t="s">
        <v>2288</v>
      </c>
      <c r="C3" s="53"/>
      <c r="D3" s="53"/>
      <c r="E3" s="53"/>
      <c r="F3" s="53"/>
      <c r="G3" s="53"/>
      <c r="H3" s="53"/>
      <c r="I3" s="53"/>
      <c r="J3" s="53"/>
      <c r="K3" s="53"/>
      <c r="L3" s="53"/>
    </row>
    <row r="5" spans="2:12">
      <c r="B5" s="40" t="s">
        <v>2289</v>
      </c>
    </row>
    <row r="6" spans="2:12">
      <c r="B6" s="40" t="s">
        <v>2127</v>
      </c>
      <c r="C6" s="40" t="s">
        <v>2290</v>
      </c>
      <c r="D6" s="40" t="s">
        <v>2291</v>
      </c>
      <c r="E6" s="40" t="s">
        <v>2292</v>
      </c>
      <c r="F6" s="40" t="s">
        <v>2293</v>
      </c>
      <c r="G6" s="40" t="s">
        <v>2294</v>
      </c>
      <c r="H6" s="40" t="s">
        <v>2295</v>
      </c>
      <c r="I6" s="40" t="s">
        <v>2296</v>
      </c>
      <c r="J6" s="40" t="s">
        <v>2297</v>
      </c>
      <c r="K6" s="40" t="s">
        <v>2298</v>
      </c>
      <c r="L6" s="40" t="s">
        <v>2299</v>
      </c>
    </row>
    <row r="7" spans="2:12" ht="96" customHeight="1">
      <c r="B7" s="45" t="s">
        <v>2300</v>
      </c>
      <c r="C7" s="44" t="s">
        <v>2301</v>
      </c>
      <c r="D7" s="44" t="s">
        <v>2302</v>
      </c>
      <c r="E7" s="44" t="s">
        <v>2303</v>
      </c>
      <c r="F7" s="44" t="s">
        <v>2335</v>
      </c>
      <c r="G7" s="44" t="s">
        <v>2304</v>
      </c>
      <c r="H7" s="44" t="s">
        <v>2305</v>
      </c>
      <c r="I7" s="44" t="s">
        <v>2306</v>
      </c>
      <c r="J7" s="44" t="s">
        <v>2307</v>
      </c>
      <c r="K7" s="44" t="s">
        <v>2308</v>
      </c>
      <c r="L7" s="44" t="s">
        <v>2309</v>
      </c>
    </row>
    <row r="8" spans="2:12" ht="96" customHeight="1">
      <c r="B8" s="45" t="s">
        <v>2310</v>
      </c>
      <c r="C8" s="44" t="s">
        <v>2311</v>
      </c>
      <c r="D8" s="44" t="s">
        <v>2312</v>
      </c>
      <c r="E8" s="44" t="s">
        <v>2313</v>
      </c>
      <c r="F8" s="44" t="s">
        <v>2335</v>
      </c>
      <c r="G8" s="44" t="s">
        <v>2314</v>
      </c>
      <c r="H8" s="44" t="s">
        <v>2315</v>
      </c>
      <c r="I8" s="44" t="s">
        <v>2316</v>
      </c>
      <c r="J8" s="44" t="s">
        <v>2317</v>
      </c>
      <c r="K8" s="44" t="s">
        <v>2318</v>
      </c>
      <c r="L8" s="44" t="s">
        <v>2319</v>
      </c>
    </row>
    <row r="9" spans="2:12" ht="96" customHeight="1">
      <c r="B9" s="45" t="s">
        <v>2320</v>
      </c>
      <c r="C9" s="44" t="s">
        <v>2321</v>
      </c>
      <c r="D9" s="44" t="s">
        <v>2322</v>
      </c>
      <c r="E9" s="44" t="s">
        <v>2323</v>
      </c>
      <c r="F9" s="44" t="s">
        <v>2324</v>
      </c>
      <c r="G9" s="44" t="s">
        <v>2325</v>
      </c>
      <c r="H9" s="44" t="s">
        <v>2326</v>
      </c>
      <c r="I9" s="44" t="s">
        <v>2327</v>
      </c>
      <c r="J9" s="44" t="s">
        <v>2328</v>
      </c>
      <c r="K9" s="44" t="s">
        <v>2329</v>
      </c>
      <c r="L9" s="44" t="s">
        <v>2330</v>
      </c>
    </row>
    <row r="10" spans="2:12" ht="96" customHeight="1">
      <c r="B10" s="45" t="s">
        <v>2331</v>
      </c>
      <c r="C10" s="44" t="s">
        <v>2332</v>
      </c>
      <c r="D10" s="44" t="s">
        <v>2333</v>
      </c>
      <c r="E10" s="44" t="s">
        <v>2334</v>
      </c>
      <c r="F10" s="44" t="s">
        <v>2335</v>
      </c>
      <c r="G10" s="44" t="s">
        <v>2336</v>
      </c>
      <c r="H10" s="44" t="s">
        <v>2337</v>
      </c>
      <c r="I10" s="44" t="s">
        <v>2338</v>
      </c>
      <c r="J10" s="44" t="s">
        <v>2339</v>
      </c>
      <c r="K10" s="44" t="s">
        <v>2329</v>
      </c>
      <c r="L10" s="44" t="s">
        <v>2340</v>
      </c>
    </row>
    <row r="11" spans="2:12" ht="96" customHeight="1">
      <c r="B11" s="45" t="s">
        <v>2341</v>
      </c>
      <c r="C11" s="44" t="s">
        <v>2342</v>
      </c>
      <c r="D11" s="44" t="s">
        <v>2343</v>
      </c>
      <c r="E11" s="44" t="s">
        <v>2344</v>
      </c>
      <c r="F11" s="44" t="s">
        <v>2324</v>
      </c>
      <c r="G11" s="44" t="s">
        <v>2345</v>
      </c>
      <c r="H11" s="44" t="s">
        <v>2346</v>
      </c>
      <c r="I11" s="44" t="s">
        <v>2347</v>
      </c>
      <c r="J11" s="44" t="s">
        <v>2348</v>
      </c>
      <c r="K11" s="44" t="s">
        <v>2349</v>
      </c>
      <c r="L11" s="44" t="s">
        <v>2350</v>
      </c>
    </row>
    <row r="12" spans="2:12" ht="96" customHeight="1">
      <c r="B12" s="45" t="s">
        <v>2351</v>
      </c>
      <c r="C12" s="44" t="s">
        <v>2352</v>
      </c>
      <c r="D12" s="44" t="s">
        <v>2353</v>
      </c>
      <c r="E12" s="44" t="s">
        <v>2354</v>
      </c>
      <c r="F12" s="44" t="s">
        <v>2335</v>
      </c>
      <c r="G12" s="44" t="s">
        <v>2355</v>
      </c>
      <c r="H12" s="44" t="s">
        <v>2355</v>
      </c>
      <c r="I12" s="44" t="s">
        <v>2356</v>
      </c>
      <c r="J12" s="44" t="s">
        <v>2357</v>
      </c>
      <c r="K12" s="44" t="s">
        <v>2349</v>
      </c>
      <c r="L12" s="44" t="s">
        <v>2355</v>
      </c>
    </row>
    <row r="13" spans="2:12" ht="96" customHeight="1">
      <c r="B13" s="45" t="s">
        <v>2358</v>
      </c>
      <c r="C13" s="44" t="s">
        <v>2359</v>
      </c>
      <c r="D13" s="44" t="s">
        <v>2360</v>
      </c>
      <c r="E13" s="44" t="s">
        <v>2361</v>
      </c>
      <c r="F13" s="44" t="s">
        <v>2324</v>
      </c>
      <c r="G13" s="44" t="s">
        <v>2362</v>
      </c>
      <c r="H13" s="44" t="s">
        <v>2363</v>
      </c>
      <c r="I13" s="44" t="s">
        <v>2364</v>
      </c>
      <c r="J13" s="44" t="s">
        <v>2365</v>
      </c>
      <c r="K13" s="44" t="s">
        <v>2366</v>
      </c>
      <c r="L13" s="44" t="s">
        <v>2367</v>
      </c>
    </row>
    <row r="14" spans="2:12" ht="96" customHeight="1">
      <c r="B14" s="45" t="s">
        <v>2368</v>
      </c>
      <c r="C14" s="44" t="s">
        <v>2369</v>
      </c>
      <c r="D14" s="44" t="s">
        <v>2370</v>
      </c>
      <c r="E14" s="44" t="s">
        <v>2371</v>
      </c>
      <c r="F14" s="44" t="s">
        <v>2335</v>
      </c>
      <c r="G14" s="44" t="s">
        <v>2372</v>
      </c>
      <c r="H14" s="44" t="s">
        <v>2373</v>
      </c>
      <c r="I14" s="44" t="s">
        <v>2374</v>
      </c>
      <c r="J14" s="44" t="s">
        <v>2375</v>
      </c>
      <c r="K14" s="44" t="s">
        <v>2376</v>
      </c>
      <c r="L14" s="44" t="s">
        <v>2377</v>
      </c>
    </row>
    <row r="15" spans="2:12" ht="96" customHeight="1">
      <c r="B15" s="45" t="s">
        <v>2378</v>
      </c>
      <c r="C15" s="44" t="s">
        <v>2379</v>
      </c>
      <c r="D15" s="44" t="s">
        <v>2380</v>
      </c>
      <c r="E15" s="44" t="s">
        <v>2381</v>
      </c>
      <c r="F15" s="44" t="s">
        <v>2324</v>
      </c>
      <c r="G15" s="44" t="s">
        <v>2382</v>
      </c>
      <c r="H15" s="44" t="s">
        <v>2383</v>
      </c>
      <c r="I15" s="44" t="s">
        <v>2338</v>
      </c>
      <c r="J15" s="44" t="s">
        <v>2384</v>
      </c>
      <c r="K15" s="44" t="s">
        <v>2385</v>
      </c>
      <c r="L15" s="44" t="s">
        <v>2385</v>
      </c>
    </row>
    <row r="16" spans="2:12" ht="96" customHeight="1">
      <c r="B16" s="45" t="s">
        <v>2386</v>
      </c>
      <c r="C16" s="44" t="s">
        <v>2387</v>
      </c>
      <c r="D16" s="44" t="s">
        <v>2380</v>
      </c>
      <c r="E16" s="44" t="s">
        <v>2388</v>
      </c>
      <c r="F16" s="44" t="s">
        <v>2335</v>
      </c>
      <c r="G16" s="44" t="s">
        <v>2389</v>
      </c>
      <c r="H16" s="44" t="s">
        <v>2390</v>
      </c>
      <c r="I16" s="44" t="s">
        <v>2338</v>
      </c>
      <c r="J16" s="44" t="s">
        <v>2391</v>
      </c>
      <c r="K16" s="44" t="s">
        <v>2385</v>
      </c>
      <c r="L16" s="44" t="s">
        <v>2385</v>
      </c>
    </row>
    <row r="17" spans="2:5">
      <c r="B17" s="40" t="s">
        <v>2392</v>
      </c>
    </row>
    <row r="18" spans="2:5">
      <c r="B18" s="40" t="s">
        <v>2393</v>
      </c>
      <c r="C18" s="40" t="s">
        <v>2394</v>
      </c>
      <c r="D18" s="40" t="s">
        <v>2395</v>
      </c>
      <c r="E18" s="40" t="s">
        <v>2299</v>
      </c>
    </row>
    <row r="19" spans="2:5" ht="32.1" customHeight="1">
      <c r="B19" s="45" t="s">
        <v>2396</v>
      </c>
      <c r="C19" s="44" t="s">
        <v>2397</v>
      </c>
      <c r="D19" s="44" t="s">
        <v>2398</v>
      </c>
      <c r="E19" s="44" t="s">
        <v>2399</v>
      </c>
    </row>
    <row r="20" spans="2:5" ht="32.1" customHeight="1">
      <c r="B20" s="45" t="s">
        <v>2400</v>
      </c>
      <c r="C20" s="44" t="s">
        <v>2401</v>
      </c>
      <c r="D20" s="44" t="s">
        <v>2402</v>
      </c>
      <c r="E20" s="44" t="s">
        <v>2403</v>
      </c>
    </row>
    <row r="21" spans="2:5" ht="32.1" customHeight="1">
      <c r="B21" s="45" t="s">
        <v>2404</v>
      </c>
      <c r="C21" s="44" t="s">
        <v>2405</v>
      </c>
      <c r="D21" s="44" t="s">
        <v>2406</v>
      </c>
      <c r="E21" s="44" t="s">
        <v>2407</v>
      </c>
    </row>
    <row r="22" spans="2:5" ht="32.1" customHeight="1">
      <c r="B22" s="45" t="s">
        <v>2408</v>
      </c>
      <c r="C22" s="44" t="s">
        <v>2409</v>
      </c>
      <c r="D22" s="44" t="s">
        <v>2410</v>
      </c>
      <c r="E22" s="44" t="s">
        <v>2411</v>
      </c>
    </row>
    <row r="23" spans="2:5" ht="32.1" customHeight="1">
      <c r="B23" s="45" t="s">
        <v>2412</v>
      </c>
      <c r="C23" s="44" t="s">
        <v>2413</v>
      </c>
      <c r="D23" s="44" t="s">
        <v>2414</v>
      </c>
      <c r="E23" s="44" t="s">
        <v>2415</v>
      </c>
    </row>
    <row r="24" spans="2:5" ht="32.1" customHeight="1">
      <c r="B24" s="45" t="s">
        <v>2416</v>
      </c>
      <c r="C24" s="44" t="s">
        <v>2417</v>
      </c>
      <c r="D24" s="44" t="s">
        <v>2418</v>
      </c>
      <c r="E24" s="44" t="s">
        <v>2419</v>
      </c>
    </row>
    <row r="25" spans="2:5" ht="32.1" customHeight="1">
      <c r="B25" s="45" t="s">
        <v>2420</v>
      </c>
      <c r="C25" s="44" t="s">
        <v>2421</v>
      </c>
      <c r="D25" s="44" t="s">
        <v>2422</v>
      </c>
      <c r="E25" s="44" t="s">
        <v>2423</v>
      </c>
    </row>
    <row r="27" spans="2:5">
      <c r="B27" s="40" t="s">
        <v>2424</v>
      </c>
    </row>
    <row r="28" spans="2:5">
      <c r="B28" s="40" t="s">
        <v>2425</v>
      </c>
      <c r="C28" s="40" t="s">
        <v>2426</v>
      </c>
      <c r="D28" s="40" t="s">
        <v>2427</v>
      </c>
      <c r="E28" s="40" t="s">
        <v>2428</v>
      </c>
    </row>
    <row r="29" spans="2:5" ht="48" customHeight="1">
      <c r="B29" s="44" t="s">
        <v>2429</v>
      </c>
      <c r="C29" s="44" t="s">
        <v>2430</v>
      </c>
      <c r="D29" s="44" t="s">
        <v>2431</v>
      </c>
      <c r="E29" s="44" t="s">
        <v>2432</v>
      </c>
    </row>
    <row r="30" spans="2:5" ht="48" customHeight="1">
      <c r="B30" s="44" t="s">
        <v>2433</v>
      </c>
      <c r="C30" s="44" t="s">
        <v>2434</v>
      </c>
      <c r="D30" s="44" t="s">
        <v>2435</v>
      </c>
      <c r="E30" s="44" t="s">
        <v>2432</v>
      </c>
    </row>
    <row r="31" spans="2:5" ht="48" customHeight="1">
      <c r="B31" s="44" t="s">
        <v>2436</v>
      </c>
      <c r="C31" s="44" t="s">
        <v>2437</v>
      </c>
      <c r="D31" s="44" t="s">
        <v>2438</v>
      </c>
      <c r="E31" s="44" t="s">
        <v>2432</v>
      </c>
    </row>
    <row r="32" spans="2:5" ht="48" customHeight="1">
      <c r="B32" s="44" t="s">
        <v>2439</v>
      </c>
      <c r="C32" s="44" t="s">
        <v>2440</v>
      </c>
      <c r="D32" s="44" t="s">
        <v>2441</v>
      </c>
      <c r="E32" s="44" t="s">
        <v>2432</v>
      </c>
    </row>
    <row r="33" spans="2:12" ht="48" customHeight="1">
      <c r="B33" s="44" t="s">
        <v>2442</v>
      </c>
      <c r="C33" s="44" t="s">
        <v>2443</v>
      </c>
      <c r="D33" s="44" t="s">
        <v>2444</v>
      </c>
      <c r="E33" s="44" t="s">
        <v>2432</v>
      </c>
    </row>
    <row r="34" spans="2:12" ht="48" customHeight="1">
      <c r="B34" s="44" t="s">
        <v>2445</v>
      </c>
      <c r="C34" s="44" t="s">
        <v>2446</v>
      </c>
      <c r="D34" s="44" t="s">
        <v>2447</v>
      </c>
      <c r="E34" s="44" t="s">
        <v>2432</v>
      </c>
    </row>
    <row r="35" spans="2:12" ht="48" customHeight="1">
      <c r="B35" s="44" t="s">
        <v>2448</v>
      </c>
      <c r="C35" s="44" t="s">
        <v>2900</v>
      </c>
      <c r="D35" s="44" t="s">
        <v>2901</v>
      </c>
      <c r="E35" s="44" t="s">
        <v>2450</v>
      </c>
    </row>
    <row r="36" spans="2:12" ht="48" customHeight="1">
      <c r="B36" s="44" t="s">
        <v>2451</v>
      </c>
      <c r="C36" s="44" t="s">
        <v>2452</v>
      </c>
      <c r="D36" s="44" t="s">
        <v>2449</v>
      </c>
      <c r="E36" s="44" t="s">
        <v>2453</v>
      </c>
    </row>
    <row r="38" spans="2:12" ht="32.1" customHeight="1">
      <c r="B38" s="62" t="s">
        <v>2454</v>
      </c>
      <c r="C38" s="53"/>
      <c r="D38" s="53"/>
      <c r="E38" s="53"/>
      <c r="F38" s="53"/>
      <c r="G38" s="53"/>
      <c r="H38" s="53"/>
      <c r="I38" s="53"/>
      <c r="J38" s="53"/>
      <c r="K38" s="53"/>
      <c r="L38" s="53"/>
    </row>
    <row r="40" spans="2:12" ht="20.100000000000001" customHeight="1">
      <c r="B40" s="40" t="s">
        <v>2489</v>
      </c>
    </row>
    <row r="41" spans="2:12" ht="96" customHeight="1">
      <c r="B41" s="45" t="s">
        <v>2490</v>
      </c>
      <c r="C41" s="44" t="s">
        <v>2491</v>
      </c>
      <c r="D41" s="44" t="s">
        <v>2492</v>
      </c>
      <c r="E41" s="44" t="s">
        <v>2493</v>
      </c>
      <c r="F41" s="44" t="s">
        <v>2335</v>
      </c>
      <c r="G41" s="44" t="s">
        <v>2494</v>
      </c>
      <c r="H41" s="44" t="s">
        <v>2495</v>
      </c>
      <c r="I41" s="44" t="s">
        <v>2316</v>
      </c>
      <c r="J41" s="44" t="s">
        <v>2496</v>
      </c>
      <c r="K41" s="44" t="s">
        <v>2497</v>
      </c>
      <c r="L41" s="44" t="s">
        <v>2498</v>
      </c>
    </row>
    <row r="42" spans="2:12" ht="96" customHeight="1">
      <c r="B42" s="45" t="s">
        <v>2499</v>
      </c>
      <c r="C42" s="44" t="s">
        <v>2500</v>
      </c>
      <c r="D42" s="44" t="s">
        <v>2501</v>
      </c>
      <c r="E42" s="44" t="s">
        <v>2502</v>
      </c>
      <c r="F42" s="44" t="s">
        <v>2335</v>
      </c>
      <c r="G42" s="44" t="s">
        <v>2503</v>
      </c>
      <c r="H42" s="44" t="s">
        <v>2504</v>
      </c>
      <c r="I42" s="44" t="s">
        <v>2505</v>
      </c>
      <c r="J42" s="44" t="s">
        <v>2506</v>
      </c>
      <c r="K42" s="44" t="s">
        <v>2507</v>
      </c>
      <c r="L42" s="44" t="s">
        <v>2508</v>
      </c>
    </row>
    <row r="43" spans="2:12" ht="150">
      <c r="B43" s="45" t="s">
        <v>2556</v>
      </c>
      <c r="C43" s="44" t="s">
        <v>2557</v>
      </c>
      <c r="D43" s="44" t="s">
        <v>2558</v>
      </c>
      <c r="E43" s="44" t="s">
        <v>2559</v>
      </c>
      <c r="F43" s="44" t="s">
        <v>2560</v>
      </c>
      <c r="G43" s="44" t="s">
        <v>2561</v>
      </c>
      <c r="H43" s="44" t="s">
        <v>2562</v>
      </c>
      <c r="I43" s="44" t="s">
        <v>2563</v>
      </c>
      <c r="J43" s="44" t="s">
        <v>2902</v>
      </c>
      <c r="K43" s="44" t="s">
        <v>2903</v>
      </c>
      <c r="L43" s="44" t="s">
        <v>2904</v>
      </c>
    </row>
    <row r="44" spans="2:12" ht="150">
      <c r="B44" s="45" t="s">
        <v>2564</v>
      </c>
      <c r="C44" s="44" t="s">
        <v>2565</v>
      </c>
      <c r="D44" s="44" t="s">
        <v>2566</v>
      </c>
      <c r="E44" s="44" t="s">
        <v>2567</v>
      </c>
      <c r="F44" s="44" t="s">
        <v>2560</v>
      </c>
      <c r="G44" s="44" t="s">
        <v>2568</v>
      </c>
      <c r="H44" s="44" t="s">
        <v>2569</v>
      </c>
      <c r="I44" s="44" t="s">
        <v>2570</v>
      </c>
      <c r="J44" s="44" t="s">
        <v>2905</v>
      </c>
      <c r="K44" s="44" t="s">
        <v>2906</v>
      </c>
      <c r="L44" s="44" t="s">
        <v>2907</v>
      </c>
    </row>
    <row r="45" spans="2:12" ht="96" customHeight="1">
      <c r="B45" s="18" t="s">
        <v>2859</v>
      </c>
      <c r="C45" s="44" t="s">
        <v>2860</v>
      </c>
      <c r="D45" s="44" t="s">
        <v>2861</v>
      </c>
      <c r="E45" s="44" t="s">
        <v>2862</v>
      </c>
      <c r="F45" s="44" t="s">
        <v>2593</v>
      </c>
      <c r="G45" s="44" t="s">
        <v>2863</v>
      </c>
      <c r="H45" s="44" t="s">
        <v>2864</v>
      </c>
      <c r="I45" s="44" t="s">
        <v>2865</v>
      </c>
      <c r="J45" s="44" t="s">
        <v>2866</v>
      </c>
      <c r="K45" s="44" t="s">
        <v>2867</v>
      </c>
      <c r="L45" s="44" t="s">
        <v>2868</v>
      </c>
    </row>
    <row r="46" spans="2:12" ht="20.100000000000001" customHeight="1">
      <c r="B46" s="40" t="s">
        <v>2869</v>
      </c>
    </row>
    <row r="47" spans="2:12" ht="63.95" customHeight="1">
      <c r="B47" s="62" t="s">
        <v>2870</v>
      </c>
      <c r="C47" s="53"/>
      <c r="D47" s="53"/>
      <c r="E47" s="53"/>
      <c r="F47" s="53"/>
      <c r="G47" s="53"/>
      <c r="H47" s="53"/>
      <c r="I47" s="53"/>
      <c r="J47" s="53"/>
      <c r="K47" s="53"/>
      <c r="L47" s="53"/>
    </row>
    <row r="48" spans="2:12" ht="63.95" customHeight="1">
      <c r="B48" s="62" t="s">
        <v>2871</v>
      </c>
      <c r="C48" s="53"/>
      <c r="D48" s="53"/>
      <c r="E48" s="53"/>
      <c r="F48" s="53"/>
      <c r="G48" s="53"/>
      <c r="H48" s="53"/>
      <c r="I48" s="53"/>
      <c r="J48" s="53"/>
      <c r="K48" s="53"/>
      <c r="L48" s="53"/>
    </row>
    <row r="49" spans="2:12" ht="60" customHeight="1">
      <c r="B49" s="52" t="s">
        <v>2872</v>
      </c>
      <c r="C49" s="53"/>
      <c r="D49" s="53"/>
      <c r="E49" s="53"/>
      <c r="F49" s="53"/>
      <c r="G49" s="53"/>
      <c r="H49" s="53"/>
      <c r="I49" s="53"/>
      <c r="J49" s="53"/>
      <c r="K49" s="53"/>
      <c r="L49" s="53"/>
    </row>
    <row r="50" spans="2:12" ht="20.100000000000001" customHeight="1">
      <c r="B50" s="40" t="s">
        <v>2873</v>
      </c>
    </row>
    <row r="51" spans="2:12">
      <c r="B51" s="40" t="s">
        <v>2127</v>
      </c>
      <c r="C51" s="40" t="s">
        <v>2874</v>
      </c>
      <c r="D51" s="40" t="s">
        <v>2875</v>
      </c>
      <c r="E51" s="40" t="s">
        <v>2876</v>
      </c>
      <c r="F51" s="40" t="s">
        <v>2428</v>
      </c>
    </row>
    <row r="52" spans="2:12" ht="96" customHeight="1">
      <c r="B52" s="18" t="s">
        <v>2300</v>
      </c>
      <c r="C52" s="44" t="s">
        <v>2877</v>
      </c>
      <c r="D52" s="44" t="s">
        <v>2878</v>
      </c>
      <c r="E52" s="44" t="s">
        <v>2879</v>
      </c>
      <c r="F52" s="44" t="s">
        <v>2880</v>
      </c>
    </row>
    <row r="53" spans="2:12" ht="96" customHeight="1">
      <c r="B53" s="18" t="s">
        <v>2310</v>
      </c>
      <c r="C53" s="44" t="s">
        <v>2881</v>
      </c>
      <c r="D53" s="44" t="s">
        <v>2882</v>
      </c>
      <c r="E53" s="44" t="s">
        <v>2883</v>
      </c>
      <c r="F53" s="44" t="s">
        <v>2884</v>
      </c>
    </row>
    <row r="54" spans="2:12" ht="96" customHeight="1">
      <c r="B54" s="18" t="s">
        <v>2320</v>
      </c>
      <c r="C54" s="44" t="s">
        <v>2885</v>
      </c>
      <c r="D54" s="44" t="s">
        <v>2886</v>
      </c>
      <c r="E54" s="44" t="s">
        <v>2887</v>
      </c>
      <c r="F54" s="44" t="s">
        <v>2888</v>
      </c>
    </row>
    <row r="55" spans="2:12" ht="96" customHeight="1">
      <c r="B55" s="18" t="s">
        <v>2331</v>
      </c>
      <c r="C55" s="44" t="s">
        <v>2889</v>
      </c>
      <c r="D55" s="44" t="s">
        <v>2890</v>
      </c>
      <c r="E55" s="44" t="s">
        <v>2891</v>
      </c>
      <c r="F55" s="44" t="s">
        <v>2892</v>
      </c>
    </row>
    <row r="56" spans="2:12" ht="32.1" customHeight="1">
      <c r="B56" s="52" t="s">
        <v>2893</v>
      </c>
      <c r="C56" s="53"/>
      <c r="D56" s="53"/>
      <c r="E56" s="53"/>
      <c r="F56" s="53"/>
      <c r="G56" s="53"/>
      <c r="H56" s="53"/>
      <c r="I56" s="53"/>
      <c r="J56" s="53"/>
      <c r="K56" s="53"/>
      <c r="L56" s="53"/>
    </row>
    <row r="58" spans="2:12" ht="20.100000000000001" customHeight="1">
      <c r="B58" s="40" t="s">
        <v>2908</v>
      </c>
    </row>
    <row r="59" spans="2:12" ht="45.6" customHeight="1">
      <c r="B59" s="52" t="s">
        <v>2909</v>
      </c>
      <c r="C59" s="53"/>
      <c r="D59" s="53"/>
      <c r="E59" s="53"/>
      <c r="F59" s="53"/>
      <c r="G59" s="53"/>
      <c r="H59" s="53"/>
      <c r="I59" s="53"/>
      <c r="J59" s="53"/>
      <c r="K59" s="53"/>
      <c r="L59" s="53"/>
    </row>
    <row r="60" spans="2:12" ht="30.4" customHeight="1">
      <c r="B60" s="52" t="s">
        <v>2910</v>
      </c>
      <c r="C60" s="53"/>
      <c r="D60" s="53"/>
      <c r="E60" s="53"/>
      <c r="F60" s="53"/>
      <c r="G60" s="53"/>
      <c r="H60" s="53"/>
      <c r="I60" s="53"/>
      <c r="J60" s="53"/>
      <c r="K60" s="53"/>
      <c r="L60" s="53"/>
    </row>
    <row r="61" spans="2:12" ht="15.95" customHeight="1">
      <c r="B61" s="52" t="s">
        <v>2911</v>
      </c>
      <c r="C61" s="53"/>
      <c r="D61" s="53"/>
      <c r="E61" s="53"/>
      <c r="F61" s="53"/>
      <c r="G61" s="53"/>
      <c r="H61" s="53"/>
      <c r="I61" s="53"/>
      <c r="J61" s="53"/>
      <c r="K61" s="53"/>
      <c r="L61" s="53"/>
    </row>
    <row r="62" spans="2:12" ht="60.75" customHeight="1">
      <c r="B62" s="52" t="s">
        <v>2912</v>
      </c>
      <c r="C62" s="53"/>
      <c r="D62" s="53"/>
      <c r="E62" s="53"/>
      <c r="F62" s="53"/>
      <c r="G62" s="53"/>
      <c r="H62" s="53"/>
      <c r="I62" s="53"/>
      <c r="J62" s="53"/>
      <c r="K62" s="53"/>
      <c r="L62" s="53"/>
    </row>
    <row r="63" spans="2:12" ht="91.15" customHeight="1">
      <c r="B63" s="52" t="s">
        <v>2913</v>
      </c>
      <c r="C63" s="53"/>
      <c r="D63" s="53"/>
      <c r="E63" s="53"/>
      <c r="F63" s="53"/>
      <c r="G63" s="53"/>
      <c r="H63" s="53"/>
      <c r="I63" s="53"/>
      <c r="J63" s="53"/>
      <c r="K63" s="53"/>
      <c r="L63" s="53"/>
    </row>
  </sheetData>
  <mergeCells count="11">
    <mergeCell ref="B59:L59"/>
    <mergeCell ref="B60:L60"/>
    <mergeCell ref="B61:L61"/>
    <mergeCell ref="B62:L62"/>
    <mergeCell ref="B63:L63"/>
    <mergeCell ref="B3:L3"/>
    <mergeCell ref="B38:L38"/>
    <mergeCell ref="B47:L47"/>
    <mergeCell ref="B48:L48"/>
    <mergeCell ref="B56:L56"/>
    <mergeCell ref="B49:L4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4"/>
  <sheetViews>
    <sheetView workbookViewId="0">
      <pane ySplit="4" topLeftCell="A5" activePane="bottomLeft" state="frozen"/>
      <selection pane="bottomLeft"/>
    </sheetView>
  </sheetViews>
  <sheetFormatPr defaultRowHeight="15"/>
  <cols>
    <col min="1" max="1" width="10" customWidth="1"/>
    <col min="2" max="3" width="13" customWidth="1"/>
    <col min="4" max="4" width="100" customWidth="1"/>
  </cols>
  <sheetData>
    <row r="1" spans="1:4" ht="21" customHeight="1">
      <c r="A1" s="3" t="s">
        <v>2914</v>
      </c>
    </row>
    <row r="2" spans="1:4" ht="87.6" customHeight="1">
      <c r="A2" s="67" t="s">
        <v>2915</v>
      </c>
      <c r="B2" s="53"/>
      <c r="C2" s="53"/>
      <c r="D2" s="53"/>
    </row>
    <row r="3" spans="1:4" ht="6" customHeight="1"/>
    <row r="4" spans="1:4" ht="15.95" customHeight="1">
      <c r="A4" s="49" t="s">
        <v>2591</v>
      </c>
      <c r="B4" s="49" t="s">
        <v>2916</v>
      </c>
      <c r="C4" s="49" t="s">
        <v>2917</v>
      </c>
      <c r="D4" s="49" t="s">
        <v>2918</v>
      </c>
    </row>
    <row r="5" spans="1:4" ht="43.9" customHeight="1">
      <c r="A5" s="51" t="s">
        <v>2919</v>
      </c>
      <c r="B5" s="51" t="s">
        <v>2920</v>
      </c>
      <c r="C5" s="51" t="s">
        <v>2921</v>
      </c>
      <c r="D5" s="50" t="s">
        <v>2596</v>
      </c>
    </row>
    <row r="6" spans="1:4" ht="43.9" customHeight="1">
      <c r="A6" s="51" t="s">
        <v>2922</v>
      </c>
      <c r="B6" s="51" t="s">
        <v>2593</v>
      </c>
      <c r="C6" s="51" t="s">
        <v>2921</v>
      </c>
      <c r="D6" s="50" t="s">
        <v>2597</v>
      </c>
    </row>
    <row r="7" spans="1:4" ht="72.95" customHeight="1">
      <c r="A7" s="51" t="s">
        <v>2923</v>
      </c>
      <c r="B7" s="51" t="s">
        <v>2593</v>
      </c>
      <c r="C7" s="51" t="s">
        <v>2924</v>
      </c>
      <c r="D7" s="50" t="s">
        <v>2598</v>
      </c>
    </row>
    <row r="8" spans="1:4" ht="58.35" customHeight="1">
      <c r="A8" s="51" t="s">
        <v>2925</v>
      </c>
      <c r="B8" s="51" t="s">
        <v>2593</v>
      </c>
      <c r="C8" s="51" t="s">
        <v>2921</v>
      </c>
      <c r="D8" s="50" t="s">
        <v>2599</v>
      </c>
    </row>
    <row r="9" spans="1:4" ht="116.85" customHeight="1">
      <c r="A9" s="51" t="s">
        <v>2926</v>
      </c>
      <c r="B9" s="51" t="s">
        <v>2593</v>
      </c>
      <c r="C9" s="51" t="s">
        <v>2921</v>
      </c>
      <c r="D9" s="50" t="s">
        <v>2600</v>
      </c>
    </row>
    <row r="10" spans="1:4" ht="131.44999999999999" customHeight="1">
      <c r="A10" s="51" t="s">
        <v>2927</v>
      </c>
      <c r="B10" s="51" t="s">
        <v>2593</v>
      </c>
      <c r="C10" s="51" t="s">
        <v>2924</v>
      </c>
      <c r="D10" s="50" t="s">
        <v>2601</v>
      </c>
    </row>
    <row r="11" spans="1:4" ht="87.6" customHeight="1">
      <c r="A11" s="51" t="s">
        <v>2928</v>
      </c>
      <c r="B11" s="51" t="s">
        <v>2593</v>
      </c>
      <c r="C11" s="51" t="s">
        <v>2929</v>
      </c>
      <c r="D11" s="50" t="s">
        <v>2602</v>
      </c>
    </row>
    <row r="12" spans="1:4" ht="204.4" customHeight="1">
      <c r="A12" s="51" t="s">
        <v>2930</v>
      </c>
      <c r="B12" s="51" t="s">
        <v>2593</v>
      </c>
      <c r="C12" s="51" t="s">
        <v>2931</v>
      </c>
      <c r="D12" s="50" t="s">
        <v>2603</v>
      </c>
    </row>
    <row r="13" spans="1:4" ht="175.15" customHeight="1">
      <c r="A13" s="51" t="s">
        <v>2932</v>
      </c>
      <c r="B13" s="51" t="s">
        <v>2593</v>
      </c>
      <c r="C13" s="51" t="s">
        <v>2924</v>
      </c>
      <c r="D13" s="50" t="s">
        <v>2604</v>
      </c>
    </row>
    <row r="14" spans="1:4" ht="72.95" customHeight="1">
      <c r="A14" s="51" t="s">
        <v>2933</v>
      </c>
      <c r="B14" s="51" t="s">
        <v>2593</v>
      </c>
      <c r="C14" s="51" t="s">
        <v>2929</v>
      </c>
      <c r="D14" s="50" t="s">
        <v>2605</v>
      </c>
    </row>
    <row r="15" spans="1:4" ht="87.6" customHeight="1">
      <c r="A15" s="51" t="s">
        <v>2934</v>
      </c>
      <c r="B15" s="51" t="s">
        <v>2593</v>
      </c>
      <c r="C15" s="51" t="s">
        <v>2929</v>
      </c>
      <c r="D15" s="50" t="s">
        <v>2606</v>
      </c>
    </row>
    <row r="16" spans="1:4" ht="160.69999999999999" customHeight="1">
      <c r="A16" s="51" t="s">
        <v>2935</v>
      </c>
      <c r="B16" s="51" t="s">
        <v>2593</v>
      </c>
      <c r="C16" s="51" t="s">
        <v>2931</v>
      </c>
      <c r="D16" s="50" t="s">
        <v>2607</v>
      </c>
    </row>
    <row r="17" spans="1:4" ht="116.85" customHeight="1">
      <c r="A17" s="51" t="s">
        <v>2936</v>
      </c>
      <c r="B17" s="51" t="s">
        <v>2593</v>
      </c>
      <c r="C17" s="51" t="s">
        <v>2929</v>
      </c>
      <c r="D17" s="50" t="s">
        <v>2894</v>
      </c>
    </row>
    <row r="18" spans="1:4" ht="248.25" customHeight="1">
      <c r="A18" s="51" t="s">
        <v>2937</v>
      </c>
      <c r="B18" s="51" t="s">
        <v>2898</v>
      </c>
      <c r="C18" s="51" t="s">
        <v>2938</v>
      </c>
      <c r="D18" s="50" t="s">
        <v>2939</v>
      </c>
    </row>
    <row r="19" spans="1:4" ht="260.10000000000002" customHeight="1">
      <c r="A19" s="51" t="s">
        <v>2940</v>
      </c>
      <c r="B19" s="51" t="s">
        <v>2898</v>
      </c>
      <c r="C19" s="51" t="s">
        <v>2931</v>
      </c>
      <c r="D19" s="50" t="s">
        <v>2941</v>
      </c>
    </row>
    <row r="20" spans="1:4" ht="233.65" customHeight="1">
      <c r="A20" s="51" t="s">
        <v>2942</v>
      </c>
      <c r="B20" s="51" t="s">
        <v>2898</v>
      </c>
      <c r="C20" s="51" t="s">
        <v>2931</v>
      </c>
      <c r="D20" s="50" t="s">
        <v>2943</v>
      </c>
    </row>
    <row r="21" spans="1:4" ht="204.4" customHeight="1">
      <c r="A21" s="51" t="s">
        <v>2944</v>
      </c>
      <c r="B21" s="51" t="s">
        <v>2898</v>
      </c>
      <c r="C21" s="51" t="s">
        <v>2938</v>
      </c>
      <c r="D21" s="50" t="s">
        <v>2945</v>
      </c>
    </row>
    <row r="22" spans="1:4" ht="260.10000000000002" customHeight="1">
      <c r="A22" s="51" t="s">
        <v>2946</v>
      </c>
      <c r="B22" s="51" t="s">
        <v>2898</v>
      </c>
      <c r="C22" s="51" t="s">
        <v>2931</v>
      </c>
      <c r="D22" s="50" t="s">
        <v>2947</v>
      </c>
    </row>
    <row r="23" spans="1:4" ht="260.10000000000002" customHeight="1">
      <c r="A23" s="51" t="s">
        <v>2948</v>
      </c>
      <c r="B23" s="51" t="s">
        <v>2898</v>
      </c>
      <c r="C23" s="51" t="s">
        <v>2931</v>
      </c>
      <c r="D23" s="50" t="s">
        <v>2949</v>
      </c>
    </row>
    <row r="24" spans="1:4" ht="260.10000000000002" customHeight="1">
      <c r="A24" s="51" t="s">
        <v>2950</v>
      </c>
      <c r="B24" s="51" t="s">
        <v>2898</v>
      </c>
      <c r="C24" s="51" t="s">
        <v>2931</v>
      </c>
      <c r="D24" s="50" t="s">
        <v>2951</v>
      </c>
    </row>
  </sheetData>
  <mergeCells count="1">
    <mergeCell ref="A2:D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96"/>
  <sheetViews>
    <sheetView workbookViewId="0">
      <pane ySplit="4" topLeftCell="A5" activePane="bottomLeft" state="frozen"/>
      <selection pane="bottomLeft"/>
    </sheetView>
  </sheetViews>
  <sheetFormatPr defaultRowHeight="15"/>
  <cols>
    <col min="1" max="1" width="14" customWidth="1"/>
    <col min="2" max="2" width="95" customWidth="1"/>
    <col min="3" max="3" width="30" customWidth="1"/>
  </cols>
  <sheetData>
    <row r="1" spans="1:3" ht="21" customHeight="1">
      <c r="A1" s="3" t="s">
        <v>2952</v>
      </c>
    </row>
    <row r="2" spans="1:3" ht="72.95" customHeight="1">
      <c r="A2" s="67" t="s">
        <v>2953</v>
      </c>
      <c r="B2" s="53"/>
      <c r="C2" s="53"/>
    </row>
    <row r="3" spans="1:3" ht="6" customHeight="1"/>
    <row r="4" spans="1:3" ht="15.95" customHeight="1">
      <c r="A4" s="49" t="s">
        <v>2954</v>
      </c>
      <c r="B4" s="49" t="s">
        <v>2955</v>
      </c>
      <c r="C4" s="49" t="s">
        <v>2956</v>
      </c>
    </row>
    <row r="5" spans="1:3" ht="29.25" customHeight="1">
      <c r="A5" s="51" t="s">
        <v>2957</v>
      </c>
      <c r="B5" s="50" t="s">
        <v>2958</v>
      </c>
      <c r="C5" s="51" t="s">
        <v>2959</v>
      </c>
    </row>
    <row r="6" spans="1:3" ht="29.25" customHeight="1">
      <c r="A6" s="51" t="s">
        <v>2960</v>
      </c>
      <c r="B6" s="50" t="s">
        <v>2961</v>
      </c>
      <c r="C6" s="51" t="s">
        <v>2962</v>
      </c>
    </row>
    <row r="7" spans="1:3" ht="29.25" customHeight="1">
      <c r="A7" s="51" t="s">
        <v>2963</v>
      </c>
      <c r="B7" s="50" t="s">
        <v>2964</v>
      </c>
      <c r="C7" s="51" t="s">
        <v>2965</v>
      </c>
    </row>
    <row r="8" spans="1:3" ht="15" customHeight="1">
      <c r="A8" s="51" t="s">
        <v>2966</v>
      </c>
      <c r="B8" s="50" t="s">
        <v>2967</v>
      </c>
      <c r="C8" s="51" t="s">
        <v>2968</v>
      </c>
    </row>
    <row r="9" spans="1:3" ht="29.25" customHeight="1">
      <c r="A9" s="51" t="s">
        <v>2969</v>
      </c>
      <c r="B9" s="50" t="s">
        <v>2970</v>
      </c>
      <c r="C9" s="51" t="s">
        <v>2971</v>
      </c>
    </row>
    <row r="10" spans="1:3" ht="15" customHeight="1">
      <c r="A10" s="51" t="s">
        <v>2972</v>
      </c>
      <c r="B10" s="50" t="s">
        <v>2973</v>
      </c>
      <c r="C10" s="51" t="s">
        <v>2974</v>
      </c>
    </row>
    <row r="11" spans="1:3" ht="29.25" customHeight="1">
      <c r="A11" s="51" t="s">
        <v>2975</v>
      </c>
      <c r="B11" s="50" t="s">
        <v>2976</v>
      </c>
      <c r="C11" s="51" t="s">
        <v>2959</v>
      </c>
    </row>
    <row r="12" spans="1:3" ht="15" customHeight="1">
      <c r="A12" s="51" t="s">
        <v>2977</v>
      </c>
      <c r="B12" s="50" t="s">
        <v>2978</v>
      </c>
      <c r="C12" s="51" t="s">
        <v>2979</v>
      </c>
    </row>
    <row r="13" spans="1:3" ht="15" customHeight="1">
      <c r="A13" s="51" t="s">
        <v>2980</v>
      </c>
      <c r="B13" s="50" t="s">
        <v>2981</v>
      </c>
      <c r="C13" s="51" t="s">
        <v>2982</v>
      </c>
    </row>
    <row r="14" spans="1:3" ht="58.35" customHeight="1">
      <c r="A14" s="51" t="s">
        <v>2507</v>
      </c>
      <c r="B14" s="50" t="s">
        <v>2983</v>
      </c>
      <c r="C14" s="51" t="s">
        <v>2984</v>
      </c>
    </row>
    <row r="15" spans="1:3" ht="43.9" customHeight="1">
      <c r="A15" s="51" t="s">
        <v>2985</v>
      </c>
      <c r="B15" s="50" t="s">
        <v>2986</v>
      </c>
      <c r="C15" s="51" t="s">
        <v>2987</v>
      </c>
    </row>
    <row r="16" spans="1:3" ht="29.25" customHeight="1">
      <c r="A16" s="51" t="s">
        <v>2988</v>
      </c>
      <c r="B16" s="50" t="s">
        <v>2989</v>
      </c>
      <c r="C16" s="51" t="s">
        <v>2990</v>
      </c>
    </row>
    <row r="17" spans="1:3" ht="29.25" customHeight="1">
      <c r="A17" s="51" t="s">
        <v>2991</v>
      </c>
      <c r="B17" s="50" t="s">
        <v>2992</v>
      </c>
      <c r="C17" s="51" t="s">
        <v>2993</v>
      </c>
    </row>
    <row r="18" spans="1:3" ht="15" customHeight="1">
      <c r="A18" s="51" t="s">
        <v>2994</v>
      </c>
      <c r="B18" s="50" t="s">
        <v>2995</v>
      </c>
      <c r="C18" s="51" t="s">
        <v>2996</v>
      </c>
    </row>
    <row r="19" spans="1:3" ht="29.25" customHeight="1">
      <c r="A19" s="51" t="s">
        <v>2997</v>
      </c>
      <c r="B19" s="50" t="s">
        <v>2998</v>
      </c>
      <c r="C19" s="51" t="s">
        <v>2999</v>
      </c>
    </row>
    <row r="20" spans="1:3" ht="15" customHeight="1">
      <c r="A20" s="51" t="s">
        <v>3000</v>
      </c>
      <c r="B20" s="50" t="s">
        <v>3001</v>
      </c>
      <c r="C20" s="51" t="s">
        <v>3002</v>
      </c>
    </row>
    <row r="21" spans="1:3" ht="15" customHeight="1">
      <c r="A21" s="51" t="s">
        <v>3003</v>
      </c>
      <c r="B21" s="50" t="s">
        <v>3004</v>
      </c>
      <c r="C21" s="51" t="s">
        <v>3005</v>
      </c>
    </row>
    <row r="22" spans="1:3" ht="29.25" customHeight="1">
      <c r="A22" s="51" t="s">
        <v>3006</v>
      </c>
      <c r="B22" s="50" t="s">
        <v>3007</v>
      </c>
      <c r="C22" s="51" t="s">
        <v>3008</v>
      </c>
    </row>
    <row r="23" spans="1:3" ht="15" customHeight="1">
      <c r="A23" s="51" t="s">
        <v>2427</v>
      </c>
      <c r="B23" s="50" t="s">
        <v>3009</v>
      </c>
      <c r="C23" s="51" t="s">
        <v>3010</v>
      </c>
    </row>
    <row r="24" spans="1:3" ht="29.25" customHeight="1">
      <c r="A24" s="51" t="s">
        <v>3011</v>
      </c>
      <c r="B24" s="50" t="s">
        <v>3012</v>
      </c>
      <c r="C24" s="51" t="s">
        <v>3013</v>
      </c>
    </row>
    <row r="25" spans="1:3" ht="29.25" customHeight="1">
      <c r="A25" s="51" t="s">
        <v>3014</v>
      </c>
      <c r="B25" s="50" t="s">
        <v>3015</v>
      </c>
      <c r="C25" s="51" t="s">
        <v>3016</v>
      </c>
    </row>
    <row r="26" spans="1:3" ht="29.25" customHeight="1">
      <c r="A26" s="51" t="s">
        <v>24</v>
      </c>
      <c r="B26" s="50" t="s">
        <v>3017</v>
      </c>
      <c r="C26" s="51" t="s">
        <v>3018</v>
      </c>
    </row>
    <row r="27" spans="1:3" ht="29.25" customHeight="1">
      <c r="A27" s="51" t="s">
        <v>3019</v>
      </c>
      <c r="B27" s="50" t="s">
        <v>3020</v>
      </c>
      <c r="C27" s="51" t="s">
        <v>3021</v>
      </c>
    </row>
    <row r="28" spans="1:3" ht="43.9" customHeight="1">
      <c r="A28" s="51" t="s">
        <v>3022</v>
      </c>
      <c r="B28" s="50" t="s">
        <v>3023</v>
      </c>
      <c r="C28" s="51" t="s">
        <v>3024</v>
      </c>
    </row>
    <row r="29" spans="1:3" ht="29.25" customHeight="1">
      <c r="A29" s="51" t="s">
        <v>3025</v>
      </c>
      <c r="B29" s="50" t="s">
        <v>3026</v>
      </c>
      <c r="C29" s="51" t="s">
        <v>3027</v>
      </c>
    </row>
    <row r="30" spans="1:3" ht="15" customHeight="1">
      <c r="A30" s="51" t="s">
        <v>3028</v>
      </c>
      <c r="B30" s="50" t="s">
        <v>3029</v>
      </c>
      <c r="C30" s="51" t="s">
        <v>3030</v>
      </c>
    </row>
    <row r="31" spans="1:3" ht="29.25" customHeight="1">
      <c r="A31" s="51" t="s">
        <v>3031</v>
      </c>
      <c r="B31" s="50" t="s">
        <v>3032</v>
      </c>
      <c r="C31" s="51" t="s">
        <v>3033</v>
      </c>
    </row>
    <row r="32" spans="1:3" ht="15" customHeight="1">
      <c r="A32" s="51" t="s">
        <v>3034</v>
      </c>
      <c r="B32" s="50" t="s">
        <v>3035</v>
      </c>
      <c r="C32" s="51" t="s">
        <v>3036</v>
      </c>
    </row>
    <row r="33" spans="1:3" ht="29.25" customHeight="1">
      <c r="A33" s="51" t="s">
        <v>3037</v>
      </c>
      <c r="B33" s="50" t="s">
        <v>3038</v>
      </c>
      <c r="C33" s="51" t="s">
        <v>3039</v>
      </c>
    </row>
    <row r="34" spans="1:3" ht="29.25" customHeight="1">
      <c r="A34" s="51" t="s">
        <v>3040</v>
      </c>
      <c r="B34" s="50" t="s">
        <v>3041</v>
      </c>
      <c r="C34" s="51" t="s">
        <v>2999</v>
      </c>
    </row>
    <row r="35" spans="1:3" ht="15" customHeight="1">
      <c r="A35" s="51" t="s">
        <v>3042</v>
      </c>
      <c r="B35" s="50" t="s">
        <v>3043</v>
      </c>
      <c r="C35" s="51" t="s">
        <v>3039</v>
      </c>
    </row>
    <row r="36" spans="1:3" ht="29.25" customHeight="1">
      <c r="A36" s="51" t="s">
        <v>3044</v>
      </c>
      <c r="B36" s="50" t="s">
        <v>3045</v>
      </c>
      <c r="C36" s="51" t="s">
        <v>2982</v>
      </c>
    </row>
    <row r="37" spans="1:3" ht="29.25" customHeight="1">
      <c r="A37" s="51" t="s">
        <v>3046</v>
      </c>
      <c r="B37" s="50" t="s">
        <v>3047</v>
      </c>
      <c r="C37" s="51" t="s">
        <v>3048</v>
      </c>
    </row>
    <row r="38" spans="1:3" ht="29.25" customHeight="1">
      <c r="A38" s="51" t="s">
        <v>3049</v>
      </c>
      <c r="B38" s="50" t="s">
        <v>3050</v>
      </c>
      <c r="C38" s="51" t="s">
        <v>3051</v>
      </c>
    </row>
    <row r="39" spans="1:3" ht="29.25" customHeight="1">
      <c r="A39" s="51" t="s">
        <v>3052</v>
      </c>
      <c r="B39" s="50" t="s">
        <v>3053</v>
      </c>
      <c r="C39" s="51" t="s">
        <v>3054</v>
      </c>
    </row>
    <row r="40" spans="1:3" ht="29.25" customHeight="1">
      <c r="A40" s="51" t="s">
        <v>3055</v>
      </c>
      <c r="B40" s="50" t="s">
        <v>3056</v>
      </c>
      <c r="C40" s="51" t="s">
        <v>3057</v>
      </c>
    </row>
    <row r="41" spans="1:3" ht="15" customHeight="1">
      <c r="A41" s="51" t="s">
        <v>3058</v>
      </c>
      <c r="B41" s="50" t="s">
        <v>3059</v>
      </c>
      <c r="C41" s="51" t="s">
        <v>2968</v>
      </c>
    </row>
    <row r="42" spans="1:3" ht="15" customHeight="1">
      <c r="A42" s="51" t="s">
        <v>3060</v>
      </c>
      <c r="B42" s="50" t="s">
        <v>3061</v>
      </c>
      <c r="C42" s="51" t="s">
        <v>3062</v>
      </c>
    </row>
    <row r="43" spans="1:3" ht="15" customHeight="1">
      <c r="A43" s="51" t="s">
        <v>3063</v>
      </c>
      <c r="B43" s="50" t="s">
        <v>3064</v>
      </c>
      <c r="C43" s="51" t="s">
        <v>3062</v>
      </c>
    </row>
    <row r="44" spans="1:3" ht="15" customHeight="1">
      <c r="A44" s="51" t="s">
        <v>3065</v>
      </c>
      <c r="B44" s="50" t="s">
        <v>3066</v>
      </c>
      <c r="C44" s="51" t="s">
        <v>3067</v>
      </c>
    </row>
    <row r="45" spans="1:3" ht="15" customHeight="1">
      <c r="A45" s="51" t="s">
        <v>3068</v>
      </c>
      <c r="B45" s="50" t="s">
        <v>3069</v>
      </c>
      <c r="C45" s="51" t="s">
        <v>3070</v>
      </c>
    </row>
    <row r="46" spans="1:3" ht="29.25" customHeight="1">
      <c r="A46" s="51" t="s">
        <v>3071</v>
      </c>
      <c r="B46" s="50" t="s">
        <v>3072</v>
      </c>
      <c r="C46" s="51" t="s">
        <v>3039</v>
      </c>
    </row>
    <row r="47" spans="1:3" ht="15" customHeight="1">
      <c r="A47" s="51" t="s">
        <v>3073</v>
      </c>
      <c r="B47" s="50" t="s">
        <v>3074</v>
      </c>
      <c r="C47" s="51" t="s">
        <v>3075</v>
      </c>
    </row>
    <row r="48" spans="1:3" ht="15" customHeight="1">
      <c r="A48" s="51" t="s">
        <v>3076</v>
      </c>
      <c r="B48" s="50" t="s">
        <v>3077</v>
      </c>
      <c r="C48" s="51" t="s">
        <v>3013</v>
      </c>
    </row>
    <row r="49" spans="1:3" ht="87.6" customHeight="1">
      <c r="A49" s="51" t="s">
        <v>3078</v>
      </c>
      <c r="B49" s="50" t="s">
        <v>3079</v>
      </c>
      <c r="C49" s="51" t="s">
        <v>2990</v>
      </c>
    </row>
    <row r="50" spans="1:3" ht="15" customHeight="1">
      <c r="A50" s="51" t="s">
        <v>3080</v>
      </c>
      <c r="B50" s="50" t="s">
        <v>3081</v>
      </c>
      <c r="C50" s="51" t="s">
        <v>3039</v>
      </c>
    </row>
    <row r="51" spans="1:3" ht="58.35" customHeight="1">
      <c r="A51" s="51" t="s">
        <v>3082</v>
      </c>
      <c r="B51" s="50" t="s">
        <v>3083</v>
      </c>
      <c r="C51" s="51" t="s">
        <v>3084</v>
      </c>
    </row>
    <row r="52" spans="1:3" ht="15" customHeight="1">
      <c r="A52" s="51" t="s">
        <v>3085</v>
      </c>
      <c r="B52" s="50" t="s">
        <v>3086</v>
      </c>
      <c r="C52" s="51" t="s">
        <v>2982</v>
      </c>
    </row>
    <row r="53" spans="1:3" ht="29.25" customHeight="1">
      <c r="A53" s="51" t="s">
        <v>3087</v>
      </c>
      <c r="B53" s="50" t="s">
        <v>3088</v>
      </c>
      <c r="C53" s="51" t="s">
        <v>3070</v>
      </c>
    </row>
    <row r="54" spans="1:3" ht="29.25" customHeight="1">
      <c r="A54" s="51" t="s">
        <v>3089</v>
      </c>
      <c r="B54" s="50" t="s">
        <v>3090</v>
      </c>
      <c r="C54" s="51" t="s">
        <v>3091</v>
      </c>
    </row>
    <row r="55" spans="1:3" ht="29.25" customHeight="1">
      <c r="A55" s="51" t="s">
        <v>3092</v>
      </c>
      <c r="B55" s="50" t="s">
        <v>3093</v>
      </c>
      <c r="C55" s="51" t="s">
        <v>2999</v>
      </c>
    </row>
    <row r="56" spans="1:3" ht="29.25" customHeight="1">
      <c r="A56" s="51" t="s">
        <v>3094</v>
      </c>
      <c r="B56" s="50" t="s">
        <v>3095</v>
      </c>
      <c r="C56" s="51" t="s">
        <v>3096</v>
      </c>
    </row>
    <row r="57" spans="1:3" ht="15" customHeight="1">
      <c r="A57" s="51" t="s">
        <v>2788</v>
      </c>
      <c r="B57" s="50" t="s">
        <v>3097</v>
      </c>
      <c r="C57" s="51" t="s">
        <v>3098</v>
      </c>
    </row>
    <row r="58" spans="1:3" ht="15" customHeight="1">
      <c r="A58" s="51" t="s">
        <v>3099</v>
      </c>
      <c r="B58" s="50" t="s">
        <v>3100</v>
      </c>
      <c r="C58" s="51" t="s">
        <v>3101</v>
      </c>
    </row>
    <row r="59" spans="1:3" ht="72.95" customHeight="1">
      <c r="A59" s="51" t="s">
        <v>3102</v>
      </c>
      <c r="B59" s="50" t="s">
        <v>3103</v>
      </c>
      <c r="C59" s="51" t="s">
        <v>3104</v>
      </c>
    </row>
    <row r="60" spans="1:3" ht="29.25" customHeight="1">
      <c r="A60" s="51" t="s">
        <v>3105</v>
      </c>
      <c r="B60" s="50" t="s">
        <v>3106</v>
      </c>
      <c r="C60" s="51" t="s">
        <v>3107</v>
      </c>
    </row>
    <row r="61" spans="1:3" ht="15" customHeight="1">
      <c r="A61" s="51" t="s">
        <v>3108</v>
      </c>
      <c r="B61" s="50" t="s">
        <v>3109</v>
      </c>
      <c r="C61" s="51" t="s">
        <v>3110</v>
      </c>
    </row>
    <row r="62" spans="1:3" ht="29.25" customHeight="1">
      <c r="A62" s="51" t="s">
        <v>3111</v>
      </c>
      <c r="B62" s="50" t="s">
        <v>3112</v>
      </c>
      <c r="C62" s="51" t="s">
        <v>3113</v>
      </c>
    </row>
    <row r="63" spans="1:3" ht="43.9" customHeight="1">
      <c r="A63" s="51" t="s">
        <v>3114</v>
      </c>
      <c r="B63" s="50" t="s">
        <v>3115</v>
      </c>
      <c r="C63" s="51" t="s">
        <v>3116</v>
      </c>
    </row>
    <row r="64" spans="1:3" ht="15" customHeight="1">
      <c r="A64" s="51" t="s">
        <v>3117</v>
      </c>
      <c r="B64" s="50" t="s">
        <v>3118</v>
      </c>
      <c r="C64" s="51" t="s">
        <v>3107</v>
      </c>
    </row>
    <row r="65" spans="1:3" ht="29.25" customHeight="1">
      <c r="A65" s="51" t="s">
        <v>3119</v>
      </c>
      <c r="B65" s="50" t="s">
        <v>3120</v>
      </c>
      <c r="C65" s="51" t="s">
        <v>3121</v>
      </c>
    </row>
    <row r="66" spans="1:3" ht="15" customHeight="1">
      <c r="A66" s="51" t="s">
        <v>3122</v>
      </c>
      <c r="B66" s="50" t="s">
        <v>3123</v>
      </c>
      <c r="C66" s="51" t="s">
        <v>3124</v>
      </c>
    </row>
    <row r="67" spans="1:3" ht="15" customHeight="1">
      <c r="A67" s="51" t="s">
        <v>3125</v>
      </c>
      <c r="B67" s="50" t="s">
        <v>3126</v>
      </c>
      <c r="C67" s="51" t="s">
        <v>3021</v>
      </c>
    </row>
    <row r="68" spans="1:3" ht="29.25" customHeight="1">
      <c r="A68" s="51" t="s">
        <v>3127</v>
      </c>
      <c r="B68" s="50" t="s">
        <v>3128</v>
      </c>
      <c r="C68" s="51" t="s">
        <v>3129</v>
      </c>
    </row>
    <row r="69" spans="1:3" ht="43.9" customHeight="1">
      <c r="A69" s="51" t="s">
        <v>3130</v>
      </c>
      <c r="B69" s="50" t="s">
        <v>3131</v>
      </c>
      <c r="C69" s="51" t="s">
        <v>3132</v>
      </c>
    </row>
    <row r="70" spans="1:3" ht="29.25" customHeight="1">
      <c r="A70" s="51" t="s">
        <v>3133</v>
      </c>
      <c r="B70" s="50" t="s">
        <v>3134</v>
      </c>
      <c r="C70" s="51" t="s">
        <v>3107</v>
      </c>
    </row>
    <row r="71" spans="1:3" ht="15" customHeight="1">
      <c r="A71" s="51" t="s">
        <v>3135</v>
      </c>
      <c r="B71" s="50" t="s">
        <v>3136</v>
      </c>
      <c r="C71" s="51" t="s">
        <v>3137</v>
      </c>
    </row>
    <row r="72" spans="1:3" ht="15" customHeight="1">
      <c r="A72" s="51" t="s">
        <v>3138</v>
      </c>
      <c r="B72" s="50" t="s">
        <v>3139</v>
      </c>
      <c r="C72" s="51" t="s">
        <v>3110</v>
      </c>
    </row>
    <row r="73" spans="1:3" ht="29.25" customHeight="1">
      <c r="A73" s="51" t="s">
        <v>3140</v>
      </c>
      <c r="B73" s="50" t="s">
        <v>3141</v>
      </c>
      <c r="C73" s="51" t="s">
        <v>3039</v>
      </c>
    </row>
    <row r="74" spans="1:3" ht="15" customHeight="1">
      <c r="A74" s="51" t="s">
        <v>3142</v>
      </c>
      <c r="B74" s="50" t="s">
        <v>3143</v>
      </c>
      <c r="C74" s="51" t="s">
        <v>3110</v>
      </c>
    </row>
    <row r="75" spans="1:3" ht="29.25" customHeight="1">
      <c r="A75" s="51" t="s">
        <v>3144</v>
      </c>
      <c r="B75" s="50" t="s">
        <v>3145</v>
      </c>
      <c r="C75" s="51" t="s">
        <v>3146</v>
      </c>
    </row>
    <row r="76" spans="1:3" ht="15" customHeight="1">
      <c r="A76" s="51" t="s">
        <v>3147</v>
      </c>
      <c r="B76" s="50" t="s">
        <v>3148</v>
      </c>
      <c r="C76" s="51" t="s">
        <v>3110</v>
      </c>
    </row>
    <row r="77" spans="1:3" ht="43.9" customHeight="1">
      <c r="A77" s="51" t="s">
        <v>3149</v>
      </c>
      <c r="B77" s="50" t="s">
        <v>3150</v>
      </c>
      <c r="C77" s="51" t="s">
        <v>3151</v>
      </c>
    </row>
    <row r="78" spans="1:3" ht="15" customHeight="1">
      <c r="A78" s="51" t="s">
        <v>3152</v>
      </c>
      <c r="B78" s="50" t="s">
        <v>3153</v>
      </c>
      <c r="C78" s="51" t="s">
        <v>3107</v>
      </c>
    </row>
    <row r="79" spans="1:3" ht="15" customHeight="1">
      <c r="A79" s="51" t="s">
        <v>3154</v>
      </c>
      <c r="B79" s="50" t="s">
        <v>3155</v>
      </c>
      <c r="C79" s="51" t="s">
        <v>3156</v>
      </c>
    </row>
    <row r="80" spans="1:3" ht="15" customHeight="1">
      <c r="A80" s="51" t="s">
        <v>3157</v>
      </c>
      <c r="B80" s="50" t="s">
        <v>3158</v>
      </c>
      <c r="C80" s="51" t="s">
        <v>3159</v>
      </c>
    </row>
    <row r="81" spans="1:3" ht="43.9" customHeight="1">
      <c r="A81" s="51" t="s">
        <v>3160</v>
      </c>
      <c r="B81" s="50" t="s">
        <v>3161</v>
      </c>
      <c r="C81" s="51" t="s">
        <v>3162</v>
      </c>
    </row>
    <row r="82" spans="1:3" ht="58.35" customHeight="1">
      <c r="A82" s="51" t="s">
        <v>3163</v>
      </c>
      <c r="B82" s="50" t="s">
        <v>3164</v>
      </c>
      <c r="C82" s="51" t="s">
        <v>3070</v>
      </c>
    </row>
    <row r="83" spans="1:3" ht="43.9" customHeight="1">
      <c r="A83" s="51" t="s">
        <v>3165</v>
      </c>
      <c r="B83" s="50" t="s">
        <v>3166</v>
      </c>
      <c r="C83" s="51" t="s">
        <v>2965</v>
      </c>
    </row>
    <row r="84" spans="1:3" ht="43.9" customHeight="1">
      <c r="A84" s="51" t="s">
        <v>3167</v>
      </c>
      <c r="B84" s="50" t="s">
        <v>3168</v>
      </c>
      <c r="C84" s="51" t="s">
        <v>3169</v>
      </c>
    </row>
    <row r="85" spans="1:3" ht="43.9" customHeight="1">
      <c r="A85" s="51" t="s">
        <v>3170</v>
      </c>
      <c r="B85" s="50" t="s">
        <v>3171</v>
      </c>
      <c r="C85" s="51" t="s">
        <v>3172</v>
      </c>
    </row>
    <row r="86" spans="1:3" ht="15" customHeight="1">
      <c r="A86" s="51" t="s">
        <v>3173</v>
      </c>
      <c r="B86" s="50" t="s">
        <v>3174</v>
      </c>
      <c r="C86" s="51" t="s">
        <v>3175</v>
      </c>
    </row>
    <row r="87" spans="1:3" ht="15" customHeight="1">
      <c r="A87" s="51" t="s">
        <v>3176</v>
      </c>
      <c r="B87" s="50" t="s">
        <v>3177</v>
      </c>
      <c r="C87" s="51" t="s">
        <v>3178</v>
      </c>
    </row>
    <row r="88" spans="1:3" ht="15" customHeight="1">
      <c r="A88" s="51" t="s">
        <v>3179</v>
      </c>
      <c r="B88" s="50" t="s">
        <v>3180</v>
      </c>
      <c r="C88" s="51" t="s">
        <v>3181</v>
      </c>
    </row>
    <row r="89" spans="1:3" ht="15" customHeight="1">
      <c r="A89" s="51" t="s">
        <v>3182</v>
      </c>
      <c r="B89" s="50" t="s">
        <v>3183</v>
      </c>
      <c r="C89" s="51" t="s">
        <v>3184</v>
      </c>
    </row>
    <row r="90" spans="1:3" ht="15" customHeight="1">
      <c r="A90" s="51" t="s">
        <v>3185</v>
      </c>
      <c r="B90" s="50" t="s">
        <v>3186</v>
      </c>
      <c r="C90" s="51" t="s">
        <v>3039</v>
      </c>
    </row>
    <row r="91" spans="1:3" ht="29.25" customHeight="1">
      <c r="A91" s="51" t="s">
        <v>3187</v>
      </c>
      <c r="B91" s="50" t="s">
        <v>3188</v>
      </c>
      <c r="C91" s="51" t="s">
        <v>3070</v>
      </c>
    </row>
    <row r="92" spans="1:3" ht="29.25" customHeight="1">
      <c r="A92" s="51" t="s">
        <v>3189</v>
      </c>
      <c r="B92" s="50" t="s">
        <v>3190</v>
      </c>
      <c r="C92" s="51" t="s">
        <v>3191</v>
      </c>
    </row>
    <row r="93" spans="1:3" ht="15" customHeight="1">
      <c r="A93" s="51" t="s">
        <v>3192</v>
      </c>
      <c r="B93" s="50" t="s">
        <v>3193</v>
      </c>
      <c r="C93" s="51" t="s">
        <v>3194</v>
      </c>
    </row>
    <row r="94" spans="1:3" ht="15" customHeight="1">
      <c r="A94" s="51" t="s">
        <v>3195</v>
      </c>
      <c r="B94" s="50" t="s">
        <v>3196</v>
      </c>
      <c r="C94" s="51" t="s">
        <v>3084</v>
      </c>
    </row>
    <row r="95" spans="1:3" ht="15" customHeight="1">
      <c r="A95" s="51" t="s">
        <v>3197</v>
      </c>
      <c r="B95" s="50" t="s">
        <v>3198</v>
      </c>
      <c r="C95" s="51" t="s">
        <v>3199</v>
      </c>
    </row>
    <row r="96" spans="1:3" ht="29.25" customHeight="1">
      <c r="A96" s="51" t="s">
        <v>3200</v>
      </c>
      <c r="B96" s="50" t="s">
        <v>3201</v>
      </c>
      <c r="C96" s="51" t="s">
        <v>3202</v>
      </c>
    </row>
  </sheetData>
  <mergeCells count="1">
    <mergeCell ref="A2:C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1"/>
  <sheetViews>
    <sheetView workbookViewId="0">
      <pane ySplit="4" topLeftCell="A5" activePane="bottomLeft" state="frozen"/>
      <selection pane="bottomLeft"/>
    </sheetView>
  </sheetViews>
  <sheetFormatPr defaultRowHeight="15"/>
  <cols>
    <col min="1" max="1" width="34" customWidth="1"/>
    <col min="2" max="2" width="95" customWidth="1"/>
    <col min="3" max="3" width="30" customWidth="1"/>
  </cols>
  <sheetData>
    <row r="1" spans="1:3" ht="21" customHeight="1">
      <c r="A1" s="3" t="s">
        <v>3203</v>
      </c>
    </row>
    <row r="2" spans="1:3" ht="58.35" customHeight="1">
      <c r="A2" s="67" t="s">
        <v>3204</v>
      </c>
      <c r="B2" s="53"/>
      <c r="C2" s="53"/>
    </row>
    <row r="3" spans="1:3" ht="6" customHeight="1"/>
    <row r="4" spans="1:3" ht="15.95" customHeight="1">
      <c r="A4" s="49" t="s">
        <v>3205</v>
      </c>
      <c r="B4" s="49" t="s">
        <v>3206</v>
      </c>
      <c r="C4" s="49" t="s">
        <v>3207</v>
      </c>
    </row>
    <row r="5" spans="1:3" ht="43.9" customHeight="1">
      <c r="A5" s="51" t="s">
        <v>3208</v>
      </c>
      <c r="B5" s="50" t="s">
        <v>3209</v>
      </c>
      <c r="C5" s="51" t="s">
        <v>3210</v>
      </c>
    </row>
    <row r="6" spans="1:3" ht="43.9" customHeight="1">
      <c r="A6" s="51" t="s">
        <v>3211</v>
      </c>
      <c r="B6" s="50" t="s">
        <v>3212</v>
      </c>
      <c r="C6" s="51" t="s">
        <v>3213</v>
      </c>
    </row>
    <row r="7" spans="1:3" ht="29.25" customHeight="1">
      <c r="A7" s="51" t="s">
        <v>3214</v>
      </c>
      <c r="B7" s="50" t="s">
        <v>3215</v>
      </c>
      <c r="C7" s="51" t="s">
        <v>3216</v>
      </c>
    </row>
    <row r="8" spans="1:3" ht="58.35" customHeight="1">
      <c r="A8" s="51" t="s">
        <v>3217</v>
      </c>
      <c r="B8" s="50" t="s">
        <v>3218</v>
      </c>
      <c r="C8" s="51" t="s">
        <v>3219</v>
      </c>
    </row>
    <row r="9" spans="1:3" ht="29.25" customHeight="1">
      <c r="A9" s="51" t="s">
        <v>3220</v>
      </c>
      <c r="B9" s="50" t="s">
        <v>3221</v>
      </c>
      <c r="C9" s="51" t="s">
        <v>3016</v>
      </c>
    </row>
    <row r="10" spans="1:3" ht="29.25" customHeight="1">
      <c r="A10" s="51" t="s">
        <v>1996</v>
      </c>
      <c r="B10" s="50" t="s">
        <v>3222</v>
      </c>
      <c r="C10" s="51" t="s">
        <v>3223</v>
      </c>
    </row>
    <row r="11" spans="1:3" ht="43.9" customHeight="1">
      <c r="A11" s="51" t="s">
        <v>3224</v>
      </c>
      <c r="B11" s="50" t="s">
        <v>3225</v>
      </c>
      <c r="C11" s="51" t="s">
        <v>3226</v>
      </c>
    </row>
    <row r="12" spans="1:3" ht="29.25" customHeight="1">
      <c r="A12" s="51" t="s">
        <v>3227</v>
      </c>
      <c r="B12" s="50" t="s">
        <v>3228</v>
      </c>
      <c r="C12" s="51" t="s">
        <v>3229</v>
      </c>
    </row>
    <row r="13" spans="1:3" ht="43.9" customHeight="1">
      <c r="A13" s="51" t="s">
        <v>3230</v>
      </c>
      <c r="B13" s="50" t="s">
        <v>3231</v>
      </c>
      <c r="C13" s="51" t="s">
        <v>3232</v>
      </c>
    </row>
    <row r="14" spans="1:3" ht="43.9" customHeight="1">
      <c r="A14" s="51" t="s">
        <v>3233</v>
      </c>
      <c r="B14" s="50" t="s">
        <v>3234</v>
      </c>
      <c r="C14" s="51" t="s">
        <v>3235</v>
      </c>
    </row>
    <row r="15" spans="1:3" ht="72.95" customHeight="1">
      <c r="A15" s="51" t="s">
        <v>3236</v>
      </c>
      <c r="B15" s="50" t="s">
        <v>3237</v>
      </c>
      <c r="C15" s="51" t="s">
        <v>3238</v>
      </c>
    </row>
    <row r="16" spans="1:3" ht="58.35" customHeight="1">
      <c r="A16" s="51" t="s">
        <v>3239</v>
      </c>
      <c r="B16" s="50" t="s">
        <v>3240</v>
      </c>
      <c r="C16" s="51" t="s">
        <v>3241</v>
      </c>
    </row>
    <row r="17" spans="1:3" ht="29.25" customHeight="1">
      <c r="A17" s="51" t="s">
        <v>3242</v>
      </c>
      <c r="B17" s="50" t="s">
        <v>3243</v>
      </c>
      <c r="C17" s="51" t="s">
        <v>3244</v>
      </c>
    </row>
    <row r="18" spans="1:3" ht="29.25" customHeight="1">
      <c r="A18" s="51" t="s">
        <v>3245</v>
      </c>
      <c r="B18" s="50" t="s">
        <v>3246</v>
      </c>
      <c r="C18" s="51" t="s">
        <v>3247</v>
      </c>
    </row>
    <row r="19" spans="1:3" ht="43.9" customHeight="1">
      <c r="A19" s="51" t="s">
        <v>3248</v>
      </c>
      <c r="B19" s="50" t="s">
        <v>3249</v>
      </c>
      <c r="C19" s="51" t="s">
        <v>3250</v>
      </c>
    </row>
    <row r="20" spans="1:3" ht="29.25" customHeight="1">
      <c r="A20" s="51" t="s">
        <v>3251</v>
      </c>
      <c r="B20" s="50" t="s">
        <v>3252</v>
      </c>
      <c r="C20" s="51" t="s">
        <v>3253</v>
      </c>
    </row>
    <row r="21" spans="1:3" ht="43.9" customHeight="1">
      <c r="A21" s="51" t="s">
        <v>3254</v>
      </c>
      <c r="B21" s="50" t="s">
        <v>3255</v>
      </c>
      <c r="C21" s="51" t="s">
        <v>3256</v>
      </c>
    </row>
    <row r="22" spans="1:3" ht="29.25" customHeight="1">
      <c r="A22" s="51" t="s">
        <v>3049</v>
      </c>
      <c r="B22" s="50" t="s">
        <v>3257</v>
      </c>
      <c r="C22" s="51" t="s">
        <v>3258</v>
      </c>
    </row>
    <row r="23" spans="1:3" ht="43.9" customHeight="1">
      <c r="A23" s="51" t="s">
        <v>3259</v>
      </c>
      <c r="B23" s="50" t="s">
        <v>3260</v>
      </c>
      <c r="C23" s="51" t="s">
        <v>3261</v>
      </c>
    </row>
    <row r="24" spans="1:3" ht="43.9" customHeight="1">
      <c r="A24" s="51" t="s">
        <v>3262</v>
      </c>
      <c r="B24" s="50" t="s">
        <v>3263</v>
      </c>
      <c r="C24" s="51" t="s">
        <v>3264</v>
      </c>
    </row>
    <row r="25" spans="1:3" ht="43.9" customHeight="1">
      <c r="A25" s="51" t="s">
        <v>3265</v>
      </c>
      <c r="B25" s="50" t="s">
        <v>3266</v>
      </c>
      <c r="C25" s="51" t="s">
        <v>3267</v>
      </c>
    </row>
    <row r="26" spans="1:3" ht="29.25" customHeight="1">
      <c r="A26" s="51" t="s">
        <v>3268</v>
      </c>
      <c r="B26" s="50" t="s">
        <v>3269</v>
      </c>
      <c r="C26" s="51" t="s">
        <v>3270</v>
      </c>
    </row>
    <row r="27" spans="1:3" ht="29.25" customHeight="1">
      <c r="A27" s="51" t="s">
        <v>3271</v>
      </c>
      <c r="B27" s="50" t="s">
        <v>3272</v>
      </c>
      <c r="C27" s="51" t="s">
        <v>3273</v>
      </c>
    </row>
    <row r="28" spans="1:3" ht="43.9" customHeight="1">
      <c r="A28" s="51" t="s">
        <v>3274</v>
      </c>
      <c r="B28" s="50" t="s">
        <v>3275</v>
      </c>
      <c r="C28" s="51" t="s">
        <v>3276</v>
      </c>
    </row>
    <row r="29" spans="1:3" ht="43.9" customHeight="1">
      <c r="A29" s="51" t="s">
        <v>3277</v>
      </c>
      <c r="B29" s="50" t="s">
        <v>3278</v>
      </c>
      <c r="C29" s="51" t="s">
        <v>3279</v>
      </c>
    </row>
    <row r="30" spans="1:3" ht="102.2" customHeight="1">
      <c r="A30" s="51" t="s">
        <v>3280</v>
      </c>
      <c r="B30" s="50" t="s">
        <v>3281</v>
      </c>
      <c r="C30" s="51" t="s">
        <v>3282</v>
      </c>
    </row>
    <row r="31" spans="1:3" ht="29.25" customHeight="1">
      <c r="A31" s="51" t="s">
        <v>3283</v>
      </c>
      <c r="B31" s="50" t="s">
        <v>3284</v>
      </c>
      <c r="C31" s="51" t="s">
        <v>3285</v>
      </c>
    </row>
    <row r="32" spans="1:3" ht="29.25" customHeight="1">
      <c r="A32" s="51" t="s">
        <v>2663</v>
      </c>
      <c r="B32" s="50" t="s">
        <v>3286</v>
      </c>
      <c r="C32" s="51" t="s">
        <v>3287</v>
      </c>
    </row>
    <row r="33" spans="1:3" ht="29.25" customHeight="1">
      <c r="A33" s="51" t="s">
        <v>3288</v>
      </c>
      <c r="B33" s="50" t="s">
        <v>3289</v>
      </c>
      <c r="C33" s="51" t="s">
        <v>3290</v>
      </c>
    </row>
    <row r="34" spans="1:3" ht="131.44999999999999" customHeight="1">
      <c r="A34" s="51" t="s">
        <v>3291</v>
      </c>
      <c r="B34" s="50" t="s">
        <v>3292</v>
      </c>
      <c r="C34" s="51" t="s">
        <v>3293</v>
      </c>
    </row>
    <row r="35" spans="1:3" ht="29.25" customHeight="1">
      <c r="A35" s="51" t="s">
        <v>3294</v>
      </c>
      <c r="B35" s="50" t="s">
        <v>3295</v>
      </c>
      <c r="C35" s="51" t="s">
        <v>3296</v>
      </c>
    </row>
    <row r="36" spans="1:3" ht="131.44999999999999" customHeight="1">
      <c r="A36" s="51" t="s">
        <v>3297</v>
      </c>
      <c r="B36" s="50" t="s">
        <v>3298</v>
      </c>
      <c r="C36" s="51" t="s">
        <v>3299</v>
      </c>
    </row>
    <row r="37" spans="1:3" ht="43.9" customHeight="1">
      <c r="A37" s="51" t="s">
        <v>3300</v>
      </c>
      <c r="B37" s="50" t="s">
        <v>3301</v>
      </c>
      <c r="C37" s="51" t="s">
        <v>3302</v>
      </c>
    </row>
    <row r="38" spans="1:3" ht="29.25" customHeight="1">
      <c r="A38" s="51" t="s">
        <v>3303</v>
      </c>
      <c r="B38" s="50" t="s">
        <v>3304</v>
      </c>
      <c r="C38" s="51" t="s">
        <v>3305</v>
      </c>
    </row>
    <row r="39" spans="1:3" ht="43.9" customHeight="1">
      <c r="A39" s="51" t="s">
        <v>3306</v>
      </c>
      <c r="B39" s="50" t="s">
        <v>3307</v>
      </c>
      <c r="C39" s="51" t="s">
        <v>3308</v>
      </c>
    </row>
    <row r="40" spans="1:3" ht="43.9" customHeight="1">
      <c r="A40" s="51" t="s">
        <v>3309</v>
      </c>
      <c r="B40" s="50" t="s">
        <v>3310</v>
      </c>
      <c r="C40" s="51" t="s">
        <v>3311</v>
      </c>
    </row>
    <row r="41" spans="1:3" ht="58.35" customHeight="1">
      <c r="A41" s="51" t="s">
        <v>3312</v>
      </c>
      <c r="B41" s="50" t="s">
        <v>3313</v>
      </c>
      <c r="C41" s="51" t="s">
        <v>3314</v>
      </c>
    </row>
  </sheetData>
  <mergeCells count="1">
    <mergeCell ref="A2:C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14C77-5973-45F9-A807-1F729CC9294F}">
  <dimension ref="A1:W149"/>
  <sheetViews>
    <sheetView topLeftCell="A120" workbookViewId="0">
      <selection activeCell="E151" sqref="E151"/>
    </sheetView>
  </sheetViews>
  <sheetFormatPr defaultRowHeight="15"/>
  <cols>
    <col min="21" max="21" width="7.85546875" bestFit="1" customWidth="1"/>
    <col min="22" max="22" width="7.5703125" bestFit="1" customWidth="1"/>
    <col min="23" max="23" width="7.5703125" style="34" bestFit="1" customWidth="1"/>
  </cols>
  <sheetData>
    <row r="1" spans="1:23">
      <c r="A1" t="s">
        <v>2115</v>
      </c>
    </row>
    <row r="2" spans="1:23">
      <c r="A2" t="s">
        <v>49</v>
      </c>
      <c r="B2" t="s">
        <v>50</v>
      </c>
      <c r="C2" t="s">
        <v>51</v>
      </c>
      <c r="D2" t="s">
        <v>52</v>
      </c>
      <c r="E2" t="s">
        <v>53</v>
      </c>
      <c r="F2" t="s">
        <v>54</v>
      </c>
      <c r="G2" t="s">
        <v>55</v>
      </c>
      <c r="H2" t="s">
        <v>56</v>
      </c>
      <c r="I2" t="s">
        <v>57</v>
      </c>
      <c r="J2" t="s">
        <v>58</v>
      </c>
      <c r="K2" t="s">
        <v>59</v>
      </c>
      <c r="L2" t="s">
        <v>60</v>
      </c>
      <c r="M2" t="s">
        <v>61</v>
      </c>
      <c r="N2" t="s">
        <v>2116</v>
      </c>
      <c r="O2" t="s">
        <v>2117</v>
      </c>
      <c r="P2" t="s">
        <v>2118</v>
      </c>
      <c r="Q2" t="s">
        <v>2119</v>
      </c>
      <c r="R2" t="s">
        <v>2120</v>
      </c>
      <c r="S2" t="s">
        <v>2121</v>
      </c>
      <c r="U2" s="38" t="s">
        <v>2122</v>
      </c>
      <c r="V2" s="38" t="s">
        <v>2123</v>
      </c>
      <c r="W2" s="39" t="s">
        <v>2124</v>
      </c>
    </row>
    <row r="3" spans="1:23">
      <c r="A3">
        <v>1880</v>
      </c>
      <c r="B3">
        <v>-0.19</v>
      </c>
      <c r="C3">
        <v>-0.26</v>
      </c>
      <c r="D3">
        <v>-0.1</v>
      </c>
      <c r="E3">
        <v>-0.17</v>
      </c>
      <c r="F3">
        <v>-0.11</v>
      </c>
      <c r="G3">
        <v>-0.22</v>
      </c>
      <c r="H3">
        <v>-0.19</v>
      </c>
      <c r="I3">
        <v>-0.11</v>
      </c>
      <c r="J3">
        <v>-0.15</v>
      </c>
      <c r="K3">
        <v>-0.24</v>
      </c>
      <c r="L3">
        <v>-0.23</v>
      </c>
      <c r="M3">
        <v>-0.18</v>
      </c>
      <c r="N3">
        <v>-0.18</v>
      </c>
      <c r="O3" t="s">
        <v>62</v>
      </c>
      <c r="P3" t="s">
        <v>62</v>
      </c>
      <c r="Q3">
        <v>-0.13</v>
      </c>
      <c r="R3">
        <v>-0.17</v>
      </c>
      <c r="S3">
        <v>-0.21</v>
      </c>
      <c r="U3" s="34">
        <f>AVERAGE(B3:M3)</f>
        <v>-0.17916666666666667</v>
      </c>
      <c r="V3" s="34">
        <f>U3+14</f>
        <v>13.820833333333333</v>
      </c>
      <c r="W3" s="34">
        <f>V3*(9/5)+32</f>
        <v>56.877499999999998</v>
      </c>
    </row>
    <row r="4" spans="1:23">
      <c r="A4">
        <v>1881</v>
      </c>
      <c r="B4">
        <v>-0.2</v>
      </c>
      <c r="C4">
        <v>-0.15</v>
      </c>
      <c r="D4">
        <v>0.03</v>
      </c>
      <c r="E4">
        <v>0.05</v>
      </c>
      <c r="F4">
        <v>0.05</v>
      </c>
      <c r="G4">
        <v>-0.19</v>
      </c>
      <c r="H4">
        <v>0</v>
      </c>
      <c r="I4">
        <v>-0.04</v>
      </c>
      <c r="J4">
        <v>-0.16</v>
      </c>
      <c r="K4">
        <v>-0.22</v>
      </c>
      <c r="L4">
        <v>-0.19</v>
      </c>
      <c r="M4">
        <v>-0.08</v>
      </c>
      <c r="N4">
        <v>-0.09</v>
      </c>
      <c r="O4">
        <v>-0.1</v>
      </c>
      <c r="P4">
        <v>-0.18</v>
      </c>
      <c r="Q4">
        <v>0.04</v>
      </c>
      <c r="R4">
        <v>-0.08</v>
      </c>
      <c r="S4">
        <v>-0.19</v>
      </c>
      <c r="U4" s="34">
        <f t="shared" ref="U4:U67" si="0">AVERAGE(B4:M4)</f>
        <v>-9.1666666666666674E-2</v>
      </c>
      <c r="V4" s="34">
        <f t="shared" ref="V4:V67" si="1">U4+14</f>
        <v>13.908333333333333</v>
      </c>
      <c r="W4" s="34">
        <f t="shared" ref="W4:W67" si="2">V4*(9/5)+32</f>
        <v>57.034999999999997</v>
      </c>
    </row>
    <row r="5" spans="1:23">
      <c r="A5">
        <v>1882</v>
      </c>
      <c r="B5">
        <v>0.16</v>
      </c>
      <c r="C5">
        <v>0.13</v>
      </c>
      <c r="D5">
        <v>0.04</v>
      </c>
      <c r="E5">
        <v>-0.16</v>
      </c>
      <c r="F5">
        <v>-0.14000000000000001</v>
      </c>
      <c r="G5">
        <v>-0.23</v>
      </c>
      <c r="H5">
        <v>-0.17</v>
      </c>
      <c r="I5">
        <v>-0.08</v>
      </c>
      <c r="J5">
        <v>-0.15</v>
      </c>
      <c r="K5">
        <v>-0.24</v>
      </c>
      <c r="L5">
        <v>-0.17</v>
      </c>
      <c r="M5">
        <v>-0.37</v>
      </c>
      <c r="N5">
        <v>-0.12</v>
      </c>
      <c r="O5">
        <v>-0.09</v>
      </c>
      <c r="P5">
        <v>7.0000000000000007E-2</v>
      </c>
      <c r="Q5">
        <v>-0.09</v>
      </c>
      <c r="R5">
        <v>-0.16</v>
      </c>
      <c r="S5">
        <v>-0.19</v>
      </c>
      <c r="U5" s="34">
        <f t="shared" si="0"/>
        <v>-0.11499999999999999</v>
      </c>
      <c r="V5" s="34">
        <f t="shared" si="1"/>
        <v>13.885</v>
      </c>
      <c r="W5" s="34">
        <f t="shared" si="2"/>
        <v>56.992999999999995</v>
      </c>
    </row>
    <row r="6" spans="1:23">
      <c r="A6">
        <v>1883</v>
      </c>
      <c r="B6">
        <v>-0.3</v>
      </c>
      <c r="C6">
        <v>-0.37</v>
      </c>
      <c r="D6">
        <v>-0.13</v>
      </c>
      <c r="E6">
        <v>-0.19</v>
      </c>
      <c r="F6">
        <v>-0.18</v>
      </c>
      <c r="G6">
        <v>-7.0000000000000007E-2</v>
      </c>
      <c r="H6">
        <v>-0.08</v>
      </c>
      <c r="I6">
        <v>-0.14000000000000001</v>
      </c>
      <c r="J6">
        <v>-0.22</v>
      </c>
      <c r="K6">
        <v>-0.11</v>
      </c>
      <c r="L6">
        <v>-0.25</v>
      </c>
      <c r="M6">
        <v>-0.12</v>
      </c>
      <c r="N6">
        <v>-0.18</v>
      </c>
      <c r="O6">
        <v>-0.2</v>
      </c>
      <c r="P6">
        <v>-0.34</v>
      </c>
      <c r="Q6">
        <v>-0.16</v>
      </c>
      <c r="R6">
        <v>-0.1</v>
      </c>
      <c r="S6">
        <v>-0.19</v>
      </c>
      <c r="U6" s="34">
        <f t="shared" si="0"/>
        <v>-0.18000000000000002</v>
      </c>
      <c r="V6" s="34">
        <f t="shared" si="1"/>
        <v>13.82</v>
      </c>
      <c r="W6" s="34">
        <f t="shared" si="2"/>
        <v>56.876000000000005</v>
      </c>
    </row>
    <row r="7" spans="1:23">
      <c r="A7">
        <v>1884</v>
      </c>
      <c r="B7">
        <v>-0.13</v>
      </c>
      <c r="C7">
        <v>-0.08</v>
      </c>
      <c r="D7">
        <v>-0.36</v>
      </c>
      <c r="E7">
        <v>-0.4</v>
      </c>
      <c r="F7">
        <v>-0.34</v>
      </c>
      <c r="G7">
        <v>-0.35</v>
      </c>
      <c r="H7">
        <v>-0.31</v>
      </c>
      <c r="I7">
        <v>-0.28000000000000003</v>
      </c>
      <c r="J7">
        <v>-0.27</v>
      </c>
      <c r="K7">
        <v>-0.25</v>
      </c>
      <c r="L7">
        <v>-0.34</v>
      </c>
      <c r="M7">
        <v>-0.31</v>
      </c>
      <c r="N7">
        <v>-0.28999999999999998</v>
      </c>
      <c r="O7">
        <v>-0.27</v>
      </c>
      <c r="P7">
        <v>-0.11</v>
      </c>
      <c r="Q7">
        <v>-0.37</v>
      </c>
      <c r="R7">
        <v>-0.31</v>
      </c>
      <c r="S7">
        <v>-0.28999999999999998</v>
      </c>
      <c r="U7" s="34">
        <f t="shared" si="0"/>
        <v>-0.28499999999999998</v>
      </c>
      <c r="V7" s="34">
        <f t="shared" si="1"/>
        <v>13.715</v>
      </c>
      <c r="W7" s="34">
        <f t="shared" si="2"/>
        <v>56.686999999999998</v>
      </c>
    </row>
    <row r="8" spans="1:23">
      <c r="A8">
        <v>1885</v>
      </c>
      <c r="B8">
        <v>-0.59</v>
      </c>
      <c r="C8">
        <v>-0.34</v>
      </c>
      <c r="D8">
        <v>-0.27</v>
      </c>
      <c r="E8">
        <v>-0.42</v>
      </c>
      <c r="F8">
        <v>-0.46</v>
      </c>
      <c r="G8">
        <v>-0.44</v>
      </c>
      <c r="H8">
        <v>-0.34</v>
      </c>
      <c r="I8">
        <v>-0.32</v>
      </c>
      <c r="J8">
        <v>-0.28999999999999998</v>
      </c>
      <c r="K8">
        <v>-0.24</v>
      </c>
      <c r="L8">
        <v>-0.25</v>
      </c>
      <c r="M8">
        <v>-0.11</v>
      </c>
      <c r="N8">
        <v>-0.34</v>
      </c>
      <c r="O8">
        <v>-0.36</v>
      </c>
      <c r="P8">
        <v>-0.41</v>
      </c>
      <c r="Q8">
        <v>-0.38</v>
      </c>
      <c r="R8">
        <v>-0.37</v>
      </c>
      <c r="S8">
        <v>-0.26</v>
      </c>
      <c r="U8" s="34">
        <f t="shared" si="0"/>
        <v>-0.33916666666666667</v>
      </c>
      <c r="V8" s="34">
        <f t="shared" si="1"/>
        <v>13.660833333333333</v>
      </c>
      <c r="W8" s="34">
        <f t="shared" si="2"/>
        <v>56.589500000000001</v>
      </c>
    </row>
    <row r="9" spans="1:23">
      <c r="A9">
        <v>1886</v>
      </c>
      <c r="B9">
        <v>-0.45</v>
      </c>
      <c r="C9">
        <v>-0.51</v>
      </c>
      <c r="D9">
        <v>-0.44</v>
      </c>
      <c r="E9">
        <v>-0.28999999999999998</v>
      </c>
      <c r="F9">
        <v>-0.25</v>
      </c>
      <c r="G9">
        <v>-0.35</v>
      </c>
      <c r="H9">
        <v>-0.18</v>
      </c>
      <c r="I9">
        <v>-0.31</v>
      </c>
      <c r="J9">
        <v>-0.24</v>
      </c>
      <c r="K9">
        <v>-0.28000000000000003</v>
      </c>
      <c r="L9">
        <v>-0.28000000000000003</v>
      </c>
      <c r="M9">
        <v>-0.26</v>
      </c>
      <c r="N9">
        <v>-0.32</v>
      </c>
      <c r="O9">
        <v>-0.31</v>
      </c>
      <c r="P9">
        <v>-0.36</v>
      </c>
      <c r="Q9">
        <v>-0.32</v>
      </c>
      <c r="R9">
        <v>-0.28000000000000003</v>
      </c>
      <c r="S9">
        <v>-0.27</v>
      </c>
      <c r="U9" s="34">
        <f t="shared" si="0"/>
        <v>-0.32000000000000006</v>
      </c>
      <c r="V9" s="34">
        <f t="shared" si="1"/>
        <v>13.68</v>
      </c>
      <c r="W9" s="34">
        <f t="shared" si="2"/>
        <v>56.623999999999995</v>
      </c>
    </row>
    <row r="10" spans="1:23">
      <c r="A10">
        <v>1887</v>
      </c>
      <c r="B10">
        <v>-0.72</v>
      </c>
      <c r="C10">
        <v>-0.56999999999999995</v>
      </c>
      <c r="D10">
        <v>-0.36</v>
      </c>
      <c r="E10">
        <v>-0.35</v>
      </c>
      <c r="F10">
        <v>-0.31</v>
      </c>
      <c r="G10">
        <v>-0.25</v>
      </c>
      <c r="H10">
        <v>-0.26</v>
      </c>
      <c r="I10">
        <v>-0.36</v>
      </c>
      <c r="J10">
        <v>-0.26</v>
      </c>
      <c r="K10">
        <v>-0.36</v>
      </c>
      <c r="L10">
        <v>-0.26</v>
      </c>
      <c r="M10">
        <v>-0.34</v>
      </c>
      <c r="N10">
        <v>-0.37</v>
      </c>
      <c r="O10">
        <v>-0.36</v>
      </c>
      <c r="P10">
        <v>-0.52</v>
      </c>
      <c r="Q10">
        <v>-0.34</v>
      </c>
      <c r="R10">
        <v>-0.28999999999999998</v>
      </c>
      <c r="S10">
        <v>-0.28999999999999998</v>
      </c>
      <c r="U10" s="34">
        <f t="shared" si="0"/>
        <v>-0.3666666666666667</v>
      </c>
      <c r="V10" s="34">
        <f t="shared" si="1"/>
        <v>13.633333333333333</v>
      </c>
      <c r="W10" s="34">
        <f t="shared" si="2"/>
        <v>56.54</v>
      </c>
    </row>
    <row r="11" spans="1:23">
      <c r="A11">
        <v>1888</v>
      </c>
      <c r="B11">
        <v>-0.34</v>
      </c>
      <c r="C11">
        <v>-0.37</v>
      </c>
      <c r="D11">
        <v>-0.42</v>
      </c>
      <c r="E11">
        <v>-0.21</v>
      </c>
      <c r="F11">
        <v>-0.23</v>
      </c>
      <c r="G11">
        <v>-0.18</v>
      </c>
      <c r="H11">
        <v>-0.11</v>
      </c>
      <c r="I11">
        <v>-0.16</v>
      </c>
      <c r="J11">
        <v>-0.12</v>
      </c>
      <c r="K11">
        <v>0.01</v>
      </c>
      <c r="L11">
        <v>0.02</v>
      </c>
      <c r="M11">
        <v>-0.05</v>
      </c>
      <c r="N11">
        <v>-0.18</v>
      </c>
      <c r="O11">
        <v>-0.2</v>
      </c>
      <c r="P11">
        <v>-0.35</v>
      </c>
      <c r="Q11">
        <v>-0.28000000000000003</v>
      </c>
      <c r="R11">
        <v>-0.15</v>
      </c>
      <c r="S11">
        <v>-0.03</v>
      </c>
      <c r="U11" s="34">
        <f t="shared" si="0"/>
        <v>-0.18000000000000002</v>
      </c>
      <c r="V11" s="34">
        <f t="shared" si="1"/>
        <v>13.82</v>
      </c>
      <c r="W11" s="34">
        <f t="shared" si="2"/>
        <v>56.876000000000005</v>
      </c>
    </row>
    <row r="12" spans="1:23">
      <c r="A12">
        <v>1889</v>
      </c>
      <c r="B12">
        <v>-0.1</v>
      </c>
      <c r="C12">
        <v>0.16</v>
      </c>
      <c r="D12">
        <v>0.05</v>
      </c>
      <c r="E12">
        <v>0.08</v>
      </c>
      <c r="F12">
        <v>-0.02</v>
      </c>
      <c r="G12">
        <v>-0.11</v>
      </c>
      <c r="H12">
        <v>-0.08</v>
      </c>
      <c r="I12">
        <v>-0.21</v>
      </c>
      <c r="J12">
        <v>-0.24</v>
      </c>
      <c r="K12">
        <v>-0.26</v>
      </c>
      <c r="L12">
        <v>-0.34</v>
      </c>
      <c r="M12">
        <v>-0.28999999999999998</v>
      </c>
      <c r="N12">
        <v>-0.11</v>
      </c>
      <c r="O12">
        <v>-0.09</v>
      </c>
      <c r="P12">
        <v>0</v>
      </c>
      <c r="Q12">
        <v>0.04</v>
      </c>
      <c r="R12">
        <v>-0.13</v>
      </c>
      <c r="S12">
        <v>-0.28000000000000003</v>
      </c>
      <c r="U12" s="34">
        <f t="shared" si="0"/>
        <v>-0.11333333333333334</v>
      </c>
      <c r="V12" s="34">
        <f t="shared" si="1"/>
        <v>13.886666666666667</v>
      </c>
      <c r="W12" s="34">
        <f t="shared" si="2"/>
        <v>56.996000000000002</v>
      </c>
    </row>
    <row r="13" spans="1:23">
      <c r="A13">
        <v>1890</v>
      </c>
      <c r="B13">
        <v>-0.43</v>
      </c>
      <c r="C13">
        <v>-0.46</v>
      </c>
      <c r="D13">
        <v>-0.41</v>
      </c>
      <c r="E13">
        <v>-0.3</v>
      </c>
      <c r="F13">
        <v>-0.4</v>
      </c>
      <c r="G13">
        <v>-0.25</v>
      </c>
      <c r="H13">
        <v>-0.28999999999999998</v>
      </c>
      <c r="I13">
        <v>-0.4</v>
      </c>
      <c r="J13">
        <v>-0.37</v>
      </c>
      <c r="K13">
        <v>-0.26</v>
      </c>
      <c r="L13">
        <v>-0.45</v>
      </c>
      <c r="M13">
        <v>-0.32</v>
      </c>
      <c r="N13">
        <v>-0.36</v>
      </c>
      <c r="O13">
        <v>-0.36</v>
      </c>
      <c r="P13">
        <v>-0.39</v>
      </c>
      <c r="Q13">
        <v>-0.37</v>
      </c>
      <c r="R13">
        <v>-0.31</v>
      </c>
      <c r="S13">
        <v>-0.36</v>
      </c>
      <c r="U13" s="34">
        <f t="shared" si="0"/>
        <v>-0.36166666666666675</v>
      </c>
      <c r="V13" s="34">
        <f t="shared" si="1"/>
        <v>13.638333333333334</v>
      </c>
      <c r="W13" s="34">
        <f t="shared" si="2"/>
        <v>56.548999999999999</v>
      </c>
    </row>
    <row r="14" spans="1:23">
      <c r="A14">
        <v>1891</v>
      </c>
      <c r="B14">
        <v>-0.34</v>
      </c>
      <c r="C14">
        <v>-0.47</v>
      </c>
      <c r="D14">
        <v>-0.18</v>
      </c>
      <c r="E14">
        <v>-0.28000000000000003</v>
      </c>
      <c r="F14">
        <v>-0.17</v>
      </c>
      <c r="G14">
        <v>-0.21</v>
      </c>
      <c r="H14">
        <v>-0.18</v>
      </c>
      <c r="I14">
        <v>-0.18</v>
      </c>
      <c r="J14">
        <v>-0.16</v>
      </c>
      <c r="K14">
        <v>-0.22</v>
      </c>
      <c r="L14">
        <v>-0.32</v>
      </c>
      <c r="M14">
        <v>-0.04</v>
      </c>
      <c r="N14">
        <v>-0.23</v>
      </c>
      <c r="O14">
        <v>-0.25</v>
      </c>
      <c r="P14">
        <v>-0.38</v>
      </c>
      <c r="Q14">
        <v>-0.21</v>
      </c>
      <c r="R14">
        <v>-0.19</v>
      </c>
      <c r="S14">
        <v>-0.23</v>
      </c>
      <c r="U14" s="34">
        <f t="shared" si="0"/>
        <v>-0.22916666666666666</v>
      </c>
      <c r="V14" s="34">
        <f t="shared" si="1"/>
        <v>13.770833333333334</v>
      </c>
      <c r="W14" s="34">
        <f t="shared" si="2"/>
        <v>56.787500000000001</v>
      </c>
    </row>
    <row r="15" spans="1:23">
      <c r="A15">
        <v>1892</v>
      </c>
      <c r="B15">
        <v>-0.3</v>
      </c>
      <c r="C15">
        <v>-0.12</v>
      </c>
      <c r="D15">
        <v>-0.4</v>
      </c>
      <c r="E15">
        <v>-0.34</v>
      </c>
      <c r="F15">
        <v>-0.23</v>
      </c>
      <c r="G15">
        <v>-0.22</v>
      </c>
      <c r="H15">
        <v>-0.32</v>
      </c>
      <c r="I15">
        <v>-0.27</v>
      </c>
      <c r="J15">
        <v>-0.17</v>
      </c>
      <c r="K15">
        <v>-0.14000000000000001</v>
      </c>
      <c r="L15">
        <v>-0.43</v>
      </c>
      <c r="M15">
        <v>-0.4</v>
      </c>
      <c r="N15">
        <v>-0.28000000000000003</v>
      </c>
      <c r="O15">
        <v>-0.25</v>
      </c>
      <c r="P15">
        <v>-0.15</v>
      </c>
      <c r="Q15">
        <v>-0.33</v>
      </c>
      <c r="R15">
        <v>-0.27</v>
      </c>
      <c r="S15">
        <v>-0.25</v>
      </c>
      <c r="U15" s="34">
        <f t="shared" si="0"/>
        <v>-0.27833333333333338</v>
      </c>
      <c r="V15" s="34">
        <f t="shared" si="1"/>
        <v>13.721666666666666</v>
      </c>
      <c r="W15" s="34">
        <f t="shared" si="2"/>
        <v>56.698999999999998</v>
      </c>
    </row>
    <row r="16" spans="1:23">
      <c r="A16">
        <v>1893</v>
      </c>
      <c r="B16">
        <v>-0.81</v>
      </c>
      <c r="C16">
        <v>-0.56999999999999995</v>
      </c>
      <c r="D16">
        <v>-0.23</v>
      </c>
      <c r="E16">
        <v>-0.28000000000000003</v>
      </c>
      <c r="F16">
        <v>-0.34</v>
      </c>
      <c r="G16">
        <v>-0.26</v>
      </c>
      <c r="H16">
        <v>-0.14000000000000001</v>
      </c>
      <c r="I16">
        <v>-0.25</v>
      </c>
      <c r="J16">
        <v>-0.22</v>
      </c>
      <c r="K16">
        <v>-0.18</v>
      </c>
      <c r="L16">
        <v>-0.19</v>
      </c>
      <c r="M16">
        <v>-0.32</v>
      </c>
      <c r="N16">
        <v>-0.32</v>
      </c>
      <c r="O16">
        <v>-0.32</v>
      </c>
      <c r="P16">
        <v>-0.59</v>
      </c>
      <c r="Q16">
        <v>-0.28000000000000003</v>
      </c>
      <c r="R16">
        <v>-0.22</v>
      </c>
      <c r="S16">
        <v>-0.2</v>
      </c>
      <c r="U16" s="34">
        <f t="shared" si="0"/>
        <v>-0.31583333333333335</v>
      </c>
      <c r="V16" s="34">
        <f t="shared" si="1"/>
        <v>13.684166666666666</v>
      </c>
      <c r="W16" s="34">
        <f t="shared" si="2"/>
        <v>56.631500000000003</v>
      </c>
    </row>
    <row r="17" spans="1:23">
      <c r="A17">
        <v>1894</v>
      </c>
      <c r="B17">
        <v>-0.53</v>
      </c>
      <c r="C17">
        <v>-0.3</v>
      </c>
      <c r="D17">
        <v>-0.24</v>
      </c>
      <c r="E17">
        <v>-0.45</v>
      </c>
      <c r="F17">
        <v>-0.32</v>
      </c>
      <c r="G17">
        <v>-0.41</v>
      </c>
      <c r="H17">
        <v>-0.24</v>
      </c>
      <c r="I17">
        <v>-0.24</v>
      </c>
      <c r="J17">
        <v>-0.28000000000000003</v>
      </c>
      <c r="K17">
        <v>-0.23</v>
      </c>
      <c r="L17">
        <v>-0.26</v>
      </c>
      <c r="M17">
        <v>-0.21</v>
      </c>
      <c r="N17">
        <v>-0.31</v>
      </c>
      <c r="O17">
        <v>-0.32</v>
      </c>
      <c r="P17">
        <v>-0.38</v>
      </c>
      <c r="Q17">
        <v>-0.34</v>
      </c>
      <c r="R17">
        <v>-0.3</v>
      </c>
      <c r="S17">
        <v>-0.26</v>
      </c>
      <c r="U17" s="34">
        <f t="shared" si="0"/>
        <v>-0.30916666666666676</v>
      </c>
      <c r="V17" s="34">
        <f t="shared" si="1"/>
        <v>13.690833333333334</v>
      </c>
      <c r="W17" s="34">
        <f t="shared" si="2"/>
        <v>56.643500000000003</v>
      </c>
    </row>
    <row r="18" spans="1:23">
      <c r="A18">
        <v>1895</v>
      </c>
      <c r="B18">
        <v>-0.41</v>
      </c>
      <c r="C18">
        <v>-0.43</v>
      </c>
      <c r="D18">
        <v>-0.33</v>
      </c>
      <c r="E18">
        <v>-0.22</v>
      </c>
      <c r="F18">
        <v>-0.27</v>
      </c>
      <c r="G18">
        <v>-0.21</v>
      </c>
      <c r="H18">
        <v>-0.17</v>
      </c>
      <c r="I18">
        <v>-0.17</v>
      </c>
      <c r="J18">
        <v>-0.12</v>
      </c>
      <c r="K18">
        <v>-0.11</v>
      </c>
      <c r="L18">
        <v>-0.17</v>
      </c>
      <c r="M18">
        <v>-0.15</v>
      </c>
      <c r="N18">
        <v>-0.23</v>
      </c>
      <c r="O18">
        <v>-0.24</v>
      </c>
      <c r="P18">
        <v>-0.35</v>
      </c>
      <c r="Q18">
        <v>-0.28000000000000003</v>
      </c>
      <c r="R18">
        <v>-0.18</v>
      </c>
      <c r="S18">
        <v>-0.13</v>
      </c>
      <c r="U18" s="34">
        <f t="shared" si="0"/>
        <v>-0.22999999999999998</v>
      </c>
      <c r="V18" s="34">
        <f t="shared" si="1"/>
        <v>13.77</v>
      </c>
      <c r="W18" s="34">
        <f t="shared" si="2"/>
        <v>56.786000000000001</v>
      </c>
    </row>
    <row r="19" spans="1:23">
      <c r="A19">
        <v>1896</v>
      </c>
      <c r="B19">
        <v>-0.23</v>
      </c>
      <c r="C19">
        <v>-0.13</v>
      </c>
      <c r="D19">
        <v>-0.27</v>
      </c>
      <c r="E19">
        <v>-0.31</v>
      </c>
      <c r="F19">
        <v>-0.16</v>
      </c>
      <c r="G19">
        <v>-0.12</v>
      </c>
      <c r="H19">
        <v>-0.03</v>
      </c>
      <c r="I19">
        <v>-0.06</v>
      </c>
      <c r="J19">
        <v>-0.08</v>
      </c>
      <c r="K19">
        <v>0.06</v>
      </c>
      <c r="L19">
        <v>-0.05</v>
      </c>
      <c r="M19">
        <v>-0.05</v>
      </c>
      <c r="N19">
        <v>-0.12</v>
      </c>
      <c r="O19">
        <v>-0.13</v>
      </c>
      <c r="P19">
        <v>-0.17</v>
      </c>
      <c r="Q19">
        <v>-0.25</v>
      </c>
      <c r="R19">
        <v>-7.0000000000000007E-2</v>
      </c>
      <c r="S19">
        <v>-0.02</v>
      </c>
      <c r="U19" s="34">
        <f t="shared" si="0"/>
        <v>-0.11916666666666666</v>
      </c>
      <c r="V19" s="34">
        <f t="shared" si="1"/>
        <v>13.880833333333333</v>
      </c>
      <c r="W19" s="34">
        <f t="shared" si="2"/>
        <v>56.985500000000002</v>
      </c>
    </row>
    <row r="20" spans="1:23">
      <c r="A20">
        <v>1897</v>
      </c>
      <c r="B20">
        <v>-0.16</v>
      </c>
      <c r="C20">
        <v>-0.17</v>
      </c>
      <c r="D20">
        <v>-0.14000000000000001</v>
      </c>
      <c r="E20">
        <v>-0.03</v>
      </c>
      <c r="F20">
        <v>-0.02</v>
      </c>
      <c r="G20">
        <v>-0.12</v>
      </c>
      <c r="H20">
        <v>-0.03</v>
      </c>
      <c r="I20">
        <v>-0.1</v>
      </c>
      <c r="J20">
        <v>-0.09</v>
      </c>
      <c r="K20">
        <v>-0.13</v>
      </c>
      <c r="L20">
        <v>-0.19</v>
      </c>
      <c r="M20">
        <v>-0.21</v>
      </c>
      <c r="N20">
        <v>-0.12</v>
      </c>
      <c r="O20">
        <v>-0.1</v>
      </c>
      <c r="P20">
        <v>-0.13</v>
      </c>
      <c r="Q20">
        <v>-7.0000000000000007E-2</v>
      </c>
      <c r="R20">
        <v>-0.09</v>
      </c>
      <c r="S20">
        <v>-0.14000000000000001</v>
      </c>
      <c r="U20" s="34">
        <f t="shared" si="0"/>
        <v>-0.11583333333333333</v>
      </c>
      <c r="V20" s="34">
        <f t="shared" si="1"/>
        <v>13.884166666666667</v>
      </c>
      <c r="W20" s="34">
        <f t="shared" si="2"/>
        <v>56.991500000000002</v>
      </c>
    </row>
    <row r="21" spans="1:23">
      <c r="A21">
        <v>1898</v>
      </c>
      <c r="B21">
        <v>-0.03</v>
      </c>
      <c r="C21">
        <v>-0.31</v>
      </c>
      <c r="D21">
        <v>-0.52</v>
      </c>
      <c r="E21">
        <v>-0.31</v>
      </c>
      <c r="F21">
        <v>-0.31</v>
      </c>
      <c r="G21">
        <v>-0.2</v>
      </c>
      <c r="H21">
        <v>-0.23</v>
      </c>
      <c r="I21">
        <v>-0.27</v>
      </c>
      <c r="J21">
        <v>-0.22</v>
      </c>
      <c r="K21">
        <v>-0.35</v>
      </c>
      <c r="L21">
        <v>-0.39</v>
      </c>
      <c r="M21">
        <v>-0.24</v>
      </c>
      <c r="N21">
        <v>-0.28000000000000003</v>
      </c>
      <c r="O21">
        <v>-0.28000000000000003</v>
      </c>
      <c r="P21">
        <v>-0.18</v>
      </c>
      <c r="Q21">
        <v>-0.38</v>
      </c>
      <c r="R21">
        <v>-0.23</v>
      </c>
      <c r="S21">
        <v>-0.32</v>
      </c>
      <c r="U21" s="34">
        <f t="shared" si="0"/>
        <v>-0.28166666666666668</v>
      </c>
      <c r="V21" s="34">
        <f t="shared" si="1"/>
        <v>13.718333333333334</v>
      </c>
      <c r="W21" s="34">
        <f t="shared" si="2"/>
        <v>56.692999999999998</v>
      </c>
    </row>
    <row r="22" spans="1:23">
      <c r="A22">
        <v>1899</v>
      </c>
      <c r="B22">
        <v>-0.17</v>
      </c>
      <c r="C22">
        <v>-0.39</v>
      </c>
      <c r="D22">
        <v>-0.37</v>
      </c>
      <c r="E22">
        <v>-0.21</v>
      </c>
      <c r="F22">
        <v>-0.23</v>
      </c>
      <c r="G22">
        <v>-0.32</v>
      </c>
      <c r="H22">
        <v>-0.16</v>
      </c>
      <c r="I22">
        <v>-0.09</v>
      </c>
      <c r="J22">
        <v>-0.05</v>
      </c>
      <c r="K22">
        <v>-0.04</v>
      </c>
      <c r="L22">
        <v>0.12</v>
      </c>
      <c r="M22">
        <v>-0.27</v>
      </c>
      <c r="N22">
        <v>-0.18</v>
      </c>
      <c r="O22">
        <v>-0.18</v>
      </c>
      <c r="P22">
        <v>-0.27</v>
      </c>
      <c r="Q22">
        <v>-0.27</v>
      </c>
      <c r="R22">
        <v>-0.19</v>
      </c>
      <c r="S22">
        <v>0.01</v>
      </c>
      <c r="U22" s="34">
        <f t="shared" si="0"/>
        <v>-0.18166666666666667</v>
      </c>
      <c r="V22" s="34">
        <f t="shared" si="1"/>
        <v>13.818333333333333</v>
      </c>
      <c r="W22" s="34">
        <f t="shared" si="2"/>
        <v>56.873000000000005</v>
      </c>
    </row>
    <row r="23" spans="1:23">
      <c r="A23">
        <v>1900</v>
      </c>
      <c r="B23">
        <v>-0.37</v>
      </c>
      <c r="C23">
        <v>-0.06</v>
      </c>
      <c r="D23">
        <v>0</v>
      </c>
      <c r="E23">
        <v>-0.1</v>
      </c>
      <c r="F23">
        <v>-0.09</v>
      </c>
      <c r="G23">
        <v>-0.1</v>
      </c>
      <c r="H23">
        <v>-0.13</v>
      </c>
      <c r="I23">
        <v>-0.09</v>
      </c>
      <c r="J23">
        <v>-0.06</v>
      </c>
      <c r="K23">
        <v>0.09</v>
      </c>
      <c r="L23">
        <v>-7.0000000000000007E-2</v>
      </c>
      <c r="M23">
        <v>-7.0000000000000007E-2</v>
      </c>
      <c r="N23">
        <v>-0.09</v>
      </c>
      <c r="O23">
        <v>-0.1</v>
      </c>
      <c r="P23">
        <v>-0.23</v>
      </c>
      <c r="Q23">
        <v>-0.06</v>
      </c>
      <c r="R23">
        <v>-0.11</v>
      </c>
      <c r="S23">
        <v>-0.01</v>
      </c>
      <c r="U23" s="34">
        <f t="shared" si="0"/>
        <v>-8.7500000000000008E-2</v>
      </c>
      <c r="V23" s="34">
        <f t="shared" si="1"/>
        <v>13.9125</v>
      </c>
      <c r="W23" s="34">
        <f t="shared" si="2"/>
        <v>57.042500000000004</v>
      </c>
    </row>
    <row r="24" spans="1:23">
      <c r="A24">
        <v>1901</v>
      </c>
      <c r="B24">
        <v>-0.22</v>
      </c>
      <c r="C24">
        <v>-0.11</v>
      </c>
      <c r="D24">
        <v>0.06</v>
      </c>
      <c r="E24">
        <v>-0.03</v>
      </c>
      <c r="F24">
        <v>-0.15</v>
      </c>
      <c r="G24">
        <v>-0.12</v>
      </c>
      <c r="H24">
        <v>-0.15</v>
      </c>
      <c r="I24">
        <v>-0.2</v>
      </c>
      <c r="J24">
        <v>-0.23</v>
      </c>
      <c r="K24">
        <v>-0.28999999999999998</v>
      </c>
      <c r="L24">
        <v>-0.17</v>
      </c>
      <c r="M24">
        <v>-0.28000000000000003</v>
      </c>
      <c r="N24">
        <v>-0.16</v>
      </c>
      <c r="O24">
        <v>-0.14000000000000001</v>
      </c>
      <c r="P24">
        <v>-0.14000000000000001</v>
      </c>
      <c r="Q24">
        <v>-0.04</v>
      </c>
      <c r="R24">
        <v>-0.16</v>
      </c>
      <c r="S24">
        <v>-0.23</v>
      </c>
      <c r="U24" s="34">
        <f t="shared" si="0"/>
        <v>-0.1575</v>
      </c>
      <c r="V24" s="34">
        <f t="shared" si="1"/>
        <v>13.842499999999999</v>
      </c>
      <c r="W24" s="34">
        <f t="shared" si="2"/>
        <v>56.916499999999999</v>
      </c>
    </row>
    <row r="25" spans="1:23">
      <c r="A25">
        <v>1902</v>
      </c>
      <c r="B25">
        <v>-0.17</v>
      </c>
      <c r="C25">
        <v>-0.09</v>
      </c>
      <c r="D25">
        <v>-0.28000000000000003</v>
      </c>
      <c r="E25">
        <v>-0.28000000000000003</v>
      </c>
      <c r="F25">
        <v>-0.33</v>
      </c>
      <c r="G25">
        <v>-0.32</v>
      </c>
      <c r="H25">
        <v>-0.28000000000000003</v>
      </c>
      <c r="I25">
        <v>-0.3</v>
      </c>
      <c r="J25">
        <v>-0.28999999999999998</v>
      </c>
      <c r="K25">
        <v>-0.3</v>
      </c>
      <c r="L25">
        <v>-0.37</v>
      </c>
      <c r="M25">
        <v>-0.43</v>
      </c>
      <c r="N25">
        <v>-0.28999999999999998</v>
      </c>
      <c r="O25">
        <v>-0.27</v>
      </c>
      <c r="P25">
        <v>-0.18</v>
      </c>
      <c r="Q25">
        <v>-0.3</v>
      </c>
      <c r="R25">
        <v>-0.3</v>
      </c>
      <c r="S25">
        <v>-0.32</v>
      </c>
      <c r="U25" s="34">
        <f t="shared" si="0"/>
        <v>-0.28666666666666668</v>
      </c>
      <c r="V25" s="34">
        <f t="shared" si="1"/>
        <v>13.713333333333333</v>
      </c>
      <c r="W25" s="34">
        <f t="shared" si="2"/>
        <v>56.683999999999997</v>
      </c>
    </row>
    <row r="26" spans="1:23">
      <c r="A26">
        <v>1903</v>
      </c>
      <c r="B26">
        <v>-0.25</v>
      </c>
      <c r="C26">
        <v>-7.0000000000000007E-2</v>
      </c>
      <c r="D26">
        <v>-0.24</v>
      </c>
      <c r="E26">
        <v>-0.42</v>
      </c>
      <c r="F26">
        <v>-0.4</v>
      </c>
      <c r="G26">
        <v>-0.43</v>
      </c>
      <c r="H26">
        <v>-0.35</v>
      </c>
      <c r="I26">
        <v>-0.45</v>
      </c>
      <c r="J26">
        <v>-0.49</v>
      </c>
      <c r="K26">
        <v>-0.47</v>
      </c>
      <c r="L26">
        <v>-0.42</v>
      </c>
      <c r="M26">
        <v>-0.52</v>
      </c>
      <c r="N26">
        <v>-0.38</v>
      </c>
      <c r="O26">
        <v>-0.37</v>
      </c>
      <c r="P26">
        <v>-0.25</v>
      </c>
      <c r="Q26">
        <v>-0.35</v>
      </c>
      <c r="R26">
        <v>-0.41</v>
      </c>
      <c r="S26">
        <v>-0.46</v>
      </c>
      <c r="U26" s="34">
        <f t="shared" si="0"/>
        <v>-0.3758333333333333</v>
      </c>
      <c r="V26" s="34">
        <f t="shared" si="1"/>
        <v>13.624166666666667</v>
      </c>
      <c r="W26" s="34">
        <f t="shared" si="2"/>
        <v>56.523499999999999</v>
      </c>
    </row>
    <row r="27" spans="1:23">
      <c r="A27">
        <v>1904</v>
      </c>
      <c r="B27">
        <v>-0.64</v>
      </c>
      <c r="C27">
        <v>-0.59</v>
      </c>
      <c r="D27">
        <v>-0.52</v>
      </c>
      <c r="E27">
        <v>-0.51</v>
      </c>
      <c r="F27">
        <v>-0.52</v>
      </c>
      <c r="G27">
        <v>-0.49</v>
      </c>
      <c r="H27">
        <v>-0.52</v>
      </c>
      <c r="I27">
        <v>-0.5</v>
      </c>
      <c r="J27">
        <v>-0.56000000000000005</v>
      </c>
      <c r="K27">
        <v>-0.4</v>
      </c>
      <c r="L27">
        <v>-0.19</v>
      </c>
      <c r="M27">
        <v>-0.34</v>
      </c>
      <c r="N27">
        <v>-0.48</v>
      </c>
      <c r="O27">
        <v>-0.5</v>
      </c>
      <c r="P27">
        <v>-0.57999999999999996</v>
      </c>
      <c r="Q27">
        <v>-0.52</v>
      </c>
      <c r="R27">
        <v>-0.5</v>
      </c>
      <c r="S27">
        <v>-0.38</v>
      </c>
      <c r="U27" s="34">
        <f t="shared" si="0"/>
        <v>-0.48166666666666669</v>
      </c>
      <c r="V27" s="34">
        <f t="shared" si="1"/>
        <v>13.518333333333333</v>
      </c>
      <c r="W27" s="34">
        <f t="shared" si="2"/>
        <v>56.332999999999998</v>
      </c>
    </row>
    <row r="28" spans="1:23">
      <c r="A28">
        <v>1905</v>
      </c>
      <c r="B28">
        <v>-0.36</v>
      </c>
      <c r="C28">
        <v>-0.6</v>
      </c>
      <c r="D28">
        <v>-0.22</v>
      </c>
      <c r="E28">
        <v>-0.34</v>
      </c>
      <c r="F28">
        <v>-0.3</v>
      </c>
      <c r="G28">
        <v>-0.28999999999999998</v>
      </c>
      <c r="H28">
        <v>-0.27</v>
      </c>
      <c r="I28">
        <v>-0.2</v>
      </c>
      <c r="J28">
        <v>-0.19</v>
      </c>
      <c r="K28">
        <v>-0.25</v>
      </c>
      <c r="L28">
        <v>-0.08</v>
      </c>
      <c r="M28">
        <v>-0.14000000000000001</v>
      </c>
      <c r="N28">
        <v>-0.27</v>
      </c>
      <c r="O28">
        <v>-0.28999999999999998</v>
      </c>
      <c r="P28">
        <v>-0.43</v>
      </c>
      <c r="Q28">
        <v>-0.28999999999999998</v>
      </c>
      <c r="R28">
        <v>-0.25</v>
      </c>
      <c r="S28">
        <v>-0.17</v>
      </c>
      <c r="U28" s="34">
        <f t="shared" si="0"/>
        <v>-0.27</v>
      </c>
      <c r="V28" s="34">
        <f t="shared" si="1"/>
        <v>13.73</v>
      </c>
      <c r="W28" s="34">
        <f t="shared" si="2"/>
        <v>56.713999999999999</v>
      </c>
    </row>
    <row r="29" spans="1:23">
      <c r="A29">
        <v>1906</v>
      </c>
      <c r="B29">
        <v>-0.28999999999999998</v>
      </c>
      <c r="C29">
        <v>-0.3</v>
      </c>
      <c r="D29">
        <v>-0.19</v>
      </c>
      <c r="E29">
        <v>-0.06</v>
      </c>
      <c r="F29">
        <v>-0.26</v>
      </c>
      <c r="G29">
        <v>-0.2</v>
      </c>
      <c r="H29">
        <v>-0.23</v>
      </c>
      <c r="I29">
        <v>-0.2</v>
      </c>
      <c r="J29">
        <v>-0.28000000000000003</v>
      </c>
      <c r="K29">
        <v>-0.2</v>
      </c>
      <c r="L29">
        <v>-0.38</v>
      </c>
      <c r="M29">
        <v>-0.15</v>
      </c>
      <c r="N29">
        <v>-0.23</v>
      </c>
      <c r="O29">
        <v>-0.23</v>
      </c>
      <c r="P29">
        <v>-0.24</v>
      </c>
      <c r="Q29">
        <v>-0.17</v>
      </c>
      <c r="R29">
        <v>-0.21</v>
      </c>
      <c r="S29">
        <v>-0.28999999999999998</v>
      </c>
      <c r="U29" s="34">
        <f t="shared" si="0"/>
        <v>-0.2283333333333333</v>
      </c>
      <c r="V29" s="34">
        <f t="shared" si="1"/>
        <v>13.771666666666667</v>
      </c>
      <c r="W29" s="34">
        <f t="shared" si="2"/>
        <v>56.789000000000001</v>
      </c>
    </row>
    <row r="30" spans="1:23">
      <c r="A30">
        <v>1907</v>
      </c>
      <c r="B30">
        <v>-0.43</v>
      </c>
      <c r="C30">
        <v>-0.51</v>
      </c>
      <c r="D30">
        <v>-0.27</v>
      </c>
      <c r="E30">
        <v>-0.37</v>
      </c>
      <c r="F30">
        <v>-0.46</v>
      </c>
      <c r="G30">
        <v>-0.42</v>
      </c>
      <c r="H30">
        <v>-0.35</v>
      </c>
      <c r="I30">
        <v>-0.35</v>
      </c>
      <c r="J30">
        <v>-0.34</v>
      </c>
      <c r="K30">
        <v>-0.23</v>
      </c>
      <c r="L30">
        <v>-0.47</v>
      </c>
      <c r="M30">
        <v>-0.47</v>
      </c>
      <c r="N30">
        <v>-0.39</v>
      </c>
      <c r="O30">
        <v>-0.36</v>
      </c>
      <c r="P30">
        <v>-0.37</v>
      </c>
      <c r="Q30">
        <v>-0.37</v>
      </c>
      <c r="R30">
        <v>-0.37</v>
      </c>
      <c r="S30">
        <v>-0.35</v>
      </c>
      <c r="U30" s="34">
        <f t="shared" si="0"/>
        <v>-0.38916666666666666</v>
      </c>
      <c r="V30" s="34">
        <f t="shared" si="1"/>
        <v>13.610833333333334</v>
      </c>
      <c r="W30" s="34">
        <f t="shared" si="2"/>
        <v>56.499499999999998</v>
      </c>
    </row>
    <row r="31" spans="1:23">
      <c r="A31">
        <v>1908</v>
      </c>
      <c r="B31">
        <v>-0.45</v>
      </c>
      <c r="C31">
        <v>-0.33</v>
      </c>
      <c r="D31">
        <v>-0.56000000000000005</v>
      </c>
      <c r="E31">
        <v>-0.45</v>
      </c>
      <c r="F31">
        <v>-0.38</v>
      </c>
      <c r="G31">
        <v>-0.39</v>
      </c>
      <c r="H31">
        <v>-0.36</v>
      </c>
      <c r="I31">
        <v>-0.47</v>
      </c>
      <c r="J31">
        <v>-0.36</v>
      </c>
      <c r="K31">
        <v>-0.44</v>
      </c>
      <c r="L31">
        <v>-0.52</v>
      </c>
      <c r="M31">
        <v>-0.5</v>
      </c>
      <c r="N31">
        <v>-0.43</v>
      </c>
      <c r="O31">
        <v>-0.43</v>
      </c>
      <c r="P31">
        <v>-0.42</v>
      </c>
      <c r="Q31">
        <v>-0.46</v>
      </c>
      <c r="R31">
        <v>-0.41</v>
      </c>
      <c r="S31">
        <v>-0.44</v>
      </c>
      <c r="U31" s="34">
        <f t="shared" si="0"/>
        <v>-0.43416666666666659</v>
      </c>
      <c r="V31" s="34">
        <f t="shared" si="1"/>
        <v>13.565833333333334</v>
      </c>
      <c r="W31" s="34">
        <f t="shared" si="2"/>
        <v>56.418500000000002</v>
      </c>
    </row>
    <row r="32" spans="1:23">
      <c r="A32">
        <v>1909</v>
      </c>
      <c r="B32">
        <v>-0.74</v>
      </c>
      <c r="C32">
        <v>-0.47</v>
      </c>
      <c r="D32">
        <v>-0.55000000000000004</v>
      </c>
      <c r="E32">
        <v>-0.6</v>
      </c>
      <c r="F32">
        <v>-0.55000000000000004</v>
      </c>
      <c r="G32">
        <v>-0.52</v>
      </c>
      <c r="H32">
        <v>-0.46</v>
      </c>
      <c r="I32">
        <v>-0.34</v>
      </c>
      <c r="J32">
        <v>-0.39</v>
      </c>
      <c r="K32">
        <v>-0.4</v>
      </c>
      <c r="L32">
        <v>-0.33</v>
      </c>
      <c r="M32">
        <v>-0.56999999999999995</v>
      </c>
      <c r="N32">
        <v>-0.49</v>
      </c>
      <c r="O32">
        <v>-0.49</v>
      </c>
      <c r="P32">
        <v>-0.56999999999999995</v>
      </c>
      <c r="Q32">
        <v>-0.56999999999999995</v>
      </c>
      <c r="R32">
        <v>-0.44</v>
      </c>
      <c r="S32">
        <v>-0.37</v>
      </c>
      <c r="U32" s="34">
        <f t="shared" si="0"/>
        <v>-0.4933333333333334</v>
      </c>
      <c r="V32" s="34">
        <f t="shared" si="1"/>
        <v>13.506666666666666</v>
      </c>
      <c r="W32" s="34">
        <f t="shared" si="2"/>
        <v>56.311999999999998</v>
      </c>
    </row>
    <row r="33" spans="1:23">
      <c r="A33">
        <v>1910</v>
      </c>
      <c r="B33">
        <v>-0.43</v>
      </c>
      <c r="C33">
        <v>-0.42</v>
      </c>
      <c r="D33">
        <v>-0.51</v>
      </c>
      <c r="E33">
        <v>-0.43</v>
      </c>
      <c r="F33">
        <v>-0.35</v>
      </c>
      <c r="G33">
        <v>-0.4</v>
      </c>
      <c r="H33">
        <v>-0.35</v>
      </c>
      <c r="I33">
        <v>-0.37</v>
      </c>
      <c r="J33">
        <v>-0.39</v>
      </c>
      <c r="K33">
        <v>-0.41</v>
      </c>
      <c r="L33">
        <v>-0.57999999999999996</v>
      </c>
      <c r="M33">
        <v>-0.68</v>
      </c>
      <c r="N33">
        <v>-0.44</v>
      </c>
      <c r="O33">
        <v>-0.44</v>
      </c>
      <c r="P33">
        <v>-0.47</v>
      </c>
      <c r="Q33">
        <v>-0.43</v>
      </c>
      <c r="R33">
        <v>-0.37</v>
      </c>
      <c r="S33">
        <v>-0.46</v>
      </c>
      <c r="U33" s="34">
        <f t="shared" si="0"/>
        <v>-0.4433333333333333</v>
      </c>
      <c r="V33" s="34">
        <f t="shared" si="1"/>
        <v>13.556666666666667</v>
      </c>
      <c r="W33" s="34">
        <f t="shared" si="2"/>
        <v>56.402000000000001</v>
      </c>
    </row>
    <row r="34" spans="1:23">
      <c r="A34">
        <v>1911</v>
      </c>
      <c r="B34">
        <v>-0.63</v>
      </c>
      <c r="C34">
        <v>-0.59</v>
      </c>
      <c r="D34">
        <v>-0.61</v>
      </c>
      <c r="E34">
        <v>-0.55000000000000004</v>
      </c>
      <c r="F34">
        <v>-0.52</v>
      </c>
      <c r="G34">
        <v>-0.51</v>
      </c>
      <c r="H34">
        <v>-0.43</v>
      </c>
      <c r="I34">
        <v>-0.44</v>
      </c>
      <c r="J34">
        <v>-0.41</v>
      </c>
      <c r="K34">
        <v>-0.27</v>
      </c>
      <c r="L34">
        <v>-0.22</v>
      </c>
      <c r="M34">
        <v>-0.23</v>
      </c>
      <c r="N34">
        <v>-0.45</v>
      </c>
      <c r="O34">
        <v>-0.49</v>
      </c>
      <c r="P34">
        <v>-0.63</v>
      </c>
      <c r="Q34">
        <v>-0.56000000000000005</v>
      </c>
      <c r="R34">
        <v>-0.46</v>
      </c>
      <c r="S34">
        <v>-0.3</v>
      </c>
      <c r="U34" s="34">
        <f t="shared" si="0"/>
        <v>-0.45083333333333342</v>
      </c>
      <c r="V34" s="34">
        <f t="shared" si="1"/>
        <v>13.549166666666666</v>
      </c>
      <c r="W34" s="34">
        <f t="shared" si="2"/>
        <v>56.388500000000001</v>
      </c>
    </row>
    <row r="35" spans="1:23">
      <c r="A35">
        <v>1912</v>
      </c>
      <c r="B35">
        <v>-0.28000000000000003</v>
      </c>
      <c r="C35">
        <v>-0.17</v>
      </c>
      <c r="D35">
        <v>-0.4</v>
      </c>
      <c r="E35">
        <v>-0.19</v>
      </c>
      <c r="F35">
        <v>-0.22</v>
      </c>
      <c r="G35">
        <v>-0.25</v>
      </c>
      <c r="H35">
        <v>-0.43</v>
      </c>
      <c r="I35">
        <v>-0.55000000000000004</v>
      </c>
      <c r="J35">
        <v>-0.57999999999999996</v>
      </c>
      <c r="K35">
        <v>-0.59</v>
      </c>
      <c r="L35">
        <v>-0.4</v>
      </c>
      <c r="M35">
        <v>-0.44</v>
      </c>
      <c r="N35">
        <v>-0.37</v>
      </c>
      <c r="O35">
        <v>-0.36</v>
      </c>
      <c r="P35">
        <v>-0.22</v>
      </c>
      <c r="Q35">
        <v>-0.27</v>
      </c>
      <c r="R35">
        <v>-0.41</v>
      </c>
      <c r="S35">
        <v>-0.52</v>
      </c>
      <c r="U35" s="34">
        <f t="shared" si="0"/>
        <v>-0.37500000000000006</v>
      </c>
      <c r="V35" s="34">
        <f t="shared" si="1"/>
        <v>13.625</v>
      </c>
      <c r="W35" s="34">
        <f t="shared" si="2"/>
        <v>56.525000000000006</v>
      </c>
    </row>
    <row r="36" spans="1:23">
      <c r="A36">
        <v>1913</v>
      </c>
      <c r="B36">
        <v>-0.42</v>
      </c>
      <c r="C36">
        <v>-0.47</v>
      </c>
      <c r="D36">
        <v>-0.44</v>
      </c>
      <c r="E36">
        <v>-0.41</v>
      </c>
      <c r="F36">
        <v>-0.45</v>
      </c>
      <c r="G36">
        <v>-0.46</v>
      </c>
      <c r="H36">
        <v>-0.37</v>
      </c>
      <c r="I36">
        <v>-0.34</v>
      </c>
      <c r="J36">
        <v>-0.35</v>
      </c>
      <c r="K36">
        <v>-0.33</v>
      </c>
      <c r="L36">
        <v>-0.21</v>
      </c>
      <c r="M36">
        <v>-0.04</v>
      </c>
      <c r="N36">
        <v>-0.36</v>
      </c>
      <c r="O36">
        <v>-0.39</v>
      </c>
      <c r="P36">
        <v>-0.44</v>
      </c>
      <c r="Q36">
        <v>-0.43</v>
      </c>
      <c r="R36">
        <v>-0.39</v>
      </c>
      <c r="S36">
        <v>-0.3</v>
      </c>
      <c r="U36" s="34">
        <f t="shared" si="0"/>
        <v>-0.35749999999999998</v>
      </c>
      <c r="V36" s="34">
        <f t="shared" si="1"/>
        <v>13.6425</v>
      </c>
      <c r="W36" s="34">
        <f t="shared" si="2"/>
        <v>56.5565</v>
      </c>
    </row>
    <row r="37" spans="1:23">
      <c r="A37">
        <v>1914</v>
      </c>
      <c r="B37">
        <v>0.02</v>
      </c>
      <c r="C37">
        <v>-0.11</v>
      </c>
      <c r="D37">
        <v>-0.26</v>
      </c>
      <c r="E37">
        <v>-0.31</v>
      </c>
      <c r="F37">
        <v>-0.22</v>
      </c>
      <c r="G37">
        <v>-0.26</v>
      </c>
      <c r="H37">
        <v>-0.25</v>
      </c>
      <c r="I37">
        <v>-0.17</v>
      </c>
      <c r="J37">
        <v>-0.18</v>
      </c>
      <c r="K37">
        <v>-0.04</v>
      </c>
      <c r="L37">
        <v>-0.17</v>
      </c>
      <c r="M37">
        <v>-0.05</v>
      </c>
      <c r="N37">
        <v>-0.17</v>
      </c>
      <c r="O37">
        <v>-0.17</v>
      </c>
      <c r="P37">
        <v>-0.04</v>
      </c>
      <c r="Q37">
        <v>-0.26</v>
      </c>
      <c r="R37">
        <v>-0.23</v>
      </c>
      <c r="S37">
        <v>-0.13</v>
      </c>
      <c r="U37" s="34">
        <f t="shared" si="0"/>
        <v>-0.16666666666666666</v>
      </c>
      <c r="V37" s="34">
        <f t="shared" si="1"/>
        <v>13.833333333333334</v>
      </c>
      <c r="W37" s="34">
        <f t="shared" si="2"/>
        <v>56.900000000000006</v>
      </c>
    </row>
    <row r="38" spans="1:23">
      <c r="A38">
        <v>1915</v>
      </c>
      <c r="B38">
        <v>-0.22</v>
      </c>
      <c r="C38">
        <v>-0.04</v>
      </c>
      <c r="D38">
        <v>-0.11</v>
      </c>
      <c r="E38">
        <v>0.06</v>
      </c>
      <c r="F38">
        <v>-0.06</v>
      </c>
      <c r="G38">
        <v>-0.23</v>
      </c>
      <c r="H38">
        <v>-0.13</v>
      </c>
      <c r="I38">
        <v>-0.23</v>
      </c>
      <c r="J38">
        <v>-0.21</v>
      </c>
      <c r="K38">
        <v>-0.25</v>
      </c>
      <c r="L38">
        <v>-0.14000000000000001</v>
      </c>
      <c r="M38">
        <v>-0.22</v>
      </c>
      <c r="N38">
        <v>-0.15</v>
      </c>
      <c r="O38">
        <v>-0.13</v>
      </c>
      <c r="P38">
        <v>-0.1</v>
      </c>
      <c r="Q38">
        <v>-0.04</v>
      </c>
      <c r="R38">
        <v>-0.2</v>
      </c>
      <c r="S38">
        <v>-0.2</v>
      </c>
      <c r="U38" s="34">
        <f t="shared" si="0"/>
        <v>-0.14833333333333334</v>
      </c>
      <c r="V38" s="34">
        <f t="shared" si="1"/>
        <v>13.851666666666667</v>
      </c>
      <c r="W38" s="34">
        <f t="shared" si="2"/>
        <v>56.933</v>
      </c>
    </row>
    <row r="39" spans="1:23">
      <c r="A39">
        <v>1916</v>
      </c>
      <c r="B39">
        <v>-0.14000000000000001</v>
      </c>
      <c r="C39">
        <v>-0.15</v>
      </c>
      <c r="D39">
        <v>-0.28999999999999998</v>
      </c>
      <c r="E39">
        <v>-0.31</v>
      </c>
      <c r="F39">
        <v>-0.36</v>
      </c>
      <c r="G39">
        <v>-0.5</v>
      </c>
      <c r="H39">
        <v>-0.37</v>
      </c>
      <c r="I39">
        <v>-0.28000000000000003</v>
      </c>
      <c r="J39">
        <v>-0.36</v>
      </c>
      <c r="K39">
        <v>-0.33</v>
      </c>
      <c r="L39">
        <v>-0.47</v>
      </c>
      <c r="M39">
        <v>-0.82</v>
      </c>
      <c r="N39">
        <v>-0.37</v>
      </c>
      <c r="O39">
        <v>-0.32</v>
      </c>
      <c r="P39">
        <v>-0.17</v>
      </c>
      <c r="Q39">
        <v>-0.32</v>
      </c>
      <c r="R39">
        <v>-0.39</v>
      </c>
      <c r="S39">
        <v>-0.39</v>
      </c>
      <c r="U39" s="34">
        <f t="shared" si="0"/>
        <v>-0.36500000000000005</v>
      </c>
      <c r="V39" s="34">
        <f t="shared" si="1"/>
        <v>13.635</v>
      </c>
      <c r="W39" s="34">
        <f t="shared" si="2"/>
        <v>56.542999999999999</v>
      </c>
    </row>
    <row r="40" spans="1:23">
      <c r="A40">
        <v>1917</v>
      </c>
      <c r="B40">
        <v>-0.56999999999999995</v>
      </c>
      <c r="C40">
        <v>-0.63</v>
      </c>
      <c r="D40">
        <v>-0.63</v>
      </c>
      <c r="E40">
        <v>-0.55000000000000004</v>
      </c>
      <c r="F40">
        <v>-0.56000000000000005</v>
      </c>
      <c r="G40">
        <v>-0.44</v>
      </c>
      <c r="H40">
        <v>-0.26</v>
      </c>
      <c r="I40">
        <v>-0.23</v>
      </c>
      <c r="J40">
        <v>-0.23</v>
      </c>
      <c r="K40">
        <v>-0.45</v>
      </c>
      <c r="L40">
        <v>-0.34</v>
      </c>
      <c r="M40">
        <v>-0.68</v>
      </c>
      <c r="N40">
        <v>-0.46</v>
      </c>
      <c r="O40">
        <v>-0.48</v>
      </c>
      <c r="P40">
        <v>-0.68</v>
      </c>
      <c r="Q40">
        <v>-0.57999999999999996</v>
      </c>
      <c r="R40">
        <v>-0.31</v>
      </c>
      <c r="S40">
        <v>-0.34</v>
      </c>
      <c r="U40" s="34">
        <f t="shared" si="0"/>
        <v>-0.46416666666666662</v>
      </c>
      <c r="V40" s="34">
        <f t="shared" si="1"/>
        <v>13.535833333333333</v>
      </c>
      <c r="W40" s="34">
        <f t="shared" si="2"/>
        <v>56.3645</v>
      </c>
    </row>
    <row r="41" spans="1:23">
      <c r="A41">
        <v>1918</v>
      </c>
      <c r="B41">
        <v>-0.48</v>
      </c>
      <c r="C41">
        <v>-0.35</v>
      </c>
      <c r="D41">
        <v>-0.26</v>
      </c>
      <c r="E41">
        <v>-0.45</v>
      </c>
      <c r="F41">
        <v>-0.43</v>
      </c>
      <c r="G41">
        <v>-0.37</v>
      </c>
      <c r="H41">
        <v>-0.32</v>
      </c>
      <c r="I41">
        <v>-0.32</v>
      </c>
      <c r="J41">
        <v>-0.17</v>
      </c>
      <c r="K41">
        <v>-0.06</v>
      </c>
      <c r="L41">
        <v>-0.12</v>
      </c>
      <c r="M41">
        <v>-0.3</v>
      </c>
      <c r="N41">
        <v>-0.3</v>
      </c>
      <c r="O41">
        <v>-0.34</v>
      </c>
      <c r="P41">
        <v>-0.51</v>
      </c>
      <c r="Q41">
        <v>-0.38</v>
      </c>
      <c r="R41">
        <v>-0.34</v>
      </c>
      <c r="S41">
        <v>-0.12</v>
      </c>
      <c r="U41" s="34">
        <f t="shared" si="0"/>
        <v>-0.30249999999999994</v>
      </c>
      <c r="V41" s="34">
        <f t="shared" si="1"/>
        <v>13.6975</v>
      </c>
      <c r="W41" s="34">
        <f t="shared" si="2"/>
        <v>56.655500000000004</v>
      </c>
    </row>
    <row r="42" spans="1:23">
      <c r="A42">
        <v>1919</v>
      </c>
      <c r="B42">
        <v>-0.2</v>
      </c>
      <c r="C42">
        <v>-0.24</v>
      </c>
      <c r="D42">
        <v>-0.21</v>
      </c>
      <c r="E42">
        <v>-0.13</v>
      </c>
      <c r="F42">
        <v>-0.28000000000000003</v>
      </c>
      <c r="G42">
        <v>-0.36</v>
      </c>
      <c r="H42">
        <v>-0.28999999999999998</v>
      </c>
      <c r="I42">
        <v>-0.33</v>
      </c>
      <c r="J42">
        <v>-0.25</v>
      </c>
      <c r="K42">
        <v>-0.2</v>
      </c>
      <c r="L42">
        <v>-0.42</v>
      </c>
      <c r="M42">
        <v>-0.43</v>
      </c>
      <c r="N42">
        <v>-0.28000000000000003</v>
      </c>
      <c r="O42">
        <v>-0.27</v>
      </c>
      <c r="P42">
        <v>-0.25</v>
      </c>
      <c r="Q42">
        <v>-0.21</v>
      </c>
      <c r="R42">
        <v>-0.33</v>
      </c>
      <c r="S42">
        <v>-0.28999999999999998</v>
      </c>
      <c r="U42" s="34">
        <f t="shared" si="0"/>
        <v>-0.27833333333333338</v>
      </c>
      <c r="V42" s="34">
        <f t="shared" si="1"/>
        <v>13.721666666666666</v>
      </c>
      <c r="W42" s="34">
        <f t="shared" si="2"/>
        <v>56.698999999999998</v>
      </c>
    </row>
    <row r="43" spans="1:23">
      <c r="A43">
        <v>1920</v>
      </c>
      <c r="B43">
        <v>-0.26</v>
      </c>
      <c r="C43">
        <v>-0.27</v>
      </c>
      <c r="D43">
        <v>-0.12</v>
      </c>
      <c r="E43">
        <v>-0.25</v>
      </c>
      <c r="F43">
        <v>-0.27</v>
      </c>
      <c r="G43">
        <v>-0.36</v>
      </c>
      <c r="H43">
        <v>-0.31</v>
      </c>
      <c r="I43">
        <v>-0.26</v>
      </c>
      <c r="J43">
        <v>-0.22</v>
      </c>
      <c r="K43">
        <v>-0.27</v>
      </c>
      <c r="L43">
        <v>-0.28000000000000003</v>
      </c>
      <c r="M43">
        <v>-0.47</v>
      </c>
      <c r="N43">
        <v>-0.28000000000000003</v>
      </c>
      <c r="O43">
        <v>-0.27</v>
      </c>
      <c r="P43">
        <v>-0.32</v>
      </c>
      <c r="Q43">
        <v>-0.21</v>
      </c>
      <c r="R43">
        <v>-0.31</v>
      </c>
      <c r="S43">
        <v>-0.25</v>
      </c>
      <c r="U43" s="34">
        <f t="shared" si="0"/>
        <v>-0.27833333333333332</v>
      </c>
      <c r="V43" s="34">
        <f t="shared" si="1"/>
        <v>13.721666666666668</v>
      </c>
      <c r="W43" s="34">
        <f t="shared" si="2"/>
        <v>56.698999999999998</v>
      </c>
    </row>
    <row r="44" spans="1:23">
      <c r="A44">
        <v>1921</v>
      </c>
      <c r="B44">
        <v>-0.05</v>
      </c>
      <c r="C44">
        <v>-0.18</v>
      </c>
      <c r="D44">
        <v>-0.23</v>
      </c>
      <c r="E44">
        <v>-0.3</v>
      </c>
      <c r="F44">
        <v>-0.3</v>
      </c>
      <c r="G44">
        <v>-0.27</v>
      </c>
      <c r="H44">
        <v>-0.15</v>
      </c>
      <c r="I44">
        <v>-0.27</v>
      </c>
      <c r="J44">
        <v>-0.19</v>
      </c>
      <c r="K44">
        <v>-0.03</v>
      </c>
      <c r="L44">
        <v>-0.15</v>
      </c>
      <c r="M44">
        <v>-0.18</v>
      </c>
      <c r="N44">
        <v>-0.19</v>
      </c>
      <c r="O44">
        <v>-0.22</v>
      </c>
      <c r="P44">
        <v>-0.23</v>
      </c>
      <c r="Q44">
        <v>-0.28000000000000003</v>
      </c>
      <c r="R44">
        <v>-0.23</v>
      </c>
      <c r="S44">
        <v>-0.12</v>
      </c>
      <c r="U44" s="34">
        <f t="shared" si="0"/>
        <v>-0.19166666666666668</v>
      </c>
      <c r="V44" s="34">
        <f t="shared" si="1"/>
        <v>13.808333333333334</v>
      </c>
      <c r="W44" s="34">
        <f t="shared" si="2"/>
        <v>56.855000000000004</v>
      </c>
    </row>
    <row r="45" spans="1:23">
      <c r="A45">
        <v>1922</v>
      </c>
      <c r="B45">
        <v>-0.34</v>
      </c>
      <c r="C45">
        <v>-0.45</v>
      </c>
      <c r="D45">
        <v>-0.15</v>
      </c>
      <c r="E45">
        <v>-0.23</v>
      </c>
      <c r="F45">
        <v>-0.33</v>
      </c>
      <c r="G45">
        <v>-0.31</v>
      </c>
      <c r="H45">
        <v>-0.27</v>
      </c>
      <c r="I45">
        <v>-0.33</v>
      </c>
      <c r="J45">
        <v>-0.35</v>
      </c>
      <c r="K45">
        <v>-0.31</v>
      </c>
      <c r="L45">
        <v>-0.14000000000000001</v>
      </c>
      <c r="M45">
        <v>-0.2</v>
      </c>
      <c r="N45">
        <v>-0.28999999999999998</v>
      </c>
      <c r="O45">
        <v>-0.28000000000000003</v>
      </c>
      <c r="P45">
        <v>-0.32</v>
      </c>
      <c r="Q45">
        <v>-0.24</v>
      </c>
      <c r="R45">
        <v>-0.3</v>
      </c>
      <c r="S45">
        <v>-0.27</v>
      </c>
      <c r="U45" s="34">
        <f t="shared" si="0"/>
        <v>-0.28416666666666673</v>
      </c>
      <c r="V45" s="34">
        <f t="shared" si="1"/>
        <v>13.715833333333332</v>
      </c>
      <c r="W45" s="34">
        <f t="shared" si="2"/>
        <v>56.688499999999998</v>
      </c>
    </row>
    <row r="46" spans="1:23">
      <c r="A46">
        <v>1923</v>
      </c>
      <c r="B46">
        <v>-0.27</v>
      </c>
      <c r="C46">
        <v>-0.39</v>
      </c>
      <c r="D46">
        <v>-0.34</v>
      </c>
      <c r="E46">
        <v>-0.41</v>
      </c>
      <c r="F46">
        <v>-0.34</v>
      </c>
      <c r="G46">
        <v>-0.28999999999999998</v>
      </c>
      <c r="H46">
        <v>-0.31</v>
      </c>
      <c r="I46">
        <v>-0.34</v>
      </c>
      <c r="J46">
        <v>-0.31</v>
      </c>
      <c r="K46">
        <v>-0.13</v>
      </c>
      <c r="L46">
        <v>-0.02</v>
      </c>
      <c r="M46">
        <v>-0.04</v>
      </c>
      <c r="N46">
        <v>-0.27</v>
      </c>
      <c r="O46">
        <v>-0.28000000000000003</v>
      </c>
      <c r="P46">
        <v>-0.28999999999999998</v>
      </c>
      <c r="Q46">
        <v>-0.36</v>
      </c>
      <c r="R46">
        <v>-0.32</v>
      </c>
      <c r="S46">
        <v>-0.16</v>
      </c>
      <c r="U46" s="34">
        <f t="shared" si="0"/>
        <v>-0.26583333333333331</v>
      </c>
      <c r="V46" s="34">
        <f t="shared" si="1"/>
        <v>13.734166666666667</v>
      </c>
      <c r="W46" s="34">
        <f t="shared" si="2"/>
        <v>56.721500000000006</v>
      </c>
    </row>
    <row r="47" spans="1:23">
      <c r="A47">
        <v>1924</v>
      </c>
      <c r="B47">
        <v>-0.22</v>
      </c>
      <c r="C47">
        <v>-0.23</v>
      </c>
      <c r="D47">
        <v>-0.09</v>
      </c>
      <c r="E47">
        <v>-0.3</v>
      </c>
      <c r="F47">
        <v>-0.18</v>
      </c>
      <c r="G47">
        <v>-0.26</v>
      </c>
      <c r="H47">
        <v>-0.28999999999999998</v>
      </c>
      <c r="I47">
        <v>-0.36</v>
      </c>
      <c r="J47">
        <v>-0.32</v>
      </c>
      <c r="K47">
        <v>-0.35</v>
      </c>
      <c r="L47">
        <v>-0.2</v>
      </c>
      <c r="M47">
        <v>-0.43</v>
      </c>
      <c r="N47">
        <v>-0.27</v>
      </c>
      <c r="O47">
        <v>-0.24</v>
      </c>
      <c r="P47">
        <v>-0.16</v>
      </c>
      <c r="Q47">
        <v>-0.19</v>
      </c>
      <c r="R47">
        <v>-0.3</v>
      </c>
      <c r="S47">
        <v>-0.28999999999999998</v>
      </c>
      <c r="U47" s="34">
        <f t="shared" si="0"/>
        <v>-0.26916666666666672</v>
      </c>
      <c r="V47" s="34">
        <f t="shared" si="1"/>
        <v>13.730833333333333</v>
      </c>
      <c r="W47" s="34">
        <f t="shared" si="2"/>
        <v>56.715499999999999</v>
      </c>
    </row>
    <row r="48" spans="1:23">
      <c r="A48">
        <v>1925</v>
      </c>
      <c r="B48">
        <v>-0.38</v>
      </c>
      <c r="C48">
        <v>-0.39</v>
      </c>
      <c r="D48">
        <v>-0.27</v>
      </c>
      <c r="E48">
        <v>-0.26</v>
      </c>
      <c r="F48">
        <v>-0.28999999999999998</v>
      </c>
      <c r="G48">
        <v>-0.33</v>
      </c>
      <c r="H48">
        <v>-0.27</v>
      </c>
      <c r="I48">
        <v>-0.21</v>
      </c>
      <c r="J48">
        <v>-0.2</v>
      </c>
      <c r="K48">
        <v>-0.17</v>
      </c>
      <c r="L48">
        <v>0.05</v>
      </c>
      <c r="M48">
        <v>0.06</v>
      </c>
      <c r="N48">
        <v>-0.22</v>
      </c>
      <c r="O48">
        <v>-0.26</v>
      </c>
      <c r="P48">
        <v>-0.4</v>
      </c>
      <c r="Q48">
        <v>-0.27</v>
      </c>
      <c r="R48">
        <v>-0.27</v>
      </c>
      <c r="S48">
        <v>-0.11</v>
      </c>
      <c r="U48" s="34">
        <f t="shared" si="0"/>
        <v>-0.22166666666666671</v>
      </c>
      <c r="V48" s="34">
        <f t="shared" si="1"/>
        <v>13.778333333333332</v>
      </c>
      <c r="W48" s="34">
        <f t="shared" si="2"/>
        <v>56.801000000000002</v>
      </c>
    </row>
    <row r="49" spans="1:23">
      <c r="A49">
        <v>1926</v>
      </c>
      <c r="B49">
        <v>0.21</v>
      </c>
      <c r="C49">
        <v>0.02</v>
      </c>
      <c r="D49">
        <v>0.11</v>
      </c>
      <c r="E49">
        <v>-0.13</v>
      </c>
      <c r="F49">
        <v>-0.23</v>
      </c>
      <c r="G49">
        <v>-0.26</v>
      </c>
      <c r="H49">
        <v>-0.27</v>
      </c>
      <c r="I49">
        <v>-0.13</v>
      </c>
      <c r="J49">
        <v>-0.14000000000000001</v>
      </c>
      <c r="K49">
        <v>-0.11</v>
      </c>
      <c r="L49">
        <v>-7.0000000000000007E-2</v>
      </c>
      <c r="M49">
        <v>-0.3</v>
      </c>
      <c r="N49">
        <v>-0.11</v>
      </c>
      <c r="O49">
        <v>-0.08</v>
      </c>
      <c r="P49">
        <v>0.1</v>
      </c>
      <c r="Q49">
        <v>-0.08</v>
      </c>
      <c r="R49">
        <v>-0.22</v>
      </c>
      <c r="S49">
        <v>-0.11</v>
      </c>
      <c r="U49" s="34">
        <f t="shared" si="0"/>
        <v>-0.10833333333333334</v>
      </c>
      <c r="V49" s="34">
        <f t="shared" si="1"/>
        <v>13.891666666666667</v>
      </c>
      <c r="W49" s="34">
        <f t="shared" si="2"/>
        <v>57.005000000000003</v>
      </c>
    </row>
    <row r="50" spans="1:23">
      <c r="A50">
        <v>1927</v>
      </c>
      <c r="B50">
        <v>-0.27</v>
      </c>
      <c r="C50">
        <v>-0.18</v>
      </c>
      <c r="D50">
        <v>-0.39</v>
      </c>
      <c r="E50">
        <v>-0.31</v>
      </c>
      <c r="F50">
        <v>-0.26</v>
      </c>
      <c r="G50">
        <v>-0.28000000000000003</v>
      </c>
      <c r="H50">
        <v>-0.19</v>
      </c>
      <c r="I50">
        <v>-0.24</v>
      </c>
      <c r="J50">
        <v>-0.12</v>
      </c>
      <c r="K50">
        <v>-0.01</v>
      </c>
      <c r="L50">
        <v>-0.06</v>
      </c>
      <c r="M50">
        <v>-0.33</v>
      </c>
      <c r="N50">
        <v>-0.22</v>
      </c>
      <c r="O50">
        <v>-0.22</v>
      </c>
      <c r="P50">
        <v>-0.25</v>
      </c>
      <c r="Q50">
        <v>-0.32</v>
      </c>
      <c r="R50">
        <v>-0.24</v>
      </c>
      <c r="S50">
        <v>-0.06</v>
      </c>
      <c r="U50" s="34">
        <f t="shared" si="0"/>
        <v>-0.22</v>
      </c>
      <c r="V50" s="34">
        <f t="shared" si="1"/>
        <v>13.78</v>
      </c>
      <c r="W50" s="34">
        <f t="shared" si="2"/>
        <v>56.804000000000002</v>
      </c>
    </row>
    <row r="51" spans="1:23">
      <c r="A51">
        <v>1928</v>
      </c>
      <c r="B51">
        <v>-0.02</v>
      </c>
      <c r="C51">
        <v>-0.09</v>
      </c>
      <c r="D51">
        <v>-0.25</v>
      </c>
      <c r="E51">
        <v>-0.28999999999999998</v>
      </c>
      <c r="F51">
        <v>-0.3</v>
      </c>
      <c r="G51">
        <v>-0.39</v>
      </c>
      <c r="H51">
        <v>-0.2</v>
      </c>
      <c r="I51">
        <v>-0.22</v>
      </c>
      <c r="J51">
        <v>-0.21</v>
      </c>
      <c r="K51">
        <v>-0.19</v>
      </c>
      <c r="L51">
        <v>-0.1</v>
      </c>
      <c r="M51">
        <v>-0.16</v>
      </c>
      <c r="N51">
        <v>-0.2</v>
      </c>
      <c r="O51">
        <v>-0.22</v>
      </c>
      <c r="P51">
        <v>-0.15</v>
      </c>
      <c r="Q51">
        <v>-0.28000000000000003</v>
      </c>
      <c r="R51">
        <v>-0.27</v>
      </c>
      <c r="S51">
        <v>-0.17</v>
      </c>
      <c r="U51" s="34">
        <f t="shared" si="0"/>
        <v>-0.20166666666666666</v>
      </c>
      <c r="V51" s="34">
        <f t="shared" si="1"/>
        <v>13.798333333333334</v>
      </c>
      <c r="W51" s="34">
        <f t="shared" si="2"/>
        <v>56.837000000000003</v>
      </c>
    </row>
    <row r="52" spans="1:23">
      <c r="A52">
        <v>1929</v>
      </c>
      <c r="B52">
        <v>-0.45</v>
      </c>
      <c r="C52">
        <v>-0.57999999999999996</v>
      </c>
      <c r="D52">
        <v>-0.33</v>
      </c>
      <c r="E52">
        <v>-0.42</v>
      </c>
      <c r="F52">
        <v>-0.38</v>
      </c>
      <c r="G52">
        <v>-0.43</v>
      </c>
      <c r="H52">
        <v>-0.37</v>
      </c>
      <c r="I52">
        <v>-0.33</v>
      </c>
      <c r="J52">
        <v>-0.25</v>
      </c>
      <c r="K52">
        <v>-0.14000000000000001</v>
      </c>
      <c r="L52">
        <v>-0.12</v>
      </c>
      <c r="M52">
        <v>-0.55000000000000004</v>
      </c>
      <c r="N52">
        <v>-0.36</v>
      </c>
      <c r="O52">
        <v>-0.33</v>
      </c>
      <c r="P52">
        <v>-0.4</v>
      </c>
      <c r="Q52">
        <v>-0.37</v>
      </c>
      <c r="R52">
        <v>-0.38</v>
      </c>
      <c r="S52">
        <v>-0.17</v>
      </c>
      <c r="U52" s="34">
        <f t="shared" si="0"/>
        <v>-0.36250000000000004</v>
      </c>
      <c r="V52" s="34">
        <f t="shared" si="1"/>
        <v>13.637499999999999</v>
      </c>
      <c r="W52" s="34">
        <f t="shared" si="2"/>
        <v>56.547499999999999</v>
      </c>
    </row>
    <row r="53" spans="1:23">
      <c r="A53">
        <v>1930</v>
      </c>
      <c r="B53">
        <v>-0.31</v>
      </c>
      <c r="C53">
        <v>-0.27</v>
      </c>
      <c r="D53">
        <v>-0.11</v>
      </c>
      <c r="E53">
        <v>-0.25</v>
      </c>
      <c r="F53">
        <v>-0.24</v>
      </c>
      <c r="G53">
        <v>-0.22</v>
      </c>
      <c r="H53">
        <v>-0.21</v>
      </c>
      <c r="I53">
        <v>-0.15</v>
      </c>
      <c r="J53">
        <v>-0.15</v>
      </c>
      <c r="K53">
        <v>-0.12</v>
      </c>
      <c r="L53">
        <v>0.17</v>
      </c>
      <c r="M53">
        <v>-0.06</v>
      </c>
      <c r="N53">
        <v>-0.16</v>
      </c>
      <c r="O53">
        <v>-0.2</v>
      </c>
      <c r="P53">
        <v>-0.37</v>
      </c>
      <c r="Q53">
        <v>-0.2</v>
      </c>
      <c r="R53">
        <v>-0.19</v>
      </c>
      <c r="S53">
        <v>-0.03</v>
      </c>
      <c r="U53" s="34">
        <f t="shared" si="0"/>
        <v>-0.16</v>
      </c>
      <c r="V53" s="34">
        <f t="shared" si="1"/>
        <v>13.84</v>
      </c>
      <c r="W53" s="34">
        <f t="shared" si="2"/>
        <v>56.911999999999999</v>
      </c>
    </row>
    <row r="54" spans="1:23">
      <c r="A54">
        <v>1931</v>
      </c>
      <c r="B54">
        <v>-0.11</v>
      </c>
      <c r="C54">
        <v>-0.2</v>
      </c>
      <c r="D54">
        <v>-0.11</v>
      </c>
      <c r="E54">
        <v>-0.23</v>
      </c>
      <c r="F54">
        <v>-0.2</v>
      </c>
      <c r="G54">
        <v>-0.08</v>
      </c>
      <c r="H54">
        <v>-0.04</v>
      </c>
      <c r="I54">
        <v>-0.04</v>
      </c>
      <c r="J54">
        <v>-7.0000000000000007E-2</v>
      </c>
      <c r="K54">
        <v>0.06</v>
      </c>
      <c r="L54">
        <v>-0.06</v>
      </c>
      <c r="M54">
        <v>-0.05</v>
      </c>
      <c r="N54">
        <v>-0.09</v>
      </c>
      <c r="O54">
        <v>-0.09</v>
      </c>
      <c r="P54">
        <v>-0.12</v>
      </c>
      <c r="Q54">
        <v>-0.18</v>
      </c>
      <c r="R54">
        <v>-0.05</v>
      </c>
      <c r="S54">
        <v>-0.02</v>
      </c>
      <c r="U54" s="34">
        <f t="shared" si="0"/>
        <v>-9.4166666666666676E-2</v>
      </c>
      <c r="V54" s="34">
        <f t="shared" si="1"/>
        <v>13.905833333333334</v>
      </c>
      <c r="W54" s="34">
        <f t="shared" si="2"/>
        <v>57.030500000000004</v>
      </c>
    </row>
    <row r="55" spans="1:23">
      <c r="A55">
        <v>1932</v>
      </c>
      <c r="B55">
        <v>0.15</v>
      </c>
      <c r="C55">
        <v>-0.17</v>
      </c>
      <c r="D55">
        <v>-0.18</v>
      </c>
      <c r="E55">
        <v>-0.06</v>
      </c>
      <c r="F55">
        <v>-0.18</v>
      </c>
      <c r="G55">
        <v>-0.28999999999999998</v>
      </c>
      <c r="H55">
        <v>-0.25</v>
      </c>
      <c r="I55">
        <v>-0.22</v>
      </c>
      <c r="J55">
        <v>-0.11</v>
      </c>
      <c r="K55">
        <v>-0.09</v>
      </c>
      <c r="L55">
        <v>-0.27</v>
      </c>
      <c r="M55">
        <v>-0.27</v>
      </c>
      <c r="N55">
        <v>-0.16</v>
      </c>
      <c r="O55">
        <v>-0.14000000000000001</v>
      </c>
      <c r="P55">
        <v>-0.03</v>
      </c>
      <c r="Q55">
        <v>-0.14000000000000001</v>
      </c>
      <c r="R55">
        <v>-0.25</v>
      </c>
      <c r="S55">
        <v>-0.16</v>
      </c>
      <c r="U55" s="34">
        <f t="shared" si="0"/>
        <v>-0.16166666666666668</v>
      </c>
      <c r="V55" s="34">
        <f t="shared" si="1"/>
        <v>13.838333333333333</v>
      </c>
      <c r="W55" s="34">
        <f t="shared" si="2"/>
        <v>56.908999999999999</v>
      </c>
    </row>
    <row r="56" spans="1:23">
      <c r="A56">
        <v>1933</v>
      </c>
      <c r="B56">
        <v>-0.24</v>
      </c>
      <c r="C56">
        <v>-0.3</v>
      </c>
      <c r="D56">
        <v>-0.28999999999999998</v>
      </c>
      <c r="E56">
        <v>-0.24</v>
      </c>
      <c r="F56">
        <v>-0.28999999999999998</v>
      </c>
      <c r="G56">
        <v>-0.34</v>
      </c>
      <c r="H56">
        <v>-0.22</v>
      </c>
      <c r="I56">
        <v>-0.24</v>
      </c>
      <c r="J56">
        <v>-0.28999999999999998</v>
      </c>
      <c r="K56">
        <v>-0.25</v>
      </c>
      <c r="L56">
        <v>-0.31</v>
      </c>
      <c r="M56">
        <v>-0.45</v>
      </c>
      <c r="N56">
        <v>-0.28999999999999998</v>
      </c>
      <c r="O56">
        <v>-0.27</v>
      </c>
      <c r="P56">
        <v>-0.27</v>
      </c>
      <c r="Q56">
        <v>-0.28000000000000003</v>
      </c>
      <c r="R56">
        <v>-0.27</v>
      </c>
      <c r="S56">
        <v>-0.28000000000000003</v>
      </c>
      <c r="U56" s="34">
        <f t="shared" si="0"/>
        <v>-0.28833333333333339</v>
      </c>
      <c r="V56" s="34">
        <f t="shared" si="1"/>
        <v>13.711666666666666</v>
      </c>
      <c r="W56" s="34">
        <f t="shared" si="2"/>
        <v>56.680999999999997</v>
      </c>
    </row>
    <row r="57" spans="1:23">
      <c r="A57">
        <v>1934</v>
      </c>
      <c r="B57">
        <v>-0.21</v>
      </c>
      <c r="C57">
        <v>-0.03</v>
      </c>
      <c r="D57">
        <v>-0.28999999999999998</v>
      </c>
      <c r="E57">
        <v>-0.31</v>
      </c>
      <c r="F57">
        <v>-0.1</v>
      </c>
      <c r="G57">
        <v>-0.15</v>
      </c>
      <c r="H57">
        <v>-0.11</v>
      </c>
      <c r="I57">
        <v>-0.12</v>
      </c>
      <c r="J57">
        <v>-0.15</v>
      </c>
      <c r="K57">
        <v>-7.0000000000000007E-2</v>
      </c>
      <c r="L57">
        <v>0.03</v>
      </c>
      <c r="M57">
        <v>-0.03</v>
      </c>
      <c r="N57">
        <v>-0.13</v>
      </c>
      <c r="O57">
        <v>-0.16</v>
      </c>
      <c r="P57">
        <v>-0.23</v>
      </c>
      <c r="Q57">
        <v>-0.23</v>
      </c>
      <c r="R57">
        <v>-0.13</v>
      </c>
      <c r="S57">
        <v>-0.06</v>
      </c>
      <c r="U57" s="34">
        <f t="shared" si="0"/>
        <v>-0.12833333333333335</v>
      </c>
      <c r="V57" s="34">
        <f t="shared" si="1"/>
        <v>13.871666666666666</v>
      </c>
      <c r="W57" s="34">
        <f t="shared" si="2"/>
        <v>56.969000000000001</v>
      </c>
    </row>
    <row r="58" spans="1:23">
      <c r="A58">
        <v>1935</v>
      </c>
      <c r="B58">
        <v>-0.34</v>
      </c>
      <c r="C58">
        <v>0.14000000000000001</v>
      </c>
      <c r="D58">
        <v>-0.14000000000000001</v>
      </c>
      <c r="E58">
        <v>-0.38</v>
      </c>
      <c r="F58">
        <v>-0.28999999999999998</v>
      </c>
      <c r="G58">
        <v>-0.27</v>
      </c>
      <c r="H58">
        <v>-0.22</v>
      </c>
      <c r="I58">
        <v>-0.22</v>
      </c>
      <c r="J58">
        <v>-0.21</v>
      </c>
      <c r="K58">
        <v>-0.06</v>
      </c>
      <c r="L58">
        <v>-0.26</v>
      </c>
      <c r="M58">
        <v>-0.17</v>
      </c>
      <c r="N58">
        <v>-0.2</v>
      </c>
      <c r="O58">
        <v>-0.19</v>
      </c>
      <c r="P58">
        <v>-0.08</v>
      </c>
      <c r="Q58">
        <v>-0.27</v>
      </c>
      <c r="R58">
        <v>-0.24</v>
      </c>
      <c r="S58">
        <v>-0.18</v>
      </c>
      <c r="U58" s="34">
        <f t="shared" si="0"/>
        <v>-0.20166666666666666</v>
      </c>
      <c r="V58" s="34">
        <f t="shared" si="1"/>
        <v>13.798333333333334</v>
      </c>
      <c r="W58" s="34">
        <f t="shared" si="2"/>
        <v>56.837000000000003</v>
      </c>
    </row>
    <row r="59" spans="1:23">
      <c r="A59">
        <v>1936</v>
      </c>
      <c r="B59">
        <v>-0.28000000000000003</v>
      </c>
      <c r="C59">
        <v>-0.38</v>
      </c>
      <c r="D59">
        <v>-0.21</v>
      </c>
      <c r="E59">
        <v>-0.21</v>
      </c>
      <c r="F59">
        <v>-0.16</v>
      </c>
      <c r="G59">
        <v>-0.22</v>
      </c>
      <c r="H59">
        <v>-0.1</v>
      </c>
      <c r="I59">
        <v>-0.14000000000000001</v>
      </c>
      <c r="J59">
        <v>-0.09</v>
      </c>
      <c r="K59">
        <v>-0.03</v>
      </c>
      <c r="L59">
        <v>0.01</v>
      </c>
      <c r="M59">
        <v>-0.01</v>
      </c>
      <c r="N59">
        <v>-0.15</v>
      </c>
      <c r="O59">
        <v>-0.17</v>
      </c>
      <c r="P59">
        <v>-0.28000000000000003</v>
      </c>
      <c r="Q59">
        <v>-0.19</v>
      </c>
      <c r="R59">
        <v>-0.15</v>
      </c>
      <c r="S59">
        <v>-0.04</v>
      </c>
      <c r="U59" s="34">
        <f t="shared" si="0"/>
        <v>-0.1516666666666667</v>
      </c>
      <c r="V59" s="34">
        <f t="shared" si="1"/>
        <v>13.848333333333333</v>
      </c>
      <c r="W59" s="34">
        <f t="shared" si="2"/>
        <v>56.927</v>
      </c>
    </row>
    <row r="60" spans="1:23">
      <c r="A60">
        <v>1937</v>
      </c>
      <c r="B60">
        <v>-0.08</v>
      </c>
      <c r="C60">
        <v>0.03</v>
      </c>
      <c r="D60">
        <v>-0.21</v>
      </c>
      <c r="E60">
        <v>-0.16</v>
      </c>
      <c r="F60">
        <v>-0.06</v>
      </c>
      <c r="G60">
        <v>-0.05</v>
      </c>
      <c r="H60">
        <v>-0.04</v>
      </c>
      <c r="I60">
        <v>0.01</v>
      </c>
      <c r="J60">
        <v>0.09</v>
      </c>
      <c r="K60">
        <v>0.08</v>
      </c>
      <c r="L60">
        <v>7.0000000000000007E-2</v>
      </c>
      <c r="M60">
        <v>-0.08</v>
      </c>
      <c r="N60">
        <v>-0.03</v>
      </c>
      <c r="O60">
        <v>-0.03</v>
      </c>
      <c r="P60">
        <v>-0.02</v>
      </c>
      <c r="Q60">
        <v>-0.14000000000000001</v>
      </c>
      <c r="R60">
        <v>-0.03</v>
      </c>
      <c r="S60">
        <v>0.08</v>
      </c>
      <c r="U60" s="34">
        <f t="shared" si="0"/>
        <v>-3.333333333333334E-2</v>
      </c>
      <c r="V60" s="34">
        <f t="shared" si="1"/>
        <v>13.966666666666667</v>
      </c>
      <c r="W60" s="34">
        <f t="shared" si="2"/>
        <v>57.14</v>
      </c>
    </row>
    <row r="61" spans="1:23">
      <c r="A61">
        <v>1938</v>
      </c>
      <c r="B61">
        <v>0.08</v>
      </c>
      <c r="C61">
        <v>0.03</v>
      </c>
      <c r="D61">
        <v>0.1</v>
      </c>
      <c r="E61">
        <v>0.06</v>
      </c>
      <c r="F61">
        <v>-0.1</v>
      </c>
      <c r="G61">
        <v>-0.17</v>
      </c>
      <c r="H61">
        <v>-0.1</v>
      </c>
      <c r="I61">
        <v>-0.06</v>
      </c>
      <c r="J61">
        <v>0.01</v>
      </c>
      <c r="K61">
        <v>0.14000000000000001</v>
      </c>
      <c r="L61">
        <v>7.0000000000000007E-2</v>
      </c>
      <c r="M61">
        <v>-0.13</v>
      </c>
      <c r="N61">
        <v>-0.01</v>
      </c>
      <c r="O61">
        <v>0</v>
      </c>
      <c r="P61">
        <v>0.01</v>
      </c>
      <c r="Q61">
        <v>0.02</v>
      </c>
      <c r="R61">
        <v>-0.11</v>
      </c>
      <c r="S61">
        <v>7.0000000000000007E-2</v>
      </c>
      <c r="U61" s="34">
        <f t="shared" si="0"/>
        <v>-5.8333333333333319E-3</v>
      </c>
      <c r="V61" s="34">
        <f t="shared" si="1"/>
        <v>13.994166666666667</v>
      </c>
      <c r="W61" s="34">
        <f t="shared" si="2"/>
        <v>57.189499999999995</v>
      </c>
    </row>
    <row r="62" spans="1:23">
      <c r="A62">
        <v>1939</v>
      </c>
      <c r="B62">
        <v>-0.06</v>
      </c>
      <c r="C62">
        <v>-7.0000000000000007E-2</v>
      </c>
      <c r="D62">
        <v>-0.18</v>
      </c>
      <c r="E62">
        <v>-0.1</v>
      </c>
      <c r="F62">
        <v>-0.05</v>
      </c>
      <c r="G62">
        <v>-7.0000000000000007E-2</v>
      </c>
      <c r="H62">
        <v>-0.06</v>
      </c>
      <c r="I62">
        <v>-7.0000000000000007E-2</v>
      </c>
      <c r="J62">
        <v>-0.08</v>
      </c>
      <c r="K62">
        <v>-0.04</v>
      </c>
      <c r="L62">
        <v>7.0000000000000007E-2</v>
      </c>
      <c r="M62">
        <v>0.42</v>
      </c>
      <c r="N62">
        <v>-0.02</v>
      </c>
      <c r="O62">
        <v>-7.0000000000000007E-2</v>
      </c>
      <c r="P62">
        <v>-0.08</v>
      </c>
      <c r="Q62">
        <v>-0.11</v>
      </c>
      <c r="R62">
        <v>-7.0000000000000007E-2</v>
      </c>
      <c r="S62">
        <v>-0.02</v>
      </c>
      <c r="U62" s="34">
        <f t="shared" si="0"/>
        <v>-2.4166666666666684E-2</v>
      </c>
      <c r="V62" s="34">
        <f t="shared" si="1"/>
        <v>13.975833333333334</v>
      </c>
      <c r="W62" s="34">
        <f t="shared" si="2"/>
        <v>57.156500000000001</v>
      </c>
    </row>
    <row r="63" spans="1:23">
      <c r="A63">
        <v>1940</v>
      </c>
      <c r="B63">
        <v>-0.01</v>
      </c>
      <c r="C63">
        <v>0.08</v>
      </c>
      <c r="D63">
        <v>0.09</v>
      </c>
      <c r="E63">
        <v>0.17</v>
      </c>
      <c r="F63">
        <v>0.11</v>
      </c>
      <c r="G63">
        <v>0.11</v>
      </c>
      <c r="H63">
        <v>0.12</v>
      </c>
      <c r="I63">
        <v>0.06</v>
      </c>
      <c r="J63">
        <v>0.15</v>
      </c>
      <c r="K63">
        <v>0.11</v>
      </c>
      <c r="L63">
        <v>0.16</v>
      </c>
      <c r="M63">
        <v>0.31</v>
      </c>
      <c r="N63">
        <v>0.12</v>
      </c>
      <c r="O63">
        <v>0.13</v>
      </c>
      <c r="P63">
        <v>0.16</v>
      </c>
      <c r="Q63">
        <v>0.12</v>
      </c>
      <c r="R63">
        <v>0.1</v>
      </c>
      <c r="S63">
        <v>0.14000000000000001</v>
      </c>
      <c r="U63" s="34">
        <f t="shared" si="0"/>
        <v>0.12166666666666666</v>
      </c>
      <c r="V63" s="34">
        <f t="shared" si="1"/>
        <v>14.121666666666666</v>
      </c>
      <c r="W63" s="34">
        <f t="shared" si="2"/>
        <v>57.418999999999997</v>
      </c>
    </row>
    <row r="64" spans="1:23">
      <c r="A64">
        <v>1941</v>
      </c>
      <c r="B64">
        <v>0.17</v>
      </c>
      <c r="C64">
        <v>0.3</v>
      </c>
      <c r="D64">
        <v>0.1</v>
      </c>
      <c r="E64">
        <v>0.16</v>
      </c>
      <c r="F64">
        <v>0.16</v>
      </c>
      <c r="G64">
        <v>0.12</v>
      </c>
      <c r="H64">
        <v>0.21</v>
      </c>
      <c r="I64">
        <v>0.14000000000000001</v>
      </c>
      <c r="J64">
        <v>0.02</v>
      </c>
      <c r="K64">
        <v>0.35</v>
      </c>
      <c r="L64">
        <v>0.22</v>
      </c>
      <c r="M64">
        <v>0.21</v>
      </c>
      <c r="N64">
        <v>0.18</v>
      </c>
      <c r="O64">
        <v>0.19</v>
      </c>
      <c r="P64">
        <v>0.26</v>
      </c>
      <c r="Q64">
        <v>0.14000000000000001</v>
      </c>
      <c r="R64">
        <v>0.16</v>
      </c>
      <c r="S64">
        <v>0.19</v>
      </c>
      <c r="U64" s="34">
        <f t="shared" si="0"/>
        <v>0.18000000000000002</v>
      </c>
      <c r="V64" s="34">
        <f t="shared" si="1"/>
        <v>14.18</v>
      </c>
      <c r="W64" s="34">
        <f t="shared" si="2"/>
        <v>57.524000000000001</v>
      </c>
    </row>
    <row r="65" spans="1:23">
      <c r="A65">
        <v>1942</v>
      </c>
      <c r="B65">
        <v>0.28999999999999998</v>
      </c>
      <c r="C65">
        <v>0.02</v>
      </c>
      <c r="D65">
        <v>0.05</v>
      </c>
      <c r="E65">
        <v>0.09</v>
      </c>
      <c r="F65">
        <v>0.11</v>
      </c>
      <c r="G65">
        <v>0.04</v>
      </c>
      <c r="H65">
        <v>0</v>
      </c>
      <c r="I65">
        <v>-0.04</v>
      </c>
      <c r="J65">
        <v>-0.03</v>
      </c>
      <c r="K65">
        <v>0.01</v>
      </c>
      <c r="L65">
        <v>0.09</v>
      </c>
      <c r="M65">
        <v>0.11</v>
      </c>
      <c r="N65">
        <v>0.06</v>
      </c>
      <c r="O65">
        <v>7.0000000000000007E-2</v>
      </c>
      <c r="P65">
        <v>0.17</v>
      </c>
      <c r="Q65">
        <v>0.08</v>
      </c>
      <c r="R65">
        <v>0</v>
      </c>
      <c r="S65">
        <v>0.02</v>
      </c>
      <c r="U65" s="34">
        <f t="shared" si="0"/>
        <v>6.1666666666666654E-2</v>
      </c>
      <c r="V65" s="34">
        <f t="shared" si="1"/>
        <v>14.061666666666667</v>
      </c>
      <c r="W65" s="34">
        <f t="shared" si="2"/>
        <v>57.311000000000007</v>
      </c>
    </row>
    <row r="66" spans="1:23">
      <c r="A66">
        <v>1943</v>
      </c>
      <c r="B66">
        <v>-0.01</v>
      </c>
      <c r="C66">
        <v>0.17</v>
      </c>
      <c r="D66">
        <v>-0.04</v>
      </c>
      <c r="E66">
        <v>0.11</v>
      </c>
      <c r="F66">
        <v>0.06</v>
      </c>
      <c r="G66">
        <v>-0.05</v>
      </c>
      <c r="H66">
        <v>0.08</v>
      </c>
      <c r="I66">
        <v>0</v>
      </c>
      <c r="J66">
        <v>0.05</v>
      </c>
      <c r="K66">
        <v>0.23</v>
      </c>
      <c r="L66">
        <v>0.2</v>
      </c>
      <c r="M66">
        <v>0.23</v>
      </c>
      <c r="N66">
        <v>0.09</v>
      </c>
      <c r="O66">
        <v>0.08</v>
      </c>
      <c r="P66">
        <v>0.09</v>
      </c>
      <c r="Q66">
        <v>0.04</v>
      </c>
      <c r="R66">
        <v>0.01</v>
      </c>
      <c r="S66">
        <v>0.16</v>
      </c>
      <c r="U66" s="34">
        <f t="shared" si="0"/>
        <v>8.5833333333333331E-2</v>
      </c>
      <c r="V66" s="34">
        <f t="shared" si="1"/>
        <v>14.085833333333333</v>
      </c>
      <c r="W66" s="34">
        <f t="shared" si="2"/>
        <v>57.354500000000002</v>
      </c>
    </row>
    <row r="67" spans="1:23">
      <c r="A67">
        <v>1944</v>
      </c>
      <c r="B67">
        <v>0.36</v>
      </c>
      <c r="C67">
        <v>0.24</v>
      </c>
      <c r="D67">
        <v>0.26</v>
      </c>
      <c r="E67">
        <v>0.19</v>
      </c>
      <c r="F67">
        <v>0.18</v>
      </c>
      <c r="G67">
        <v>0.15</v>
      </c>
      <c r="H67">
        <v>0.17</v>
      </c>
      <c r="I67">
        <v>0.18</v>
      </c>
      <c r="J67">
        <v>0.28000000000000003</v>
      </c>
      <c r="K67">
        <v>0.26</v>
      </c>
      <c r="L67">
        <v>0.11</v>
      </c>
      <c r="M67">
        <v>0.04</v>
      </c>
      <c r="N67">
        <v>0.2</v>
      </c>
      <c r="O67">
        <v>0.22</v>
      </c>
      <c r="P67">
        <v>0.28000000000000003</v>
      </c>
      <c r="Q67">
        <v>0.21</v>
      </c>
      <c r="R67">
        <v>0.17</v>
      </c>
      <c r="S67">
        <v>0.22</v>
      </c>
      <c r="U67" s="34">
        <f t="shared" si="0"/>
        <v>0.20166666666666663</v>
      </c>
      <c r="V67" s="34">
        <f t="shared" si="1"/>
        <v>14.201666666666666</v>
      </c>
      <c r="W67" s="34">
        <f t="shared" si="2"/>
        <v>57.563000000000002</v>
      </c>
    </row>
    <row r="68" spans="1:23">
      <c r="A68">
        <v>1945</v>
      </c>
      <c r="B68">
        <v>0.1</v>
      </c>
      <c r="C68">
        <v>0.01</v>
      </c>
      <c r="D68">
        <v>0.06</v>
      </c>
      <c r="E68">
        <v>0.2</v>
      </c>
      <c r="F68">
        <v>0.06</v>
      </c>
      <c r="G68">
        <v>0.01</v>
      </c>
      <c r="H68">
        <v>0.04</v>
      </c>
      <c r="I68">
        <v>0.26</v>
      </c>
      <c r="J68">
        <v>0.21</v>
      </c>
      <c r="K68">
        <v>0.19</v>
      </c>
      <c r="L68">
        <v>7.0000000000000007E-2</v>
      </c>
      <c r="M68">
        <v>-7.0000000000000007E-2</v>
      </c>
      <c r="N68">
        <v>0.09</v>
      </c>
      <c r="O68">
        <v>0.1</v>
      </c>
      <c r="P68">
        <v>0.05</v>
      </c>
      <c r="Q68">
        <v>0.11</v>
      </c>
      <c r="R68">
        <v>0.1</v>
      </c>
      <c r="S68">
        <v>0.15</v>
      </c>
      <c r="U68" s="34">
        <f t="shared" ref="U68:U131" si="3">AVERAGE(B68:M68)</f>
        <v>9.4999999999999987E-2</v>
      </c>
      <c r="V68" s="34">
        <f t="shared" ref="V68:V131" si="4">U68+14</f>
        <v>14.095000000000001</v>
      </c>
      <c r="W68" s="34">
        <f t="shared" ref="W68:W131" si="5">V68*(9/5)+32</f>
        <v>57.371000000000002</v>
      </c>
    </row>
    <row r="69" spans="1:23">
      <c r="A69">
        <v>1946</v>
      </c>
      <c r="B69">
        <v>0.15</v>
      </c>
      <c r="C69">
        <v>0.03</v>
      </c>
      <c r="D69">
        <v>0.01</v>
      </c>
      <c r="E69">
        <v>0.06</v>
      </c>
      <c r="F69">
        <v>-7.0000000000000007E-2</v>
      </c>
      <c r="G69">
        <v>-0.21</v>
      </c>
      <c r="H69">
        <v>-0.12</v>
      </c>
      <c r="I69">
        <v>-0.2</v>
      </c>
      <c r="J69">
        <v>-7.0000000000000007E-2</v>
      </c>
      <c r="K69">
        <v>-0.08</v>
      </c>
      <c r="L69">
        <v>-0.06</v>
      </c>
      <c r="M69">
        <v>-0.31</v>
      </c>
      <c r="N69">
        <v>-7.0000000000000007E-2</v>
      </c>
      <c r="O69">
        <v>-0.05</v>
      </c>
      <c r="P69">
        <v>0.04</v>
      </c>
      <c r="Q69">
        <v>0</v>
      </c>
      <c r="R69">
        <v>-0.18</v>
      </c>
      <c r="S69">
        <v>-7.0000000000000007E-2</v>
      </c>
      <c r="U69" s="34">
        <f t="shared" si="3"/>
        <v>-7.2500000000000009E-2</v>
      </c>
      <c r="V69" s="34">
        <f t="shared" si="4"/>
        <v>13.9275</v>
      </c>
      <c r="W69" s="34">
        <f t="shared" si="5"/>
        <v>57.069500000000005</v>
      </c>
    </row>
    <row r="70" spans="1:23">
      <c r="A70">
        <v>1947</v>
      </c>
      <c r="B70">
        <v>-7.0000000000000007E-2</v>
      </c>
      <c r="C70">
        <v>-0.08</v>
      </c>
      <c r="D70">
        <v>0.06</v>
      </c>
      <c r="E70">
        <v>0.06</v>
      </c>
      <c r="F70">
        <v>-0.02</v>
      </c>
      <c r="G70">
        <v>-0.02</v>
      </c>
      <c r="H70">
        <v>-0.04</v>
      </c>
      <c r="I70">
        <v>-7.0000000000000007E-2</v>
      </c>
      <c r="J70">
        <v>-0.12</v>
      </c>
      <c r="K70">
        <v>7.0000000000000007E-2</v>
      </c>
      <c r="L70">
        <v>0.02</v>
      </c>
      <c r="M70">
        <v>-0.13</v>
      </c>
      <c r="N70">
        <v>-0.03</v>
      </c>
      <c r="O70">
        <v>-0.04</v>
      </c>
      <c r="P70">
        <v>-0.15</v>
      </c>
      <c r="Q70">
        <v>0.03</v>
      </c>
      <c r="R70">
        <v>-0.04</v>
      </c>
      <c r="S70">
        <v>-0.01</v>
      </c>
      <c r="U70" s="34">
        <f t="shared" si="3"/>
        <v>-2.8333333333333339E-2</v>
      </c>
      <c r="V70" s="34">
        <f t="shared" si="4"/>
        <v>13.971666666666666</v>
      </c>
      <c r="W70" s="34">
        <f t="shared" si="5"/>
        <v>57.149000000000001</v>
      </c>
    </row>
    <row r="71" spans="1:23">
      <c r="A71">
        <v>1948</v>
      </c>
      <c r="B71">
        <v>0.06</v>
      </c>
      <c r="C71">
        <v>-0.15</v>
      </c>
      <c r="D71">
        <v>-0.24</v>
      </c>
      <c r="E71">
        <v>-0.12</v>
      </c>
      <c r="F71">
        <v>-0.01</v>
      </c>
      <c r="G71">
        <v>-0.05</v>
      </c>
      <c r="H71">
        <v>-0.11</v>
      </c>
      <c r="I71">
        <v>-0.12</v>
      </c>
      <c r="J71">
        <v>-0.14000000000000001</v>
      </c>
      <c r="K71">
        <v>-0.05</v>
      </c>
      <c r="L71">
        <v>-0.13</v>
      </c>
      <c r="M71">
        <v>-0.24</v>
      </c>
      <c r="N71">
        <v>-0.11</v>
      </c>
      <c r="O71">
        <v>-0.1</v>
      </c>
      <c r="P71">
        <v>-7.0000000000000007E-2</v>
      </c>
      <c r="Q71">
        <v>-0.12</v>
      </c>
      <c r="R71">
        <v>-0.09</v>
      </c>
      <c r="S71">
        <v>-0.11</v>
      </c>
      <c r="U71" s="34">
        <f t="shared" si="3"/>
        <v>-0.10833333333333334</v>
      </c>
      <c r="V71" s="34">
        <f t="shared" si="4"/>
        <v>13.891666666666667</v>
      </c>
      <c r="W71" s="34">
        <f t="shared" si="5"/>
        <v>57.005000000000003</v>
      </c>
    </row>
    <row r="72" spans="1:23">
      <c r="A72">
        <v>1949</v>
      </c>
      <c r="B72">
        <v>0.06</v>
      </c>
      <c r="C72">
        <v>-0.14000000000000001</v>
      </c>
      <c r="D72">
        <v>-0.02</v>
      </c>
      <c r="E72">
        <v>-0.11</v>
      </c>
      <c r="F72">
        <v>-0.1</v>
      </c>
      <c r="G72">
        <v>-0.27</v>
      </c>
      <c r="H72">
        <v>-0.13</v>
      </c>
      <c r="I72">
        <v>-0.13</v>
      </c>
      <c r="J72">
        <v>-0.14000000000000001</v>
      </c>
      <c r="K72">
        <v>-7.0000000000000007E-2</v>
      </c>
      <c r="L72">
        <v>-0.1</v>
      </c>
      <c r="M72">
        <v>-0.18</v>
      </c>
      <c r="N72">
        <v>-0.11</v>
      </c>
      <c r="O72">
        <v>-0.12</v>
      </c>
      <c r="P72">
        <v>-0.11</v>
      </c>
      <c r="Q72">
        <v>-0.08</v>
      </c>
      <c r="R72">
        <v>-0.18</v>
      </c>
      <c r="S72">
        <v>-0.1</v>
      </c>
      <c r="U72" s="34">
        <f t="shared" si="3"/>
        <v>-0.11083333333333334</v>
      </c>
      <c r="V72" s="34">
        <f t="shared" si="4"/>
        <v>13.889166666666666</v>
      </c>
      <c r="W72" s="34">
        <f t="shared" si="5"/>
        <v>57.000500000000002</v>
      </c>
    </row>
    <row r="73" spans="1:23">
      <c r="A73">
        <v>1950</v>
      </c>
      <c r="B73">
        <v>-0.26</v>
      </c>
      <c r="C73">
        <v>-0.27</v>
      </c>
      <c r="D73">
        <v>-0.08</v>
      </c>
      <c r="E73">
        <v>-0.21</v>
      </c>
      <c r="F73">
        <v>-0.11</v>
      </c>
      <c r="G73">
        <v>-0.05</v>
      </c>
      <c r="H73">
        <v>-0.09</v>
      </c>
      <c r="I73">
        <v>-0.16</v>
      </c>
      <c r="J73">
        <v>-0.11</v>
      </c>
      <c r="K73">
        <v>-0.2</v>
      </c>
      <c r="L73">
        <v>-0.34</v>
      </c>
      <c r="M73">
        <v>-0.22</v>
      </c>
      <c r="N73">
        <v>-0.18</v>
      </c>
      <c r="O73">
        <v>-0.17</v>
      </c>
      <c r="P73">
        <v>-0.24</v>
      </c>
      <c r="Q73">
        <v>-0.13</v>
      </c>
      <c r="R73">
        <v>-0.1</v>
      </c>
      <c r="S73">
        <v>-0.22</v>
      </c>
      <c r="U73" s="34">
        <f t="shared" si="3"/>
        <v>-0.17500000000000002</v>
      </c>
      <c r="V73" s="34">
        <f t="shared" si="4"/>
        <v>13.824999999999999</v>
      </c>
      <c r="W73" s="34">
        <f t="shared" si="5"/>
        <v>56.884999999999998</v>
      </c>
    </row>
    <row r="74" spans="1:23">
      <c r="A74">
        <v>1951</v>
      </c>
      <c r="B74">
        <v>-0.34</v>
      </c>
      <c r="C74">
        <v>-0.41</v>
      </c>
      <c r="D74">
        <v>-0.2</v>
      </c>
      <c r="E74">
        <v>-0.14000000000000001</v>
      </c>
      <c r="F74">
        <v>0</v>
      </c>
      <c r="G74">
        <v>-7.0000000000000007E-2</v>
      </c>
      <c r="H74">
        <v>-0.01</v>
      </c>
      <c r="I74">
        <v>0.06</v>
      </c>
      <c r="J74">
        <v>0.05</v>
      </c>
      <c r="K74">
        <v>0.08</v>
      </c>
      <c r="L74">
        <v>-0.01</v>
      </c>
      <c r="M74">
        <v>0.15</v>
      </c>
      <c r="N74">
        <v>-7.0000000000000007E-2</v>
      </c>
      <c r="O74">
        <v>-0.1</v>
      </c>
      <c r="P74">
        <v>-0.33</v>
      </c>
      <c r="Q74">
        <v>-0.12</v>
      </c>
      <c r="R74">
        <v>-0.01</v>
      </c>
      <c r="S74">
        <v>0.04</v>
      </c>
      <c r="U74" s="34">
        <f t="shared" si="3"/>
        <v>-6.9999999999999993E-2</v>
      </c>
      <c r="V74" s="34">
        <f t="shared" si="4"/>
        <v>13.93</v>
      </c>
      <c r="W74" s="34">
        <f t="shared" si="5"/>
        <v>57.073999999999998</v>
      </c>
    </row>
    <row r="75" spans="1:23">
      <c r="A75">
        <v>1952</v>
      </c>
      <c r="B75">
        <v>0.11</v>
      </c>
      <c r="C75">
        <v>0.11</v>
      </c>
      <c r="D75">
        <v>-0.08</v>
      </c>
      <c r="E75">
        <v>0.03</v>
      </c>
      <c r="F75">
        <v>-0.03</v>
      </c>
      <c r="G75">
        <v>-0.03</v>
      </c>
      <c r="H75">
        <v>0.04</v>
      </c>
      <c r="I75">
        <v>0.05</v>
      </c>
      <c r="J75">
        <v>7.0000000000000007E-2</v>
      </c>
      <c r="K75">
        <v>0</v>
      </c>
      <c r="L75">
        <v>-0.13</v>
      </c>
      <c r="M75">
        <v>-0.02</v>
      </c>
      <c r="N75">
        <v>0.01</v>
      </c>
      <c r="O75">
        <v>0.03</v>
      </c>
      <c r="P75">
        <v>0.13</v>
      </c>
      <c r="Q75">
        <v>-0.03</v>
      </c>
      <c r="R75">
        <v>0.02</v>
      </c>
      <c r="S75">
        <v>-0.02</v>
      </c>
      <c r="U75" s="34">
        <f t="shared" si="3"/>
        <v>0.01</v>
      </c>
      <c r="V75" s="34">
        <f t="shared" si="4"/>
        <v>14.01</v>
      </c>
      <c r="W75" s="34">
        <f t="shared" si="5"/>
        <v>57.218000000000004</v>
      </c>
    </row>
    <row r="76" spans="1:23">
      <c r="A76">
        <v>1953</v>
      </c>
      <c r="B76">
        <v>7.0000000000000007E-2</v>
      </c>
      <c r="C76">
        <v>0.15</v>
      </c>
      <c r="D76">
        <v>0.11</v>
      </c>
      <c r="E76">
        <v>0.19</v>
      </c>
      <c r="F76">
        <v>0.11</v>
      </c>
      <c r="G76">
        <v>0.12</v>
      </c>
      <c r="H76">
        <v>0.01</v>
      </c>
      <c r="I76">
        <v>0.05</v>
      </c>
      <c r="J76">
        <v>0.05</v>
      </c>
      <c r="K76">
        <v>0.08</v>
      </c>
      <c r="L76">
        <v>-0.03</v>
      </c>
      <c r="M76">
        <v>0.05</v>
      </c>
      <c r="N76">
        <v>0.08</v>
      </c>
      <c r="O76">
        <v>0.08</v>
      </c>
      <c r="P76">
        <v>7.0000000000000007E-2</v>
      </c>
      <c r="Q76">
        <v>0.14000000000000001</v>
      </c>
      <c r="R76">
        <v>0.06</v>
      </c>
      <c r="S76">
        <v>0.03</v>
      </c>
      <c r="U76" s="34">
        <f t="shared" si="3"/>
        <v>0.08</v>
      </c>
      <c r="V76" s="34">
        <f t="shared" si="4"/>
        <v>14.08</v>
      </c>
      <c r="W76" s="34">
        <f t="shared" si="5"/>
        <v>57.344000000000001</v>
      </c>
    </row>
    <row r="77" spans="1:23">
      <c r="A77">
        <v>1954</v>
      </c>
      <c r="B77">
        <v>-0.24</v>
      </c>
      <c r="C77">
        <v>-0.1</v>
      </c>
      <c r="D77">
        <v>-0.15</v>
      </c>
      <c r="E77">
        <v>-0.14000000000000001</v>
      </c>
      <c r="F77">
        <v>-0.2</v>
      </c>
      <c r="G77">
        <v>-0.18</v>
      </c>
      <c r="H77">
        <v>-0.19</v>
      </c>
      <c r="I77">
        <v>-0.17</v>
      </c>
      <c r="J77">
        <v>-0.1</v>
      </c>
      <c r="K77">
        <v>-0.02</v>
      </c>
      <c r="L77">
        <v>0.08</v>
      </c>
      <c r="M77">
        <v>-0.18</v>
      </c>
      <c r="N77">
        <v>-0.13</v>
      </c>
      <c r="O77">
        <v>-0.11</v>
      </c>
      <c r="P77">
        <v>-0.1</v>
      </c>
      <c r="Q77">
        <v>-0.16</v>
      </c>
      <c r="R77">
        <v>-0.18</v>
      </c>
      <c r="S77">
        <v>-0.01</v>
      </c>
      <c r="U77" s="34">
        <f t="shared" si="3"/>
        <v>-0.13249999999999998</v>
      </c>
      <c r="V77" s="34">
        <f t="shared" si="4"/>
        <v>13.8675</v>
      </c>
      <c r="W77" s="34">
        <f t="shared" si="5"/>
        <v>56.961500000000001</v>
      </c>
    </row>
    <row r="78" spans="1:23">
      <c r="A78">
        <v>1955</v>
      </c>
      <c r="B78">
        <v>0.13</v>
      </c>
      <c r="C78">
        <v>-0.16</v>
      </c>
      <c r="D78">
        <v>-0.32</v>
      </c>
      <c r="E78">
        <v>-0.22</v>
      </c>
      <c r="F78">
        <v>-0.2</v>
      </c>
      <c r="G78">
        <v>-0.13</v>
      </c>
      <c r="H78">
        <v>-0.11</v>
      </c>
      <c r="I78">
        <v>0.02</v>
      </c>
      <c r="J78">
        <v>-0.11</v>
      </c>
      <c r="K78">
        <v>-0.05</v>
      </c>
      <c r="L78">
        <v>-0.25</v>
      </c>
      <c r="M78">
        <v>-0.28000000000000003</v>
      </c>
      <c r="N78">
        <v>-0.14000000000000001</v>
      </c>
      <c r="O78">
        <v>-0.13</v>
      </c>
      <c r="P78">
        <v>-7.0000000000000007E-2</v>
      </c>
      <c r="Q78">
        <v>-0.25</v>
      </c>
      <c r="R78">
        <v>-7.0000000000000007E-2</v>
      </c>
      <c r="S78">
        <v>-0.14000000000000001</v>
      </c>
      <c r="U78" s="34">
        <f t="shared" si="3"/>
        <v>-0.14000000000000001</v>
      </c>
      <c r="V78" s="34">
        <f t="shared" si="4"/>
        <v>13.86</v>
      </c>
      <c r="W78" s="34">
        <f t="shared" si="5"/>
        <v>56.948</v>
      </c>
    </row>
    <row r="79" spans="1:23">
      <c r="A79">
        <v>1956</v>
      </c>
      <c r="B79">
        <v>-0.13</v>
      </c>
      <c r="C79">
        <v>-0.24</v>
      </c>
      <c r="D79">
        <v>-0.21</v>
      </c>
      <c r="E79">
        <v>-0.28000000000000003</v>
      </c>
      <c r="F79">
        <v>-0.28999999999999998</v>
      </c>
      <c r="G79">
        <v>-0.15</v>
      </c>
      <c r="H79">
        <v>-0.09</v>
      </c>
      <c r="I79">
        <v>-0.25</v>
      </c>
      <c r="J79">
        <v>-0.19</v>
      </c>
      <c r="K79">
        <v>-0.23</v>
      </c>
      <c r="L79">
        <v>-0.15</v>
      </c>
      <c r="M79">
        <v>-0.06</v>
      </c>
      <c r="N79">
        <v>-0.19</v>
      </c>
      <c r="O79">
        <v>-0.21</v>
      </c>
      <c r="P79">
        <v>-0.22</v>
      </c>
      <c r="Q79">
        <v>-0.26</v>
      </c>
      <c r="R79">
        <v>-0.17</v>
      </c>
      <c r="S79">
        <v>-0.19</v>
      </c>
      <c r="U79" s="34">
        <f t="shared" si="3"/>
        <v>-0.18916666666666668</v>
      </c>
      <c r="V79" s="34">
        <f t="shared" si="4"/>
        <v>13.810833333333333</v>
      </c>
      <c r="W79" s="34">
        <f t="shared" si="5"/>
        <v>56.859499999999997</v>
      </c>
    </row>
    <row r="80" spans="1:23">
      <c r="A80">
        <v>1957</v>
      </c>
      <c r="B80">
        <v>-0.09</v>
      </c>
      <c r="C80">
        <v>-0.03</v>
      </c>
      <c r="D80">
        <v>-0.05</v>
      </c>
      <c r="E80">
        <v>0</v>
      </c>
      <c r="F80">
        <v>0.09</v>
      </c>
      <c r="G80">
        <v>0.15</v>
      </c>
      <c r="H80">
        <v>0.02</v>
      </c>
      <c r="I80">
        <v>0.15</v>
      </c>
      <c r="J80">
        <v>0.09</v>
      </c>
      <c r="K80">
        <v>0.01</v>
      </c>
      <c r="L80">
        <v>0.08</v>
      </c>
      <c r="M80">
        <v>0.15</v>
      </c>
      <c r="N80">
        <v>0.05</v>
      </c>
      <c r="O80">
        <v>0.03</v>
      </c>
      <c r="P80">
        <v>-0.06</v>
      </c>
      <c r="Q80">
        <v>0.01</v>
      </c>
      <c r="R80">
        <v>0.11</v>
      </c>
      <c r="S80">
        <v>0.06</v>
      </c>
      <c r="U80" s="34">
        <f t="shared" si="3"/>
        <v>4.7499999999999994E-2</v>
      </c>
      <c r="V80" s="34">
        <f t="shared" si="4"/>
        <v>14.047499999999999</v>
      </c>
      <c r="W80" s="34">
        <f t="shared" si="5"/>
        <v>57.285499999999999</v>
      </c>
    </row>
    <row r="81" spans="1:23">
      <c r="A81">
        <v>1958</v>
      </c>
      <c r="B81">
        <v>0.39</v>
      </c>
      <c r="C81">
        <v>0.22</v>
      </c>
      <c r="D81">
        <v>0.08</v>
      </c>
      <c r="E81">
        <v>0.01</v>
      </c>
      <c r="F81">
        <v>0.06</v>
      </c>
      <c r="G81">
        <v>-0.09</v>
      </c>
      <c r="H81">
        <v>0.05</v>
      </c>
      <c r="I81">
        <v>-0.05</v>
      </c>
      <c r="J81">
        <v>-0.03</v>
      </c>
      <c r="K81">
        <v>0.04</v>
      </c>
      <c r="L81">
        <v>0.02</v>
      </c>
      <c r="M81">
        <v>0.01</v>
      </c>
      <c r="N81">
        <v>0.06</v>
      </c>
      <c r="O81">
        <v>7.0000000000000007E-2</v>
      </c>
      <c r="P81">
        <v>0.25</v>
      </c>
      <c r="Q81">
        <v>0.05</v>
      </c>
      <c r="R81">
        <v>-0.03</v>
      </c>
      <c r="S81">
        <v>0.01</v>
      </c>
      <c r="U81" s="34">
        <f t="shared" si="3"/>
        <v>5.9166666666666673E-2</v>
      </c>
      <c r="V81" s="34">
        <f t="shared" si="4"/>
        <v>14.059166666666666</v>
      </c>
      <c r="W81" s="34">
        <f t="shared" si="5"/>
        <v>57.3065</v>
      </c>
    </row>
    <row r="82" spans="1:23">
      <c r="A82">
        <v>1959</v>
      </c>
      <c r="B82">
        <v>0.08</v>
      </c>
      <c r="C82">
        <v>7.0000000000000007E-2</v>
      </c>
      <c r="D82">
        <v>0.18</v>
      </c>
      <c r="E82">
        <v>0.16</v>
      </c>
      <c r="F82">
        <v>0.04</v>
      </c>
      <c r="G82">
        <v>0.03</v>
      </c>
      <c r="H82">
        <v>0.03</v>
      </c>
      <c r="I82">
        <v>-0.01</v>
      </c>
      <c r="J82">
        <v>-0.06</v>
      </c>
      <c r="K82">
        <v>-7.0000000000000007E-2</v>
      </c>
      <c r="L82">
        <v>-0.08</v>
      </c>
      <c r="M82">
        <v>0</v>
      </c>
      <c r="N82">
        <v>0.03</v>
      </c>
      <c r="O82">
        <v>0.03</v>
      </c>
      <c r="P82">
        <v>0.05</v>
      </c>
      <c r="Q82">
        <v>0.12</v>
      </c>
      <c r="R82">
        <v>0.02</v>
      </c>
      <c r="S82">
        <v>-7.0000000000000007E-2</v>
      </c>
      <c r="U82" s="34">
        <f t="shared" si="3"/>
        <v>3.0833333333333334E-2</v>
      </c>
      <c r="V82" s="34">
        <f t="shared" si="4"/>
        <v>14.030833333333334</v>
      </c>
      <c r="W82" s="34">
        <f t="shared" si="5"/>
        <v>57.255499999999998</v>
      </c>
    </row>
    <row r="83" spans="1:23">
      <c r="A83">
        <v>1960</v>
      </c>
      <c r="B83">
        <v>0</v>
      </c>
      <c r="C83">
        <v>0.13</v>
      </c>
      <c r="D83">
        <v>-0.35</v>
      </c>
      <c r="E83">
        <v>-0.15</v>
      </c>
      <c r="F83">
        <v>-0.08</v>
      </c>
      <c r="G83">
        <v>-0.04</v>
      </c>
      <c r="H83">
        <v>-0.04</v>
      </c>
      <c r="I83">
        <v>0.02</v>
      </c>
      <c r="J83">
        <v>7.0000000000000007E-2</v>
      </c>
      <c r="K83">
        <v>0.06</v>
      </c>
      <c r="L83">
        <v>-0.11</v>
      </c>
      <c r="M83">
        <v>0.19</v>
      </c>
      <c r="N83">
        <v>-0.02</v>
      </c>
      <c r="O83">
        <v>-0.04</v>
      </c>
      <c r="P83">
        <v>0.04</v>
      </c>
      <c r="Q83">
        <v>-0.19</v>
      </c>
      <c r="R83">
        <v>-0.02</v>
      </c>
      <c r="S83">
        <v>0.01</v>
      </c>
      <c r="U83" s="34">
        <f t="shared" si="3"/>
        <v>-2.4999999999999998E-2</v>
      </c>
      <c r="V83" s="34">
        <f t="shared" si="4"/>
        <v>13.975</v>
      </c>
      <c r="W83" s="34">
        <f t="shared" si="5"/>
        <v>57.155000000000001</v>
      </c>
    </row>
    <row r="84" spans="1:23">
      <c r="A84">
        <v>1961</v>
      </c>
      <c r="B84">
        <v>7.0000000000000007E-2</v>
      </c>
      <c r="C84">
        <v>0.19</v>
      </c>
      <c r="D84">
        <v>0.09</v>
      </c>
      <c r="E84">
        <v>0.13</v>
      </c>
      <c r="F84">
        <v>0.12</v>
      </c>
      <c r="G84">
        <v>0.11</v>
      </c>
      <c r="H84">
        <v>0.01</v>
      </c>
      <c r="I84">
        <v>0.01</v>
      </c>
      <c r="J84">
        <v>0.08</v>
      </c>
      <c r="K84">
        <v>0</v>
      </c>
      <c r="L84">
        <v>0.03</v>
      </c>
      <c r="M84">
        <v>-0.16</v>
      </c>
      <c r="N84">
        <v>0.06</v>
      </c>
      <c r="O84">
        <v>0.09</v>
      </c>
      <c r="P84">
        <v>0.15</v>
      </c>
      <c r="Q84">
        <v>0.12</v>
      </c>
      <c r="R84">
        <v>0.04</v>
      </c>
      <c r="S84">
        <v>0.04</v>
      </c>
      <c r="U84" s="34">
        <f t="shared" si="3"/>
        <v>5.6666666666666664E-2</v>
      </c>
      <c r="V84" s="34">
        <f t="shared" si="4"/>
        <v>14.056666666666667</v>
      </c>
      <c r="W84" s="34">
        <f t="shared" si="5"/>
        <v>57.302</v>
      </c>
    </row>
    <row r="85" spans="1:23">
      <c r="A85">
        <v>1962</v>
      </c>
      <c r="B85">
        <v>0.05</v>
      </c>
      <c r="C85">
        <v>0.15</v>
      </c>
      <c r="D85">
        <v>0.1</v>
      </c>
      <c r="E85">
        <v>0.05</v>
      </c>
      <c r="F85">
        <v>-0.06</v>
      </c>
      <c r="G85">
        <v>0.03</v>
      </c>
      <c r="H85">
        <v>0.02</v>
      </c>
      <c r="I85">
        <v>-0.01</v>
      </c>
      <c r="J85">
        <v>0</v>
      </c>
      <c r="K85">
        <v>0.01</v>
      </c>
      <c r="L85">
        <v>0.06</v>
      </c>
      <c r="M85">
        <v>-0.03</v>
      </c>
      <c r="N85">
        <v>0.03</v>
      </c>
      <c r="O85">
        <v>0.02</v>
      </c>
      <c r="P85">
        <v>0.01</v>
      </c>
      <c r="Q85">
        <v>0.03</v>
      </c>
      <c r="R85">
        <v>0.01</v>
      </c>
      <c r="S85">
        <v>0.02</v>
      </c>
      <c r="U85" s="34">
        <f t="shared" si="3"/>
        <v>3.0833333333333341E-2</v>
      </c>
      <c r="V85" s="34">
        <f t="shared" si="4"/>
        <v>14.030833333333334</v>
      </c>
      <c r="W85" s="34">
        <f t="shared" si="5"/>
        <v>57.255499999999998</v>
      </c>
    </row>
    <row r="86" spans="1:23">
      <c r="A86">
        <v>1963</v>
      </c>
      <c r="B86">
        <v>-0.03</v>
      </c>
      <c r="C86">
        <v>0.18</v>
      </c>
      <c r="D86">
        <v>-0.14000000000000001</v>
      </c>
      <c r="E86">
        <v>-7.0000000000000007E-2</v>
      </c>
      <c r="F86">
        <v>-0.06</v>
      </c>
      <c r="G86">
        <v>0.05</v>
      </c>
      <c r="H86">
        <v>0.06</v>
      </c>
      <c r="I86">
        <v>0.22</v>
      </c>
      <c r="J86">
        <v>0.17</v>
      </c>
      <c r="K86">
        <v>0.15</v>
      </c>
      <c r="L86">
        <v>0.15</v>
      </c>
      <c r="M86">
        <v>-0.03</v>
      </c>
      <c r="N86">
        <v>0.05</v>
      </c>
      <c r="O86">
        <v>0.05</v>
      </c>
      <c r="P86">
        <v>0.04</v>
      </c>
      <c r="Q86">
        <v>-0.09</v>
      </c>
      <c r="R86">
        <v>0.11</v>
      </c>
      <c r="S86">
        <v>0.16</v>
      </c>
      <c r="U86" s="34">
        <f t="shared" si="3"/>
        <v>5.4166666666666669E-2</v>
      </c>
      <c r="V86" s="34">
        <f t="shared" si="4"/>
        <v>14.054166666666667</v>
      </c>
      <c r="W86" s="34">
        <f t="shared" si="5"/>
        <v>57.297499999999999</v>
      </c>
    </row>
    <row r="87" spans="1:23">
      <c r="A87">
        <v>1964</v>
      </c>
      <c r="B87">
        <v>-0.09</v>
      </c>
      <c r="C87">
        <v>-0.1</v>
      </c>
      <c r="D87">
        <v>-0.21</v>
      </c>
      <c r="E87">
        <v>-0.32</v>
      </c>
      <c r="F87">
        <v>-0.25</v>
      </c>
      <c r="G87">
        <v>-0.04</v>
      </c>
      <c r="H87">
        <v>-0.04</v>
      </c>
      <c r="I87">
        <v>-0.22</v>
      </c>
      <c r="J87">
        <v>-0.3</v>
      </c>
      <c r="K87">
        <v>-0.31</v>
      </c>
      <c r="L87">
        <v>-0.21</v>
      </c>
      <c r="M87">
        <v>-0.3</v>
      </c>
      <c r="N87">
        <v>-0.2</v>
      </c>
      <c r="O87">
        <v>-0.18</v>
      </c>
      <c r="P87">
        <v>-7.0000000000000007E-2</v>
      </c>
      <c r="Q87">
        <v>-0.26</v>
      </c>
      <c r="R87">
        <v>-0.1</v>
      </c>
      <c r="S87">
        <v>-0.27</v>
      </c>
      <c r="U87" s="34">
        <f t="shared" si="3"/>
        <v>-0.19916666666666669</v>
      </c>
      <c r="V87" s="34">
        <f t="shared" si="4"/>
        <v>13.800833333333333</v>
      </c>
      <c r="W87" s="34">
        <f t="shared" si="5"/>
        <v>56.841499999999996</v>
      </c>
    </row>
    <row r="88" spans="1:23">
      <c r="A88">
        <v>1965</v>
      </c>
      <c r="B88">
        <v>-0.08</v>
      </c>
      <c r="C88">
        <v>-0.17</v>
      </c>
      <c r="D88">
        <v>-0.13</v>
      </c>
      <c r="E88">
        <v>-0.19</v>
      </c>
      <c r="F88">
        <v>-0.12</v>
      </c>
      <c r="G88">
        <v>-0.08</v>
      </c>
      <c r="H88">
        <v>-0.13</v>
      </c>
      <c r="I88">
        <v>-0.04</v>
      </c>
      <c r="J88">
        <v>-0.15</v>
      </c>
      <c r="K88">
        <v>-0.05</v>
      </c>
      <c r="L88">
        <v>-0.06</v>
      </c>
      <c r="M88">
        <v>-0.08</v>
      </c>
      <c r="N88">
        <v>-0.11</v>
      </c>
      <c r="O88">
        <v>-0.13</v>
      </c>
      <c r="P88">
        <v>-0.18</v>
      </c>
      <c r="Q88">
        <v>-0.15</v>
      </c>
      <c r="R88">
        <v>-0.09</v>
      </c>
      <c r="S88">
        <v>-0.09</v>
      </c>
      <c r="U88" s="34">
        <f t="shared" si="3"/>
        <v>-0.10666666666666669</v>
      </c>
      <c r="V88" s="34">
        <f t="shared" si="4"/>
        <v>13.893333333333333</v>
      </c>
      <c r="W88" s="34">
        <f t="shared" si="5"/>
        <v>57.007999999999996</v>
      </c>
    </row>
    <row r="89" spans="1:23">
      <c r="A89">
        <v>1966</v>
      </c>
      <c r="B89">
        <v>-0.19</v>
      </c>
      <c r="C89">
        <v>-0.04</v>
      </c>
      <c r="D89">
        <v>0.03</v>
      </c>
      <c r="E89">
        <v>-0.13</v>
      </c>
      <c r="F89">
        <v>-0.12</v>
      </c>
      <c r="G89">
        <v>0.01</v>
      </c>
      <c r="H89">
        <v>0.08</v>
      </c>
      <c r="I89">
        <v>-0.09</v>
      </c>
      <c r="J89">
        <v>-0.03</v>
      </c>
      <c r="K89">
        <v>-0.17</v>
      </c>
      <c r="L89">
        <v>-0.01</v>
      </c>
      <c r="M89">
        <v>-0.03</v>
      </c>
      <c r="N89">
        <v>-0.06</v>
      </c>
      <c r="O89">
        <v>-0.06</v>
      </c>
      <c r="P89">
        <v>-0.1</v>
      </c>
      <c r="Q89">
        <v>-7.0000000000000007E-2</v>
      </c>
      <c r="R89">
        <v>0</v>
      </c>
      <c r="S89">
        <v>-7.0000000000000007E-2</v>
      </c>
      <c r="U89" s="34">
        <f t="shared" si="3"/>
        <v>-5.7500000000000002E-2</v>
      </c>
      <c r="V89" s="34">
        <f t="shared" si="4"/>
        <v>13.942500000000001</v>
      </c>
      <c r="W89" s="34">
        <f t="shared" si="5"/>
        <v>57.096500000000006</v>
      </c>
    </row>
    <row r="90" spans="1:23">
      <c r="A90">
        <v>1967</v>
      </c>
      <c r="B90">
        <v>-0.08</v>
      </c>
      <c r="C90">
        <v>-0.21</v>
      </c>
      <c r="D90">
        <v>0.05</v>
      </c>
      <c r="E90">
        <v>-0.05</v>
      </c>
      <c r="F90">
        <v>0.12</v>
      </c>
      <c r="G90">
        <v>-0.08</v>
      </c>
      <c r="H90">
        <v>0.02</v>
      </c>
      <c r="I90">
        <v>0.01</v>
      </c>
      <c r="J90">
        <v>-0.06</v>
      </c>
      <c r="K90">
        <v>0.09</v>
      </c>
      <c r="L90">
        <v>-0.05</v>
      </c>
      <c r="M90">
        <v>-0.05</v>
      </c>
      <c r="N90">
        <v>-0.02</v>
      </c>
      <c r="O90">
        <v>-0.02</v>
      </c>
      <c r="P90">
        <v>-0.1</v>
      </c>
      <c r="Q90">
        <v>0.04</v>
      </c>
      <c r="R90">
        <v>-0.02</v>
      </c>
      <c r="S90">
        <v>-0.01</v>
      </c>
      <c r="U90" s="34">
        <f t="shared" si="3"/>
        <v>-2.416666666666667E-2</v>
      </c>
      <c r="V90" s="34">
        <f t="shared" si="4"/>
        <v>13.975833333333334</v>
      </c>
      <c r="W90" s="34">
        <f t="shared" si="5"/>
        <v>57.156500000000001</v>
      </c>
    </row>
    <row r="91" spans="1:23">
      <c r="A91">
        <v>1968</v>
      </c>
      <c r="B91">
        <v>-0.26</v>
      </c>
      <c r="C91">
        <v>-0.14000000000000001</v>
      </c>
      <c r="D91">
        <v>0.2</v>
      </c>
      <c r="E91">
        <v>-0.06</v>
      </c>
      <c r="F91">
        <v>-0.14000000000000001</v>
      </c>
      <c r="G91">
        <v>-0.09</v>
      </c>
      <c r="H91">
        <v>-0.13</v>
      </c>
      <c r="I91">
        <v>-0.08</v>
      </c>
      <c r="J91">
        <v>-0.19</v>
      </c>
      <c r="K91">
        <v>0.09</v>
      </c>
      <c r="L91">
        <v>-0.05</v>
      </c>
      <c r="M91">
        <v>-0.14000000000000001</v>
      </c>
      <c r="N91">
        <v>-0.08</v>
      </c>
      <c r="O91">
        <v>-7.0000000000000007E-2</v>
      </c>
      <c r="P91">
        <v>-0.15</v>
      </c>
      <c r="Q91">
        <v>0</v>
      </c>
      <c r="R91">
        <v>-0.1</v>
      </c>
      <c r="S91">
        <v>-0.05</v>
      </c>
      <c r="U91" s="34">
        <f t="shared" si="3"/>
        <v>-8.2500000000000004E-2</v>
      </c>
      <c r="V91" s="34">
        <f t="shared" si="4"/>
        <v>13.9175</v>
      </c>
      <c r="W91" s="34">
        <f t="shared" si="5"/>
        <v>57.051500000000004</v>
      </c>
    </row>
    <row r="92" spans="1:23">
      <c r="A92">
        <v>1969</v>
      </c>
      <c r="B92">
        <v>-0.11</v>
      </c>
      <c r="C92">
        <v>-0.18</v>
      </c>
      <c r="D92">
        <v>0.01</v>
      </c>
      <c r="E92">
        <v>0.17</v>
      </c>
      <c r="F92">
        <v>0.18</v>
      </c>
      <c r="G92">
        <v>0.03</v>
      </c>
      <c r="H92">
        <v>-0.04</v>
      </c>
      <c r="I92">
        <v>0.04</v>
      </c>
      <c r="J92">
        <v>0.08</v>
      </c>
      <c r="K92">
        <v>0.09</v>
      </c>
      <c r="L92">
        <v>0.12</v>
      </c>
      <c r="M92">
        <v>0.24</v>
      </c>
      <c r="N92">
        <v>0.05</v>
      </c>
      <c r="O92">
        <v>0.02</v>
      </c>
      <c r="P92">
        <v>-0.14000000000000001</v>
      </c>
      <c r="Q92">
        <v>0.12</v>
      </c>
      <c r="R92">
        <v>0.01</v>
      </c>
      <c r="S92">
        <v>0.1</v>
      </c>
      <c r="U92" s="34">
        <f t="shared" si="3"/>
        <v>5.2499999999999998E-2</v>
      </c>
      <c r="V92" s="34">
        <f t="shared" si="4"/>
        <v>14.0525</v>
      </c>
      <c r="W92" s="34">
        <f t="shared" si="5"/>
        <v>57.294499999999999</v>
      </c>
    </row>
    <row r="93" spans="1:23">
      <c r="A93">
        <v>1970</v>
      </c>
      <c r="B93">
        <v>0.08</v>
      </c>
      <c r="C93">
        <v>0.22</v>
      </c>
      <c r="D93">
        <v>0.06</v>
      </c>
      <c r="E93">
        <v>0.05</v>
      </c>
      <c r="F93">
        <v>-0.03</v>
      </c>
      <c r="G93">
        <v>-0.02</v>
      </c>
      <c r="H93">
        <v>0.02</v>
      </c>
      <c r="I93">
        <v>-0.1</v>
      </c>
      <c r="J93">
        <v>0.12</v>
      </c>
      <c r="K93">
        <v>0.03</v>
      </c>
      <c r="L93">
        <v>0.02</v>
      </c>
      <c r="M93">
        <v>-0.12</v>
      </c>
      <c r="N93">
        <v>0.03</v>
      </c>
      <c r="O93">
        <v>0.06</v>
      </c>
      <c r="P93">
        <v>0.18</v>
      </c>
      <c r="Q93">
        <v>0.03</v>
      </c>
      <c r="R93">
        <v>-0.04</v>
      </c>
      <c r="S93">
        <v>0.06</v>
      </c>
      <c r="U93" s="34">
        <f t="shared" si="3"/>
        <v>2.7500000000000007E-2</v>
      </c>
      <c r="V93" s="34">
        <f t="shared" si="4"/>
        <v>14.0275</v>
      </c>
      <c r="W93" s="34">
        <f t="shared" si="5"/>
        <v>57.249499999999998</v>
      </c>
    </row>
    <row r="94" spans="1:23">
      <c r="A94">
        <v>1971</v>
      </c>
      <c r="B94">
        <v>-0.02</v>
      </c>
      <c r="C94">
        <v>-0.15</v>
      </c>
      <c r="D94">
        <v>-0.18</v>
      </c>
      <c r="E94">
        <v>-7.0000000000000007E-2</v>
      </c>
      <c r="F94">
        <v>-0.05</v>
      </c>
      <c r="G94">
        <v>-0.16</v>
      </c>
      <c r="H94">
        <v>-7.0000000000000007E-2</v>
      </c>
      <c r="I94">
        <v>-0.01</v>
      </c>
      <c r="J94">
        <v>-0.05</v>
      </c>
      <c r="K94">
        <v>-0.04</v>
      </c>
      <c r="L94">
        <v>-7.0000000000000007E-2</v>
      </c>
      <c r="M94">
        <v>-0.08</v>
      </c>
      <c r="N94">
        <v>-0.08</v>
      </c>
      <c r="O94">
        <v>-0.08</v>
      </c>
      <c r="P94">
        <v>-0.1</v>
      </c>
      <c r="Q94">
        <v>-0.1</v>
      </c>
      <c r="R94">
        <v>-0.08</v>
      </c>
      <c r="S94">
        <v>-0.06</v>
      </c>
      <c r="U94" s="34">
        <f t="shared" si="3"/>
        <v>-7.9166666666666677E-2</v>
      </c>
      <c r="V94" s="34">
        <f t="shared" si="4"/>
        <v>13.920833333333333</v>
      </c>
      <c r="W94" s="34">
        <f t="shared" si="5"/>
        <v>57.057499999999997</v>
      </c>
    </row>
    <row r="95" spans="1:23">
      <c r="A95">
        <v>1972</v>
      </c>
      <c r="B95">
        <v>-0.22</v>
      </c>
      <c r="C95">
        <v>-0.18</v>
      </c>
      <c r="D95">
        <v>0.03</v>
      </c>
      <c r="E95">
        <v>0</v>
      </c>
      <c r="F95">
        <v>-0.03</v>
      </c>
      <c r="G95">
        <v>0.04</v>
      </c>
      <c r="H95">
        <v>0.01</v>
      </c>
      <c r="I95">
        <v>0.16</v>
      </c>
      <c r="J95">
        <v>0.02</v>
      </c>
      <c r="K95">
        <v>0.08</v>
      </c>
      <c r="L95">
        <v>0.02</v>
      </c>
      <c r="M95">
        <v>0.18</v>
      </c>
      <c r="N95">
        <v>0.01</v>
      </c>
      <c r="O95">
        <v>-0.01</v>
      </c>
      <c r="P95">
        <v>-0.16</v>
      </c>
      <c r="Q95">
        <v>0</v>
      </c>
      <c r="R95">
        <v>7.0000000000000007E-2</v>
      </c>
      <c r="S95">
        <v>0.04</v>
      </c>
      <c r="U95" s="34">
        <f t="shared" si="3"/>
        <v>9.1666666666666632E-3</v>
      </c>
      <c r="V95" s="34">
        <f t="shared" si="4"/>
        <v>14.009166666666667</v>
      </c>
      <c r="W95" s="34">
        <f t="shared" si="5"/>
        <v>57.216499999999996</v>
      </c>
    </row>
    <row r="96" spans="1:23">
      <c r="A96">
        <v>1973</v>
      </c>
      <c r="B96">
        <v>0.28999999999999998</v>
      </c>
      <c r="C96">
        <v>0.32</v>
      </c>
      <c r="D96">
        <v>0.28999999999999998</v>
      </c>
      <c r="E96">
        <v>0.27</v>
      </c>
      <c r="F96">
        <v>0.23</v>
      </c>
      <c r="G96">
        <v>0.19</v>
      </c>
      <c r="H96">
        <v>0.13</v>
      </c>
      <c r="I96">
        <v>0.05</v>
      </c>
      <c r="J96">
        <v>0.09</v>
      </c>
      <c r="K96">
        <v>0.1</v>
      </c>
      <c r="L96">
        <v>0.04</v>
      </c>
      <c r="M96">
        <v>-7.0000000000000007E-2</v>
      </c>
      <c r="N96">
        <v>0.16</v>
      </c>
      <c r="O96">
        <v>0.18</v>
      </c>
      <c r="P96">
        <v>0.26</v>
      </c>
      <c r="Q96">
        <v>0.26</v>
      </c>
      <c r="R96">
        <v>0.12</v>
      </c>
      <c r="S96">
        <v>0.08</v>
      </c>
      <c r="U96" s="34">
        <f t="shared" si="3"/>
        <v>0.16083333333333333</v>
      </c>
      <c r="V96" s="34">
        <f t="shared" si="4"/>
        <v>14.160833333333333</v>
      </c>
      <c r="W96" s="34">
        <f t="shared" si="5"/>
        <v>57.4895</v>
      </c>
    </row>
    <row r="97" spans="1:23">
      <c r="A97">
        <v>1974</v>
      </c>
      <c r="B97">
        <v>-0.1</v>
      </c>
      <c r="C97">
        <v>-0.27</v>
      </c>
      <c r="D97">
        <v>-0.05</v>
      </c>
      <c r="E97">
        <v>-0.12</v>
      </c>
      <c r="F97">
        <v>-0.04</v>
      </c>
      <c r="G97">
        <v>-0.05</v>
      </c>
      <c r="H97">
        <v>-0.03</v>
      </c>
      <c r="I97">
        <v>0.1</v>
      </c>
      <c r="J97">
        <v>-0.08</v>
      </c>
      <c r="K97">
        <v>-0.06</v>
      </c>
      <c r="L97">
        <v>-0.08</v>
      </c>
      <c r="M97">
        <v>-0.08</v>
      </c>
      <c r="N97">
        <v>-7.0000000000000007E-2</v>
      </c>
      <c r="O97">
        <v>-7.0000000000000007E-2</v>
      </c>
      <c r="P97">
        <v>-0.14000000000000001</v>
      </c>
      <c r="Q97">
        <v>-7.0000000000000007E-2</v>
      </c>
      <c r="R97">
        <v>0.01</v>
      </c>
      <c r="S97">
        <v>-7.0000000000000007E-2</v>
      </c>
      <c r="U97" s="34">
        <f t="shared" si="3"/>
        <v>-7.166666666666667E-2</v>
      </c>
      <c r="V97" s="34">
        <f t="shared" si="4"/>
        <v>13.928333333333333</v>
      </c>
      <c r="W97" s="34">
        <f t="shared" si="5"/>
        <v>57.070999999999998</v>
      </c>
    </row>
    <row r="98" spans="1:23">
      <c r="A98">
        <v>1975</v>
      </c>
      <c r="B98">
        <v>0.1</v>
      </c>
      <c r="C98">
        <v>0.08</v>
      </c>
      <c r="D98">
        <v>0.12</v>
      </c>
      <c r="E98">
        <v>0.04</v>
      </c>
      <c r="F98">
        <v>0.16</v>
      </c>
      <c r="G98">
        <v>-0.01</v>
      </c>
      <c r="H98">
        <v>-0.01</v>
      </c>
      <c r="I98">
        <v>-0.17</v>
      </c>
      <c r="J98">
        <v>-0.02</v>
      </c>
      <c r="K98">
        <v>-0.11</v>
      </c>
      <c r="L98">
        <v>-0.17</v>
      </c>
      <c r="M98">
        <v>-0.17</v>
      </c>
      <c r="N98">
        <v>-0.01</v>
      </c>
      <c r="O98">
        <v>-0.01</v>
      </c>
      <c r="P98">
        <v>0.03</v>
      </c>
      <c r="Q98">
        <v>0.11</v>
      </c>
      <c r="R98">
        <v>-0.06</v>
      </c>
      <c r="S98">
        <v>-0.1</v>
      </c>
      <c r="U98" s="34">
        <f t="shared" si="3"/>
        <v>-1.3333333333333341E-2</v>
      </c>
      <c r="V98" s="34">
        <f t="shared" si="4"/>
        <v>13.986666666666666</v>
      </c>
      <c r="W98" s="34">
        <f t="shared" si="5"/>
        <v>57.176000000000002</v>
      </c>
    </row>
    <row r="99" spans="1:23">
      <c r="A99">
        <v>1976</v>
      </c>
      <c r="B99">
        <v>-0.03</v>
      </c>
      <c r="C99">
        <v>-0.06</v>
      </c>
      <c r="D99">
        <v>-0.22</v>
      </c>
      <c r="E99">
        <v>-7.0000000000000007E-2</v>
      </c>
      <c r="F99">
        <v>-0.2</v>
      </c>
      <c r="G99">
        <v>-0.12</v>
      </c>
      <c r="H99">
        <v>-0.1</v>
      </c>
      <c r="I99">
        <v>-0.12</v>
      </c>
      <c r="J99">
        <v>-0.06</v>
      </c>
      <c r="K99">
        <v>-0.24</v>
      </c>
      <c r="L99">
        <v>-0.06</v>
      </c>
      <c r="M99">
        <v>0.11</v>
      </c>
      <c r="N99">
        <v>-0.1</v>
      </c>
      <c r="O99">
        <v>-0.12</v>
      </c>
      <c r="P99">
        <v>-0.09</v>
      </c>
      <c r="Q99">
        <v>-0.16</v>
      </c>
      <c r="R99">
        <v>-0.11</v>
      </c>
      <c r="S99">
        <v>-0.12</v>
      </c>
      <c r="U99" s="34">
        <f t="shared" si="3"/>
        <v>-9.7499999999999989E-2</v>
      </c>
      <c r="V99" s="34">
        <f t="shared" si="4"/>
        <v>13.9025</v>
      </c>
      <c r="W99" s="34">
        <f t="shared" si="5"/>
        <v>57.024500000000003</v>
      </c>
    </row>
    <row r="100" spans="1:23">
      <c r="A100">
        <v>1977</v>
      </c>
      <c r="B100">
        <v>0.19</v>
      </c>
      <c r="C100">
        <v>0.23</v>
      </c>
      <c r="D100">
        <v>0.24</v>
      </c>
      <c r="E100">
        <v>0.26</v>
      </c>
      <c r="F100">
        <v>0.33</v>
      </c>
      <c r="G100">
        <v>0.27</v>
      </c>
      <c r="H100">
        <v>0.2</v>
      </c>
      <c r="I100">
        <v>0.18</v>
      </c>
      <c r="J100">
        <v>0.02</v>
      </c>
      <c r="K100">
        <v>0.03</v>
      </c>
      <c r="L100">
        <v>0.16</v>
      </c>
      <c r="M100">
        <v>0.03</v>
      </c>
      <c r="N100">
        <v>0.18</v>
      </c>
      <c r="O100">
        <v>0.18</v>
      </c>
      <c r="P100">
        <v>0.17</v>
      </c>
      <c r="Q100">
        <v>0.28000000000000003</v>
      </c>
      <c r="R100">
        <v>0.22</v>
      </c>
      <c r="S100">
        <v>7.0000000000000007E-2</v>
      </c>
      <c r="U100" s="34">
        <f t="shared" si="3"/>
        <v>0.17833333333333332</v>
      </c>
      <c r="V100" s="34">
        <f t="shared" si="4"/>
        <v>14.178333333333333</v>
      </c>
      <c r="W100" s="34">
        <f t="shared" si="5"/>
        <v>57.521000000000001</v>
      </c>
    </row>
    <row r="101" spans="1:23">
      <c r="A101">
        <v>1978</v>
      </c>
      <c r="B101">
        <v>0.06</v>
      </c>
      <c r="C101">
        <v>0.1</v>
      </c>
      <c r="D101">
        <v>0.19</v>
      </c>
      <c r="E101">
        <v>0.17</v>
      </c>
      <c r="F101">
        <v>0.09</v>
      </c>
      <c r="G101">
        <v>-0.01</v>
      </c>
      <c r="H101">
        <v>0.04</v>
      </c>
      <c r="I101">
        <v>-0.14000000000000001</v>
      </c>
      <c r="J101">
        <v>0.06</v>
      </c>
      <c r="K101">
        <v>0.03</v>
      </c>
      <c r="L101">
        <v>0.13</v>
      </c>
      <c r="M101">
        <v>0.08</v>
      </c>
      <c r="N101">
        <v>7.0000000000000007E-2</v>
      </c>
      <c r="O101">
        <v>0.06</v>
      </c>
      <c r="P101">
        <v>0.06</v>
      </c>
      <c r="Q101">
        <v>0.15</v>
      </c>
      <c r="R101">
        <v>-0.04</v>
      </c>
      <c r="S101">
        <v>7.0000000000000007E-2</v>
      </c>
      <c r="U101" s="34">
        <f t="shared" si="3"/>
        <v>6.6666666666666666E-2</v>
      </c>
      <c r="V101" s="34">
        <f t="shared" si="4"/>
        <v>14.066666666666666</v>
      </c>
      <c r="W101" s="34">
        <f t="shared" si="5"/>
        <v>57.32</v>
      </c>
    </row>
    <row r="102" spans="1:23">
      <c r="A102">
        <v>1979</v>
      </c>
      <c r="B102">
        <v>0.09</v>
      </c>
      <c r="C102">
        <v>-0.1</v>
      </c>
      <c r="D102">
        <v>0.19</v>
      </c>
      <c r="E102">
        <v>0.15</v>
      </c>
      <c r="F102">
        <v>0.03</v>
      </c>
      <c r="G102">
        <v>0.14000000000000001</v>
      </c>
      <c r="H102">
        <v>0.04</v>
      </c>
      <c r="I102">
        <v>0.17</v>
      </c>
      <c r="J102">
        <v>0.25</v>
      </c>
      <c r="K102">
        <v>0.26</v>
      </c>
      <c r="L102">
        <v>0.28000000000000003</v>
      </c>
      <c r="M102">
        <v>0.47</v>
      </c>
      <c r="N102">
        <v>0.16</v>
      </c>
      <c r="O102">
        <v>0.13</v>
      </c>
      <c r="P102">
        <v>0.02</v>
      </c>
      <c r="Q102">
        <v>0.13</v>
      </c>
      <c r="R102">
        <v>0.11</v>
      </c>
      <c r="S102">
        <v>0.26</v>
      </c>
      <c r="U102" s="34">
        <f t="shared" si="3"/>
        <v>0.16416666666666668</v>
      </c>
      <c r="V102" s="34">
        <f t="shared" si="4"/>
        <v>14.164166666666667</v>
      </c>
      <c r="W102" s="34">
        <f t="shared" si="5"/>
        <v>57.4955</v>
      </c>
    </row>
    <row r="103" spans="1:23">
      <c r="A103">
        <v>1980</v>
      </c>
      <c r="B103">
        <v>0.3</v>
      </c>
      <c r="C103">
        <v>0.39</v>
      </c>
      <c r="D103">
        <v>0.28999999999999998</v>
      </c>
      <c r="E103">
        <v>0.3</v>
      </c>
      <c r="F103">
        <v>0.35</v>
      </c>
      <c r="G103">
        <v>0.2</v>
      </c>
      <c r="H103">
        <v>0.22</v>
      </c>
      <c r="I103">
        <v>0.18</v>
      </c>
      <c r="J103">
        <v>0.2</v>
      </c>
      <c r="K103">
        <v>0.13</v>
      </c>
      <c r="L103">
        <v>0.3</v>
      </c>
      <c r="M103">
        <v>0.21</v>
      </c>
      <c r="N103">
        <v>0.26</v>
      </c>
      <c r="O103">
        <v>0.28000000000000003</v>
      </c>
      <c r="P103">
        <v>0.39</v>
      </c>
      <c r="Q103">
        <v>0.31</v>
      </c>
      <c r="R103">
        <v>0.2</v>
      </c>
      <c r="S103">
        <v>0.21</v>
      </c>
      <c r="U103" s="34">
        <f t="shared" si="3"/>
        <v>0.2558333333333333</v>
      </c>
      <c r="V103" s="34">
        <f t="shared" si="4"/>
        <v>14.255833333333333</v>
      </c>
      <c r="W103" s="34">
        <f t="shared" si="5"/>
        <v>57.660499999999999</v>
      </c>
    </row>
    <row r="104" spans="1:23">
      <c r="A104">
        <v>1981</v>
      </c>
      <c r="B104">
        <v>0.53</v>
      </c>
      <c r="C104">
        <v>0.42</v>
      </c>
      <c r="D104">
        <v>0.48</v>
      </c>
      <c r="E104">
        <v>0.32</v>
      </c>
      <c r="F104">
        <v>0.25</v>
      </c>
      <c r="G104">
        <v>0.28999999999999998</v>
      </c>
      <c r="H104">
        <v>0.33</v>
      </c>
      <c r="I104">
        <v>0.35</v>
      </c>
      <c r="J104">
        <v>0.15</v>
      </c>
      <c r="K104">
        <v>0.12</v>
      </c>
      <c r="L104">
        <v>0.23</v>
      </c>
      <c r="M104">
        <v>0.41</v>
      </c>
      <c r="N104">
        <v>0.32</v>
      </c>
      <c r="O104">
        <v>0.31</v>
      </c>
      <c r="P104">
        <v>0.39</v>
      </c>
      <c r="Q104">
        <v>0.35</v>
      </c>
      <c r="R104">
        <v>0.32</v>
      </c>
      <c r="S104">
        <v>0.16</v>
      </c>
      <c r="U104" s="34">
        <f t="shared" si="3"/>
        <v>0.32333333333333336</v>
      </c>
      <c r="V104" s="34">
        <f t="shared" si="4"/>
        <v>14.323333333333334</v>
      </c>
      <c r="W104" s="34">
        <f t="shared" si="5"/>
        <v>57.782000000000004</v>
      </c>
    </row>
    <row r="105" spans="1:23">
      <c r="A105">
        <v>1982</v>
      </c>
      <c r="B105">
        <v>0.05</v>
      </c>
      <c r="C105">
        <v>0.15</v>
      </c>
      <c r="D105">
        <v>0.03</v>
      </c>
      <c r="E105">
        <v>0.15</v>
      </c>
      <c r="F105">
        <v>0.18</v>
      </c>
      <c r="G105">
        <v>0.06</v>
      </c>
      <c r="H105">
        <v>0.14000000000000001</v>
      </c>
      <c r="I105">
        <v>0.03</v>
      </c>
      <c r="J105">
        <v>0.14000000000000001</v>
      </c>
      <c r="K105">
        <v>0.13</v>
      </c>
      <c r="L105">
        <v>0.18</v>
      </c>
      <c r="M105">
        <v>0.43</v>
      </c>
      <c r="N105">
        <v>0.14000000000000001</v>
      </c>
      <c r="O105">
        <v>0.14000000000000001</v>
      </c>
      <c r="P105">
        <v>0.2</v>
      </c>
      <c r="Q105">
        <v>0.12</v>
      </c>
      <c r="R105">
        <v>0.08</v>
      </c>
      <c r="S105">
        <v>0.15</v>
      </c>
      <c r="U105" s="34">
        <f t="shared" si="3"/>
        <v>0.13916666666666666</v>
      </c>
      <c r="V105" s="34">
        <f t="shared" si="4"/>
        <v>14.139166666666666</v>
      </c>
      <c r="W105" s="34">
        <f t="shared" si="5"/>
        <v>57.450499999999998</v>
      </c>
    </row>
    <row r="106" spans="1:23">
      <c r="A106">
        <v>1983</v>
      </c>
      <c r="B106">
        <v>0.53</v>
      </c>
      <c r="C106">
        <v>0.43</v>
      </c>
      <c r="D106">
        <v>0.42</v>
      </c>
      <c r="E106">
        <v>0.28000000000000003</v>
      </c>
      <c r="F106">
        <v>0.34</v>
      </c>
      <c r="G106">
        <v>0.23</v>
      </c>
      <c r="H106">
        <v>0.18</v>
      </c>
      <c r="I106">
        <v>0.36</v>
      </c>
      <c r="J106">
        <v>0.37</v>
      </c>
      <c r="K106">
        <v>0.17</v>
      </c>
      <c r="L106">
        <v>0.3</v>
      </c>
      <c r="M106">
        <v>0.17</v>
      </c>
      <c r="N106">
        <v>0.31</v>
      </c>
      <c r="O106">
        <v>0.34</v>
      </c>
      <c r="P106">
        <v>0.46</v>
      </c>
      <c r="Q106">
        <v>0.34</v>
      </c>
      <c r="R106">
        <v>0.26</v>
      </c>
      <c r="S106">
        <v>0.28000000000000003</v>
      </c>
      <c r="U106" s="34">
        <f t="shared" si="3"/>
        <v>0.315</v>
      </c>
      <c r="V106" s="34">
        <f t="shared" si="4"/>
        <v>14.315</v>
      </c>
      <c r="W106" s="34">
        <f t="shared" si="5"/>
        <v>57.766999999999996</v>
      </c>
    </row>
    <row r="107" spans="1:23">
      <c r="A107">
        <v>1984</v>
      </c>
      <c r="B107">
        <v>0.31</v>
      </c>
      <c r="C107">
        <v>0.14000000000000001</v>
      </c>
      <c r="D107">
        <v>0.26</v>
      </c>
      <c r="E107">
        <v>0.06</v>
      </c>
      <c r="F107">
        <v>0.33</v>
      </c>
      <c r="G107">
        <v>0.02</v>
      </c>
      <c r="H107">
        <v>0.19</v>
      </c>
      <c r="I107">
        <v>0.19</v>
      </c>
      <c r="J107">
        <v>0.21</v>
      </c>
      <c r="K107">
        <v>0.13</v>
      </c>
      <c r="L107">
        <v>0.06</v>
      </c>
      <c r="M107">
        <v>-0.04</v>
      </c>
      <c r="N107">
        <v>0.16</v>
      </c>
      <c r="O107">
        <v>0.17</v>
      </c>
      <c r="P107">
        <v>0.2</v>
      </c>
      <c r="Q107">
        <v>0.22</v>
      </c>
      <c r="R107">
        <v>0.14000000000000001</v>
      </c>
      <c r="S107">
        <v>0.14000000000000001</v>
      </c>
      <c r="U107" s="34">
        <f t="shared" si="3"/>
        <v>0.155</v>
      </c>
      <c r="V107" s="34">
        <f t="shared" si="4"/>
        <v>14.154999999999999</v>
      </c>
      <c r="W107" s="34">
        <f t="shared" si="5"/>
        <v>57.478999999999999</v>
      </c>
    </row>
    <row r="108" spans="1:23">
      <c r="A108">
        <v>1985</v>
      </c>
      <c r="B108">
        <v>0.22</v>
      </c>
      <c r="C108">
        <v>-0.04</v>
      </c>
      <c r="D108">
        <v>0.17</v>
      </c>
      <c r="E108">
        <v>0.12</v>
      </c>
      <c r="F108">
        <v>0.15</v>
      </c>
      <c r="G108">
        <v>0.15</v>
      </c>
      <c r="H108">
        <v>0.04</v>
      </c>
      <c r="I108">
        <v>0.17</v>
      </c>
      <c r="J108">
        <v>0.13</v>
      </c>
      <c r="K108">
        <v>0.12</v>
      </c>
      <c r="L108">
        <v>0.05</v>
      </c>
      <c r="M108">
        <v>0.14000000000000001</v>
      </c>
      <c r="N108">
        <v>0.12</v>
      </c>
      <c r="O108">
        <v>0.1</v>
      </c>
      <c r="P108">
        <v>0.05</v>
      </c>
      <c r="Q108">
        <v>0.15</v>
      </c>
      <c r="R108">
        <v>0.12</v>
      </c>
      <c r="S108">
        <v>0.1</v>
      </c>
      <c r="U108" s="34">
        <f t="shared" si="3"/>
        <v>0.11833333333333333</v>
      </c>
      <c r="V108" s="34">
        <f t="shared" si="4"/>
        <v>14.118333333333334</v>
      </c>
      <c r="W108" s="34">
        <f t="shared" si="5"/>
        <v>57.412999999999997</v>
      </c>
    </row>
    <row r="109" spans="1:23">
      <c r="A109">
        <v>1986</v>
      </c>
      <c r="B109">
        <v>0.26</v>
      </c>
      <c r="C109">
        <v>0.37</v>
      </c>
      <c r="D109">
        <v>0.3</v>
      </c>
      <c r="E109">
        <v>0.22</v>
      </c>
      <c r="F109">
        <v>0.21</v>
      </c>
      <c r="G109">
        <v>0.12</v>
      </c>
      <c r="H109">
        <v>0.11</v>
      </c>
      <c r="I109">
        <v>0.16</v>
      </c>
      <c r="J109">
        <v>0.03</v>
      </c>
      <c r="K109">
        <v>0.15</v>
      </c>
      <c r="L109">
        <v>0.1</v>
      </c>
      <c r="M109">
        <v>0.13</v>
      </c>
      <c r="N109">
        <v>0.18</v>
      </c>
      <c r="O109">
        <v>0.18</v>
      </c>
      <c r="P109">
        <v>0.26</v>
      </c>
      <c r="Q109">
        <v>0.25</v>
      </c>
      <c r="R109">
        <v>0.13</v>
      </c>
      <c r="S109">
        <v>0.1</v>
      </c>
      <c r="U109" s="34">
        <f t="shared" si="3"/>
        <v>0.17999999999999997</v>
      </c>
      <c r="V109" s="34">
        <f t="shared" si="4"/>
        <v>14.18</v>
      </c>
      <c r="W109" s="34">
        <f t="shared" si="5"/>
        <v>57.524000000000001</v>
      </c>
    </row>
    <row r="110" spans="1:23">
      <c r="A110">
        <v>1987</v>
      </c>
      <c r="B110">
        <v>0.32</v>
      </c>
      <c r="C110">
        <v>0.43</v>
      </c>
      <c r="D110">
        <v>0.18</v>
      </c>
      <c r="E110">
        <v>0.24</v>
      </c>
      <c r="F110">
        <v>0.26</v>
      </c>
      <c r="G110">
        <v>0.35</v>
      </c>
      <c r="H110">
        <v>0.4</v>
      </c>
      <c r="I110">
        <v>0.25</v>
      </c>
      <c r="J110">
        <v>0.35</v>
      </c>
      <c r="K110">
        <v>0.33</v>
      </c>
      <c r="L110">
        <v>0.28999999999999998</v>
      </c>
      <c r="M110">
        <v>0.46</v>
      </c>
      <c r="N110">
        <v>0.32</v>
      </c>
      <c r="O110">
        <v>0.28999999999999998</v>
      </c>
      <c r="P110">
        <v>0.28999999999999998</v>
      </c>
      <c r="Q110">
        <v>0.23</v>
      </c>
      <c r="R110">
        <v>0.33</v>
      </c>
      <c r="S110">
        <v>0.32</v>
      </c>
      <c r="U110" s="34">
        <f t="shared" si="3"/>
        <v>0.32166666666666666</v>
      </c>
      <c r="V110" s="34">
        <f t="shared" si="4"/>
        <v>14.321666666666667</v>
      </c>
      <c r="W110" s="34">
        <f t="shared" si="5"/>
        <v>57.778999999999996</v>
      </c>
    </row>
    <row r="111" spans="1:23">
      <c r="A111">
        <v>1988</v>
      </c>
      <c r="B111">
        <v>0.56999999999999995</v>
      </c>
      <c r="C111">
        <v>0.44</v>
      </c>
      <c r="D111">
        <v>0.52</v>
      </c>
      <c r="E111">
        <v>0.43</v>
      </c>
      <c r="F111">
        <v>0.44</v>
      </c>
      <c r="G111">
        <v>0.4</v>
      </c>
      <c r="H111">
        <v>0.33</v>
      </c>
      <c r="I111">
        <v>0.39</v>
      </c>
      <c r="J111">
        <v>0.37</v>
      </c>
      <c r="K111">
        <v>0.38</v>
      </c>
      <c r="L111">
        <v>0.12</v>
      </c>
      <c r="M111">
        <v>0.28999999999999998</v>
      </c>
      <c r="N111">
        <v>0.39</v>
      </c>
      <c r="O111">
        <v>0.4</v>
      </c>
      <c r="P111">
        <v>0.49</v>
      </c>
      <c r="Q111">
        <v>0.46</v>
      </c>
      <c r="R111">
        <v>0.38</v>
      </c>
      <c r="S111">
        <v>0.28999999999999998</v>
      </c>
      <c r="U111" s="34">
        <f t="shared" si="3"/>
        <v>0.39000000000000007</v>
      </c>
      <c r="V111" s="34">
        <f t="shared" si="4"/>
        <v>14.39</v>
      </c>
      <c r="W111" s="34">
        <f t="shared" si="5"/>
        <v>57.902000000000001</v>
      </c>
    </row>
    <row r="112" spans="1:23">
      <c r="A112">
        <v>1989</v>
      </c>
      <c r="B112">
        <v>0.12</v>
      </c>
      <c r="C112">
        <v>0.3</v>
      </c>
      <c r="D112">
        <v>0.36</v>
      </c>
      <c r="E112">
        <v>0.28999999999999998</v>
      </c>
      <c r="F112">
        <v>0.18</v>
      </c>
      <c r="G112">
        <v>0.15</v>
      </c>
      <c r="H112">
        <v>0.35</v>
      </c>
      <c r="I112">
        <v>0.33</v>
      </c>
      <c r="J112">
        <v>0.35</v>
      </c>
      <c r="K112">
        <v>0.28999999999999998</v>
      </c>
      <c r="L112">
        <v>0.2</v>
      </c>
      <c r="M112">
        <v>0.37</v>
      </c>
      <c r="N112">
        <v>0.27</v>
      </c>
      <c r="O112">
        <v>0.27</v>
      </c>
      <c r="P112">
        <v>0.24</v>
      </c>
      <c r="Q112">
        <v>0.28000000000000003</v>
      </c>
      <c r="R112">
        <v>0.28000000000000003</v>
      </c>
      <c r="S112">
        <v>0.28000000000000003</v>
      </c>
      <c r="U112" s="34">
        <f t="shared" si="3"/>
        <v>0.27416666666666673</v>
      </c>
      <c r="V112" s="34">
        <f t="shared" si="4"/>
        <v>14.274166666666666</v>
      </c>
      <c r="W112" s="34">
        <f t="shared" si="5"/>
        <v>57.6935</v>
      </c>
    </row>
    <row r="113" spans="1:23">
      <c r="A113">
        <v>1990</v>
      </c>
      <c r="B113">
        <v>0.42</v>
      </c>
      <c r="C113">
        <v>0.44</v>
      </c>
      <c r="D113">
        <v>0.8</v>
      </c>
      <c r="E113">
        <v>0.56000000000000005</v>
      </c>
      <c r="F113">
        <v>0.46</v>
      </c>
      <c r="G113">
        <v>0.37</v>
      </c>
      <c r="H113">
        <v>0.46</v>
      </c>
      <c r="I113">
        <v>0.34</v>
      </c>
      <c r="J113">
        <v>0.23</v>
      </c>
      <c r="K113">
        <v>0.45</v>
      </c>
      <c r="L113">
        <v>0.46</v>
      </c>
      <c r="M113">
        <v>0.4</v>
      </c>
      <c r="N113">
        <v>0.45</v>
      </c>
      <c r="O113">
        <v>0.45</v>
      </c>
      <c r="P113">
        <v>0.41</v>
      </c>
      <c r="Q113">
        <v>0.61</v>
      </c>
      <c r="R113">
        <v>0.39</v>
      </c>
      <c r="S113">
        <v>0.38</v>
      </c>
      <c r="U113" s="34">
        <f t="shared" si="3"/>
        <v>0.44916666666666671</v>
      </c>
      <c r="V113" s="34">
        <f t="shared" si="4"/>
        <v>14.449166666666667</v>
      </c>
      <c r="W113" s="34">
        <f t="shared" si="5"/>
        <v>58.008499999999998</v>
      </c>
    </row>
    <row r="114" spans="1:23">
      <c r="A114">
        <v>1991</v>
      </c>
      <c r="B114">
        <v>0.43</v>
      </c>
      <c r="C114">
        <v>0.5</v>
      </c>
      <c r="D114">
        <v>0.36</v>
      </c>
      <c r="E114">
        <v>0.51</v>
      </c>
      <c r="F114">
        <v>0.34</v>
      </c>
      <c r="G114">
        <v>0.53</v>
      </c>
      <c r="H114">
        <v>0.48</v>
      </c>
      <c r="I114">
        <v>0.39</v>
      </c>
      <c r="J114">
        <v>0.44</v>
      </c>
      <c r="K114">
        <v>0.28999999999999998</v>
      </c>
      <c r="L114">
        <v>0.3</v>
      </c>
      <c r="M114">
        <v>0.32</v>
      </c>
      <c r="N114">
        <v>0.41</v>
      </c>
      <c r="O114">
        <v>0.41</v>
      </c>
      <c r="P114">
        <v>0.44</v>
      </c>
      <c r="Q114">
        <v>0.4</v>
      </c>
      <c r="R114">
        <v>0.47</v>
      </c>
      <c r="S114">
        <v>0.34</v>
      </c>
      <c r="U114" s="34">
        <f t="shared" si="3"/>
        <v>0.40749999999999997</v>
      </c>
      <c r="V114" s="34">
        <f t="shared" si="4"/>
        <v>14.407500000000001</v>
      </c>
      <c r="W114" s="34">
        <f t="shared" si="5"/>
        <v>57.933500000000002</v>
      </c>
    </row>
    <row r="115" spans="1:23">
      <c r="A115">
        <v>1992</v>
      </c>
      <c r="B115">
        <v>0.48</v>
      </c>
      <c r="C115">
        <v>0.4</v>
      </c>
      <c r="D115">
        <v>0.48</v>
      </c>
      <c r="E115">
        <v>0.28000000000000003</v>
      </c>
      <c r="F115">
        <v>0.31</v>
      </c>
      <c r="G115">
        <v>0.26</v>
      </c>
      <c r="H115">
        <v>0.09</v>
      </c>
      <c r="I115">
        <v>0.08</v>
      </c>
      <c r="J115">
        <v>-0.01</v>
      </c>
      <c r="K115">
        <v>7.0000000000000007E-2</v>
      </c>
      <c r="L115">
        <v>0.03</v>
      </c>
      <c r="M115">
        <v>0.22</v>
      </c>
      <c r="N115">
        <v>0.22</v>
      </c>
      <c r="O115">
        <v>0.23</v>
      </c>
      <c r="P115">
        <v>0.4</v>
      </c>
      <c r="Q115">
        <v>0.36</v>
      </c>
      <c r="R115">
        <v>0.14000000000000001</v>
      </c>
      <c r="S115">
        <v>0.03</v>
      </c>
      <c r="U115" s="34">
        <f t="shared" si="3"/>
        <v>0.22416666666666665</v>
      </c>
      <c r="V115" s="34">
        <f t="shared" si="4"/>
        <v>14.224166666666667</v>
      </c>
      <c r="W115" s="34">
        <f t="shared" si="5"/>
        <v>57.603499999999997</v>
      </c>
    </row>
    <row r="116" spans="1:23">
      <c r="A116">
        <v>1993</v>
      </c>
      <c r="B116">
        <v>0.35</v>
      </c>
      <c r="C116">
        <v>0.37</v>
      </c>
      <c r="D116">
        <v>0.36</v>
      </c>
      <c r="E116">
        <v>0.28000000000000003</v>
      </c>
      <c r="F116">
        <v>0.28000000000000003</v>
      </c>
      <c r="G116">
        <v>0.23</v>
      </c>
      <c r="H116">
        <v>0.25</v>
      </c>
      <c r="I116">
        <v>0.11</v>
      </c>
      <c r="J116">
        <v>0.11</v>
      </c>
      <c r="K116">
        <v>0.24</v>
      </c>
      <c r="L116">
        <v>0.04</v>
      </c>
      <c r="M116">
        <v>0.18</v>
      </c>
      <c r="N116">
        <v>0.23</v>
      </c>
      <c r="O116">
        <v>0.24</v>
      </c>
      <c r="P116">
        <v>0.31</v>
      </c>
      <c r="Q116">
        <v>0.31</v>
      </c>
      <c r="R116">
        <v>0.2</v>
      </c>
      <c r="S116">
        <v>0.13</v>
      </c>
      <c r="U116" s="34">
        <f t="shared" si="3"/>
        <v>0.23333333333333336</v>
      </c>
      <c r="V116" s="34">
        <f t="shared" si="4"/>
        <v>14.233333333333333</v>
      </c>
      <c r="W116" s="34">
        <f t="shared" si="5"/>
        <v>57.62</v>
      </c>
    </row>
    <row r="117" spans="1:23">
      <c r="A117">
        <v>1994</v>
      </c>
      <c r="B117">
        <v>0.26</v>
      </c>
      <c r="C117">
        <v>0.02</v>
      </c>
      <c r="D117">
        <v>0.28999999999999998</v>
      </c>
      <c r="E117">
        <v>0.41</v>
      </c>
      <c r="F117">
        <v>0.28000000000000003</v>
      </c>
      <c r="G117">
        <v>0.43</v>
      </c>
      <c r="H117">
        <v>0.3</v>
      </c>
      <c r="I117">
        <v>0.22</v>
      </c>
      <c r="J117">
        <v>0.31</v>
      </c>
      <c r="K117">
        <v>0.43</v>
      </c>
      <c r="L117">
        <v>0.45</v>
      </c>
      <c r="M117">
        <v>0.39</v>
      </c>
      <c r="N117">
        <v>0.32</v>
      </c>
      <c r="O117">
        <v>0.3</v>
      </c>
      <c r="P117">
        <v>0.15</v>
      </c>
      <c r="Q117">
        <v>0.33</v>
      </c>
      <c r="R117">
        <v>0.32</v>
      </c>
      <c r="S117">
        <v>0.39</v>
      </c>
      <c r="U117" s="34">
        <f t="shared" si="3"/>
        <v>0.31583333333333335</v>
      </c>
      <c r="V117" s="34">
        <f t="shared" si="4"/>
        <v>14.315833333333334</v>
      </c>
      <c r="W117" s="34">
        <f t="shared" si="5"/>
        <v>57.768500000000003</v>
      </c>
    </row>
    <row r="118" spans="1:23">
      <c r="A118">
        <v>1995</v>
      </c>
      <c r="B118">
        <v>0.53</v>
      </c>
      <c r="C118">
        <v>0.79</v>
      </c>
      <c r="D118">
        <v>0.47</v>
      </c>
      <c r="E118">
        <v>0.47</v>
      </c>
      <c r="F118">
        <v>0.27</v>
      </c>
      <c r="G118">
        <v>0.43</v>
      </c>
      <c r="H118">
        <v>0.46</v>
      </c>
      <c r="I118">
        <v>0.45</v>
      </c>
      <c r="J118">
        <v>0.33</v>
      </c>
      <c r="K118">
        <v>0.46</v>
      </c>
      <c r="L118">
        <v>0.45</v>
      </c>
      <c r="M118">
        <v>0.26</v>
      </c>
      <c r="N118">
        <v>0.45</v>
      </c>
      <c r="O118">
        <v>0.46</v>
      </c>
      <c r="P118">
        <v>0.56999999999999995</v>
      </c>
      <c r="Q118">
        <v>0.4</v>
      </c>
      <c r="R118">
        <v>0.45</v>
      </c>
      <c r="S118">
        <v>0.41</v>
      </c>
      <c r="U118" s="34">
        <f t="shared" si="3"/>
        <v>0.44750000000000001</v>
      </c>
      <c r="V118" s="34">
        <f t="shared" si="4"/>
        <v>14.4475</v>
      </c>
      <c r="W118" s="34">
        <f t="shared" si="5"/>
        <v>58.005499999999998</v>
      </c>
    </row>
    <row r="119" spans="1:23">
      <c r="A119">
        <v>1996</v>
      </c>
      <c r="B119">
        <v>0.24</v>
      </c>
      <c r="C119">
        <v>0.46</v>
      </c>
      <c r="D119">
        <v>0.33</v>
      </c>
      <c r="E119">
        <v>0.33</v>
      </c>
      <c r="F119">
        <v>0.27</v>
      </c>
      <c r="G119">
        <v>0.26</v>
      </c>
      <c r="H119">
        <v>0.37</v>
      </c>
      <c r="I119">
        <v>0.48</v>
      </c>
      <c r="J119">
        <v>0.26</v>
      </c>
      <c r="K119">
        <v>0.22</v>
      </c>
      <c r="L119">
        <v>0.42</v>
      </c>
      <c r="M119">
        <v>0.37</v>
      </c>
      <c r="N119">
        <v>0.33</v>
      </c>
      <c r="O119">
        <v>0.32</v>
      </c>
      <c r="P119">
        <v>0.32</v>
      </c>
      <c r="Q119">
        <v>0.31</v>
      </c>
      <c r="R119">
        <v>0.37</v>
      </c>
      <c r="S119">
        <v>0.3</v>
      </c>
      <c r="U119" s="34">
        <f t="shared" si="3"/>
        <v>0.33416666666666667</v>
      </c>
      <c r="V119" s="34">
        <f t="shared" si="4"/>
        <v>14.334166666666667</v>
      </c>
      <c r="W119" s="34">
        <f t="shared" si="5"/>
        <v>57.801500000000004</v>
      </c>
    </row>
    <row r="120" spans="1:23">
      <c r="A120">
        <v>1997</v>
      </c>
      <c r="B120">
        <v>0.32</v>
      </c>
      <c r="C120">
        <v>0.41</v>
      </c>
      <c r="D120">
        <v>0.52</v>
      </c>
      <c r="E120">
        <v>0.34</v>
      </c>
      <c r="F120">
        <v>0.35</v>
      </c>
      <c r="G120">
        <v>0.55000000000000004</v>
      </c>
      <c r="H120">
        <v>0.34</v>
      </c>
      <c r="I120">
        <v>0.41</v>
      </c>
      <c r="J120">
        <v>0.52</v>
      </c>
      <c r="K120">
        <v>0.61</v>
      </c>
      <c r="L120">
        <v>0.65</v>
      </c>
      <c r="M120">
        <v>0.59</v>
      </c>
      <c r="N120">
        <v>0.47</v>
      </c>
      <c r="O120">
        <v>0.45</v>
      </c>
      <c r="P120">
        <v>0.37</v>
      </c>
      <c r="Q120">
        <v>0.4</v>
      </c>
      <c r="R120">
        <v>0.43</v>
      </c>
      <c r="S120">
        <v>0.59</v>
      </c>
      <c r="U120" s="34">
        <f t="shared" si="3"/>
        <v>0.46750000000000003</v>
      </c>
      <c r="V120" s="34">
        <f t="shared" si="4"/>
        <v>14.467499999999999</v>
      </c>
      <c r="W120" s="34">
        <f t="shared" si="5"/>
        <v>58.041499999999999</v>
      </c>
    </row>
    <row r="121" spans="1:23">
      <c r="A121">
        <v>1998</v>
      </c>
      <c r="B121">
        <v>0.57999999999999996</v>
      </c>
      <c r="C121">
        <v>0.88</v>
      </c>
      <c r="D121">
        <v>0.63</v>
      </c>
      <c r="E121">
        <v>0.64</v>
      </c>
      <c r="F121">
        <v>0.68</v>
      </c>
      <c r="G121">
        <v>0.77</v>
      </c>
      <c r="H121">
        <v>0.66</v>
      </c>
      <c r="I121">
        <v>0.65</v>
      </c>
      <c r="J121">
        <v>0.42</v>
      </c>
      <c r="K121">
        <v>0.42</v>
      </c>
      <c r="L121">
        <v>0.43</v>
      </c>
      <c r="M121">
        <v>0.55000000000000004</v>
      </c>
      <c r="N121">
        <v>0.61</v>
      </c>
      <c r="O121">
        <v>0.61</v>
      </c>
      <c r="P121">
        <v>0.69</v>
      </c>
      <c r="Q121">
        <v>0.65</v>
      </c>
      <c r="R121">
        <v>0.7</v>
      </c>
      <c r="S121">
        <v>0.42</v>
      </c>
      <c r="U121" s="34">
        <f t="shared" si="3"/>
        <v>0.60916666666666663</v>
      </c>
      <c r="V121" s="34">
        <f t="shared" si="4"/>
        <v>14.609166666666667</v>
      </c>
      <c r="W121" s="34">
        <f t="shared" si="5"/>
        <v>58.296500000000002</v>
      </c>
    </row>
    <row r="122" spans="1:23">
      <c r="A122">
        <v>1999</v>
      </c>
      <c r="B122">
        <v>0.48</v>
      </c>
      <c r="C122">
        <v>0.64</v>
      </c>
      <c r="D122">
        <v>0.33</v>
      </c>
      <c r="E122">
        <v>0.32</v>
      </c>
      <c r="F122">
        <v>0.26</v>
      </c>
      <c r="G122">
        <v>0.36</v>
      </c>
      <c r="H122">
        <v>0.39</v>
      </c>
      <c r="I122">
        <v>0.31</v>
      </c>
      <c r="J122">
        <v>0.39</v>
      </c>
      <c r="K122">
        <v>0.34</v>
      </c>
      <c r="L122">
        <v>0.37</v>
      </c>
      <c r="M122">
        <v>0.4</v>
      </c>
      <c r="N122">
        <v>0.38</v>
      </c>
      <c r="O122">
        <v>0.39</v>
      </c>
      <c r="P122">
        <v>0.56000000000000005</v>
      </c>
      <c r="Q122">
        <v>0.3</v>
      </c>
      <c r="R122">
        <v>0.35</v>
      </c>
      <c r="S122">
        <v>0.37</v>
      </c>
      <c r="U122" s="34">
        <f t="shared" si="3"/>
        <v>0.38250000000000006</v>
      </c>
      <c r="V122" s="34">
        <f t="shared" si="4"/>
        <v>14.3825</v>
      </c>
      <c r="W122" s="34">
        <f t="shared" si="5"/>
        <v>57.888500000000001</v>
      </c>
    </row>
    <row r="123" spans="1:23">
      <c r="A123">
        <v>2000</v>
      </c>
      <c r="B123">
        <v>0.25</v>
      </c>
      <c r="C123">
        <v>0.56000000000000005</v>
      </c>
      <c r="D123">
        <v>0.55000000000000004</v>
      </c>
      <c r="E123">
        <v>0.56000000000000005</v>
      </c>
      <c r="F123">
        <v>0.35</v>
      </c>
      <c r="G123">
        <v>0.4</v>
      </c>
      <c r="H123">
        <v>0.39</v>
      </c>
      <c r="I123">
        <v>0.42</v>
      </c>
      <c r="J123">
        <v>0.39</v>
      </c>
      <c r="K123">
        <v>0.27</v>
      </c>
      <c r="L123">
        <v>0.3</v>
      </c>
      <c r="M123">
        <v>0.28000000000000003</v>
      </c>
      <c r="N123">
        <v>0.39</v>
      </c>
      <c r="O123">
        <v>0.4</v>
      </c>
      <c r="P123">
        <v>0.4</v>
      </c>
      <c r="Q123">
        <v>0.49</v>
      </c>
      <c r="R123">
        <v>0.4</v>
      </c>
      <c r="S123">
        <v>0.32</v>
      </c>
      <c r="U123" s="34">
        <f t="shared" si="3"/>
        <v>0.39333333333333337</v>
      </c>
      <c r="V123" s="34">
        <f t="shared" si="4"/>
        <v>14.393333333333333</v>
      </c>
      <c r="W123" s="34">
        <f t="shared" si="5"/>
        <v>57.908000000000001</v>
      </c>
    </row>
    <row r="124" spans="1:23">
      <c r="A124">
        <v>2001</v>
      </c>
      <c r="B124">
        <v>0.45</v>
      </c>
      <c r="C124">
        <v>0.44</v>
      </c>
      <c r="D124">
        <v>0.55000000000000004</v>
      </c>
      <c r="E124">
        <v>0.5</v>
      </c>
      <c r="F124">
        <v>0.56999999999999995</v>
      </c>
      <c r="G124">
        <v>0.53</v>
      </c>
      <c r="H124">
        <v>0.59</v>
      </c>
      <c r="I124">
        <v>0.48</v>
      </c>
      <c r="J124">
        <v>0.52</v>
      </c>
      <c r="K124">
        <v>0.5</v>
      </c>
      <c r="L124">
        <v>0.72</v>
      </c>
      <c r="M124">
        <v>0.55000000000000004</v>
      </c>
      <c r="N124">
        <v>0.53</v>
      </c>
      <c r="O124">
        <v>0.51</v>
      </c>
      <c r="P124">
        <v>0.39</v>
      </c>
      <c r="Q124">
        <v>0.54</v>
      </c>
      <c r="R124">
        <v>0.53</v>
      </c>
      <c r="S124">
        <v>0.57999999999999996</v>
      </c>
      <c r="U124" s="34">
        <f t="shared" si="3"/>
        <v>0.53333333333333321</v>
      </c>
      <c r="V124" s="34">
        <f t="shared" si="4"/>
        <v>14.533333333333333</v>
      </c>
      <c r="W124" s="34">
        <f t="shared" si="5"/>
        <v>58.16</v>
      </c>
    </row>
    <row r="125" spans="1:23">
      <c r="A125">
        <v>2002</v>
      </c>
      <c r="B125">
        <v>0.77</v>
      </c>
      <c r="C125">
        <v>0.78</v>
      </c>
      <c r="D125">
        <v>0.88</v>
      </c>
      <c r="E125">
        <v>0.57999999999999996</v>
      </c>
      <c r="F125">
        <v>0.64</v>
      </c>
      <c r="G125">
        <v>0.53</v>
      </c>
      <c r="H125">
        <v>0.61</v>
      </c>
      <c r="I125">
        <v>0.53</v>
      </c>
      <c r="J125">
        <v>0.64</v>
      </c>
      <c r="K125">
        <v>0.54</v>
      </c>
      <c r="L125">
        <v>0.59</v>
      </c>
      <c r="M125">
        <v>0.44</v>
      </c>
      <c r="N125">
        <v>0.63</v>
      </c>
      <c r="O125">
        <v>0.64</v>
      </c>
      <c r="P125">
        <v>0.7</v>
      </c>
      <c r="Q125">
        <v>0.7</v>
      </c>
      <c r="R125">
        <v>0.56000000000000005</v>
      </c>
      <c r="S125">
        <v>0.59</v>
      </c>
      <c r="U125" s="34">
        <f t="shared" si="3"/>
        <v>0.62750000000000006</v>
      </c>
      <c r="V125" s="34">
        <f t="shared" si="4"/>
        <v>14.6275</v>
      </c>
      <c r="W125" s="34">
        <f t="shared" si="5"/>
        <v>58.329499999999996</v>
      </c>
    </row>
    <row r="126" spans="1:23">
      <c r="A126">
        <v>2003</v>
      </c>
      <c r="B126">
        <v>0.75</v>
      </c>
      <c r="C126">
        <v>0.57999999999999996</v>
      </c>
      <c r="D126">
        <v>0.6</v>
      </c>
      <c r="E126">
        <v>0.55000000000000004</v>
      </c>
      <c r="F126">
        <v>0.6</v>
      </c>
      <c r="G126">
        <v>0.48</v>
      </c>
      <c r="H126">
        <v>0.57999999999999996</v>
      </c>
      <c r="I126">
        <v>0.64</v>
      </c>
      <c r="J126">
        <v>0.62</v>
      </c>
      <c r="K126">
        <v>0.72</v>
      </c>
      <c r="L126">
        <v>0.53</v>
      </c>
      <c r="M126">
        <v>0.75</v>
      </c>
      <c r="N126">
        <v>0.62</v>
      </c>
      <c r="O126">
        <v>0.59</v>
      </c>
      <c r="P126">
        <v>0.59</v>
      </c>
      <c r="Q126">
        <v>0.57999999999999996</v>
      </c>
      <c r="R126">
        <v>0.56000000000000005</v>
      </c>
      <c r="S126">
        <v>0.62</v>
      </c>
      <c r="U126" s="34">
        <f t="shared" si="3"/>
        <v>0.6166666666666667</v>
      </c>
      <c r="V126" s="34">
        <f t="shared" si="4"/>
        <v>14.616666666666667</v>
      </c>
      <c r="W126" s="34">
        <f t="shared" si="5"/>
        <v>58.31</v>
      </c>
    </row>
    <row r="127" spans="1:23">
      <c r="A127">
        <v>2004</v>
      </c>
      <c r="B127">
        <v>0.57999999999999996</v>
      </c>
      <c r="C127">
        <v>0.72</v>
      </c>
      <c r="D127">
        <v>0.63</v>
      </c>
      <c r="E127">
        <v>0.61</v>
      </c>
      <c r="F127">
        <v>0.37</v>
      </c>
      <c r="G127">
        <v>0.44</v>
      </c>
      <c r="H127">
        <v>0.26</v>
      </c>
      <c r="I127">
        <v>0.45</v>
      </c>
      <c r="J127">
        <v>0.5</v>
      </c>
      <c r="K127">
        <v>0.61</v>
      </c>
      <c r="L127">
        <v>0.73</v>
      </c>
      <c r="M127">
        <v>0.51</v>
      </c>
      <c r="N127">
        <v>0.53</v>
      </c>
      <c r="O127">
        <v>0.55000000000000004</v>
      </c>
      <c r="P127">
        <v>0.68</v>
      </c>
      <c r="Q127">
        <v>0.53</v>
      </c>
      <c r="R127">
        <v>0.38</v>
      </c>
      <c r="S127">
        <v>0.61</v>
      </c>
      <c r="U127" s="34">
        <f t="shared" si="3"/>
        <v>0.53416666666666668</v>
      </c>
      <c r="V127" s="34">
        <f t="shared" si="4"/>
        <v>14.534166666666668</v>
      </c>
      <c r="W127" s="34">
        <f t="shared" si="5"/>
        <v>58.161500000000004</v>
      </c>
    </row>
    <row r="128" spans="1:23">
      <c r="A128">
        <v>2005</v>
      </c>
      <c r="B128">
        <v>0.75</v>
      </c>
      <c r="C128">
        <v>0.6</v>
      </c>
      <c r="D128">
        <v>0.74</v>
      </c>
      <c r="E128">
        <v>0.67</v>
      </c>
      <c r="F128">
        <v>0.63</v>
      </c>
      <c r="G128">
        <v>0.65</v>
      </c>
      <c r="H128">
        <v>0.61</v>
      </c>
      <c r="I128">
        <v>0.6</v>
      </c>
      <c r="J128">
        <v>0.72</v>
      </c>
      <c r="K128">
        <v>0.76</v>
      </c>
      <c r="L128">
        <v>0.74</v>
      </c>
      <c r="M128">
        <v>0.68</v>
      </c>
      <c r="N128">
        <v>0.68</v>
      </c>
      <c r="O128">
        <v>0.66</v>
      </c>
      <c r="P128">
        <v>0.62</v>
      </c>
      <c r="Q128">
        <v>0.68</v>
      </c>
      <c r="R128">
        <v>0.62</v>
      </c>
      <c r="S128">
        <v>0.74</v>
      </c>
      <c r="U128" s="34">
        <f t="shared" si="3"/>
        <v>0.6791666666666667</v>
      </c>
      <c r="V128" s="34">
        <f t="shared" si="4"/>
        <v>14.679166666666667</v>
      </c>
      <c r="W128" s="34">
        <f t="shared" si="5"/>
        <v>58.422499999999999</v>
      </c>
    </row>
    <row r="129" spans="1:23">
      <c r="A129">
        <v>2006</v>
      </c>
      <c r="B129">
        <v>0.56000000000000005</v>
      </c>
      <c r="C129">
        <v>0.74</v>
      </c>
      <c r="D129">
        <v>0.63</v>
      </c>
      <c r="E129">
        <v>0.47</v>
      </c>
      <c r="F129">
        <v>0.48</v>
      </c>
      <c r="G129">
        <v>0.67</v>
      </c>
      <c r="H129">
        <v>0.54</v>
      </c>
      <c r="I129">
        <v>0.71</v>
      </c>
      <c r="J129">
        <v>0.66</v>
      </c>
      <c r="K129">
        <v>0.71</v>
      </c>
      <c r="L129">
        <v>0.73</v>
      </c>
      <c r="M129">
        <v>0.79</v>
      </c>
      <c r="N129">
        <v>0.64</v>
      </c>
      <c r="O129">
        <v>0.63</v>
      </c>
      <c r="P129">
        <v>0.66</v>
      </c>
      <c r="Q129">
        <v>0.53</v>
      </c>
      <c r="R129">
        <v>0.64</v>
      </c>
      <c r="S129">
        <v>0.7</v>
      </c>
      <c r="U129" s="34">
        <f t="shared" si="3"/>
        <v>0.64083333333333337</v>
      </c>
      <c r="V129" s="34">
        <f t="shared" si="4"/>
        <v>14.640833333333333</v>
      </c>
      <c r="W129" s="34">
        <f t="shared" si="5"/>
        <v>58.353499999999997</v>
      </c>
    </row>
    <row r="130" spans="1:23">
      <c r="A130">
        <v>2007</v>
      </c>
      <c r="B130">
        <v>1.01</v>
      </c>
      <c r="C130">
        <v>0.7</v>
      </c>
      <c r="D130">
        <v>0.71</v>
      </c>
      <c r="E130">
        <v>0.77</v>
      </c>
      <c r="F130">
        <v>0.69</v>
      </c>
      <c r="G130">
        <v>0.61</v>
      </c>
      <c r="H130">
        <v>0.6</v>
      </c>
      <c r="I130">
        <v>0.6</v>
      </c>
      <c r="J130">
        <v>0.6</v>
      </c>
      <c r="K130">
        <v>0.59</v>
      </c>
      <c r="L130">
        <v>0.59</v>
      </c>
      <c r="M130">
        <v>0.5</v>
      </c>
      <c r="N130">
        <v>0.66</v>
      </c>
      <c r="O130">
        <v>0.69</v>
      </c>
      <c r="P130">
        <v>0.83</v>
      </c>
      <c r="Q130">
        <v>0.72</v>
      </c>
      <c r="R130">
        <v>0.6</v>
      </c>
      <c r="S130">
        <v>0.6</v>
      </c>
      <c r="U130" s="34">
        <f t="shared" si="3"/>
        <v>0.66416666666666657</v>
      </c>
      <c r="V130" s="34">
        <f t="shared" si="4"/>
        <v>14.664166666666667</v>
      </c>
      <c r="W130" s="34">
        <f t="shared" si="5"/>
        <v>58.395499999999998</v>
      </c>
    </row>
    <row r="131" spans="1:23">
      <c r="A131">
        <v>2008</v>
      </c>
      <c r="B131">
        <v>0.3</v>
      </c>
      <c r="C131">
        <v>0.38</v>
      </c>
      <c r="D131">
        <v>0.75</v>
      </c>
      <c r="E131">
        <v>0.54</v>
      </c>
      <c r="F131">
        <v>0.5</v>
      </c>
      <c r="G131">
        <v>0.5</v>
      </c>
      <c r="H131">
        <v>0.6</v>
      </c>
      <c r="I131">
        <v>0.45</v>
      </c>
      <c r="J131">
        <v>0.6</v>
      </c>
      <c r="K131">
        <v>0.67</v>
      </c>
      <c r="L131">
        <v>0.69</v>
      </c>
      <c r="M131">
        <v>0.54</v>
      </c>
      <c r="N131">
        <v>0.54</v>
      </c>
      <c r="O131">
        <v>0.54</v>
      </c>
      <c r="P131">
        <v>0.39</v>
      </c>
      <c r="Q131">
        <v>0.59</v>
      </c>
      <c r="R131">
        <v>0.52</v>
      </c>
      <c r="S131">
        <v>0.66</v>
      </c>
      <c r="U131" s="34">
        <f t="shared" si="3"/>
        <v>0.54333333333333322</v>
      </c>
      <c r="V131" s="34">
        <f t="shared" si="4"/>
        <v>14.543333333333333</v>
      </c>
      <c r="W131" s="34">
        <f t="shared" si="5"/>
        <v>58.177999999999997</v>
      </c>
    </row>
    <row r="132" spans="1:23">
      <c r="A132">
        <v>2009</v>
      </c>
      <c r="B132">
        <v>0.65</v>
      </c>
      <c r="C132">
        <v>0.53</v>
      </c>
      <c r="D132">
        <v>0.53</v>
      </c>
      <c r="E132">
        <v>0.61</v>
      </c>
      <c r="F132">
        <v>0.65</v>
      </c>
      <c r="G132">
        <v>0.63</v>
      </c>
      <c r="H132">
        <v>0.74</v>
      </c>
      <c r="I132">
        <v>0.69</v>
      </c>
      <c r="J132">
        <v>0.72</v>
      </c>
      <c r="K132">
        <v>0.65</v>
      </c>
      <c r="L132">
        <v>0.8</v>
      </c>
      <c r="M132">
        <v>0.67</v>
      </c>
      <c r="N132">
        <v>0.66</v>
      </c>
      <c r="O132">
        <v>0.64</v>
      </c>
      <c r="P132">
        <v>0.56999999999999995</v>
      </c>
      <c r="Q132">
        <v>0.6</v>
      </c>
      <c r="R132">
        <v>0.69</v>
      </c>
      <c r="S132">
        <v>0.72</v>
      </c>
      <c r="U132" s="34">
        <f t="shared" ref="U132:U149" si="6">AVERAGE(B132:M132)</f>
        <v>0.65583333333333327</v>
      </c>
      <c r="V132" s="34">
        <f t="shared" ref="V132:V149" si="7">U132+14</f>
        <v>14.655833333333334</v>
      </c>
      <c r="W132" s="34">
        <f t="shared" ref="W132:W149" si="8">V132*(9/5)+32</f>
        <v>58.380499999999998</v>
      </c>
    </row>
    <row r="133" spans="1:23">
      <c r="A133">
        <v>2010</v>
      </c>
      <c r="B133">
        <v>0.75</v>
      </c>
      <c r="C133">
        <v>0.84</v>
      </c>
      <c r="D133">
        <v>0.92</v>
      </c>
      <c r="E133">
        <v>0.85</v>
      </c>
      <c r="F133">
        <v>0.75</v>
      </c>
      <c r="G133">
        <v>0.68</v>
      </c>
      <c r="H133">
        <v>0.63</v>
      </c>
      <c r="I133">
        <v>0.67</v>
      </c>
      <c r="J133">
        <v>0.63</v>
      </c>
      <c r="K133">
        <v>0.71</v>
      </c>
      <c r="L133">
        <v>0.81</v>
      </c>
      <c r="M133">
        <v>0.45</v>
      </c>
      <c r="N133">
        <v>0.72</v>
      </c>
      <c r="O133">
        <v>0.74</v>
      </c>
      <c r="P133">
        <v>0.75</v>
      </c>
      <c r="Q133">
        <v>0.84</v>
      </c>
      <c r="R133">
        <v>0.66</v>
      </c>
      <c r="S133">
        <v>0.72</v>
      </c>
      <c r="U133" s="34">
        <f t="shared" si="6"/>
        <v>0.72416666666666651</v>
      </c>
      <c r="V133" s="34">
        <f t="shared" si="7"/>
        <v>14.724166666666667</v>
      </c>
      <c r="W133" s="34">
        <f t="shared" si="8"/>
        <v>58.503500000000003</v>
      </c>
    </row>
    <row r="134" spans="1:23">
      <c r="A134">
        <v>2011</v>
      </c>
      <c r="B134">
        <v>0.52</v>
      </c>
      <c r="C134">
        <v>0.47</v>
      </c>
      <c r="D134">
        <v>0.65</v>
      </c>
      <c r="E134">
        <v>0.64</v>
      </c>
      <c r="F134">
        <v>0.53</v>
      </c>
      <c r="G134">
        <v>0.62</v>
      </c>
      <c r="H134">
        <v>0.71</v>
      </c>
      <c r="I134">
        <v>0.74</v>
      </c>
      <c r="J134">
        <v>0.56000000000000005</v>
      </c>
      <c r="K134">
        <v>0.65</v>
      </c>
      <c r="L134">
        <v>0.6</v>
      </c>
      <c r="M134">
        <v>0.6</v>
      </c>
      <c r="N134">
        <v>0.61</v>
      </c>
      <c r="O134">
        <v>0.6</v>
      </c>
      <c r="P134">
        <v>0.48</v>
      </c>
      <c r="Q134">
        <v>0.61</v>
      </c>
      <c r="R134">
        <v>0.69</v>
      </c>
      <c r="S134">
        <v>0.6</v>
      </c>
      <c r="U134" s="34">
        <f t="shared" si="6"/>
        <v>0.60750000000000004</v>
      </c>
      <c r="V134" s="34">
        <f t="shared" si="7"/>
        <v>14.6075</v>
      </c>
      <c r="W134" s="34">
        <f t="shared" si="8"/>
        <v>58.293500000000002</v>
      </c>
    </row>
    <row r="135" spans="1:23">
      <c r="A135">
        <v>2012</v>
      </c>
      <c r="B135">
        <v>0.47</v>
      </c>
      <c r="C135">
        <v>0.48</v>
      </c>
      <c r="D135">
        <v>0.56999999999999995</v>
      </c>
      <c r="E135">
        <v>0.73</v>
      </c>
      <c r="F135">
        <v>0.78</v>
      </c>
      <c r="G135">
        <v>0.65</v>
      </c>
      <c r="H135">
        <v>0.59</v>
      </c>
      <c r="I135">
        <v>0.66</v>
      </c>
      <c r="J135">
        <v>0.72</v>
      </c>
      <c r="K135">
        <v>0.8</v>
      </c>
      <c r="L135">
        <v>0.78</v>
      </c>
      <c r="M135">
        <v>0.53</v>
      </c>
      <c r="N135">
        <v>0.65</v>
      </c>
      <c r="O135">
        <v>0.65</v>
      </c>
      <c r="P135">
        <v>0.52</v>
      </c>
      <c r="Q135">
        <v>0.69</v>
      </c>
      <c r="R135">
        <v>0.63</v>
      </c>
      <c r="S135">
        <v>0.77</v>
      </c>
      <c r="U135" s="34">
        <f t="shared" si="6"/>
        <v>0.64666666666666672</v>
      </c>
      <c r="V135" s="34">
        <f t="shared" si="7"/>
        <v>14.646666666666667</v>
      </c>
      <c r="W135" s="34">
        <f t="shared" si="8"/>
        <v>58.364000000000004</v>
      </c>
    </row>
    <row r="136" spans="1:23">
      <c r="A136">
        <v>2013</v>
      </c>
      <c r="B136">
        <v>0.71</v>
      </c>
      <c r="C136">
        <v>0.62</v>
      </c>
      <c r="D136">
        <v>0.67</v>
      </c>
      <c r="E136">
        <v>0.53</v>
      </c>
      <c r="F136">
        <v>0.6</v>
      </c>
      <c r="G136">
        <v>0.7</v>
      </c>
      <c r="H136">
        <v>0.6</v>
      </c>
      <c r="I136">
        <v>0.7</v>
      </c>
      <c r="J136">
        <v>0.77</v>
      </c>
      <c r="K136">
        <v>0.69</v>
      </c>
      <c r="L136">
        <v>0.83</v>
      </c>
      <c r="M136">
        <v>0.7</v>
      </c>
      <c r="N136">
        <v>0.68</v>
      </c>
      <c r="O136">
        <v>0.66</v>
      </c>
      <c r="P136">
        <v>0.62</v>
      </c>
      <c r="Q136">
        <v>0.6</v>
      </c>
      <c r="R136">
        <v>0.67</v>
      </c>
      <c r="S136">
        <v>0.76</v>
      </c>
      <c r="U136" s="34">
        <f t="shared" si="6"/>
        <v>0.67666666666666664</v>
      </c>
      <c r="V136" s="34">
        <f t="shared" si="7"/>
        <v>14.676666666666666</v>
      </c>
      <c r="W136" s="34">
        <f t="shared" si="8"/>
        <v>58.417999999999999</v>
      </c>
    </row>
    <row r="137" spans="1:23">
      <c r="A137">
        <v>2014</v>
      </c>
      <c r="B137">
        <v>0.76</v>
      </c>
      <c r="C137">
        <v>0.55000000000000004</v>
      </c>
      <c r="D137">
        <v>0.78</v>
      </c>
      <c r="E137">
        <v>0.81</v>
      </c>
      <c r="F137">
        <v>0.87</v>
      </c>
      <c r="G137">
        <v>0.67</v>
      </c>
      <c r="H137">
        <v>0.57999999999999996</v>
      </c>
      <c r="I137">
        <v>0.83</v>
      </c>
      <c r="J137">
        <v>0.88</v>
      </c>
      <c r="K137">
        <v>0.8</v>
      </c>
      <c r="L137">
        <v>0.67</v>
      </c>
      <c r="M137">
        <v>0.79</v>
      </c>
      <c r="N137">
        <v>0.75</v>
      </c>
      <c r="O137">
        <v>0.74</v>
      </c>
      <c r="P137">
        <v>0.67</v>
      </c>
      <c r="Q137">
        <v>0.82</v>
      </c>
      <c r="R137">
        <v>0.7</v>
      </c>
      <c r="S137">
        <v>0.79</v>
      </c>
      <c r="U137" s="34">
        <f t="shared" si="6"/>
        <v>0.74916666666666687</v>
      </c>
      <c r="V137" s="34">
        <f t="shared" si="7"/>
        <v>14.749166666666667</v>
      </c>
      <c r="W137" s="34">
        <f t="shared" si="8"/>
        <v>58.548500000000004</v>
      </c>
    </row>
    <row r="138" spans="1:23">
      <c r="A138">
        <v>2015</v>
      </c>
      <c r="B138">
        <v>0.86</v>
      </c>
      <c r="C138">
        <v>0.91</v>
      </c>
      <c r="D138">
        <v>0.96</v>
      </c>
      <c r="E138">
        <v>0.75</v>
      </c>
      <c r="F138">
        <v>0.8</v>
      </c>
      <c r="G138">
        <v>0.82</v>
      </c>
      <c r="H138">
        <v>0.73</v>
      </c>
      <c r="I138">
        <v>0.8</v>
      </c>
      <c r="J138">
        <v>0.84</v>
      </c>
      <c r="K138">
        <v>1.08</v>
      </c>
      <c r="L138">
        <v>1.06</v>
      </c>
      <c r="M138">
        <v>1.17</v>
      </c>
      <c r="N138">
        <v>0.9</v>
      </c>
      <c r="O138">
        <v>0.87</v>
      </c>
      <c r="P138">
        <v>0.86</v>
      </c>
      <c r="Q138">
        <v>0.84</v>
      </c>
      <c r="R138">
        <v>0.78</v>
      </c>
      <c r="S138">
        <v>0.99</v>
      </c>
      <c r="U138" s="34">
        <f t="shared" si="6"/>
        <v>0.89833333333333343</v>
      </c>
      <c r="V138" s="34">
        <f t="shared" si="7"/>
        <v>14.898333333333333</v>
      </c>
      <c r="W138" s="34">
        <f t="shared" si="8"/>
        <v>58.817</v>
      </c>
    </row>
    <row r="139" spans="1:23">
      <c r="A139">
        <v>2016</v>
      </c>
      <c r="B139">
        <v>1.18</v>
      </c>
      <c r="C139">
        <v>1.37</v>
      </c>
      <c r="D139">
        <v>1.35</v>
      </c>
      <c r="E139">
        <v>1.0900000000000001</v>
      </c>
      <c r="F139">
        <v>0.96</v>
      </c>
      <c r="G139">
        <v>0.81</v>
      </c>
      <c r="H139">
        <v>0.84</v>
      </c>
      <c r="I139">
        <v>1.01</v>
      </c>
      <c r="J139">
        <v>0.9</v>
      </c>
      <c r="K139">
        <v>0.87</v>
      </c>
      <c r="L139">
        <v>0.91</v>
      </c>
      <c r="M139">
        <v>0.86</v>
      </c>
      <c r="N139">
        <v>1.01</v>
      </c>
      <c r="O139">
        <v>1.04</v>
      </c>
      <c r="P139">
        <v>1.24</v>
      </c>
      <c r="Q139">
        <v>1.1299999999999999</v>
      </c>
      <c r="R139">
        <v>0.89</v>
      </c>
      <c r="S139">
        <v>0.89</v>
      </c>
      <c r="U139" s="34">
        <f t="shared" si="6"/>
        <v>1.0125</v>
      </c>
      <c r="V139" s="34">
        <f t="shared" si="7"/>
        <v>15.012499999999999</v>
      </c>
      <c r="W139" s="34">
        <f t="shared" si="8"/>
        <v>59.022500000000001</v>
      </c>
    </row>
    <row r="140" spans="1:23">
      <c r="A140">
        <v>2017</v>
      </c>
      <c r="B140">
        <v>1.02</v>
      </c>
      <c r="C140">
        <v>1.1299999999999999</v>
      </c>
      <c r="D140">
        <v>1.1599999999999999</v>
      </c>
      <c r="E140">
        <v>0.94</v>
      </c>
      <c r="F140">
        <v>0.91</v>
      </c>
      <c r="G140">
        <v>0.71</v>
      </c>
      <c r="H140">
        <v>0.82</v>
      </c>
      <c r="I140">
        <v>0.87</v>
      </c>
      <c r="J140">
        <v>0.74</v>
      </c>
      <c r="K140">
        <v>0.88</v>
      </c>
      <c r="L140">
        <v>0.87</v>
      </c>
      <c r="M140">
        <v>0.93</v>
      </c>
      <c r="N140">
        <v>0.92</v>
      </c>
      <c r="O140">
        <v>0.91</v>
      </c>
      <c r="P140">
        <v>1.01</v>
      </c>
      <c r="Q140">
        <v>1</v>
      </c>
      <c r="R140">
        <v>0.8</v>
      </c>
      <c r="S140">
        <v>0.83</v>
      </c>
      <c r="U140" s="34">
        <f t="shared" si="6"/>
        <v>0.91500000000000004</v>
      </c>
      <c r="V140" s="34">
        <f t="shared" si="7"/>
        <v>14.914999999999999</v>
      </c>
      <c r="W140" s="34">
        <f t="shared" si="8"/>
        <v>58.846999999999994</v>
      </c>
    </row>
    <row r="141" spans="1:23">
      <c r="A141">
        <v>2018</v>
      </c>
      <c r="B141">
        <v>0.82</v>
      </c>
      <c r="C141">
        <v>0.85</v>
      </c>
      <c r="D141">
        <v>0.88</v>
      </c>
      <c r="E141">
        <v>0.88</v>
      </c>
      <c r="F141">
        <v>0.81</v>
      </c>
      <c r="G141">
        <v>0.77</v>
      </c>
      <c r="H141">
        <v>0.84</v>
      </c>
      <c r="I141">
        <v>0.78</v>
      </c>
      <c r="J141">
        <v>0.8</v>
      </c>
      <c r="K141">
        <v>1.02</v>
      </c>
      <c r="L141">
        <v>0.83</v>
      </c>
      <c r="M141">
        <v>0.93</v>
      </c>
      <c r="N141">
        <v>0.85</v>
      </c>
      <c r="O141">
        <v>0.85</v>
      </c>
      <c r="P141">
        <v>0.87</v>
      </c>
      <c r="Q141">
        <v>0.86</v>
      </c>
      <c r="R141">
        <v>0.8</v>
      </c>
      <c r="S141">
        <v>0.89</v>
      </c>
      <c r="U141" s="34">
        <f t="shared" si="6"/>
        <v>0.85083333333333322</v>
      </c>
      <c r="V141" s="34">
        <f t="shared" si="7"/>
        <v>14.850833333333334</v>
      </c>
      <c r="W141" s="34">
        <f t="shared" si="8"/>
        <v>58.731499999999997</v>
      </c>
    </row>
    <row r="142" spans="1:23">
      <c r="A142">
        <v>2019</v>
      </c>
      <c r="B142">
        <v>0.93</v>
      </c>
      <c r="C142">
        <v>0.96</v>
      </c>
      <c r="D142">
        <v>1.17</v>
      </c>
      <c r="E142">
        <v>1.01</v>
      </c>
      <c r="F142">
        <v>0.86</v>
      </c>
      <c r="G142">
        <v>0.9</v>
      </c>
      <c r="H142">
        <v>0.94</v>
      </c>
      <c r="I142">
        <v>0.95</v>
      </c>
      <c r="J142">
        <v>0.93</v>
      </c>
      <c r="K142">
        <v>1</v>
      </c>
      <c r="L142">
        <v>0.99</v>
      </c>
      <c r="M142">
        <v>1.1200000000000001</v>
      </c>
      <c r="N142">
        <v>0.98</v>
      </c>
      <c r="O142">
        <v>0.96</v>
      </c>
      <c r="P142">
        <v>0.94</v>
      </c>
      <c r="Q142">
        <v>1.01</v>
      </c>
      <c r="R142">
        <v>0.93</v>
      </c>
      <c r="S142">
        <v>0.97</v>
      </c>
      <c r="U142" s="34">
        <f t="shared" si="6"/>
        <v>0.98000000000000009</v>
      </c>
      <c r="V142" s="34">
        <f t="shared" si="7"/>
        <v>14.98</v>
      </c>
      <c r="W142" s="34">
        <f t="shared" si="8"/>
        <v>58.963999999999999</v>
      </c>
    </row>
    <row r="143" spans="1:23">
      <c r="A143">
        <v>2020</v>
      </c>
      <c r="B143">
        <v>1.18</v>
      </c>
      <c r="C143">
        <v>1.24</v>
      </c>
      <c r="D143">
        <v>1.18</v>
      </c>
      <c r="E143">
        <v>1.1200000000000001</v>
      </c>
      <c r="F143">
        <v>0.99</v>
      </c>
      <c r="G143">
        <v>0.91</v>
      </c>
      <c r="H143">
        <v>0.89</v>
      </c>
      <c r="I143">
        <v>0.86</v>
      </c>
      <c r="J143">
        <v>0.96</v>
      </c>
      <c r="K143">
        <v>0.87</v>
      </c>
      <c r="L143">
        <v>1.0900000000000001</v>
      </c>
      <c r="M143">
        <v>0.8</v>
      </c>
      <c r="N143">
        <v>1.01</v>
      </c>
      <c r="O143">
        <v>1.03</v>
      </c>
      <c r="P143">
        <v>1.18</v>
      </c>
      <c r="Q143">
        <v>1.1000000000000001</v>
      </c>
      <c r="R143">
        <v>0.89</v>
      </c>
      <c r="S143">
        <v>0.97</v>
      </c>
      <c r="U143" s="34">
        <f t="shared" si="6"/>
        <v>1.0074999999999998</v>
      </c>
      <c r="V143" s="34">
        <f t="shared" si="7"/>
        <v>15.0075</v>
      </c>
      <c r="W143" s="34">
        <f t="shared" si="8"/>
        <v>59.013500000000001</v>
      </c>
    </row>
    <row r="144" spans="1:23">
      <c r="A144">
        <v>2021</v>
      </c>
      <c r="B144">
        <v>0.82</v>
      </c>
      <c r="C144">
        <v>0.64</v>
      </c>
      <c r="D144">
        <v>0.89</v>
      </c>
      <c r="E144">
        <v>0.76</v>
      </c>
      <c r="F144">
        <v>0.79</v>
      </c>
      <c r="G144">
        <v>0.85</v>
      </c>
      <c r="H144">
        <v>0.92</v>
      </c>
      <c r="I144">
        <v>0.81</v>
      </c>
      <c r="J144">
        <v>0.92</v>
      </c>
      <c r="K144">
        <v>0.98</v>
      </c>
      <c r="L144">
        <v>0.93</v>
      </c>
      <c r="M144">
        <v>0.88</v>
      </c>
      <c r="N144">
        <v>0.85</v>
      </c>
      <c r="O144">
        <v>0.84</v>
      </c>
      <c r="P144">
        <v>0.75</v>
      </c>
      <c r="Q144">
        <v>0.81</v>
      </c>
      <c r="R144">
        <v>0.86</v>
      </c>
      <c r="S144">
        <v>0.94</v>
      </c>
      <c r="U144" s="34">
        <f t="shared" si="6"/>
        <v>0.84916666666666674</v>
      </c>
      <c r="V144" s="34">
        <f t="shared" si="7"/>
        <v>14.849166666666667</v>
      </c>
      <c r="W144" s="34">
        <f t="shared" si="8"/>
        <v>58.728499999999997</v>
      </c>
    </row>
    <row r="145" spans="1:23">
      <c r="A145">
        <v>2022</v>
      </c>
      <c r="B145">
        <v>0.91</v>
      </c>
      <c r="C145">
        <v>0.89</v>
      </c>
      <c r="D145">
        <v>1.05</v>
      </c>
      <c r="E145">
        <v>0.83</v>
      </c>
      <c r="F145">
        <v>0.84</v>
      </c>
      <c r="G145">
        <v>0.93</v>
      </c>
      <c r="H145">
        <v>0.94</v>
      </c>
      <c r="I145">
        <v>0.94</v>
      </c>
      <c r="J145">
        <v>0.88</v>
      </c>
      <c r="K145">
        <v>0.97</v>
      </c>
      <c r="L145">
        <v>0.73</v>
      </c>
      <c r="M145">
        <v>0.8</v>
      </c>
      <c r="N145">
        <v>0.89</v>
      </c>
      <c r="O145">
        <v>0.9</v>
      </c>
      <c r="P145">
        <v>0.9</v>
      </c>
      <c r="Q145">
        <v>0.91</v>
      </c>
      <c r="R145">
        <v>0.94</v>
      </c>
      <c r="S145">
        <v>0.86</v>
      </c>
      <c r="U145" s="34">
        <f t="shared" si="6"/>
        <v>0.89250000000000018</v>
      </c>
      <c r="V145" s="34">
        <f t="shared" si="7"/>
        <v>14.8925</v>
      </c>
      <c r="W145" s="34">
        <f t="shared" si="8"/>
        <v>58.8065</v>
      </c>
    </row>
    <row r="146" spans="1:23">
      <c r="A146">
        <v>2023</v>
      </c>
      <c r="B146">
        <v>0.88</v>
      </c>
      <c r="C146">
        <v>0.97</v>
      </c>
      <c r="D146">
        <v>1.23</v>
      </c>
      <c r="E146">
        <v>0.99</v>
      </c>
      <c r="F146">
        <v>0.94</v>
      </c>
      <c r="G146">
        <v>1.0900000000000001</v>
      </c>
      <c r="H146">
        <v>1.19</v>
      </c>
      <c r="I146">
        <v>1.19</v>
      </c>
      <c r="J146">
        <v>1.48</v>
      </c>
      <c r="K146">
        <v>1.35</v>
      </c>
      <c r="L146">
        <v>1.4</v>
      </c>
      <c r="M146">
        <v>1.36</v>
      </c>
      <c r="N146">
        <v>1.17</v>
      </c>
      <c r="O146">
        <v>1.1200000000000001</v>
      </c>
      <c r="P146">
        <v>0.88</v>
      </c>
      <c r="Q146">
        <v>1.05</v>
      </c>
      <c r="R146">
        <v>1.1599999999999999</v>
      </c>
      <c r="S146">
        <v>1.41</v>
      </c>
      <c r="U146" s="34">
        <f t="shared" si="6"/>
        <v>1.1724999999999999</v>
      </c>
      <c r="V146" s="34">
        <f t="shared" si="7"/>
        <v>15.172499999999999</v>
      </c>
      <c r="W146" s="34">
        <f t="shared" si="8"/>
        <v>59.310500000000005</v>
      </c>
    </row>
    <row r="147" spans="1:23">
      <c r="A147">
        <v>2024</v>
      </c>
      <c r="B147">
        <v>1.25</v>
      </c>
      <c r="C147">
        <v>1.44</v>
      </c>
      <c r="D147">
        <v>1.4</v>
      </c>
      <c r="E147">
        <v>1.32</v>
      </c>
      <c r="F147">
        <v>1.1599999999999999</v>
      </c>
      <c r="G147">
        <v>1.23</v>
      </c>
      <c r="H147">
        <v>1.2</v>
      </c>
      <c r="I147">
        <v>1.3</v>
      </c>
      <c r="J147">
        <v>1.21</v>
      </c>
      <c r="K147">
        <v>1.35</v>
      </c>
      <c r="L147">
        <v>1.3</v>
      </c>
      <c r="M147">
        <v>1.27</v>
      </c>
      <c r="N147">
        <v>1.29</v>
      </c>
      <c r="O147">
        <v>1.29</v>
      </c>
      <c r="P147">
        <v>1.35</v>
      </c>
      <c r="Q147">
        <v>1.29</v>
      </c>
      <c r="R147">
        <v>1.25</v>
      </c>
      <c r="S147">
        <v>1.29</v>
      </c>
      <c r="U147" s="34">
        <f t="shared" si="6"/>
        <v>1.2858333333333334</v>
      </c>
      <c r="V147" s="34">
        <f t="shared" si="7"/>
        <v>15.285833333333333</v>
      </c>
      <c r="W147" s="34">
        <f t="shared" si="8"/>
        <v>59.514499999999998</v>
      </c>
    </row>
    <row r="148" spans="1:23">
      <c r="A148">
        <v>2025</v>
      </c>
      <c r="B148">
        <v>1.38</v>
      </c>
      <c r="C148">
        <v>1.26</v>
      </c>
      <c r="D148">
        <v>1.37</v>
      </c>
      <c r="E148">
        <v>1.25</v>
      </c>
      <c r="F148">
        <v>1.08</v>
      </c>
      <c r="G148">
        <v>1.07</v>
      </c>
      <c r="H148">
        <v>1.02</v>
      </c>
      <c r="I148">
        <v>1.18</v>
      </c>
      <c r="J148">
        <v>1.25</v>
      </c>
      <c r="K148">
        <v>1.19</v>
      </c>
      <c r="L148">
        <v>1.21</v>
      </c>
      <c r="M148">
        <v>1.06</v>
      </c>
      <c r="N148">
        <v>1.19</v>
      </c>
      <c r="O148">
        <v>1.21</v>
      </c>
      <c r="P148">
        <v>1.3</v>
      </c>
      <c r="Q148">
        <v>1.23</v>
      </c>
      <c r="R148">
        <v>1.0900000000000001</v>
      </c>
      <c r="S148">
        <v>1.22</v>
      </c>
      <c r="U148" s="34">
        <f t="shared" si="6"/>
        <v>1.1933333333333331</v>
      </c>
      <c r="V148" s="34">
        <f t="shared" si="7"/>
        <v>15.193333333333333</v>
      </c>
      <c r="W148" s="34">
        <f t="shared" si="8"/>
        <v>59.347999999999999</v>
      </c>
    </row>
    <row r="149" spans="1:23">
      <c r="A149">
        <v>2026</v>
      </c>
      <c r="B149">
        <v>1.0900000000000001</v>
      </c>
      <c r="C149">
        <v>1.25</v>
      </c>
      <c r="D149">
        <v>1.32</v>
      </c>
      <c r="E149">
        <v>1.17</v>
      </c>
      <c r="F149">
        <v>1.1299999999999999</v>
      </c>
      <c r="G149">
        <v>1.18</v>
      </c>
      <c r="H149">
        <v>1.25</v>
      </c>
      <c r="I149">
        <v>1.4</v>
      </c>
      <c r="J149" t="s">
        <v>62</v>
      </c>
      <c r="K149" t="s">
        <v>62</v>
      </c>
      <c r="L149" t="s">
        <v>62</v>
      </c>
      <c r="M149" t="s">
        <v>62</v>
      </c>
      <c r="N149" t="s">
        <v>62</v>
      </c>
      <c r="O149" t="s">
        <v>62</v>
      </c>
      <c r="P149">
        <v>1.1299999999999999</v>
      </c>
      <c r="Q149">
        <v>1.21</v>
      </c>
      <c r="R149">
        <v>1.28</v>
      </c>
      <c r="S149" t="s">
        <v>62</v>
      </c>
      <c r="U149" s="34">
        <f t="shared" si="6"/>
        <v>1.2237500000000001</v>
      </c>
      <c r="V149" s="34">
        <f t="shared" si="7"/>
        <v>15.223750000000001</v>
      </c>
      <c r="W149" s="34">
        <f t="shared" si="8"/>
        <v>59.402749999999997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1D57-3654-4E35-AF6D-0125AC7101DF}">
  <dimension ref="A1:H863"/>
  <sheetViews>
    <sheetView topLeftCell="A25" workbookViewId="0">
      <selection activeCell="J55" sqref="J55"/>
    </sheetView>
  </sheetViews>
  <sheetFormatPr defaultRowHeight="15"/>
  <sheetData>
    <row r="1" spans="1:2">
      <c r="A1" t="s">
        <v>2125</v>
      </c>
    </row>
    <row r="2" spans="1:2">
      <c r="A2" t="s">
        <v>2126</v>
      </c>
    </row>
    <row r="3" spans="1:2">
      <c r="A3" t="s">
        <v>2127</v>
      </c>
    </row>
    <row r="4" spans="1:2">
      <c r="A4" t="s">
        <v>2128</v>
      </c>
    </row>
    <row r="5" spans="1:2">
      <c r="A5" t="s">
        <v>2129</v>
      </c>
    </row>
    <row r="6" spans="1:2">
      <c r="A6" t="s">
        <v>2130</v>
      </c>
    </row>
    <row r="7" spans="1:2">
      <c r="A7" t="s">
        <v>2131</v>
      </c>
    </row>
    <row r="8" spans="1:2">
      <c r="A8" t="s">
        <v>2132</v>
      </c>
    </row>
    <row r="9" spans="1:2">
      <c r="A9" t="s">
        <v>2133</v>
      </c>
    </row>
    <row r="10" spans="1:2">
      <c r="A10" t="s">
        <v>2134</v>
      </c>
    </row>
    <row r="11" spans="1:2">
      <c r="A11" t="s">
        <v>2135</v>
      </c>
      <c r="B11" t="s">
        <v>2136</v>
      </c>
    </row>
    <row r="12" spans="1:2">
      <c r="A12" t="s">
        <v>2127</v>
      </c>
    </row>
    <row r="13" spans="1:2">
      <c r="A13" t="s">
        <v>2127</v>
      </c>
    </row>
    <row r="14" spans="1:2">
      <c r="A14" t="s">
        <v>2127</v>
      </c>
    </row>
    <row r="15" spans="1:2">
      <c r="A15" t="s">
        <v>2137</v>
      </c>
    </row>
    <row r="16" spans="1:2">
      <c r="A16" t="s">
        <v>2127</v>
      </c>
    </row>
    <row r="17" spans="1:2">
      <c r="A17" t="s">
        <v>2138</v>
      </c>
    </row>
    <row r="18" spans="1:2">
      <c r="A18" t="s">
        <v>2127</v>
      </c>
    </row>
    <row r="19" spans="1:2">
      <c r="A19" t="s">
        <v>2127</v>
      </c>
    </row>
    <row r="20" spans="1:2">
      <c r="A20" t="s">
        <v>2125</v>
      </c>
    </row>
    <row r="21" spans="1:2">
      <c r="A21" t="s">
        <v>2127</v>
      </c>
    </row>
    <row r="22" spans="1:2">
      <c r="A22" t="s">
        <v>2127</v>
      </c>
    </row>
    <row r="23" spans="1:2">
      <c r="A23" t="s">
        <v>2139</v>
      </c>
    </row>
    <row r="24" spans="1:2">
      <c r="A24" t="s">
        <v>2127</v>
      </c>
    </row>
    <row r="25" spans="1:2">
      <c r="A25" t="s">
        <v>2140</v>
      </c>
    </row>
    <row r="26" spans="1:2">
      <c r="A26" t="s">
        <v>2141</v>
      </c>
    </row>
    <row r="27" spans="1:2">
      <c r="A27" t="s">
        <v>2142</v>
      </c>
    </row>
    <row r="28" spans="1:2">
      <c r="A28" t="s">
        <v>2143</v>
      </c>
    </row>
    <row r="29" spans="1:2">
      <c r="A29" t="s">
        <v>2144</v>
      </c>
    </row>
    <row r="30" spans="1:2">
      <c r="A30" t="s">
        <v>2145</v>
      </c>
    </row>
    <row r="31" spans="1:2">
      <c r="A31" t="s">
        <v>2146</v>
      </c>
    </row>
    <row r="32" spans="1:2">
      <c r="A32" t="s">
        <v>2147</v>
      </c>
      <c r="B32" t="s">
        <v>2148</v>
      </c>
    </row>
    <row r="33" spans="1:8">
      <c r="A33" t="s">
        <v>2149</v>
      </c>
      <c r="B33" t="s">
        <v>2150</v>
      </c>
      <c r="C33" t="s">
        <v>2151</v>
      </c>
    </row>
    <row r="34" spans="1:8">
      <c r="A34" t="s">
        <v>2152</v>
      </c>
    </row>
    <row r="35" spans="1:8">
      <c r="A35" t="s">
        <v>2127</v>
      </c>
    </row>
    <row r="36" spans="1:8">
      <c r="A36" t="s">
        <v>2153</v>
      </c>
      <c r="B36" t="s">
        <v>2154</v>
      </c>
    </row>
    <row r="37" spans="1:8">
      <c r="A37" t="s">
        <v>2155</v>
      </c>
      <c r="B37" t="s">
        <v>2156</v>
      </c>
    </row>
    <row r="38" spans="1:8">
      <c r="A38" t="s">
        <v>2157</v>
      </c>
      <c r="B38" t="s">
        <v>2158</v>
      </c>
    </row>
    <row r="39" spans="1:8">
      <c r="A39" t="s">
        <v>2159</v>
      </c>
      <c r="B39" t="s">
        <v>2160</v>
      </c>
    </row>
    <row r="40" spans="1:8">
      <c r="A40" t="s">
        <v>2127</v>
      </c>
    </row>
    <row r="41" spans="1:8">
      <c r="A41" t="s">
        <v>2161</v>
      </c>
      <c r="B41" t="s">
        <v>2162</v>
      </c>
      <c r="C41" t="s">
        <v>2163</v>
      </c>
      <c r="D41" t="s">
        <v>2164</v>
      </c>
      <c r="E41" t="s">
        <v>2165</v>
      </c>
      <c r="F41" t="s">
        <v>2166</v>
      </c>
      <c r="G41" t="s">
        <v>2167</v>
      </c>
      <c r="H41" t="s">
        <v>2168</v>
      </c>
    </row>
    <row r="42" spans="1:8">
      <c r="A42">
        <v>1958</v>
      </c>
      <c r="B42">
        <v>3</v>
      </c>
      <c r="C42">
        <v>1958.2027</v>
      </c>
      <c r="D42">
        <v>315.70999999999998</v>
      </c>
      <c r="E42">
        <v>314.44</v>
      </c>
      <c r="F42">
        <v>-1</v>
      </c>
      <c r="G42">
        <v>-9.99</v>
      </c>
      <c r="H42">
        <v>-0.99</v>
      </c>
    </row>
    <row r="43" spans="1:8">
      <c r="A43">
        <v>1958</v>
      </c>
      <c r="B43">
        <v>4</v>
      </c>
      <c r="C43">
        <v>1958.2877000000001</v>
      </c>
      <c r="D43">
        <v>317.45</v>
      </c>
      <c r="E43">
        <v>315.16000000000003</v>
      </c>
      <c r="F43">
        <v>-1</v>
      </c>
      <c r="G43">
        <v>-9.99</v>
      </c>
      <c r="H43">
        <v>-0.99</v>
      </c>
    </row>
    <row r="44" spans="1:8">
      <c r="A44">
        <v>1958</v>
      </c>
      <c r="B44">
        <v>5</v>
      </c>
      <c r="C44">
        <v>1958.3698999999999</v>
      </c>
      <c r="D44">
        <v>317.51</v>
      </c>
      <c r="E44">
        <v>314.69</v>
      </c>
      <c r="F44">
        <v>-1</v>
      </c>
      <c r="G44">
        <v>-9.99</v>
      </c>
      <c r="H44">
        <v>-0.99</v>
      </c>
    </row>
    <row r="45" spans="1:8">
      <c r="A45">
        <v>1958</v>
      </c>
      <c r="B45">
        <v>6</v>
      </c>
      <c r="C45">
        <v>1958.4548</v>
      </c>
      <c r="D45">
        <v>317.27</v>
      </c>
      <c r="E45">
        <v>315.14999999999998</v>
      </c>
      <c r="F45">
        <v>-1</v>
      </c>
      <c r="G45">
        <v>-9.99</v>
      </c>
      <c r="H45">
        <v>-0.99</v>
      </c>
    </row>
    <row r="46" spans="1:8">
      <c r="A46">
        <v>1958</v>
      </c>
      <c r="B46">
        <v>7</v>
      </c>
      <c r="C46">
        <v>1958.537</v>
      </c>
      <c r="D46">
        <v>315.87</v>
      </c>
      <c r="E46">
        <v>315.2</v>
      </c>
      <c r="F46">
        <v>-1</v>
      </c>
      <c r="G46">
        <v>-9.99</v>
      </c>
      <c r="H46">
        <v>-0.99</v>
      </c>
    </row>
    <row r="47" spans="1:8">
      <c r="A47">
        <v>1958</v>
      </c>
      <c r="B47">
        <v>8</v>
      </c>
      <c r="C47">
        <v>1958.6219000000001</v>
      </c>
      <c r="D47">
        <v>314.93</v>
      </c>
      <c r="E47">
        <v>316.20999999999998</v>
      </c>
      <c r="F47">
        <v>-1</v>
      </c>
      <c r="G47">
        <v>-9.99</v>
      </c>
      <c r="H47">
        <v>-0.99</v>
      </c>
    </row>
    <row r="48" spans="1:8">
      <c r="A48">
        <v>1958</v>
      </c>
      <c r="B48">
        <v>9</v>
      </c>
      <c r="C48">
        <v>1958.7067999999999</v>
      </c>
      <c r="D48">
        <v>313.20999999999998</v>
      </c>
      <c r="E48">
        <v>316.11</v>
      </c>
      <c r="F48">
        <v>-1</v>
      </c>
      <c r="G48">
        <v>-9.99</v>
      </c>
      <c r="H48">
        <v>-0.99</v>
      </c>
    </row>
    <row r="49" spans="1:8">
      <c r="A49">
        <v>1958</v>
      </c>
      <c r="B49">
        <v>10</v>
      </c>
      <c r="C49">
        <v>1958.789</v>
      </c>
      <c r="D49">
        <v>312.42</v>
      </c>
      <c r="E49">
        <v>315.41000000000003</v>
      </c>
      <c r="F49">
        <v>-1</v>
      </c>
      <c r="G49">
        <v>-9.99</v>
      </c>
      <c r="H49">
        <v>-0.99</v>
      </c>
    </row>
    <row r="50" spans="1:8">
      <c r="A50">
        <v>1958</v>
      </c>
      <c r="B50">
        <v>11</v>
      </c>
      <c r="C50">
        <v>1958.874</v>
      </c>
      <c r="D50">
        <v>313.33</v>
      </c>
      <c r="E50">
        <v>315.20999999999998</v>
      </c>
      <c r="F50">
        <v>-1</v>
      </c>
      <c r="G50">
        <v>-9.99</v>
      </c>
      <c r="H50">
        <v>-0.99</v>
      </c>
    </row>
    <row r="51" spans="1:8">
      <c r="A51">
        <v>1958</v>
      </c>
      <c r="B51">
        <v>12</v>
      </c>
      <c r="C51">
        <v>1958.9562000000001</v>
      </c>
      <c r="D51">
        <v>314.67</v>
      </c>
      <c r="E51">
        <v>315.43</v>
      </c>
      <c r="F51">
        <v>-1</v>
      </c>
      <c r="G51">
        <v>-9.99</v>
      </c>
      <c r="H51">
        <v>-0.99</v>
      </c>
    </row>
    <row r="52" spans="1:8">
      <c r="A52">
        <v>1959</v>
      </c>
      <c r="B52">
        <v>1</v>
      </c>
      <c r="C52">
        <v>1959.0410999999999</v>
      </c>
      <c r="D52">
        <v>315.58</v>
      </c>
      <c r="E52">
        <v>315.52</v>
      </c>
      <c r="F52">
        <v>-1</v>
      </c>
      <c r="G52">
        <v>-9.99</v>
      </c>
      <c r="H52">
        <v>-0.99</v>
      </c>
    </row>
    <row r="53" spans="1:8">
      <c r="A53">
        <v>1959</v>
      </c>
      <c r="B53">
        <v>2</v>
      </c>
      <c r="C53">
        <v>1959.126</v>
      </c>
      <c r="D53">
        <v>316.49</v>
      </c>
      <c r="E53">
        <v>315.83999999999997</v>
      </c>
      <c r="F53">
        <v>-1</v>
      </c>
      <c r="G53">
        <v>-9.99</v>
      </c>
      <c r="H53">
        <v>-0.99</v>
      </c>
    </row>
    <row r="54" spans="1:8">
      <c r="A54">
        <v>1959</v>
      </c>
      <c r="B54">
        <v>3</v>
      </c>
      <c r="C54">
        <v>1959.2027</v>
      </c>
      <c r="D54">
        <v>316.64999999999998</v>
      </c>
      <c r="E54">
        <v>315.37</v>
      </c>
      <c r="F54">
        <v>-1</v>
      </c>
      <c r="G54">
        <v>-9.99</v>
      </c>
      <c r="H54">
        <v>-0.99</v>
      </c>
    </row>
    <row r="55" spans="1:8">
      <c r="A55">
        <v>1959</v>
      </c>
      <c r="B55">
        <v>4</v>
      </c>
      <c r="C55">
        <v>1959.2877000000001</v>
      </c>
      <c r="D55">
        <v>317.72000000000003</v>
      </c>
      <c r="E55">
        <v>315.42</v>
      </c>
      <c r="F55">
        <v>-1</v>
      </c>
      <c r="G55">
        <v>-9.99</v>
      </c>
      <c r="H55">
        <v>-0.99</v>
      </c>
    </row>
    <row r="56" spans="1:8">
      <c r="A56">
        <v>1959</v>
      </c>
      <c r="B56">
        <v>5</v>
      </c>
      <c r="C56">
        <v>1959.3698999999999</v>
      </c>
      <c r="D56">
        <v>318.29000000000002</v>
      </c>
      <c r="E56">
        <v>315.45999999999998</v>
      </c>
      <c r="F56">
        <v>-1</v>
      </c>
      <c r="G56">
        <v>-9.99</v>
      </c>
      <c r="H56">
        <v>-0.99</v>
      </c>
    </row>
    <row r="57" spans="1:8">
      <c r="A57">
        <v>1959</v>
      </c>
      <c r="B57">
        <v>6</v>
      </c>
      <c r="C57">
        <v>1959.4548</v>
      </c>
      <c r="D57">
        <v>318.14999999999998</v>
      </c>
      <c r="E57">
        <v>316</v>
      </c>
      <c r="F57">
        <v>-1</v>
      </c>
      <c r="G57">
        <v>-9.99</v>
      </c>
      <c r="H57">
        <v>-0.99</v>
      </c>
    </row>
    <row r="58" spans="1:8">
      <c r="A58">
        <v>1959</v>
      </c>
      <c r="B58">
        <v>7</v>
      </c>
      <c r="C58">
        <v>1959.537</v>
      </c>
      <c r="D58">
        <v>316.54000000000002</v>
      </c>
      <c r="E58">
        <v>315.87</v>
      </c>
      <c r="F58">
        <v>-1</v>
      </c>
      <c r="G58">
        <v>-9.99</v>
      </c>
      <c r="H58">
        <v>-0.99</v>
      </c>
    </row>
    <row r="59" spans="1:8">
      <c r="A59">
        <v>1959</v>
      </c>
      <c r="B59">
        <v>8</v>
      </c>
      <c r="C59">
        <v>1959.6219000000001</v>
      </c>
      <c r="D59">
        <v>314.8</v>
      </c>
      <c r="E59">
        <v>316.08999999999997</v>
      </c>
      <c r="F59">
        <v>-1</v>
      </c>
      <c r="G59">
        <v>-9.99</v>
      </c>
      <c r="H59">
        <v>-0.99</v>
      </c>
    </row>
    <row r="60" spans="1:8">
      <c r="A60">
        <v>1959</v>
      </c>
      <c r="B60">
        <v>9</v>
      </c>
      <c r="C60">
        <v>1959.7067999999999</v>
      </c>
      <c r="D60">
        <v>313.83999999999997</v>
      </c>
      <c r="E60">
        <v>316.75</v>
      </c>
      <c r="F60">
        <v>-1</v>
      </c>
      <c r="G60">
        <v>-9.99</v>
      </c>
      <c r="H60">
        <v>-0.99</v>
      </c>
    </row>
    <row r="61" spans="1:8">
      <c r="A61">
        <v>1959</v>
      </c>
      <c r="B61">
        <v>10</v>
      </c>
      <c r="C61">
        <v>1959.789</v>
      </c>
      <c r="D61">
        <v>313.33</v>
      </c>
      <c r="E61">
        <v>316.33999999999997</v>
      </c>
      <c r="F61">
        <v>-1</v>
      </c>
      <c r="G61">
        <v>-9.99</v>
      </c>
      <c r="H61">
        <v>-0.99</v>
      </c>
    </row>
    <row r="62" spans="1:8">
      <c r="A62">
        <v>1959</v>
      </c>
      <c r="B62">
        <v>11</v>
      </c>
      <c r="C62">
        <v>1959.874</v>
      </c>
      <c r="D62">
        <v>314.81</v>
      </c>
      <c r="E62">
        <v>316.69</v>
      </c>
      <c r="F62">
        <v>-1</v>
      </c>
      <c r="G62">
        <v>-9.99</v>
      </c>
      <c r="H62">
        <v>-0.99</v>
      </c>
    </row>
    <row r="63" spans="1:8">
      <c r="A63">
        <v>1959</v>
      </c>
      <c r="B63">
        <v>12</v>
      </c>
      <c r="C63">
        <v>1959.9562000000001</v>
      </c>
      <c r="D63">
        <v>315.58</v>
      </c>
      <c r="E63">
        <v>316.35000000000002</v>
      </c>
      <c r="F63">
        <v>-1</v>
      </c>
      <c r="G63">
        <v>-9.99</v>
      </c>
      <c r="H63">
        <v>-0.99</v>
      </c>
    </row>
    <row r="64" spans="1:8">
      <c r="A64">
        <v>1960</v>
      </c>
      <c r="B64">
        <v>1</v>
      </c>
      <c r="C64">
        <v>1960.0409999999999</v>
      </c>
      <c r="D64">
        <v>316.43</v>
      </c>
      <c r="E64">
        <v>316.38</v>
      </c>
      <c r="F64">
        <v>-1</v>
      </c>
      <c r="G64">
        <v>-9.99</v>
      </c>
      <c r="H64">
        <v>-0.99</v>
      </c>
    </row>
    <row r="65" spans="1:8">
      <c r="A65">
        <v>1960</v>
      </c>
      <c r="B65">
        <v>2</v>
      </c>
      <c r="C65">
        <v>1960.1257000000001</v>
      </c>
      <c r="D65">
        <v>316.98</v>
      </c>
      <c r="E65">
        <v>316.33</v>
      </c>
      <c r="F65">
        <v>-1</v>
      </c>
      <c r="G65">
        <v>-9.99</v>
      </c>
      <c r="H65">
        <v>-0.99</v>
      </c>
    </row>
    <row r="66" spans="1:8">
      <c r="A66">
        <v>1960</v>
      </c>
      <c r="B66">
        <v>3</v>
      </c>
      <c r="C66">
        <v>1960.2049</v>
      </c>
      <c r="D66">
        <v>317.58</v>
      </c>
      <c r="E66">
        <v>316.27</v>
      </c>
      <c r="F66">
        <v>-1</v>
      </c>
      <c r="G66">
        <v>-9.99</v>
      </c>
      <c r="H66">
        <v>-0.99</v>
      </c>
    </row>
    <row r="67" spans="1:8">
      <c r="A67">
        <v>1960</v>
      </c>
      <c r="B67">
        <v>4</v>
      </c>
      <c r="C67">
        <v>1960.2896000000001</v>
      </c>
      <c r="D67">
        <v>319.02999999999997</v>
      </c>
      <c r="E67">
        <v>316.7</v>
      </c>
      <c r="F67">
        <v>-1</v>
      </c>
      <c r="G67">
        <v>-9.99</v>
      </c>
      <c r="H67">
        <v>-0.99</v>
      </c>
    </row>
    <row r="68" spans="1:8">
      <c r="A68">
        <v>1960</v>
      </c>
      <c r="B68">
        <v>5</v>
      </c>
      <c r="C68">
        <v>1960.3715999999999</v>
      </c>
      <c r="D68">
        <v>320.02999999999997</v>
      </c>
      <c r="E68">
        <v>317.19</v>
      </c>
      <c r="F68">
        <v>-1</v>
      </c>
      <c r="G68">
        <v>-9.99</v>
      </c>
      <c r="H68">
        <v>-0.99</v>
      </c>
    </row>
    <row r="69" spans="1:8">
      <c r="A69">
        <v>1960</v>
      </c>
      <c r="B69">
        <v>6</v>
      </c>
      <c r="C69">
        <v>1960.4563000000001</v>
      </c>
      <c r="D69">
        <v>319.58</v>
      </c>
      <c r="E69">
        <v>317.45</v>
      </c>
      <c r="F69">
        <v>-1</v>
      </c>
      <c r="G69">
        <v>-9.99</v>
      </c>
      <c r="H69">
        <v>-0.99</v>
      </c>
    </row>
    <row r="70" spans="1:8">
      <c r="A70">
        <v>1960</v>
      </c>
      <c r="B70">
        <v>7</v>
      </c>
      <c r="C70">
        <v>1960.5382999999999</v>
      </c>
      <c r="D70">
        <v>318.18</v>
      </c>
      <c r="E70">
        <v>317.54000000000002</v>
      </c>
      <c r="F70">
        <v>-1</v>
      </c>
      <c r="G70">
        <v>-9.99</v>
      </c>
      <c r="H70">
        <v>-0.99</v>
      </c>
    </row>
    <row r="71" spans="1:8">
      <c r="A71">
        <v>1960</v>
      </c>
      <c r="B71">
        <v>8</v>
      </c>
      <c r="C71">
        <v>1960.623</v>
      </c>
      <c r="D71">
        <v>315.89999999999998</v>
      </c>
      <c r="E71">
        <v>317.22000000000003</v>
      </c>
      <c r="F71">
        <v>-1</v>
      </c>
      <c r="G71">
        <v>-9.99</v>
      </c>
      <c r="H71">
        <v>-0.99</v>
      </c>
    </row>
    <row r="72" spans="1:8">
      <c r="A72">
        <v>1960</v>
      </c>
      <c r="B72">
        <v>9</v>
      </c>
      <c r="C72">
        <v>1960.7076999999999</v>
      </c>
      <c r="D72">
        <v>314.17</v>
      </c>
      <c r="E72">
        <v>317.10000000000002</v>
      </c>
      <c r="F72">
        <v>-1</v>
      </c>
      <c r="G72">
        <v>-9.99</v>
      </c>
      <c r="H72">
        <v>-0.99</v>
      </c>
    </row>
    <row r="73" spans="1:8">
      <c r="A73">
        <v>1960</v>
      </c>
      <c r="B73">
        <v>10</v>
      </c>
      <c r="C73">
        <v>1960.7896000000001</v>
      </c>
      <c r="D73">
        <v>313.83</v>
      </c>
      <c r="E73">
        <v>316.85000000000002</v>
      </c>
      <c r="F73">
        <v>-1</v>
      </c>
      <c r="G73">
        <v>-9.99</v>
      </c>
      <c r="H73">
        <v>-0.99</v>
      </c>
    </row>
    <row r="74" spans="1:8">
      <c r="A74">
        <v>1960</v>
      </c>
      <c r="B74">
        <v>11</v>
      </c>
      <c r="C74">
        <v>1960.8742999999999</v>
      </c>
      <c r="D74">
        <v>315</v>
      </c>
      <c r="E74">
        <v>316.89</v>
      </c>
      <c r="F74">
        <v>-1</v>
      </c>
      <c r="G74">
        <v>-9.99</v>
      </c>
      <c r="H74">
        <v>-0.99</v>
      </c>
    </row>
    <row r="75" spans="1:8">
      <c r="A75">
        <v>1960</v>
      </c>
      <c r="B75">
        <v>12</v>
      </c>
      <c r="C75">
        <v>1960.9563000000001</v>
      </c>
      <c r="D75">
        <v>316.19</v>
      </c>
      <c r="E75">
        <v>316.95999999999998</v>
      </c>
      <c r="F75">
        <v>-1</v>
      </c>
      <c r="G75">
        <v>-9.99</v>
      </c>
      <c r="H75">
        <v>-0.99</v>
      </c>
    </row>
    <row r="76" spans="1:8">
      <c r="A76">
        <v>1961</v>
      </c>
      <c r="B76">
        <v>1</v>
      </c>
      <c r="C76">
        <v>1961.0410999999999</v>
      </c>
      <c r="D76">
        <v>316.89</v>
      </c>
      <c r="E76">
        <v>316.83999999999997</v>
      </c>
      <c r="F76">
        <v>-1</v>
      </c>
      <c r="G76">
        <v>-9.99</v>
      </c>
      <c r="H76">
        <v>-0.99</v>
      </c>
    </row>
    <row r="77" spans="1:8">
      <c r="A77">
        <v>1961</v>
      </c>
      <c r="B77">
        <v>2</v>
      </c>
      <c r="C77">
        <v>1961.126</v>
      </c>
      <c r="D77">
        <v>317.7</v>
      </c>
      <c r="E77">
        <v>317.05</v>
      </c>
      <c r="F77">
        <v>-1</v>
      </c>
      <c r="G77">
        <v>-9.99</v>
      </c>
      <c r="H77">
        <v>-0.99</v>
      </c>
    </row>
    <row r="78" spans="1:8">
      <c r="A78">
        <v>1961</v>
      </c>
      <c r="B78">
        <v>3</v>
      </c>
      <c r="C78">
        <v>1961.2027</v>
      </c>
      <c r="D78">
        <v>318.54000000000002</v>
      </c>
      <c r="E78">
        <v>317.25</v>
      </c>
      <c r="F78">
        <v>-1</v>
      </c>
      <c r="G78">
        <v>-9.99</v>
      </c>
      <c r="H78">
        <v>-0.99</v>
      </c>
    </row>
    <row r="79" spans="1:8">
      <c r="A79">
        <v>1961</v>
      </c>
      <c r="B79">
        <v>4</v>
      </c>
      <c r="C79">
        <v>1961.2877000000001</v>
      </c>
      <c r="D79">
        <v>319.48</v>
      </c>
      <c r="E79">
        <v>317.16000000000003</v>
      </c>
      <c r="F79">
        <v>-1</v>
      </c>
      <c r="G79">
        <v>-9.99</v>
      </c>
      <c r="H79">
        <v>-0.99</v>
      </c>
    </row>
    <row r="80" spans="1:8">
      <c r="A80">
        <v>1961</v>
      </c>
      <c r="B80">
        <v>5</v>
      </c>
      <c r="C80">
        <v>1961.3698999999999</v>
      </c>
      <c r="D80">
        <v>320.58</v>
      </c>
      <c r="E80">
        <v>317.73</v>
      </c>
      <c r="F80">
        <v>-1</v>
      </c>
      <c r="G80">
        <v>-9.99</v>
      </c>
      <c r="H80">
        <v>-0.99</v>
      </c>
    </row>
    <row r="81" spans="1:8">
      <c r="A81">
        <v>1961</v>
      </c>
      <c r="B81">
        <v>6</v>
      </c>
      <c r="C81">
        <v>1961.4548</v>
      </c>
      <c r="D81">
        <v>319.77</v>
      </c>
      <c r="E81">
        <v>317.61</v>
      </c>
      <c r="F81">
        <v>-1</v>
      </c>
      <c r="G81">
        <v>-9.99</v>
      </c>
      <c r="H81">
        <v>-0.99</v>
      </c>
    </row>
    <row r="82" spans="1:8">
      <c r="A82">
        <v>1961</v>
      </c>
      <c r="B82">
        <v>7</v>
      </c>
      <c r="C82">
        <v>1961.537</v>
      </c>
      <c r="D82">
        <v>318.56</v>
      </c>
      <c r="E82">
        <v>317.89</v>
      </c>
      <c r="F82">
        <v>-1</v>
      </c>
      <c r="G82">
        <v>-9.99</v>
      </c>
      <c r="H82">
        <v>-0.99</v>
      </c>
    </row>
    <row r="83" spans="1:8">
      <c r="A83">
        <v>1961</v>
      </c>
      <c r="B83">
        <v>8</v>
      </c>
      <c r="C83">
        <v>1961.6219000000001</v>
      </c>
      <c r="D83">
        <v>316.79000000000002</v>
      </c>
      <c r="E83">
        <v>318.08999999999997</v>
      </c>
      <c r="F83">
        <v>-1</v>
      </c>
      <c r="G83">
        <v>-9.99</v>
      </c>
      <c r="H83">
        <v>-0.99</v>
      </c>
    </row>
    <row r="84" spans="1:8">
      <c r="A84">
        <v>1961</v>
      </c>
      <c r="B84">
        <v>9</v>
      </c>
      <c r="C84">
        <v>1961.7067999999999</v>
      </c>
      <c r="D84">
        <v>314.99</v>
      </c>
      <c r="E84">
        <v>317.92</v>
      </c>
      <c r="F84">
        <v>-1</v>
      </c>
      <c r="G84">
        <v>-9.99</v>
      </c>
      <c r="H84">
        <v>-0.99</v>
      </c>
    </row>
    <row r="85" spans="1:8">
      <c r="A85">
        <v>1961</v>
      </c>
      <c r="B85">
        <v>10</v>
      </c>
      <c r="C85">
        <v>1961.789</v>
      </c>
      <c r="D85">
        <v>315.31</v>
      </c>
      <c r="E85">
        <v>318.33999999999997</v>
      </c>
      <c r="F85">
        <v>-1</v>
      </c>
      <c r="G85">
        <v>-9.99</v>
      </c>
      <c r="H85">
        <v>-0.99</v>
      </c>
    </row>
    <row r="86" spans="1:8">
      <c r="A86">
        <v>1961</v>
      </c>
      <c r="B86">
        <v>11</v>
      </c>
      <c r="C86">
        <v>1961.874</v>
      </c>
      <c r="D86">
        <v>316.10000000000002</v>
      </c>
      <c r="E86">
        <v>318</v>
      </c>
      <c r="F86">
        <v>-1</v>
      </c>
      <c r="G86">
        <v>-9.99</v>
      </c>
      <c r="H86">
        <v>-0.99</v>
      </c>
    </row>
    <row r="87" spans="1:8">
      <c r="A87">
        <v>1961</v>
      </c>
      <c r="B87">
        <v>12</v>
      </c>
      <c r="C87">
        <v>1961.9562000000001</v>
      </c>
      <c r="D87">
        <v>317.01</v>
      </c>
      <c r="E87">
        <v>317.77999999999997</v>
      </c>
      <c r="F87">
        <v>-1</v>
      </c>
      <c r="G87">
        <v>-9.99</v>
      </c>
      <c r="H87">
        <v>-0.99</v>
      </c>
    </row>
    <row r="88" spans="1:8">
      <c r="A88">
        <v>1962</v>
      </c>
      <c r="B88">
        <v>1</v>
      </c>
      <c r="C88">
        <v>1962.0410999999999</v>
      </c>
      <c r="D88">
        <v>317.94</v>
      </c>
      <c r="E88">
        <v>317.89</v>
      </c>
      <c r="F88">
        <v>-1</v>
      </c>
      <c r="G88">
        <v>-9.99</v>
      </c>
      <c r="H88">
        <v>-0.99</v>
      </c>
    </row>
    <row r="89" spans="1:8">
      <c r="A89">
        <v>1962</v>
      </c>
      <c r="B89">
        <v>2</v>
      </c>
      <c r="C89">
        <v>1962.126</v>
      </c>
      <c r="D89">
        <v>318.55</v>
      </c>
      <c r="E89">
        <v>317.89</v>
      </c>
      <c r="F89">
        <v>-1</v>
      </c>
      <c r="G89">
        <v>-9.99</v>
      </c>
      <c r="H89">
        <v>-0.99</v>
      </c>
    </row>
    <row r="90" spans="1:8">
      <c r="A90">
        <v>1962</v>
      </c>
      <c r="B90">
        <v>3</v>
      </c>
      <c r="C90">
        <v>1962.2027</v>
      </c>
      <c r="D90">
        <v>319.68</v>
      </c>
      <c r="E90">
        <v>318.39</v>
      </c>
      <c r="F90">
        <v>-1</v>
      </c>
      <c r="G90">
        <v>-9.99</v>
      </c>
      <c r="H90">
        <v>-0.99</v>
      </c>
    </row>
    <row r="91" spans="1:8">
      <c r="A91">
        <v>1962</v>
      </c>
      <c r="B91">
        <v>4</v>
      </c>
      <c r="C91">
        <v>1962.2877000000001</v>
      </c>
      <c r="D91">
        <v>320.57</v>
      </c>
      <c r="E91">
        <v>318.24</v>
      </c>
      <c r="F91">
        <v>-1</v>
      </c>
      <c r="G91">
        <v>-9.99</v>
      </c>
      <c r="H91">
        <v>-0.99</v>
      </c>
    </row>
    <row r="92" spans="1:8">
      <c r="A92">
        <v>1962</v>
      </c>
      <c r="B92">
        <v>5</v>
      </c>
      <c r="C92">
        <v>1962.3698999999999</v>
      </c>
      <c r="D92">
        <v>321.02</v>
      </c>
      <c r="E92">
        <v>318.16000000000003</v>
      </c>
      <c r="F92">
        <v>-1</v>
      </c>
      <c r="G92">
        <v>-9.99</v>
      </c>
      <c r="H92">
        <v>-0.99</v>
      </c>
    </row>
    <row r="93" spans="1:8">
      <c r="A93">
        <v>1962</v>
      </c>
      <c r="B93">
        <v>6</v>
      </c>
      <c r="C93">
        <v>1962.4548</v>
      </c>
      <c r="D93">
        <v>320.62</v>
      </c>
      <c r="E93">
        <v>318.45</v>
      </c>
      <c r="F93">
        <v>-1</v>
      </c>
      <c r="G93">
        <v>-9.99</v>
      </c>
      <c r="H93">
        <v>-0.99</v>
      </c>
    </row>
    <row r="94" spans="1:8">
      <c r="A94">
        <v>1962</v>
      </c>
      <c r="B94">
        <v>7</v>
      </c>
      <c r="C94">
        <v>1962.537</v>
      </c>
      <c r="D94">
        <v>319.61</v>
      </c>
      <c r="E94">
        <v>318.94</v>
      </c>
      <c r="F94">
        <v>-1</v>
      </c>
      <c r="G94">
        <v>-9.99</v>
      </c>
      <c r="H94">
        <v>-0.99</v>
      </c>
    </row>
    <row r="95" spans="1:8">
      <c r="A95">
        <v>1962</v>
      </c>
      <c r="B95">
        <v>8</v>
      </c>
      <c r="C95">
        <v>1962.6219000000001</v>
      </c>
      <c r="D95">
        <v>317.39999999999998</v>
      </c>
      <c r="E95">
        <v>318.70999999999998</v>
      </c>
      <c r="F95">
        <v>-1</v>
      </c>
      <c r="G95">
        <v>-9.99</v>
      </c>
      <c r="H95">
        <v>-0.99</v>
      </c>
    </row>
    <row r="96" spans="1:8">
      <c r="A96">
        <v>1962</v>
      </c>
      <c r="B96">
        <v>9</v>
      </c>
      <c r="C96">
        <v>1962.7067999999999</v>
      </c>
      <c r="D96">
        <v>316.24</v>
      </c>
      <c r="E96">
        <v>319.18</v>
      </c>
      <c r="F96">
        <v>-1</v>
      </c>
      <c r="G96">
        <v>-9.99</v>
      </c>
      <c r="H96">
        <v>-0.99</v>
      </c>
    </row>
    <row r="97" spans="1:8">
      <c r="A97">
        <v>1962</v>
      </c>
      <c r="B97">
        <v>10</v>
      </c>
      <c r="C97">
        <v>1962.789</v>
      </c>
      <c r="D97">
        <v>315.42</v>
      </c>
      <c r="E97">
        <v>318.45999999999998</v>
      </c>
      <c r="F97">
        <v>-1</v>
      </c>
      <c r="G97">
        <v>-9.99</v>
      </c>
      <c r="H97">
        <v>-0.99</v>
      </c>
    </row>
    <row r="98" spans="1:8">
      <c r="A98">
        <v>1962</v>
      </c>
      <c r="B98">
        <v>11</v>
      </c>
      <c r="C98">
        <v>1962.874</v>
      </c>
      <c r="D98">
        <v>316.69</v>
      </c>
      <c r="E98">
        <v>318.58999999999997</v>
      </c>
      <c r="F98">
        <v>-1</v>
      </c>
      <c r="G98">
        <v>-9.99</v>
      </c>
      <c r="H98">
        <v>-0.99</v>
      </c>
    </row>
    <row r="99" spans="1:8">
      <c r="A99">
        <v>1962</v>
      </c>
      <c r="B99">
        <v>12</v>
      </c>
      <c r="C99">
        <v>1962.9562000000001</v>
      </c>
      <c r="D99">
        <v>317.7</v>
      </c>
      <c r="E99">
        <v>318.47000000000003</v>
      </c>
      <c r="F99">
        <v>-1</v>
      </c>
      <c r="G99">
        <v>-9.99</v>
      </c>
      <c r="H99">
        <v>-0.99</v>
      </c>
    </row>
    <row r="100" spans="1:8">
      <c r="A100">
        <v>1963</v>
      </c>
      <c r="B100">
        <v>1</v>
      </c>
      <c r="C100">
        <v>1963.0410999999999</v>
      </c>
      <c r="D100">
        <v>318.74</v>
      </c>
      <c r="E100">
        <v>318.69</v>
      </c>
      <c r="F100">
        <v>-1</v>
      </c>
      <c r="G100">
        <v>-9.99</v>
      </c>
      <c r="H100">
        <v>-0.99</v>
      </c>
    </row>
    <row r="101" spans="1:8">
      <c r="A101">
        <v>1963</v>
      </c>
      <c r="B101">
        <v>2</v>
      </c>
      <c r="C101">
        <v>1963.126</v>
      </c>
      <c r="D101">
        <v>319.07</v>
      </c>
      <c r="E101">
        <v>318.41000000000003</v>
      </c>
      <c r="F101">
        <v>-1</v>
      </c>
      <c r="G101">
        <v>-9.99</v>
      </c>
      <c r="H101">
        <v>-0.99</v>
      </c>
    </row>
    <row r="102" spans="1:8">
      <c r="A102">
        <v>1963</v>
      </c>
      <c r="B102">
        <v>3</v>
      </c>
      <c r="C102">
        <v>1963.2027</v>
      </c>
      <c r="D102">
        <v>319.86</v>
      </c>
      <c r="E102">
        <v>318.57</v>
      </c>
      <c r="F102">
        <v>-1</v>
      </c>
      <c r="G102">
        <v>-9.99</v>
      </c>
      <c r="H102">
        <v>-0.99</v>
      </c>
    </row>
    <row r="103" spans="1:8">
      <c r="A103">
        <v>1963</v>
      </c>
      <c r="B103">
        <v>4</v>
      </c>
      <c r="C103">
        <v>1963.2877000000001</v>
      </c>
      <c r="D103">
        <v>321.38</v>
      </c>
      <c r="E103">
        <v>319.05</v>
      </c>
      <c r="F103">
        <v>-1</v>
      </c>
      <c r="G103">
        <v>-9.99</v>
      </c>
      <c r="H103">
        <v>-0.99</v>
      </c>
    </row>
    <row r="104" spans="1:8">
      <c r="A104">
        <v>1963</v>
      </c>
      <c r="B104">
        <v>5</v>
      </c>
      <c r="C104">
        <v>1963.3698999999999</v>
      </c>
      <c r="D104">
        <v>322.24</v>
      </c>
      <c r="E104">
        <v>319.38</v>
      </c>
      <c r="F104">
        <v>-1</v>
      </c>
      <c r="G104">
        <v>-9.99</v>
      </c>
      <c r="H104">
        <v>-0.99</v>
      </c>
    </row>
    <row r="105" spans="1:8">
      <c r="A105">
        <v>1963</v>
      </c>
      <c r="B105">
        <v>6</v>
      </c>
      <c r="C105">
        <v>1963.4548</v>
      </c>
      <c r="D105">
        <v>321.49</v>
      </c>
      <c r="E105">
        <v>319.31</v>
      </c>
      <c r="F105">
        <v>-1</v>
      </c>
      <c r="G105">
        <v>-9.99</v>
      </c>
      <c r="H105">
        <v>-0.99</v>
      </c>
    </row>
    <row r="106" spans="1:8">
      <c r="A106">
        <v>1963</v>
      </c>
      <c r="B106">
        <v>7</v>
      </c>
      <c r="C106">
        <v>1963.537</v>
      </c>
      <c r="D106">
        <v>319.74</v>
      </c>
      <c r="E106">
        <v>319.07</v>
      </c>
      <c r="F106">
        <v>-1</v>
      </c>
      <c r="G106">
        <v>-9.99</v>
      </c>
      <c r="H106">
        <v>-0.99</v>
      </c>
    </row>
    <row r="107" spans="1:8">
      <c r="A107">
        <v>1963</v>
      </c>
      <c r="B107">
        <v>8</v>
      </c>
      <c r="C107">
        <v>1963.6219000000001</v>
      </c>
      <c r="D107">
        <v>317.77</v>
      </c>
      <c r="E107">
        <v>319.07</v>
      </c>
      <c r="F107">
        <v>-1</v>
      </c>
      <c r="G107">
        <v>-9.99</v>
      </c>
      <c r="H107">
        <v>-0.99</v>
      </c>
    </row>
    <row r="108" spans="1:8">
      <c r="A108">
        <v>1963</v>
      </c>
      <c r="B108">
        <v>9</v>
      </c>
      <c r="C108">
        <v>1963.7067999999999</v>
      </c>
      <c r="D108">
        <v>316.20999999999998</v>
      </c>
      <c r="E108">
        <v>319.16000000000003</v>
      </c>
      <c r="F108">
        <v>-1</v>
      </c>
      <c r="G108">
        <v>-9.99</v>
      </c>
      <c r="H108">
        <v>-0.99</v>
      </c>
    </row>
    <row r="109" spans="1:8">
      <c r="A109">
        <v>1963</v>
      </c>
      <c r="B109">
        <v>10</v>
      </c>
      <c r="C109">
        <v>1963.789</v>
      </c>
      <c r="D109">
        <v>315.99</v>
      </c>
      <c r="E109">
        <v>319.02999999999997</v>
      </c>
      <c r="F109">
        <v>-1</v>
      </c>
      <c r="G109">
        <v>-9.99</v>
      </c>
      <c r="H109">
        <v>-0.99</v>
      </c>
    </row>
    <row r="110" spans="1:8">
      <c r="A110">
        <v>1963</v>
      </c>
      <c r="B110">
        <v>11</v>
      </c>
      <c r="C110">
        <v>1963.874</v>
      </c>
      <c r="D110">
        <v>317.07</v>
      </c>
      <c r="E110">
        <v>318.98</v>
      </c>
      <c r="F110">
        <v>-1</v>
      </c>
      <c r="G110">
        <v>-9.99</v>
      </c>
      <c r="H110">
        <v>-0.99</v>
      </c>
    </row>
    <row r="111" spans="1:8">
      <c r="A111">
        <v>1963</v>
      </c>
      <c r="B111">
        <v>12</v>
      </c>
      <c r="C111">
        <v>1963.9562000000001</v>
      </c>
      <c r="D111">
        <v>318.35000000000002</v>
      </c>
      <c r="E111">
        <v>319.13</v>
      </c>
      <c r="F111">
        <v>-1</v>
      </c>
      <c r="G111">
        <v>-9.99</v>
      </c>
      <c r="H111">
        <v>-0.99</v>
      </c>
    </row>
    <row r="112" spans="1:8">
      <c r="A112">
        <v>1964</v>
      </c>
      <c r="B112">
        <v>1</v>
      </c>
      <c r="C112">
        <v>1964.0409999999999</v>
      </c>
      <c r="D112">
        <v>319.57</v>
      </c>
      <c r="E112">
        <v>319.52</v>
      </c>
      <c r="F112">
        <v>-1</v>
      </c>
      <c r="G112">
        <v>-9.99</v>
      </c>
      <c r="H112">
        <v>-0.99</v>
      </c>
    </row>
    <row r="113" spans="1:8">
      <c r="A113">
        <v>1964</v>
      </c>
      <c r="B113">
        <v>2</v>
      </c>
      <c r="C113">
        <v>1964.1257000000001</v>
      </c>
      <c r="D113">
        <v>320.04000000000002</v>
      </c>
      <c r="E113">
        <v>319.37</v>
      </c>
      <c r="F113">
        <v>-1</v>
      </c>
      <c r="G113">
        <v>-9.99</v>
      </c>
      <c r="H113">
        <v>-0.99</v>
      </c>
    </row>
    <row r="114" spans="1:8">
      <c r="A114">
        <v>1964</v>
      </c>
      <c r="B114">
        <v>3</v>
      </c>
      <c r="C114">
        <v>1964.2049</v>
      </c>
      <c r="D114">
        <v>320.75</v>
      </c>
      <c r="E114">
        <v>319.41000000000003</v>
      </c>
      <c r="F114">
        <v>-1</v>
      </c>
      <c r="G114">
        <v>-9.99</v>
      </c>
      <c r="H114">
        <v>-0.99</v>
      </c>
    </row>
    <row r="115" spans="1:8">
      <c r="A115">
        <v>1964</v>
      </c>
      <c r="B115">
        <v>4</v>
      </c>
      <c r="C115">
        <v>1964.2896000000001</v>
      </c>
      <c r="D115">
        <v>321.83999999999997</v>
      </c>
      <c r="E115">
        <v>319.45999999999998</v>
      </c>
      <c r="F115">
        <v>-1</v>
      </c>
      <c r="G115">
        <v>-9.99</v>
      </c>
      <c r="H115">
        <v>-0.99</v>
      </c>
    </row>
    <row r="116" spans="1:8">
      <c r="A116">
        <v>1964</v>
      </c>
      <c r="B116">
        <v>5</v>
      </c>
      <c r="C116">
        <v>1964.3715999999999</v>
      </c>
      <c r="D116">
        <v>322.25</v>
      </c>
      <c r="E116">
        <v>319.37</v>
      </c>
      <c r="F116">
        <v>-1</v>
      </c>
      <c r="G116">
        <v>-9.99</v>
      </c>
      <c r="H116">
        <v>-0.99</v>
      </c>
    </row>
    <row r="117" spans="1:8">
      <c r="A117">
        <v>1964</v>
      </c>
      <c r="B117">
        <v>6</v>
      </c>
      <c r="C117">
        <v>1964.4563000000001</v>
      </c>
      <c r="D117">
        <v>321.89</v>
      </c>
      <c r="E117">
        <v>319.73</v>
      </c>
      <c r="F117">
        <v>-1</v>
      </c>
      <c r="G117">
        <v>-9.99</v>
      </c>
      <c r="H117">
        <v>-0.99</v>
      </c>
    </row>
    <row r="118" spans="1:8">
      <c r="A118">
        <v>1964</v>
      </c>
      <c r="B118">
        <v>7</v>
      </c>
      <c r="C118">
        <v>1964.5382999999999</v>
      </c>
      <c r="D118">
        <v>320.44</v>
      </c>
      <c r="E118">
        <v>319.79000000000002</v>
      </c>
      <c r="F118">
        <v>-1</v>
      </c>
      <c r="G118">
        <v>-9.99</v>
      </c>
      <c r="H118">
        <v>-0.99</v>
      </c>
    </row>
    <row r="119" spans="1:8">
      <c r="A119">
        <v>1964</v>
      </c>
      <c r="B119">
        <v>8</v>
      </c>
      <c r="C119">
        <v>1964.623</v>
      </c>
      <c r="D119">
        <v>318.69</v>
      </c>
      <c r="E119">
        <v>320.02999999999997</v>
      </c>
      <c r="F119">
        <v>-1</v>
      </c>
      <c r="G119">
        <v>-9.99</v>
      </c>
      <c r="H119">
        <v>-0.99</v>
      </c>
    </row>
    <row r="120" spans="1:8">
      <c r="A120">
        <v>1964</v>
      </c>
      <c r="B120">
        <v>9</v>
      </c>
      <c r="C120">
        <v>1964.7076999999999</v>
      </c>
      <c r="D120">
        <v>316.70999999999998</v>
      </c>
      <c r="E120">
        <v>319.67</v>
      </c>
      <c r="F120">
        <v>-1</v>
      </c>
      <c r="G120">
        <v>-9.99</v>
      </c>
      <c r="H120">
        <v>-0.99</v>
      </c>
    </row>
    <row r="121" spans="1:8">
      <c r="A121">
        <v>1964</v>
      </c>
      <c r="B121">
        <v>10</v>
      </c>
      <c r="C121">
        <v>1964.7896000000001</v>
      </c>
      <c r="D121">
        <v>316.87</v>
      </c>
      <c r="E121">
        <v>319.93</v>
      </c>
      <c r="F121">
        <v>-1</v>
      </c>
      <c r="G121">
        <v>-9.99</v>
      </c>
      <c r="H121">
        <v>-0.99</v>
      </c>
    </row>
    <row r="122" spans="1:8">
      <c r="A122">
        <v>1964</v>
      </c>
      <c r="B122">
        <v>11</v>
      </c>
      <c r="C122">
        <v>1964.8742999999999</v>
      </c>
      <c r="D122">
        <v>317.68</v>
      </c>
      <c r="E122">
        <v>319.58999999999997</v>
      </c>
      <c r="F122">
        <v>-1</v>
      </c>
      <c r="G122">
        <v>-9.99</v>
      </c>
      <c r="H122">
        <v>-0.99</v>
      </c>
    </row>
    <row r="123" spans="1:8">
      <c r="A123">
        <v>1964</v>
      </c>
      <c r="B123">
        <v>12</v>
      </c>
      <c r="C123">
        <v>1964.9563000000001</v>
      </c>
      <c r="D123">
        <v>318.70999999999998</v>
      </c>
      <c r="E123">
        <v>319.49</v>
      </c>
      <c r="F123">
        <v>-1</v>
      </c>
      <c r="G123">
        <v>-9.99</v>
      </c>
      <c r="H123">
        <v>-0.99</v>
      </c>
    </row>
    <row r="124" spans="1:8">
      <c r="A124">
        <v>1965</v>
      </c>
      <c r="B124">
        <v>1</v>
      </c>
      <c r="C124">
        <v>1965.0410999999999</v>
      </c>
      <c r="D124">
        <v>319.44</v>
      </c>
      <c r="E124">
        <v>319.38</v>
      </c>
      <c r="F124">
        <v>-1</v>
      </c>
      <c r="G124">
        <v>-9.99</v>
      </c>
      <c r="H124">
        <v>-0.99</v>
      </c>
    </row>
    <row r="125" spans="1:8">
      <c r="A125">
        <v>1965</v>
      </c>
      <c r="B125">
        <v>2</v>
      </c>
      <c r="C125">
        <v>1965.126</v>
      </c>
      <c r="D125">
        <v>320.44</v>
      </c>
      <c r="E125">
        <v>319.79000000000002</v>
      </c>
      <c r="F125">
        <v>-1</v>
      </c>
      <c r="G125">
        <v>-9.99</v>
      </c>
      <c r="H125">
        <v>-0.99</v>
      </c>
    </row>
    <row r="126" spans="1:8">
      <c r="A126">
        <v>1965</v>
      </c>
      <c r="B126">
        <v>3</v>
      </c>
      <c r="C126">
        <v>1965.2027</v>
      </c>
      <c r="D126">
        <v>320.89</v>
      </c>
      <c r="E126">
        <v>319.58999999999997</v>
      </c>
      <c r="F126">
        <v>-1</v>
      </c>
      <c r="G126">
        <v>-9.99</v>
      </c>
      <c r="H126">
        <v>-0.99</v>
      </c>
    </row>
    <row r="127" spans="1:8">
      <c r="A127">
        <v>1965</v>
      </c>
      <c r="B127">
        <v>4</v>
      </c>
      <c r="C127">
        <v>1965.2877000000001</v>
      </c>
      <c r="D127">
        <v>322.14</v>
      </c>
      <c r="E127">
        <v>319.79000000000002</v>
      </c>
      <c r="F127">
        <v>-1</v>
      </c>
      <c r="G127">
        <v>-9.99</v>
      </c>
      <c r="H127">
        <v>-0.99</v>
      </c>
    </row>
    <row r="128" spans="1:8">
      <c r="A128">
        <v>1965</v>
      </c>
      <c r="B128">
        <v>5</v>
      </c>
      <c r="C128">
        <v>1965.3698999999999</v>
      </c>
      <c r="D128">
        <v>322.17</v>
      </c>
      <c r="E128">
        <v>319.27999999999997</v>
      </c>
      <c r="F128">
        <v>-1</v>
      </c>
      <c r="G128">
        <v>-9.99</v>
      </c>
      <c r="H128">
        <v>-0.99</v>
      </c>
    </row>
    <row r="129" spans="1:8">
      <c r="A129">
        <v>1965</v>
      </c>
      <c r="B129">
        <v>6</v>
      </c>
      <c r="C129">
        <v>1965.4548</v>
      </c>
      <c r="D129">
        <v>321.87</v>
      </c>
      <c r="E129">
        <v>319.68</v>
      </c>
      <c r="F129">
        <v>-1</v>
      </c>
      <c r="G129">
        <v>-9.99</v>
      </c>
      <c r="H129">
        <v>-0.99</v>
      </c>
    </row>
    <row r="130" spans="1:8">
      <c r="A130">
        <v>1965</v>
      </c>
      <c r="B130">
        <v>7</v>
      </c>
      <c r="C130">
        <v>1965.537</v>
      </c>
      <c r="D130">
        <v>321.20999999999998</v>
      </c>
      <c r="E130">
        <v>320.52999999999997</v>
      </c>
      <c r="F130">
        <v>-1</v>
      </c>
      <c r="G130">
        <v>-9.99</v>
      </c>
      <c r="H130">
        <v>-0.99</v>
      </c>
    </row>
    <row r="131" spans="1:8">
      <c r="A131">
        <v>1965</v>
      </c>
      <c r="B131">
        <v>8</v>
      </c>
      <c r="C131">
        <v>1965.6219000000001</v>
      </c>
      <c r="D131">
        <v>318.87</v>
      </c>
      <c r="E131">
        <v>320.18</v>
      </c>
      <c r="F131">
        <v>-1</v>
      </c>
      <c r="G131">
        <v>-9.99</v>
      </c>
      <c r="H131">
        <v>-0.99</v>
      </c>
    </row>
    <row r="132" spans="1:8">
      <c r="A132">
        <v>1965</v>
      </c>
      <c r="B132">
        <v>9</v>
      </c>
      <c r="C132">
        <v>1965.7067999999999</v>
      </c>
      <c r="D132">
        <v>317.82</v>
      </c>
      <c r="E132">
        <v>320.77999999999997</v>
      </c>
      <c r="F132">
        <v>-1</v>
      </c>
      <c r="G132">
        <v>-9.99</v>
      </c>
      <c r="H132">
        <v>-0.99</v>
      </c>
    </row>
    <row r="133" spans="1:8">
      <c r="A133">
        <v>1965</v>
      </c>
      <c r="B133">
        <v>10</v>
      </c>
      <c r="C133">
        <v>1965.789</v>
      </c>
      <c r="D133">
        <v>317.3</v>
      </c>
      <c r="E133">
        <v>320.37</v>
      </c>
      <c r="F133">
        <v>-1</v>
      </c>
      <c r="G133">
        <v>-9.99</v>
      </c>
      <c r="H133">
        <v>-0.99</v>
      </c>
    </row>
    <row r="134" spans="1:8">
      <c r="A134">
        <v>1965</v>
      </c>
      <c r="B134">
        <v>11</v>
      </c>
      <c r="C134">
        <v>1965.874</v>
      </c>
      <c r="D134">
        <v>318.87</v>
      </c>
      <c r="E134">
        <v>320.79000000000002</v>
      </c>
      <c r="F134">
        <v>-1</v>
      </c>
      <c r="G134">
        <v>-9.99</v>
      </c>
      <c r="H134">
        <v>-0.99</v>
      </c>
    </row>
    <row r="135" spans="1:8">
      <c r="A135">
        <v>1965</v>
      </c>
      <c r="B135">
        <v>12</v>
      </c>
      <c r="C135">
        <v>1965.9562000000001</v>
      </c>
      <c r="D135">
        <v>319.42</v>
      </c>
      <c r="E135">
        <v>320.2</v>
      </c>
      <c r="F135">
        <v>-1</v>
      </c>
      <c r="G135">
        <v>-9.99</v>
      </c>
      <c r="H135">
        <v>-0.99</v>
      </c>
    </row>
    <row r="136" spans="1:8">
      <c r="A136">
        <v>1966</v>
      </c>
      <c r="B136">
        <v>1</v>
      </c>
      <c r="C136">
        <v>1966.0410999999999</v>
      </c>
      <c r="D136">
        <v>320.62</v>
      </c>
      <c r="E136">
        <v>320.57</v>
      </c>
      <c r="F136">
        <v>-1</v>
      </c>
      <c r="G136">
        <v>-9.99</v>
      </c>
      <c r="H136">
        <v>-0.99</v>
      </c>
    </row>
    <row r="137" spans="1:8">
      <c r="A137">
        <v>1966</v>
      </c>
      <c r="B137">
        <v>2</v>
      </c>
      <c r="C137">
        <v>1966.126</v>
      </c>
      <c r="D137">
        <v>321.60000000000002</v>
      </c>
      <c r="E137">
        <v>320.94</v>
      </c>
      <c r="F137">
        <v>-1</v>
      </c>
      <c r="G137">
        <v>-9.99</v>
      </c>
      <c r="H137">
        <v>-0.99</v>
      </c>
    </row>
    <row r="138" spans="1:8">
      <c r="A138">
        <v>1966</v>
      </c>
      <c r="B138">
        <v>3</v>
      </c>
      <c r="C138">
        <v>1966.2027</v>
      </c>
      <c r="D138">
        <v>322.39</v>
      </c>
      <c r="E138">
        <v>321.08</v>
      </c>
      <c r="F138">
        <v>-1</v>
      </c>
      <c r="G138">
        <v>-9.99</v>
      </c>
      <c r="H138">
        <v>-0.99</v>
      </c>
    </row>
    <row r="139" spans="1:8">
      <c r="A139">
        <v>1966</v>
      </c>
      <c r="B139">
        <v>4</v>
      </c>
      <c r="C139">
        <v>1966.2877000000001</v>
      </c>
      <c r="D139">
        <v>323.7</v>
      </c>
      <c r="E139">
        <v>321.33999999999997</v>
      </c>
      <c r="F139">
        <v>-1</v>
      </c>
      <c r="G139">
        <v>-9.99</v>
      </c>
      <c r="H139">
        <v>-0.99</v>
      </c>
    </row>
    <row r="140" spans="1:8">
      <c r="A140">
        <v>1966</v>
      </c>
      <c r="B140">
        <v>5</v>
      </c>
      <c r="C140">
        <v>1966.3698999999999</v>
      </c>
      <c r="D140">
        <v>324.08</v>
      </c>
      <c r="E140">
        <v>321.18</v>
      </c>
      <c r="F140">
        <v>-1</v>
      </c>
      <c r="G140">
        <v>-9.99</v>
      </c>
      <c r="H140">
        <v>-0.99</v>
      </c>
    </row>
    <row r="141" spans="1:8">
      <c r="A141">
        <v>1966</v>
      </c>
      <c r="B141">
        <v>6</v>
      </c>
      <c r="C141">
        <v>1966.4548</v>
      </c>
      <c r="D141">
        <v>323.75</v>
      </c>
      <c r="E141">
        <v>321.55</v>
      </c>
      <c r="F141">
        <v>-1</v>
      </c>
      <c r="G141">
        <v>-9.99</v>
      </c>
      <c r="H141">
        <v>-0.99</v>
      </c>
    </row>
    <row r="142" spans="1:8">
      <c r="A142">
        <v>1966</v>
      </c>
      <c r="B142">
        <v>7</v>
      </c>
      <c r="C142">
        <v>1966.537</v>
      </c>
      <c r="D142">
        <v>322.37</v>
      </c>
      <c r="E142">
        <v>321.69</v>
      </c>
      <c r="F142">
        <v>-1</v>
      </c>
      <c r="G142">
        <v>-9.99</v>
      </c>
      <c r="H142">
        <v>-0.99</v>
      </c>
    </row>
    <row r="143" spans="1:8">
      <c r="A143">
        <v>1966</v>
      </c>
      <c r="B143">
        <v>8</v>
      </c>
      <c r="C143">
        <v>1966.6219000000001</v>
      </c>
      <c r="D143">
        <v>320.36</v>
      </c>
      <c r="E143">
        <v>321.68</v>
      </c>
      <c r="F143">
        <v>-1</v>
      </c>
      <c r="G143">
        <v>-9.99</v>
      </c>
      <c r="H143">
        <v>-0.99</v>
      </c>
    </row>
    <row r="144" spans="1:8">
      <c r="A144">
        <v>1966</v>
      </c>
      <c r="B144">
        <v>9</v>
      </c>
      <c r="C144">
        <v>1966.7067999999999</v>
      </c>
      <c r="D144">
        <v>318.64</v>
      </c>
      <c r="E144">
        <v>321.61</v>
      </c>
      <c r="F144">
        <v>-1</v>
      </c>
      <c r="G144">
        <v>-9.99</v>
      </c>
      <c r="H144">
        <v>-0.99</v>
      </c>
    </row>
    <row r="145" spans="1:8">
      <c r="A145">
        <v>1966</v>
      </c>
      <c r="B145">
        <v>10</v>
      </c>
      <c r="C145">
        <v>1966.789</v>
      </c>
      <c r="D145">
        <v>318.10000000000002</v>
      </c>
      <c r="E145">
        <v>321.18</v>
      </c>
      <c r="F145">
        <v>-1</v>
      </c>
      <c r="G145">
        <v>-9.99</v>
      </c>
      <c r="H145">
        <v>-0.99</v>
      </c>
    </row>
    <row r="146" spans="1:8">
      <c r="A146">
        <v>1966</v>
      </c>
      <c r="B146">
        <v>11</v>
      </c>
      <c r="C146">
        <v>1966.874</v>
      </c>
      <c r="D146">
        <v>319.77999999999997</v>
      </c>
      <c r="E146">
        <v>321.70999999999998</v>
      </c>
      <c r="F146">
        <v>-1</v>
      </c>
      <c r="G146">
        <v>-9.99</v>
      </c>
      <c r="H146">
        <v>-0.99</v>
      </c>
    </row>
    <row r="147" spans="1:8">
      <c r="A147">
        <v>1966</v>
      </c>
      <c r="B147">
        <v>12</v>
      </c>
      <c r="C147">
        <v>1966.9562000000001</v>
      </c>
      <c r="D147">
        <v>321.02</v>
      </c>
      <c r="E147">
        <v>321.81</v>
      </c>
      <c r="F147">
        <v>-1</v>
      </c>
      <c r="G147">
        <v>-9.99</v>
      </c>
      <c r="H147">
        <v>-0.99</v>
      </c>
    </row>
    <row r="148" spans="1:8">
      <c r="A148">
        <v>1967</v>
      </c>
      <c r="B148">
        <v>1</v>
      </c>
      <c r="C148">
        <v>1967.0410999999999</v>
      </c>
      <c r="D148">
        <v>322.33</v>
      </c>
      <c r="E148">
        <v>322.27999999999997</v>
      </c>
      <c r="F148">
        <v>-1</v>
      </c>
      <c r="G148">
        <v>-9.99</v>
      </c>
      <c r="H148">
        <v>-0.99</v>
      </c>
    </row>
    <row r="149" spans="1:8">
      <c r="A149">
        <v>1967</v>
      </c>
      <c r="B149">
        <v>2</v>
      </c>
      <c r="C149">
        <v>1967.126</v>
      </c>
      <c r="D149">
        <v>322.5</v>
      </c>
      <c r="E149">
        <v>321.83</v>
      </c>
      <c r="F149">
        <v>-1</v>
      </c>
      <c r="G149">
        <v>-9.99</v>
      </c>
      <c r="H149">
        <v>-0.99</v>
      </c>
    </row>
    <row r="150" spans="1:8">
      <c r="A150">
        <v>1967</v>
      </c>
      <c r="B150">
        <v>3</v>
      </c>
      <c r="C150">
        <v>1967.2027</v>
      </c>
      <c r="D150">
        <v>323.02999999999997</v>
      </c>
      <c r="E150">
        <v>321.72000000000003</v>
      </c>
      <c r="F150">
        <v>-1</v>
      </c>
      <c r="G150">
        <v>-9.99</v>
      </c>
      <c r="H150">
        <v>-0.99</v>
      </c>
    </row>
    <row r="151" spans="1:8">
      <c r="A151">
        <v>1967</v>
      </c>
      <c r="B151">
        <v>4</v>
      </c>
      <c r="C151">
        <v>1967.2877000000001</v>
      </c>
      <c r="D151">
        <v>324.41000000000003</v>
      </c>
      <c r="E151">
        <v>322.05</v>
      </c>
      <c r="F151">
        <v>-1</v>
      </c>
      <c r="G151">
        <v>-9.99</v>
      </c>
      <c r="H151">
        <v>-0.99</v>
      </c>
    </row>
    <row r="152" spans="1:8">
      <c r="A152">
        <v>1967</v>
      </c>
      <c r="B152">
        <v>5</v>
      </c>
      <c r="C152">
        <v>1967.3698999999999</v>
      </c>
      <c r="D152">
        <v>325</v>
      </c>
      <c r="E152">
        <v>322.08999999999997</v>
      </c>
      <c r="F152">
        <v>-1</v>
      </c>
      <c r="G152">
        <v>-9.99</v>
      </c>
      <c r="H152">
        <v>-0.99</v>
      </c>
    </row>
    <row r="153" spans="1:8">
      <c r="A153">
        <v>1967</v>
      </c>
      <c r="B153">
        <v>6</v>
      </c>
      <c r="C153">
        <v>1967.4548</v>
      </c>
      <c r="D153">
        <v>324.08999999999997</v>
      </c>
      <c r="E153">
        <v>321.89</v>
      </c>
      <c r="F153">
        <v>-1</v>
      </c>
      <c r="G153">
        <v>-9.99</v>
      </c>
      <c r="H153">
        <v>-0.99</v>
      </c>
    </row>
    <row r="154" spans="1:8">
      <c r="A154">
        <v>1967</v>
      </c>
      <c r="B154">
        <v>7</v>
      </c>
      <c r="C154">
        <v>1967.537</v>
      </c>
      <c r="D154">
        <v>322.54000000000002</v>
      </c>
      <c r="E154">
        <v>321.86</v>
      </c>
      <c r="F154">
        <v>-1</v>
      </c>
      <c r="G154">
        <v>-9.99</v>
      </c>
      <c r="H154">
        <v>-0.99</v>
      </c>
    </row>
    <row r="155" spans="1:8">
      <c r="A155">
        <v>1967</v>
      </c>
      <c r="B155">
        <v>8</v>
      </c>
      <c r="C155">
        <v>1967.6219000000001</v>
      </c>
      <c r="D155">
        <v>320.92</v>
      </c>
      <c r="E155">
        <v>322.24</v>
      </c>
      <c r="F155">
        <v>-1</v>
      </c>
      <c r="G155">
        <v>-9.99</v>
      </c>
      <c r="H155">
        <v>-0.99</v>
      </c>
    </row>
    <row r="156" spans="1:8">
      <c r="A156">
        <v>1967</v>
      </c>
      <c r="B156">
        <v>9</v>
      </c>
      <c r="C156">
        <v>1967.7067999999999</v>
      </c>
      <c r="D156">
        <v>319.25</v>
      </c>
      <c r="E156">
        <v>322.24</v>
      </c>
      <c r="F156">
        <v>-1</v>
      </c>
      <c r="G156">
        <v>-9.99</v>
      </c>
      <c r="H156">
        <v>-0.99</v>
      </c>
    </row>
    <row r="157" spans="1:8">
      <c r="A157">
        <v>1967</v>
      </c>
      <c r="B157">
        <v>10</v>
      </c>
      <c r="C157">
        <v>1967.789</v>
      </c>
      <c r="D157">
        <v>319.39</v>
      </c>
      <c r="E157">
        <v>322.48</v>
      </c>
      <c r="F157">
        <v>-1</v>
      </c>
      <c r="G157">
        <v>-9.99</v>
      </c>
      <c r="H157">
        <v>-0.99</v>
      </c>
    </row>
    <row r="158" spans="1:8">
      <c r="A158">
        <v>1967</v>
      </c>
      <c r="B158">
        <v>11</v>
      </c>
      <c r="C158">
        <v>1967.874</v>
      </c>
      <c r="D158">
        <v>320.73</v>
      </c>
      <c r="E158">
        <v>322.66000000000003</v>
      </c>
      <c r="F158">
        <v>-1</v>
      </c>
      <c r="G158">
        <v>-9.99</v>
      </c>
      <c r="H158">
        <v>-0.99</v>
      </c>
    </row>
    <row r="159" spans="1:8">
      <c r="A159">
        <v>1967</v>
      </c>
      <c r="B159">
        <v>12</v>
      </c>
      <c r="C159">
        <v>1967.9562000000001</v>
      </c>
      <c r="D159">
        <v>321.95999999999998</v>
      </c>
      <c r="E159">
        <v>322.74</v>
      </c>
      <c r="F159">
        <v>-1</v>
      </c>
      <c r="G159">
        <v>-9.99</v>
      </c>
      <c r="H159">
        <v>-0.99</v>
      </c>
    </row>
    <row r="160" spans="1:8">
      <c r="A160">
        <v>1968</v>
      </c>
      <c r="B160">
        <v>1</v>
      </c>
      <c r="C160">
        <v>1968.0409999999999</v>
      </c>
      <c r="D160">
        <v>322.57</v>
      </c>
      <c r="E160">
        <v>322.51</v>
      </c>
      <c r="F160">
        <v>-1</v>
      </c>
      <c r="G160">
        <v>-9.99</v>
      </c>
      <c r="H160">
        <v>-0.99</v>
      </c>
    </row>
    <row r="161" spans="1:8">
      <c r="A161">
        <v>1968</v>
      </c>
      <c r="B161">
        <v>2</v>
      </c>
      <c r="C161">
        <v>1968.1257000000001</v>
      </c>
      <c r="D161">
        <v>323.14999999999998</v>
      </c>
      <c r="E161">
        <v>322.48</v>
      </c>
      <c r="F161">
        <v>-1</v>
      </c>
      <c r="G161">
        <v>-9.99</v>
      </c>
      <c r="H161">
        <v>-0.99</v>
      </c>
    </row>
    <row r="162" spans="1:8">
      <c r="A162">
        <v>1968</v>
      </c>
      <c r="B162">
        <v>3</v>
      </c>
      <c r="C162">
        <v>1968.2049</v>
      </c>
      <c r="D162">
        <v>323.89</v>
      </c>
      <c r="E162">
        <v>322.55</v>
      </c>
      <c r="F162">
        <v>-1</v>
      </c>
      <c r="G162">
        <v>-9.99</v>
      </c>
      <c r="H162">
        <v>-0.99</v>
      </c>
    </row>
    <row r="163" spans="1:8">
      <c r="A163">
        <v>1968</v>
      </c>
      <c r="B163">
        <v>4</v>
      </c>
      <c r="C163">
        <v>1968.2896000000001</v>
      </c>
      <c r="D163">
        <v>325.02</v>
      </c>
      <c r="E163">
        <v>322.63</v>
      </c>
      <c r="F163">
        <v>-1</v>
      </c>
      <c r="G163">
        <v>-9.99</v>
      </c>
      <c r="H163">
        <v>-0.99</v>
      </c>
    </row>
    <row r="164" spans="1:8">
      <c r="A164">
        <v>1968</v>
      </c>
      <c r="B164">
        <v>5</v>
      </c>
      <c r="C164">
        <v>1968.3715999999999</v>
      </c>
      <c r="D164">
        <v>325.57</v>
      </c>
      <c r="E164">
        <v>322.66000000000003</v>
      </c>
      <c r="F164">
        <v>-1</v>
      </c>
      <c r="G164">
        <v>-9.99</v>
      </c>
      <c r="H164">
        <v>-0.99</v>
      </c>
    </row>
    <row r="165" spans="1:8">
      <c r="A165">
        <v>1968</v>
      </c>
      <c r="B165">
        <v>6</v>
      </c>
      <c r="C165">
        <v>1968.4563000000001</v>
      </c>
      <c r="D165">
        <v>325.36</v>
      </c>
      <c r="E165">
        <v>323.17</v>
      </c>
      <c r="F165">
        <v>-1</v>
      </c>
      <c r="G165">
        <v>-9.99</v>
      </c>
      <c r="H165">
        <v>-0.99</v>
      </c>
    </row>
    <row r="166" spans="1:8">
      <c r="A166">
        <v>1968</v>
      </c>
      <c r="B166">
        <v>7</v>
      </c>
      <c r="C166">
        <v>1968.5382999999999</v>
      </c>
      <c r="D166">
        <v>324.14</v>
      </c>
      <c r="E166">
        <v>323.48</v>
      </c>
      <c r="F166">
        <v>-1</v>
      </c>
      <c r="G166">
        <v>-9.99</v>
      </c>
      <c r="H166">
        <v>-0.99</v>
      </c>
    </row>
    <row r="167" spans="1:8">
      <c r="A167">
        <v>1968</v>
      </c>
      <c r="B167">
        <v>8</v>
      </c>
      <c r="C167">
        <v>1968.623</v>
      </c>
      <c r="D167">
        <v>322.11</v>
      </c>
      <c r="E167">
        <v>323.45999999999998</v>
      </c>
      <c r="F167">
        <v>-1</v>
      </c>
      <c r="G167">
        <v>-9.99</v>
      </c>
      <c r="H167">
        <v>-0.99</v>
      </c>
    </row>
    <row r="168" spans="1:8">
      <c r="A168">
        <v>1968</v>
      </c>
      <c r="B168">
        <v>9</v>
      </c>
      <c r="C168">
        <v>1968.7076999999999</v>
      </c>
      <c r="D168">
        <v>320.33</v>
      </c>
      <c r="E168">
        <v>323.33</v>
      </c>
      <c r="F168">
        <v>-1</v>
      </c>
      <c r="G168">
        <v>-9.99</v>
      </c>
      <c r="H168">
        <v>-0.99</v>
      </c>
    </row>
    <row r="169" spans="1:8">
      <c r="A169">
        <v>1968</v>
      </c>
      <c r="B169">
        <v>10</v>
      </c>
      <c r="C169">
        <v>1968.7896000000001</v>
      </c>
      <c r="D169">
        <v>320.25</v>
      </c>
      <c r="E169">
        <v>323.33999999999997</v>
      </c>
      <c r="F169">
        <v>-1</v>
      </c>
      <c r="G169">
        <v>-9.99</v>
      </c>
      <c r="H169">
        <v>-0.99</v>
      </c>
    </row>
    <row r="170" spans="1:8">
      <c r="A170">
        <v>1968</v>
      </c>
      <c r="B170">
        <v>11</v>
      </c>
      <c r="C170">
        <v>1968.8742999999999</v>
      </c>
      <c r="D170">
        <v>321.32</v>
      </c>
      <c r="E170">
        <v>323.26</v>
      </c>
      <c r="F170">
        <v>-1</v>
      </c>
      <c r="G170">
        <v>-9.99</v>
      </c>
      <c r="H170">
        <v>-0.99</v>
      </c>
    </row>
    <row r="171" spans="1:8">
      <c r="A171">
        <v>1968</v>
      </c>
      <c r="B171">
        <v>12</v>
      </c>
      <c r="C171">
        <v>1968.9563000000001</v>
      </c>
      <c r="D171">
        <v>322.89</v>
      </c>
      <c r="E171">
        <v>323.68</v>
      </c>
      <c r="F171">
        <v>-1</v>
      </c>
      <c r="G171">
        <v>-9.99</v>
      </c>
      <c r="H171">
        <v>-0.99</v>
      </c>
    </row>
    <row r="172" spans="1:8">
      <c r="A172">
        <v>1969</v>
      </c>
      <c r="B172">
        <v>1</v>
      </c>
      <c r="C172">
        <v>1969.0410999999999</v>
      </c>
      <c r="D172">
        <v>324</v>
      </c>
      <c r="E172">
        <v>323.95</v>
      </c>
      <c r="F172">
        <v>-1</v>
      </c>
      <c r="G172">
        <v>-9.99</v>
      </c>
      <c r="H172">
        <v>-0.99</v>
      </c>
    </row>
    <row r="173" spans="1:8">
      <c r="A173">
        <v>1969</v>
      </c>
      <c r="B173">
        <v>2</v>
      </c>
      <c r="C173">
        <v>1969.126</v>
      </c>
      <c r="D173">
        <v>324.41000000000003</v>
      </c>
      <c r="E173">
        <v>323.75</v>
      </c>
      <c r="F173">
        <v>-1</v>
      </c>
      <c r="G173">
        <v>-9.99</v>
      </c>
      <c r="H173">
        <v>-0.99</v>
      </c>
    </row>
    <row r="174" spans="1:8">
      <c r="A174">
        <v>1969</v>
      </c>
      <c r="B174">
        <v>3</v>
      </c>
      <c r="C174">
        <v>1969.2027</v>
      </c>
      <c r="D174">
        <v>325.63</v>
      </c>
      <c r="E174">
        <v>324.31</v>
      </c>
      <c r="F174">
        <v>-1</v>
      </c>
      <c r="G174">
        <v>-9.99</v>
      </c>
      <c r="H174">
        <v>-0.99</v>
      </c>
    </row>
    <row r="175" spans="1:8">
      <c r="A175">
        <v>1969</v>
      </c>
      <c r="B175">
        <v>4</v>
      </c>
      <c r="C175">
        <v>1969.2877000000001</v>
      </c>
      <c r="D175">
        <v>326.66000000000003</v>
      </c>
      <c r="E175">
        <v>324.27999999999997</v>
      </c>
      <c r="F175">
        <v>-1</v>
      </c>
      <c r="G175">
        <v>-9.99</v>
      </c>
      <c r="H175">
        <v>-0.99</v>
      </c>
    </row>
    <row r="176" spans="1:8">
      <c r="A176">
        <v>1969</v>
      </c>
      <c r="B176">
        <v>5</v>
      </c>
      <c r="C176">
        <v>1969.3698999999999</v>
      </c>
      <c r="D176">
        <v>327.38</v>
      </c>
      <c r="E176">
        <v>324.45999999999998</v>
      </c>
      <c r="F176">
        <v>-1</v>
      </c>
      <c r="G176">
        <v>-9.99</v>
      </c>
      <c r="H176">
        <v>-0.99</v>
      </c>
    </row>
    <row r="177" spans="1:8">
      <c r="A177">
        <v>1969</v>
      </c>
      <c r="B177">
        <v>6</v>
      </c>
      <c r="C177">
        <v>1969.4548</v>
      </c>
      <c r="D177">
        <v>326.70999999999998</v>
      </c>
      <c r="E177">
        <v>324.49</v>
      </c>
      <c r="F177">
        <v>-1</v>
      </c>
      <c r="G177">
        <v>-9.99</v>
      </c>
      <c r="H177">
        <v>-0.99</v>
      </c>
    </row>
    <row r="178" spans="1:8">
      <c r="A178">
        <v>1969</v>
      </c>
      <c r="B178">
        <v>7</v>
      </c>
      <c r="C178">
        <v>1969.537</v>
      </c>
      <c r="D178">
        <v>325.88</v>
      </c>
      <c r="E178">
        <v>325.19</v>
      </c>
      <c r="F178">
        <v>-1</v>
      </c>
      <c r="G178">
        <v>-9.99</v>
      </c>
      <c r="H178">
        <v>-0.99</v>
      </c>
    </row>
    <row r="179" spans="1:8">
      <c r="A179">
        <v>1969</v>
      </c>
      <c r="B179">
        <v>8</v>
      </c>
      <c r="C179">
        <v>1969.6219000000001</v>
      </c>
      <c r="D179">
        <v>323.66000000000003</v>
      </c>
      <c r="E179">
        <v>324.99</v>
      </c>
      <c r="F179">
        <v>-1</v>
      </c>
      <c r="G179">
        <v>-9.99</v>
      </c>
      <c r="H179">
        <v>-0.99</v>
      </c>
    </row>
    <row r="180" spans="1:8">
      <c r="A180">
        <v>1969</v>
      </c>
      <c r="B180">
        <v>9</v>
      </c>
      <c r="C180">
        <v>1969.7067999999999</v>
      </c>
      <c r="D180">
        <v>322.38</v>
      </c>
      <c r="E180">
        <v>325.38</v>
      </c>
      <c r="F180">
        <v>-1</v>
      </c>
      <c r="G180">
        <v>-9.99</v>
      </c>
      <c r="H180">
        <v>-0.99</v>
      </c>
    </row>
    <row r="181" spans="1:8">
      <c r="A181">
        <v>1969</v>
      </c>
      <c r="B181">
        <v>10</v>
      </c>
      <c r="C181">
        <v>1969.789</v>
      </c>
      <c r="D181">
        <v>321.77999999999997</v>
      </c>
      <c r="E181">
        <v>324.89</v>
      </c>
      <c r="F181">
        <v>-1</v>
      </c>
      <c r="G181">
        <v>-9.99</v>
      </c>
      <c r="H181">
        <v>-0.99</v>
      </c>
    </row>
    <row r="182" spans="1:8">
      <c r="A182">
        <v>1969</v>
      </c>
      <c r="B182">
        <v>11</v>
      </c>
      <c r="C182">
        <v>1969.874</v>
      </c>
      <c r="D182">
        <v>322.85000000000002</v>
      </c>
      <c r="E182">
        <v>324.8</v>
      </c>
      <c r="F182">
        <v>-1</v>
      </c>
      <c r="G182">
        <v>-9.99</v>
      </c>
      <c r="H182">
        <v>-0.99</v>
      </c>
    </row>
    <row r="183" spans="1:8">
      <c r="A183">
        <v>1969</v>
      </c>
      <c r="B183">
        <v>12</v>
      </c>
      <c r="C183">
        <v>1969.9562000000001</v>
      </c>
      <c r="D183">
        <v>324.11</v>
      </c>
      <c r="E183">
        <v>324.91000000000003</v>
      </c>
      <c r="F183">
        <v>-1</v>
      </c>
      <c r="G183">
        <v>-9.99</v>
      </c>
      <c r="H183">
        <v>-0.99</v>
      </c>
    </row>
    <row r="184" spans="1:8">
      <c r="A184">
        <v>1970</v>
      </c>
      <c r="B184">
        <v>1</v>
      </c>
      <c r="C184">
        <v>1970.0410999999999</v>
      </c>
      <c r="D184">
        <v>325.06</v>
      </c>
      <c r="E184">
        <v>325.01</v>
      </c>
      <c r="F184">
        <v>-1</v>
      </c>
      <c r="G184">
        <v>-9.99</v>
      </c>
      <c r="H184">
        <v>-0.99</v>
      </c>
    </row>
    <row r="185" spans="1:8">
      <c r="A185">
        <v>1970</v>
      </c>
      <c r="B185">
        <v>2</v>
      </c>
      <c r="C185">
        <v>1970.126</v>
      </c>
      <c r="D185">
        <v>325.99</v>
      </c>
      <c r="E185">
        <v>325.31</v>
      </c>
      <c r="F185">
        <v>-1</v>
      </c>
      <c r="G185">
        <v>-9.99</v>
      </c>
      <c r="H185">
        <v>-0.99</v>
      </c>
    </row>
    <row r="186" spans="1:8">
      <c r="A186">
        <v>1970</v>
      </c>
      <c r="B186">
        <v>3</v>
      </c>
      <c r="C186">
        <v>1970.2027</v>
      </c>
      <c r="D186">
        <v>326.93</v>
      </c>
      <c r="E186">
        <v>325.61</v>
      </c>
      <c r="F186">
        <v>-1</v>
      </c>
      <c r="G186">
        <v>-9.99</v>
      </c>
      <c r="H186">
        <v>-0.99</v>
      </c>
    </row>
    <row r="187" spans="1:8">
      <c r="A187">
        <v>1970</v>
      </c>
      <c r="B187">
        <v>4</v>
      </c>
      <c r="C187">
        <v>1970.2877000000001</v>
      </c>
      <c r="D187">
        <v>328.13</v>
      </c>
      <c r="E187">
        <v>325.75</v>
      </c>
      <c r="F187">
        <v>-1</v>
      </c>
      <c r="G187">
        <v>-9.99</v>
      </c>
      <c r="H187">
        <v>-0.99</v>
      </c>
    </row>
    <row r="188" spans="1:8">
      <c r="A188">
        <v>1970</v>
      </c>
      <c r="B188">
        <v>5</v>
      </c>
      <c r="C188">
        <v>1970.3698999999999</v>
      </c>
      <c r="D188">
        <v>328.08</v>
      </c>
      <c r="E188">
        <v>325.14999999999998</v>
      </c>
      <c r="F188">
        <v>-1</v>
      </c>
      <c r="G188">
        <v>-9.99</v>
      </c>
      <c r="H188">
        <v>-0.99</v>
      </c>
    </row>
    <row r="189" spans="1:8">
      <c r="A189">
        <v>1970</v>
      </c>
      <c r="B189">
        <v>6</v>
      </c>
      <c r="C189">
        <v>1970.4548</v>
      </c>
      <c r="D189">
        <v>327.67</v>
      </c>
      <c r="E189">
        <v>325.44</v>
      </c>
      <c r="F189">
        <v>-1</v>
      </c>
      <c r="G189">
        <v>-9.99</v>
      </c>
      <c r="H189">
        <v>-0.99</v>
      </c>
    </row>
    <row r="190" spans="1:8">
      <c r="A190">
        <v>1970</v>
      </c>
      <c r="B190">
        <v>7</v>
      </c>
      <c r="C190">
        <v>1970.537</v>
      </c>
      <c r="D190">
        <v>326.33999999999997</v>
      </c>
      <c r="E190">
        <v>325.64999999999998</v>
      </c>
      <c r="F190">
        <v>-1</v>
      </c>
      <c r="G190">
        <v>-9.99</v>
      </c>
      <c r="H190">
        <v>-0.99</v>
      </c>
    </row>
    <row r="191" spans="1:8">
      <c r="A191">
        <v>1970</v>
      </c>
      <c r="B191">
        <v>8</v>
      </c>
      <c r="C191">
        <v>1970.6219000000001</v>
      </c>
      <c r="D191">
        <v>324.68</v>
      </c>
      <c r="E191">
        <v>326.02</v>
      </c>
      <c r="F191">
        <v>-1</v>
      </c>
      <c r="G191">
        <v>-9.99</v>
      </c>
      <c r="H191">
        <v>-0.99</v>
      </c>
    </row>
    <row r="192" spans="1:8">
      <c r="A192">
        <v>1970</v>
      </c>
      <c r="B192">
        <v>9</v>
      </c>
      <c r="C192">
        <v>1970.7067999999999</v>
      </c>
      <c r="D192">
        <v>323.10000000000002</v>
      </c>
      <c r="E192">
        <v>326.11</v>
      </c>
      <c r="F192">
        <v>-1</v>
      </c>
      <c r="G192">
        <v>-9.99</v>
      </c>
      <c r="H192">
        <v>-0.99</v>
      </c>
    </row>
    <row r="193" spans="1:8">
      <c r="A193">
        <v>1970</v>
      </c>
      <c r="B193">
        <v>10</v>
      </c>
      <c r="C193">
        <v>1970.789</v>
      </c>
      <c r="D193">
        <v>323.06</v>
      </c>
      <c r="E193">
        <v>326.18</v>
      </c>
      <c r="F193">
        <v>-1</v>
      </c>
      <c r="G193">
        <v>-9.99</v>
      </c>
      <c r="H193">
        <v>-0.99</v>
      </c>
    </row>
    <row r="194" spans="1:8">
      <c r="A194">
        <v>1970</v>
      </c>
      <c r="B194">
        <v>11</v>
      </c>
      <c r="C194">
        <v>1970.874</v>
      </c>
      <c r="D194">
        <v>324.01</v>
      </c>
      <c r="E194">
        <v>325.95999999999998</v>
      </c>
      <c r="F194">
        <v>-1</v>
      </c>
      <c r="G194">
        <v>-9.99</v>
      </c>
      <c r="H194">
        <v>-0.99</v>
      </c>
    </row>
    <row r="195" spans="1:8">
      <c r="A195">
        <v>1970</v>
      </c>
      <c r="B195">
        <v>12</v>
      </c>
      <c r="C195">
        <v>1970.9562000000001</v>
      </c>
      <c r="D195">
        <v>325.13</v>
      </c>
      <c r="E195">
        <v>325.93</v>
      </c>
      <c r="F195">
        <v>-1</v>
      </c>
      <c r="G195">
        <v>-9.99</v>
      </c>
      <c r="H195">
        <v>-0.99</v>
      </c>
    </row>
    <row r="196" spans="1:8">
      <c r="A196">
        <v>1971</v>
      </c>
      <c r="B196">
        <v>1</v>
      </c>
      <c r="C196">
        <v>1971.0410999999999</v>
      </c>
      <c r="D196">
        <v>326.17</v>
      </c>
      <c r="E196">
        <v>326.12</v>
      </c>
      <c r="F196">
        <v>-1</v>
      </c>
      <c r="G196">
        <v>-9.99</v>
      </c>
      <c r="H196">
        <v>-0.99</v>
      </c>
    </row>
    <row r="197" spans="1:8">
      <c r="A197">
        <v>1971</v>
      </c>
      <c r="B197">
        <v>2</v>
      </c>
      <c r="C197">
        <v>1971.126</v>
      </c>
      <c r="D197">
        <v>326.69</v>
      </c>
      <c r="E197">
        <v>326.01</v>
      </c>
      <c r="F197">
        <v>-1</v>
      </c>
      <c r="G197">
        <v>-9.99</v>
      </c>
      <c r="H197">
        <v>-0.99</v>
      </c>
    </row>
    <row r="198" spans="1:8">
      <c r="A198">
        <v>1971</v>
      </c>
      <c r="B198">
        <v>3</v>
      </c>
      <c r="C198">
        <v>1971.2027</v>
      </c>
      <c r="D198">
        <v>327.18</v>
      </c>
      <c r="E198">
        <v>325.85000000000002</v>
      </c>
      <c r="F198">
        <v>-1</v>
      </c>
      <c r="G198">
        <v>-9.99</v>
      </c>
      <c r="H198">
        <v>-0.99</v>
      </c>
    </row>
    <row r="199" spans="1:8">
      <c r="A199">
        <v>1971</v>
      </c>
      <c r="B199">
        <v>4</v>
      </c>
      <c r="C199">
        <v>1971.2877000000001</v>
      </c>
      <c r="D199">
        <v>327.78</v>
      </c>
      <c r="E199">
        <v>325.39</v>
      </c>
      <c r="F199">
        <v>-1</v>
      </c>
      <c r="G199">
        <v>-9.99</v>
      </c>
      <c r="H199">
        <v>-0.99</v>
      </c>
    </row>
    <row r="200" spans="1:8">
      <c r="A200">
        <v>1971</v>
      </c>
      <c r="B200">
        <v>5</v>
      </c>
      <c r="C200">
        <v>1971.3698999999999</v>
      </c>
      <c r="D200">
        <v>328.93</v>
      </c>
      <c r="E200">
        <v>325.99</v>
      </c>
      <c r="F200">
        <v>-1</v>
      </c>
      <c r="G200">
        <v>-9.99</v>
      </c>
      <c r="H200">
        <v>-0.99</v>
      </c>
    </row>
    <row r="201" spans="1:8">
      <c r="A201">
        <v>1971</v>
      </c>
      <c r="B201">
        <v>6</v>
      </c>
      <c r="C201">
        <v>1971.4548</v>
      </c>
      <c r="D201">
        <v>328.57</v>
      </c>
      <c r="E201">
        <v>326.33999999999997</v>
      </c>
      <c r="F201">
        <v>-1</v>
      </c>
      <c r="G201">
        <v>-9.99</v>
      </c>
      <c r="H201">
        <v>-0.99</v>
      </c>
    </row>
    <row r="202" spans="1:8">
      <c r="A202">
        <v>1971</v>
      </c>
      <c r="B202">
        <v>7</v>
      </c>
      <c r="C202">
        <v>1971.537</v>
      </c>
      <c r="D202">
        <v>327.36</v>
      </c>
      <c r="E202">
        <v>326.67</v>
      </c>
      <c r="F202">
        <v>-1</v>
      </c>
      <c r="G202">
        <v>-9.99</v>
      </c>
      <c r="H202">
        <v>-0.99</v>
      </c>
    </row>
    <row r="203" spans="1:8">
      <c r="A203">
        <v>1971</v>
      </c>
      <c r="B203">
        <v>8</v>
      </c>
      <c r="C203">
        <v>1971.6219000000001</v>
      </c>
      <c r="D203">
        <v>325.43</v>
      </c>
      <c r="E203">
        <v>326.77</v>
      </c>
      <c r="F203">
        <v>-1</v>
      </c>
      <c r="G203">
        <v>-9.99</v>
      </c>
      <c r="H203">
        <v>-0.99</v>
      </c>
    </row>
    <row r="204" spans="1:8">
      <c r="A204">
        <v>1971</v>
      </c>
      <c r="B204">
        <v>9</v>
      </c>
      <c r="C204">
        <v>1971.7067999999999</v>
      </c>
      <c r="D204">
        <v>323.36</v>
      </c>
      <c r="E204">
        <v>326.38</v>
      </c>
      <c r="F204">
        <v>-1</v>
      </c>
      <c r="G204">
        <v>-9.99</v>
      </c>
      <c r="H204">
        <v>-0.99</v>
      </c>
    </row>
    <row r="205" spans="1:8">
      <c r="A205">
        <v>1971</v>
      </c>
      <c r="B205">
        <v>10</v>
      </c>
      <c r="C205">
        <v>1971.789</v>
      </c>
      <c r="D205">
        <v>323.56</v>
      </c>
      <c r="E205">
        <v>326.69</v>
      </c>
      <c r="F205">
        <v>-1</v>
      </c>
      <c r="G205">
        <v>-9.99</v>
      </c>
      <c r="H205">
        <v>-0.99</v>
      </c>
    </row>
    <row r="206" spans="1:8">
      <c r="A206">
        <v>1971</v>
      </c>
      <c r="B206">
        <v>11</v>
      </c>
      <c r="C206">
        <v>1971.874</v>
      </c>
      <c r="D206">
        <v>324.8</v>
      </c>
      <c r="E206">
        <v>326.75</v>
      </c>
      <c r="F206">
        <v>-1</v>
      </c>
      <c r="G206">
        <v>-9.99</v>
      </c>
      <c r="H206">
        <v>-0.99</v>
      </c>
    </row>
    <row r="207" spans="1:8">
      <c r="A207">
        <v>1971</v>
      </c>
      <c r="B207">
        <v>12</v>
      </c>
      <c r="C207">
        <v>1971.9562000000001</v>
      </c>
      <c r="D207">
        <v>326.01</v>
      </c>
      <c r="E207">
        <v>326.81</v>
      </c>
      <c r="F207">
        <v>-1</v>
      </c>
      <c r="G207">
        <v>-9.99</v>
      </c>
      <c r="H207">
        <v>-0.99</v>
      </c>
    </row>
    <row r="208" spans="1:8">
      <c r="A208">
        <v>1972</v>
      </c>
      <c r="B208">
        <v>1</v>
      </c>
      <c r="C208">
        <v>1972.0409999999999</v>
      </c>
      <c r="D208">
        <v>326.77</v>
      </c>
      <c r="E208">
        <v>326.70999999999998</v>
      </c>
      <c r="F208">
        <v>-1</v>
      </c>
      <c r="G208">
        <v>-9.99</v>
      </c>
      <c r="H208">
        <v>-0.99</v>
      </c>
    </row>
    <row r="209" spans="1:8">
      <c r="A209">
        <v>1972</v>
      </c>
      <c r="B209">
        <v>2</v>
      </c>
      <c r="C209">
        <v>1972.1257000000001</v>
      </c>
      <c r="D209">
        <v>327.63</v>
      </c>
      <c r="E209">
        <v>326.95999999999998</v>
      </c>
      <c r="F209">
        <v>-1</v>
      </c>
      <c r="G209">
        <v>-9.99</v>
      </c>
      <c r="H209">
        <v>-0.99</v>
      </c>
    </row>
    <row r="210" spans="1:8">
      <c r="A210">
        <v>1972</v>
      </c>
      <c r="B210">
        <v>3</v>
      </c>
      <c r="C210">
        <v>1972.2049</v>
      </c>
      <c r="D210">
        <v>327.75</v>
      </c>
      <c r="E210">
        <v>326.39</v>
      </c>
      <c r="F210">
        <v>-1</v>
      </c>
      <c r="G210">
        <v>-9.99</v>
      </c>
      <c r="H210">
        <v>-0.99</v>
      </c>
    </row>
    <row r="211" spans="1:8">
      <c r="A211">
        <v>1972</v>
      </c>
      <c r="B211">
        <v>4</v>
      </c>
      <c r="C211">
        <v>1972.2896000000001</v>
      </c>
      <c r="D211">
        <v>329.72</v>
      </c>
      <c r="E211">
        <v>327.3</v>
      </c>
      <c r="F211">
        <v>-1</v>
      </c>
      <c r="G211">
        <v>-9.99</v>
      </c>
      <c r="H211">
        <v>-0.99</v>
      </c>
    </row>
    <row r="212" spans="1:8">
      <c r="A212">
        <v>1972</v>
      </c>
      <c r="B212">
        <v>5</v>
      </c>
      <c r="C212">
        <v>1972.3715999999999</v>
      </c>
      <c r="D212">
        <v>330.07</v>
      </c>
      <c r="E212">
        <v>327.12</v>
      </c>
      <c r="F212">
        <v>-1</v>
      </c>
      <c r="G212">
        <v>-9.99</v>
      </c>
      <c r="H212">
        <v>-0.99</v>
      </c>
    </row>
    <row r="213" spans="1:8">
      <c r="A213">
        <v>1972</v>
      </c>
      <c r="B213">
        <v>6</v>
      </c>
      <c r="C213">
        <v>1972.4563000000001</v>
      </c>
      <c r="D213">
        <v>329.09</v>
      </c>
      <c r="E213">
        <v>326.87</v>
      </c>
      <c r="F213">
        <v>-1</v>
      </c>
      <c r="G213">
        <v>-9.99</v>
      </c>
      <c r="H213">
        <v>-0.99</v>
      </c>
    </row>
    <row r="214" spans="1:8">
      <c r="A214">
        <v>1972</v>
      </c>
      <c r="B214">
        <v>7</v>
      </c>
      <c r="C214">
        <v>1972.5382999999999</v>
      </c>
      <c r="D214">
        <v>328.04</v>
      </c>
      <c r="E214">
        <v>327.38</v>
      </c>
      <c r="F214">
        <v>-1</v>
      </c>
      <c r="G214">
        <v>-9.99</v>
      </c>
      <c r="H214">
        <v>-0.99</v>
      </c>
    </row>
    <row r="215" spans="1:8">
      <c r="A215">
        <v>1972</v>
      </c>
      <c r="B215">
        <v>8</v>
      </c>
      <c r="C215">
        <v>1972.623</v>
      </c>
      <c r="D215">
        <v>326.32</v>
      </c>
      <c r="E215">
        <v>327.69</v>
      </c>
      <c r="F215">
        <v>-1</v>
      </c>
      <c r="G215">
        <v>-9.99</v>
      </c>
      <c r="H215">
        <v>-0.99</v>
      </c>
    </row>
    <row r="216" spans="1:8">
      <c r="A216">
        <v>1972</v>
      </c>
      <c r="B216">
        <v>9</v>
      </c>
      <c r="C216">
        <v>1972.7076999999999</v>
      </c>
      <c r="D216">
        <v>324.83999999999997</v>
      </c>
      <c r="E216">
        <v>327.88</v>
      </c>
      <c r="F216">
        <v>-1</v>
      </c>
      <c r="G216">
        <v>-9.99</v>
      </c>
      <c r="H216">
        <v>-0.99</v>
      </c>
    </row>
    <row r="217" spans="1:8">
      <c r="A217">
        <v>1972</v>
      </c>
      <c r="B217">
        <v>10</v>
      </c>
      <c r="C217">
        <v>1972.7896000000001</v>
      </c>
      <c r="D217">
        <v>325.2</v>
      </c>
      <c r="E217">
        <v>328.33</v>
      </c>
      <c r="F217">
        <v>-1</v>
      </c>
      <c r="G217">
        <v>-9.99</v>
      </c>
      <c r="H217">
        <v>-0.99</v>
      </c>
    </row>
    <row r="218" spans="1:8">
      <c r="A218">
        <v>1972</v>
      </c>
      <c r="B218">
        <v>11</v>
      </c>
      <c r="C218">
        <v>1972.8742999999999</v>
      </c>
      <c r="D218">
        <v>326.5</v>
      </c>
      <c r="E218">
        <v>328.46</v>
      </c>
      <c r="F218">
        <v>-1</v>
      </c>
      <c r="G218">
        <v>-9.99</v>
      </c>
      <c r="H218">
        <v>-0.99</v>
      </c>
    </row>
    <row r="219" spans="1:8">
      <c r="A219">
        <v>1972</v>
      </c>
      <c r="B219">
        <v>12</v>
      </c>
      <c r="C219">
        <v>1972.9563000000001</v>
      </c>
      <c r="D219">
        <v>327.55</v>
      </c>
      <c r="E219">
        <v>328.35</v>
      </c>
      <c r="F219">
        <v>-1</v>
      </c>
      <c r="G219">
        <v>-9.99</v>
      </c>
      <c r="H219">
        <v>-0.99</v>
      </c>
    </row>
    <row r="220" spans="1:8">
      <c r="A220">
        <v>1973</v>
      </c>
      <c r="B220">
        <v>1</v>
      </c>
      <c r="C220">
        <v>1973.0410999999999</v>
      </c>
      <c r="D220">
        <v>328.55</v>
      </c>
      <c r="E220">
        <v>328.49</v>
      </c>
      <c r="F220">
        <v>-1</v>
      </c>
      <c r="G220">
        <v>-9.99</v>
      </c>
      <c r="H220">
        <v>-0.99</v>
      </c>
    </row>
    <row r="221" spans="1:8">
      <c r="A221">
        <v>1973</v>
      </c>
      <c r="B221">
        <v>2</v>
      </c>
      <c r="C221">
        <v>1973.126</v>
      </c>
      <c r="D221">
        <v>329.57</v>
      </c>
      <c r="E221">
        <v>328.89</v>
      </c>
      <c r="F221">
        <v>-1</v>
      </c>
      <c r="G221">
        <v>-9.99</v>
      </c>
      <c r="H221">
        <v>-0.99</v>
      </c>
    </row>
    <row r="222" spans="1:8">
      <c r="A222">
        <v>1973</v>
      </c>
      <c r="B222">
        <v>3</v>
      </c>
      <c r="C222">
        <v>1973.2027</v>
      </c>
      <c r="D222">
        <v>330.3</v>
      </c>
      <c r="E222">
        <v>328.97</v>
      </c>
      <c r="F222">
        <v>-1</v>
      </c>
      <c r="G222">
        <v>-9.99</v>
      </c>
      <c r="H222">
        <v>-0.99</v>
      </c>
    </row>
    <row r="223" spans="1:8">
      <c r="A223">
        <v>1973</v>
      </c>
      <c r="B223">
        <v>4</v>
      </c>
      <c r="C223">
        <v>1973.2877000000001</v>
      </c>
      <c r="D223">
        <v>331.5</v>
      </c>
      <c r="E223">
        <v>329.1</v>
      </c>
      <c r="F223">
        <v>-1</v>
      </c>
      <c r="G223">
        <v>-9.99</v>
      </c>
      <c r="H223">
        <v>-0.99</v>
      </c>
    </row>
    <row r="224" spans="1:8">
      <c r="A224">
        <v>1973</v>
      </c>
      <c r="B224">
        <v>5</v>
      </c>
      <c r="C224">
        <v>1973.3698999999999</v>
      </c>
      <c r="D224">
        <v>332.48</v>
      </c>
      <c r="E224">
        <v>329.52</v>
      </c>
      <c r="F224">
        <v>-1</v>
      </c>
      <c r="G224">
        <v>-9.99</v>
      </c>
      <c r="H224">
        <v>-0.99</v>
      </c>
    </row>
    <row r="225" spans="1:8">
      <c r="A225">
        <v>1973</v>
      </c>
      <c r="B225">
        <v>6</v>
      </c>
      <c r="C225">
        <v>1973.4548</v>
      </c>
      <c r="D225">
        <v>332.07</v>
      </c>
      <c r="E225">
        <v>329.83</v>
      </c>
      <c r="F225">
        <v>-1</v>
      </c>
      <c r="G225">
        <v>-9.99</v>
      </c>
      <c r="H225">
        <v>-0.99</v>
      </c>
    </row>
    <row r="226" spans="1:8">
      <c r="A226">
        <v>1973</v>
      </c>
      <c r="B226">
        <v>7</v>
      </c>
      <c r="C226">
        <v>1973.537</v>
      </c>
      <c r="D226">
        <v>330.87</v>
      </c>
      <c r="E226">
        <v>330.18</v>
      </c>
      <c r="F226">
        <v>-1</v>
      </c>
      <c r="G226">
        <v>-9.99</v>
      </c>
      <c r="H226">
        <v>-0.99</v>
      </c>
    </row>
    <row r="227" spans="1:8">
      <c r="A227">
        <v>1973</v>
      </c>
      <c r="B227">
        <v>8</v>
      </c>
      <c r="C227">
        <v>1973.6219000000001</v>
      </c>
      <c r="D227">
        <v>329.31</v>
      </c>
      <c r="E227">
        <v>330.66</v>
      </c>
      <c r="F227">
        <v>-1</v>
      </c>
      <c r="G227">
        <v>-9.99</v>
      </c>
      <c r="H227">
        <v>-0.99</v>
      </c>
    </row>
    <row r="228" spans="1:8">
      <c r="A228">
        <v>1973</v>
      </c>
      <c r="B228">
        <v>9</v>
      </c>
      <c r="C228">
        <v>1973.7067999999999</v>
      </c>
      <c r="D228">
        <v>327.52</v>
      </c>
      <c r="E228">
        <v>330.56</v>
      </c>
      <c r="F228">
        <v>-1</v>
      </c>
      <c r="G228">
        <v>-9.99</v>
      </c>
      <c r="H228">
        <v>-0.99</v>
      </c>
    </row>
    <row r="229" spans="1:8">
      <c r="A229">
        <v>1973</v>
      </c>
      <c r="B229">
        <v>10</v>
      </c>
      <c r="C229">
        <v>1973.789</v>
      </c>
      <c r="D229">
        <v>327.19</v>
      </c>
      <c r="E229">
        <v>330.33</v>
      </c>
      <c r="F229">
        <v>-1</v>
      </c>
      <c r="G229">
        <v>-9.99</v>
      </c>
      <c r="H229">
        <v>-0.99</v>
      </c>
    </row>
    <row r="230" spans="1:8">
      <c r="A230">
        <v>1973</v>
      </c>
      <c r="B230">
        <v>11</v>
      </c>
      <c r="C230">
        <v>1973.874</v>
      </c>
      <c r="D230">
        <v>328.17</v>
      </c>
      <c r="E230">
        <v>330.13</v>
      </c>
      <c r="F230">
        <v>-1</v>
      </c>
      <c r="G230">
        <v>-9.99</v>
      </c>
      <c r="H230">
        <v>-0.99</v>
      </c>
    </row>
    <row r="231" spans="1:8">
      <c r="A231">
        <v>1973</v>
      </c>
      <c r="B231">
        <v>12</v>
      </c>
      <c r="C231">
        <v>1973.9562000000001</v>
      </c>
      <c r="D231">
        <v>328.65</v>
      </c>
      <c r="E231">
        <v>329.45</v>
      </c>
      <c r="F231">
        <v>-1</v>
      </c>
      <c r="G231">
        <v>-9.99</v>
      </c>
      <c r="H231">
        <v>-0.99</v>
      </c>
    </row>
    <row r="232" spans="1:8">
      <c r="A232">
        <v>1974</v>
      </c>
      <c r="B232">
        <v>1</v>
      </c>
      <c r="C232">
        <v>1974.0410999999999</v>
      </c>
      <c r="D232">
        <v>329.36</v>
      </c>
      <c r="E232">
        <v>329.3</v>
      </c>
      <c r="F232">
        <v>-1</v>
      </c>
      <c r="G232">
        <v>-9.99</v>
      </c>
      <c r="H232">
        <v>-0.99</v>
      </c>
    </row>
    <row r="233" spans="1:8">
      <c r="A233">
        <v>1974</v>
      </c>
      <c r="B233">
        <v>2</v>
      </c>
      <c r="C233">
        <v>1974.126</v>
      </c>
      <c r="D233">
        <v>330.71</v>
      </c>
      <c r="E233">
        <v>330.03</v>
      </c>
      <c r="F233">
        <v>-1</v>
      </c>
      <c r="G233">
        <v>-9.99</v>
      </c>
      <c r="H233">
        <v>-0.99</v>
      </c>
    </row>
    <row r="234" spans="1:8">
      <c r="A234">
        <v>1974</v>
      </c>
      <c r="B234">
        <v>3</v>
      </c>
      <c r="C234">
        <v>1974.2027</v>
      </c>
      <c r="D234">
        <v>331.49</v>
      </c>
      <c r="E234">
        <v>330.15</v>
      </c>
      <c r="F234">
        <v>-1</v>
      </c>
      <c r="G234">
        <v>-9.99</v>
      </c>
      <c r="H234">
        <v>-0.99</v>
      </c>
    </row>
    <row r="235" spans="1:8">
      <c r="A235">
        <v>1974</v>
      </c>
      <c r="B235">
        <v>4</v>
      </c>
      <c r="C235">
        <v>1974.2877000000001</v>
      </c>
      <c r="D235">
        <v>332.65</v>
      </c>
      <c r="E235">
        <v>330.24</v>
      </c>
      <c r="F235">
        <v>-1</v>
      </c>
      <c r="G235">
        <v>-9.99</v>
      </c>
      <c r="H235">
        <v>-0.99</v>
      </c>
    </row>
    <row r="236" spans="1:8">
      <c r="A236">
        <v>1974</v>
      </c>
      <c r="B236">
        <v>5</v>
      </c>
      <c r="C236">
        <v>1974.375</v>
      </c>
      <c r="D236">
        <v>333.19</v>
      </c>
      <c r="E236">
        <v>330.22</v>
      </c>
      <c r="F236">
        <v>13</v>
      </c>
      <c r="G236">
        <v>0.31</v>
      </c>
      <c r="H236">
        <v>0.16</v>
      </c>
    </row>
    <row r="237" spans="1:8">
      <c r="A237">
        <v>1974</v>
      </c>
      <c r="B237">
        <v>6</v>
      </c>
      <c r="C237">
        <v>1974.4583</v>
      </c>
      <c r="D237">
        <v>332.2</v>
      </c>
      <c r="E237">
        <v>329.79</v>
      </c>
      <c r="F237">
        <v>25</v>
      </c>
      <c r="G237">
        <v>0.37</v>
      </c>
      <c r="H237">
        <v>0.14000000000000001</v>
      </c>
    </row>
    <row r="238" spans="1:8">
      <c r="A238">
        <v>1974</v>
      </c>
      <c r="B238">
        <v>7</v>
      </c>
      <c r="C238">
        <v>1974.5417</v>
      </c>
      <c r="D238">
        <v>331.07</v>
      </c>
      <c r="E238">
        <v>330.21</v>
      </c>
      <c r="F238">
        <v>24</v>
      </c>
      <c r="G238">
        <v>0.24</v>
      </c>
      <c r="H238">
        <v>0.09</v>
      </c>
    </row>
    <row r="239" spans="1:8">
      <c r="A239">
        <v>1974</v>
      </c>
      <c r="B239">
        <v>8</v>
      </c>
      <c r="C239">
        <v>1974.625</v>
      </c>
      <c r="D239">
        <v>329.15</v>
      </c>
      <c r="E239">
        <v>330.54</v>
      </c>
      <c r="F239">
        <v>26</v>
      </c>
      <c r="G239">
        <v>0.31</v>
      </c>
      <c r="H239">
        <v>0.12</v>
      </c>
    </row>
    <row r="240" spans="1:8">
      <c r="A240">
        <v>1974</v>
      </c>
      <c r="B240">
        <v>9</v>
      </c>
      <c r="C240">
        <v>1974.7083</v>
      </c>
      <c r="D240">
        <v>327.33</v>
      </c>
      <c r="E240">
        <v>330.44</v>
      </c>
      <c r="F240">
        <v>22</v>
      </c>
      <c r="G240">
        <v>0.47</v>
      </c>
      <c r="H240">
        <v>0.19</v>
      </c>
    </row>
    <row r="241" spans="1:8">
      <c r="A241">
        <v>1974</v>
      </c>
      <c r="B241">
        <v>10</v>
      </c>
      <c r="C241">
        <v>1974.7917</v>
      </c>
      <c r="D241">
        <v>327.27999999999997</v>
      </c>
      <c r="E241">
        <v>330.53</v>
      </c>
      <c r="F241">
        <v>24</v>
      </c>
      <c r="G241">
        <v>0.22</v>
      </c>
      <c r="H241">
        <v>0.09</v>
      </c>
    </row>
    <row r="242" spans="1:8">
      <c r="A242">
        <v>1974</v>
      </c>
      <c r="B242">
        <v>11</v>
      </c>
      <c r="C242">
        <v>1974.875</v>
      </c>
      <c r="D242">
        <v>328.31</v>
      </c>
      <c r="E242">
        <v>330.5</v>
      </c>
      <c r="F242">
        <v>26</v>
      </c>
      <c r="G242">
        <v>0.43</v>
      </c>
      <c r="H242">
        <v>0.16</v>
      </c>
    </row>
    <row r="243" spans="1:8">
      <c r="A243">
        <v>1974</v>
      </c>
      <c r="B243">
        <v>12</v>
      </c>
      <c r="C243">
        <v>1974.9583</v>
      </c>
      <c r="D243">
        <v>329.58</v>
      </c>
      <c r="E243">
        <v>330.55</v>
      </c>
      <c r="F243">
        <v>29</v>
      </c>
      <c r="G243">
        <v>0.28999999999999998</v>
      </c>
      <c r="H243">
        <v>0.1</v>
      </c>
    </row>
    <row r="244" spans="1:8">
      <c r="A244">
        <v>1975</v>
      </c>
      <c r="B244">
        <v>1</v>
      </c>
      <c r="C244">
        <v>1975.0417</v>
      </c>
      <c r="D244">
        <v>330.73</v>
      </c>
      <c r="E244">
        <v>330.84</v>
      </c>
      <c r="F244">
        <v>29</v>
      </c>
      <c r="G244">
        <v>0.43</v>
      </c>
      <c r="H244">
        <v>0.15</v>
      </c>
    </row>
    <row r="245" spans="1:8">
      <c r="A245">
        <v>1975</v>
      </c>
      <c r="B245">
        <v>2</v>
      </c>
      <c r="C245">
        <v>1975.125</v>
      </c>
      <c r="D245">
        <v>331.46</v>
      </c>
      <c r="E245">
        <v>330.85</v>
      </c>
      <c r="F245">
        <v>26</v>
      </c>
      <c r="G245">
        <v>0.46</v>
      </c>
      <c r="H245">
        <v>0.17</v>
      </c>
    </row>
    <row r="246" spans="1:8">
      <c r="A246">
        <v>1975</v>
      </c>
      <c r="B246">
        <v>3</v>
      </c>
      <c r="C246">
        <v>1975.2083</v>
      </c>
      <c r="D246">
        <v>331.94</v>
      </c>
      <c r="E246">
        <v>330.37</v>
      </c>
      <c r="F246">
        <v>17</v>
      </c>
      <c r="G246">
        <v>0.33</v>
      </c>
      <c r="H246">
        <v>0.15</v>
      </c>
    </row>
    <row r="247" spans="1:8">
      <c r="A247">
        <v>1975</v>
      </c>
      <c r="B247">
        <v>4</v>
      </c>
      <c r="C247">
        <v>1975.2917</v>
      </c>
      <c r="D247">
        <v>333.11</v>
      </c>
      <c r="E247">
        <v>330.53</v>
      </c>
      <c r="F247">
        <v>23</v>
      </c>
      <c r="G247">
        <v>0.59</v>
      </c>
      <c r="H247">
        <v>0.24</v>
      </c>
    </row>
    <row r="248" spans="1:8">
      <c r="A248">
        <v>1975</v>
      </c>
      <c r="B248">
        <v>5</v>
      </c>
      <c r="C248">
        <v>1975.375</v>
      </c>
      <c r="D248">
        <v>333.95</v>
      </c>
      <c r="E248">
        <v>330.98</v>
      </c>
      <c r="F248">
        <v>28</v>
      </c>
      <c r="G248">
        <v>0.35</v>
      </c>
      <c r="H248">
        <v>0.13</v>
      </c>
    </row>
    <row r="249" spans="1:8">
      <c r="A249">
        <v>1975</v>
      </c>
      <c r="B249">
        <v>6</v>
      </c>
      <c r="C249">
        <v>1975.4583</v>
      </c>
      <c r="D249">
        <v>333.42</v>
      </c>
      <c r="E249">
        <v>331.01</v>
      </c>
      <c r="F249">
        <v>27</v>
      </c>
      <c r="G249">
        <v>0.48</v>
      </c>
      <c r="H249">
        <v>0.18</v>
      </c>
    </row>
    <row r="250" spans="1:8">
      <c r="A250">
        <v>1975</v>
      </c>
      <c r="B250">
        <v>7</v>
      </c>
      <c r="C250">
        <v>1975.5417</v>
      </c>
      <c r="D250">
        <v>331.97</v>
      </c>
      <c r="E250">
        <v>331.12</v>
      </c>
      <c r="F250">
        <v>24</v>
      </c>
      <c r="G250">
        <v>0.45</v>
      </c>
      <c r="H250">
        <v>0.18</v>
      </c>
    </row>
    <row r="251" spans="1:8">
      <c r="A251">
        <v>1975</v>
      </c>
      <c r="B251">
        <v>8</v>
      </c>
      <c r="C251">
        <v>1975.625</v>
      </c>
      <c r="D251">
        <v>329.95</v>
      </c>
      <c r="E251">
        <v>331.33</v>
      </c>
      <c r="F251">
        <v>24</v>
      </c>
      <c r="G251">
        <v>0.47</v>
      </c>
      <c r="H251">
        <v>0.18</v>
      </c>
    </row>
    <row r="252" spans="1:8">
      <c r="A252">
        <v>1975</v>
      </c>
      <c r="B252">
        <v>9</v>
      </c>
      <c r="C252">
        <v>1975.7083</v>
      </c>
      <c r="D252">
        <v>328.49</v>
      </c>
      <c r="E252">
        <v>331.6</v>
      </c>
      <c r="F252">
        <v>22</v>
      </c>
      <c r="G252">
        <v>0.53</v>
      </c>
      <c r="H252">
        <v>0.22</v>
      </c>
    </row>
    <row r="253" spans="1:8">
      <c r="A253">
        <v>1975</v>
      </c>
      <c r="B253">
        <v>10</v>
      </c>
      <c r="C253">
        <v>1975.7917</v>
      </c>
      <c r="D253">
        <v>328.36</v>
      </c>
      <c r="E253">
        <v>331.61</v>
      </c>
      <c r="F253">
        <v>11</v>
      </c>
      <c r="G253">
        <v>0.21</v>
      </c>
      <c r="H253">
        <v>0.12</v>
      </c>
    </row>
    <row r="254" spans="1:8">
      <c r="A254">
        <v>1975</v>
      </c>
      <c r="B254">
        <v>11</v>
      </c>
      <c r="C254">
        <v>1975.875</v>
      </c>
      <c r="D254">
        <v>329.38</v>
      </c>
      <c r="E254">
        <v>331.57</v>
      </c>
      <c r="F254">
        <v>18</v>
      </c>
      <c r="G254">
        <v>0.31</v>
      </c>
      <c r="H254">
        <v>0.14000000000000001</v>
      </c>
    </row>
    <row r="255" spans="1:8">
      <c r="A255">
        <v>1975</v>
      </c>
      <c r="B255">
        <v>12</v>
      </c>
      <c r="C255">
        <v>1975.9583</v>
      </c>
      <c r="D255">
        <v>330.77</v>
      </c>
      <c r="E255">
        <v>331.74</v>
      </c>
      <c r="F255">
        <v>-1</v>
      </c>
      <c r="G255">
        <v>-9.99</v>
      </c>
      <c r="H255">
        <v>0</v>
      </c>
    </row>
    <row r="256" spans="1:8">
      <c r="A256">
        <v>1976</v>
      </c>
      <c r="B256">
        <v>1</v>
      </c>
      <c r="C256">
        <v>1976.0417</v>
      </c>
      <c r="D256">
        <v>331.56</v>
      </c>
      <c r="E256">
        <v>331.67</v>
      </c>
      <c r="F256">
        <v>19</v>
      </c>
      <c r="G256">
        <v>0.23</v>
      </c>
      <c r="H256">
        <v>0.1</v>
      </c>
    </row>
    <row r="257" spans="1:8">
      <c r="A257">
        <v>1976</v>
      </c>
      <c r="B257">
        <v>2</v>
      </c>
      <c r="C257">
        <v>1976.125</v>
      </c>
      <c r="D257">
        <v>332.74</v>
      </c>
      <c r="E257">
        <v>332.14</v>
      </c>
      <c r="F257">
        <v>22</v>
      </c>
      <c r="G257">
        <v>0.49</v>
      </c>
      <c r="H257">
        <v>0.2</v>
      </c>
    </row>
    <row r="258" spans="1:8">
      <c r="A258">
        <v>1976</v>
      </c>
      <c r="B258">
        <v>3</v>
      </c>
      <c r="C258">
        <v>1976.2083</v>
      </c>
      <c r="D258">
        <v>333.36</v>
      </c>
      <c r="E258">
        <v>331.79</v>
      </c>
      <c r="F258">
        <v>18</v>
      </c>
      <c r="G258">
        <v>0.52</v>
      </c>
      <c r="H258">
        <v>0.23</v>
      </c>
    </row>
    <row r="259" spans="1:8">
      <c r="A259">
        <v>1976</v>
      </c>
      <c r="B259">
        <v>4</v>
      </c>
      <c r="C259">
        <v>1976.2917</v>
      </c>
      <c r="D259">
        <v>334.74</v>
      </c>
      <c r="E259">
        <v>332.16</v>
      </c>
      <c r="F259">
        <v>18</v>
      </c>
      <c r="G259">
        <v>0.77</v>
      </c>
      <c r="H259">
        <v>0.35</v>
      </c>
    </row>
    <row r="260" spans="1:8">
      <c r="A260">
        <v>1976</v>
      </c>
      <c r="B260">
        <v>5</v>
      </c>
      <c r="C260">
        <v>1976.375</v>
      </c>
      <c r="D260">
        <v>334.72</v>
      </c>
      <c r="E260">
        <v>331.75</v>
      </c>
      <c r="F260">
        <v>21</v>
      </c>
      <c r="G260">
        <v>0.56000000000000005</v>
      </c>
      <c r="H260">
        <v>0.23</v>
      </c>
    </row>
    <row r="261" spans="1:8">
      <c r="A261">
        <v>1976</v>
      </c>
      <c r="B261">
        <v>6</v>
      </c>
      <c r="C261">
        <v>1976.4583</v>
      </c>
      <c r="D261">
        <v>333.97</v>
      </c>
      <c r="E261">
        <v>331.56</v>
      </c>
      <c r="F261">
        <v>15</v>
      </c>
      <c r="G261">
        <v>0.21</v>
      </c>
      <c r="H261">
        <v>0.1</v>
      </c>
    </row>
    <row r="262" spans="1:8">
      <c r="A262">
        <v>1976</v>
      </c>
      <c r="B262">
        <v>7</v>
      </c>
      <c r="C262">
        <v>1976.5417</v>
      </c>
      <c r="D262">
        <v>333.08</v>
      </c>
      <c r="E262">
        <v>332.23</v>
      </c>
      <c r="F262">
        <v>15</v>
      </c>
      <c r="G262">
        <v>0.24</v>
      </c>
      <c r="H262">
        <v>0.12</v>
      </c>
    </row>
    <row r="263" spans="1:8">
      <c r="A263">
        <v>1976</v>
      </c>
      <c r="B263">
        <v>8</v>
      </c>
      <c r="C263">
        <v>1976.625</v>
      </c>
      <c r="D263">
        <v>330.68</v>
      </c>
      <c r="E263">
        <v>332.07</v>
      </c>
      <c r="F263">
        <v>23</v>
      </c>
      <c r="G263">
        <v>0.51</v>
      </c>
      <c r="H263">
        <v>0.2</v>
      </c>
    </row>
    <row r="264" spans="1:8">
      <c r="A264">
        <v>1976</v>
      </c>
      <c r="B264">
        <v>9</v>
      </c>
      <c r="C264">
        <v>1976.7083</v>
      </c>
      <c r="D264">
        <v>328.96</v>
      </c>
      <c r="E264">
        <v>332.07</v>
      </c>
      <c r="F264">
        <v>13</v>
      </c>
      <c r="G264">
        <v>0.69</v>
      </c>
      <c r="H264">
        <v>0.37</v>
      </c>
    </row>
    <row r="265" spans="1:8">
      <c r="A265">
        <v>1976</v>
      </c>
      <c r="B265">
        <v>10</v>
      </c>
      <c r="C265">
        <v>1976.7917</v>
      </c>
      <c r="D265">
        <v>328.72</v>
      </c>
      <c r="E265">
        <v>331.98</v>
      </c>
      <c r="F265">
        <v>19</v>
      </c>
      <c r="G265">
        <v>0.56999999999999995</v>
      </c>
      <c r="H265">
        <v>0.25</v>
      </c>
    </row>
    <row r="266" spans="1:8">
      <c r="A266">
        <v>1976</v>
      </c>
      <c r="B266">
        <v>11</v>
      </c>
      <c r="C266">
        <v>1976.875</v>
      </c>
      <c r="D266">
        <v>330.16</v>
      </c>
      <c r="E266">
        <v>332.35</v>
      </c>
      <c r="F266">
        <v>25</v>
      </c>
      <c r="G266">
        <v>0.36</v>
      </c>
      <c r="H266">
        <v>0.14000000000000001</v>
      </c>
    </row>
    <row r="267" spans="1:8">
      <c r="A267">
        <v>1976</v>
      </c>
      <c r="B267">
        <v>12</v>
      </c>
      <c r="C267">
        <v>1976.9583</v>
      </c>
      <c r="D267">
        <v>331.62</v>
      </c>
      <c r="E267">
        <v>332.59</v>
      </c>
      <c r="F267">
        <v>20</v>
      </c>
      <c r="G267">
        <v>0.38</v>
      </c>
      <c r="H267">
        <v>0.16</v>
      </c>
    </row>
    <row r="268" spans="1:8">
      <c r="A268">
        <v>1977</v>
      </c>
      <c r="B268">
        <v>1</v>
      </c>
      <c r="C268">
        <v>1977.0417</v>
      </c>
      <c r="D268">
        <v>332.68</v>
      </c>
      <c r="E268">
        <v>332.77</v>
      </c>
      <c r="F268">
        <v>23</v>
      </c>
      <c r="G268">
        <v>0.4</v>
      </c>
      <c r="H268">
        <v>0.16</v>
      </c>
    </row>
    <row r="269" spans="1:8">
      <c r="A269">
        <v>1977</v>
      </c>
      <c r="B269">
        <v>2</v>
      </c>
      <c r="C269">
        <v>1977.125</v>
      </c>
      <c r="D269">
        <v>333.17</v>
      </c>
      <c r="E269">
        <v>332.58</v>
      </c>
      <c r="F269">
        <v>20</v>
      </c>
      <c r="G269">
        <v>0.34</v>
      </c>
      <c r="H269">
        <v>0.15</v>
      </c>
    </row>
    <row r="270" spans="1:8">
      <c r="A270">
        <v>1977</v>
      </c>
      <c r="B270">
        <v>3</v>
      </c>
      <c r="C270">
        <v>1977.2083</v>
      </c>
      <c r="D270">
        <v>334.96</v>
      </c>
      <c r="E270">
        <v>333.4</v>
      </c>
      <c r="F270">
        <v>23</v>
      </c>
      <c r="G270">
        <v>0.51</v>
      </c>
      <c r="H270">
        <v>0.21</v>
      </c>
    </row>
    <row r="271" spans="1:8">
      <c r="A271">
        <v>1977</v>
      </c>
      <c r="B271">
        <v>4</v>
      </c>
      <c r="C271">
        <v>1977.2917</v>
      </c>
      <c r="D271">
        <v>336.14</v>
      </c>
      <c r="E271">
        <v>333.54</v>
      </c>
      <c r="F271">
        <v>20</v>
      </c>
      <c r="G271">
        <v>0.5</v>
      </c>
      <c r="H271">
        <v>0.21</v>
      </c>
    </row>
    <row r="272" spans="1:8">
      <c r="A272">
        <v>1977</v>
      </c>
      <c r="B272">
        <v>5</v>
      </c>
      <c r="C272">
        <v>1977.375</v>
      </c>
      <c r="D272">
        <v>336.93</v>
      </c>
      <c r="E272">
        <v>334</v>
      </c>
      <c r="F272">
        <v>20</v>
      </c>
      <c r="G272">
        <v>0.31</v>
      </c>
      <c r="H272">
        <v>0.13</v>
      </c>
    </row>
    <row r="273" spans="1:8">
      <c r="A273">
        <v>1977</v>
      </c>
      <c r="B273">
        <v>6</v>
      </c>
      <c r="C273">
        <v>1977.4583</v>
      </c>
      <c r="D273">
        <v>336.17</v>
      </c>
      <c r="E273">
        <v>333.79</v>
      </c>
      <c r="F273">
        <v>22</v>
      </c>
      <c r="G273">
        <v>0.4</v>
      </c>
      <c r="H273">
        <v>0.16</v>
      </c>
    </row>
    <row r="274" spans="1:8">
      <c r="A274">
        <v>1977</v>
      </c>
      <c r="B274">
        <v>7</v>
      </c>
      <c r="C274">
        <v>1977.5417</v>
      </c>
      <c r="D274">
        <v>334.89</v>
      </c>
      <c r="E274">
        <v>334.01</v>
      </c>
      <c r="F274">
        <v>20</v>
      </c>
      <c r="G274">
        <v>0.23</v>
      </c>
      <c r="H274">
        <v>0.1</v>
      </c>
    </row>
    <row r="275" spans="1:8">
      <c r="A275">
        <v>1977</v>
      </c>
      <c r="B275">
        <v>8</v>
      </c>
      <c r="C275">
        <v>1977.625</v>
      </c>
      <c r="D275">
        <v>332.56</v>
      </c>
      <c r="E275">
        <v>333.91</v>
      </c>
      <c r="F275">
        <v>18</v>
      </c>
      <c r="G275">
        <v>0.46</v>
      </c>
      <c r="H275">
        <v>0.21</v>
      </c>
    </row>
    <row r="276" spans="1:8">
      <c r="A276">
        <v>1977</v>
      </c>
      <c r="B276">
        <v>9</v>
      </c>
      <c r="C276">
        <v>1977.7083</v>
      </c>
      <c r="D276">
        <v>331.29</v>
      </c>
      <c r="E276">
        <v>334.36</v>
      </c>
      <c r="F276">
        <v>19</v>
      </c>
      <c r="G276">
        <v>0.46</v>
      </c>
      <c r="H276">
        <v>0.2</v>
      </c>
    </row>
    <row r="277" spans="1:8">
      <c r="A277">
        <v>1977</v>
      </c>
      <c r="B277">
        <v>10</v>
      </c>
      <c r="C277">
        <v>1977.7917</v>
      </c>
      <c r="D277">
        <v>331.28</v>
      </c>
      <c r="E277">
        <v>334.51</v>
      </c>
      <c r="F277">
        <v>23</v>
      </c>
      <c r="G277">
        <v>0.28999999999999998</v>
      </c>
      <c r="H277">
        <v>0.12</v>
      </c>
    </row>
    <row r="278" spans="1:8">
      <c r="A278">
        <v>1977</v>
      </c>
      <c r="B278">
        <v>11</v>
      </c>
      <c r="C278">
        <v>1977.875</v>
      </c>
      <c r="D278">
        <v>332.46</v>
      </c>
      <c r="E278">
        <v>334.68</v>
      </c>
      <c r="F278">
        <v>21</v>
      </c>
      <c r="G278">
        <v>0.43</v>
      </c>
      <c r="H278">
        <v>0.18</v>
      </c>
    </row>
    <row r="279" spans="1:8">
      <c r="A279">
        <v>1977</v>
      </c>
      <c r="B279">
        <v>12</v>
      </c>
      <c r="C279">
        <v>1977.9583</v>
      </c>
      <c r="D279">
        <v>333.6</v>
      </c>
      <c r="E279">
        <v>334.58</v>
      </c>
      <c r="F279">
        <v>25</v>
      </c>
      <c r="G279">
        <v>0.36</v>
      </c>
      <c r="H279">
        <v>0.14000000000000001</v>
      </c>
    </row>
    <row r="280" spans="1:8">
      <c r="A280">
        <v>1978</v>
      </c>
      <c r="B280">
        <v>1</v>
      </c>
      <c r="C280">
        <v>1978.0417</v>
      </c>
      <c r="D280">
        <v>334.94</v>
      </c>
      <c r="E280">
        <v>335.01</v>
      </c>
      <c r="F280">
        <v>22</v>
      </c>
      <c r="G280">
        <v>0.52</v>
      </c>
      <c r="H280">
        <v>0.21</v>
      </c>
    </row>
    <row r="281" spans="1:8">
      <c r="A281">
        <v>1978</v>
      </c>
      <c r="B281">
        <v>2</v>
      </c>
      <c r="C281">
        <v>1978.125</v>
      </c>
      <c r="D281">
        <v>335.26</v>
      </c>
      <c r="E281">
        <v>334.6</v>
      </c>
      <c r="F281">
        <v>25</v>
      </c>
      <c r="G281">
        <v>0.5</v>
      </c>
      <c r="H281">
        <v>0.19</v>
      </c>
    </row>
    <row r="282" spans="1:8">
      <c r="A282">
        <v>1978</v>
      </c>
      <c r="B282">
        <v>3</v>
      </c>
      <c r="C282">
        <v>1978.2083</v>
      </c>
      <c r="D282">
        <v>336.66</v>
      </c>
      <c r="E282">
        <v>335</v>
      </c>
      <c r="F282">
        <v>28</v>
      </c>
      <c r="G282">
        <v>0.59</v>
      </c>
      <c r="H282">
        <v>0.21</v>
      </c>
    </row>
    <row r="283" spans="1:8">
      <c r="A283">
        <v>1978</v>
      </c>
      <c r="B283">
        <v>4</v>
      </c>
      <c r="C283">
        <v>1978.2917</v>
      </c>
      <c r="D283">
        <v>337.69</v>
      </c>
      <c r="E283">
        <v>335.07</v>
      </c>
      <c r="F283">
        <v>18</v>
      </c>
      <c r="G283">
        <v>0.44</v>
      </c>
      <c r="H283">
        <v>0.2</v>
      </c>
    </row>
    <row r="284" spans="1:8">
      <c r="A284">
        <v>1978</v>
      </c>
      <c r="B284">
        <v>5</v>
      </c>
      <c r="C284">
        <v>1978.375</v>
      </c>
      <c r="D284">
        <v>338.02</v>
      </c>
      <c r="E284">
        <v>335.08</v>
      </c>
      <c r="F284">
        <v>26</v>
      </c>
      <c r="G284">
        <v>0.46</v>
      </c>
      <c r="H284">
        <v>0.17</v>
      </c>
    </row>
    <row r="285" spans="1:8">
      <c r="A285">
        <v>1978</v>
      </c>
      <c r="B285">
        <v>6</v>
      </c>
      <c r="C285">
        <v>1978.4583</v>
      </c>
      <c r="D285">
        <v>338.01</v>
      </c>
      <c r="E285">
        <v>335.6</v>
      </c>
      <c r="F285">
        <v>17</v>
      </c>
      <c r="G285">
        <v>0.31</v>
      </c>
      <c r="H285">
        <v>0.15</v>
      </c>
    </row>
    <row r="286" spans="1:8">
      <c r="A286">
        <v>1978</v>
      </c>
      <c r="B286">
        <v>7</v>
      </c>
      <c r="C286">
        <v>1978.5417</v>
      </c>
      <c r="D286">
        <v>336.5</v>
      </c>
      <c r="E286">
        <v>335.65</v>
      </c>
      <c r="F286">
        <v>20</v>
      </c>
      <c r="G286">
        <v>0.32</v>
      </c>
      <c r="H286">
        <v>0.14000000000000001</v>
      </c>
    </row>
    <row r="287" spans="1:8">
      <c r="A287">
        <v>1978</v>
      </c>
      <c r="B287">
        <v>8</v>
      </c>
      <c r="C287">
        <v>1978.625</v>
      </c>
      <c r="D287">
        <v>334.42</v>
      </c>
      <c r="E287">
        <v>335.87</v>
      </c>
      <c r="F287">
        <v>19</v>
      </c>
      <c r="G287">
        <v>0.32</v>
      </c>
      <c r="H287">
        <v>0.14000000000000001</v>
      </c>
    </row>
    <row r="288" spans="1:8">
      <c r="A288">
        <v>1978</v>
      </c>
      <c r="B288">
        <v>9</v>
      </c>
      <c r="C288">
        <v>1978.7083</v>
      </c>
      <c r="D288">
        <v>332.36</v>
      </c>
      <c r="E288">
        <v>335.51</v>
      </c>
      <c r="F288">
        <v>17</v>
      </c>
      <c r="G288">
        <v>0.75</v>
      </c>
      <c r="H288">
        <v>0.35</v>
      </c>
    </row>
    <row r="289" spans="1:8">
      <c r="A289">
        <v>1978</v>
      </c>
      <c r="B289">
        <v>10</v>
      </c>
      <c r="C289">
        <v>1978.7917</v>
      </c>
      <c r="D289">
        <v>332.45</v>
      </c>
      <c r="E289">
        <v>335.72</v>
      </c>
      <c r="F289">
        <v>21</v>
      </c>
      <c r="G289">
        <v>0.34</v>
      </c>
      <c r="H289">
        <v>0.14000000000000001</v>
      </c>
    </row>
    <row r="290" spans="1:8">
      <c r="A290">
        <v>1978</v>
      </c>
      <c r="B290">
        <v>11</v>
      </c>
      <c r="C290">
        <v>1978.875</v>
      </c>
      <c r="D290">
        <v>333.76</v>
      </c>
      <c r="E290">
        <v>335.99</v>
      </c>
      <c r="F290">
        <v>24</v>
      </c>
      <c r="G290">
        <v>0.25</v>
      </c>
      <c r="H290">
        <v>0.1</v>
      </c>
    </row>
    <row r="291" spans="1:8">
      <c r="A291">
        <v>1978</v>
      </c>
      <c r="B291">
        <v>12</v>
      </c>
      <c r="C291">
        <v>1978.9583</v>
      </c>
      <c r="D291">
        <v>334.91</v>
      </c>
      <c r="E291">
        <v>335.87</v>
      </c>
      <c r="F291">
        <v>26</v>
      </c>
      <c r="G291">
        <v>0.33</v>
      </c>
      <c r="H291">
        <v>0.12</v>
      </c>
    </row>
    <row r="292" spans="1:8">
      <c r="A292">
        <v>1979</v>
      </c>
      <c r="B292">
        <v>1</v>
      </c>
      <c r="C292">
        <v>1979.0417</v>
      </c>
      <c r="D292">
        <v>336.14</v>
      </c>
      <c r="E292">
        <v>336.22</v>
      </c>
      <c r="F292">
        <v>27</v>
      </c>
      <c r="G292">
        <v>0.55000000000000004</v>
      </c>
      <c r="H292">
        <v>0.2</v>
      </c>
    </row>
    <row r="293" spans="1:8">
      <c r="A293">
        <v>1979</v>
      </c>
      <c r="B293">
        <v>2</v>
      </c>
      <c r="C293">
        <v>1979.125</v>
      </c>
      <c r="D293">
        <v>336.69</v>
      </c>
      <c r="E293">
        <v>336</v>
      </c>
      <c r="F293">
        <v>25</v>
      </c>
      <c r="G293">
        <v>0.3</v>
      </c>
      <c r="H293">
        <v>0.11</v>
      </c>
    </row>
    <row r="294" spans="1:8">
      <c r="A294">
        <v>1979</v>
      </c>
      <c r="B294">
        <v>3</v>
      </c>
      <c r="C294">
        <v>1979.2083</v>
      </c>
      <c r="D294">
        <v>338.27</v>
      </c>
      <c r="E294">
        <v>336.56</v>
      </c>
      <c r="F294">
        <v>21</v>
      </c>
      <c r="G294">
        <v>0.63</v>
      </c>
      <c r="H294">
        <v>0.26</v>
      </c>
    </row>
    <row r="295" spans="1:8">
      <c r="A295">
        <v>1979</v>
      </c>
      <c r="B295">
        <v>4</v>
      </c>
      <c r="C295">
        <v>1979.2917</v>
      </c>
      <c r="D295">
        <v>338.82</v>
      </c>
      <c r="E295">
        <v>336.11</v>
      </c>
      <c r="F295">
        <v>24</v>
      </c>
      <c r="G295">
        <v>0.67</v>
      </c>
      <c r="H295">
        <v>0.26</v>
      </c>
    </row>
    <row r="296" spans="1:8">
      <c r="A296">
        <v>1979</v>
      </c>
      <c r="B296">
        <v>5</v>
      </c>
      <c r="C296">
        <v>1979.375</v>
      </c>
      <c r="D296">
        <v>339.24</v>
      </c>
      <c r="E296">
        <v>336.24</v>
      </c>
      <c r="F296">
        <v>20</v>
      </c>
      <c r="G296">
        <v>0.5</v>
      </c>
      <c r="H296">
        <v>0.22</v>
      </c>
    </row>
    <row r="297" spans="1:8">
      <c r="A297">
        <v>1979</v>
      </c>
      <c r="B297">
        <v>6</v>
      </c>
      <c r="C297">
        <v>1979.4583</v>
      </c>
      <c r="D297">
        <v>339.26</v>
      </c>
      <c r="E297">
        <v>336.83</v>
      </c>
      <c r="F297">
        <v>19</v>
      </c>
      <c r="G297">
        <v>0.35</v>
      </c>
      <c r="H297">
        <v>0.15</v>
      </c>
    </row>
    <row r="298" spans="1:8">
      <c r="A298">
        <v>1979</v>
      </c>
      <c r="B298">
        <v>7</v>
      </c>
      <c r="C298">
        <v>1979.5417</v>
      </c>
      <c r="D298">
        <v>337.54</v>
      </c>
      <c r="E298">
        <v>336.69</v>
      </c>
      <c r="F298">
        <v>26</v>
      </c>
      <c r="G298">
        <v>0.59</v>
      </c>
      <c r="H298">
        <v>0.22</v>
      </c>
    </row>
    <row r="299" spans="1:8">
      <c r="A299">
        <v>1979</v>
      </c>
      <c r="B299">
        <v>8</v>
      </c>
      <c r="C299">
        <v>1979.625</v>
      </c>
      <c r="D299">
        <v>335.72</v>
      </c>
      <c r="E299">
        <v>337.2</v>
      </c>
      <c r="F299">
        <v>24</v>
      </c>
      <c r="G299">
        <v>0.6</v>
      </c>
      <c r="H299">
        <v>0.23</v>
      </c>
    </row>
    <row r="300" spans="1:8">
      <c r="A300">
        <v>1979</v>
      </c>
      <c r="B300">
        <v>9</v>
      </c>
      <c r="C300">
        <v>1979.7083</v>
      </c>
      <c r="D300">
        <v>333.97</v>
      </c>
      <c r="E300">
        <v>337.19</v>
      </c>
      <c r="F300">
        <v>19</v>
      </c>
      <c r="G300">
        <v>0.65</v>
      </c>
      <c r="H300">
        <v>0.28999999999999998</v>
      </c>
    </row>
    <row r="301" spans="1:8">
      <c r="A301">
        <v>1979</v>
      </c>
      <c r="B301">
        <v>10</v>
      </c>
      <c r="C301">
        <v>1979.7917</v>
      </c>
      <c r="D301">
        <v>334.24</v>
      </c>
      <c r="E301">
        <v>337.57</v>
      </c>
      <c r="F301">
        <v>25</v>
      </c>
      <c r="G301">
        <v>0.42</v>
      </c>
      <c r="H301">
        <v>0.16</v>
      </c>
    </row>
    <row r="302" spans="1:8">
      <c r="A302">
        <v>1979</v>
      </c>
      <c r="B302">
        <v>11</v>
      </c>
      <c r="C302">
        <v>1979.875</v>
      </c>
      <c r="D302">
        <v>335.32</v>
      </c>
      <c r="E302">
        <v>337.59</v>
      </c>
      <c r="F302">
        <v>27</v>
      </c>
      <c r="G302">
        <v>0.3</v>
      </c>
      <c r="H302">
        <v>0.11</v>
      </c>
    </row>
    <row r="303" spans="1:8">
      <c r="A303">
        <v>1979</v>
      </c>
      <c r="B303">
        <v>12</v>
      </c>
      <c r="C303">
        <v>1979.9583</v>
      </c>
      <c r="D303">
        <v>336.81</v>
      </c>
      <c r="E303">
        <v>337.83</v>
      </c>
      <c r="F303">
        <v>22</v>
      </c>
      <c r="G303">
        <v>0.23</v>
      </c>
      <c r="H303">
        <v>0.09</v>
      </c>
    </row>
    <row r="304" spans="1:8">
      <c r="A304">
        <v>1980</v>
      </c>
      <c r="B304">
        <v>1</v>
      </c>
      <c r="C304">
        <v>1980.0417</v>
      </c>
      <c r="D304">
        <v>337.9</v>
      </c>
      <c r="E304">
        <v>338.13</v>
      </c>
      <c r="F304">
        <v>29</v>
      </c>
      <c r="G304">
        <v>0.56999999999999995</v>
      </c>
      <c r="H304">
        <v>0.2</v>
      </c>
    </row>
    <row r="305" spans="1:8">
      <c r="A305">
        <v>1980</v>
      </c>
      <c r="B305">
        <v>2</v>
      </c>
      <c r="C305">
        <v>1980.125</v>
      </c>
      <c r="D305">
        <v>338.34</v>
      </c>
      <c r="E305">
        <v>337.85</v>
      </c>
      <c r="F305">
        <v>26</v>
      </c>
      <c r="G305">
        <v>0.49</v>
      </c>
      <c r="H305">
        <v>0.18</v>
      </c>
    </row>
    <row r="306" spans="1:8">
      <c r="A306">
        <v>1980</v>
      </c>
      <c r="B306">
        <v>3</v>
      </c>
      <c r="C306">
        <v>1980.2083</v>
      </c>
      <c r="D306">
        <v>340.07</v>
      </c>
      <c r="E306">
        <v>338.51</v>
      </c>
      <c r="F306">
        <v>23</v>
      </c>
      <c r="G306">
        <v>0.54</v>
      </c>
      <c r="H306">
        <v>0.22</v>
      </c>
    </row>
    <row r="307" spans="1:8">
      <c r="A307">
        <v>1980</v>
      </c>
      <c r="B307">
        <v>4</v>
      </c>
      <c r="C307">
        <v>1980.2917</v>
      </c>
      <c r="D307">
        <v>340.93</v>
      </c>
      <c r="E307">
        <v>338.31</v>
      </c>
      <c r="F307">
        <v>24</v>
      </c>
      <c r="G307">
        <v>0.28999999999999998</v>
      </c>
      <c r="H307">
        <v>0.11</v>
      </c>
    </row>
    <row r="308" spans="1:8">
      <c r="A308">
        <v>1980</v>
      </c>
      <c r="B308">
        <v>5</v>
      </c>
      <c r="C308">
        <v>1980.375</v>
      </c>
      <c r="D308">
        <v>341.45</v>
      </c>
      <c r="E308">
        <v>338.4</v>
      </c>
      <c r="F308">
        <v>24</v>
      </c>
      <c r="G308">
        <v>0.54</v>
      </c>
      <c r="H308">
        <v>0.21</v>
      </c>
    </row>
    <row r="309" spans="1:8">
      <c r="A309">
        <v>1980</v>
      </c>
      <c r="B309">
        <v>6</v>
      </c>
      <c r="C309">
        <v>1980.4583</v>
      </c>
      <c r="D309">
        <v>341.36</v>
      </c>
      <c r="E309">
        <v>338.85</v>
      </c>
      <c r="F309">
        <v>20</v>
      </c>
      <c r="G309">
        <v>0.39</v>
      </c>
      <c r="H309">
        <v>0.17</v>
      </c>
    </row>
    <row r="310" spans="1:8">
      <c r="A310">
        <v>1980</v>
      </c>
      <c r="B310">
        <v>7</v>
      </c>
      <c r="C310">
        <v>1980.5417</v>
      </c>
      <c r="D310">
        <v>339.45</v>
      </c>
      <c r="E310">
        <v>338.56</v>
      </c>
      <c r="F310">
        <v>26</v>
      </c>
      <c r="G310">
        <v>0.6</v>
      </c>
      <c r="H310">
        <v>0.22</v>
      </c>
    </row>
    <row r="311" spans="1:8">
      <c r="A311">
        <v>1980</v>
      </c>
      <c r="B311">
        <v>8</v>
      </c>
      <c r="C311">
        <v>1980.625</v>
      </c>
      <c r="D311">
        <v>337.67</v>
      </c>
      <c r="E311">
        <v>339.07</v>
      </c>
      <c r="F311">
        <v>16</v>
      </c>
      <c r="G311">
        <v>1.05</v>
      </c>
      <c r="H311">
        <v>0.5</v>
      </c>
    </row>
    <row r="312" spans="1:8">
      <c r="A312">
        <v>1980</v>
      </c>
      <c r="B312">
        <v>9</v>
      </c>
      <c r="C312">
        <v>1980.7083</v>
      </c>
      <c r="D312">
        <v>336.25</v>
      </c>
      <c r="E312">
        <v>339.38</v>
      </c>
      <c r="F312">
        <v>15</v>
      </c>
      <c r="G312">
        <v>0.69</v>
      </c>
      <c r="H312">
        <v>0.34</v>
      </c>
    </row>
    <row r="313" spans="1:8">
      <c r="A313">
        <v>1980</v>
      </c>
      <c r="B313">
        <v>10</v>
      </c>
      <c r="C313">
        <v>1980.7917</v>
      </c>
      <c r="D313">
        <v>336.14</v>
      </c>
      <c r="E313">
        <v>339.4</v>
      </c>
      <c r="F313">
        <v>26</v>
      </c>
      <c r="G313">
        <v>0.26</v>
      </c>
      <c r="H313">
        <v>0.1</v>
      </c>
    </row>
    <row r="314" spans="1:8">
      <c r="A314">
        <v>1980</v>
      </c>
      <c r="B314">
        <v>11</v>
      </c>
      <c r="C314">
        <v>1980.875</v>
      </c>
      <c r="D314">
        <v>337.3</v>
      </c>
      <c r="E314">
        <v>339.46</v>
      </c>
      <c r="F314">
        <v>27</v>
      </c>
      <c r="G314">
        <v>0.26</v>
      </c>
      <c r="H314">
        <v>0.1</v>
      </c>
    </row>
    <row r="315" spans="1:8">
      <c r="A315">
        <v>1980</v>
      </c>
      <c r="B315">
        <v>12</v>
      </c>
      <c r="C315">
        <v>1980.9583</v>
      </c>
      <c r="D315">
        <v>338.29</v>
      </c>
      <c r="E315">
        <v>339.26</v>
      </c>
      <c r="F315">
        <v>24</v>
      </c>
      <c r="G315">
        <v>0.25</v>
      </c>
      <c r="H315">
        <v>0.1</v>
      </c>
    </row>
    <row r="316" spans="1:8">
      <c r="A316">
        <v>1981</v>
      </c>
      <c r="B316">
        <v>1</v>
      </c>
      <c r="C316">
        <v>1981.0417</v>
      </c>
      <c r="D316">
        <v>339.29</v>
      </c>
      <c r="E316">
        <v>339.42</v>
      </c>
      <c r="F316">
        <v>28</v>
      </c>
      <c r="G316">
        <v>0.39</v>
      </c>
      <c r="H316">
        <v>0.14000000000000001</v>
      </c>
    </row>
    <row r="317" spans="1:8">
      <c r="A317">
        <v>1981</v>
      </c>
      <c r="B317">
        <v>2</v>
      </c>
      <c r="C317">
        <v>1981.125</v>
      </c>
      <c r="D317">
        <v>340.55</v>
      </c>
      <c r="E317">
        <v>339.98</v>
      </c>
      <c r="F317">
        <v>25</v>
      </c>
      <c r="G317">
        <v>0.65</v>
      </c>
      <c r="H317">
        <v>0.25</v>
      </c>
    </row>
    <row r="318" spans="1:8">
      <c r="A318">
        <v>1981</v>
      </c>
      <c r="B318">
        <v>3</v>
      </c>
      <c r="C318">
        <v>1981.2083</v>
      </c>
      <c r="D318">
        <v>341.63</v>
      </c>
      <c r="E318">
        <v>340.08</v>
      </c>
      <c r="F318">
        <v>25</v>
      </c>
      <c r="G318">
        <v>0.48</v>
      </c>
      <c r="H318">
        <v>0.19</v>
      </c>
    </row>
    <row r="319" spans="1:8">
      <c r="A319">
        <v>1981</v>
      </c>
      <c r="B319">
        <v>4</v>
      </c>
      <c r="C319">
        <v>1981.2917</v>
      </c>
      <c r="D319">
        <v>342.6</v>
      </c>
      <c r="E319">
        <v>339.98</v>
      </c>
      <c r="F319">
        <v>26</v>
      </c>
      <c r="G319">
        <v>0.46</v>
      </c>
      <c r="H319">
        <v>0.17</v>
      </c>
    </row>
    <row r="320" spans="1:8">
      <c r="A320">
        <v>1981</v>
      </c>
      <c r="B320">
        <v>5</v>
      </c>
      <c r="C320">
        <v>1981.375</v>
      </c>
      <c r="D320">
        <v>343.04</v>
      </c>
      <c r="E320">
        <v>339.97</v>
      </c>
      <c r="F320">
        <v>30</v>
      </c>
      <c r="G320">
        <v>0.19</v>
      </c>
      <c r="H320">
        <v>7.0000000000000007E-2</v>
      </c>
    </row>
    <row r="321" spans="1:8">
      <c r="A321">
        <v>1981</v>
      </c>
      <c r="B321">
        <v>6</v>
      </c>
      <c r="C321">
        <v>1981.4583</v>
      </c>
      <c r="D321">
        <v>342.54</v>
      </c>
      <c r="E321">
        <v>340.06</v>
      </c>
      <c r="F321">
        <v>25</v>
      </c>
      <c r="G321">
        <v>0.28999999999999998</v>
      </c>
      <c r="H321">
        <v>0.11</v>
      </c>
    </row>
    <row r="322" spans="1:8">
      <c r="A322">
        <v>1981</v>
      </c>
      <c r="B322">
        <v>7</v>
      </c>
      <c r="C322">
        <v>1981.5417</v>
      </c>
      <c r="D322">
        <v>340.82</v>
      </c>
      <c r="E322">
        <v>339.92</v>
      </c>
      <c r="F322">
        <v>24</v>
      </c>
      <c r="G322">
        <v>0.46</v>
      </c>
      <c r="H322">
        <v>0.18</v>
      </c>
    </row>
    <row r="323" spans="1:8">
      <c r="A323">
        <v>1981</v>
      </c>
      <c r="B323">
        <v>8</v>
      </c>
      <c r="C323">
        <v>1981.625</v>
      </c>
      <c r="D323">
        <v>338.48</v>
      </c>
      <c r="E323">
        <v>339.87</v>
      </c>
      <c r="F323">
        <v>25</v>
      </c>
      <c r="G323">
        <v>0.48</v>
      </c>
      <c r="H323">
        <v>0.18</v>
      </c>
    </row>
    <row r="324" spans="1:8">
      <c r="A324">
        <v>1981</v>
      </c>
      <c r="B324">
        <v>9</v>
      </c>
      <c r="C324">
        <v>1981.7083</v>
      </c>
      <c r="D324">
        <v>336.95</v>
      </c>
      <c r="E324">
        <v>340.17</v>
      </c>
      <c r="F324">
        <v>27</v>
      </c>
      <c r="G324">
        <v>0.55000000000000004</v>
      </c>
      <c r="H324">
        <v>0.2</v>
      </c>
    </row>
    <row r="325" spans="1:8">
      <c r="A325">
        <v>1981</v>
      </c>
      <c r="B325">
        <v>10</v>
      </c>
      <c r="C325">
        <v>1981.7917</v>
      </c>
      <c r="D325">
        <v>337.05</v>
      </c>
      <c r="E325">
        <v>340.39</v>
      </c>
      <c r="F325">
        <v>25</v>
      </c>
      <c r="G325">
        <v>0.39</v>
      </c>
      <c r="H325">
        <v>0.15</v>
      </c>
    </row>
    <row r="326" spans="1:8">
      <c r="A326">
        <v>1981</v>
      </c>
      <c r="B326">
        <v>11</v>
      </c>
      <c r="C326">
        <v>1981.875</v>
      </c>
      <c r="D326">
        <v>338.58</v>
      </c>
      <c r="E326">
        <v>340.75</v>
      </c>
      <c r="F326">
        <v>26</v>
      </c>
      <c r="G326">
        <v>0.31</v>
      </c>
      <c r="H326">
        <v>0.12</v>
      </c>
    </row>
    <row r="327" spans="1:8">
      <c r="A327">
        <v>1981</v>
      </c>
      <c r="B327">
        <v>12</v>
      </c>
      <c r="C327">
        <v>1981.9583</v>
      </c>
      <c r="D327">
        <v>339.91</v>
      </c>
      <c r="E327">
        <v>340.85</v>
      </c>
      <c r="F327">
        <v>20</v>
      </c>
      <c r="G327">
        <v>0.28000000000000003</v>
      </c>
      <c r="H327">
        <v>0.12</v>
      </c>
    </row>
    <row r="328" spans="1:8">
      <c r="A328">
        <v>1982</v>
      </c>
      <c r="B328">
        <v>1</v>
      </c>
      <c r="C328">
        <v>1982.0417</v>
      </c>
      <c r="D328">
        <v>340.93</v>
      </c>
      <c r="E328">
        <v>341.09</v>
      </c>
      <c r="F328">
        <v>28</v>
      </c>
      <c r="G328">
        <v>0.3</v>
      </c>
      <c r="H328">
        <v>0.11</v>
      </c>
    </row>
    <row r="329" spans="1:8">
      <c r="A329">
        <v>1982</v>
      </c>
      <c r="B329">
        <v>2</v>
      </c>
      <c r="C329">
        <v>1982.125</v>
      </c>
      <c r="D329">
        <v>341.76</v>
      </c>
      <c r="E329">
        <v>341.16</v>
      </c>
      <c r="F329">
        <v>24</v>
      </c>
      <c r="G329">
        <v>0.49</v>
      </c>
      <c r="H329">
        <v>0.19</v>
      </c>
    </row>
    <row r="330" spans="1:8">
      <c r="A330">
        <v>1982</v>
      </c>
      <c r="B330">
        <v>3</v>
      </c>
      <c r="C330">
        <v>1982.2083</v>
      </c>
      <c r="D330">
        <v>342.78</v>
      </c>
      <c r="E330">
        <v>341.18</v>
      </c>
      <c r="F330">
        <v>17</v>
      </c>
      <c r="G330">
        <v>0.41</v>
      </c>
      <c r="H330">
        <v>0.19</v>
      </c>
    </row>
    <row r="331" spans="1:8">
      <c r="A331">
        <v>1982</v>
      </c>
      <c r="B331">
        <v>4</v>
      </c>
      <c r="C331">
        <v>1982.2917</v>
      </c>
      <c r="D331">
        <v>343.96</v>
      </c>
      <c r="E331">
        <v>341.32</v>
      </c>
      <c r="F331">
        <v>7</v>
      </c>
      <c r="G331">
        <v>0.42</v>
      </c>
      <c r="H331">
        <v>0.31</v>
      </c>
    </row>
    <row r="332" spans="1:8">
      <c r="A332">
        <v>1982</v>
      </c>
      <c r="B332">
        <v>5</v>
      </c>
      <c r="C332">
        <v>1982.375</v>
      </c>
      <c r="D332">
        <v>344.77</v>
      </c>
      <c r="E332">
        <v>341.67</v>
      </c>
      <c r="F332">
        <v>27</v>
      </c>
      <c r="G332">
        <v>0.37</v>
      </c>
      <c r="H332">
        <v>0.14000000000000001</v>
      </c>
    </row>
    <row r="333" spans="1:8">
      <c r="A333">
        <v>1982</v>
      </c>
      <c r="B333">
        <v>6</v>
      </c>
      <c r="C333">
        <v>1982.4583</v>
      </c>
      <c r="D333">
        <v>343.88</v>
      </c>
      <c r="E333">
        <v>341.43</v>
      </c>
      <c r="F333">
        <v>27</v>
      </c>
      <c r="G333">
        <v>0.37</v>
      </c>
      <c r="H333">
        <v>0.14000000000000001</v>
      </c>
    </row>
    <row r="334" spans="1:8">
      <c r="A334">
        <v>1982</v>
      </c>
      <c r="B334">
        <v>7</v>
      </c>
      <c r="C334">
        <v>1982.5417</v>
      </c>
      <c r="D334">
        <v>342.42</v>
      </c>
      <c r="E334">
        <v>341.61</v>
      </c>
      <c r="F334">
        <v>28</v>
      </c>
      <c r="G334">
        <v>0.35</v>
      </c>
      <c r="H334">
        <v>0.13</v>
      </c>
    </row>
    <row r="335" spans="1:8">
      <c r="A335">
        <v>1982</v>
      </c>
      <c r="B335">
        <v>8</v>
      </c>
      <c r="C335">
        <v>1982.625</v>
      </c>
      <c r="D335">
        <v>340.24</v>
      </c>
      <c r="E335">
        <v>341.64</v>
      </c>
      <c r="F335">
        <v>25</v>
      </c>
      <c r="G335">
        <v>0.61</v>
      </c>
      <c r="H335">
        <v>0.23</v>
      </c>
    </row>
    <row r="336" spans="1:8">
      <c r="A336">
        <v>1982</v>
      </c>
      <c r="B336">
        <v>9</v>
      </c>
      <c r="C336">
        <v>1982.7083</v>
      </c>
      <c r="D336">
        <v>338.37</v>
      </c>
      <c r="E336">
        <v>341.56</v>
      </c>
      <c r="F336">
        <v>21</v>
      </c>
      <c r="G336">
        <v>0.59</v>
      </c>
      <c r="H336">
        <v>0.25</v>
      </c>
    </row>
    <row r="337" spans="1:8">
      <c r="A337">
        <v>1982</v>
      </c>
      <c r="B337">
        <v>10</v>
      </c>
      <c r="C337">
        <v>1982.7917</v>
      </c>
      <c r="D337">
        <v>338.41</v>
      </c>
      <c r="E337">
        <v>341.77</v>
      </c>
      <c r="F337">
        <v>26</v>
      </c>
      <c r="G337">
        <v>0.5</v>
      </c>
      <c r="H337">
        <v>0.19</v>
      </c>
    </row>
    <row r="338" spans="1:8">
      <c r="A338">
        <v>1982</v>
      </c>
      <c r="B338">
        <v>11</v>
      </c>
      <c r="C338">
        <v>1982.875</v>
      </c>
      <c r="D338">
        <v>339.44</v>
      </c>
      <c r="E338">
        <v>341.59</v>
      </c>
      <c r="F338">
        <v>24</v>
      </c>
      <c r="G338">
        <v>0.39</v>
      </c>
      <c r="H338">
        <v>0.15</v>
      </c>
    </row>
    <row r="339" spans="1:8">
      <c r="A339">
        <v>1982</v>
      </c>
      <c r="B339">
        <v>12</v>
      </c>
      <c r="C339">
        <v>1982.9583</v>
      </c>
      <c r="D339">
        <v>340.78</v>
      </c>
      <c r="E339">
        <v>341.71</v>
      </c>
      <c r="F339">
        <v>26</v>
      </c>
      <c r="G339">
        <v>0.3</v>
      </c>
      <c r="H339">
        <v>0.11</v>
      </c>
    </row>
    <row r="340" spans="1:8">
      <c r="A340">
        <v>1983</v>
      </c>
      <c r="B340">
        <v>1</v>
      </c>
      <c r="C340">
        <v>1983.0417</v>
      </c>
      <c r="D340">
        <v>341.57</v>
      </c>
      <c r="E340">
        <v>341.75</v>
      </c>
      <c r="F340">
        <v>28</v>
      </c>
      <c r="G340">
        <v>0.47</v>
      </c>
      <c r="H340">
        <v>0.17</v>
      </c>
    </row>
    <row r="341" spans="1:8">
      <c r="A341">
        <v>1983</v>
      </c>
      <c r="B341">
        <v>2</v>
      </c>
      <c r="C341">
        <v>1983.125</v>
      </c>
      <c r="D341">
        <v>342.78</v>
      </c>
      <c r="E341">
        <v>342.25</v>
      </c>
      <c r="F341">
        <v>24</v>
      </c>
      <c r="G341">
        <v>0.37</v>
      </c>
      <c r="H341">
        <v>0.15</v>
      </c>
    </row>
    <row r="342" spans="1:8">
      <c r="A342">
        <v>1983</v>
      </c>
      <c r="B342">
        <v>3</v>
      </c>
      <c r="C342">
        <v>1983.2083</v>
      </c>
      <c r="D342">
        <v>343.37</v>
      </c>
      <c r="E342">
        <v>341.85</v>
      </c>
      <c r="F342">
        <v>27</v>
      </c>
      <c r="G342">
        <v>0.88</v>
      </c>
      <c r="H342">
        <v>0.32</v>
      </c>
    </row>
    <row r="343" spans="1:8">
      <c r="A343">
        <v>1983</v>
      </c>
      <c r="B343">
        <v>4</v>
      </c>
      <c r="C343">
        <v>1983.2917</v>
      </c>
      <c r="D343">
        <v>345.4</v>
      </c>
      <c r="E343">
        <v>342.76</v>
      </c>
      <c r="F343">
        <v>23</v>
      </c>
      <c r="G343">
        <v>0.28999999999999998</v>
      </c>
      <c r="H343">
        <v>0.12</v>
      </c>
    </row>
    <row r="344" spans="1:8">
      <c r="A344">
        <v>1983</v>
      </c>
      <c r="B344">
        <v>5</v>
      </c>
      <c r="C344">
        <v>1983.375</v>
      </c>
      <c r="D344">
        <v>346.14</v>
      </c>
      <c r="E344">
        <v>342.97</v>
      </c>
      <c r="F344">
        <v>28</v>
      </c>
      <c r="G344">
        <v>0.51</v>
      </c>
      <c r="H344">
        <v>0.19</v>
      </c>
    </row>
    <row r="345" spans="1:8">
      <c r="A345">
        <v>1983</v>
      </c>
      <c r="B345">
        <v>6</v>
      </c>
      <c r="C345">
        <v>1983.4583</v>
      </c>
      <c r="D345">
        <v>345.76</v>
      </c>
      <c r="E345">
        <v>343.3</v>
      </c>
      <c r="F345">
        <v>20</v>
      </c>
      <c r="G345">
        <v>0.3</v>
      </c>
      <c r="H345">
        <v>0.13</v>
      </c>
    </row>
    <row r="346" spans="1:8">
      <c r="A346">
        <v>1983</v>
      </c>
      <c r="B346">
        <v>7</v>
      </c>
      <c r="C346">
        <v>1983.5417</v>
      </c>
      <c r="D346">
        <v>344.32</v>
      </c>
      <c r="E346">
        <v>343.56</v>
      </c>
      <c r="F346">
        <v>22</v>
      </c>
      <c r="G346">
        <v>0.56999999999999995</v>
      </c>
      <c r="H346">
        <v>0.23</v>
      </c>
    </row>
    <row r="347" spans="1:8">
      <c r="A347">
        <v>1983</v>
      </c>
      <c r="B347">
        <v>8</v>
      </c>
      <c r="C347">
        <v>1983.625</v>
      </c>
      <c r="D347">
        <v>342.51</v>
      </c>
      <c r="E347">
        <v>343.89</v>
      </c>
      <c r="F347">
        <v>16</v>
      </c>
      <c r="G347">
        <v>0.73</v>
      </c>
      <c r="H347">
        <v>0.35</v>
      </c>
    </row>
    <row r="348" spans="1:8">
      <c r="A348">
        <v>1983</v>
      </c>
      <c r="B348">
        <v>9</v>
      </c>
      <c r="C348">
        <v>1983.7083</v>
      </c>
      <c r="D348">
        <v>340.46</v>
      </c>
      <c r="E348">
        <v>343.59</v>
      </c>
      <c r="F348">
        <v>15</v>
      </c>
      <c r="G348">
        <v>0.5</v>
      </c>
      <c r="H348">
        <v>0.25</v>
      </c>
    </row>
    <row r="349" spans="1:8">
      <c r="A349">
        <v>1983</v>
      </c>
      <c r="B349">
        <v>10</v>
      </c>
      <c r="C349">
        <v>1983.7917</v>
      </c>
      <c r="D349">
        <v>340.53</v>
      </c>
      <c r="E349">
        <v>343.86</v>
      </c>
      <c r="F349">
        <v>20</v>
      </c>
      <c r="G349">
        <v>0.31</v>
      </c>
      <c r="H349">
        <v>0.13</v>
      </c>
    </row>
    <row r="350" spans="1:8">
      <c r="A350">
        <v>1983</v>
      </c>
      <c r="B350">
        <v>11</v>
      </c>
      <c r="C350">
        <v>1983.875</v>
      </c>
      <c r="D350">
        <v>341.79</v>
      </c>
      <c r="E350">
        <v>343.92</v>
      </c>
      <c r="F350">
        <v>27</v>
      </c>
      <c r="G350">
        <v>0.33</v>
      </c>
      <c r="H350">
        <v>0.12</v>
      </c>
    </row>
    <row r="351" spans="1:8">
      <c r="A351">
        <v>1983</v>
      </c>
      <c r="B351">
        <v>12</v>
      </c>
      <c r="C351">
        <v>1983.9583</v>
      </c>
      <c r="D351">
        <v>343.2</v>
      </c>
      <c r="E351">
        <v>344.12</v>
      </c>
      <c r="F351">
        <v>21</v>
      </c>
      <c r="G351">
        <v>0.25</v>
      </c>
      <c r="H351">
        <v>0.1</v>
      </c>
    </row>
    <row r="352" spans="1:8">
      <c r="A352">
        <v>1984</v>
      </c>
      <c r="B352">
        <v>1</v>
      </c>
      <c r="C352">
        <v>1984.0417</v>
      </c>
      <c r="D352">
        <v>344.21</v>
      </c>
      <c r="E352">
        <v>344.32</v>
      </c>
      <c r="F352">
        <v>23</v>
      </c>
      <c r="G352">
        <v>0.4</v>
      </c>
      <c r="H352">
        <v>0.16</v>
      </c>
    </row>
    <row r="353" spans="1:8">
      <c r="A353">
        <v>1984</v>
      </c>
      <c r="B353">
        <v>2</v>
      </c>
      <c r="C353">
        <v>1984.125</v>
      </c>
      <c r="D353">
        <v>344.92</v>
      </c>
      <c r="E353">
        <v>344.39</v>
      </c>
      <c r="F353">
        <v>23</v>
      </c>
      <c r="G353">
        <v>0.32</v>
      </c>
      <c r="H353">
        <v>0.13</v>
      </c>
    </row>
    <row r="354" spans="1:8">
      <c r="A354">
        <v>1984</v>
      </c>
      <c r="B354">
        <v>3</v>
      </c>
      <c r="C354">
        <v>1984.2083</v>
      </c>
      <c r="D354">
        <v>345.68</v>
      </c>
      <c r="E354">
        <v>344.26</v>
      </c>
      <c r="F354">
        <v>19</v>
      </c>
      <c r="G354">
        <v>0.3</v>
      </c>
      <c r="H354">
        <v>0.13</v>
      </c>
    </row>
    <row r="355" spans="1:8">
      <c r="A355">
        <v>1984</v>
      </c>
      <c r="B355">
        <v>4</v>
      </c>
      <c r="C355">
        <v>1984.2917</v>
      </c>
      <c r="D355">
        <v>347.37</v>
      </c>
      <c r="E355">
        <v>344.75</v>
      </c>
      <c r="F355">
        <v>2</v>
      </c>
      <c r="G355">
        <v>-9.99</v>
      </c>
      <c r="H355">
        <v>0</v>
      </c>
    </row>
    <row r="356" spans="1:8">
      <c r="A356">
        <v>1984</v>
      </c>
      <c r="B356">
        <v>5</v>
      </c>
      <c r="C356">
        <v>1984.375</v>
      </c>
      <c r="D356">
        <v>347.77</v>
      </c>
      <c r="E356">
        <v>344.59</v>
      </c>
      <c r="F356">
        <v>20</v>
      </c>
      <c r="G356">
        <v>0.42</v>
      </c>
      <c r="H356">
        <v>0.18</v>
      </c>
    </row>
    <row r="357" spans="1:8">
      <c r="A357">
        <v>1984</v>
      </c>
      <c r="B357">
        <v>6</v>
      </c>
      <c r="C357">
        <v>1984.4583</v>
      </c>
      <c r="D357">
        <v>347.16</v>
      </c>
      <c r="E357">
        <v>344.73</v>
      </c>
      <c r="F357">
        <v>20</v>
      </c>
      <c r="G357">
        <v>0.31</v>
      </c>
      <c r="H357">
        <v>0.13</v>
      </c>
    </row>
    <row r="358" spans="1:8">
      <c r="A358">
        <v>1984</v>
      </c>
      <c r="B358">
        <v>7</v>
      </c>
      <c r="C358">
        <v>1984.5417</v>
      </c>
      <c r="D358">
        <v>345.79</v>
      </c>
      <c r="E358">
        <v>345.02</v>
      </c>
      <c r="F358">
        <v>18</v>
      </c>
      <c r="G358">
        <v>0.33</v>
      </c>
      <c r="H358">
        <v>0.15</v>
      </c>
    </row>
    <row r="359" spans="1:8">
      <c r="A359">
        <v>1984</v>
      </c>
      <c r="B359">
        <v>8</v>
      </c>
      <c r="C359">
        <v>1984.625</v>
      </c>
      <c r="D359">
        <v>343.74</v>
      </c>
      <c r="E359">
        <v>345.12</v>
      </c>
      <c r="F359">
        <v>12</v>
      </c>
      <c r="G359">
        <v>0.45</v>
      </c>
      <c r="H359">
        <v>0.25</v>
      </c>
    </row>
    <row r="360" spans="1:8">
      <c r="A360">
        <v>1984</v>
      </c>
      <c r="B360">
        <v>9</v>
      </c>
      <c r="C360">
        <v>1984.7083</v>
      </c>
      <c r="D360">
        <v>341.59</v>
      </c>
      <c r="E360">
        <v>344.76</v>
      </c>
      <c r="F360">
        <v>14</v>
      </c>
      <c r="G360">
        <v>0.72</v>
      </c>
      <c r="H360">
        <v>0.37</v>
      </c>
    </row>
    <row r="361" spans="1:8">
      <c r="A361">
        <v>1984</v>
      </c>
      <c r="B361">
        <v>10</v>
      </c>
      <c r="C361">
        <v>1984.7917</v>
      </c>
      <c r="D361">
        <v>341.86</v>
      </c>
      <c r="E361">
        <v>345.19</v>
      </c>
      <c r="F361">
        <v>12</v>
      </c>
      <c r="G361">
        <v>0.36</v>
      </c>
      <c r="H361">
        <v>0.2</v>
      </c>
    </row>
    <row r="362" spans="1:8">
      <c r="A362">
        <v>1984</v>
      </c>
      <c r="B362">
        <v>11</v>
      </c>
      <c r="C362">
        <v>1984.875</v>
      </c>
      <c r="D362">
        <v>343.31</v>
      </c>
      <c r="E362">
        <v>345.41</v>
      </c>
      <c r="F362">
        <v>18</v>
      </c>
      <c r="G362">
        <v>0.41</v>
      </c>
      <c r="H362">
        <v>0.19</v>
      </c>
    </row>
    <row r="363" spans="1:8">
      <c r="A363">
        <v>1984</v>
      </c>
      <c r="B363">
        <v>12</v>
      </c>
      <c r="C363">
        <v>1984.9583</v>
      </c>
      <c r="D363">
        <v>345</v>
      </c>
      <c r="E363">
        <v>345.88</v>
      </c>
      <c r="F363">
        <v>14</v>
      </c>
      <c r="G363">
        <v>0.53</v>
      </c>
      <c r="H363">
        <v>0.27</v>
      </c>
    </row>
    <row r="364" spans="1:8">
      <c r="A364">
        <v>1985</v>
      </c>
      <c r="B364">
        <v>1</v>
      </c>
      <c r="C364">
        <v>1985.0417</v>
      </c>
      <c r="D364">
        <v>345.48</v>
      </c>
      <c r="E364">
        <v>345.59</v>
      </c>
      <c r="F364">
        <v>25</v>
      </c>
      <c r="G364">
        <v>0.38</v>
      </c>
      <c r="H364">
        <v>0.14000000000000001</v>
      </c>
    </row>
    <row r="365" spans="1:8">
      <c r="A365">
        <v>1985</v>
      </c>
      <c r="B365">
        <v>2</v>
      </c>
      <c r="C365">
        <v>1985.125</v>
      </c>
      <c r="D365">
        <v>346.41</v>
      </c>
      <c r="E365">
        <v>345.92</v>
      </c>
      <c r="F365">
        <v>15</v>
      </c>
      <c r="G365">
        <v>0.37</v>
      </c>
      <c r="H365">
        <v>0.18</v>
      </c>
    </row>
    <row r="366" spans="1:8">
      <c r="A366">
        <v>1985</v>
      </c>
      <c r="B366">
        <v>3</v>
      </c>
      <c r="C366">
        <v>1985.2083</v>
      </c>
      <c r="D366">
        <v>347.91</v>
      </c>
      <c r="E366">
        <v>346.56</v>
      </c>
      <c r="F366">
        <v>17</v>
      </c>
      <c r="G366">
        <v>0.34</v>
      </c>
      <c r="H366">
        <v>0.16</v>
      </c>
    </row>
    <row r="367" spans="1:8">
      <c r="A367">
        <v>1985</v>
      </c>
      <c r="B367">
        <v>4</v>
      </c>
      <c r="C367">
        <v>1985.2917</v>
      </c>
      <c r="D367">
        <v>348.66</v>
      </c>
      <c r="E367">
        <v>346.08</v>
      </c>
      <c r="F367">
        <v>21</v>
      </c>
      <c r="G367">
        <v>0.61</v>
      </c>
      <c r="H367">
        <v>0.25</v>
      </c>
    </row>
    <row r="368" spans="1:8">
      <c r="A368">
        <v>1985</v>
      </c>
      <c r="B368">
        <v>5</v>
      </c>
      <c r="C368">
        <v>1985.375</v>
      </c>
      <c r="D368">
        <v>349.28</v>
      </c>
      <c r="E368">
        <v>346.12</v>
      </c>
      <c r="F368">
        <v>20</v>
      </c>
      <c r="G368">
        <v>0.51</v>
      </c>
      <c r="H368">
        <v>0.22</v>
      </c>
    </row>
    <row r="369" spans="1:8">
      <c r="A369">
        <v>1985</v>
      </c>
      <c r="B369">
        <v>6</v>
      </c>
      <c r="C369">
        <v>1985.4583</v>
      </c>
      <c r="D369">
        <v>348.65</v>
      </c>
      <c r="E369">
        <v>346.23</v>
      </c>
      <c r="F369">
        <v>21</v>
      </c>
      <c r="G369">
        <v>0.34</v>
      </c>
      <c r="H369">
        <v>0.14000000000000001</v>
      </c>
    </row>
    <row r="370" spans="1:8">
      <c r="A370">
        <v>1985</v>
      </c>
      <c r="B370">
        <v>7</v>
      </c>
      <c r="C370">
        <v>1985.5417</v>
      </c>
      <c r="D370">
        <v>346.9</v>
      </c>
      <c r="E370">
        <v>346.08</v>
      </c>
      <c r="F370">
        <v>17</v>
      </c>
      <c r="G370">
        <v>0.36</v>
      </c>
      <c r="H370">
        <v>0.17</v>
      </c>
    </row>
    <row r="371" spans="1:8">
      <c r="A371">
        <v>1985</v>
      </c>
      <c r="B371">
        <v>8</v>
      </c>
      <c r="C371">
        <v>1985.625</v>
      </c>
      <c r="D371">
        <v>345.26</v>
      </c>
      <c r="E371">
        <v>346.57</v>
      </c>
      <c r="F371">
        <v>16</v>
      </c>
      <c r="G371">
        <v>0.56999999999999995</v>
      </c>
      <c r="H371">
        <v>0.27</v>
      </c>
    </row>
    <row r="372" spans="1:8">
      <c r="A372">
        <v>1985</v>
      </c>
      <c r="B372">
        <v>9</v>
      </c>
      <c r="C372">
        <v>1985.7083</v>
      </c>
      <c r="D372">
        <v>343.47</v>
      </c>
      <c r="E372">
        <v>346.59</v>
      </c>
      <c r="F372">
        <v>24</v>
      </c>
      <c r="G372">
        <v>0.56999999999999995</v>
      </c>
      <c r="H372">
        <v>0.22</v>
      </c>
    </row>
    <row r="373" spans="1:8">
      <c r="A373">
        <v>1985</v>
      </c>
      <c r="B373">
        <v>10</v>
      </c>
      <c r="C373">
        <v>1985.7917</v>
      </c>
      <c r="D373">
        <v>343.35</v>
      </c>
      <c r="E373">
        <v>346.6</v>
      </c>
      <c r="F373">
        <v>20</v>
      </c>
      <c r="G373">
        <v>0.28999999999999998</v>
      </c>
      <c r="H373">
        <v>0.13</v>
      </c>
    </row>
    <row r="374" spans="1:8">
      <c r="A374">
        <v>1985</v>
      </c>
      <c r="B374">
        <v>11</v>
      </c>
      <c r="C374">
        <v>1985.875</v>
      </c>
      <c r="D374">
        <v>344.73</v>
      </c>
      <c r="E374">
        <v>346.82</v>
      </c>
      <c r="F374">
        <v>21</v>
      </c>
      <c r="G374">
        <v>0.4</v>
      </c>
      <c r="H374">
        <v>0.17</v>
      </c>
    </row>
    <row r="375" spans="1:8">
      <c r="A375">
        <v>1985</v>
      </c>
      <c r="B375">
        <v>12</v>
      </c>
      <c r="C375">
        <v>1985.9583</v>
      </c>
      <c r="D375">
        <v>346.12</v>
      </c>
      <c r="E375">
        <v>347.04</v>
      </c>
      <c r="F375">
        <v>26</v>
      </c>
      <c r="G375">
        <v>0.62</v>
      </c>
      <c r="H375">
        <v>0.23</v>
      </c>
    </row>
    <row r="376" spans="1:8">
      <c r="A376">
        <v>1986</v>
      </c>
      <c r="B376">
        <v>1</v>
      </c>
      <c r="C376">
        <v>1986.0417</v>
      </c>
      <c r="D376">
        <v>346.78</v>
      </c>
      <c r="E376">
        <v>346.82</v>
      </c>
      <c r="F376">
        <v>25</v>
      </c>
      <c r="G376">
        <v>0.31</v>
      </c>
      <c r="H376">
        <v>0.12</v>
      </c>
    </row>
    <row r="377" spans="1:8">
      <c r="A377">
        <v>1986</v>
      </c>
      <c r="B377">
        <v>2</v>
      </c>
      <c r="C377">
        <v>1986.125</v>
      </c>
      <c r="D377">
        <v>347.48</v>
      </c>
      <c r="E377">
        <v>346.98</v>
      </c>
      <c r="F377">
        <v>25</v>
      </c>
      <c r="G377">
        <v>0.45</v>
      </c>
      <c r="H377">
        <v>0.17</v>
      </c>
    </row>
    <row r="378" spans="1:8">
      <c r="A378">
        <v>1986</v>
      </c>
      <c r="B378">
        <v>3</v>
      </c>
      <c r="C378">
        <v>1986.2083</v>
      </c>
      <c r="D378">
        <v>348.25</v>
      </c>
      <c r="E378">
        <v>346.93</v>
      </c>
      <c r="F378">
        <v>16</v>
      </c>
      <c r="G378">
        <v>0.7</v>
      </c>
      <c r="H378">
        <v>0.34</v>
      </c>
    </row>
    <row r="379" spans="1:8">
      <c r="A379">
        <v>1986</v>
      </c>
      <c r="B379">
        <v>4</v>
      </c>
      <c r="C379">
        <v>1986.2917</v>
      </c>
      <c r="D379">
        <v>349.86</v>
      </c>
      <c r="E379">
        <v>347.29</v>
      </c>
      <c r="F379">
        <v>19</v>
      </c>
      <c r="G379">
        <v>0.38</v>
      </c>
      <c r="H379">
        <v>0.17</v>
      </c>
    </row>
    <row r="380" spans="1:8">
      <c r="A380">
        <v>1986</v>
      </c>
      <c r="B380">
        <v>5</v>
      </c>
      <c r="C380">
        <v>1986.375</v>
      </c>
      <c r="D380">
        <v>350.52</v>
      </c>
      <c r="E380">
        <v>347.42</v>
      </c>
      <c r="F380">
        <v>18</v>
      </c>
      <c r="G380">
        <v>0.31</v>
      </c>
      <c r="H380">
        <v>0.14000000000000001</v>
      </c>
    </row>
    <row r="381" spans="1:8">
      <c r="A381">
        <v>1986</v>
      </c>
      <c r="B381">
        <v>6</v>
      </c>
      <c r="C381">
        <v>1986.4583</v>
      </c>
      <c r="D381">
        <v>349.98</v>
      </c>
      <c r="E381">
        <v>347.61</v>
      </c>
      <c r="F381">
        <v>17</v>
      </c>
      <c r="G381">
        <v>0.25</v>
      </c>
      <c r="H381">
        <v>0.11</v>
      </c>
    </row>
    <row r="382" spans="1:8">
      <c r="A382">
        <v>1986</v>
      </c>
      <c r="B382">
        <v>7</v>
      </c>
      <c r="C382">
        <v>1986.5417</v>
      </c>
      <c r="D382">
        <v>348.25</v>
      </c>
      <c r="E382">
        <v>347.43</v>
      </c>
      <c r="F382">
        <v>20</v>
      </c>
      <c r="G382">
        <v>0.47</v>
      </c>
      <c r="H382">
        <v>0.2</v>
      </c>
    </row>
    <row r="383" spans="1:8">
      <c r="A383">
        <v>1986</v>
      </c>
      <c r="B383">
        <v>8</v>
      </c>
      <c r="C383">
        <v>1986.625</v>
      </c>
      <c r="D383">
        <v>346.17</v>
      </c>
      <c r="E383">
        <v>347.51</v>
      </c>
      <c r="F383">
        <v>18</v>
      </c>
      <c r="G383">
        <v>0.48</v>
      </c>
      <c r="H383">
        <v>0.21</v>
      </c>
    </row>
    <row r="384" spans="1:8">
      <c r="A384">
        <v>1986</v>
      </c>
      <c r="B384">
        <v>9</v>
      </c>
      <c r="C384">
        <v>1986.7083</v>
      </c>
      <c r="D384">
        <v>345.48</v>
      </c>
      <c r="E384">
        <v>348.61</v>
      </c>
      <c r="F384">
        <v>17</v>
      </c>
      <c r="G384">
        <v>0.63</v>
      </c>
      <c r="H384">
        <v>0.28999999999999998</v>
      </c>
    </row>
    <row r="385" spans="1:8">
      <c r="A385">
        <v>1986</v>
      </c>
      <c r="B385">
        <v>10</v>
      </c>
      <c r="C385">
        <v>1986.7917</v>
      </c>
      <c r="D385">
        <v>344.82</v>
      </c>
      <c r="E385">
        <v>348.04</v>
      </c>
      <c r="F385">
        <v>25</v>
      </c>
      <c r="G385">
        <v>0.32</v>
      </c>
      <c r="H385">
        <v>0.12</v>
      </c>
    </row>
    <row r="386" spans="1:8">
      <c r="A386">
        <v>1986</v>
      </c>
      <c r="B386">
        <v>11</v>
      </c>
      <c r="C386">
        <v>1986.875</v>
      </c>
      <c r="D386">
        <v>346.22</v>
      </c>
      <c r="E386">
        <v>348.28</v>
      </c>
      <c r="F386">
        <v>21</v>
      </c>
      <c r="G386">
        <v>0.3</v>
      </c>
      <c r="H386">
        <v>0.13</v>
      </c>
    </row>
    <row r="387" spans="1:8">
      <c r="A387">
        <v>1986</v>
      </c>
      <c r="B387">
        <v>12</v>
      </c>
      <c r="C387">
        <v>1986.9583</v>
      </c>
      <c r="D387">
        <v>347.48</v>
      </c>
      <c r="E387">
        <v>348.36</v>
      </c>
      <c r="F387">
        <v>24</v>
      </c>
      <c r="G387">
        <v>0.35</v>
      </c>
      <c r="H387">
        <v>0.14000000000000001</v>
      </c>
    </row>
    <row r="388" spans="1:8">
      <c r="A388">
        <v>1987</v>
      </c>
      <c r="B388">
        <v>1</v>
      </c>
      <c r="C388">
        <v>1987.0417</v>
      </c>
      <c r="D388">
        <v>348.73</v>
      </c>
      <c r="E388">
        <v>348.66</v>
      </c>
      <c r="F388">
        <v>25</v>
      </c>
      <c r="G388">
        <v>0.46</v>
      </c>
      <c r="H388">
        <v>0.17</v>
      </c>
    </row>
    <row r="389" spans="1:8">
      <c r="A389">
        <v>1987</v>
      </c>
      <c r="B389">
        <v>2</v>
      </c>
      <c r="C389">
        <v>1987.125</v>
      </c>
      <c r="D389">
        <v>348.92</v>
      </c>
      <c r="E389">
        <v>348.24</v>
      </c>
      <c r="F389">
        <v>25</v>
      </c>
      <c r="G389">
        <v>0.57999999999999996</v>
      </c>
      <c r="H389">
        <v>0.22</v>
      </c>
    </row>
    <row r="390" spans="1:8">
      <c r="A390">
        <v>1987</v>
      </c>
      <c r="B390">
        <v>3</v>
      </c>
      <c r="C390">
        <v>1987.2083</v>
      </c>
      <c r="D390">
        <v>349.81</v>
      </c>
      <c r="E390">
        <v>348.39</v>
      </c>
      <c r="F390">
        <v>21</v>
      </c>
      <c r="G390">
        <v>0.35</v>
      </c>
      <c r="H390">
        <v>0.15</v>
      </c>
    </row>
    <row r="391" spans="1:8">
      <c r="A391">
        <v>1987</v>
      </c>
      <c r="B391">
        <v>4</v>
      </c>
      <c r="C391">
        <v>1987.2917</v>
      </c>
      <c r="D391">
        <v>351.4</v>
      </c>
      <c r="E391">
        <v>348.84</v>
      </c>
      <c r="F391">
        <v>26</v>
      </c>
      <c r="G391">
        <v>0.68</v>
      </c>
      <c r="H391">
        <v>0.25</v>
      </c>
    </row>
    <row r="392" spans="1:8">
      <c r="A392">
        <v>1987</v>
      </c>
      <c r="B392">
        <v>5</v>
      </c>
      <c r="C392">
        <v>1987.375</v>
      </c>
      <c r="D392">
        <v>352.15</v>
      </c>
      <c r="E392">
        <v>349.09</v>
      </c>
      <c r="F392">
        <v>28</v>
      </c>
      <c r="G392">
        <v>0.37</v>
      </c>
      <c r="H392">
        <v>0.13</v>
      </c>
    </row>
    <row r="393" spans="1:8">
      <c r="A393">
        <v>1987</v>
      </c>
      <c r="B393">
        <v>6</v>
      </c>
      <c r="C393">
        <v>1987.4583</v>
      </c>
      <c r="D393">
        <v>351.58</v>
      </c>
      <c r="E393">
        <v>349.29</v>
      </c>
      <c r="F393">
        <v>22</v>
      </c>
      <c r="G393">
        <v>0.21</v>
      </c>
      <c r="H393">
        <v>0.09</v>
      </c>
    </row>
    <row r="394" spans="1:8">
      <c r="A394">
        <v>1987</v>
      </c>
      <c r="B394">
        <v>7</v>
      </c>
      <c r="C394">
        <v>1987.5417</v>
      </c>
      <c r="D394">
        <v>350.21</v>
      </c>
      <c r="E394">
        <v>349.51</v>
      </c>
      <c r="F394">
        <v>17</v>
      </c>
      <c r="G394">
        <v>0.73</v>
      </c>
      <c r="H394">
        <v>0.34</v>
      </c>
    </row>
    <row r="395" spans="1:8">
      <c r="A395">
        <v>1987</v>
      </c>
      <c r="B395">
        <v>8</v>
      </c>
      <c r="C395">
        <v>1987.625</v>
      </c>
      <c r="D395">
        <v>348.2</v>
      </c>
      <c r="E395">
        <v>349.65</v>
      </c>
      <c r="F395">
        <v>15</v>
      </c>
      <c r="G395">
        <v>0.85</v>
      </c>
      <c r="H395">
        <v>0.42</v>
      </c>
    </row>
    <row r="396" spans="1:8">
      <c r="A396">
        <v>1987</v>
      </c>
      <c r="B396">
        <v>9</v>
      </c>
      <c r="C396">
        <v>1987.7083</v>
      </c>
      <c r="D396">
        <v>346.66</v>
      </c>
      <c r="E396">
        <v>349.85</v>
      </c>
      <c r="F396">
        <v>23</v>
      </c>
      <c r="G396">
        <v>0.61</v>
      </c>
      <c r="H396">
        <v>0.24</v>
      </c>
    </row>
    <row r="397" spans="1:8">
      <c r="A397">
        <v>1987</v>
      </c>
      <c r="B397">
        <v>10</v>
      </c>
      <c r="C397">
        <v>1987.7917</v>
      </c>
      <c r="D397">
        <v>346.72</v>
      </c>
      <c r="E397">
        <v>349.96</v>
      </c>
      <c r="F397">
        <v>22</v>
      </c>
      <c r="G397">
        <v>0.41</v>
      </c>
      <c r="H397">
        <v>0.17</v>
      </c>
    </row>
    <row r="398" spans="1:8">
      <c r="A398">
        <v>1987</v>
      </c>
      <c r="B398">
        <v>11</v>
      </c>
      <c r="C398">
        <v>1987.875</v>
      </c>
      <c r="D398">
        <v>348.08</v>
      </c>
      <c r="E398">
        <v>350.15</v>
      </c>
      <c r="F398">
        <v>23</v>
      </c>
      <c r="G398">
        <v>0.33</v>
      </c>
      <c r="H398">
        <v>0.13</v>
      </c>
    </row>
    <row r="399" spans="1:8">
      <c r="A399">
        <v>1987</v>
      </c>
      <c r="B399">
        <v>12</v>
      </c>
      <c r="C399">
        <v>1987.9583</v>
      </c>
      <c r="D399">
        <v>349.28</v>
      </c>
      <c r="E399">
        <v>350.14</v>
      </c>
      <c r="F399">
        <v>27</v>
      </c>
      <c r="G399">
        <v>0.2</v>
      </c>
      <c r="H399">
        <v>0.08</v>
      </c>
    </row>
    <row r="400" spans="1:8">
      <c r="A400">
        <v>1988</v>
      </c>
      <c r="B400">
        <v>1</v>
      </c>
      <c r="C400">
        <v>1988.0417</v>
      </c>
      <c r="D400">
        <v>350.51</v>
      </c>
      <c r="E400">
        <v>350.49</v>
      </c>
      <c r="F400">
        <v>24</v>
      </c>
      <c r="G400">
        <v>0.21</v>
      </c>
      <c r="H400">
        <v>0.08</v>
      </c>
    </row>
    <row r="401" spans="1:8">
      <c r="A401">
        <v>1988</v>
      </c>
      <c r="B401">
        <v>2</v>
      </c>
      <c r="C401">
        <v>1988.125</v>
      </c>
      <c r="D401">
        <v>351.7</v>
      </c>
      <c r="E401">
        <v>350.99</v>
      </c>
      <c r="F401">
        <v>23</v>
      </c>
      <c r="G401">
        <v>0.56999999999999995</v>
      </c>
      <c r="H401">
        <v>0.23</v>
      </c>
    </row>
    <row r="402" spans="1:8">
      <c r="A402">
        <v>1988</v>
      </c>
      <c r="B402">
        <v>3</v>
      </c>
      <c r="C402">
        <v>1988.2083</v>
      </c>
      <c r="D402">
        <v>352.5</v>
      </c>
      <c r="E402">
        <v>350.99</v>
      </c>
      <c r="F402">
        <v>25</v>
      </c>
      <c r="G402">
        <v>0.78</v>
      </c>
      <c r="H402">
        <v>0.3</v>
      </c>
    </row>
    <row r="403" spans="1:8">
      <c r="A403">
        <v>1988</v>
      </c>
      <c r="B403">
        <v>4</v>
      </c>
      <c r="C403">
        <v>1988.2917</v>
      </c>
      <c r="D403">
        <v>353.67</v>
      </c>
      <c r="E403">
        <v>351.03</v>
      </c>
      <c r="F403">
        <v>27</v>
      </c>
      <c r="G403">
        <v>0.48</v>
      </c>
      <c r="H403">
        <v>0.18</v>
      </c>
    </row>
    <row r="404" spans="1:8">
      <c r="A404">
        <v>1988</v>
      </c>
      <c r="B404">
        <v>5</v>
      </c>
      <c r="C404">
        <v>1988.375</v>
      </c>
      <c r="D404">
        <v>354.35</v>
      </c>
      <c r="E404">
        <v>351.22</v>
      </c>
      <c r="F404">
        <v>28</v>
      </c>
      <c r="G404">
        <v>0.37</v>
      </c>
      <c r="H404">
        <v>0.13</v>
      </c>
    </row>
    <row r="405" spans="1:8">
      <c r="A405">
        <v>1988</v>
      </c>
      <c r="B405">
        <v>6</v>
      </c>
      <c r="C405">
        <v>1988.4583</v>
      </c>
      <c r="D405">
        <v>353.88</v>
      </c>
      <c r="E405">
        <v>351.55</v>
      </c>
      <c r="F405">
        <v>26</v>
      </c>
      <c r="G405">
        <v>0.3</v>
      </c>
      <c r="H405">
        <v>0.11</v>
      </c>
    </row>
    <row r="406" spans="1:8">
      <c r="A406">
        <v>1988</v>
      </c>
      <c r="B406">
        <v>7</v>
      </c>
      <c r="C406">
        <v>1988.5417</v>
      </c>
      <c r="D406">
        <v>352.8</v>
      </c>
      <c r="E406">
        <v>352.16</v>
      </c>
      <c r="F406">
        <v>27</v>
      </c>
      <c r="G406">
        <v>0.49</v>
      </c>
      <c r="H406">
        <v>0.18</v>
      </c>
    </row>
    <row r="407" spans="1:8">
      <c r="A407">
        <v>1988</v>
      </c>
      <c r="B407">
        <v>8</v>
      </c>
      <c r="C407">
        <v>1988.625</v>
      </c>
      <c r="D407">
        <v>350.49</v>
      </c>
      <c r="E407">
        <v>352.01</v>
      </c>
      <c r="F407">
        <v>26</v>
      </c>
      <c r="G407">
        <v>0.62</v>
      </c>
      <c r="H407">
        <v>0.23</v>
      </c>
    </row>
    <row r="408" spans="1:8">
      <c r="A408">
        <v>1988</v>
      </c>
      <c r="B408">
        <v>9</v>
      </c>
      <c r="C408">
        <v>1988.7083</v>
      </c>
      <c r="D408">
        <v>348.97</v>
      </c>
      <c r="E408">
        <v>352.18</v>
      </c>
      <c r="F408">
        <v>26</v>
      </c>
      <c r="G408">
        <v>0.47</v>
      </c>
      <c r="H408">
        <v>0.18</v>
      </c>
    </row>
    <row r="409" spans="1:8">
      <c r="A409">
        <v>1988</v>
      </c>
      <c r="B409">
        <v>10</v>
      </c>
      <c r="C409">
        <v>1988.7917</v>
      </c>
      <c r="D409">
        <v>349.37</v>
      </c>
      <c r="E409">
        <v>352.62</v>
      </c>
      <c r="F409">
        <v>26</v>
      </c>
      <c r="G409">
        <v>0.31</v>
      </c>
      <c r="H409">
        <v>0.12</v>
      </c>
    </row>
    <row r="410" spans="1:8">
      <c r="A410">
        <v>1988</v>
      </c>
      <c r="B410">
        <v>11</v>
      </c>
      <c r="C410">
        <v>1988.875</v>
      </c>
      <c r="D410">
        <v>350.42</v>
      </c>
      <c r="E410">
        <v>352.53</v>
      </c>
      <c r="F410">
        <v>25</v>
      </c>
      <c r="G410">
        <v>0.2</v>
      </c>
      <c r="H410">
        <v>0.08</v>
      </c>
    </row>
    <row r="411" spans="1:8">
      <c r="A411">
        <v>1988</v>
      </c>
      <c r="B411">
        <v>12</v>
      </c>
      <c r="C411">
        <v>1988.9583</v>
      </c>
      <c r="D411">
        <v>351.62</v>
      </c>
      <c r="E411">
        <v>352.52</v>
      </c>
      <c r="F411">
        <v>28</v>
      </c>
      <c r="G411">
        <v>0.36</v>
      </c>
      <c r="H411">
        <v>0.13</v>
      </c>
    </row>
    <row r="412" spans="1:8">
      <c r="A412">
        <v>1989</v>
      </c>
      <c r="B412">
        <v>1</v>
      </c>
      <c r="C412">
        <v>1989.0417</v>
      </c>
      <c r="D412">
        <v>353.07</v>
      </c>
      <c r="E412">
        <v>352.99</v>
      </c>
      <c r="F412">
        <v>28</v>
      </c>
      <c r="G412">
        <v>0.45</v>
      </c>
      <c r="H412">
        <v>0.16</v>
      </c>
    </row>
    <row r="413" spans="1:8">
      <c r="A413">
        <v>1989</v>
      </c>
      <c r="B413">
        <v>2</v>
      </c>
      <c r="C413">
        <v>1989.125</v>
      </c>
      <c r="D413">
        <v>353.43</v>
      </c>
      <c r="E413">
        <v>352.69</v>
      </c>
      <c r="F413">
        <v>25</v>
      </c>
      <c r="G413">
        <v>0.38</v>
      </c>
      <c r="H413">
        <v>0.15</v>
      </c>
    </row>
    <row r="414" spans="1:8">
      <c r="A414">
        <v>1989</v>
      </c>
      <c r="B414">
        <v>3</v>
      </c>
      <c r="C414">
        <v>1989.2083</v>
      </c>
      <c r="D414">
        <v>354.08</v>
      </c>
      <c r="E414">
        <v>352.6</v>
      </c>
      <c r="F414">
        <v>29</v>
      </c>
      <c r="G414">
        <v>0.53</v>
      </c>
      <c r="H414">
        <v>0.19</v>
      </c>
    </row>
    <row r="415" spans="1:8">
      <c r="A415">
        <v>1989</v>
      </c>
      <c r="B415">
        <v>4</v>
      </c>
      <c r="C415">
        <v>1989.2917</v>
      </c>
      <c r="D415">
        <v>355.72</v>
      </c>
      <c r="E415">
        <v>353.07</v>
      </c>
      <c r="F415">
        <v>28</v>
      </c>
      <c r="G415">
        <v>0.47</v>
      </c>
      <c r="H415">
        <v>0.17</v>
      </c>
    </row>
    <row r="416" spans="1:8">
      <c r="A416">
        <v>1989</v>
      </c>
      <c r="B416">
        <v>5</v>
      </c>
      <c r="C416">
        <v>1989.375</v>
      </c>
      <c r="D416">
        <v>355.95</v>
      </c>
      <c r="E416">
        <v>352.78</v>
      </c>
      <c r="F416">
        <v>27</v>
      </c>
      <c r="G416">
        <v>0.49</v>
      </c>
      <c r="H416">
        <v>0.18</v>
      </c>
    </row>
    <row r="417" spans="1:8">
      <c r="A417">
        <v>1989</v>
      </c>
      <c r="B417">
        <v>6</v>
      </c>
      <c r="C417">
        <v>1989.4583</v>
      </c>
      <c r="D417">
        <v>355.44</v>
      </c>
      <c r="E417">
        <v>353.06</v>
      </c>
      <c r="F417">
        <v>26</v>
      </c>
      <c r="G417">
        <v>0.42</v>
      </c>
      <c r="H417">
        <v>0.16</v>
      </c>
    </row>
    <row r="418" spans="1:8">
      <c r="A418">
        <v>1989</v>
      </c>
      <c r="B418">
        <v>7</v>
      </c>
      <c r="C418">
        <v>1989.5417</v>
      </c>
      <c r="D418">
        <v>354.05</v>
      </c>
      <c r="E418">
        <v>353.38</v>
      </c>
      <c r="F418">
        <v>26</v>
      </c>
      <c r="G418">
        <v>0.41</v>
      </c>
      <c r="H418">
        <v>0.15</v>
      </c>
    </row>
    <row r="419" spans="1:8">
      <c r="A419">
        <v>1989</v>
      </c>
      <c r="B419">
        <v>8</v>
      </c>
      <c r="C419">
        <v>1989.625</v>
      </c>
      <c r="D419">
        <v>351.84</v>
      </c>
      <c r="E419">
        <v>353.43</v>
      </c>
      <c r="F419">
        <v>25</v>
      </c>
      <c r="G419">
        <v>0.48</v>
      </c>
      <c r="H419">
        <v>0.18</v>
      </c>
    </row>
    <row r="420" spans="1:8">
      <c r="A420">
        <v>1989</v>
      </c>
      <c r="B420">
        <v>9</v>
      </c>
      <c r="C420">
        <v>1989.7083</v>
      </c>
      <c r="D420">
        <v>350.09</v>
      </c>
      <c r="E420">
        <v>353.37</v>
      </c>
      <c r="F420">
        <v>24</v>
      </c>
      <c r="G420">
        <v>0.69</v>
      </c>
      <c r="H420">
        <v>0.27</v>
      </c>
    </row>
    <row r="421" spans="1:8">
      <c r="A421">
        <v>1989</v>
      </c>
      <c r="B421">
        <v>10</v>
      </c>
      <c r="C421">
        <v>1989.7917</v>
      </c>
      <c r="D421">
        <v>350.33</v>
      </c>
      <c r="E421">
        <v>353.57</v>
      </c>
      <c r="F421">
        <v>25</v>
      </c>
      <c r="G421">
        <v>0.34</v>
      </c>
      <c r="H421">
        <v>0.13</v>
      </c>
    </row>
    <row r="422" spans="1:8">
      <c r="A422">
        <v>1989</v>
      </c>
      <c r="B422">
        <v>11</v>
      </c>
      <c r="C422">
        <v>1989.875</v>
      </c>
      <c r="D422">
        <v>351.55</v>
      </c>
      <c r="E422">
        <v>353.68</v>
      </c>
      <c r="F422">
        <v>27</v>
      </c>
      <c r="G422">
        <v>0.36</v>
      </c>
      <c r="H422">
        <v>0.13</v>
      </c>
    </row>
    <row r="423" spans="1:8">
      <c r="A423">
        <v>1989</v>
      </c>
      <c r="B423">
        <v>12</v>
      </c>
      <c r="C423">
        <v>1989.9583</v>
      </c>
      <c r="D423">
        <v>352.91</v>
      </c>
      <c r="E423">
        <v>353.84</v>
      </c>
      <c r="F423">
        <v>27</v>
      </c>
      <c r="G423">
        <v>0.48</v>
      </c>
      <c r="H423">
        <v>0.18</v>
      </c>
    </row>
    <row r="424" spans="1:8">
      <c r="A424">
        <v>1990</v>
      </c>
      <c r="B424">
        <v>1</v>
      </c>
      <c r="C424">
        <v>1990.0417</v>
      </c>
      <c r="D424">
        <v>353.86</v>
      </c>
      <c r="E424">
        <v>353.78</v>
      </c>
      <c r="F424">
        <v>25</v>
      </c>
      <c r="G424">
        <v>0.34</v>
      </c>
      <c r="H424">
        <v>0.13</v>
      </c>
    </row>
    <row r="425" spans="1:8">
      <c r="A425">
        <v>1990</v>
      </c>
      <c r="B425">
        <v>2</v>
      </c>
      <c r="C425">
        <v>1990.125</v>
      </c>
      <c r="D425">
        <v>355.1</v>
      </c>
      <c r="E425">
        <v>354.37</v>
      </c>
      <c r="F425">
        <v>28</v>
      </c>
      <c r="G425">
        <v>0.66</v>
      </c>
      <c r="H425">
        <v>0.24</v>
      </c>
    </row>
    <row r="426" spans="1:8">
      <c r="A426">
        <v>1990</v>
      </c>
      <c r="B426">
        <v>3</v>
      </c>
      <c r="C426">
        <v>1990.2083</v>
      </c>
      <c r="D426">
        <v>355.75</v>
      </c>
      <c r="E426">
        <v>354.27</v>
      </c>
      <c r="F426">
        <v>27</v>
      </c>
      <c r="G426">
        <v>0.56999999999999995</v>
      </c>
      <c r="H426">
        <v>0.21</v>
      </c>
    </row>
    <row r="427" spans="1:8">
      <c r="A427">
        <v>1990</v>
      </c>
      <c r="B427">
        <v>4</v>
      </c>
      <c r="C427">
        <v>1990.2917</v>
      </c>
      <c r="D427">
        <v>356.38</v>
      </c>
      <c r="E427">
        <v>353.76</v>
      </c>
      <c r="F427">
        <v>28</v>
      </c>
      <c r="G427">
        <v>0.55000000000000004</v>
      </c>
      <c r="H427">
        <v>0.2</v>
      </c>
    </row>
    <row r="428" spans="1:8">
      <c r="A428">
        <v>1990</v>
      </c>
      <c r="B428">
        <v>5</v>
      </c>
      <c r="C428">
        <v>1990.375</v>
      </c>
      <c r="D428">
        <v>357.38</v>
      </c>
      <c r="E428">
        <v>354.23</v>
      </c>
      <c r="F428">
        <v>28</v>
      </c>
      <c r="G428">
        <v>0.3</v>
      </c>
      <c r="H428">
        <v>0.11</v>
      </c>
    </row>
    <row r="429" spans="1:8">
      <c r="A429">
        <v>1990</v>
      </c>
      <c r="B429">
        <v>6</v>
      </c>
      <c r="C429">
        <v>1990.4583</v>
      </c>
      <c r="D429">
        <v>356.39</v>
      </c>
      <c r="E429">
        <v>354.02</v>
      </c>
      <c r="F429">
        <v>29</v>
      </c>
      <c r="G429">
        <v>0.4</v>
      </c>
      <c r="H429">
        <v>0.14000000000000001</v>
      </c>
    </row>
    <row r="430" spans="1:8">
      <c r="A430">
        <v>1990</v>
      </c>
      <c r="B430">
        <v>7</v>
      </c>
      <c r="C430">
        <v>1990.5417</v>
      </c>
      <c r="D430">
        <v>354.89</v>
      </c>
      <c r="E430">
        <v>354.24</v>
      </c>
      <c r="F430">
        <v>30</v>
      </c>
      <c r="G430">
        <v>0.89</v>
      </c>
      <c r="H430">
        <v>0.31</v>
      </c>
    </row>
    <row r="431" spans="1:8">
      <c r="A431">
        <v>1990</v>
      </c>
      <c r="B431">
        <v>8</v>
      </c>
      <c r="C431">
        <v>1990.625</v>
      </c>
      <c r="D431">
        <v>353.06</v>
      </c>
      <c r="E431">
        <v>354.68</v>
      </c>
      <c r="F431">
        <v>22</v>
      </c>
      <c r="G431">
        <v>0.62</v>
      </c>
      <c r="H431">
        <v>0.25</v>
      </c>
    </row>
    <row r="432" spans="1:8">
      <c r="A432">
        <v>1990</v>
      </c>
      <c r="B432">
        <v>9</v>
      </c>
      <c r="C432">
        <v>1990.7083</v>
      </c>
      <c r="D432">
        <v>351.38</v>
      </c>
      <c r="E432">
        <v>354.69</v>
      </c>
      <c r="F432">
        <v>27</v>
      </c>
      <c r="G432">
        <v>0.72</v>
      </c>
      <c r="H432">
        <v>0.26</v>
      </c>
    </row>
    <row r="433" spans="1:8">
      <c r="A433">
        <v>1990</v>
      </c>
      <c r="B433">
        <v>10</v>
      </c>
      <c r="C433">
        <v>1990.7917</v>
      </c>
      <c r="D433">
        <v>351.69</v>
      </c>
      <c r="E433">
        <v>354.94</v>
      </c>
      <c r="F433">
        <v>28</v>
      </c>
      <c r="G433">
        <v>0.3</v>
      </c>
      <c r="H433">
        <v>0.11</v>
      </c>
    </row>
    <row r="434" spans="1:8">
      <c r="A434">
        <v>1990</v>
      </c>
      <c r="B434">
        <v>11</v>
      </c>
      <c r="C434">
        <v>1990.875</v>
      </c>
      <c r="D434">
        <v>353.14</v>
      </c>
      <c r="E434">
        <v>355.18</v>
      </c>
      <c r="F434">
        <v>24</v>
      </c>
      <c r="G434">
        <v>0.2</v>
      </c>
      <c r="H434">
        <v>0.08</v>
      </c>
    </row>
    <row r="435" spans="1:8">
      <c r="A435">
        <v>1990</v>
      </c>
      <c r="B435">
        <v>12</v>
      </c>
      <c r="C435">
        <v>1990.9583</v>
      </c>
      <c r="D435">
        <v>354.41</v>
      </c>
      <c r="E435">
        <v>355.26</v>
      </c>
      <c r="F435">
        <v>28</v>
      </c>
      <c r="G435">
        <v>0.51</v>
      </c>
      <c r="H435">
        <v>0.19</v>
      </c>
    </row>
    <row r="436" spans="1:8">
      <c r="A436">
        <v>1991</v>
      </c>
      <c r="B436">
        <v>1</v>
      </c>
      <c r="C436">
        <v>1991.0417</v>
      </c>
      <c r="D436">
        <v>354.93</v>
      </c>
      <c r="E436">
        <v>354.91</v>
      </c>
      <c r="F436">
        <v>28</v>
      </c>
      <c r="G436">
        <v>0.51</v>
      </c>
      <c r="H436">
        <v>0.18</v>
      </c>
    </row>
    <row r="437" spans="1:8">
      <c r="A437">
        <v>1991</v>
      </c>
      <c r="B437">
        <v>2</v>
      </c>
      <c r="C437">
        <v>1991.125</v>
      </c>
      <c r="D437">
        <v>355.82</v>
      </c>
      <c r="E437">
        <v>355.11</v>
      </c>
      <c r="F437">
        <v>26</v>
      </c>
      <c r="G437">
        <v>0.54</v>
      </c>
      <c r="H437">
        <v>0.2</v>
      </c>
    </row>
    <row r="438" spans="1:8">
      <c r="A438">
        <v>1991</v>
      </c>
      <c r="B438">
        <v>3</v>
      </c>
      <c r="C438">
        <v>1991.2083</v>
      </c>
      <c r="D438">
        <v>357.33</v>
      </c>
      <c r="E438">
        <v>355.79</v>
      </c>
      <c r="F438">
        <v>30</v>
      </c>
      <c r="G438">
        <v>0.73</v>
      </c>
      <c r="H438">
        <v>0.25</v>
      </c>
    </row>
    <row r="439" spans="1:8">
      <c r="A439">
        <v>1991</v>
      </c>
      <c r="B439">
        <v>4</v>
      </c>
      <c r="C439">
        <v>1991.2917</v>
      </c>
      <c r="D439">
        <v>358.77</v>
      </c>
      <c r="E439">
        <v>356.13</v>
      </c>
      <c r="F439">
        <v>30</v>
      </c>
      <c r="G439">
        <v>0.66</v>
      </c>
      <c r="H439">
        <v>0.23</v>
      </c>
    </row>
    <row r="440" spans="1:8">
      <c r="A440">
        <v>1991</v>
      </c>
      <c r="B440">
        <v>5</v>
      </c>
      <c r="C440">
        <v>1991.375</v>
      </c>
      <c r="D440">
        <v>359.23</v>
      </c>
      <c r="E440">
        <v>356.1</v>
      </c>
      <c r="F440">
        <v>29</v>
      </c>
      <c r="G440">
        <v>0.52</v>
      </c>
      <c r="H440">
        <v>0.19</v>
      </c>
    </row>
    <row r="441" spans="1:8">
      <c r="A441">
        <v>1991</v>
      </c>
      <c r="B441">
        <v>6</v>
      </c>
      <c r="C441">
        <v>1991.4583</v>
      </c>
      <c r="D441">
        <v>358.23</v>
      </c>
      <c r="E441">
        <v>355.88</v>
      </c>
      <c r="F441">
        <v>29</v>
      </c>
      <c r="G441">
        <v>0.3</v>
      </c>
      <c r="H441">
        <v>0.11</v>
      </c>
    </row>
    <row r="442" spans="1:8">
      <c r="A442">
        <v>1991</v>
      </c>
      <c r="B442">
        <v>7</v>
      </c>
      <c r="C442">
        <v>1991.5417</v>
      </c>
      <c r="D442">
        <v>356.3</v>
      </c>
      <c r="E442">
        <v>355.69</v>
      </c>
      <c r="F442">
        <v>24</v>
      </c>
      <c r="G442">
        <v>0.46</v>
      </c>
      <c r="H442">
        <v>0.18</v>
      </c>
    </row>
    <row r="443" spans="1:8">
      <c r="A443">
        <v>1991</v>
      </c>
      <c r="B443">
        <v>8</v>
      </c>
      <c r="C443">
        <v>1991.625</v>
      </c>
      <c r="D443">
        <v>353.97</v>
      </c>
      <c r="E443">
        <v>355.59</v>
      </c>
      <c r="F443">
        <v>23</v>
      </c>
      <c r="G443">
        <v>0.39</v>
      </c>
      <c r="H443">
        <v>0.15</v>
      </c>
    </row>
    <row r="444" spans="1:8">
      <c r="A444">
        <v>1991</v>
      </c>
      <c r="B444">
        <v>9</v>
      </c>
      <c r="C444">
        <v>1991.7083</v>
      </c>
      <c r="D444">
        <v>352.34</v>
      </c>
      <c r="E444">
        <v>355.66</v>
      </c>
      <c r="F444">
        <v>27</v>
      </c>
      <c r="G444">
        <v>0.37</v>
      </c>
      <c r="H444">
        <v>0.14000000000000001</v>
      </c>
    </row>
    <row r="445" spans="1:8">
      <c r="A445">
        <v>1991</v>
      </c>
      <c r="B445">
        <v>10</v>
      </c>
      <c r="C445">
        <v>1991.7917</v>
      </c>
      <c r="D445">
        <v>352.43</v>
      </c>
      <c r="E445">
        <v>355.69</v>
      </c>
      <c r="F445">
        <v>27</v>
      </c>
      <c r="G445">
        <v>0.25</v>
      </c>
      <c r="H445">
        <v>0.09</v>
      </c>
    </row>
    <row r="446" spans="1:8">
      <c r="A446">
        <v>1991</v>
      </c>
      <c r="B446">
        <v>11</v>
      </c>
      <c r="C446">
        <v>1991.875</v>
      </c>
      <c r="D446">
        <v>353.89</v>
      </c>
      <c r="E446">
        <v>355.87</v>
      </c>
      <c r="F446">
        <v>28</v>
      </c>
      <c r="G446">
        <v>0.25</v>
      </c>
      <c r="H446">
        <v>0.09</v>
      </c>
    </row>
    <row r="447" spans="1:8">
      <c r="A447">
        <v>1991</v>
      </c>
      <c r="B447">
        <v>12</v>
      </c>
      <c r="C447">
        <v>1991.9583</v>
      </c>
      <c r="D447">
        <v>355.21</v>
      </c>
      <c r="E447">
        <v>356.02</v>
      </c>
      <c r="F447">
        <v>30</v>
      </c>
      <c r="G447">
        <v>0.34</v>
      </c>
      <c r="H447">
        <v>0.12</v>
      </c>
    </row>
    <row r="448" spans="1:8">
      <c r="A448">
        <v>1992</v>
      </c>
      <c r="B448">
        <v>1</v>
      </c>
      <c r="C448">
        <v>1992.0417</v>
      </c>
      <c r="D448">
        <v>356.34</v>
      </c>
      <c r="E448">
        <v>356.29</v>
      </c>
      <c r="F448">
        <v>31</v>
      </c>
      <c r="G448">
        <v>0.6</v>
      </c>
      <c r="H448">
        <v>0.21</v>
      </c>
    </row>
    <row r="449" spans="1:8">
      <c r="A449">
        <v>1992</v>
      </c>
      <c r="B449">
        <v>2</v>
      </c>
      <c r="C449">
        <v>1992.125</v>
      </c>
      <c r="D449">
        <v>357.21</v>
      </c>
      <c r="E449">
        <v>356.47</v>
      </c>
      <c r="F449">
        <v>27</v>
      </c>
      <c r="G449">
        <v>0.56000000000000005</v>
      </c>
      <c r="H449">
        <v>0.21</v>
      </c>
    </row>
    <row r="450" spans="1:8">
      <c r="A450">
        <v>1992</v>
      </c>
      <c r="B450">
        <v>3</v>
      </c>
      <c r="C450">
        <v>1992.2083</v>
      </c>
      <c r="D450">
        <v>357.97</v>
      </c>
      <c r="E450">
        <v>356.38</v>
      </c>
      <c r="F450">
        <v>24</v>
      </c>
      <c r="G450">
        <v>0.72</v>
      </c>
      <c r="H450">
        <v>0.28000000000000003</v>
      </c>
    </row>
    <row r="451" spans="1:8">
      <c r="A451">
        <v>1992</v>
      </c>
      <c r="B451">
        <v>4</v>
      </c>
      <c r="C451">
        <v>1992.2917</v>
      </c>
      <c r="D451">
        <v>359.22</v>
      </c>
      <c r="E451">
        <v>356.51</v>
      </c>
      <c r="F451">
        <v>27</v>
      </c>
      <c r="G451">
        <v>0.53</v>
      </c>
      <c r="H451">
        <v>0.2</v>
      </c>
    </row>
    <row r="452" spans="1:8">
      <c r="A452">
        <v>1992</v>
      </c>
      <c r="B452">
        <v>5</v>
      </c>
      <c r="C452">
        <v>1992.375</v>
      </c>
      <c r="D452">
        <v>359.71</v>
      </c>
      <c r="E452">
        <v>356.52</v>
      </c>
      <c r="F452">
        <v>26</v>
      </c>
      <c r="G452">
        <v>0.74</v>
      </c>
      <c r="H452">
        <v>0.28000000000000003</v>
      </c>
    </row>
    <row r="453" spans="1:8">
      <c r="A453">
        <v>1992</v>
      </c>
      <c r="B453">
        <v>6</v>
      </c>
      <c r="C453">
        <v>1992.4583</v>
      </c>
      <c r="D453">
        <v>359.44</v>
      </c>
      <c r="E453">
        <v>357.07</v>
      </c>
      <c r="F453">
        <v>30</v>
      </c>
      <c r="G453">
        <v>0.49</v>
      </c>
      <c r="H453">
        <v>0.17</v>
      </c>
    </row>
    <row r="454" spans="1:8">
      <c r="A454">
        <v>1992</v>
      </c>
      <c r="B454">
        <v>7</v>
      </c>
      <c r="C454">
        <v>1992.5417</v>
      </c>
      <c r="D454">
        <v>357.15</v>
      </c>
      <c r="E454">
        <v>356.58</v>
      </c>
      <c r="F454">
        <v>25</v>
      </c>
      <c r="G454">
        <v>0.63</v>
      </c>
      <c r="H454">
        <v>0.24</v>
      </c>
    </row>
    <row r="455" spans="1:8">
      <c r="A455">
        <v>1992</v>
      </c>
      <c r="B455">
        <v>8</v>
      </c>
      <c r="C455">
        <v>1992.625</v>
      </c>
      <c r="D455">
        <v>354.99</v>
      </c>
      <c r="E455">
        <v>356.67</v>
      </c>
      <c r="F455">
        <v>24</v>
      </c>
      <c r="G455">
        <v>0.62</v>
      </c>
      <c r="H455">
        <v>0.24</v>
      </c>
    </row>
    <row r="456" spans="1:8">
      <c r="A456">
        <v>1992</v>
      </c>
      <c r="B456">
        <v>9</v>
      </c>
      <c r="C456">
        <v>1992.7083</v>
      </c>
      <c r="D456">
        <v>353.01</v>
      </c>
      <c r="E456">
        <v>356.36</v>
      </c>
      <c r="F456">
        <v>25</v>
      </c>
      <c r="G456">
        <v>0.98</v>
      </c>
      <c r="H456">
        <v>0.38</v>
      </c>
    </row>
    <row r="457" spans="1:8">
      <c r="A457">
        <v>1992</v>
      </c>
      <c r="B457">
        <v>10</v>
      </c>
      <c r="C457">
        <v>1992.7917</v>
      </c>
      <c r="D457">
        <v>353.4</v>
      </c>
      <c r="E457">
        <v>356.72</v>
      </c>
      <c r="F457">
        <v>29</v>
      </c>
      <c r="G457">
        <v>0.56000000000000005</v>
      </c>
      <c r="H457">
        <v>0.2</v>
      </c>
    </row>
    <row r="458" spans="1:8">
      <c r="A458">
        <v>1992</v>
      </c>
      <c r="B458">
        <v>11</v>
      </c>
      <c r="C458">
        <v>1992.875</v>
      </c>
      <c r="D458">
        <v>354.42</v>
      </c>
      <c r="E458">
        <v>356.48</v>
      </c>
      <c r="F458">
        <v>29</v>
      </c>
      <c r="G458">
        <v>0.34</v>
      </c>
      <c r="H458">
        <v>0.12</v>
      </c>
    </row>
    <row r="459" spans="1:8">
      <c r="A459">
        <v>1992</v>
      </c>
      <c r="B459">
        <v>12</v>
      </c>
      <c r="C459">
        <v>1992.9583</v>
      </c>
      <c r="D459">
        <v>355.68</v>
      </c>
      <c r="E459">
        <v>356.5</v>
      </c>
      <c r="F459">
        <v>31</v>
      </c>
      <c r="G459">
        <v>0.32</v>
      </c>
      <c r="H459">
        <v>0.11</v>
      </c>
    </row>
    <row r="460" spans="1:8">
      <c r="A460">
        <v>1993</v>
      </c>
      <c r="B460">
        <v>1</v>
      </c>
      <c r="C460">
        <v>1993.0417</v>
      </c>
      <c r="D460">
        <v>357.1</v>
      </c>
      <c r="E460">
        <v>357.06</v>
      </c>
      <c r="F460">
        <v>28</v>
      </c>
      <c r="G460">
        <v>0.57999999999999996</v>
      </c>
      <c r="H460">
        <v>0.21</v>
      </c>
    </row>
    <row r="461" spans="1:8">
      <c r="A461">
        <v>1993</v>
      </c>
      <c r="B461">
        <v>2</v>
      </c>
      <c r="C461">
        <v>1993.125</v>
      </c>
      <c r="D461">
        <v>357.42</v>
      </c>
      <c r="E461">
        <v>356.54</v>
      </c>
      <c r="F461">
        <v>28</v>
      </c>
      <c r="G461">
        <v>0.49</v>
      </c>
      <c r="H461">
        <v>0.18</v>
      </c>
    </row>
    <row r="462" spans="1:8">
      <c r="A462">
        <v>1993</v>
      </c>
      <c r="B462">
        <v>3</v>
      </c>
      <c r="C462">
        <v>1993.2083</v>
      </c>
      <c r="D462">
        <v>358.59</v>
      </c>
      <c r="E462">
        <v>356.88</v>
      </c>
      <c r="F462">
        <v>30</v>
      </c>
      <c r="G462">
        <v>0.72</v>
      </c>
      <c r="H462">
        <v>0.25</v>
      </c>
    </row>
    <row r="463" spans="1:8">
      <c r="A463">
        <v>1993</v>
      </c>
      <c r="B463">
        <v>4</v>
      </c>
      <c r="C463">
        <v>1993.2917</v>
      </c>
      <c r="D463">
        <v>359.39</v>
      </c>
      <c r="E463">
        <v>356.71</v>
      </c>
      <c r="F463">
        <v>25</v>
      </c>
      <c r="G463">
        <v>0.53</v>
      </c>
      <c r="H463">
        <v>0.2</v>
      </c>
    </row>
    <row r="464" spans="1:8">
      <c r="A464">
        <v>1993</v>
      </c>
      <c r="B464">
        <v>5</v>
      </c>
      <c r="C464">
        <v>1993.375</v>
      </c>
      <c r="D464">
        <v>360.3</v>
      </c>
      <c r="E464">
        <v>357.14</v>
      </c>
      <c r="F464">
        <v>30</v>
      </c>
      <c r="G464">
        <v>0.45</v>
      </c>
      <c r="H464">
        <v>0.16</v>
      </c>
    </row>
    <row r="465" spans="1:8">
      <c r="A465">
        <v>1993</v>
      </c>
      <c r="B465">
        <v>6</v>
      </c>
      <c r="C465">
        <v>1993.4583</v>
      </c>
      <c r="D465">
        <v>359.64</v>
      </c>
      <c r="E465">
        <v>357.24</v>
      </c>
      <c r="F465">
        <v>28</v>
      </c>
      <c r="G465">
        <v>0.35</v>
      </c>
      <c r="H465">
        <v>0.13</v>
      </c>
    </row>
    <row r="466" spans="1:8">
      <c r="A466">
        <v>1993</v>
      </c>
      <c r="B466">
        <v>7</v>
      </c>
      <c r="C466">
        <v>1993.5417</v>
      </c>
      <c r="D466">
        <v>357.45</v>
      </c>
      <c r="E466">
        <v>356.87</v>
      </c>
      <c r="F466">
        <v>25</v>
      </c>
      <c r="G466">
        <v>0.78</v>
      </c>
      <c r="H466">
        <v>0.3</v>
      </c>
    </row>
    <row r="467" spans="1:8">
      <c r="A467">
        <v>1993</v>
      </c>
      <c r="B467">
        <v>8</v>
      </c>
      <c r="C467">
        <v>1993.625</v>
      </c>
      <c r="D467">
        <v>355.76</v>
      </c>
      <c r="E467">
        <v>357.44</v>
      </c>
      <c r="F467">
        <v>27</v>
      </c>
      <c r="G467">
        <v>0.62</v>
      </c>
      <c r="H467">
        <v>0.23</v>
      </c>
    </row>
    <row r="468" spans="1:8">
      <c r="A468">
        <v>1993</v>
      </c>
      <c r="B468">
        <v>9</v>
      </c>
      <c r="C468">
        <v>1993.7083</v>
      </c>
      <c r="D468">
        <v>354.14</v>
      </c>
      <c r="E468">
        <v>357.51</v>
      </c>
      <c r="F468">
        <v>23</v>
      </c>
      <c r="G468">
        <v>0.73</v>
      </c>
      <c r="H468">
        <v>0.28999999999999998</v>
      </c>
    </row>
    <row r="469" spans="1:8">
      <c r="A469">
        <v>1993</v>
      </c>
      <c r="B469">
        <v>10</v>
      </c>
      <c r="C469">
        <v>1993.7917</v>
      </c>
      <c r="D469">
        <v>354.23</v>
      </c>
      <c r="E469">
        <v>357.61</v>
      </c>
      <c r="F469">
        <v>28</v>
      </c>
      <c r="G469">
        <v>0.28999999999999998</v>
      </c>
      <c r="H469">
        <v>0.11</v>
      </c>
    </row>
    <row r="470" spans="1:8">
      <c r="A470">
        <v>1993</v>
      </c>
      <c r="B470">
        <v>11</v>
      </c>
      <c r="C470">
        <v>1993.875</v>
      </c>
      <c r="D470">
        <v>355.53</v>
      </c>
      <c r="E470">
        <v>357.65</v>
      </c>
      <c r="F470">
        <v>29</v>
      </c>
      <c r="G470">
        <v>0.26</v>
      </c>
      <c r="H470">
        <v>0.09</v>
      </c>
    </row>
    <row r="471" spans="1:8">
      <c r="A471">
        <v>1993</v>
      </c>
      <c r="B471">
        <v>12</v>
      </c>
      <c r="C471">
        <v>1993.9583</v>
      </c>
      <c r="D471">
        <v>357.03</v>
      </c>
      <c r="E471">
        <v>357.92</v>
      </c>
      <c r="F471">
        <v>29</v>
      </c>
      <c r="G471">
        <v>0.28000000000000003</v>
      </c>
      <c r="H471">
        <v>0.1</v>
      </c>
    </row>
    <row r="472" spans="1:8">
      <c r="A472">
        <v>1994</v>
      </c>
      <c r="B472">
        <v>1</v>
      </c>
      <c r="C472">
        <v>1994.0417</v>
      </c>
      <c r="D472">
        <v>358.36</v>
      </c>
      <c r="E472">
        <v>358.25</v>
      </c>
      <c r="F472">
        <v>27</v>
      </c>
      <c r="G472">
        <v>0.33</v>
      </c>
      <c r="H472">
        <v>0.12</v>
      </c>
    </row>
    <row r="473" spans="1:8">
      <c r="A473">
        <v>1994</v>
      </c>
      <c r="B473">
        <v>2</v>
      </c>
      <c r="C473">
        <v>1994.125</v>
      </c>
      <c r="D473">
        <v>359.04</v>
      </c>
      <c r="E473">
        <v>358.21</v>
      </c>
      <c r="F473">
        <v>25</v>
      </c>
      <c r="G473">
        <v>0.5</v>
      </c>
      <c r="H473">
        <v>0.19</v>
      </c>
    </row>
    <row r="474" spans="1:8">
      <c r="A474">
        <v>1994</v>
      </c>
      <c r="B474">
        <v>3</v>
      </c>
      <c r="C474">
        <v>1994.2083</v>
      </c>
      <c r="D474">
        <v>360.11</v>
      </c>
      <c r="E474">
        <v>358.41</v>
      </c>
      <c r="F474">
        <v>29</v>
      </c>
      <c r="G474">
        <v>0.82</v>
      </c>
      <c r="H474">
        <v>0.28999999999999998</v>
      </c>
    </row>
    <row r="475" spans="1:8">
      <c r="A475">
        <v>1994</v>
      </c>
      <c r="B475">
        <v>4</v>
      </c>
      <c r="C475">
        <v>1994.2917</v>
      </c>
      <c r="D475">
        <v>361.36</v>
      </c>
      <c r="E475">
        <v>358.59</v>
      </c>
      <c r="F475">
        <v>28</v>
      </c>
      <c r="G475">
        <v>0.5</v>
      </c>
      <c r="H475">
        <v>0.18</v>
      </c>
    </row>
    <row r="476" spans="1:8">
      <c r="A476">
        <v>1994</v>
      </c>
      <c r="B476">
        <v>5</v>
      </c>
      <c r="C476">
        <v>1994.375</v>
      </c>
      <c r="D476">
        <v>361.78</v>
      </c>
      <c r="E476">
        <v>358.59</v>
      </c>
      <c r="F476">
        <v>30</v>
      </c>
      <c r="G476">
        <v>0.45</v>
      </c>
      <c r="H476">
        <v>0.16</v>
      </c>
    </row>
    <row r="477" spans="1:8">
      <c r="A477">
        <v>1994</v>
      </c>
      <c r="B477">
        <v>6</v>
      </c>
      <c r="C477">
        <v>1994.4583</v>
      </c>
      <c r="D477">
        <v>360.94</v>
      </c>
      <c r="E477">
        <v>358.57</v>
      </c>
      <c r="F477">
        <v>27</v>
      </c>
      <c r="G477">
        <v>0.3</v>
      </c>
      <c r="H477">
        <v>0.11</v>
      </c>
    </row>
    <row r="478" spans="1:8">
      <c r="A478">
        <v>1994</v>
      </c>
      <c r="B478">
        <v>7</v>
      </c>
      <c r="C478">
        <v>1994.5417</v>
      </c>
      <c r="D478">
        <v>359.51</v>
      </c>
      <c r="E478">
        <v>358.91</v>
      </c>
      <c r="F478">
        <v>31</v>
      </c>
      <c r="G478">
        <v>0.41</v>
      </c>
      <c r="H478">
        <v>0.14000000000000001</v>
      </c>
    </row>
    <row r="479" spans="1:8">
      <c r="A479">
        <v>1994</v>
      </c>
      <c r="B479">
        <v>8</v>
      </c>
      <c r="C479">
        <v>1994.625</v>
      </c>
      <c r="D479">
        <v>357.59</v>
      </c>
      <c r="E479">
        <v>359.29</v>
      </c>
      <c r="F479">
        <v>24</v>
      </c>
      <c r="G479">
        <v>0.43</v>
      </c>
      <c r="H479">
        <v>0.17</v>
      </c>
    </row>
    <row r="480" spans="1:8">
      <c r="A480">
        <v>1994</v>
      </c>
      <c r="B480">
        <v>9</v>
      </c>
      <c r="C480">
        <v>1994.7083</v>
      </c>
      <c r="D480">
        <v>355.86</v>
      </c>
      <c r="E480">
        <v>359.31</v>
      </c>
      <c r="F480">
        <v>24</v>
      </c>
      <c r="G480">
        <v>0.57999999999999996</v>
      </c>
      <c r="H480">
        <v>0.23</v>
      </c>
    </row>
    <row r="481" spans="1:8">
      <c r="A481">
        <v>1994</v>
      </c>
      <c r="B481">
        <v>10</v>
      </c>
      <c r="C481">
        <v>1994.7917</v>
      </c>
      <c r="D481">
        <v>356.21</v>
      </c>
      <c r="E481">
        <v>359.63</v>
      </c>
      <c r="F481">
        <v>28</v>
      </c>
      <c r="G481">
        <v>0.28000000000000003</v>
      </c>
      <c r="H481">
        <v>0.1</v>
      </c>
    </row>
    <row r="482" spans="1:8">
      <c r="A482">
        <v>1994</v>
      </c>
      <c r="B482">
        <v>11</v>
      </c>
      <c r="C482">
        <v>1994.875</v>
      </c>
      <c r="D482">
        <v>357.65</v>
      </c>
      <c r="E482">
        <v>359.8</v>
      </c>
      <c r="F482">
        <v>28</v>
      </c>
      <c r="G482">
        <v>0.51</v>
      </c>
      <c r="H482">
        <v>0.18</v>
      </c>
    </row>
    <row r="483" spans="1:8">
      <c r="A483">
        <v>1994</v>
      </c>
      <c r="B483">
        <v>12</v>
      </c>
      <c r="C483">
        <v>1994.9583</v>
      </c>
      <c r="D483">
        <v>359.1</v>
      </c>
      <c r="E483">
        <v>359.96</v>
      </c>
      <c r="F483">
        <v>28</v>
      </c>
      <c r="G483">
        <v>0.46</v>
      </c>
      <c r="H483">
        <v>0.17</v>
      </c>
    </row>
    <row r="484" spans="1:8">
      <c r="A484">
        <v>1995</v>
      </c>
      <c r="B484">
        <v>1</v>
      </c>
      <c r="C484">
        <v>1995.0417</v>
      </c>
      <c r="D484">
        <v>360.04</v>
      </c>
      <c r="E484">
        <v>359.91</v>
      </c>
      <c r="F484">
        <v>30</v>
      </c>
      <c r="G484">
        <v>0.47</v>
      </c>
      <c r="H484">
        <v>0.16</v>
      </c>
    </row>
    <row r="485" spans="1:8">
      <c r="A485">
        <v>1995</v>
      </c>
      <c r="B485">
        <v>2</v>
      </c>
      <c r="C485">
        <v>1995.125</v>
      </c>
      <c r="D485">
        <v>361</v>
      </c>
      <c r="E485">
        <v>360.18</v>
      </c>
      <c r="F485">
        <v>28</v>
      </c>
      <c r="G485">
        <v>0.52</v>
      </c>
      <c r="H485">
        <v>0.19</v>
      </c>
    </row>
    <row r="486" spans="1:8">
      <c r="A486">
        <v>1995</v>
      </c>
      <c r="B486">
        <v>3</v>
      </c>
      <c r="C486">
        <v>1995.2083</v>
      </c>
      <c r="D486">
        <v>361.98</v>
      </c>
      <c r="E486">
        <v>360.37</v>
      </c>
      <c r="F486">
        <v>29</v>
      </c>
      <c r="G486">
        <v>0.78</v>
      </c>
      <c r="H486">
        <v>0.28000000000000003</v>
      </c>
    </row>
    <row r="487" spans="1:8">
      <c r="A487">
        <v>1995</v>
      </c>
      <c r="B487">
        <v>4</v>
      </c>
      <c r="C487">
        <v>1995.2917</v>
      </c>
      <c r="D487">
        <v>363.44</v>
      </c>
      <c r="E487">
        <v>360.76</v>
      </c>
      <c r="F487">
        <v>29</v>
      </c>
      <c r="G487">
        <v>0.65</v>
      </c>
      <c r="H487">
        <v>0.23</v>
      </c>
    </row>
    <row r="488" spans="1:8">
      <c r="A488">
        <v>1995</v>
      </c>
      <c r="B488">
        <v>5</v>
      </c>
      <c r="C488">
        <v>1995.375</v>
      </c>
      <c r="D488">
        <v>363.83</v>
      </c>
      <c r="E488">
        <v>360.73</v>
      </c>
      <c r="F488">
        <v>29</v>
      </c>
      <c r="G488">
        <v>0.66</v>
      </c>
      <c r="H488">
        <v>0.24</v>
      </c>
    </row>
    <row r="489" spans="1:8">
      <c r="A489">
        <v>1995</v>
      </c>
      <c r="B489">
        <v>6</v>
      </c>
      <c r="C489">
        <v>1995.4583</v>
      </c>
      <c r="D489">
        <v>363.33</v>
      </c>
      <c r="E489">
        <v>360.98</v>
      </c>
      <c r="F489">
        <v>27</v>
      </c>
      <c r="G489">
        <v>0.37</v>
      </c>
      <c r="H489">
        <v>0.14000000000000001</v>
      </c>
    </row>
    <row r="490" spans="1:8">
      <c r="A490">
        <v>1995</v>
      </c>
      <c r="B490">
        <v>7</v>
      </c>
      <c r="C490">
        <v>1995.5417</v>
      </c>
      <c r="D490">
        <v>361.78</v>
      </c>
      <c r="E490">
        <v>361.11</v>
      </c>
      <c r="F490">
        <v>28</v>
      </c>
      <c r="G490">
        <v>0.36</v>
      </c>
      <c r="H490">
        <v>0.13</v>
      </c>
    </row>
    <row r="491" spans="1:8">
      <c r="A491">
        <v>1995</v>
      </c>
      <c r="B491">
        <v>8</v>
      </c>
      <c r="C491">
        <v>1995.625</v>
      </c>
      <c r="D491">
        <v>359.33</v>
      </c>
      <c r="E491">
        <v>360.93</v>
      </c>
      <c r="F491">
        <v>24</v>
      </c>
      <c r="G491">
        <v>0.7</v>
      </c>
      <c r="H491">
        <v>0.28000000000000003</v>
      </c>
    </row>
    <row r="492" spans="1:8">
      <c r="A492">
        <v>1995</v>
      </c>
      <c r="B492">
        <v>9</v>
      </c>
      <c r="C492">
        <v>1995.7083</v>
      </c>
      <c r="D492">
        <v>358.32</v>
      </c>
      <c r="E492">
        <v>361.7</v>
      </c>
      <c r="F492">
        <v>24</v>
      </c>
      <c r="G492">
        <v>0.68</v>
      </c>
      <c r="H492">
        <v>0.26</v>
      </c>
    </row>
    <row r="493" spans="1:8">
      <c r="A493">
        <v>1995</v>
      </c>
      <c r="B493">
        <v>10</v>
      </c>
      <c r="C493">
        <v>1995.7917</v>
      </c>
      <c r="D493">
        <v>358.14</v>
      </c>
      <c r="E493">
        <v>361.52</v>
      </c>
      <c r="F493">
        <v>29</v>
      </c>
      <c r="G493">
        <v>0.26</v>
      </c>
      <c r="H493">
        <v>0.09</v>
      </c>
    </row>
    <row r="494" spans="1:8">
      <c r="A494">
        <v>1995</v>
      </c>
      <c r="B494">
        <v>11</v>
      </c>
      <c r="C494">
        <v>1995.875</v>
      </c>
      <c r="D494">
        <v>359.61</v>
      </c>
      <c r="E494">
        <v>361.75</v>
      </c>
      <c r="F494">
        <v>26</v>
      </c>
      <c r="G494">
        <v>0.24</v>
      </c>
      <c r="H494">
        <v>0.09</v>
      </c>
    </row>
    <row r="495" spans="1:8">
      <c r="A495">
        <v>1995</v>
      </c>
      <c r="B495">
        <v>12</v>
      </c>
      <c r="C495">
        <v>1995.9583</v>
      </c>
      <c r="D495">
        <v>360.82</v>
      </c>
      <c r="E495">
        <v>361.67</v>
      </c>
      <c r="F495">
        <v>30</v>
      </c>
      <c r="G495">
        <v>0.36</v>
      </c>
      <c r="H495">
        <v>0.12</v>
      </c>
    </row>
    <row r="496" spans="1:8">
      <c r="A496">
        <v>1996</v>
      </c>
      <c r="B496">
        <v>1</v>
      </c>
      <c r="C496">
        <v>1996.0417</v>
      </c>
      <c r="D496">
        <v>362.2</v>
      </c>
      <c r="E496">
        <v>361.98</v>
      </c>
      <c r="F496">
        <v>29</v>
      </c>
      <c r="G496">
        <v>0.38</v>
      </c>
      <c r="H496">
        <v>0.13</v>
      </c>
    </row>
    <row r="497" spans="1:8">
      <c r="A497">
        <v>1996</v>
      </c>
      <c r="B497">
        <v>2</v>
      </c>
      <c r="C497">
        <v>1996.125</v>
      </c>
      <c r="D497">
        <v>363.36</v>
      </c>
      <c r="E497">
        <v>362.47</v>
      </c>
      <c r="F497">
        <v>28</v>
      </c>
      <c r="G497">
        <v>0.55000000000000004</v>
      </c>
      <c r="H497">
        <v>0.2</v>
      </c>
    </row>
    <row r="498" spans="1:8">
      <c r="A498">
        <v>1996</v>
      </c>
      <c r="B498">
        <v>3</v>
      </c>
      <c r="C498">
        <v>1996.2083</v>
      </c>
      <c r="D498">
        <v>364.28</v>
      </c>
      <c r="E498">
        <v>362.64</v>
      </c>
      <c r="F498">
        <v>28</v>
      </c>
      <c r="G498">
        <v>0.67</v>
      </c>
      <c r="H498">
        <v>0.24</v>
      </c>
    </row>
    <row r="499" spans="1:8">
      <c r="A499">
        <v>1996</v>
      </c>
      <c r="B499">
        <v>4</v>
      </c>
      <c r="C499">
        <v>1996.2917</v>
      </c>
      <c r="D499">
        <v>364.69</v>
      </c>
      <c r="E499">
        <v>361.99</v>
      </c>
      <c r="F499">
        <v>29</v>
      </c>
      <c r="G499">
        <v>0.59</v>
      </c>
      <c r="H499">
        <v>0.21</v>
      </c>
    </row>
    <row r="500" spans="1:8">
      <c r="A500">
        <v>1996</v>
      </c>
      <c r="B500">
        <v>5</v>
      </c>
      <c r="C500">
        <v>1996.375</v>
      </c>
      <c r="D500">
        <v>365.25</v>
      </c>
      <c r="E500">
        <v>362.23</v>
      </c>
      <c r="F500">
        <v>30</v>
      </c>
      <c r="G500">
        <v>0.56999999999999995</v>
      </c>
      <c r="H500">
        <v>0.2</v>
      </c>
    </row>
    <row r="501" spans="1:8">
      <c r="A501">
        <v>1996</v>
      </c>
      <c r="B501">
        <v>6</v>
      </c>
      <c r="C501">
        <v>1996.4583</v>
      </c>
      <c r="D501">
        <v>365.06</v>
      </c>
      <c r="E501">
        <v>362.82</v>
      </c>
      <c r="F501">
        <v>30</v>
      </c>
      <c r="G501">
        <v>0.38</v>
      </c>
      <c r="H501">
        <v>0.13</v>
      </c>
    </row>
    <row r="502" spans="1:8">
      <c r="A502">
        <v>1996</v>
      </c>
      <c r="B502">
        <v>7</v>
      </c>
      <c r="C502">
        <v>1996.5417</v>
      </c>
      <c r="D502">
        <v>363.69</v>
      </c>
      <c r="E502">
        <v>362.98</v>
      </c>
      <c r="F502">
        <v>31</v>
      </c>
      <c r="G502">
        <v>0.32</v>
      </c>
      <c r="H502">
        <v>0.11</v>
      </c>
    </row>
    <row r="503" spans="1:8">
      <c r="A503">
        <v>1996</v>
      </c>
      <c r="B503">
        <v>8</v>
      </c>
      <c r="C503">
        <v>1996.625</v>
      </c>
      <c r="D503">
        <v>361.55</v>
      </c>
      <c r="E503">
        <v>363.13</v>
      </c>
      <c r="F503">
        <v>27</v>
      </c>
      <c r="G503">
        <v>0.49</v>
      </c>
      <c r="H503">
        <v>0.18</v>
      </c>
    </row>
    <row r="504" spans="1:8">
      <c r="A504">
        <v>1996</v>
      </c>
      <c r="B504">
        <v>9</v>
      </c>
      <c r="C504">
        <v>1996.7083</v>
      </c>
      <c r="D504">
        <v>359.69</v>
      </c>
      <c r="E504">
        <v>363.14</v>
      </c>
      <c r="F504">
        <v>25</v>
      </c>
      <c r="G504">
        <v>0.75</v>
      </c>
      <c r="H504">
        <v>0.28999999999999998</v>
      </c>
    </row>
    <row r="505" spans="1:8">
      <c r="A505">
        <v>1996</v>
      </c>
      <c r="B505">
        <v>10</v>
      </c>
      <c r="C505">
        <v>1996.7917</v>
      </c>
      <c r="D505">
        <v>359.72</v>
      </c>
      <c r="E505">
        <v>363.12</v>
      </c>
      <c r="F505">
        <v>29</v>
      </c>
      <c r="G505">
        <v>0.32</v>
      </c>
      <c r="H505">
        <v>0.11</v>
      </c>
    </row>
    <row r="506" spans="1:8">
      <c r="A506">
        <v>1996</v>
      </c>
      <c r="B506">
        <v>11</v>
      </c>
      <c r="C506">
        <v>1996.875</v>
      </c>
      <c r="D506">
        <v>361.04</v>
      </c>
      <c r="E506">
        <v>363.18</v>
      </c>
      <c r="F506">
        <v>29</v>
      </c>
      <c r="G506">
        <v>0.28999999999999998</v>
      </c>
      <c r="H506">
        <v>0.1</v>
      </c>
    </row>
    <row r="507" spans="1:8">
      <c r="A507">
        <v>1996</v>
      </c>
      <c r="B507">
        <v>12</v>
      </c>
      <c r="C507">
        <v>1996.9583</v>
      </c>
      <c r="D507">
        <v>362.39</v>
      </c>
      <c r="E507">
        <v>363.23</v>
      </c>
      <c r="F507">
        <v>29</v>
      </c>
      <c r="G507">
        <v>0.36</v>
      </c>
      <c r="H507">
        <v>0.13</v>
      </c>
    </row>
    <row r="508" spans="1:8">
      <c r="A508">
        <v>1997</v>
      </c>
      <c r="B508">
        <v>1</v>
      </c>
      <c r="C508">
        <v>1997.0417</v>
      </c>
      <c r="D508">
        <v>363.24</v>
      </c>
      <c r="E508">
        <v>363.03</v>
      </c>
      <c r="F508">
        <v>31</v>
      </c>
      <c r="G508">
        <v>0.4</v>
      </c>
      <c r="H508">
        <v>0.14000000000000001</v>
      </c>
    </row>
    <row r="509" spans="1:8">
      <c r="A509">
        <v>1997</v>
      </c>
      <c r="B509">
        <v>2</v>
      </c>
      <c r="C509">
        <v>1997.125</v>
      </c>
      <c r="D509">
        <v>364.21</v>
      </c>
      <c r="E509">
        <v>363.4</v>
      </c>
      <c r="F509">
        <v>28</v>
      </c>
      <c r="G509">
        <v>0.62</v>
      </c>
      <c r="H509">
        <v>0.22</v>
      </c>
    </row>
    <row r="510" spans="1:8">
      <c r="A510">
        <v>1997</v>
      </c>
      <c r="B510">
        <v>3</v>
      </c>
      <c r="C510">
        <v>1997.2083</v>
      </c>
      <c r="D510">
        <v>364.65</v>
      </c>
      <c r="E510">
        <v>363.02</v>
      </c>
      <c r="F510">
        <v>31</v>
      </c>
      <c r="G510">
        <v>0.4</v>
      </c>
      <c r="H510">
        <v>0.14000000000000001</v>
      </c>
    </row>
    <row r="511" spans="1:8">
      <c r="A511">
        <v>1997</v>
      </c>
      <c r="B511">
        <v>4</v>
      </c>
      <c r="C511">
        <v>1997.2917</v>
      </c>
      <c r="D511">
        <v>366.49</v>
      </c>
      <c r="E511">
        <v>363.82</v>
      </c>
      <c r="F511">
        <v>21</v>
      </c>
      <c r="G511">
        <v>0.46</v>
      </c>
      <c r="H511">
        <v>0.19</v>
      </c>
    </row>
    <row r="512" spans="1:8">
      <c r="A512">
        <v>1997</v>
      </c>
      <c r="B512">
        <v>5</v>
      </c>
      <c r="C512">
        <v>1997.375</v>
      </c>
      <c r="D512">
        <v>366.77</v>
      </c>
      <c r="E512">
        <v>363.87</v>
      </c>
      <c r="F512">
        <v>29</v>
      </c>
      <c r="G512">
        <v>0.53</v>
      </c>
      <c r="H512">
        <v>0.19</v>
      </c>
    </row>
    <row r="513" spans="1:8">
      <c r="A513">
        <v>1997</v>
      </c>
      <c r="B513">
        <v>6</v>
      </c>
      <c r="C513">
        <v>1997.4583</v>
      </c>
      <c r="D513">
        <v>365.73</v>
      </c>
      <c r="E513">
        <v>363.56</v>
      </c>
      <c r="F513">
        <v>27</v>
      </c>
      <c r="G513">
        <v>0.23</v>
      </c>
      <c r="H513">
        <v>0.09</v>
      </c>
    </row>
    <row r="514" spans="1:8">
      <c r="A514">
        <v>1997</v>
      </c>
      <c r="B514">
        <v>7</v>
      </c>
      <c r="C514">
        <v>1997.5417</v>
      </c>
      <c r="D514">
        <v>364.46</v>
      </c>
      <c r="E514">
        <v>363.74</v>
      </c>
      <c r="F514">
        <v>24</v>
      </c>
      <c r="G514">
        <v>0.47</v>
      </c>
      <c r="H514">
        <v>0.18</v>
      </c>
    </row>
    <row r="515" spans="1:8">
      <c r="A515">
        <v>1997</v>
      </c>
      <c r="B515">
        <v>8</v>
      </c>
      <c r="C515">
        <v>1997.625</v>
      </c>
      <c r="D515">
        <v>362.4</v>
      </c>
      <c r="E515">
        <v>363.98</v>
      </c>
      <c r="F515">
        <v>25</v>
      </c>
      <c r="G515">
        <v>0.56999999999999995</v>
      </c>
      <c r="H515">
        <v>0.22</v>
      </c>
    </row>
    <row r="516" spans="1:8">
      <c r="A516">
        <v>1997</v>
      </c>
      <c r="B516">
        <v>9</v>
      </c>
      <c r="C516">
        <v>1997.7083</v>
      </c>
      <c r="D516">
        <v>360.44</v>
      </c>
      <c r="E516">
        <v>363.83</v>
      </c>
      <c r="F516">
        <v>26</v>
      </c>
      <c r="G516">
        <v>0.63</v>
      </c>
      <c r="H516">
        <v>0.24</v>
      </c>
    </row>
    <row r="517" spans="1:8">
      <c r="A517">
        <v>1997</v>
      </c>
      <c r="B517">
        <v>10</v>
      </c>
      <c r="C517">
        <v>1997.7917</v>
      </c>
      <c r="D517">
        <v>360.97</v>
      </c>
      <c r="E517">
        <v>364.28</v>
      </c>
      <c r="F517">
        <v>27</v>
      </c>
      <c r="G517">
        <v>0.32</v>
      </c>
      <c r="H517">
        <v>0.12</v>
      </c>
    </row>
    <row r="518" spans="1:8">
      <c r="A518">
        <v>1997</v>
      </c>
      <c r="B518">
        <v>11</v>
      </c>
      <c r="C518">
        <v>1997.875</v>
      </c>
      <c r="D518">
        <v>362.65</v>
      </c>
      <c r="E518">
        <v>364.71</v>
      </c>
      <c r="F518">
        <v>30</v>
      </c>
      <c r="G518">
        <v>0.31</v>
      </c>
      <c r="H518">
        <v>0.11</v>
      </c>
    </row>
    <row r="519" spans="1:8">
      <c r="A519">
        <v>1997</v>
      </c>
      <c r="B519">
        <v>12</v>
      </c>
      <c r="C519">
        <v>1997.9583</v>
      </c>
      <c r="D519">
        <v>364.51</v>
      </c>
      <c r="E519">
        <v>365.28</v>
      </c>
      <c r="F519">
        <v>30</v>
      </c>
      <c r="G519">
        <v>0.41</v>
      </c>
      <c r="H519">
        <v>0.14000000000000001</v>
      </c>
    </row>
    <row r="520" spans="1:8">
      <c r="A520">
        <v>1998</v>
      </c>
      <c r="B520">
        <v>1</v>
      </c>
      <c r="C520">
        <v>1998.0417</v>
      </c>
      <c r="D520">
        <v>365.39</v>
      </c>
      <c r="E520">
        <v>365.19</v>
      </c>
      <c r="F520">
        <v>30</v>
      </c>
      <c r="G520">
        <v>0.43</v>
      </c>
      <c r="H520">
        <v>0.15</v>
      </c>
    </row>
    <row r="521" spans="1:8">
      <c r="A521">
        <v>1998</v>
      </c>
      <c r="B521">
        <v>2</v>
      </c>
      <c r="C521">
        <v>1998.125</v>
      </c>
      <c r="D521">
        <v>366.1</v>
      </c>
      <c r="E521">
        <v>365.29</v>
      </c>
      <c r="F521">
        <v>28</v>
      </c>
      <c r="G521">
        <v>0.62</v>
      </c>
      <c r="H521">
        <v>0.23</v>
      </c>
    </row>
    <row r="522" spans="1:8">
      <c r="A522">
        <v>1998</v>
      </c>
      <c r="B522">
        <v>3</v>
      </c>
      <c r="C522">
        <v>1998.2083</v>
      </c>
      <c r="D522">
        <v>367.36</v>
      </c>
      <c r="E522">
        <v>365.73</v>
      </c>
      <c r="F522">
        <v>31</v>
      </c>
      <c r="G522">
        <v>0.82</v>
      </c>
      <c r="H522">
        <v>0.28000000000000003</v>
      </c>
    </row>
    <row r="523" spans="1:8">
      <c r="A523">
        <v>1998</v>
      </c>
      <c r="B523">
        <v>4</v>
      </c>
      <c r="C523">
        <v>1998.2917</v>
      </c>
      <c r="D523">
        <v>368.79</v>
      </c>
      <c r="E523">
        <v>366.17</v>
      </c>
      <c r="F523">
        <v>29</v>
      </c>
      <c r="G523">
        <v>0.63</v>
      </c>
      <c r="H523">
        <v>0.22</v>
      </c>
    </row>
    <row r="524" spans="1:8">
      <c r="A524">
        <v>1998</v>
      </c>
      <c r="B524">
        <v>5</v>
      </c>
      <c r="C524">
        <v>1998.375</v>
      </c>
      <c r="D524">
        <v>369.56</v>
      </c>
      <c r="E524">
        <v>366.68</v>
      </c>
      <c r="F524">
        <v>30</v>
      </c>
      <c r="G524">
        <v>0.77</v>
      </c>
      <c r="H524">
        <v>0.27</v>
      </c>
    </row>
    <row r="525" spans="1:8">
      <c r="A525">
        <v>1998</v>
      </c>
      <c r="B525">
        <v>6</v>
      </c>
      <c r="C525">
        <v>1998.4583</v>
      </c>
      <c r="D525">
        <v>369.13</v>
      </c>
      <c r="E525">
        <v>366.95</v>
      </c>
      <c r="F525">
        <v>28</v>
      </c>
      <c r="G525">
        <v>0.24</v>
      </c>
      <c r="H525">
        <v>0.09</v>
      </c>
    </row>
    <row r="526" spans="1:8">
      <c r="A526">
        <v>1998</v>
      </c>
      <c r="B526">
        <v>7</v>
      </c>
      <c r="C526">
        <v>1998.5417</v>
      </c>
      <c r="D526">
        <v>367.98</v>
      </c>
      <c r="E526">
        <v>367.29</v>
      </c>
      <c r="F526">
        <v>23</v>
      </c>
      <c r="G526">
        <v>0.65</v>
      </c>
      <c r="H526">
        <v>0.26</v>
      </c>
    </row>
    <row r="527" spans="1:8">
      <c r="A527">
        <v>1998</v>
      </c>
      <c r="B527">
        <v>8</v>
      </c>
      <c r="C527">
        <v>1998.625</v>
      </c>
      <c r="D527">
        <v>366.1</v>
      </c>
      <c r="E527">
        <v>367.69</v>
      </c>
      <c r="F527">
        <v>30</v>
      </c>
      <c r="G527">
        <v>0.3</v>
      </c>
      <c r="H527">
        <v>0.1</v>
      </c>
    </row>
    <row r="528" spans="1:8">
      <c r="A528">
        <v>1998</v>
      </c>
      <c r="B528">
        <v>9</v>
      </c>
      <c r="C528">
        <v>1998.7083</v>
      </c>
      <c r="D528">
        <v>364.16</v>
      </c>
      <c r="E528">
        <v>367.51</v>
      </c>
      <c r="F528">
        <v>28</v>
      </c>
      <c r="G528">
        <v>0.4</v>
      </c>
      <c r="H528">
        <v>0.14000000000000001</v>
      </c>
    </row>
    <row r="529" spans="1:8">
      <c r="A529">
        <v>1998</v>
      </c>
      <c r="B529">
        <v>10</v>
      </c>
      <c r="C529">
        <v>1998.7917</v>
      </c>
      <c r="D529">
        <v>364.54</v>
      </c>
      <c r="E529">
        <v>367.82</v>
      </c>
      <c r="F529">
        <v>30</v>
      </c>
      <c r="G529">
        <v>0.26</v>
      </c>
      <c r="H529">
        <v>0.09</v>
      </c>
    </row>
    <row r="530" spans="1:8">
      <c r="A530">
        <v>1998</v>
      </c>
      <c r="B530">
        <v>11</v>
      </c>
      <c r="C530">
        <v>1998.875</v>
      </c>
      <c r="D530">
        <v>365.67</v>
      </c>
      <c r="E530">
        <v>367.7</v>
      </c>
      <c r="F530">
        <v>23</v>
      </c>
      <c r="G530">
        <v>0.25</v>
      </c>
      <c r="H530">
        <v>0.1</v>
      </c>
    </row>
    <row r="531" spans="1:8">
      <c r="A531">
        <v>1998</v>
      </c>
      <c r="B531">
        <v>12</v>
      </c>
      <c r="C531">
        <v>1998.9583</v>
      </c>
      <c r="D531">
        <v>367.3</v>
      </c>
      <c r="E531">
        <v>368.05</v>
      </c>
      <c r="F531">
        <v>26</v>
      </c>
      <c r="G531">
        <v>0.36</v>
      </c>
      <c r="H531">
        <v>0.14000000000000001</v>
      </c>
    </row>
    <row r="532" spans="1:8">
      <c r="A532">
        <v>1999</v>
      </c>
      <c r="B532">
        <v>1</v>
      </c>
      <c r="C532">
        <v>1999.0417</v>
      </c>
      <c r="D532">
        <v>368.35</v>
      </c>
      <c r="E532">
        <v>368.13</v>
      </c>
      <c r="F532">
        <v>27</v>
      </c>
      <c r="G532">
        <v>0.47</v>
      </c>
      <c r="H532">
        <v>0.17</v>
      </c>
    </row>
    <row r="533" spans="1:8">
      <c r="A533">
        <v>1999</v>
      </c>
      <c r="B533">
        <v>2</v>
      </c>
      <c r="C533">
        <v>1999.125</v>
      </c>
      <c r="D533">
        <v>369.28</v>
      </c>
      <c r="E533">
        <v>368.46</v>
      </c>
      <c r="F533">
        <v>21</v>
      </c>
      <c r="G533">
        <v>0.47</v>
      </c>
      <c r="H533">
        <v>0.2</v>
      </c>
    </row>
    <row r="534" spans="1:8">
      <c r="A534">
        <v>1999</v>
      </c>
      <c r="B534">
        <v>3</v>
      </c>
      <c r="C534">
        <v>1999.2083</v>
      </c>
      <c r="D534">
        <v>369.84</v>
      </c>
      <c r="E534">
        <v>368.24</v>
      </c>
      <c r="F534">
        <v>25</v>
      </c>
      <c r="G534">
        <v>0.81</v>
      </c>
      <c r="H534">
        <v>0.31</v>
      </c>
    </row>
    <row r="535" spans="1:8">
      <c r="A535">
        <v>1999</v>
      </c>
      <c r="B535">
        <v>4</v>
      </c>
      <c r="C535">
        <v>1999.2917</v>
      </c>
      <c r="D535">
        <v>371.15</v>
      </c>
      <c r="E535">
        <v>368.62</v>
      </c>
      <c r="F535">
        <v>29</v>
      </c>
      <c r="G535">
        <v>0.67</v>
      </c>
      <c r="H535">
        <v>0.24</v>
      </c>
    </row>
    <row r="536" spans="1:8">
      <c r="A536">
        <v>1999</v>
      </c>
      <c r="B536">
        <v>5</v>
      </c>
      <c r="C536">
        <v>1999.375</v>
      </c>
      <c r="D536">
        <v>371.12</v>
      </c>
      <c r="E536">
        <v>368.31</v>
      </c>
      <c r="F536">
        <v>26</v>
      </c>
      <c r="G536">
        <v>0.59</v>
      </c>
      <c r="H536">
        <v>0.22</v>
      </c>
    </row>
    <row r="537" spans="1:8">
      <c r="A537">
        <v>1999</v>
      </c>
      <c r="B537">
        <v>6</v>
      </c>
      <c r="C537">
        <v>1999.4583</v>
      </c>
      <c r="D537">
        <v>370.46</v>
      </c>
      <c r="E537">
        <v>368.29</v>
      </c>
      <c r="F537">
        <v>26</v>
      </c>
      <c r="G537">
        <v>0.44</v>
      </c>
      <c r="H537">
        <v>0.16</v>
      </c>
    </row>
    <row r="538" spans="1:8">
      <c r="A538">
        <v>1999</v>
      </c>
      <c r="B538">
        <v>7</v>
      </c>
      <c r="C538">
        <v>1999.5417</v>
      </c>
      <c r="D538">
        <v>369.61</v>
      </c>
      <c r="E538">
        <v>368.93</v>
      </c>
      <c r="F538">
        <v>27</v>
      </c>
      <c r="G538">
        <v>0.63</v>
      </c>
      <c r="H538">
        <v>0.23</v>
      </c>
    </row>
    <row r="539" spans="1:8">
      <c r="A539">
        <v>1999</v>
      </c>
      <c r="B539">
        <v>8</v>
      </c>
      <c r="C539">
        <v>1999.625</v>
      </c>
      <c r="D539">
        <v>367.06</v>
      </c>
      <c r="E539">
        <v>368.63</v>
      </c>
      <c r="F539">
        <v>25</v>
      </c>
      <c r="G539">
        <v>0.38</v>
      </c>
      <c r="H539">
        <v>0.14000000000000001</v>
      </c>
    </row>
    <row r="540" spans="1:8">
      <c r="A540">
        <v>1999</v>
      </c>
      <c r="B540">
        <v>9</v>
      </c>
      <c r="C540">
        <v>1999.7083</v>
      </c>
      <c r="D540">
        <v>364.95</v>
      </c>
      <c r="E540">
        <v>368.28</v>
      </c>
      <c r="F540">
        <v>28</v>
      </c>
      <c r="G540">
        <v>0.74</v>
      </c>
      <c r="H540">
        <v>0.27</v>
      </c>
    </row>
    <row r="541" spans="1:8">
      <c r="A541">
        <v>1999</v>
      </c>
      <c r="B541">
        <v>10</v>
      </c>
      <c r="C541">
        <v>1999.7917</v>
      </c>
      <c r="D541">
        <v>365.52</v>
      </c>
      <c r="E541">
        <v>368.8</v>
      </c>
      <c r="F541">
        <v>31</v>
      </c>
      <c r="G541">
        <v>0.28000000000000003</v>
      </c>
      <c r="H541">
        <v>0.1</v>
      </c>
    </row>
    <row r="542" spans="1:8">
      <c r="A542">
        <v>1999</v>
      </c>
      <c r="B542">
        <v>11</v>
      </c>
      <c r="C542">
        <v>1999.875</v>
      </c>
      <c r="D542">
        <v>366.88</v>
      </c>
      <c r="E542">
        <v>368.86</v>
      </c>
      <c r="F542">
        <v>28</v>
      </c>
      <c r="G542">
        <v>0.25</v>
      </c>
      <c r="H542">
        <v>0.09</v>
      </c>
    </row>
    <row r="543" spans="1:8">
      <c r="A543">
        <v>1999</v>
      </c>
      <c r="B543">
        <v>12</v>
      </c>
      <c r="C543">
        <v>1999.9583</v>
      </c>
      <c r="D543">
        <v>368.26</v>
      </c>
      <c r="E543">
        <v>368.93</v>
      </c>
      <c r="F543">
        <v>26</v>
      </c>
      <c r="G543">
        <v>0.28999999999999998</v>
      </c>
      <c r="H543">
        <v>0.11</v>
      </c>
    </row>
    <row r="544" spans="1:8">
      <c r="A544">
        <v>2000</v>
      </c>
      <c r="B544">
        <v>1</v>
      </c>
      <c r="C544">
        <v>2000.0417</v>
      </c>
      <c r="D544">
        <v>369.45</v>
      </c>
      <c r="E544">
        <v>369.24</v>
      </c>
      <c r="F544">
        <v>26</v>
      </c>
      <c r="G544">
        <v>0.48</v>
      </c>
      <c r="H544">
        <v>0.18</v>
      </c>
    </row>
    <row r="545" spans="1:8">
      <c r="A545">
        <v>2000</v>
      </c>
      <c r="B545">
        <v>2</v>
      </c>
      <c r="C545">
        <v>2000.125</v>
      </c>
      <c r="D545">
        <v>369.71</v>
      </c>
      <c r="E545">
        <v>368.99</v>
      </c>
      <c r="F545">
        <v>19</v>
      </c>
      <c r="G545">
        <v>0.48</v>
      </c>
      <c r="H545">
        <v>0.21</v>
      </c>
    </row>
    <row r="546" spans="1:8">
      <c r="A546">
        <v>2000</v>
      </c>
      <c r="B546">
        <v>3</v>
      </c>
      <c r="C546">
        <v>2000.2083</v>
      </c>
      <c r="D546">
        <v>370.75</v>
      </c>
      <c r="E546">
        <v>369.24</v>
      </c>
      <c r="F546">
        <v>30</v>
      </c>
      <c r="G546">
        <v>0.47</v>
      </c>
      <c r="H546">
        <v>0.16</v>
      </c>
    </row>
    <row r="547" spans="1:8">
      <c r="A547">
        <v>2000</v>
      </c>
      <c r="B547">
        <v>4</v>
      </c>
      <c r="C547">
        <v>2000.2917</v>
      </c>
      <c r="D547">
        <v>371.98</v>
      </c>
      <c r="E547">
        <v>369.44</v>
      </c>
      <c r="F547">
        <v>27</v>
      </c>
      <c r="G547">
        <v>0.57999999999999996</v>
      </c>
      <c r="H547">
        <v>0.21</v>
      </c>
    </row>
    <row r="548" spans="1:8">
      <c r="A548">
        <v>2000</v>
      </c>
      <c r="B548">
        <v>5</v>
      </c>
      <c r="C548">
        <v>2000.375</v>
      </c>
      <c r="D548">
        <v>371.75</v>
      </c>
      <c r="E548">
        <v>368.87</v>
      </c>
      <c r="F548">
        <v>28</v>
      </c>
      <c r="G548">
        <v>0.53</v>
      </c>
      <c r="H548">
        <v>0.19</v>
      </c>
    </row>
    <row r="549" spans="1:8">
      <c r="A549">
        <v>2000</v>
      </c>
      <c r="B549">
        <v>6</v>
      </c>
      <c r="C549">
        <v>2000.4583</v>
      </c>
      <c r="D549">
        <v>371.87</v>
      </c>
      <c r="E549">
        <v>369.66</v>
      </c>
      <c r="F549">
        <v>28</v>
      </c>
      <c r="G549">
        <v>0.24</v>
      </c>
      <c r="H549">
        <v>0.09</v>
      </c>
    </row>
    <row r="550" spans="1:8">
      <c r="A550">
        <v>2000</v>
      </c>
      <c r="B550">
        <v>7</v>
      </c>
      <c r="C550">
        <v>2000.5417</v>
      </c>
      <c r="D550">
        <v>370.02</v>
      </c>
      <c r="E550">
        <v>369.36</v>
      </c>
      <c r="F550">
        <v>25</v>
      </c>
      <c r="G550">
        <v>0.31</v>
      </c>
      <c r="H550">
        <v>0.12</v>
      </c>
    </row>
    <row r="551" spans="1:8">
      <c r="A551">
        <v>2000</v>
      </c>
      <c r="B551">
        <v>8</v>
      </c>
      <c r="C551">
        <v>2000.625</v>
      </c>
      <c r="D551">
        <v>368.27</v>
      </c>
      <c r="E551">
        <v>369.87</v>
      </c>
      <c r="F551">
        <v>27</v>
      </c>
      <c r="G551">
        <v>0.42</v>
      </c>
      <c r="H551">
        <v>0.15</v>
      </c>
    </row>
    <row r="552" spans="1:8">
      <c r="A552">
        <v>2000</v>
      </c>
      <c r="B552">
        <v>9</v>
      </c>
      <c r="C552">
        <v>2000.7083</v>
      </c>
      <c r="D552">
        <v>367.15</v>
      </c>
      <c r="E552">
        <v>370.46</v>
      </c>
      <c r="F552">
        <v>25</v>
      </c>
      <c r="G552">
        <v>0.36</v>
      </c>
      <c r="H552">
        <v>0.14000000000000001</v>
      </c>
    </row>
    <row r="553" spans="1:8">
      <c r="A553">
        <v>2000</v>
      </c>
      <c r="B553">
        <v>10</v>
      </c>
      <c r="C553">
        <v>2000.7917</v>
      </c>
      <c r="D553">
        <v>367.18</v>
      </c>
      <c r="E553">
        <v>370.42</v>
      </c>
      <c r="F553">
        <v>30</v>
      </c>
      <c r="G553">
        <v>0.27</v>
      </c>
      <c r="H553">
        <v>0.09</v>
      </c>
    </row>
    <row r="554" spans="1:8">
      <c r="A554">
        <v>2000</v>
      </c>
      <c r="B554">
        <v>11</v>
      </c>
      <c r="C554">
        <v>2000.875</v>
      </c>
      <c r="D554">
        <v>368.53</v>
      </c>
      <c r="E554">
        <v>370.48</v>
      </c>
      <c r="F554">
        <v>25</v>
      </c>
      <c r="G554">
        <v>0.3</v>
      </c>
      <c r="H554">
        <v>0.12</v>
      </c>
    </row>
    <row r="555" spans="1:8">
      <c r="A555">
        <v>2000</v>
      </c>
      <c r="B555">
        <v>12</v>
      </c>
      <c r="C555">
        <v>2000.9583</v>
      </c>
      <c r="D555">
        <v>369.83</v>
      </c>
      <c r="E555">
        <v>370.46</v>
      </c>
      <c r="F555">
        <v>30</v>
      </c>
      <c r="G555">
        <v>0.38</v>
      </c>
      <c r="H555">
        <v>0.13</v>
      </c>
    </row>
    <row r="556" spans="1:8">
      <c r="A556">
        <v>2001</v>
      </c>
      <c r="B556">
        <v>1</v>
      </c>
      <c r="C556">
        <v>2001.0417</v>
      </c>
      <c r="D556">
        <v>370.76</v>
      </c>
      <c r="E556">
        <v>370.6</v>
      </c>
      <c r="F556">
        <v>30</v>
      </c>
      <c r="G556">
        <v>0.56000000000000005</v>
      </c>
      <c r="H556">
        <v>0.2</v>
      </c>
    </row>
    <row r="557" spans="1:8">
      <c r="A557">
        <v>2001</v>
      </c>
      <c r="B557">
        <v>2</v>
      </c>
      <c r="C557">
        <v>2001.125</v>
      </c>
      <c r="D557">
        <v>371.69</v>
      </c>
      <c r="E557">
        <v>370.95</v>
      </c>
      <c r="F557">
        <v>26</v>
      </c>
      <c r="G557">
        <v>0.61</v>
      </c>
      <c r="H557">
        <v>0.23</v>
      </c>
    </row>
    <row r="558" spans="1:8">
      <c r="A558">
        <v>2001</v>
      </c>
      <c r="B558">
        <v>3</v>
      </c>
      <c r="C558">
        <v>2001.2083</v>
      </c>
      <c r="D558">
        <v>372.63</v>
      </c>
      <c r="E558">
        <v>371.06</v>
      </c>
      <c r="F558">
        <v>26</v>
      </c>
      <c r="G558">
        <v>0.46</v>
      </c>
      <c r="H558">
        <v>0.17</v>
      </c>
    </row>
    <row r="559" spans="1:8">
      <c r="A559">
        <v>2001</v>
      </c>
      <c r="B559">
        <v>4</v>
      </c>
      <c r="C559">
        <v>2001.2917</v>
      </c>
      <c r="D559">
        <v>373.55</v>
      </c>
      <c r="E559">
        <v>370.99</v>
      </c>
      <c r="F559">
        <v>29</v>
      </c>
      <c r="G559">
        <v>0.56000000000000005</v>
      </c>
      <c r="H559">
        <v>0.2</v>
      </c>
    </row>
    <row r="560" spans="1:8">
      <c r="A560">
        <v>2001</v>
      </c>
      <c r="B560">
        <v>5</v>
      </c>
      <c r="C560">
        <v>2001.375</v>
      </c>
      <c r="D560">
        <v>374.03</v>
      </c>
      <c r="E560">
        <v>371.11</v>
      </c>
      <c r="F560">
        <v>24</v>
      </c>
      <c r="G560">
        <v>0.41</v>
      </c>
      <c r="H560">
        <v>0.16</v>
      </c>
    </row>
    <row r="561" spans="1:8">
      <c r="A561">
        <v>2001</v>
      </c>
      <c r="B561">
        <v>6</v>
      </c>
      <c r="C561">
        <v>2001.4583</v>
      </c>
      <c r="D561">
        <v>373.4</v>
      </c>
      <c r="E561">
        <v>371.18</v>
      </c>
      <c r="F561">
        <v>26</v>
      </c>
      <c r="G561">
        <v>0.37</v>
      </c>
      <c r="H561">
        <v>0.14000000000000001</v>
      </c>
    </row>
    <row r="562" spans="1:8">
      <c r="A562">
        <v>2001</v>
      </c>
      <c r="B562">
        <v>7</v>
      </c>
      <c r="C562">
        <v>2001.5417</v>
      </c>
      <c r="D562">
        <v>371.68</v>
      </c>
      <c r="E562">
        <v>371.08</v>
      </c>
      <c r="F562">
        <v>25</v>
      </c>
      <c r="G562">
        <v>0.62</v>
      </c>
      <c r="H562">
        <v>0.24</v>
      </c>
    </row>
    <row r="563" spans="1:8">
      <c r="A563">
        <v>2001</v>
      </c>
      <c r="B563">
        <v>8</v>
      </c>
      <c r="C563">
        <v>2001.625</v>
      </c>
      <c r="D563">
        <v>369.78</v>
      </c>
      <c r="E563">
        <v>371.39</v>
      </c>
      <c r="F563">
        <v>27</v>
      </c>
      <c r="G563">
        <v>0.6</v>
      </c>
      <c r="H563">
        <v>0.22</v>
      </c>
    </row>
    <row r="564" spans="1:8">
      <c r="A564">
        <v>2001</v>
      </c>
      <c r="B564">
        <v>9</v>
      </c>
      <c r="C564">
        <v>2001.7083</v>
      </c>
      <c r="D564">
        <v>368.34</v>
      </c>
      <c r="E564">
        <v>371.61</v>
      </c>
      <c r="F564">
        <v>28</v>
      </c>
      <c r="G564">
        <v>0.49</v>
      </c>
      <c r="H564">
        <v>0.18</v>
      </c>
    </row>
    <row r="565" spans="1:8">
      <c r="A565">
        <v>2001</v>
      </c>
      <c r="B565">
        <v>10</v>
      </c>
      <c r="C565">
        <v>2001.7917</v>
      </c>
      <c r="D565">
        <v>368.61</v>
      </c>
      <c r="E565">
        <v>371.85</v>
      </c>
      <c r="F565">
        <v>31</v>
      </c>
      <c r="G565">
        <v>0.33</v>
      </c>
      <c r="H565">
        <v>0.11</v>
      </c>
    </row>
    <row r="566" spans="1:8">
      <c r="A566">
        <v>2001</v>
      </c>
      <c r="B566">
        <v>11</v>
      </c>
      <c r="C566">
        <v>2001.875</v>
      </c>
      <c r="D566">
        <v>369.94</v>
      </c>
      <c r="E566">
        <v>371.92</v>
      </c>
      <c r="F566">
        <v>24</v>
      </c>
      <c r="G566">
        <v>0.24</v>
      </c>
      <c r="H566">
        <v>0.09</v>
      </c>
    </row>
    <row r="567" spans="1:8">
      <c r="A567">
        <v>2001</v>
      </c>
      <c r="B567">
        <v>12</v>
      </c>
      <c r="C567">
        <v>2001.9583</v>
      </c>
      <c r="D567">
        <v>371.42</v>
      </c>
      <c r="E567">
        <v>372.09</v>
      </c>
      <c r="F567">
        <v>29</v>
      </c>
      <c r="G567">
        <v>0.4</v>
      </c>
      <c r="H567">
        <v>0.14000000000000001</v>
      </c>
    </row>
    <row r="568" spans="1:8">
      <c r="A568">
        <v>2002</v>
      </c>
      <c r="B568">
        <v>1</v>
      </c>
      <c r="C568">
        <v>2002.0417</v>
      </c>
      <c r="D568">
        <v>372.7</v>
      </c>
      <c r="E568">
        <v>372.48</v>
      </c>
      <c r="F568">
        <v>28</v>
      </c>
      <c r="G568">
        <v>0.52</v>
      </c>
      <c r="H568">
        <v>0.19</v>
      </c>
    </row>
    <row r="569" spans="1:8">
      <c r="A569">
        <v>2002</v>
      </c>
      <c r="B569">
        <v>2</v>
      </c>
      <c r="C569">
        <v>2002.125</v>
      </c>
      <c r="D569">
        <v>373.37</v>
      </c>
      <c r="E569">
        <v>372.49</v>
      </c>
      <c r="F569">
        <v>28</v>
      </c>
      <c r="G569">
        <v>0.66</v>
      </c>
      <c r="H569">
        <v>0.24</v>
      </c>
    </row>
    <row r="570" spans="1:8">
      <c r="A570">
        <v>2002</v>
      </c>
      <c r="B570">
        <v>3</v>
      </c>
      <c r="C570">
        <v>2002.2083</v>
      </c>
      <c r="D570">
        <v>374.3</v>
      </c>
      <c r="E570">
        <v>372.61</v>
      </c>
      <c r="F570">
        <v>24</v>
      </c>
      <c r="G570">
        <v>0.62</v>
      </c>
      <c r="H570">
        <v>0.24</v>
      </c>
    </row>
    <row r="571" spans="1:8">
      <c r="A571">
        <v>2002</v>
      </c>
      <c r="B571">
        <v>4</v>
      </c>
      <c r="C571">
        <v>2002.2917</v>
      </c>
      <c r="D571">
        <v>375.19</v>
      </c>
      <c r="E571">
        <v>372.54</v>
      </c>
      <c r="F571">
        <v>29</v>
      </c>
      <c r="G571">
        <v>0.55000000000000004</v>
      </c>
      <c r="H571">
        <v>0.19</v>
      </c>
    </row>
    <row r="572" spans="1:8">
      <c r="A572">
        <v>2002</v>
      </c>
      <c r="B572">
        <v>5</v>
      </c>
      <c r="C572">
        <v>2002.375</v>
      </c>
      <c r="D572">
        <v>375.93</v>
      </c>
      <c r="E572">
        <v>372.98</v>
      </c>
      <c r="F572">
        <v>29</v>
      </c>
      <c r="G572">
        <v>0.56999999999999995</v>
      </c>
      <c r="H572">
        <v>0.2</v>
      </c>
    </row>
    <row r="573" spans="1:8">
      <c r="A573">
        <v>2002</v>
      </c>
      <c r="B573">
        <v>6</v>
      </c>
      <c r="C573">
        <v>2002.4583</v>
      </c>
      <c r="D573">
        <v>375.69</v>
      </c>
      <c r="E573">
        <v>373.46</v>
      </c>
      <c r="F573">
        <v>28</v>
      </c>
      <c r="G573">
        <v>0.46</v>
      </c>
      <c r="H573">
        <v>0.17</v>
      </c>
    </row>
    <row r="574" spans="1:8">
      <c r="A574">
        <v>2002</v>
      </c>
      <c r="B574">
        <v>7</v>
      </c>
      <c r="C574">
        <v>2002.5417</v>
      </c>
      <c r="D574">
        <v>374.16</v>
      </c>
      <c r="E574">
        <v>373.58</v>
      </c>
      <c r="F574">
        <v>25</v>
      </c>
      <c r="G574">
        <v>0.47</v>
      </c>
      <c r="H574">
        <v>0.18</v>
      </c>
    </row>
    <row r="575" spans="1:8">
      <c r="A575">
        <v>2002</v>
      </c>
      <c r="B575">
        <v>8</v>
      </c>
      <c r="C575">
        <v>2002.625</v>
      </c>
      <c r="D575">
        <v>372.03</v>
      </c>
      <c r="E575">
        <v>373.7</v>
      </c>
      <c r="F575">
        <v>28</v>
      </c>
      <c r="G575">
        <v>0.65</v>
      </c>
      <c r="H575">
        <v>0.24</v>
      </c>
    </row>
    <row r="576" spans="1:8">
      <c r="A576">
        <v>2002</v>
      </c>
      <c r="B576">
        <v>9</v>
      </c>
      <c r="C576">
        <v>2002.7083</v>
      </c>
      <c r="D576">
        <v>370.92</v>
      </c>
      <c r="E576">
        <v>374.28</v>
      </c>
      <c r="F576">
        <v>23</v>
      </c>
      <c r="G576">
        <v>0.74</v>
      </c>
      <c r="H576">
        <v>0.3</v>
      </c>
    </row>
    <row r="577" spans="1:8">
      <c r="A577">
        <v>2002</v>
      </c>
      <c r="B577">
        <v>10</v>
      </c>
      <c r="C577">
        <v>2002.7917</v>
      </c>
      <c r="D577">
        <v>370.73</v>
      </c>
      <c r="E577">
        <v>374.06</v>
      </c>
      <c r="F577">
        <v>31</v>
      </c>
      <c r="G577">
        <v>0.62</v>
      </c>
      <c r="H577">
        <v>0.21</v>
      </c>
    </row>
    <row r="578" spans="1:8">
      <c r="A578">
        <v>2002</v>
      </c>
      <c r="B578">
        <v>11</v>
      </c>
      <c r="C578">
        <v>2002.875</v>
      </c>
      <c r="D578">
        <v>372.43</v>
      </c>
      <c r="E578">
        <v>374.52</v>
      </c>
      <c r="F578">
        <v>29</v>
      </c>
      <c r="G578">
        <v>0.43</v>
      </c>
      <c r="H578">
        <v>0.15</v>
      </c>
    </row>
    <row r="579" spans="1:8">
      <c r="A579">
        <v>2002</v>
      </c>
      <c r="B579">
        <v>12</v>
      </c>
      <c r="C579">
        <v>2002.9583</v>
      </c>
      <c r="D579">
        <v>373.98</v>
      </c>
      <c r="E579">
        <v>374.72</v>
      </c>
      <c r="F579">
        <v>31</v>
      </c>
      <c r="G579">
        <v>0.46</v>
      </c>
      <c r="H579">
        <v>0.16</v>
      </c>
    </row>
    <row r="580" spans="1:8">
      <c r="A580">
        <v>2003</v>
      </c>
      <c r="B580">
        <v>1</v>
      </c>
      <c r="C580">
        <v>2003.0417</v>
      </c>
      <c r="D580">
        <v>375.07</v>
      </c>
      <c r="E580">
        <v>374.82</v>
      </c>
      <c r="F580">
        <v>30</v>
      </c>
      <c r="G580">
        <v>0.51</v>
      </c>
      <c r="H580">
        <v>0.18</v>
      </c>
    </row>
    <row r="581" spans="1:8">
      <c r="A581">
        <v>2003</v>
      </c>
      <c r="B581">
        <v>2</v>
      </c>
      <c r="C581">
        <v>2003.125</v>
      </c>
      <c r="D581">
        <v>375.82</v>
      </c>
      <c r="E581">
        <v>374.95</v>
      </c>
      <c r="F581">
        <v>27</v>
      </c>
      <c r="G581">
        <v>0.57999999999999996</v>
      </c>
      <c r="H581">
        <v>0.21</v>
      </c>
    </row>
    <row r="582" spans="1:8">
      <c r="A582">
        <v>2003</v>
      </c>
      <c r="B582">
        <v>3</v>
      </c>
      <c r="C582">
        <v>2003.2083</v>
      </c>
      <c r="D582">
        <v>376.64</v>
      </c>
      <c r="E582">
        <v>374.99</v>
      </c>
      <c r="F582">
        <v>28</v>
      </c>
      <c r="G582">
        <v>0.63</v>
      </c>
      <c r="H582">
        <v>0.23</v>
      </c>
    </row>
    <row r="583" spans="1:8">
      <c r="A583">
        <v>2003</v>
      </c>
      <c r="B583">
        <v>4</v>
      </c>
      <c r="C583">
        <v>2003.2917</v>
      </c>
      <c r="D583">
        <v>377.92</v>
      </c>
      <c r="E583">
        <v>375.24</v>
      </c>
      <c r="F583">
        <v>27</v>
      </c>
      <c r="G583">
        <v>0.37</v>
      </c>
      <c r="H583">
        <v>0.14000000000000001</v>
      </c>
    </row>
    <row r="584" spans="1:8">
      <c r="A584">
        <v>2003</v>
      </c>
      <c r="B584">
        <v>5</v>
      </c>
      <c r="C584">
        <v>2003.375</v>
      </c>
      <c r="D584">
        <v>378.78</v>
      </c>
      <c r="E584">
        <v>375.73</v>
      </c>
      <c r="F584">
        <v>30</v>
      </c>
      <c r="G584">
        <v>0.78</v>
      </c>
      <c r="H584">
        <v>0.27</v>
      </c>
    </row>
    <row r="585" spans="1:8">
      <c r="A585">
        <v>2003</v>
      </c>
      <c r="B585">
        <v>6</v>
      </c>
      <c r="C585">
        <v>2003.4583</v>
      </c>
      <c r="D585">
        <v>378.46</v>
      </c>
      <c r="E585">
        <v>376.22</v>
      </c>
      <c r="F585">
        <v>25</v>
      </c>
      <c r="G585">
        <v>0.39</v>
      </c>
      <c r="H585">
        <v>0.15</v>
      </c>
    </row>
    <row r="586" spans="1:8">
      <c r="A586">
        <v>2003</v>
      </c>
      <c r="B586">
        <v>7</v>
      </c>
      <c r="C586">
        <v>2003.5417</v>
      </c>
      <c r="D586">
        <v>376.88</v>
      </c>
      <c r="E586">
        <v>376.37</v>
      </c>
      <c r="F586">
        <v>29</v>
      </c>
      <c r="G586">
        <v>0.7</v>
      </c>
      <c r="H586">
        <v>0.25</v>
      </c>
    </row>
    <row r="587" spans="1:8">
      <c r="A587">
        <v>2003</v>
      </c>
      <c r="B587">
        <v>8</v>
      </c>
      <c r="C587">
        <v>2003.625</v>
      </c>
      <c r="D587">
        <v>374.57</v>
      </c>
      <c r="E587">
        <v>376.27</v>
      </c>
      <c r="F587">
        <v>23</v>
      </c>
      <c r="G587">
        <v>0.56999999999999995</v>
      </c>
      <c r="H587">
        <v>0.23</v>
      </c>
    </row>
    <row r="588" spans="1:8">
      <c r="A588">
        <v>2003</v>
      </c>
      <c r="B588">
        <v>9</v>
      </c>
      <c r="C588">
        <v>2003.7083</v>
      </c>
      <c r="D588">
        <v>373.34</v>
      </c>
      <c r="E588">
        <v>376.65</v>
      </c>
      <c r="F588">
        <v>25</v>
      </c>
      <c r="G588">
        <v>0.37</v>
      </c>
      <c r="H588">
        <v>0.14000000000000001</v>
      </c>
    </row>
    <row r="589" spans="1:8">
      <c r="A589">
        <v>2003</v>
      </c>
      <c r="B589">
        <v>10</v>
      </c>
      <c r="C589">
        <v>2003.7917</v>
      </c>
      <c r="D589">
        <v>373.31</v>
      </c>
      <c r="E589">
        <v>376.65</v>
      </c>
      <c r="F589">
        <v>30</v>
      </c>
      <c r="G589">
        <v>0.33</v>
      </c>
      <c r="H589">
        <v>0.12</v>
      </c>
    </row>
    <row r="590" spans="1:8">
      <c r="A590">
        <v>2003</v>
      </c>
      <c r="B590">
        <v>11</v>
      </c>
      <c r="C590">
        <v>2003.875</v>
      </c>
      <c r="D590">
        <v>374.84</v>
      </c>
      <c r="E590">
        <v>376.99</v>
      </c>
      <c r="F590">
        <v>26</v>
      </c>
      <c r="G590">
        <v>0.45</v>
      </c>
      <c r="H590">
        <v>0.17</v>
      </c>
    </row>
    <row r="591" spans="1:8">
      <c r="A591">
        <v>2003</v>
      </c>
      <c r="B591">
        <v>12</v>
      </c>
      <c r="C591">
        <v>2003.9583</v>
      </c>
      <c r="D591">
        <v>376.17</v>
      </c>
      <c r="E591">
        <v>376.93</v>
      </c>
      <c r="F591">
        <v>27</v>
      </c>
      <c r="G591">
        <v>0.4</v>
      </c>
      <c r="H591">
        <v>0.15</v>
      </c>
    </row>
    <row r="592" spans="1:8">
      <c r="A592">
        <v>2004</v>
      </c>
      <c r="B592">
        <v>1</v>
      </c>
      <c r="C592">
        <v>2004.0417</v>
      </c>
      <c r="D592">
        <v>377.17</v>
      </c>
      <c r="E592">
        <v>376.96</v>
      </c>
      <c r="F592">
        <v>30</v>
      </c>
      <c r="G592">
        <v>0.45</v>
      </c>
      <c r="H592">
        <v>0.16</v>
      </c>
    </row>
    <row r="593" spans="1:8">
      <c r="A593">
        <v>2004</v>
      </c>
      <c r="B593">
        <v>2</v>
      </c>
      <c r="C593">
        <v>2004.125</v>
      </c>
      <c r="D593">
        <v>378.05</v>
      </c>
      <c r="E593">
        <v>377.19</v>
      </c>
      <c r="F593">
        <v>29</v>
      </c>
      <c r="G593">
        <v>0.74</v>
      </c>
      <c r="H593">
        <v>0.26</v>
      </c>
    </row>
    <row r="594" spans="1:8">
      <c r="A594">
        <v>2004</v>
      </c>
      <c r="B594">
        <v>3</v>
      </c>
      <c r="C594">
        <v>2004.2083</v>
      </c>
      <c r="D594">
        <v>379.06</v>
      </c>
      <c r="E594">
        <v>377.4</v>
      </c>
      <c r="F594">
        <v>27</v>
      </c>
      <c r="G594">
        <v>0.84</v>
      </c>
      <c r="H594">
        <v>0.31</v>
      </c>
    </row>
    <row r="595" spans="1:8">
      <c r="A595">
        <v>2004</v>
      </c>
      <c r="B595">
        <v>4</v>
      </c>
      <c r="C595">
        <v>2004.2917</v>
      </c>
      <c r="D595">
        <v>380.54</v>
      </c>
      <c r="E595">
        <v>377.8</v>
      </c>
      <c r="F595">
        <v>26</v>
      </c>
      <c r="G595">
        <v>0.52</v>
      </c>
      <c r="H595">
        <v>0.19</v>
      </c>
    </row>
    <row r="596" spans="1:8">
      <c r="A596">
        <v>2004</v>
      </c>
      <c r="B596">
        <v>5</v>
      </c>
      <c r="C596">
        <v>2004.375</v>
      </c>
      <c r="D596">
        <v>380.8</v>
      </c>
      <c r="E596">
        <v>377.66</v>
      </c>
      <c r="F596">
        <v>28</v>
      </c>
      <c r="G596">
        <v>0.61</v>
      </c>
      <c r="H596">
        <v>0.22</v>
      </c>
    </row>
    <row r="597" spans="1:8">
      <c r="A597">
        <v>2004</v>
      </c>
      <c r="B597">
        <v>6</v>
      </c>
      <c r="C597">
        <v>2004.4583</v>
      </c>
      <c r="D597">
        <v>379.87</v>
      </c>
      <c r="E597">
        <v>377.57</v>
      </c>
      <c r="F597">
        <v>21</v>
      </c>
      <c r="G597">
        <v>0.47</v>
      </c>
      <c r="H597">
        <v>0.19</v>
      </c>
    </row>
    <row r="598" spans="1:8">
      <c r="A598">
        <v>2004</v>
      </c>
      <c r="B598">
        <v>7</v>
      </c>
      <c r="C598">
        <v>2004.5417</v>
      </c>
      <c r="D598">
        <v>377.65</v>
      </c>
      <c r="E598">
        <v>377.12</v>
      </c>
      <c r="F598">
        <v>25</v>
      </c>
      <c r="G598">
        <v>0.5</v>
      </c>
      <c r="H598">
        <v>0.19</v>
      </c>
    </row>
    <row r="599" spans="1:8">
      <c r="A599">
        <v>2004</v>
      </c>
      <c r="B599">
        <v>8</v>
      </c>
      <c r="C599">
        <v>2004.625</v>
      </c>
      <c r="D599">
        <v>376.17</v>
      </c>
      <c r="E599">
        <v>377.9</v>
      </c>
      <c r="F599">
        <v>16</v>
      </c>
      <c r="G599">
        <v>0.45</v>
      </c>
      <c r="H599">
        <v>0.21</v>
      </c>
    </row>
    <row r="600" spans="1:8">
      <c r="A600">
        <v>2004</v>
      </c>
      <c r="B600">
        <v>9</v>
      </c>
      <c r="C600">
        <v>2004.7083</v>
      </c>
      <c r="D600">
        <v>374.43</v>
      </c>
      <c r="E600">
        <v>377.8</v>
      </c>
      <c r="F600">
        <v>15</v>
      </c>
      <c r="G600">
        <v>0.56000000000000005</v>
      </c>
      <c r="H600">
        <v>0.28000000000000003</v>
      </c>
    </row>
    <row r="601" spans="1:8">
      <c r="A601">
        <v>2004</v>
      </c>
      <c r="B601">
        <v>10</v>
      </c>
      <c r="C601">
        <v>2004.7917</v>
      </c>
      <c r="D601">
        <v>374.63</v>
      </c>
      <c r="E601">
        <v>377.99</v>
      </c>
      <c r="F601">
        <v>29</v>
      </c>
      <c r="G601">
        <v>0.19</v>
      </c>
      <c r="H601">
        <v>7.0000000000000007E-2</v>
      </c>
    </row>
    <row r="602" spans="1:8">
      <c r="A602">
        <v>2004</v>
      </c>
      <c r="B602">
        <v>11</v>
      </c>
      <c r="C602">
        <v>2004.875</v>
      </c>
      <c r="D602">
        <v>376.33</v>
      </c>
      <c r="E602">
        <v>378.49</v>
      </c>
      <c r="F602">
        <v>29</v>
      </c>
      <c r="G602">
        <v>0.62</v>
      </c>
      <c r="H602">
        <v>0.22</v>
      </c>
    </row>
    <row r="603" spans="1:8">
      <c r="A603">
        <v>2004</v>
      </c>
      <c r="B603">
        <v>12</v>
      </c>
      <c r="C603">
        <v>2004.9583</v>
      </c>
      <c r="D603">
        <v>377.68</v>
      </c>
      <c r="E603">
        <v>378.48</v>
      </c>
      <c r="F603">
        <v>30</v>
      </c>
      <c r="G603">
        <v>0.28999999999999998</v>
      </c>
      <c r="H603">
        <v>0.1</v>
      </c>
    </row>
    <row r="604" spans="1:8">
      <c r="A604">
        <v>2005</v>
      </c>
      <c r="B604">
        <v>1</v>
      </c>
      <c r="C604">
        <v>2005.0417</v>
      </c>
      <c r="D604">
        <v>378.63</v>
      </c>
      <c r="E604">
        <v>378.37</v>
      </c>
      <c r="F604">
        <v>31</v>
      </c>
      <c r="G604">
        <v>0.32</v>
      </c>
      <c r="H604">
        <v>0.11</v>
      </c>
    </row>
    <row r="605" spans="1:8">
      <c r="A605">
        <v>2005</v>
      </c>
      <c r="B605">
        <v>2</v>
      </c>
      <c r="C605">
        <v>2005.125</v>
      </c>
      <c r="D605">
        <v>379.91</v>
      </c>
      <c r="E605">
        <v>379.1</v>
      </c>
      <c r="F605">
        <v>24</v>
      </c>
      <c r="G605">
        <v>0.6</v>
      </c>
      <c r="H605">
        <v>0.24</v>
      </c>
    </row>
    <row r="606" spans="1:8">
      <c r="A606">
        <v>2005</v>
      </c>
      <c r="B606">
        <v>3</v>
      </c>
      <c r="C606">
        <v>2005.2083</v>
      </c>
      <c r="D606">
        <v>380.95</v>
      </c>
      <c r="E606">
        <v>379.45</v>
      </c>
      <c r="F606">
        <v>26</v>
      </c>
      <c r="G606">
        <v>1.1599999999999999</v>
      </c>
      <c r="H606">
        <v>0.44</v>
      </c>
    </row>
    <row r="607" spans="1:8">
      <c r="A607">
        <v>2005</v>
      </c>
      <c r="B607">
        <v>4</v>
      </c>
      <c r="C607">
        <v>2005.2917</v>
      </c>
      <c r="D607">
        <v>382.48</v>
      </c>
      <c r="E607">
        <v>379.84</v>
      </c>
      <c r="F607">
        <v>26</v>
      </c>
      <c r="G607">
        <v>0.53</v>
      </c>
      <c r="H607">
        <v>0.2</v>
      </c>
    </row>
    <row r="608" spans="1:8">
      <c r="A608">
        <v>2005</v>
      </c>
      <c r="B608">
        <v>5</v>
      </c>
      <c r="C608">
        <v>2005.375</v>
      </c>
      <c r="D608">
        <v>382.64</v>
      </c>
      <c r="E608">
        <v>379.49</v>
      </c>
      <c r="F608">
        <v>31</v>
      </c>
      <c r="G608">
        <v>0.61</v>
      </c>
      <c r="H608">
        <v>0.21</v>
      </c>
    </row>
    <row r="609" spans="1:8">
      <c r="A609">
        <v>2005</v>
      </c>
      <c r="B609">
        <v>6</v>
      </c>
      <c r="C609">
        <v>2005.4583</v>
      </c>
      <c r="D609">
        <v>382.4</v>
      </c>
      <c r="E609">
        <v>380.07</v>
      </c>
      <c r="F609">
        <v>28</v>
      </c>
      <c r="G609">
        <v>0.21</v>
      </c>
      <c r="H609">
        <v>0.08</v>
      </c>
    </row>
    <row r="610" spans="1:8">
      <c r="A610">
        <v>2005</v>
      </c>
      <c r="B610">
        <v>7</v>
      </c>
      <c r="C610">
        <v>2005.5417</v>
      </c>
      <c r="D610">
        <v>380.93</v>
      </c>
      <c r="E610">
        <v>380.38</v>
      </c>
      <c r="F610">
        <v>29</v>
      </c>
      <c r="G610">
        <v>0.38</v>
      </c>
      <c r="H610">
        <v>0.13</v>
      </c>
    </row>
    <row r="611" spans="1:8">
      <c r="A611">
        <v>2005</v>
      </c>
      <c r="B611">
        <v>8</v>
      </c>
      <c r="C611">
        <v>2005.625</v>
      </c>
      <c r="D611">
        <v>378.93</v>
      </c>
      <c r="E611">
        <v>380.61</v>
      </c>
      <c r="F611">
        <v>26</v>
      </c>
      <c r="G611">
        <v>0.53</v>
      </c>
      <c r="H611">
        <v>0.2</v>
      </c>
    </row>
    <row r="612" spans="1:8">
      <c r="A612">
        <v>2005</v>
      </c>
      <c r="B612">
        <v>9</v>
      </c>
      <c r="C612">
        <v>2005.7083</v>
      </c>
      <c r="D612">
        <v>376.89</v>
      </c>
      <c r="E612">
        <v>380.2</v>
      </c>
      <c r="F612">
        <v>27</v>
      </c>
      <c r="G612">
        <v>0.51</v>
      </c>
      <c r="H612">
        <v>0.19</v>
      </c>
    </row>
    <row r="613" spans="1:8">
      <c r="A613">
        <v>2005</v>
      </c>
      <c r="B613">
        <v>10</v>
      </c>
      <c r="C613">
        <v>2005.7917</v>
      </c>
      <c r="D613">
        <v>377.19</v>
      </c>
      <c r="E613">
        <v>380.5</v>
      </c>
      <c r="F613">
        <v>14</v>
      </c>
      <c r="G613">
        <v>0.15</v>
      </c>
      <c r="H613">
        <v>0.08</v>
      </c>
    </row>
    <row r="614" spans="1:8">
      <c r="A614">
        <v>2005</v>
      </c>
      <c r="B614">
        <v>11</v>
      </c>
      <c r="C614">
        <v>2005.875</v>
      </c>
      <c r="D614">
        <v>378.54</v>
      </c>
      <c r="E614">
        <v>380.69</v>
      </c>
      <c r="F614">
        <v>23</v>
      </c>
      <c r="G614">
        <v>0.45</v>
      </c>
      <c r="H614">
        <v>0.18</v>
      </c>
    </row>
    <row r="615" spans="1:8">
      <c r="A615">
        <v>2005</v>
      </c>
      <c r="B615">
        <v>12</v>
      </c>
      <c r="C615">
        <v>2005.9583</v>
      </c>
      <c r="D615">
        <v>380.31</v>
      </c>
      <c r="E615">
        <v>381.09</v>
      </c>
      <c r="F615">
        <v>26</v>
      </c>
      <c r="G615">
        <v>0.39</v>
      </c>
      <c r="H615">
        <v>0.15</v>
      </c>
    </row>
    <row r="616" spans="1:8">
      <c r="A616">
        <v>2006</v>
      </c>
      <c r="B616">
        <v>1</v>
      </c>
      <c r="C616">
        <v>2006.0417</v>
      </c>
      <c r="D616">
        <v>381.58</v>
      </c>
      <c r="E616">
        <v>381.33</v>
      </c>
      <c r="F616">
        <v>24</v>
      </c>
      <c r="G616">
        <v>0.31</v>
      </c>
      <c r="H616">
        <v>0.12</v>
      </c>
    </row>
    <row r="617" spans="1:8">
      <c r="A617">
        <v>2006</v>
      </c>
      <c r="B617">
        <v>2</v>
      </c>
      <c r="C617">
        <v>2006.125</v>
      </c>
      <c r="D617">
        <v>382.4</v>
      </c>
      <c r="E617">
        <v>381.58</v>
      </c>
      <c r="F617">
        <v>25</v>
      </c>
      <c r="G617">
        <v>0.51</v>
      </c>
      <c r="H617">
        <v>0.2</v>
      </c>
    </row>
    <row r="618" spans="1:8">
      <c r="A618">
        <v>2006</v>
      </c>
      <c r="B618">
        <v>3</v>
      </c>
      <c r="C618">
        <v>2006.2083</v>
      </c>
      <c r="D618">
        <v>382.86</v>
      </c>
      <c r="E618">
        <v>381.32</v>
      </c>
      <c r="F618">
        <v>29</v>
      </c>
      <c r="G618">
        <v>0.55000000000000004</v>
      </c>
      <c r="H618">
        <v>0.2</v>
      </c>
    </row>
    <row r="619" spans="1:8">
      <c r="A619">
        <v>2006</v>
      </c>
      <c r="B619">
        <v>4</v>
      </c>
      <c r="C619">
        <v>2006.2917</v>
      </c>
      <c r="D619">
        <v>384.8</v>
      </c>
      <c r="E619">
        <v>382.11</v>
      </c>
      <c r="F619">
        <v>25</v>
      </c>
      <c r="G619">
        <v>0.49</v>
      </c>
      <c r="H619">
        <v>0.19</v>
      </c>
    </row>
    <row r="620" spans="1:8">
      <c r="A620">
        <v>2006</v>
      </c>
      <c r="B620">
        <v>5</v>
      </c>
      <c r="C620">
        <v>2006.375</v>
      </c>
      <c r="D620">
        <v>385.22</v>
      </c>
      <c r="E620">
        <v>382.06</v>
      </c>
      <c r="F620">
        <v>24</v>
      </c>
      <c r="G620">
        <v>0.45</v>
      </c>
      <c r="H620">
        <v>0.17</v>
      </c>
    </row>
    <row r="621" spans="1:8">
      <c r="A621">
        <v>2006</v>
      </c>
      <c r="B621">
        <v>6</v>
      </c>
      <c r="C621">
        <v>2006.4583</v>
      </c>
      <c r="D621">
        <v>384.24</v>
      </c>
      <c r="E621">
        <v>381.93</v>
      </c>
      <c r="F621">
        <v>28</v>
      </c>
      <c r="G621">
        <v>0.43</v>
      </c>
      <c r="H621">
        <v>0.16</v>
      </c>
    </row>
    <row r="622" spans="1:8">
      <c r="A622">
        <v>2006</v>
      </c>
      <c r="B622">
        <v>7</v>
      </c>
      <c r="C622">
        <v>2006.5417</v>
      </c>
      <c r="D622">
        <v>382.65</v>
      </c>
      <c r="E622">
        <v>382.1</v>
      </c>
      <c r="F622">
        <v>24</v>
      </c>
      <c r="G622">
        <v>0.32</v>
      </c>
      <c r="H622">
        <v>0.12</v>
      </c>
    </row>
    <row r="623" spans="1:8">
      <c r="A623">
        <v>2006</v>
      </c>
      <c r="B623">
        <v>8</v>
      </c>
      <c r="C623">
        <v>2006.625</v>
      </c>
      <c r="D623">
        <v>380.6</v>
      </c>
      <c r="E623">
        <v>382.27</v>
      </c>
      <c r="F623">
        <v>27</v>
      </c>
      <c r="G623">
        <v>0.47</v>
      </c>
      <c r="H623">
        <v>0.17</v>
      </c>
    </row>
    <row r="624" spans="1:8">
      <c r="A624">
        <v>2006</v>
      </c>
      <c r="B624">
        <v>9</v>
      </c>
      <c r="C624">
        <v>2006.7083</v>
      </c>
      <c r="D624">
        <v>379.04</v>
      </c>
      <c r="E624">
        <v>382.35</v>
      </c>
      <c r="F624">
        <v>25</v>
      </c>
      <c r="G624">
        <v>0.42</v>
      </c>
      <c r="H624">
        <v>0.16</v>
      </c>
    </row>
    <row r="625" spans="1:8">
      <c r="A625">
        <v>2006</v>
      </c>
      <c r="B625">
        <v>10</v>
      </c>
      <c r="C625">
        <v>2006.7917</v>
      </c>
      <c r="D625">
        <v>379.33</v>
      </c>
      <c r="E625">
        <v>382.66</v>
      </c>
      <c r="F625">
        <v>23</v>
      </c>
      <c r="G625">
        <v>0.4</v>
      </c>
      <c r="H625">
        <v>0.16</v>
      </c>
    </row>
    <row r="626" spans="1:8">
      <c r="A626">
        <v>2006</v>
      </c>
      <c r="B626">
        <v>11</v>
      </c>
      <c r="C626">
        <v>2006.875</v>
      </c>
      <c r="D626">
        <v>380.35</v>
      </c>
      <c r="E626">
        <v>382.52</v>
      </c>
      <c r="F626">
        <v>29</v>
      </c>
      <c r="G626">
        <v>0.39</v>
      </c>
      <c r="H626">
        <v>0.14000000000000001</v>
      </c>
    </row>
    <row r="627" spans="1:8">
      <c r="A627">
        <v>2006</v>
      </c>
      <c r="B627">
        <v>12</v>
      </c>
      <c r="C627">
        <v>2006.9583</v>
      </c>
      <c r="D627">
        <v>382.02</v>
      </c>
      <c r="E627">
        <v>382.84</v>
      </c>
      <c r="F627">
        <v>27</v>
      </c>
      <c r="G627">
        <v>0.38</v>
      </c>
      <c r="H627">
        <v>0.14000000000000001</v>
      </c>
    </row>
    <row r="628" spans="1:8">
      <c r="A628">
        <v>2007</v>
      </c>
      <c r="B628">
        <v>1</v>
      </c>
      <c r="C628">
        <v>2007.0417</v>
      </c>
      <c r="D628">
        <v>383.1</v>
      </c>
      <c r="E628">
        <v>382.88</v>
      </c>
      <c r="F628">
        <v>24</v>
      </c>
      <c r="G628">
        <v>0.76</v>
      </c>
      <c r="H628">
        <v>0.3</v>
      </c>
    </row>
    <row r="629" spans="1:8">
      <c r="A629">
        <v>2007</v>
      </c>
      <c r="B629">
        <v>2</v>
      </c>
      <c r="C629">
        <v>2007.125</v>
      </c>
      <c r="D629">
        <v>384.12</v>
      </c>
      <c r="E629">
        <v>383.22</v>
      </c>
      <c r="F629">
        <v>21</v>
      </c>
      <c r="G629">
        <v>0.81</v>
      </c>
      <c r="H629">
        <v>0.34</v>
      </c>
    </row>
    <row r="630" spans="1:8">
      <c r="A630">
        <v>2007</v>
      </c>
      <c r="B630">
        <v>3</v>
      </c>
      <c r="C630">
        <v>2007.2083</v>
      </c>
      <c r="D630">
        <v>384.81</v>
      </c>
      <c r="E630">
        <v>383.17</v>
      </c>
      <c r="F630">
        <v>27</v>
      </c>
      <c r="G630">
        <v>0.63</v>
      </c>
      <c r="H630">
        <v>0.23</v>
      </c>
    </row>
    <row r="631" spans="1:8">
      <c r="A631">
        <v>2007</v>
      </c>
      <c r="B631">
        <v>4</v>
      </c>
      <c r="C631">
        <v>2007.2917</v>
      </c>
      <c r="D631">
        <v>386.73</v>
      </c>
      <c r="E631">
        <v>383.95</v>
      </c>
      <c r="F631">
        <v>25</v>
      </c>
      <c r="G631">
        <v>0.76</v>
      </c>
      <c r="H631">
        <v>0.28999999999999998</v>
      </c>
    </row>
    <row r="632" spans="1:8">
      <c r="A632">
        <v>2007</v>
      </c>
      <c r="B632">
        <v>5</v>
      </c>
      <c r="C632">
        <v>2007.375</v>
      </c>
      <c r="D632">
        <v>386.78</v>
      </c>
      <c r="E632">
        <v>383.56</v>
      </c>
      <c r="F632">
        <v>29</v>
      </c>
      <c r="G632">
        <v>0.64</v>
      </c>
      <c r="H632">
        <v>0.23</v>
      </c>
    </row>
    <row r="633" spans="1:8">
      <c r="A633">
        <v>2007</v>
      </c>
      <c r="B633">
        <v>6</v>
      </c>
      <c r="C633">
        <v>2007.4583</v>
      </c>
      <c r="D633">
        <v>386.33</v>
      </c>
      <c r="E633">
        <v>384.06</v>
      </c>
      <c r="F633">
        <v>26</v>
      </c>
      <c r="G633">
        <v>0.42</v>
      </c>
      <c r="H633">
        <v>0.16</v>
      </c>
    </row>
    <row r="634" spans="1:8">
      <c r="A634">
        <v>2007</v>
      </c>
      <c r="B634">
        <v>7</v>
      </c>
      <c r="C634">
        <v>2007.5417</v>
      </c>
      <c r="D634">
        <v>384.73</v>
      </c>
      <c r="E634">
        <v>384.25</v>
      </c>
      <c r="F634">
        <v>27</v>
      </c>
      <c r="G634">
        <v>0.44</v>
      </c>
      <c r="H634">
        <v>0.16</v>
      </c>
    </row>
    <row r="635" spans="1:8">
      <c r="A635">
        <v>2007</v>
      </c>
      <c r="B635">
        <v>8</v>
      </c>
      <c r="C635">
        <v>2007.625</v>
      </c>
      <c r="D635">
        <v>382.24</v>
      </c>
      <c r="E635">
        <v>383.95</v>
      </c>
      <c r="F635">
        <v>22</v>
      </c>
      <c r="G635">
        <v>0.64</v>
      </c>
      <c r="H635">
        <v>0.26</v>
      </c>
    </row>
    <row r="636" spans="1:8">
      <c r="A636">
        <v>2007</v>
      </c>
      <c r="B636">
        <v>9</v>
      </c>
      <c r="C636">
        <v>2007.7083</v>
      </c>
      <c r="D636">
        <v>381.2</v>
      </c>
      <c r="E636">
        <v>384.56</v>
      </c>
      <c r="F636">
        <v>21</v>
      </c>
      <c r="G636">
        <v>0.45</v>
      </c>
      <c r="H636">
        <v>0.19</v>
      </c>
    </row>
    <row r="637" spans="1:8">
      <c r="A637">
        <v>2007</v>
      </c>
      <c r="B637">
        <v>10</v>
      </c>
      <c r="C637">
        <v>2007.7917</v>
      </c>
      <c r="D637">
        <v>381.37</v>
      </c>
      <c r="E637">
        <v>384.72</v>
      </c>
      <c r="F637">
        <v>29</v>
      </c>
      <c r="G637">
        <v>0.19</v>
      </c>
      <c r="H637">
        <v>7.0000000000000007E-2</v>
      </c>
    </row>
    <row r="638" spans="1:8">
      <c r="A638">
        <v>2007</v>
      </c>
      <c r="B638">
        <v>11</v>
      </c>
      <c r="C638">
        <v>2007.875</v>
      </c>
      <c r="D638">
        <v>382.7</v>
      </c>
      <c r="E638">
        <v>384.9</v>
      </c>
      <c r="F638">
        <v>30</v>
      </c>
      <c r="G638">
        <v>0.31</v>
      </c>
      <c r="H638">
        <v>0.11</v>
      </c>
    </row>
    <row r="639" spans="1:8">
      <c r="A639">
        <v>2007</v>
      </c>
      <c r="B639">
        <v>12</v>
      </c>
      <c r="C639">
        <v>2007.9583</v>
      </c>
      <c r="D639">
        <v>384.19</v>
      </c>
      <c r="E639">
        <v>385.07</v>
      </c>
      <c r="F639">
        <v>22</v>
      </c>
      <c r="G639">
        <v>0.34</v>
      </c>
      <c r="H639">
        <v>0.14000000000000001</v>
      </c>
    </row>
    <row r="640" spans="1:8">
      <c r="A640">
        <v>2008</v>
      </c>
      <c r="B640">
        <v>1</v>
      </c>
      <c r="C640">
        <v>2008.0417</v>
      </c>
      <c r="D640">
        <v>385.78</v>
      </c>
      <c r="E640">
        <v>385.54</v>
      </c>
      <c r="F640">
        <v>31</v>
      </c>
      <c r="G640">
        <v>0.56000000000000005</v>
      </c>
      <c r="H640">
        <v>0.19</v>
      </c>
    </row>
    <row r="641" spans="1:8">
      <c r="A641">
        <v>2008</v>
      </c>
      <c r="B641">
        <v>2</v>
      </c>
      <c r="C641">
        <v>2008.125</v>
      </c>
      <c r="D641">
        <v>386.06</v>
      </c>
      <c r="E641">
        <v>385.2</v>
      </c>
      <c r="F641">
        <v>26</v>
      </c>
      <c r="G641">
        <v>0.57999999999999996</v>
      </c>
      <c r="H641">
        <v>0.22</v>
      </c>
    </row>
    <row r="642" spans="1:8">
      <c r="A642">
        <v>2008</v>
      </c>
      <c r="B642">
        <v>3</v>
      </c>
      <c r="C642">
        <v>2008.2083</v>
      </c>
      <c r="D642">
        <v>386.28</v>
      </c>
      <c r="E642">
        <v>384.72</v>
      </c>
      <c r="F642">
        <v>30</v>
      </c>
      <c r="G642">
        <v>0.6</v>
      </c>
      <c r="H642">
        <v>0.21</v>
      </c>
    </row>
    <row r="643" spans="1:8">
      <c r="A643">
        <v>2008</v>
      </c>
      <c r="B643">
        <v>4</v>
      </c>
      <c r="C643">
        <v>2008.2917</v>
      </c>
      <c r="D643">
        <v>387.33</v>
      </c>
      <c r="E643">
        <v>384.71</v>
      </c>
      <c r="F643">
        <v>22</v>
      </c>
      <c r="G643">
        <v>1.19</v>
      </c>
      <c r="H643">
        <v>0.49</v>
      </c>
    </row>
    <row r="644" spans="1:8">
      <c r="A644">
        <v>2008</v>
      </c>
      <c r="B644">
        <v>5</v>
      </c>
      <c r="C644">
        <v>2008.375</v>
      </c>
      <c r="D644">
        <v>388.78</v>
      </c>
      <c r="E644">
        <v>385.69</v>
      </c>
      <c r="F644">
        <v>25</v>
      </c>
      <c r="G644">
        <v>0.56999999999999995</v>
      </c>
      <c r="H644">
        <v>0.22</v>
      </c>
    </row>
    <row r="645" spans="1:8">
      <c r="A645">
        <v>2008</v>
      </c>
      <c r="B645">
        <v>6</v>
      </c>
      <c r="C645">
        <v>2008.4583</v>
      </c>
      <c r="D645">
        <v>387.99</v>
      </c>
      <c r="E645">
        <v>385.68</v>
      </c>
      <c r="F645">
        <v>23</v>
      </c>
      <c r="G645">
        <v>0.49</v>
      </c>
      <c r="H645">
        <v>0.2</v>
      </c>
    </row>
    <row r="646" spans="1:8">
      <c r="A646">
        <v>2008</v>
      </c>
      <c r="B646">
        <v>7</v>
      </c>
      <c r="C646">
        <v>2008.5417</v>
      </c>
      <c r="D646">
        <v>386.62</v>
      </c>
      <c r="E646">
        <v>386.05</v>
      </c>
      <c r="F646">
        <v>10</v>
      </c>
      <c r="G646">
        <v>0.96</v>
      </c>
      <c r="H646">
        <v>0.57999999999999996</v>
      </c>
    </row>
    <row r="647" spans="1:8">
      <c r="A647">
        <v>2008</v>
      </c>
      <c r="B647">
        <v>8</v>
      </c>
      <c r="C647">
        <v>2008.625</v>
      </c>
      <c r="D647">
        <v>384.32</v>
      </c>
      <c r="E647">
        <v>385.98</v>
      </c>
      <c r="F647">
        <v>25</v>
      </c>
      <c r="G647">
        <v>0.66</v>
      </c>
      <c r="H647">
        <v>0.25</v>
      </c>
    </row>
    <row r="648" spans="1:8">
      <c r="A648">
        <v>2008</v>
      </c>
      <c r="B648">
        <v>9</v>
      </c>
      <c r="C648">
        <v>2008.7083</v>
      </c>
      <c r="D648">
        <v>383.41</v>
      </c>
      <c r="E648">
        <v>386.69</v>
      </c>
      <c r="F648">
        <v>27</v>
      </c>
      <c r="G648">
        <v>0.34</v>
      </c>
      <c r="H648">
        <v>0.12</v>
      </c>
    </row>
    <row r="649" spans="1:8">
      <c r="A649">
        <v>2008</v>
      </c>
      <c r="B649">
        <v>10</v>
      </c>
      <c r="C649">
        <v>2008.7917</v>
      </c>
      <c r="D649">
        <v>383.22</v>
      </c>
      <c r="E649">
        <v>386.5</v>
      </c>
      <c r="F649">
        <v>23</v>
      </c>
      <c r="G649">
        <v>0.27</v>
      </c>
      <c r="H649">
        <v>0.11</v>
      </c>
    </row>
    <row r="650" spans="1:8">
      <c r="A650">
        <v>2008</v>
      </c>
      <c r="B650">
        <v>11</v>
      </c>
      <c r="C650">
        <v>2008.875</v>
      </c>
      <c r="D650">
        <v>384.41</v>
      </c>
      <c r="E650">
        <v>386.58</v>
      </c>
      <c r="F650">
        <v>28</v>
      </c>
      <c r="G650">
        <v>0.28999999999999998</v>
      </c>
      <c r="H650">
        <v>0.11</v>
      </c>
    </row>
    <row r="651" spans="1:8">
      <c r="A651">
        <v>2008</v>
      </c>
      <c r="B651">
        <v>12</v>
      </c>
      <c r="C651">
        <v>2008.9583</v>
      </c>
      <c r="D651">
        <v>385.79</v>
      </c>
      <c r="E651">
        <v>386.64</v>
      </c>
      <c r="F651">
        <v>29</v>
      </c>
      <c r="G651">
        <v>0.27</v>
      </c>
      <c r="H651">
        <v>0.1</v>
      </c>
    </row>
    <row r="652" spans="1:8">
      <c r="A652">
        <v>2009</v>
      </c>
      <c r="B652">
        <v>1</v>
      </c>
      <c r="C652">
        <v>2009.0417</v>
      </c>
      <c r="D652">
        <v>387.17</v>
      </c>
      <c r="E652">
        <v>386.86</v>
      </c>
      <c r="F652">
        <v>30</v>
      </c>
      <c r="G652">
        <v>0.38</v>
      </c>
      <c r="H652">
        <v>0.13</v>
      </c>
    </row>
    <row r="653" spans="1:8">
      <c r="A653">
        <v>2009</v>
      </c>
      <c r="B653">
        <v>2</v>
      </c>
      <c r="C653">
        <v>2009.125</v>
      </c>
      <c r="D653">
        <v>387.7</v>
      </c>
      <c r="E653">
        <v>386.81</v>
      </c>
      <c r="F653">
        <v>26</v>
      </c>
      <c r="G653">
        <v>0.49</v>
      </c>
      <c r="H653">
        <v>0.18</v>
      </c>
    </row>
    <row r="654" spans="1:8">
      <c r="A654">
        <v>2009</v>
      </c>
      <c r="B654">
        <v>3</v>
      </c>
      <c r="C654">
        <v>2009.2083</v>
      </c>
      <c r="D654">
        <v>389.04</v>
      </c>
      <c r="E654">
        <v>387.54</v>
      </c>
      <c r="F654">
        <v>28</v>
      </c>
      <c r="G654">
        <v>0.68</v>
      </c>
      <c r="H654">
        <v>0.25</v>
      </c>
    </row>
    <row r="655" spans="1:8">
      <c r="A655">
        <v>2009</v>
      </c>
      <c r="B655">
        <v>4</v>
      </c>
      <c r="C655">
        <v>2009.2917</v>
      </c>
      <c r="D655">
        <v>389.76</v>
      </c>
      <c r="E655">
        <v>387.15</v>
      </c>
      <c r="F655">
        <v>29</v>
      </c>
      <c r="G655">
        <v>0.85</v>
      </c>
      <c r="H655">
        <v>0.3</v>
      </c>
    </row>
    <row r="656" spans="1:8">
      <c r="A656">
        <v>2009</v>
      </c>
      <c r="B656">
        <v>5</v>
      </c>
      <c r="C656">
        <v>2009.375</v>
      </c>
      <c r="D656">
        <v>390.36</v>
      </c>
      <c r="E656">
        <v>387.24</v>
      </c>
      <c r="F656">
        <v>30</v>
      </c>
      <c r="G656">
        <v>0.51</v>
      </c>
      <c r="H656">
        <v>0.18</v>
      </c>
    </row>
    <row r="657" spans="1:8">
      <c r="A657">
        <v>2009</v>
      </c>
      <c r="B657">
        <v>6</v>
      </c>
      <c r="C657">
        <v>2009.4583</v>
      </c>
      <c r="D657">
        <v>389.7</v>
      </c>
      <c r="E657">
        <v>387.46</v>
      </c>
      <c r="F657">
        <v>29</v>
      </c>
      <c r="G657">
        <v>0.6</v>
      </c>
      <c r="H657">
        <v>0.21</v>
      </c>
    </row>
    <row r="658" spans="1:8">
      <c r="A658">
        <v>2009</v>
      </c>
      <c r="B658">
        <v>7</v>
      </c>
      <c r="C658">
        <v>2009.5417</v>
      </c>
      <c r="D658">
        <v>388.24</v>
      </c>
      <c r="E658">
        <v>387.77</v>
      </c>
      <c r="F658">
        <v>22</v>
      </c>
      <c r="G658">
        <v>0.31</v>
      </c>
      <c r="H658">
        <v>0.13</v>
      </c>
    </row>
    <row r="659" spans="1:8">
      <c r="A659">
        <v>2009</v>
      </c>
      <c r="B659">
        <v>8</v>
      </c>
      <c r="C659">
        <v>2009.625</v>
      </c>
      <c r="D659">
        <v>386.29</v>
      </c>
      <c r="E659">
        <v>387.99</v>
      </c>
      <c r="F659">
        <v>28</v>
      </c>
      <c r="G659">
        <v>0.62</v>
      </c>
      <c r="H659">
        <v>0.22</v>
      </c>
    </row>
    <row r="660" spans="1:8">
      <c r="A660">
        <v>2009</v>
      </c>
      <c r="B660">
        <v>9</v>
      </c>
      <c r="C660">
        <v>2009.7083</v>
      </c>
      <c r="D660">
        <v>384.95</v>
      </c>
      <c r="E660">
        <v>388.22</v>
      </c>
      <c r="F660">
        <v>28</v>
      </c>
      <c r="G660">
        <v>0.56000000000000005</v>
      </c>
      <c r="H660">
        <v>0.2</v>
      </c>
    </row>
    <row r="661" spans="1:8">
      <c r="A661">
        <v>2009</v>
      </c>
      <c r="B661">
        <v>10</v>
      </c>
      <c r="C661">
        <v>2009.7917</v>
      </c>
      <c r="D661">
        <v>384.64</v>
      </c>
      <c r="E661">
        <v>387.88</v>
      </c>
      <c r="F661">
        <v>30</v>
      </c>
      <c r="G661">
        <v>0.31</v>
      </c>
      <c r="H661">
        <v>0.11</v>
      </c>
    </row>
    <row r="662" spans="1:8">
      <c r="A662">
        <v>2009</v>
      </c>
      <c r="B662">
        <v>11</v>
      </c>
      <c r="C662">
        <v>2009.875</v>
      </c>
      <c r="D662">
        <v>386.23</v>
      </c>
      <c r="E662">
        <v>388.36</v>
      </c>
      <c r="F662">
        <v>30</v>
      </c>
      <c r="G662">
        <v>0.28999999999999998</v>
      </c>
      <c r="H662">
        <v>0.1</v>
      </c>
    </row>
    <row r="663" spans="1:8">
      <c r="A663">
        <v>2009</v>
      </c>
      <c r="B663">
        <v>12</v>
      </c>
      <c r="C663">
        <v>2009.9583</v>
      </c>
      <c r="D663">
        <v>387.63</v>
      </c>
      <c r="E663">
        <v>388.43</v>
      </c>
      <c r="F663">
        <v>20</v>
      </c>
      <c r="G663">
        <v>0.47</v>
      </c>
      <c r="H663">
        <v>0.2</v>
      </c>
    </row>
    <row r="664" spans="1:8">
      <c r="A664">
        <v>2010</v>
      </c>
      <c r="B664">
        <v>1</v>
      </c>
      <c r="C664">
        <v>2010.0417</v>
      </c>
      <c r="D664">
        <v>388.91</v>
      </c>
      <c r="E664">
        <v>388.62</v>
      </c>
      <c r="F664">
        <v>30</v>
      </c>
      <c r="G664">
        <v>0.92</v>
      </c>
      <c r="H664">
        <v>0.32</v>
      </c>
    </row>
    <row r="665" spans="1:8">
      <c r="A665">
        <v>2010</v>
      </c>
      <c r="B665">
        <v>2</v>
      </c>
      <c r="C665">
        <v>2010.125</v>
      </c>
      <c r="D665">
        <v>390.41</v>
      </c>
      <c r="E665">
        <v>389.47</v>
      </c>
      <c r="F665">
        <v>20</v>
      </c>
      <c r="G665">
        <v>1.31</v>
      </c>
      <c r="H665">
        <v>0.56000000000000005</v>
      </c>
    </row>
    <row r="666" spans="1:8">
      <c r="A666">
        <v>2010</v>
      </c>
      <c r="B666">
        <v>3</v>
      </c>
      <c r="C666">
        <v>2010.2083</v>
      </c>
      <c r="D666">
        <v>391.37</v>
      </c>
      <c r="E666">
        <v>389.85</v>
      </c>
      <c r="F666">
        <v>25</v>
      </c>
      <c r="G666">
        <v>1.05</v>
      </c>
      <c r="H666">
        <v>0.4</v>
      </c>
    </row>
    <row r="667" spans="1:8">
      <c r="A667">
        <v>2010</v>
      </c>
      <c r="B667">
        <v>4</v>
      </c>
      <c r="C667">
        <v>2010.2917</v>
      </c>
      <c r="D667">
        <v>392.67</v>
      </c>
      <c r="E667">
        <v>390.12</v>
      </c>
      <c r="F667">
        <v>26</v>
      </c>
      <c r="G667">
        <v>0.65</v>
      </c>
      <c r="H667">
        <v>0.24</v>
      </c>
    </row>
    <row r="668" spans="1:8">
      <c r="A668">
        <v>2010</v>
      </c>
      <c r="B668">
        <v>5</v>
      </c>
      <c r="C668">
        <v>2010.375</v>
      </c>
      <c r="D668">
        <v>393.21</v>
      </c>
      <c r="E668">
        <v>390.09</v>
      </c>
      <c r="F668">
        <v>29</v>
      </c>
      <c r="G668">
        <v>0.65</v>
      </c>
      <c r="H668">
        <v>0.23</v>
      </c>
    </row>
    <row r="669" spans="1:8">
      <c r="A669">
        <v>2010</v>
      </c>
      <c r="B669">
        <v>6</v>
      </c>
      <c r="C669">
        <v>2010.4583</v>
      </c>
      <c r="D669">
        <v>392.38</v>
      </c>
      <c r="E669">
        <v>390.1</v>
      </c>
      <c r="F669">
        <v>28</v>
      </c>
      <c r="G669">
        <v>0.42</v>
      </c>
      <c r="H669">
        <v>0.15</v>
      </c>
    </row>
    <row r="670" spans="1:8">
      <c r="A670">
        <v>2010</v>
      </c>
      <c r="B670">
        <v>7</v>
      </c>
      <c r="C670">
        <v>2010.5417</v>
      </c>
      <c r="D670">
        <v>390.41</v>
      </c>
      <c r="E670">
        <v>389.93</v>
      </c>
      <c r="F670">
        <v>29</v>
      </c>
      <c r="G670">
        <v>0.47</v>
      </c>
      <c r="H670">
        <v>0.17</v>
      </c>
    </row>
    <row r="671" spans="1:8">
      <c r="A671">
        <v>2010</v>
      </c>
      <c r="B671">
        <v>8</v>
      </c>
      <c r="C671">
        <v>2010.625</v>
      </c>
      <c r="D671">
        <v>388.54</v>
      </c>
      <c r="E671">
        <v>390.21</v>
      </c>
      <c r="F671">
        <v>26</v>
      </c>
      <c r="G671">
        <v>0.41</v>
      </c>
      <c r="H671">
        <v>0.16</v>
      </c>
    </row>
    <row r="672" spans="1:8">
      <c r="A672">
        <v>2010</v>
      </c>
      <c r="B672">
        <v>9</v>
      </c>
      <c r="C672">
        <v>2010.7083</v>
      </c>
      <c r="D672">
        <v>387.03</v>
      </c>
      <c r="E672">
        <v>390.32</v>
      </c>
      <c r="F672">
        <v>29</v>
      </c>
      <c r="G672">
        <v>0.55000000000000004</v>
      </c>
      <c r="H672">
        <v>0.19</v>
      </c>
    </row>
    <row r="673" spans="1:8">
      <c r="A673">
        <v>2010</v>
      </c>
      <c r="B673">
        <v>10</v>
      </c>
      <c r="C673">
        <v>2010.7917</v>
      </c>
      <c r="D673">
        <v>387.43</v>
      </c>
      <c r="E673">
        <v>390.72</v>
      </c>
      <c r="F673">
        <v>31</v>
      </c>
      <c r="G673">
        <v>0.27</v>
      </c>
      <c r="H673">
        <v>0.09</v>
      </c>
    </row>
    <row r="674" spans="1:8">
      <c r="A674">
        <v>2010</v>
      </c>
      <c r="B674">
        <v>11</v>
      </c>
      <c r="C674">
        <v>2010.875</v>
      </c>
      <c r="D674">
        <v>388.87</v>
      </c>
      <c r="E674">
        <v>390.99</v>
      </c>
      <c r="F674">
        <v>29</v>
      </c>
      <c r="G674">
        <v>0.42</v>
      </c>
      <c r="H674">
        <v>0.15</v>
      </c>
    </row>
    <row r="675" spans="1:8">
      <c r="A675">
        <v>2010</v>
      </c>
      <c r="B675">
        <v>12</v>
      </c>
      <c r="C675">
        <v>2010.9583</v>
      </c>
      <c r="D675">
        <v>389.99</v>
      </c>
      <c r="E675">
        <v>390.8</v>
      </c>
      <c r="F675">
        <v>29</v>
      </c>
      <c r="G675">
        <v>0.47</v>
      </c>
      <c r="H675">
        <v>0.17</v>
      </c>
    </row>
    <row r="676" spans="1:8">
      <c r="A676">
        <v>2011</v>
      </c>
      <c r="B676">
        <v>1</v>
      </c>
      <c r="C676">
        <v>2011.0417</v>
      </c>
      <c r="D676">
        <v>391.5</v>
      </c>
      <c r="E676">
        <v>391.19</v>
      </c>
      <c r="F676">
        <v>29</v>
      </c>
      <c r="G676">
        <v>0.88</v>
      </c>
      <c r="H676">
        <v>0.31</v>
      </c>
    </row>
    <row r="677" spans="1:8">
      <c r="A677">
        <v>2011</v>
      </c>
      <c r="B677">
        <v>2</v>
      </c>
      <c r="C677">
        <v>2011.125</v>
      </c>
      <c r="D677">
        <v>392.05</v>
      </c>
      <c r="E677">
        <v>391.12</v>
      </c>
      <c r="F677">
        <v>28</v>
      </c>
      <c r="G677">
        <v>0.47</v>
      </c>
      <c r="H677">
        <v>0.17</v>
      </c>
    </row>
    <row r="678" spans="1:8">
      <c r="A678">
        <v>2011</v>
      </c>
      <c r="B678">
        <v>3</v>
      </c>
      <c r="C678">
        <v>2011.2083</v>
      </c>
      <c r="D678">
        <v>392.8</v>
      </c>
      <c r="E678">
        <v>391.27</v>
      </c>
      <c r="F678">
        <v>29</v>
      </c>
      <c r="G678">
        <v>0.97</v>
      </c>
      <c r="H678">
        <v>0.35</v>
      </c>
    </row>
    <row r="679" spans="1:8">
      <c r="A679">
        <v>2011</v>
      </c>
      <c r="B679">
        <v>4</v>
      </c>
      <c r="C679">
        <v>2011.2917</v>
      </c>
      <c r="D679">
        <v>393.44</v>
      </c>
      <c r="E679">
        <v>390.83</v>
      </c>
      <c r="F679">
        <v>28</v>
      </c>
      <c r="G679">
        <v>0.73</v>
      </c>
      <c r="H679">
        <v>0.26</v>
      </c>
    </row>
    <row r="680" spans="1:8">
      <c r="A680">
        <v>2011</v>
      </c>
      <c r="B680">
        <v>5</v>
      </c>
      <c r="C680">
        <v>2011.375</v>
      </c>
      <c r="D680">
        <v>394.41</v>
      </c>
      <c r="E680">
        <v>391.24</v>
      </c>
      <c r="F680">
        <v>29</v>
      </c>
      <c r="G680">
        <v>0.93</v>
      </c>
      <c r="H680">
        <v>0.33</v>
      </c>
    </row>
    <row r="681" spans="1:8">
      <c r="A681">
        <v>2011</v>
      </c>
      <c r="B681">
        <v>6</v>
      </c>
      <c r="C681">
        <v>2011.4583</v>
      </c>
      <c r="D681">
        <v>393.95</v>
      </c>
      <c r="E681">
        <v>391.64</v>
      </c>
      <c r="F681">
        <v>28</v>
      </c>
      <c r="G681">
        <v>0.45</v>
      </c>
      <c r="H681">
        <v>0.16</v>
      </c>
    </row>
    <row r="682" spans="1:8">
      <c r="A682">
        <v>2011</v>
      </c>
      <c r="B682">
        <v>7</v>
      </c>
      <c r="C682">
        <v>2011.5417</v>
      </c>
      <c r="D682">
        <v>392.72</v>
      </c>
      <c r="E682">
        <v>392.24</v>
      </c>
      <c r="F682">
        <v>26</v>
      </c>
      <c r="G682">
        <v>0.71</v>
      </c>
      <c r="H682">
        <v>0.26</v>
      </c>
    </row>
    <row r="683" spans="1:8">
      <c r="A683">
        <v>2011</v>
      </c>
      <c r="B683">
        <v>8</v>
      </c>
      <c r="C683">
        <v>2011.625</v>
      </c>
      <c r="D683">
        <v>390.33</v>
      </c>
      <c r="E683">
        <v>392.04</v>
      </c>
      <c r="F683">
        <v>27</v>
      </c>
      <c r="G683">
        <v>0.42</v>
      </c>
      <c r="H683">
        <v>0.15</v>
      </c>
    </row>
    <row r="684" spans="1:8">
      <c r="A684">
        <v>2011</v>
      </c>
      <c r="B684">
        <v>9</v>
      </c>
      <c r="C684">
        <v>2011.7083</v>
      </c>
      <c r="D684">
        <v>389.28</v>
      </c>
      <c r="E684">
        <v>392.6</v>
      </c>
      <c r="F684">
        <v>26</v>
      </c>
      <c r="G684">
        <v>0.31</v>
      </c>
      <c r="H684">
        <v>0.12</v>
      </c>
    </row>
    <row r="685" spans="1:8">
      <c r="A685">
        <v>2011</v>
      </c>
      <c r="B685">
        <v>10</v>
      </c>
      <c r="C685">
        <v>2011.7917</v>
      </c>
      <c r="D685">
        <v>389.19</v>
      </c>
      <c r="E685">
        <v>392.53</v>
      </c>
      <c r="F685">
        <v>30</v>
      </c>
      <c r="G685">
        <v>0.17</v>
      </c>
      <c r="H685">
        <v>0.06</v>
      </c>
    </row>
    <row r="686" spans="1:8">
      <c r="A686">
        <v>2011</v>
      </c>
      <c r="B686">
        <v>11</v>
      </c>
      <c r="C686">
        <v>2011.875</v>
      </c>
      <c r="D686">
        <v>390.48</v>
      </c>
      <c r="E686">
        <v>392.64</v>
      </c>
      <c r="F686">
        <v>28</v>
      </c>
      <c r="G686">
        <v>0.26</v>
      </c>
      <c r="H686">
        <v>0.1</v>
      </c>
    </row>
    <row r="687" spans="1:8">
      <c r="A687">
        <v>2011</v>
      </c>
      <c r="B687">
        <v>12</v>
      </c>
      <c r="C687">
        <v>2011.9583</v>
      </c>
      <c r="D687">
        <v>392.06</v>
      </c>
      <c r="E687">
        <v>392.86</v>
      </c>
      <c r="F687">
        <v>26</v>
      </c>
      <c r="G687">
        <v>0.37</v>
      </c>
      <c r="H687">
        <v>0.14000000000000001</v>
      </c>
    </row>
    <row r="688" spans="1:8">
      <c r="A688">
        <v>2012</v>
      </c>
      <c r="B688">
        <v>1</v>
      </c>
      <c r="C688">
        <v>2012.0417</v>
      </c>
      <c r="D688">
        <v>393.31</v>
      </c>
      <c r="E688">
        <v>393.07</v>
      </c>
      <c r="F688">
        <v>30</v>
      </c>
      <c r="G688">
        <v>0.77</v>
      </c>
      <c r="H688">
        <v>0.27</v>
      </c>
    </row>
    <row r="689" spans="1:8">
      <c r="A689">
        <v>2012</v>
      </c>
      <c r="B689">
        <v>2</v>
      </c>
      <c r="C689">
        <v>2012.125</v>
      </c>
      <c r="D689">
        <v>394.04</v>
      </c>
      <c r="E689">
        <v>393.2</v>
      </c>
      <c r="F689">
        <v>26</v>
      </c>
      <c r="G689">
        <v>1.19</v>
      </c>
      <c r="H689">
        <v>0.45</v>
      </c>
    </row>
    <row r="690" spans="1:8">
      <c r="A690">
        <v>2012</v>
      </c>
      <c r="B690">
        <v>3</v>
      </c>
      <c r="C690">
        <v>2012.2083</v>
      </c>
      <c r="D690">
        <v>394.59</v>
      </c>
      <c r="E690">
        <v>392.99</v>
      </c>
      <c r="F690">
        <v>30</v>
      </c>
      <c r="G690">
        <v>0.63</v>
      </c>
      <c r="H690">
        <v>0.22</v>
      </c>
    </row>
    <row r="691" spans="1:8">
      <c r="A691">
        <v>2012</v>
      </c>
      <c r="B691">
        <v>4</v>
      </c>
      <c r="C691">
        <v>2012.2917</v>
      </c>
      <c r="D691">
        <v>396.38</v>
      </c>
      <c r="E691">
        <v>393.65</v>
      </c>
      <c r="F691">
        <v>29</v>
      </c>
      <c r="G691">
        <v>0.59</v>
      </c>
      <c r="H691">
        <v>0.21</v>
      </c>
    </row>
    <row r="692" spans="1:8">
      <c r="A692">
        <v>2012</v>
      </c>
      <c r="B692">
        <v>5</v>
      </c>
      <c r="C692">
        <v>2012.375</v>
      </c>
      <c r="D692">
        <v>396.93</v>
      </c>
      <c r="E692">
        <v>393.73</v>
      </c>
      <c r="F692">
        <v>30</v>
      </c>
      <c r="G692">
        <v>0.5</v>
      </c>
      <c r="H692">
        <v>0.17</v>
      </c>
    </row>
    <row r="693" spans="1:8">
      <c r="A693">
        <v>2012</v>
      </c>
      <c r="B693">
        <v>6</v>
      </c>
      <c r="C693">
        <v>2012.4583</v>
      </c>
      <c r="D693">
        <v>395.91</v>
      </c>
      <c r="E693">
        <v>393.63</v>
      </c>
      <c r="F693">
        <v>28</v>
      </c>
      <c r="G693">
        <v>0.59</v>
      </c>
      <c r="H693">
        <v>0.21</v>
      </c>
    </row>
    <row r="694" spans="1:8">
      <c r="A694">
        <v>2012</v>
      </c>
      <c r="B694">
        <v>7</v>
      </c>
      <c r="C694">
        <v>2012.5417</v>
      </c>
      <c r="D694">
        <v>394.56</v>
      </c>
      <c r="E694">
        <v>394.12</v>
      </c>
      <c r="F694">
        <v>26</v>
      </c>
      <c r="G694">
        <v>0.3</v>
      </c>
      <c r="H694">
        <v>0.11</v>
      </c>
    </row>
    <row r="695" spans="1:8">
      <c r="A695">
        <v>2012</v>
      </c>
      <c r="B695">
        <v>8</v>
      </c>
      <c r="C695">
        <v>2012.625</v>
      </c>
      <c r="D695">
        <v>392.59</v>
      </c>
      <c r="E695">
        <v>394.37</v>
      </c>
      <c r="F695">
        <v>30</v>
      </c>
      <c r="G695">
        <v>0.52</v>
      </c>
      <c r="H695">
        <v>0.18</v>
      </c>
    </row>
    <row r="696" spans="1:8">
      <c r="A696">
        <v>2012</v>
      </c>
      <c r="B696">
        <v>9</v>
      </c>
      <c r="C696">
        <v>2012.7083</v>
      </c>
      <c r="D696">
        <v>391.32</v>
      </c>
      <c r="E696">
        <v>394.75</v>
      </c>
      <c r="F696">
        <v>26</v>
      </c>
      <c r="G696">
        <v>0.42</v>
      </c>
      <c r="H696">
        <v>0.16</v>
      </c>
    </row>
    <row r="697" spans="1:8">
      <c r="A697">
        <v>2012</v>
      </c>
      <c r="B697">
        <v>10</v>
      </c>
      <c r="C697">
        <v>2012.7917</v>
      </c>
      <c r="D697">
        <v>391.27</v>
      </c>
      <c r="E697">
        <v>394.64</v>
      </c>
      <c r="F697">
        <v>28</v>
      </c>
      <c r="G697">
        <v>0.23</v>
      </c>
      <c r="H697">
        <v>0.08</v>
      </c>
    </row>
    <row r="698" spans="1:8">
      <c r="A698">
        <v>2012</v>
      </c>
      <c r="B698">
        <v>11</v>
      </c>
      <c r="C698">
        <v>2012.875</v>
      </c>
      <c r="D698">
        <v>393.2</v>
      </c>
      <c r="E698">
        <v>395.25</v>
      </c>
      <c r="F698">
        <v>29</v>
      </c>
      <c r="G698">
        <v>0.53</v>
      </c>
      <c r="H698">
        <v>0.19</v>
      </c>
    </row>
    <row r="699" spans="1:8">
      <c r="A699">
        <v>2012</v>
      </c>
      <c r="B699">
        <v>12</v>
      </c>
      <c r="C699">
        <v>2012.9583</v>
      </c>
      <c r="D699">
        <v>394.57</v>
      </c>
      <c r="E699">
        <v>395.27</v>
      </c>
      <c r="F699">
        <v>29</v>
      </c>
      <c r="G699">
        <v>0.44</v>
      </c>
      <c r="H699">
        <v>0.16</v>
      </c>
    </row>
    <row r="700" spans="1:8">
      <c r="A700">
        <v>2013</v>
      </c>
      <c r="B700">
        <v>1</v>
      </c>
      <c r="C700">
        <v>2013.0417</v>
      </c>
      <c r="D700">
        <v>395.78</v>
      </c>
      <c r="E700">
        <v>395.62</v>
      </c>
      <c r="F700">
        <v>28</v>
      </c>
      <c r="G700">
        <v>0.6</v>
      </c>
      <c r="H700">
        <v>0.22</v>
      </c>
    </row>
    <row r="701" spans="1:8">
      <c r="A701">
        <v>2013</v>
      </c>
      <c r="B701">
        <v>2</v>
      </c>
      <c r="C701">
        <v>2013.125</v>
      </c>
      <c r="D701">
        <v>397.03</v>
      </c>
      <c r="E701">
        <v>396.23</v>
      </c>
      <c r="F701">
        <v>25</v>
      </c>
      <c r="G701">
        <v>0.56999999999999995</v>
      </c>
      <c r="H701">
        <v>0.22</v>
      </c>
    </row>
    <row r="702" spans="1:8">
      <c r="A702">
        <v>2013</v>
      </c>
      <c r="B702">
        <v>3</v>
      </c>
      <c r="C702">
        <v>2013.2083</v>
      </c>
      <c r="D702">
        <v>397.66</v>
      </c>
      <c r="E702">
        <v>396.07</v>
      </c>
      <c r="F702">
        <v>30</v>
      </c>
      <c r="G702">
        <v>0.71</v>
      </c>
      <c r="H702">
        <v>0.25</v>
      </c>
    </row>
    <row r="703" spans="1:8">
      <c r="A703">
        <v>2013</v>
      </c>
      <c r="B703">
        <v>4</v>
      </c>
      <c r="C703">
        <v>2013.2917</v>
      </c>
      <c r="D703">
        <v>398.64</v>
      </c>
      <c r="E703">
        <v>395.79</v>
      </c>
      <c r="F703">
        <v>22</v>
      </c>
      <c r="G703">
        <v>0.59</v>
      </c>
      <c r="H703">
        <v>0.24</v>
      </c>
    </row>
    <row r="704" spans="1:8">
      <c r="A704">
        <v>2013</v>
      </c>
      <c r="B704">
        <v>5</v>
      </c>
      <c r="C704">
        <v>2013.375</v>
      </c>
      <c r="D704">
        <v>400.02</v>
      </c>
      <c r="E704">
        <v>396.64</v>
      </c>
      <c r="F704">
        <v>28</v>
      </c>
      <c r="G704">
        <v>0.37</v>
      </c>
      <c r="H704">
        <v>0.13</v>
      </c>
    </row>
    <row r="705" spans="1:8">
      <c r="A705">
        <v>2013</v>
      </c>
      <c r="B705">
        <v>6</v>
      </c>
      <c r="C705">
        <v>2013.4583</v>
      </c>
      <c r="D705">
        <v>398.81</v>
      </c>
      <c r="E705">
        <v>396.48</v>
      </c>
      <c r="F705">
        <v>26</v>
      </c>
      <c r="G705">
        <v>0.43</v>
      </c>
      <c r="H705">
        <v>0.16</v>
      </c>
    </row>
    <row r="706" spans="1:8">
      <c r="A706">
        <v>2013</v>
      </c>
      <c r="B706">
        <v>7</v>
      </c>
      <c r="C706">
        <v>2013.5417</v>
      </c>
      <c r="D706">
        <v>397.51</v>
      </c>
      <c r="E706">
        <v>397.13</v>
      </c>
      <c r="F706">
        <v>21</v>
      </c>
      <c r="G706">
        <v>0.52</v>
      </c>
      <c r="H706">
        <v>0.22</v>
      </c>
    </row>
    <row r="707" spans="1:8">
      <c r="A707">
        <v>2013</v>
      </c>
      <c r="B707">
        <v>8</v>
      </c>
      <c r="C707">
        <v>2013.625</v>
      </c>
      <c r="D707">
        <v>395.39</v>
      </c>
      <c r="E707">
        <v>397.27</v>
      </c>
      <c r="F707">
        <v>27</v>
      </c>
      <c r="G707">
        <v>0.45</v>
      </c>
      <c r="H707">
        <v>0.16</v>
      </c>
    </row>
    <row r="708" spans="1:8">
      <c r="A708">
        <v>2013</v>
      </c>
      <c r="B708">
        <v>9</v>
      </c>
      <c r="C708">
        <v>2013.7083</v>
      </c>
      <c r="D708">
        <v>393.72</v>
      </c>
      <c r="E708">
        <v>397.24</v>
      </c>
      <c r="F708">
        <v>26</v>
      </c>
      <c r="G708">
        <v>0.35</v>
      </c>
      <c r="H708">
        <v>0.13</v>
      </c>
    </row>
    <row r="709" spans="1:8">
      <c r="A709">
        <v>2013</v>
      </c>
      <c r="B709">
        <v>10</v>
      </c>
      <c r="C709">
        <v>2013.7917</v>
      </c>
      <c r="D709">
        <v>393.9</v>
      </c>
      <c r="E709">
        <v>397.25</v>
      </c>
      <c r="F709">
        <v>28</v>
      </c>
      <c r="G709">
        <v>0.16</v>
      </c>
      <c r="H709">
        <v>0.06</v>
      </c>
    </row>
    <row r="710" spans="1:8">
      <c r="A710">
        <v>2013</v>
      </c>
      <c r="B710">
        <v>11</v>
      </c>
      <c r="C710">
        <v>2013.875</v>
      </c>
      <c r="D710">
        <v>395.36</v>
      </c>
      <c r="E710">
        <v>397.35</v>
      </c>
      <c r="F710">
        <v>30</v>
      </c>
      <c r="G710">
        <v>0.6</v>
      </c>
      <c r="H710">
        <v>0.21</v>
      </c>
    </row>
    <row r="711" spans="1:8">
      <c r="A711">
        <v>2013</v>
      </c>
      <c r="B711">
        <v>12</v>
      </c>
      <c r="C711">
        <v>2013.9583</v>
      </c>
      <c r="D711">
        <v>397.03</v>
      </c>
      <c r="E711">
        <v>397.78</v>
      </c>
      <c r="F711">
        <v>30</v>
      </c>
      <c r="G711">
        <v>0.48</v>
      </c>
      <c r="H711">
        <v>0.17</v>
      </c>
    </row>
    <row r="712" spans="1:8">
      <c r="A712">
        <v>2014</v>
      </c>
      <c r="B712">
        <v>1</v>
      </c>
      <c r="C712">
        <v>2014.0417</v>
      </c>
      <c r="D712">
        <v>398.04</v>
      </c>
      <c r="E712">
        <v>397.74</v>
      </c>
      <c r="F712">
        <v>31</v>
      </c>
      <c r="G712">
        <v>0.49</v>
      </c>
      <c r="H712">
        <v>0.17</v>
      </c>
    </row>
    <row r="713" spans="1:8">
      <c r="A713">
        <v>2014</v>
      </c>
      <c r="B713">
        <v>2</v>
      </c>
      <c r="C713">
        <v>2014.125</v>
      </c>
      <c r="D713">
        <v>398.27</v>
      </c>
      <c r="E713">
        <v>397.45</v>
      </c>
      <c r="F713">
        <v>27</v>
      </c>
      <c r="G713">
        <v>0.51</v>
      </c>
      <c r="H713">
        <v>0.19</v>
      </c>
    </row>
    <row r="714" spans="1:8">
      <c r="A714">
        <v>2014</v>
      </c>
      <c r="B714">
        <v>3</v>
      </c>
      <c r="C714">
        <v>2014.2083</v>
      </c>
      <c r="D714">
        <v>399.91</v>
      </c>
      <c r="E714">
        <v>398.37</v>
      </c>
      <c r="F714">
        <v>22</v>
      </c>
      <c r="G714">
        <v>0.84</v>
      </c>
      <c r="H714">
        <v>0.34</v>
      </c>
    </row>
    <row r="715" spans="1:8">
      <c r="A715">
        <v>2014</v>
      </c>
      <c r="B715">
        <v>4</v>
      </c>
      <c r="C715">
        <v>2014.2917</v>
      </c>
      <c r="D715">
        <v>401.51</v>
      </c>
      <c r="E715">
        <v>398.63</v>
      </c>
      <c r="F715">
        <v>26</v>
      </c>
      <c r="G715">
        <v>0.5</v>
      </c>
      <c r="H715">
        <v>0.19</v>
      </c>
    </row>
    <row r="716" spans="1:8">
      <c r="A716">
        <v>2014</v>
      </c>
      <c r="B716">
        <v>5</v>
      </c>
      <c r="C716">
        <v>2014.375</v>
      </c>
      <c r="D716">
        <v>401.96</v>
      </c>
      <c r="E716">
        <v>398.56</v>
      </c>
      <c r="F716">
        <v>22</v>
      </c>
      <c r="G716">
        <v>0.51</v>
      </c>
      <c r="H716">
        <v>0.21</v>
      </c>
    </row>
    <row r="717" spans="1:8">
      <c r="A717">
        <v>2014</v>
      </c>
      <c r="B717">
        <v>6</v>
      </c>
      <c r="C717">
        <v>2014.4583</v>
      </c>
      <c r="D717">
        <v>401.43</v>
      </c>
      <c r="E717">
        <v>399.1</v>
      </c>
      <c r="F717">
        <v>28</v>
      </c>
      <c r="G717">
        <v>0.36</v>
      </c>
      <c r="H717">
        <v>0.13</v>
      </c>
    </row>
    <row r="718" spans="1:8">
      <c r="A718">
        <v>2014</v>
      </c>
      <c r="B718">
        <v>7</v>
      </c>
      <c r="C718">
        <v>2014.5417</v>
      </c>
      <c r="D718">
        <v>399.27</v>
      </c>
      <c r="E718">
        <v>398.85</v>
      </c>
      <c r="F718">
        <v>25</v>
      </c>
      <c r="G718">
        <v>0.55000000000000004</v>
      </c>
      <c r="H718">
        <v>0.21</v>
      </c>
    </row>
    <row r="719" spans="1:8">
      <c r="A719">
        <v>2014</v>
      </c>
      <c r="B719">
        <v>8</v>
      </c>
      <c r="C719">
        <v>2014.625</v>
      </c>
      <c r="D719">
        <v>397.18</v>
      </c>
      <c r="E719">
        <v>399.07</v>
      </c>
      <c r="F719">
        <v>22</v>
      </c>
      <c r="G719">
        <v>0.28000000000000003</v>
      </c>
      <c r="H719">
        <v>0.12</v>
      </c>
    </row>
    <row r="720" spans="1:8">
      <c r="A720">
        <v>2014</v>
      </c>
      <c r="B720">
        <v>9</v>
      </c>
      <c r="C720">
        <v>2014.7083</v>
      </c>
      <c r="D720">
        <v>395.54</v>
      </c>
      <c r="E720">
        <v>399.11</v>
      </c>
      <c r="F720">
        <v>21</v>
      </c>
      <c r="G720">
        <v>0.54</v>
      </c>
      <c r="H720">
        <v>0.23</v>
      </c>
    </row>
    <row r="721" spans="1:8">
      <c r="A721">
        <v>2014</v>
      </c>
      <c r="B721">
        <v>10</v>
      </c>
      <c r="C721">
        <v>2014.7917</v>
      </c>
      <c r="D721">
        <v>396.16</v>
      </c>
      <c r="E721">
        <v>399.58</v>
      </c>
      <c r="F721">
        <v>24</v>
      </c>
      <c r="G721">
        <v>0.73</v>
      </c>
      <c r="H721">
        <v>0.28999999999999998</v>
      </c>
    </row>
    <row r="722" spans="1:8">
      <c r="A722">
        <v>2014</v>
      </c>
      <c r="B722">
        <v>11</v>
      </c>
      <c r="C722">
        <v>2014.875</v>
      </c>
      <c r="D722">
        <v>397.4</v>
      </c>
      <c r="E722">
        <v>399.49</v>
      </c>
      <c r="F722">
        <v>27</v>
      </c>
      <c r="G722">
        <v>0.37</v>
      </c>
      <c r="H722">
        <v>0.14000000000000001</v>
      </c>
    </row>
    <row r="723" spans="1:8">
      <c r="A723">
        <v>2014</v>
      </c>
      <c r="B723">
        <v>12</v>
      </c>
      <c r="C723">
        <v>2014.9583</v>
      </c>
      <c r="D723">
        <v>399.08</v>
      </c>
      <c r="E723">
        <v>399.81</v>
      </c>
      <c r="F723">
        <v>29</v>
      </c>
      <c r="G723">
        <v>0.6</v>
      </c>
      <c r="H723">
        <v>0.21</v>
      </c>
    </row>
    <row r="724" spans="1:8">
      <c r="A724">
        <v>2015</v>
      </c>
      <c r="B724">
        <v>1</v>
      </c>
      <c r="C724">
        <v>2015.0417</v>
      </c>
      <c r="D724">
        <v>400.18</v>
      </c>
      <c r="E724">
        <v>399.92</v>
      </c>
      <c r="F724">
        <v>30</v>
      </c>
      <c r="G724">
        <v>0.55000000000000004</v>
      </c>
      <c r="H724">
        <v>0.19</v>
      </c>
    </row>
    <row r="725" spans="1:8">
      <c r="A725">
        <v>2015</v>
      </c>
      <c r="B725">
        <v>2</v>
      </c>
      <c r="C725">
        <v>2015.125</v>
      </c>
      <c r="D725">
        <v>400.55</v>
      </c>
      <c r="E725">
        <v>399.77</v>
      </c>
      <c r="F725">
        <v>28</v>
      </c>
      <c r="G725">
        <v>0.63</v>
      </c>
      <c r="H725">
        <v>0.23</v>
      </c>
    </row>
    <row r="726" spans="1:8">
      <c r="A726">
        <v>2015</v>
      </c>
      <c r="B726">
        <v>3</v>
      </c>
      <c r="C726">
        <v>2015.2083</v>
      </c>
      <c r="D726">
        <v>401.74</v>
      </c>
      <c r="E726">
        <v>400.22</v>
      </c>
      <c r="F726">
        <v>24</v>
      </c>
      <c r="G726">
        <v>1.02</v>
      </c>
      <c r="H726">
        <v>0.4</v>
      </c>
    </row>
    <row r="727" spans="1:8">
      <c r="A727">
        <v>2015</v>
      </c>
      <c r="B727">
        <v>4</v>
      </c>
      <c r="C727">
        <v>2015.2917</v>
      </c>
      <c r="D727">
        <v>403.35</v>
      </c>
      <c r="E727">
        <v>400.46</v>
      </c>
      <c r="F727">
        <v>26</v>
      </c>
      <c r="G727">
        <v>0.86</v>
      </c>
      <c r="H727">
        <v>0.32</v>
      </c>
    </row>
    <row r="728" spans="1:8">
      <c r="A728">
        <v>2015</v>
      </c>
      <c r="B728">
        <v>5</v>
      </c>
      <c r="C728">
        <v>2015.375</v>
      </c>
      <c r="D728">
        <v>404.15</v>
      </c>
      <c r="E728">
        <v>400.7</v>
      </c>
      <c r="F728">
        <v>30</v>
      </c>
      <c r="G728">
        <v>0.32</v>
      </c>
      <c r="H728">
        <v>0.11</v>
      </c>
    </row>
    <row r="729" spans="1:8">
      <c r="A729">
        <v>2015</v>
      </c>
      <c r="B729">
        <v>6</v>
      </c>
      <c r="C729">
        <v>2015.4583</v>
      </c>
      <c r="D729">
        <v>402.97</v>
      </c>
      <c r="E729">
        <v>400.65</v>
      </c>
      <c r="F729">
        <v>29</v>
      </c>
      <c r="G729">
        <v>0.47</v>
      </c>
      <c r="H729">
        <v>0.17</v>
      </c>
    </row>
    <row r="730" spans="1:8">
      <c r="A730">
        <v>2015</v>
      </c>
      <c r="B730">
        <v>7</v>
      </c>
      <c r="C730">
        <v>2015.5417</v>
      </c>
      <c r="D730">
        <v>401.46</v>
      </c>
      <c r="E730">
        <v>401.11</v>
      </c>
      <c r="F730">
        <v>24</v>
      </c>
      <c r="G730">
        <v>0.56999999999999995</v>
      </c>
      <c r="H730">
        <v>0.22</v>
      </c>
    </row>
    <row r="731" spans="1:8">
      <c r="A731">
        <v>2015</v>
      </c>
      <c r="B731">
        <v>8</v>
      </c>
      <c r="C731">
        <v>2015.625</v>
      </c>
      <c r="D731">
        <v>399.11</v>
      </c>
      <c r="E731">
        <v>401.04</v>
      </c>
      <c r="F731">
        <v>28</v>
      </c>
      <c r="G731">
        <v>0.74</v>
      </c>
      <c r="H731">
        <v>0.27</v>
      </c>
    </row>
    <row r="732" spans="1:8">
      <c r="A732">
        <v>2015</v>
      </c>
      <c r="B732">
        <v>9</v>
      </c>
      <c r="C732">
        <v>2015.7083</v>
      </c>
      <c r="D732">
        <v>397.82</v>
      </c>
      <c r="E732">
        <v>401.43</v>
      </c>
      <c r="F732">
        <v>25</v>
      </c>
      <c r="G732">
        <v>0.32</v>
      </c>
      <c r="H732">
        <v>0.12</v>
      </c>
    </row>
    <row r="733" spans="1:8">
      <c r="A733">
        <v>2015</v>
      </c>
      <c r="B733">
        <v>10</v>
      </c>
      <c r="C733">
        <v>2015.7917</v>
      </c>
      <c r="D733">
        <v>398.49</v>
      </c>
      <c r="E733">
        <v>401.89</v>
      </c>
      <c r="F733">
        <v>28</v>
      </c>
      <c r="G733">
        <v>0.56000000000000005</v>
      </c>
      <c r="H733">
        <v>0.2</v>
      </c>
    </row>
    <row r="734" spans="1:8">
      <c r="A734">
        <v>2015</v>
      </c>
      <c r="B734">
        <v>11</v>
      </c>
      <c r="C734">
        <v>2015.875</v>
      </c>
      <c r="D734">
        <v>400.27</v>
      </c>
      <c r="E734">
        <v>402.24</v>
      </c>
      <c r="F734">
        <v>25</v>
      </c>
      <c r="G734">
        <v>0.57999999999999996</v>
      </c>
      <c r="H734">
        <v>0.22</v>
      </c>
    </row>
    <row r="735" spans="1:8">
      <c r="A735">
        <v>2015</v>
      </c>
      <c r="B735">
        <v>12</v>
      </c>
      <c r="C735">
        <v>2015.9583</v>
      </c>
      <c r="D735">
        <v>402.06</v>
      </c>
      <c r="E735">
        <v>402.72</v>
      </c>
      <c r="F735">
        <v>30</v>
      </c>
      <c r="G735">
        <v>0.67</v>
      </c>
      <c r="H735">
        <v>0.23</v>
      </c>
    </row>
    <row r="736" spans="1:8">
      <c r="A736">
        <v>2016</v>
      </c>
      <c r="B736">
        <v>1</v>
      </c>
      <c r="C736">
        <v>2016.0417</v>
      </c>
      <c r="D736">
        <v>402.73</v>
      </c>
      <c r="E736">
        <v>402.45</v>
      </c>
      <c r="F736">
        <v>27</v>
      </c>
      <c r="G736">
        <v>0.56000000000000005</v>
      </c>
      <c r="H736">
        <v>0.21</v>
      </c>
    </row>
    <row r="737" spans="1:8">
      <c r="A737">
        <v>2016</v>
      </c>
      <c r="B737">
        <v>2</v>
      </c>
      <c r="C737">
        <v>2016.125</v>
      </c>
      <c r="D737">
        <v>404.25</v>
      </c>
      <c r="E737">
        <v>403.4</v>
      </c>
      <c r="F737">
        <v>25</v>
      </c>
      <c r="G737">
        <v>1.1100000000000001</v>
      </c>
      <c r="H737">
        <v>0.43</v>
      </c>
    </row>
    <row r="738" spans="1:8">
      <c r="A738">
        <v>2016</v>
      </c>
      <c r="B738">
        <v>3</v>
      </c>
      <c r="C738">
        <v>2016.2083</v>
      </c>
      <c r="D738">
        <v>405.06</v>
      </c>
      <c r="E738">
        <v>403.54</v>
      </c>
      <c r="F738">
        <v>28</v>
      </c>
      <c r="G738">
        <v>0.81</v>
      </c>
      <c r="H738">
        <v>0.28999999999999998</v>
      </c>
    </row>
    <row r="739" spans="1:8">
      <c r="A739">
        <v>2016</v>
      </c>
      <c r="B739">
        <v>4</v>
      </c>
      <c r="C739">
        <v>2016.2917</v>
      </c>
      <c r="D739">
        <v>407.6</v>
      </c>
      <c r="E739">
        <v>404.77</v>
      </c>
      <c r="F739">
        <v>23</v>
      </c>
      <c r="G739">
        <v>1.04</v>
      </c>
      <c r="H739">
        <v>0.41</v>
      </c>
    </row>
    <row r="740" spans="1:8">
      <c r="A740">
        <v>2016</v>
      </c>
      <c r="B740">
        <v>5</v>
      </c>
      <c r="C740">
        <v>2016.375</v>
      </c>
      <c r="D740">
        <v>407.9</v>
      </c>
      <c r="E740">
        <v>404.41</v>
      </c>
      <c r="F740">
        <v>29</v>
      </c>
      <c r="G740">
        <v>0.5</v>
      </c>
      <c r="H740">
        <v>0.18</v>
      </c>
    </row>
    <row r="741" spans="1:8">
      <c r="A741">
        <v>2016</v>
      </c>
      <c r="B741">
        <v>6</v>
      </c>
      <c r="C741">
        <v>2016.4583</v>
      </c>
      <c r="D741">
        <v>406.99</v>
      </c>
      <c r="E741">
        <v>404.59</v>
      </c>
      <c r="F741">
        <v>26</v>
      </c>
      <c r="G741">
        <v>0.6</v>
      </c>
      <c r="H741">
        <v>0.23</v>
      </c>
    </row>
    <row r="742" spans="1:8">
      <c r="A742">
        <v>2016</v>
      </c>
      <c r="B742">
        <v>7</v>
      </c>
      <c r="C742">
        <v>2016.5417</v>
      </c>
      <c r="D742">
        <v>404.59</v>
      </c>
      <c r="E742">
        <v>404.24</v>
      </c>
      <c r="F742">
        <v>28</v>
      </c>
      <c r="G742">
        <v>0.88</v>
      </c>
      <c r="H742">
        <v>0.32</v>
      </c>
    </row>
    <row r="743" spans="1:8">
      <c r="A743">
        <v>2016</v>
      </c>
      <c r="B743">
        <v>8</v>
      </c>
      <c r="C743">
        <v>2016.625</v>
      </c>
      <c r="D743">
        <v>402.45</v>
      </c>
      <c r="E743">
        <v>404.41</v>
      </c>
      <c r="F743">
        <v>24</v>
      </c>
      <c r="G743">
        <v>0.6</v>
      </c>
      <c r="H743">
        <v>0.23</v>
      </c>
    </row>
    <row r="744" spans="1:8">
      <c r="A744">
        <v>2016</v>
      </c>
      <c r="B744">
        <v>9</v>
      </c>
      <c r="C744">
        <v>2016.7083</v>
      </c>
      <c r="D744">
        <v>401.23</v>
      </c>
      <c r="E744">
        <v>404.85</v>
      </c>
      <c r="F744">
        <v>25</v>
      </c>
      <c r="G744">
        <v>0.44</v>
      </c>
      <c r="H744">
        <v>0.17</v>
      </c>
    </row>
    <row r="745" spans="1:8">
      <c r="A745">
        <v>2016</v>
      </c>
      <c r="B745">
        <v>10</v>
      </c>
      <c r="C745">
        <v>2016.7917</v>
      </c>
      <c r="D745">
        <v>401.79</v>
      </c>
      <c r="E745">
        <v>405.23</v>
      </c>
      <c r="F745">
        <v>29</v>
      </c>
      <c r="G745">
        <v>0.3</v>
      </c>
      <c r="H745">
        <v>0.11</v>
      </c>
    </row>
    <row r="746" spans="1:8">
      <c r="A746">
        <v>2016</v>
      </c>
      <c r="B746">
        <v>11</v>
      </c>
      <c r="C746">
        <v>2016.875</v>
      </c>
      <c r="D746">
        <v>403.72</v>
      </c>
      <c r="E746">
        <v>405.74</v>
      </c>
      <c r="F746">
        <v>27</v>
      </c>
      <c r="G746">
        <v>0.72</v>
      </c>
      <c r="H746">
        <v>0.26</v>
      </c>
    </row>
    <row r="747" spans="1:8">
      <c r="A747">
        <v>2016</v>
      </c>
      <c r="B747">
        <v>12</v>
      </c>
      <c r="C747">
        <v>2016.9583</v>
      </c>
      <c r="D747">
        <v>404.64</v>
      </c>
      <c r="E747">
        <v>405.33</v>
      </c>
      <c r="F747">
        <v>29</v>
      </c>
      <c r="G747">
        <v>0.44</v>
      </c>
      <c r="H747">
        <v>0.16</v>
      </c>
    </row>
    <row r="748" spans="1:8">
      <c r="A748">
        <v>2017</v>
      </c>
      <c r="B748">
        <v>1</v>
      </c>
      <c r="C748">
        <v>2017.0417</v>
      </c>
      <c r="D748">
        <v>406.36</v>
      </c>
      <c r="E748">
        <v>406.04</v>
      </c>
      <c r="F748">
        <v>27</v>
      </c>
      <c r="G748">
        <v>0.68</v>
      </c>
      <c r="H748">
        <v>0.25</v>
      </c>
    </row>
    <row r="749" spans="1:8">
      <c r="A749">
        <v>2017</v>
      </c>
      <c r="B749">
        <v>2</v>
      </c>
      <c r="C749">
        <v>2017.125</v>
      </c>
      <c r="D749">
        <v>406.66</v>
      </c>
      <c r="E749">
        <v>405.8</v>
      </c>
      <c r="F749">
        <v>26</v>
      </c>
      <c r="G749">
        <v>0.71</v>
      </c>
      <c r="H749">
        <v>0.27</v>
      </c>
    </row>
    <row r="750" spans="1:8">
      <c r="A750">
        <v>2017</v>
      </c>
      <c r="B750">
        <v>3</v>
      </c>
      <c r="C750">
        <v>2017.2083</v>
      </c>
      <c r="D750">
        <v>407.54</v>
      </c>
      <c r="E750">
        <v>406.05</v>
      </c>
      <c r="F750">
        <v>24</v>
      </c>
      <c r="G750">
        <v>1.03</v>
      </c>
      <c r="H750">
        <v>0.4</v>
      </c>
    </row>
    <row r="751" spans="1:8">
      <c r="A751">
        <v>2017</v>
      </c>
      <c r="B751">
        <v>4</v>
      </c>
      <c r="C751">
        <v>2017.2917</v>
      </c>
      <c r="D751">
        <v>409.22</v>
      </c>
      <c r="E751">
        <v>406.37</v>
      </c>
      <c r="F751">
        <v>26</v>
      </c>
      <c r="G751">
        <v>0.86</v>
      </c>
      <c r="H751">
        <v>0.32</v>
      </c>
    </row>
    <row r="752" spans="1:8">
      <c r="A752">
        <v>2017</v>
      </c>
      <c r="B752">
        <v>5</v>
      </c>
      <c r="C752">
        <v>2017.375</v>
      </c>
      <c r="D752">
        <v>409.89</v>
      </c>
      <c r="E752">
        <v>406.37</v>
      </c>
      <c r="F752">
        <v>27</v>
      </c>
      <c r="G752">
        <v>0.56999999999999995</v>
      </c>
      <c r="H752">
        <v>0.21</v>
      </c>
    </row>
    <row r="753" spans="1:8">
      <c r="A753">
        <v>2017</v>
      </c>
      <c r="B753">
        <v>6</v>
      </c>
      <c r="C753">
        <v>2017.4583</v>
      </c>
      <c r="D753">
        <v>409.08</v>
      </c>
      <c r="E753">
        <v>406.68</v>
      </c>
      <c r="F753">
        <v>26</v>
      </c>
      <c r="G753">
        <v>0.54</v>
      </c>
      <c r="H753">
        <v>0.2</v>
      </c>
    </row>
    <row r="754" spans="1:8">
      <c r="A754">
        <v>2017</v>
      </c>
      <c r="B754">
        <v>7</v>
      </c>
      <c r="C754">
        <v>2017.5417</v>
      </c>
      <c r="D754">
        <v>407.33</v>
      </c>
      <c r="E754">
        <v>407.01</v>
      </c>
      <c r="F754">
        <v>28</v>
      </c>
      <c r="G754">
        <v>0.61</v>
      </c>
      <c r="H754">
        <v>0.22</v>
      </c>
    </row>
    <row r="755" spans="1:8">
      <c r="A755">
        <v>2017</v>
      </c>
      <c r="B755">
        <v>8</v>
      </c>
      <c r="C755">
        <v>2017.625</v>
      </c>
      <c r="D755">
        <v>405.32</v>
      </c>
      <c r="E755">
        <v>407.31</v>
      </c>
      <c r="F755">
        <v>29</v>
      </c>
      <c r="G755">
        <v>0.32</v>
      </c>
      <c r="H755">
        <v>0.12</v>
      </c>
    </row>
    <row r="756" spans="1:8">
      <c r="A756">
        <v>2017</v>
      </c>
      <c r="B756">
        <v>9</v>
      </c>
      <c r="C756">
        <v>2017.7083</v>
      </c>
      <c r="D756">
        <v>403.57</v>
      </c>
      <c r="E756">
        <v>407.17</v>
      </c>
      <c r="F756">
        <v>26</v>
      </c>
      <c r="G756">
        <v>0.37</v>
      </c>
      <c r="H756">
        <v>0.14000000000000001</v>
      </c>
    </row>
    <row r="757" spans="1:8">
      <c r="A757">
        <v>2017</v>
      </c>
      <c r="B757">
        <v>10</v>
      </c>
      <c r="C757">
        <v>2017.7917</v>
      </c>
      <c r="D757">
        <v>403.82</v>
      </c>
      <c r="E757">
        <v>407.23</v>
      </c>
      <c r="F757">
        <v>27</v>
      </c>
      <c r="G757">
        <v>0.3</v>
      </c>
      <c r="H757">
        <v>0.11</v>
      </c>
    </row>
    <row r="758" spans="1:8">
      <c r="A758">
        <v>2017</v>
      </c>
      <c r="B758">
        <v>11</v>
      </c>
      <c r="C758">
        <v>2017.875</v>
      </c>
      <c r="D758">
        <v>405.31</v>
      </c>
      <c r="E758">
        <v>407.36</v>
      </c>
      <c r="F758">
        <v>26</v>
      </c>
      <c r="G758">
        <v>0.41</v>
      </c>
      <c r="H758">
        <v>0.15</v>
      </c>
    </row>
    <row r="759" spans="1:8">
      <c r="A759">
        <v>2017</v>
      </c>
      <c r="B759">
        <v>12</v>
      </c>
      <c r="C759">
        <v>2017.9583</v>
      </c>
      <c r="D759">
        <v>407</v>
      </c>
      <c r="E759">
        <v>407.71</v>
      </c>
      <c r="F759">
        <v>31</v>
      </c>
      <c r="G759">
        <v>0.56999999999999995</v>
      </c>
      <c r="H759">
        <v>0.2</v>
      </c>
    </row>
    <row r="760" spans="1:8">
      <c r="A760">
        <v>2018</v>
      </c>
      <c r="B760">
        <v>1</v>
      </c>
      <c r="C760">
        <v>2018.0417</v>
      </c>
      <c r="D760">
        <v>408.15</v>
      </c>
      <c r="E760">
        <v>407.83</v>
      </c>
      <c r="F760">
        <v>29</v>
      </c>
      <c r="G760">
        <v>0.55000000000000004</v>
      </c>
      <c r="H760">
        <v>0.19</v>
      </c>
    </row>
    <row r="761" spans="1:8">
      <c r="A761">
        <v>2018</v>
      </c>
      <c r="B761">
        <v>2</v>
      </c>
      <c r="C761">
        <v>2018.125</v>
      </c>
      <c r="D761">
        <v>408.52</v>
      </c>
      <c r="E761">
        <v>407.61</v>
      </c>
      <c r="F761">
        <v>28</v>
      </c>
      <c r="G761">
        <v>0.52</v>
      </c>
      <c r="H761">
        <v>0.19</v>
      </c>
    </row>
    <row r="762" spans="1:8">
      <c r="A762">
        <v>2018</v>
      </c>
      <c r="B762">
        <v>3</v>
      </c>
      <c r="C762">
        <v>2018.2083</v>
      </c>
      <c r="D762">
        <v>409.59</v>
      </c>
      <c r="E762">
        <v>408.06</v>
      </c>
      <c r="F762">
        <v>29</v>
      </c>
      <c r="G762">
        <v>0.65</v>
      </c>
      <c r="H762">
        <v>0.23</v>
      </c>
    </row>
    <row r="763" spans="1:8">
      <c r="A763">
        <v>2018</v>
      </c>
      <c r="B763">
        <v>4</v>
      </c>
      <c r="C763">
        <v>2018.2917</v>
      </c>
      <c r="D763">
        <v>410.45</v>
      </c>
      <c r="E763">
        <v>407.65</v>
      </c>
      <c r="F763">
        <v>21</v>
      </c>
      <c r="G763">
        <v>0.9</v>
      </c>
      <c r="H763">
        <v>0.38</v>
      </c>
    </row>
    <row r="764" spans="1:8">
      <c r="A764">
        <v>2018</v>
      </c>
      <c r="B764">
        <v>5</v>
      </c>
      <c r="C764">
        <v>2018.375</v>
      </c>
      <c r="D764">
        <v>411.44</v>
      </c>
      <c r="E764">
        <v>407.98</v>
      </c>
      <c r="F764">
        <v>24</v>
      </c>
      <c r="G764">
        <v>0.86</v>
      </c>
      <c r="H764">
        <v>0.33</v>
      </c>
    </row>
    <row r="765" spans="1:8">
      <c r="A765">
        <v>2018</v>
      </c>
      <c r="B765">
        <v>6</v>
      </c>
      <c r="C765">
        <v>2018.4583</v>
      </c>
      <c r="D765">
        <v>410.99</v>
      </c>
      <c r="E765">
        <v>408.6</v>
      </c>
      <c r="F765">
        <v>29</v>
      </c>
      <c r="G765">
        <v>0.61</v>
      </c>
      <c r="H765">
        <v>0.22</v>
      </c>
    </row>
    <row r="766" spans="1:8">
      <c r="A766">
        <v>2018</v>
      </c>
      <c r="B766">
        <v>7</v>
      </c>
      <c r="C766">
        <v>2018.5417</v>
      </c>
      <c r="D766">
        <v>408.9</v>
      </c>
      <c r="E766">
        <v>408.6</v>
      </c>
      <c r="F766">
        <v>27</v>
      </c>
      <c r="G766">
        <v>0.46</v>
      </c>
      <c r="H766">
        <v>0.17</v>
      </c>
    </row>
    <row r="767" spans="1:8">
      <c r="A767">
        <v>2018</v>
      </c>
      <c r="B767">
        <v>8</v>
      </c>
      <c r="C767">
        <v>2018.625</v>
      </c>
      <c r="D767">
        <v>407.16</v>
      </c>
      <c r="E767">
        <v>409.17</v>
      </c>
      <c r="F767">
        <v>31</v>
      </c>
      <c r="G767">
        <v>0.28000000000000003</v>
      </c>
      <c r="H767">
        <v>0.1</v>
      </c>
    </row>
    <row r="768" spans="1:8">
      <c r="A768">
        <v>2018</v>
      </c>
      <c r="B768">
        <v>9</v>
      </c>
      <c r="C768">
        <v>2018.7083</v>
      </c>
      <c r="D768">
        <v>405.71</v>
      </c>
      <c r="E768">
        <v>409.3</v>
      </c>
      <c r="F768">
        <v>29</v>
      </c>
      <c r="G768">
        <v>0.45</v>
      </c>
      <c r="H768">
        <v>0.16</v>
      </c>
    </row>
    <row r="769" spans="1:8">
      <c r="A769">
        <v>2018</v>
      </c>
      <c r="B769">
        <v>10</v>
      </c>
      <c r="C769">
        <v>2018.7917</v>
      </c>
      <c r="D769">
        <v>406.19</v>
      </c>
      <c r="E769">
        <v>409.56</v>
      </c>
      <c r="F769">
        <v>30</v>
      </c>
      <c r="G769">
        <v>0.32</v>
      </c>
      <c r="H769">
        <v>0.11</v>
      </c>
    </row>
    <row r="770" spans="1:8">
      <c r="A770">
        <v>2018</v>
      </c>
      <c r="B770">
        <v>11</v>
      </c>
      <c r="C770">
        <v>2018.875</v>
      </c>
      <c r="D770">
        <v>408.21</v>
      </c>
      <c r="E770">
        <v>410.24</v>
      </c>
      <c r="F770">
        <v>24</v>
      </c>
      <c r="G770">
        <v>0.56000000000000005</v>
      </c>
      <c r="H770">
        <v>0.22</v>
      </c>
    </row>
    <row r="771" spans="1:8">
      <c r="A771">
        <v>2018</v>
      </c>
      <c r="B771">
        <v>12</v>
      </c>
      <c r="C771">
        <v>2018.9583</v>
      </c>
      <c r="D771">
        <v>409.27</v>
      </c>
      <c r="E771">
        <v>409.99</v>
      </c>
      <c r="F771">
        <v>30</v>
      </c>
      <c r="G771">
        <v>0.5</v>
      </c>
      <c r="H771">
        <v>0.17</v>
      </c>
    </row>
    <row r="772" spans="1:8">
      <c r="A772">
        <v>2019</v>
      </c>
      <c r="B772">
        <v>1</v>
      </c>
      <c r="C772">
        <v>2019.0417</v>
      </c>
      <c r="D772">
        <v>411.03</v>
      </c>
      <c r="E772">
        <v>410.69</v>
      </c>
      <c r="F772">
        <v>26</v>
      </c>
      <c r="G772">
        <v>1.26</v>
      </c>
      <c r="H772">
        <v>0.47</v>
      </c>
    </row>
    <row r="773" spans="1:8">
      <c r="A773">
        <v>2019</v>
      </c>
      <c r="B773">
        <v>2</v>
      </c>
      <c r="C773">
        <v>2019.125</v>
      </c>
      <c r="D773">
        <v>411.96</v>
      </c>
      <c r="E773">
        <v>410.97</v>
      </c>
      <c r="F773">
        <v>27</v>
      </c>
      <c r="G773">
        <v>1.1399999999999999</v>
      </c>
      <c r="H773">
        <v>0.42</v>
      </c>
    </row>
    <row r="774" spans="1:8">
      <c r="A774">
        <v>2019</v>
      </c>
      <c r="B774">
        <v>3</v>
      </c>
      <c r="C774">
        <v>2019.2083</v>
      </c>
      <c r="D774">
        <v>412.18</v>
      </c>
      <c r="E774">
        <v>410.71</v>
      </c>
      <c r="F774">
        <v>28</v>
      </c>
      <c r="G774">
        <v>1.1200000000000001</v>
      </c>
      <c r="H774">
        <v>0.4</v>
      </c>
    </row>
    <row r="775" spans="1:8">
      <c r="A775">
        <v>2019</v>
      </c>
      <c r="B775">
        <v>4</v>
      </c>
      <c r="C775">
        <v>2019.2917</v>
      </c>
      <c r="D775">
        <v>413.54</v>
      </c>
      <c r="E775">
        <v>410.92</v>
      </c>
      <c r="F775">
        <v>27</v>
      </c>
      <c r="G775">
        <v>0.6</v>
      </c>
      <c r="H775">
        <v>0.22</v>
      </c>
    </row>
    <row r="776" spans="1:8">
      <c r="A776">
        <v>2019</v>
      </c>
      <c r="B776">
        <v>5</v>
      </c>
      <c r="C776">
        <v>2019.375</v>
      </c>
      <c r="D776">
        <v>414.86</v>
      </c>
      <c r="E776">
        <v>411.47</v>
      </c>
      <c r="F776">
        <v>28</v>
      </c>
      <c r="G776">
        <v>0.5</v>
      </c>
      <c r="H776">
        <v>0.18</v>
      </c>
    </row>
    <row r="777" spans="1:8">
      <c r="A777">
        <v>2019</v>
      </c>
      <c r="B777">
        <v>6</v>
      </c>
      <c r="C777">
        <v>2019.4583</v>
      </c>
      <c r="D777">
        <v>414.15</v>
      </c>
      <c r="E777">
        <v>411.74</v>
      </c>
      <c r="F777">
        <v>27</v>
      </c>
      <c r="G777">
        <v>0.36</v>
      </c>
      <c r="H777">
        <v>0.13</v>
      </c>
    </row>
    <row r="778" spans="1:8">
      <c r="A778">
        <v>2019</v>
      </c>
      <c r="B778">
        <v>7</v>
      </c>
      <c r="C778">
        <v>2019.5417</v>
      </c>
      <c r="D778">
        <v>411.96</v>
      </c>
      <c r="E778">
        <v>411.64</v>
      </c>
      <c r="F778">
        <v>25</v>
      </c>
      <c r="G778">
        <v>0.81</v>
      </c>
      <c r="H778">
        <v>0.31</v>
      </c>
    </row>
    <row r="779" spans="1:8">
      <c r="A779">
        <v>2019</v>
      </c>
      <c r="B779">
        <v>8</v>
      </c>
      <c r="C779">
        <v>2019.625</v>
      </c>
      <c r="D779">
        <v>410.17</v>
      </c>
      <c r="E779">
        <v>412.1</v>
      </c>
      <c r="F779">
        <v>29</v>
      </c>
      <c r="G779">
        <v>0.32</v>
      </c>
      <c r="H779">
        <v>0.11</v>
      </c>
    </row>
    <row r="780" spans="1:8">
      <c r="A780">
        <v>2019</v>
      </c>
      <c r="B780">
        <v>9</v>
      </c>
      <c r="C780">
        <v>2019.7083</v>
      </c>
      <c r="D780">
        <v>408.76</v>
      </c>
      <c r="E780">
        <v>412.26</v>
      </c>
      <c r="F780">
        <v>29</v>
      </c>
      <c r="G780">
        <v>0.35</v>
      </c>
      <c r="H780">
        <v>0.13</v>
      </c>
    </row>
    <row r="781" spans="1:8">
      <c r="A781">
        <v>2019</v>
      </c>
      <c r="B781">
        <v>10</v>
      </c>
      <c r="C781">
        <v>2019.7917</v>
      </c>
      <c r="D781">
        <v>408.74</v>
      </c>
      <c r="E781">
        <v>412.09</v>
      </c>
      <c r="F781">
        <v>29</v>
      </c>
      <c r="G781">
        <v>0.31</v>
      </c>
      <c r="H781">
        <v>0.11</v>
      </c>
    </row>
    <row r="782" spans="1:8">
      <c r="A782">
        <v>2019</v>
      </c>
      <c r="B782">
        <v>11</v>
      </c>
      <c r="C782">
        <v>2019.875</v>
      </c>
      <c r="D782">
        <v>410.47</v>
      </c>
      <c r="E782">
        <v>412.5</v>
      </c>
      <c r="F782">
        <v>26</v>
      </c>
      <c r="G782">
        <v>0.4</v>
      </c>
      <c r="H782">
        <v>0.15</v>
      </c>
    </row>
    <row r="783" spans="1:8">
      <c r="A783">
        <v>2019</v>
      </c>
      <c r="B783">
        <v>12</v>
      </c>
      <c r="C783">
        <v>2019.9583</v>
      </c>
      <c r="D783">
        <v>411.97</v>
      </c>
      <c r="E783">
        <v>412.71</v>
      </c>
      <c r="F783">
        <v>31</v>
      </c>
      <c r="G783">
        <v>0.4</v>
      </c>
      <c r="H783">
        <v>0.14000000000000001</v>
      </c>
    </row>
    <row r="784" spans="1:8">
      <c r="A784">
        <v>2020</v>
      </c>
      <c r="B784">
        <v>1</v>
      </c>
      <c r="C784">
        <v>2020.0417</v>
      </c>
      <c r="D784">
        <v>413.59</v>
      </c>
      <c r="E784">
        <v>413.22</v>
      </c>
      <c r="F784">
        <v>29</v>
      </c>
      <c r="G784">
        <v>0.73</v>
      </c>
      <c r="H784">
        <v>0.26</v>
      </c>
    </row>
    <row r="785" spans="1:8">
      <c r="A785">
        <v>2020</v>
      </c>
      <c r="B785">
        <v>2</v>
      </c>
      <c r="C785">
        <v>2020.125</v>
      </c>
      <c r="D785">
        <v>414.32</v>
      </c>
      <c r="E785">
        <v>413.41</v>
      </c>
      <c r="F785">
        <v>28</v>
      </c>
      <c r="G785">
        <v>0.69</v>
      </c>
      <c r="H785">
        <v>0.25</v>
      </c>
    </row>
    <row r="786" spans="1:8">
      <c r="A786">
        <v>2020</v>
      </c>
      <c r="B786">
        <v>3</v>
      </c>
      <c r="C786">
        <v>2020.2083</v>
      </c>
      <c r="D786">
        <v>414.72</v>
      </c>
      <c r="E786">
        <v>413.35</v>
      </c>
      <c r="F786">
        <v>26</v>
      </c>
      <c r="G786">
        <v>0.32</v>
      </c>
      <c r="H786">
        <v>0.12</v>
      </c>
    </row>
    <row r="787" spans="1:8">
      <c r="A787">
        <v>2020</v>
      </c>
      <c r="B787">
        <v>4</v>
      </c>
      <c r="C787">
        <v>2020.2917</v>
      </c>
      <c r="D787">
        <v>416.42</v>
      </c>
      <c r="E787">
        <v>413.92</v>
      </c>
      <c r="F787">
        <v>28</v>
      </c>
      <c r="G787">
        <v>0.65</v>
      </c>
      <c r="H787">
        <v>0.24</v>
      </c>
    </row>
    <row r="788" spans="1:8">
      <c r="A788">
        <v>2020</v>
      </c>
      <c r="B788">
        <v>5</v>
      </c>
      <c r="C788">
        <v>2020.375</v>
      </c>
      <c r="D788">
        <v>417.28</v>
      </c>
      <c r="E788">
        <v>413.98</v>
      </c>
      <c r="F788">
        <v>27</v>
      </c>
      <c r="G788">
        <v>0.61</v>
      </c>
      <c r="H788">
        <v>0.23</v>
      </c>
    </row>
    <row r="789" spans="1:8">
      <c r="A789">
        <v>2020</v>
      </c>
      <c r="B789">
        <v>6</v>
      </c>
      <c r="C789">
        <v>2020.4583</v>
      </c>
      <c r="D789">
        <v>416.58</v>
      </c>
      <c r="E789">
        <v>414.16</v>
      </c>
      <c r="F789">
        <v>27</v>
      </c>
      <c r="G789">
        <v>0.44</v>
      </c>
      <c r="H789">
        <v>0.16</v>
      </c>
    </row>
    <row r="790" spans="1:8">
      <c r="A790">
        <v>2020</v>
      </c>
      <c r="B790">
        <v>7</v>
      </c>
      <c r="C790">
        <v>2020.5417</v>
      </c>
      <c r="D790">
        <v>414.58</v>
      </c>
      <c r="E790">
        <v>414.19</v>
      </c>
      <c r="F790">
        <v>30</v>
      </c>
      <c r="G790">
        <v>0.56999999999999995</v>
      </c>
      <c r="H790">
        <v>0.2</v>
      </c>
    </row>
    <row r="791" spans="1:8">
      <c r="A791">
        <v>2020</v>
      </c>
      <c r="B791">
        <v>8</v>
      </c>
      <c r="C791">
        <v>2020.625</v>
      </c>
      <c r="D791">
        <v>412.75</v>
      </c>
      <c r="E791">
        <v>414.6</v>
      </c>
      <c r="F791">
        <v>25</v>
      </c>
      <c r="G791">
        <v>0.25</v>
      </c>
      <c r="H791">
        <v>0.1</v>
      </c>
    </row>
    <row r="792" spans="1:8">
      <c r="A792">
        <v>2020</v>
      </c>
      <c r="B792">
        <v>9</v>
      </c>
      <c r="C792">
        <v>2020.7083</v>
      </c>
      <c r="D792">
        <v>411.5</v>
      </c>
      <c r="E792">
        <v>414.91</v>
      </c>
      <c r="F792">
        <v>29</v>
      </c>
      <c r="G792">
        <v>0.31</v>
      </c>
      <c r="H792">
        <v>0.11</v>
      </c>
    </row>
    <row r="793" spans="1:8">
      <c r="A793">
        <v>2020</v>
      </c>
      <c r="B793">
        <v>10</v>
      </c>
      <c r="C793">
        <v>2020.7917</v>
      </c>
      <c r="D793">
        <v>411.49</v>
      </c>
      <c r="E793">
        <v>414.79</v>
      </c>
      <c r="F793">
        <v>30</v>
      </c>
      <c r="G793">
        <v>0.22</v>
      </c>
      <c r="H793">
        <v>0.08</v>
      </c>
    </row>
    <row r="794" spans="1:8">
      <c r="A794">
        <v>2020</v>
      </c>
      <c r="B794">
        <v>11</v>
      </c>
      <c r="C794">
        <v>2020.875</v>
      </c>
      <c r="D794">
        <v>413.1</v>
      </c>
      <c r="E794">
        <v>415.12</v>
      </c>
      <c r="F794">
        <v>27</v>
      </c>
      <c r="G794">
        <v>0.81</v>
      </c>
      <c r="H794">
        <v>0.3</v>
      </c>
    </row>
    <row r="795" spans="1:8">
      <c r="A795">
        <v>2020</v>
      </c>
      <c r="B795">
        <v>12</v>
      </c>
      <c r="C795">
        <v>2020.9583</v>
      </c>
      <c r="D795">
        <v>414.23</v>
      </c>
      <c r="E795">
        <v>414.91</v>
      </c>
      <c r="F795">
        <v>30</v>
      </c>
      <c r="G795">
        <v>0.48</v>
      </c>
      <c r="H795">
        <v>0.17</v>
      </c>
    </row>
    <row r="796" spans="1:8">
      <c r="A796">
        <v>2021</v>
      </c>
      <c r="B796">
        <v>1</v>
      </c>
      <c r="C796">
        <v>2021.0417</v>
      </c>
      <c r="D796">
        <v>415.49</v>
      </c>
      <c r="E796">
        <v>415.23</v>
      </c>
      <c r="F796">
        <v>29</v>
      </c>
      <c r="G796">
        <v>0.44</v>
      </c>
      <c r="H796">
        <v>0.16</v>
      </c>
    </row>
    <row r="797" spans="1:8">
      <c r="A797">
        <v>2021</v>
      </c>
      <c r="B797">
        <v>2</v>
      </c>
      <c r="C797">
        <v>2021.125</v>
      </c>
      <c r="D797">
        <v>416.72</v>
      </c>
      <c r="E797">
        <v>415.8</v>
      </c>
      <c r="F797">
        <v>28</v>
      </c>
      <c r="G797">
        <v>1.02</v>
      </c>
      <c r="H797">
        <v>0.37</v>
      </c>
    </row>
    <row r="798" spans="1:8">
      <c r="A798">
        <v>2021</v>
      </c>
      <c r="B798">
        <v>3</v>
      </c>
      <c r="C798">
        <v>2021.2083</v>
      </c>
      <c r="D798">
        <v>417.61</v>
      </c>
      <c r="E798">
        <v>416.17</v>
      </c>
      <c r="F798">
        <v>28</v>
      </c>
      <c r="G798">
        <v>0.86</v>
      </c>
      <c r="H798">
        <v>0.31</v>
      </c>
    </row>
    <row r="799" spans="1:8">
      <c r="A799">
        <v>2021</v>
      </c>
      <c r="B799">
        <v>4</v>
      </c>
      <c r="C799">
        <v>2021.2917</v>
      </c>
      <c r="D799">
        <v>419.01</v>
      </c>
      <c r="E799">
        <v>416.58</v>
      </c>
      <c r="F799">
        <v>24</v>
      </c>
      <c r="G799">
        <v>1.1200000000000001</v>
      </c>
      <c r="H799">
        <v>0.44</v>
      </c>
    </row>
    <row r="800" spans="1:8">
      <c r="A800">
        <v>2021</v>
      </c>
      <c r="B800">
        <v>5</v>
      </c>
      <c r="C800">
        <v>2021.375</v>
      </c>
      <c r="D800">
        <v>419.09</v>
      </c>
      <c r="E800">
        <v>415.88</v>
      </c>
      <c r="F800">
        <v>28</v>
      </c>
      <c r="G800">
        <v>0.9</v>
      </c>
      <c r="H800">
        <v>0.32</v>
      </c>
    </row>
    <row r="801" spans="1:8">
      <c r="A801">
        <v>2021</v>
      </c>
      <c r="B801">
        <v>6</v>
      </c>
      <c r="C801">
        <v>2021.4583</v>
      </c>
      <c r="D801">
        <v>418.93</v>
      </c>
      <c r="E801">
        <v>416.48</v>
      </c>
      <c r="F801">
        <v>29</v>
      </c>
      <c r="G801">
        <v>0.65</v>
      </c>
      <c r="H801">
        <v>0.23</v>
      </c>
    </row>
    <row r="802" spans="1:8">
      <c r="A802">
        <v>2021</v>
      </c>
      <c r="B802">
        <v>7</v>
      </c>
      <c r="C802">
        <v>2021.5417</v>
      </c>
      <c r="D802">
        <v>416.9</v>
      </c>
      <c r="E802">
        <v>416.48</v>
      </c>
      <c r="F802">
        <v>31</v>
      </c>
      <c r="G802">
        <v>0.71</v>
      </c>
      <c r="H802">
        <v>0.24</v>
      </c>
    </row>
    <row r="803" spans="1:8">
      <c r="A803">
        <v>2021</v>
      </c>
      <c r="B803">
        <v>8</v>
      </c>
      <c r="C803">
        <v>2021.625</v>
      </c>
      <c r="D803">
        <v>414.42</v>
      </c>
      <c r="E803">
        <v>416.27</v>
      </c>
      <c r="F803">
        <v>25</v>
      </c>
      <c r="G803">
        <v>0.74</v>
      </c>
      <c r="H803">
        <v>0.28000000000000003</v>
      </c>
    </row>
    <row r="804" spans="1:8">
      <c r="A804">
        <v>2021</v>
      </c>
      <c r="B804">
        <v>9</v>
      </c>
      <c r="C804">
        <v>2021.7083</v>
      </c>
      <c r="D804">
        <v>413.26</v>
      </c>
      <c r="E804">
        <v>416.63</v>
      </c>
      <c r="F804">
        <v>27</v>
      </c>
      <c r="G804">
        <v>0.28999999999999998</v>
      </c>
      <c r="H804">
        <v>0.11</v>
      </c>
    </row>
    <row r="805" spans="1:8">
      <c r="A805">
        <v>2021</v>
      </c>
      <c r="B805">
        <v>10</v>
      </c>
      <c r="C805">
        <v>2021.7917</v>
      </c>
      <c r="D805">
        <v>413.9</v>
      </c>
      <c r="E805">
        <v>417.14</v>
      </c>
      <c r="F805">
        <v>29</v>
      </c>
      <c r="G805">
        <v>0.35</v>
      </c>
      <c r="H805">
        <v>0.12</v>
      </c>
    </row>
    <row r="806" spans="1:8">
      <c r="A806">
        <v>2021</v>
      </c>
      <c r="B806">
        <v>11</v>
      </c>
      <c r="C806">
        <v>2021.875</v>
      </c>
      <c r="D806">
        <v>414.97</v>
      </c>
      <c r="E806">
        <v>416.93</v>
      </c>
      <c r="F806">
        <v>30</v>
      </c>
      <c r="G806">
        <v>0.36</v>
      </c>
      <c r="H806">
        <v>0.13</v>
      </c>
    </row>
    <row r="807" spans="1:8">
      <c r="A807">
        <v>2021</v>
      </c>
      <c r="B807">
        <v>12</v>
      </c>
      <c r="C807">
        <v>2021.9583</v>
      </c>
      <c r="D807">
        <v>416.67</v>
      </c>
      <c r="E807">
        <v>417.37</v>
      </c>
      <c r="F807">
        <v>28</v>
      </c>
      <c r="G807">
        <v>0.48</v>
      </c>
      <c r="H807">
        <v>0.17</v>
      </c>
    </row>
    <row r="808" spans="1:8">
      <c r="A808">
        <v>2022</v>
      </c>
      <c r="B808">
        <v>1</v>
      </c>
      <c r="C808">
        <v>2022.0417</v>
      </c>
      <c r="D808">
        <v>418.13</v>
      </c>
      <c r="E808">
        <v>417.86</v>
      </c>
      <c r="F808">
        <v>30</v>
      </c>
      <c r="G808">
        <v>0.72</v>
      </c>
      <c r="H808">
        <v>0.25</v>
      </c>
    </row>
    <row r="809" spans="1:8">
      <c r="A809">
        <v>2022</v>
      </c>
      <c r="B809">
        <v>2</v>
      </c>
      <c r="C809">
        <v>2022.125</v>
      </c>
      <c r="D809">
        <v>419.24</v>
      </c>
      <c r="E809">
        <v>418.32</v>
      </c>
      <c r="F809">
        <v>27</v>
      </c>
      <c r="G809">
        <v>0.92</v>
      </c>
      <c r="H809">
        <v>0.34</v>
      </c>
    </row>
    <row r="810" spans="1:8">
      <c r="A810">
        <v>2022</v>
      </c>
      <c r="B810">
        <v>3</v>
      </c>
      <c r="C810">
        <v>2022.2083</v>
      </c>
      <c r="D810">
        <v>418.76</v>
      </c>
      <c r="E810">
        <v>417.31</v>
      </c>
      <c r="F810">
        <v>30</v>
      </c>
      <c r="G810">
        <v>0.78</v>
      </c>
      <c r="H810">
        <v>0.27</v>
      </c>
    </row>
    <row r="811" spans="1:8">
      <c r="A811">
        <v>2022</v>
      </c>
      <c r="B811">
        <v>4</v>
      </c>
      <c r="C811">
        <v>2022.2917</v>
      </c>
      <c r="D811">
        <v>420.19</v>
      </c>
      <c r="E811">
        <v>417.67</v>
      </c>
      <c r="F811">
        <v>28</v>
      </c>
      <c r="G811">
        <v>0.86</v>
      </c>
      <c r="H811">
        <v>0.31</v>
      </c>
    </row>
    <row r="812" spans="1:8">
      <c r="A812">
        <v>2022</v>
      </c>
      <c r="B812">
        <v>5</v>
      </c>
      <c r="C812">
        <v>2022.375</v>
      </c>
      <c r="D812">
        <v>420.97</v>
      </c>
      <c r="E812">
        <v>417.7</v>
      </c>
      <c r="F812">
        <v>31</v>
      </c>
      <c r="G812">
        <v>0.75</v>
      </c>
      <c r="H812">
        <v>0.26</v>
      </c>
    </row>
    <row r="813" spans="1:8">
      <c r="A813">
        <v>2022</v>
      </c>
      <c r="B813">
        <v>6</v>
      </c>
      <c r="C813">
        <v>2022.4583</v>
      </c>
      <c r="D813">
        <v>420.94</v>
      </c>
      <c r="E813">
        <v>418.47</v>
      </c>
      <c r="F813">
        <v>28</v>
      </c>
      <c r="G813">
        <v>0.3</v>
      </c>
      <c r="H813">
        <v>0.11</v>
      </c>
    </row>
    <row r="814" spans="1:8">
      <c r="A814">
        <v>2022</v>
      </c>
      <c r="B814">
        <v>7</v>
      </c>
      <c r="C814">
        <v>2022.5417</v>
      </c>
      <c r="D814">
        <v>418.85</v>
      </c>
      <c r="E814">
        <v>418.41</v>
      </c>
      <c r="F814">
        <v>27</v>
      </c>
      <c r="G814">
        <v>0.56999999999999995</v>
      </c>
      <c r="H814">
        <v>0.21</v>
      </c>
    </row>
    <row r="815" spans="1:8">
      <c r="A815">
        <v>2022</v>
      </c>
      <c r="B815">
        <v>8</v>
      </c>
      <c r="C815">
        <v>2022.625</v>
      </c>
      <c r="D815">
        <v>417.15</v>
      </c>
      <c r="E815">
        <v>419.03</v>
      </c>
      <c r="F815">
        <v>27</v>
      </c>
      <c r="G815">
        <v>0.37</v>
      </c>
      <c r="H815">
        <v>0.13</v>
      </c>
    </row>
    <row r="816" spans="1:8">
      <c r="A816">
        <v>2022</v>
      </c>
      <c r="B816">
        <v>9</v>
      </c>
      <c r="C816">
        <v>2022.7083</v>
      </c>
      <c r="D816">
        <v>415.91</v>
      </c>
      <c r="E816">
        <v>419.3</v>
      </c>
      <c r="F816">
        <v>28</v>
      </c>
      <c r="G816">
        <v>0.41</v>
      </c>
      <c r="H816">
        <v>0.15</v>
      </c>
    </row>
    <row r="817" spans="1:8">
      <c r="A817">
        <v>2022</v>
      </c>
      <c r="B817">
        <v>10</v>
      </c>
      <c r="C817">
        <v>2022.7917</v>
      </c>
      <c r="D817">
        <v>415.74</v>
      </c>
      <c r="E817">
        <v>418.97</v>
      </c>
      <c r="F817">
        <v>30</v>
      </c>
      <c r="G817">
        <v>0.27</v>
      </c>
      <c r="H817">
        <v>0.1</v>
      </c>
    </row>
    <row r="818" spans="1:8">
      <c r="A818">
        <v>2022</v>
      </c>
      <c r="B818">
        <v>11</v>
      </c>
      <c r="C818">
        <v>2022.875</v>
      </c>
      <c r="D818">
        <v>417.47</v>
      </c>
      <c r="E818">
        <v>419.51</v>
      </c>
      <c r="F818">
        <v>25</v>
      </c>
      <c r="G818">
        <v>0.52</v>
      </c>
      <c r="H818">
        <v>0.2</v>
      </c>
    </row>
    <row r="819" spans="1:8">
      <c r="A819">
        <v>2022</v>
      </c>
      <c r="B819">
        <v>12</v>
      </c>
      <c r="C819">
        <v>2022.9583</v>
      </c>
      <c r="D819">
        <v>418.99</v>
      </c>
      <c r="E819">
        <v>419.79</v>
      </c>
      <c r="F819">
        <v>24</v>
      </c>
      <c r="G819">
        <v>0.56999999999999995</v>
      </c>
      <c r="H819">
        <v>0.22</v>
      </c>
    </row>
    <row r="820" spans="1:8">
      <c r="A820">
        <v>2023</v>
      </c>
      <c r="B820">
        <v>1</v>
      </c>
      <c r="C820">
        <v>2023.0417</v>
      </c>
      <c r="D820">
        <v>419.48</v>
      </c>
      <c r="E820">
        <v>419.19</v>
      </c>
      <c r="F820">
        <v>31</v>
      </c>
      <c r="G820">
        <v>0.42</v>
      </c>
      <c r="H820">
        <v>0.14000000000000001</v>
      </c>
    </row>
    <row r="821" spans="1:8">
      <c r="A821">
        <v>2023</v>
      </c>
      <c r="B821">
        <v>2</v>
      </c>
      <c r="C821">
        <v>2023.125</v>
      </c>
      <c r="D821">
        <v>420.31</v>
      </c>
      <c r="E821">
        <v>419.36</v>
      </c>
      <c r="F821">
        <v>23</v>
      </c>
      <c r="G821">
        <v>0.71</v>
      </c>
      <c r="H821">
        <v>0.28000000000000003</v>
      </c>
    </row>
    <row r="822" spans="1:8">
      <c r="A822">
        <v>2023</v>
      </c>
      <c r="B822">
        <v>3</v>
      </c>
      <c r="C822">
        <v>2023.2083</v>
      </c>
      <c r="D822">
        <v>420.99</v>
      </c>
      <c r="E822">
        <v>419.53</v>
      </c>
      <c r="F822">
        <v>30</v>
      </c>
      <c r="G822">
        <v>0.74</v>
      </c>
      <c r="H822">
        <v>0.26</v>
      </c>
    </row>
    <row r="823" spans="1:8">
      <c r="A823">
        <v>2023</v>
      </c>
      <c r="B823">
        <v>4</v>
      </c>
      <c r="C823">
        <v>2023.2917</v>
      </c>
      <c r="D823">
        <v>423.35</v>
      </c>
      <c r="E823">
        <v>420.84</v>
      </c>
      <c r="F823">
        <v>28</v>
      </c>
      <c r="G823">
        <v>0.61</v>
      </c>
      <c r="H823">
        <v>0.22</v>
      </c>
    </row>
    <row r="824" spans="1:8">
      <c r="A824">
        <v>2023</v>
      </c>
      <c r="B824">
        <v>5</v>
      </c>
      <c r="C824">
        <v>2023.375</v>
      </c>
      <c r="D824">
        <v>424</v>
      </c>
      <c r="E824">
        <v>420.72</v>
      </c>
      <c r="F824">
        <v>31</v>
      </c>
      <c r="G824">
        <v>0.69</v>
      </c>
      <c r="H824">
        <v>0.24</v>
      </c>
    </row>
    <row r="825" spans="1:8">
      <c r="A825">
        <v>2023</v>
      </c>
      <c r="B825">
        <v>6</v>
      </c>
      <c r="C825">
        <v>2023.4583</v>
      </c>
      <c r="D825">
        <v>423.68</v>
      </c>
      <c r="E825">
        <v>421.24</v>
      </c>
      <c r="F825">
        <v>29</v>
      </c>
      <c r="G825">
        <v>0.56999999999999995</v>
      </c>
      <c r="H825">
        <v>0.2</v>
      </c>
    </row>
    <row r="826" spans="1:8">
      <c r="A826">
        <v>2023</v>
      </c>
      <c r="B826">
        <v>7</v>
      </c>
      <c r="C826">
        <v>2023.5417</v>
      </c>
      <c r="D826">
        <v>421.83</v>
      </c>
      <c r="E826">
        <v>421.49</v>
      </c>
      <c r="F826">
        <v>21</v>
      </c>
      <c r="G826">
        <v>0.47</v>
      </c>
      <c r="H826">
        <v>0.2</v>
      </c>
    </row>
    <row r="827" spans="1:8">
      <c r="A827">
        <v>2023</v>
      </c>
      <c r="B827">
        <v>8</v>
      </c>
      <c r="C827">
        <v>2023.625</v>
      </c>
      <c r="D827">
        <v>419.68</v>
      </c>
      <c r="E827">
        <v>421.64</v>
      </c>
      <c r="F827">
        <v>21</v>
      </c>
      <c r="G827">
        <v>0.45</v>
      </c>
      <c r="H827">
        <v>0.19</v>
      </c>
    </row>
    <row r="828" spans="1:8">
      <c r="A828">
        <v>2023</v>
      </c>
      <c r="B828">
        <v>9</v>
      </c>
      <c r="C828">
        <v>2023.7083</v>
      </c>
      <c r="D828">
        <v>418.5</v>
      </c>
      <c r="E828">
        <v>421.92</v>
      </c>
      <c r="F828">
        <v>18</v>
      </c>
      <c r="G828">
        <v>0.3</v>
      </c>
      <c r="H828">
        <v>0.14000000000000001</v>
      </c>
    </row>
    <row r="829" spans="1:8">
      <c r="A829">
        <v>2023</v>
      </c>
      <c r="B829">
        <v>10</v>
      </c>
      <c r="C829">
        <v>2023.7917</v>
      </c>
      <c r="D829">
        <v>418.82</v>
      </c>
      <c r="E829">
        <v>422.04</v>
      </c>
      <c r="F829">
        <v>27</v>
      </c>
      <c r="G829">
        <v>0.47</v>
      </c>
      <c r="H829">
        <v>0.17</v>
      </c>
    </row>
    <row r="830" spans="1:8">
      <c r="A830">
        <v>2023</v>
      </c>
      <c r="B830">
        <v>11</v>
      </c>
      <c r="C830">
        <v>2023.875</v>
      </c>
      <c r="D830">
        <v>420.46</v>
      </c>
      <c r="E830">
        <v>422.43</v>
      </c>
      <c r="F830">
        <v>21</v>
      </c>
      <c r="G830">
        <v>0.91</v>
      </c>
      <c r="H830">
        <v>0.38</v>
      </c>
    </row>
    <row r="831" spans="1:8">
      <c r="A831">
        <v>2023</v>
      </c>
      <c r="B831">
        <v>12</v>
      </c>
      <c r="C831">
        <v>2023.9583</v>
      </c>
      <c r="D831">
        <v>421.86</v>
      </c>
      <c r="E831">
        <v>422.59</v>
      </c>
      <c r="F831">
        <v>20</v>
      </c>
      <c r="G831">
        <v>0.69</v>
      </c>
      <c r="H831">
        <v>0.28999999999999998</v>
      </c>
    </row>
    <row r="832" spans="1:8">
      <c r="A832">
        <v>2024</v>
      </c>
      <c r="B832">
        <v>1</v>
      </c>
      <c r="C832">
        <v>2024.0417</v>
      </c>
      <c r="D832">
        <v>422.8</v>
      </c>
      <c r="E832">
        <v>422.51</v>
      </c>
      <c r="F832">
        <v>27</v>
      </c>
      <c r="G832">
        <v>0.7</v>
      </c>
      <c r="H832">
        <v>0.26</v>
      </c>
    </row>
    <row r="833" spans="1:8">
      <c r="A833">
        <v>2024</v>
      </c>
      <c r="B833">
        <v>2</v>
      </c>
      <c r="C833">
        <v>2024.125</v>
      </c>
      <c r="D833">
        <v>424.55</v>
      </c>
      <c r="E833">
        <v>423.6</v>
      </c>
      <c r="F833">
        <v>22</v>
      </c>
      <c r="G833">
        <v>1.24</v>
      </c>
      <c r="H833">
        <v>0.51</v>
      </c>
    </row>
    <row r="834" spans="1:8">
      <c r="A834">
        <v>2024</v>
      </c>
      <c r="B834">
        <v>3</v>
      </c>
      <c r="C834">
        <v>2024.2083</v>
      </c>
      <c r="D834">
        <v>425.38</v>
      </c>
      <c r="E834">
        <v>423.92</v>
      </c>
      <c r="F834">
        <v>22</v>
      </c>
      <c r="G834">
        <v>0.99</v>
      </c>
      <c r="H834">
        <v>0.4</v>
      </c>
    </row>
    <row r="835" spans="1:8">
      <c r="A835">
        <v>2024</v>
      </c>
      <c r="B835">
        <v>4</v>
      </c>
      <c r="C835">
        <v>2024.2917</v>
      </c>
      <c r="D835">
        <v>426.51</v>
      </c>
      <c r="E835">
        <v>424</v>
      </c>
      <c r="F835">
        <v>22</v>
      </c>
      <c r="G835">
        <v>0.99</v>
      </c>
      <c r="H835">
        <v>0.4</v>
      </c>
    </row>
    <row r="836" spans="1:8">
      <c r="A836">
        <v>2024</v>
      </c>
      <c r="B836">
        <v>5</v>
      </c>
      <c r="C836">
        <v>2024.375</v>
      </c>
      <c r="D836">
        <v>426.9</v>
      </c>
      <c r="E836">
        <v>423.62</v>
      </c>
      <c r="F836">
        <v>29</v>
      </c>
      <c r="G836">
        <v>0.76</v>
      </c>
      <c r="H836">
        <v>0.27</v>
      </c>
    </row>
    <row r="837" spans="1:8">
      <c r="A837">
        <v>2024</v>
      </c>
      <c r="B837">
        <v>6</v>
      </c>
      <c r="C837">
        <v>2024.4583</v>
      </c>
      <c r="D837">
        <v>426.91</v>
      </c>
      <c r="E837">
        <v>424.47</v>
      </c>
      <c r="F837">
        <v>20</v>
      </c>
      <c r="G837">
        <v>0.65</v>
      </c>
      <c r="H837">
        <v>0.28000000000000003</v>
      </c>
    </row>
    <row r="838" spans="1:8">
      <c r="A838">
        <v>2024</v>
      </c>
      <c r="B838">
        <v>7</v>
      </c>
      <c r="C838">
        <v>2024.5417</v>
      </c>
      <c r="D838">
        <v>425.55</v>
      </c>
      <c r="E838">
        <v>425.21</v>
      </c>
      <c r="F838">
        <v>24</v>
      </c>
      <c r="G838">
        <v>0.69</v>
      </c>
      <c r="H838">
        <v>0.27</v>
      </c>
    </row>
    <row r="839" spans="1:8">
      <c r="A839">
        <v>2024</v>
      </c>
      <c r="B839">
        <v>8</v>
      </c>
      <c r="C839">
        <v>2024.625</v>
      </c>
      <c r="D839">
        <v>422.99</v>
      </c>
      <c r="E839">
        <v>424.95</v>
      </c>
      <c r="F839">
        <v>22</v>
      </c>
      <c r="G839">
        <v>1.08</v>
      </c>
      <c r="H839">
        <v>0.44</v>
      </c>
    </row>
    <row r="840" spans="1:8">
      <c r="A840">
        <v>2024</v>
      </c>
      <c r="B840">
        <v>9</v>
      </c>
      <c r="C840">
        <v>2024.7083</v>
      </c>
      <c r="D840">
        <v>422.03</v>
      </c>
      <c r="E840">
        <v>425.45</v>
      </c>
      <c r="F840">
        <v>18</v>
      </c>
      <c r="G840">
        <v>0.41</v>
      </c>
      <c r="H840">
        <v>0.18</v>
      </c>
    </row>
    <row r="841" spans="1:8">
      <c r="A841">
        <v>2024</v>
      </c>
      <c r="B841">
        <v>10</v>
      </c>
      <c r="C841">
        <v>2024.7917</v>
      </c>
      <c r="D841">
        <v>422.38</v>
      </c>
      <c r="E841">
        <v>425.6</v>
      </c>
      <c r="F841">
        <v>22</v>
      </c>
      <c r="G841">
        <v>0.35</v>
      </c>
      <c r="H841">
        <v>0.14000000000000001</v>
      </c>
    </row>
    <row r="842" spans="1:8">
      <c r="A842">
        <v>2024</v>
      </c>
      <c r="B842">
        <v>11</v>
      </c>
      <c r="C842">
        <v>2024.875</v>
      </c>
      <c r="D842">
        <v>423.85</v>
      </c>
      <c r="E842">
        <v>425.82</v>
      </c>
      <c r="F842">
        <v>24</v>
      </c>
      <c r="G842">
        <v>0.33</v>
      </c>
      <c r="H842">
        <v>0.13</v>
      </c>
    </row>
    <row r="843" spans="1:8">
      <c r="A843">
        <v>2024</v>
      </c>
      <c r="B843">
        <v>12</v>
      </c>
      <c r="C843">
        <v>2024.9583</v>
      </c>
      <c r="D843">
        <v>425.4</v>
      </c>
      <c r="E843">
        <v>426.13</v>
      </c>
      <c r="F843">
        <v>28</v>
      </c>
      <c r="G843">
        <v>0.7</v>
      </c>
      <c r="H843">
        <v>0.25</v>
      </c>
    </row>
    <row r="844" spans="1:8">
      <c r="A844">
        <v>2025</v>
      </c>
      <c r="B844">
        <v>1</v>
      </c>
      <c r="C844">
        <v>2025.0417</v>
      </c>
      <c r="D844">
        <v>426.65</v>
      </c>
      <c r="E844">
        <v>426.36</v>
      </c>
      <c r="F844">
        <v>29</v>
      </c>
      <c r="G844">
        <v>0.62</v>
      </c>
      <c r="H844">
        <v>0.22</v>
      </c>
    </row>
    <row r="845" spans="1:8">
      <c r="A845">
        <v>2025</v>
      </c>
      <c r="B845">
        <v>2</v>
      </c>
      <c r="C845">
        <v>2025.125</v>
      </c>
      <c r="D845">
        <v>427.09</v>
      </c>
      <c r="E845">
        <v>426.14</v>
      </c>
      <c r="F845">
        <v>24</v>
      </c>
      <c r="G845">
        <v>0.64</v>
      </c>
      <c r="H845">
        <v>0.25</v>
      </c>
    </row>
    <row r="846" spans="1:8">
      <c r="A846">
        <v>2025</v>
      </c>
      <c r="B846">
        <v>3</v>
      </c>
      <c r="C846">
        <v>2025.2083</v>
      </c>
      <c r="D846">
        <v>428.15</v>
      </c>
      <c r="E846">
        <v>426.68</v>
      </c>
      <c r="F846">
        <v>27</v>
      </c>
      <c r="G846">
        <v>1.1299999999999999</v>
      </c>
      <c r="H846">
        <v>0.41</v>
      </c>
    </row>
    <row r="847" spans="1:8">
      <c r="A847">
        <v>2025</v>
      </c>
      <c r="B847">
        <v>4</v>
      </c>
      <c r="C847">
        <v>2025.2917</v>
      </c>
      <c r="D847">
        <v>429.64</v>
      </c>
      <c r="E847">
        <v>427.13</v>
      </c>
      <c r="F847">
        <v>23</v>
      </c>
      <c r="G847">
        <v>0.73</v>
      </c>
      <c r="H847">
        <v>0.28999999999999998</v>
      </c>
    </row>
    <row r="848" spans="1:8">
      <c r="A848">
        <v>2025</v>
      </c>
      <c r="B848">
        <v>5</v>
      </c>
      <c r="C848">
        <v>2025.375</v>
      </c>
      <c r="D848">
        <v>430.51</v>
      </c>
      <c r="E848">
        <v>427.23</v>
      </c>
      <c r="F848">
        <v>23</v>
      </c>
      <c r="G848">
        <v>0.39</v>
      </c>
      <c r="H848">
        <v>0.16</v>
      </c>
    </row>
    <row r="849" spans="1:8">
      <c r="A849">
        <v>2025</v>
      </c>
      <c r="B849">
        <v>6</v>
      </c>
      <c r="C849">
        <v>2025.4583</v>
      </c>
      <c r="D849">
        <v>429.61</v>
      </c>
      <c r="E849">
        <v>427.17</v>
      </c>
      <c r="F849">
        <v>26</v>
      </c>
      <c r="G849">
        <v>0.71</v>
      </c>
      <c r="H849">
        <v>0.27</v>
      </c>
    </row>
    <row r="850" spans="1:8">
      <c r="A850">
        <v>2025</v>
      </c>
      <c r="B850">
        <v>7</v>
      </c>
      <c r="C850">
        <v>2025.5417</v>
      </c>
      <c r="D850">
        <v>427.87</v>
      </c>
      <c r="E850">
        <v>427.53</v>
      </c>
      <c r="F850">
        <v>24</v>
      </c>
      <c r="G850">
        <v>0.31</v>
      </c>
      <c r="H850">
        <v>0.12</v>
      </c>
    </row>
    <row r="851" spans="1:8">
      <c r="A851">
        <v>2025</v>
      </c>
      <c r="B851">
        <v>8</v>
      </c>
      <c r="C851">
        <v>2025.625</v>
      </c>
      <c r="D851">
        <v>425.48</v>
      </c>
      <c r="E851">
        <v>427.44</v>
      </c>
      <c r="F851">
        <v>24</v>
      </c>
      <c r="G851">
        <v>0.38</v>
      </c>
      <c r="H851">
        <v>0.15</v>
      </c>
    </row>
    <row r="852" spans="1:8">
      <c r="A852">
        <v>2025</v>
      </c>
      <c r="B852">
        <v>9</v>
      </c>
      <c r="C852">
        <v>2025.7083</v>
      </c>
      <c r="D852">
        <v>424.37</v>
      </c>
      <c r="E852">
        <v>427.79</v>
      </c>
      <c r="F852">
        <v>19</v>
      </c>
      <c r="G852">
        <v>0.48</v>
      </c>
      <c r="H852">
        <v>0.21</v>
      </c>
    </row>
    <row r="853" spans="1:8">
      <c r="A853">
        <v>2025</v>
      </c>
      <c r="B853">
        <v>10</v>
      </c>
      <c r="C853">
        <v>2025.7917</v>
      </c>
      <c r="D853">
        <v>424.87</v>
      </c>
      <c r="E853">
        <v>428.09</v>
      </c>
      <c r="F853">
        <v>19</v>
      </c>
      <c r="G853">
        <v>0.32</v>
      </c>
      <c r="H853">
        <v>0.14000000000000001</v>
      </c>
    </row>
    <row r="854" spans="1:8">
      <c r="A854">
        <v>2025</v>
      </c>
      <c r="B854">
        <v>11</v>
      </c>
      <c r="C854">
        <v>2025.875</v>
      </c>
      <c r="D854">
        <v>426.46</v>
      </c>
      <c r="E854">
        <v>428.42</v>
      </c>
      <c r="F854">
        <v>20</v>
      </c>
      <c r="G854">
        <v>0.69</v>
      </c>
      <c r="H854">
        <v>0.3</v>
      </c>
    </row>
    <row r="855" spans="1:8">
      <c r="A855">
        <v>2025</v>
      </c>
      <c r="B855">
        <v>12</v>
      </c>
      <c r="C855">
        <v>2025.9583</v>
      </c>
      <c r="D855">
        <v>427.49</v>
      </c>
      <c r="E855">
        <v>428.22</v>
      </c>
      <c r="F855">
        <v>24</v>
      </c>
      <c r="G855">
        <v>0.32</v>
      </c>
      <c r="H855">
        <v>0.12</v>
      </c>
    </row>
    <row r="856" spans="1:8">
      <c r="A856">
        <v>2026</v>
      </c>
      <c r="B856">
        <v>1</v>
      </c>
      <c r="C856">
        <v>2026.0417</v>
      </c>
      <c r="D856">
        <v>428.62</v>
      </c>
      <c r="E856">
        <v>428.32</v>
      </c>
      <c r="F856">
        <v>25</v>
      </c>
      <c r="G856">
        <v>0.69</v>
      </c>
      <c r="H856">
        <v>0.27</v>
      </c>
    </row>
    <row r="857" spans="1:8">
      <c r="A857">
        <v>2026</v>
      </c>
      <c r="B857">
        <v>2</v>
      </c>
      <c r="C857">
        <v>2026.125</v>
      </c>
      <c r="D857">
        <v>429.35</v>
      </c>
      <c r="E857">
        <v>428.4</v>
      </c>
      <c r="F857">
        <v>17</v>
      </c>
      <c r="G857">
        <v>0.74</v>
      </c>
      <c r="H857">
        <v>0.34</v>
      </c>
    </row>
    <row r="858" spans="1:8">
      <c r="A858">
        <v>2026</v>
      </c>
      <c r="B858">
        <v>3</v>
      </c>
      <c r="C858">
        <v>2026.2083</v>
      </c>
      <c r="D858">
        <v>430.15</v>
      </c>
      <c r="E858">
        <v>428.68</v>
      </c>
      <c r="F858">
        <v>26</v>
      </c>
      <c r="G858">
        <v>0.87</v>
      </c>
      <c r="H858">
        <v>0.33</v>
      </c>
    </row>
    <row r="859" spans="1:8">
      <c r="A859">
        <v>2026</v>
      </c>
      <c r="B859">
        <v>4</v>
      </c>
      <c r="C859">
        <v>2026.2917</v>
      </c>
      <c r="D859">
        <v>431.12</v>
      </c>
      <c r="E859">
        <v>428.61</v>
      </c>
      <c r="F859">
        <v>23</v>
      </c>
      <c r="G859">
        <v>1.1599999999999999</v>
      </c>
      <c r="H859">
        <v>0.46</v>
      </c>
    </row>
    <row r="860" spans="1:8">
      <c r="A860">
        <v>2026</v>
      </c>
      <c r="B860">
        <v>5</v>
      </c>
      <c r="C860">
        <v>2026.375</v>
      </c>
      <c r="D860">
        <v>432.34</v>
      </c>
      <c r="E860">
        <v>429.06</v>
      </c>
      <c r="F860">
        <v>19</v>
      </c>
      <c r="G860">
        <v>0.64</v>
      </c>
      <c r="H860">
        <v>0.28000000000000003</v>
      </c>
    </row>
    <row r="861" spans="1:8">
      <c r="A861">
        <v>2026</v>
      </c>
      <c r="B861">
        <v>6</v>
      </c>
      <c r="C861">
        <v>2026.4583</v>
      </c>
      <c r="D861">
        <v>431.43</v>
      </c>
      <c r="E861">
        <v>428.99</v>
      </c>
      <c r="F861">
        <v>19</v>
      </c>
      <c r="G861">
        <v>0.27</v>
      </c>
      <c r="H861">
        <v>0.12</v>
      </c>
    </row>
    <row r="862" spans="1:8">
      <c r="A862">
        <v>2026</v>
      </c>
      <c r="B862">
        <v>7</v>
      </c>
      <c r="C862">
        <v>2026.5417</v>
      </c>
      <c r="D862">
        <v>429.13</v>
      </c>
      <c r="E862">
        <v>428.78</v>
      </c>
      <c r="F862">
        <v>21</v>
      </c>
      <c r="G862">
        <v>0.61</v>
      </c>
      <c r="H862">
        <v>0.26</v>
      </c>
    </row>
    <row r="863" spans="1:8">
      <c r="A863">
        <v>2026</v>
      </c>
      <c r="B863">
        <v>8</v>
      </c>
      <c r="C863">
        <v>2026.625</v>
      </c>
      <c r="D863">
        <v>427.55</v>
      </c>
      <c r="E863">
        <v>429.51</v>
      </c>
      <c r="F863">
        <v>17</v>
      </c>
      <c r="G863">
        <v>0.36</v>
      </c>
      <c r="H863">
        <v>0.17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7D31-8442-421A-963B-7123EC69DCE8}">
  <dimension ref="A1:C111"/>
  <sheetViews>
    <sheetView topLeftCell="A28" workbookViewId="0">
      <selection activeCell="J7" sqref="J7"/>
    </sheetView>
  </sheetViews>
  <sheetFormatPr defaultRowHeight="15"/>
  <sheetData>
    <row r="1" spans="1:2">
      <c r="A1" t="s">
        <v>2125</v>
      </c>
    </row>
    <row r="2" spans="1:2">
      <c r="A2" t="s">
        <v>2126</v>
      </c>
    </row>
    <row r="3" spans="1:2">
      <c r="A3" t="s">
        <v>2127</v>
      </c>
    </row>
    <row r="4" spans="1:2">
      <c r="A4" t="s">
        <v>2128</v>
      </c>
    </row>
    <row r="5" spans="1:2">
      <c r="A5" t="s">
        <v>2129</v>
      </c>
    </row>
    <row r="6" spans="1:2">
      <c r="A6" t="s">
        <v>2130</v>
      </c>
    </row>
    <row r="7" spans="1:2">
      <c r="A7" t="s">
        <v>2131</v>
      </c>
    </row>
    <row r="8" spans="1:2">
      <c r="A8" t="s">
        <v>2132</v>
      </c>
    </row>
    <row r="9" spans="1:2">
      <c r="A9" t="s">
        <v>2133</v>
      </c>
    </row>
    <row r="10" spans="1:2">
      <c r="A10" t="s">
        <v>2134</v>
      </c>
    </row>
    <row r="11" spans="1:2">
      <c r="A11" t="s">
        <v>2135</v>
      </c>
      <c r="B11" t="s">
        <v>2136</v>
      </c>
    </row>
    <row r="12" spans="1:2">
      <c r="A12" t="s">
        <v>2127</v>
      </c>
    </row>
    <row r="13" spans="1:2">
      <c r="A13" t="s">
        <v>2127</v>
      </c>
    </row>
    <row r="14" spans="1:2">
      <c r="A14" t="s">
        <v>2127</v>
      </c>
    </row>
    <row r="15" spans="1:2">
      <c r="A15" t="s">
        <v>2137</v>
      </c>
    </row>
    <row r="16" spans="1:2">
      <c r="A16" t="s">
        <v>2127</v>
      </c>
    </row>
    <row r="17" spans="1:1">
      <c r="A17" t="s">
        <v>2169</v>
      </c>
    </row>
    <row r="18" spans="1:1">
      <c r="A18" t="s">
        <v>2127</v>
      </c>
    </row>
    <row r="19" spans="1:1">
      <c r="A19" t="s">
        <v>2127</v>
      </c>
    </row>
    <row r="20" spans="1:1">
      <c r="A20" t="s">
        <v>2125</v>
      </c>
    </row>
    <row r="21" spans="1:1">
      <c r="A21" t="s">
        <v>2127</v>
      </c>
    </row>
    <row r="22" spans="1:1">
      <c r="A22" t="s">
        <v>2127</v>
      </c>
    </row>
    <row r="23" spans="1:1">
      <c r="A23" t="s">
        <v>2139</v>
      </c>
    </row>
    <row r="24" spans="1:1">
      <c r="A24" t="s">
        <v>2127</v>
      </c>
    </row>
    <row r="25" spans="1:1">
      <c r="A25" t="s">
        <v>2140</v>
      </c>
    </row>
    <row r="26" spans="1:1">
      <c r="A26" t="s">
        <v>2141</v>
      </c>
    </row>
    <row r="27" spans="1:1">
      <c r="A27" t="s">
        <v>2142</v>
      </c>
    </row>
    <row r="28" spans="1:1">
      <c r="A28" t="s">
        <v>2127</v>
      </c>
    </row>
    <row r="29" spans="1:1">
      <c r="A29" t="s">
        <v>2170</v>
      </c>
    </row>
    <row r="30" spans="1:1">
      <c r="A30" t="s">
        <v>2171</v>
      </c>
    </row>
    <row r="31" spans="1:1">
      <c r="A31" t="s">
        <v>2172</v>
      </c>
    </row>
    <row r="32" spans="1:1">
      <c r="A32" t="s">
        <v>2127</v>
      </c>
    </row>
    <row r="33" spans="1:3">
      <c r="A33" t="s">
        <v>2173</v>
      </c>
      <c r="B33" t="s">
        <v>2174</v>
      </c>
    </row>
    <row r="34" spans="1:3">
      <c r="A34" t="s">
        <v>2175</v>
      </c>
      <c r="B34" t="s">
        <v>2176</v>
      </c>
    </row>
    <row r="35" spans="1:3">
      <c r="A35" t="s">
        <v>2177</v>
      </c>
      <c r="B35" t="s">
        <v>2178</v>
      </c>
    </row>
    <row r="36" spans="1:3">
      <c r="A36" t="s">
        <v>2179</v>
      </c>
    </row>
    <row r="37" spans="1:3">
      <c r="A37" t="s">
        <v>2127</v>
      </c>
    </row>
    <row r="38" spans="1:3">
      <c r="A38" t="s">
        <v>2180</v>
      </c>
      <c r="B38" t="s">
        <v>2181</v>
      </c>
      <c r="C38" t="s">
        <v>2182</v>
      </c>
    </row>
    <row r="39" spans="1:3">
      <c r="A39" t="s">
        <v>2127</v>
      </c>
    </row>
    <row r="40" spans="1:3">
      <c r="A40" t="s">
        <v>2153</v>
      </c>
      <c r="B40" t="s">
        <v>2154</v>
      </c>
    </row>
    <row r="41" spans="1:3">
      <c r="A41" t="s">
        <v>2155</v>
      </c>
      <c r="B41" t="s">
        <v>2156</v>
      </c>
    </row>
    <row r="42" spans="1:3">
      <c r="A42" t="s">
        <v>2157</v>
      </c>
      <c r="B42" t="s">
        <v>2158</v>
      </c>
    </row>
    <row r="43" spans="1:3">
      <c r="A43" t="s">
        <v>2159</v>
      </c>
      <c r="B43" t="s">
        <v>2160</v>
      </c>
    </row>
    <row r="44" spans="1:3">
      <c r="A44" t="s">
        <v>2161</v>
      </c>
      <c r="B44" t="s">
        <v>2183</v>
      </c>
      <c r="C44" t="s">
        <v>2168</v>
      </c>
    </row>
    <row r="45" spans="1:3">
      <c r="A45">
        <v>1959</v>
      </c>
      <c r="B45">
        <v>315.98</v>
      </c>
      <c r="C45">
        <v>0.12</v>
      </c>
    </row>
    <row r="46" spans="1:3">
      <c r="A46">
        <v>1960</v>
      </c>
      <c r="B46">
        <v>316.91000000000003</v>
      </c>
      <c r="C46">
        <v>0.12</v>
      </c>
    </row>
    <row r="47" spans="1:3">
      <c r="A47">
        <v>1961</v>
      </c>
      <c r="B47">
        <v>317.64</v>
      </c>
      <c r="C47">
        <v>0.12</v>
      </c>
    </row>
    <row r="48" spans="1:3">
      <c r="A48">
        <v>1962</v>
      </c>
      <c r="B48">
        <v>318.45</v>
      </c>
      <c r="C48">
        <v>0.12</v>
      </c>
    </row>
    <row r="49" spans="1:3">
      <c r="A49">
        <v>1963</v>
      </c>
      <c r="B49">
        <v>318.99</v>
      </c>
      <c r="C49">
        <v>0.12</v>
      </c>
    </row>
    <row r="50" spans="1:3">
      <c r="A50">
        <v>1964</v>
      </c>
      <c r="B50">
        <v>319.62</v>
      </c>
      <c r="C50">
        <v>0.12</v>
      </c>
    </row>
    <row r="51" spans="1:3">
      <c r="A51">
        <v>1965</v>
      </c>
      <c r="B51">
        <v>320.04000000000002</v>
      </c>
      <c r="C51">
        <v>0.12</v>
      </c>
    </row>
    <row r="52" spans="1:3">
      <c r="A52">
        <v>1966</v>
      </c>
      <c r="B52">
        <v>321.37</v>
      </c>
      <c r="C52">
        <v>0.12</v>
      </c>
    </row>
    <row r="53" spans="1:3">
      <c r="A53">
        <v>1967</v>
      </c>
      <c r="B53">
        <v>322.18</v>
      </c>
      <c r="C53">
        <v>0.12</v>
      </c>
    </row>
    <row r="54" spans="1:3">
      <c r="A54">
        <v>1968</v>
      </c>
      <c r="B54">
        <v>323.05</v>
      </c>
      <c r="C54">
        <v>0.12</v>
      </c>
    </row>
    <row r="55" spans="1:3">
      <c r="A55">
        <v>1969</v>
      </c>
      <c r="B55">
        <v>324.62</v>
      </c>
      <c r="C55">
        <v>0.12</v>
      </c>
    </row>
    <row r="56" spans="1:3">
      <c r="A56">
        <v>1970</v>
      </c>
      <c r="B56">
        <v>325.68</v>
      </c>
      <c r="C56">
        <v>0.12</v>
      </c>
    </row>
    <row r="57" spans="1:3">
      <c r="A57">
        <v>1971</v>
      </c>
      <c r="B57">
        <v>326.32</v>
      </c>
      <c r="C57">
        <v>0.12</v>
      </c>
    </row>
    <row r="58" spans="1:3">
      <c r="A58">
        <v>1972</v>
      </c>
      <c r="B58">
        <v>327.45999999999998</v>
      </c>
      <c r="C58">
        <v>0.12</v>
      </c>
    </row>
    <row r="59" spans="1:3">
      <c r="A59">
        <v>1973</v>
      </c>
      <c r="B59">
        <v>329.68</v>
      </c>
      <c r="C59">
        <v>0.12</v>
      </c>
    </row>
    <row r="60" spans="1:3">
      <c r="A60">
        <v>1974</v>
      </c>
      <c r="B60">
        <v>330.19</v>
      </c>
      <c r="C60">
        <v>0.12</v>
      </c>
    </row>
    <row r="61" spans="1:3">
      <c r="A61">
        <v>1975</v>
      </c>
      <c r="B61">
        <v>331.13</v>
      </c>
      <c r="C61">
        <v>0.12</v>
      </c>
    </row>
    <row r="62" spans="1:3">
      <c r="A62">
        <v>1976</v>
      </c>
      <c r="B62">
        <v>332.03</v>
      </c>
      <c r="C62">
        <v>0.12</v>
      </c>
    </row>
    <row r="63" spans="1:3">
      <c r="A63">
        <v>1977</v>
      </c>
      <c r="B63">
        <v>333.84</v>
      </c>
      <c r="C63">
        <v>0.12</v>
      </c>
    </row>
    <row r="64" spans="1:3">
      <c r="A64">
        <v>1978</v>
      </c>
      <c r="B64">
        <v>335.41</v>
      </c>
      <c r="C64">
        <v>0.12</v>
      </c>
    </row>
    <row r="65" spans="1:3">
      <c r="A65">
        <v>1979</v>
      </c>
      <c r="B65">
        <v>336.84</v>
      </c>
      <c r="C65">
        <v>0.12</v>
      </c>
    </row>
    <row r="66" spans="1:3">
      <c r="A66">
        <v>1980</v>
      </c>
      <c r="B66">
        <v>338.76</v>
      </c>
      <c r="C66">
        <v>0.12</v>
      </c>
    </row>
    <row r="67" spans="1:3">
      <c r="A67">
        <v>1981</v>
      </c>
      <c r="B67">
        <v>340.12</v>
      </c>
      <c r="C67">
        <v>0.12</v>
      </c>
    </row>
    <row r="68" spans="1:3">
      <c r="A68">
        <v>1982</v>
      </c>
      <c r="B68">
        <v>341.48</v>
      </c>
      <c r="C68">
        <v>0.12</v>
      </c>
    </row>
    <row r="69" spans="1:3">
      <c r="A69">
        <v>1983</v>
      </c>
      <c r="B69">
        <v>343.15</v>
      </c>
      <c r="C69">
        <v>0.12</v>
      </c>
    </row>
    <row r="70" spans="1:3">
      <c r="A70">
        <v>1984</v>
      </c>
      <c r="B70">
        <v>344.87</v>
      </c>
      <c r="C70">
        <v>0.12</v>
      </c>
    </row>
    <row r="71" spans="1:3">
      <c r="A71">
        <v>1985</v>
      </c>
      <c r="B71">
        <v>346.35</v>
      </c>
      <c r="C71">
        <v>0.12</v>
      </c>
    </row>
    <row r="72" spans="1:3">
      <c r="A72">
        <v>1986</v>
      </c>
      <c r="B72">
        <v>347.61</v>
      </c>
      <c r="C72">
        <v>0.12</v>
      </c>
    </row>
    <row r="73" spans="1:3">
      <c r="A73">
        <v>1987</v>
      </c>
      <c r="B73">
        <v>349.31</v>
      </c>
      <c r="C73">
        <v>0.12</v>
      </c>
    </row>
    <row r="74" spans="1:3">
      <c r="A74">
        <v>1988</v>
      </c>
      <c r="B74">
        <v>351.69</v>
      </c>
      <c r="C74">
        <v>0.12</v>
      </c>
    </row>
    <row r="75" spans="1:3">
      <c r="A75">
        <v>1989</v>
      </c>
      <c r="B75">
        <v>353.2</v>
      </c>
      <c r="C75">
        <v>0.12</v>
      </c>
    </row>
    <row r="76" spans="1:3">
      <c r="A76">
        <v>1990</v>
      </c>
      <c r="B76">
        <v>354.45</v>
      </c>
      <c r="C76">
        <v>0.12</v>
      </c>
    </row>
    <row r="77" spans="1:3">
      <c r="A77">
        <v>1991</v>
      </c>
      <c r="B77">
        <v>355.7</v>
      </c>
      <c r="C77">
        <v>0.12</v>
      </c>
    </row>
    <row r="78" spans="1:3">
      <c r="A78">
        <v>1992</v>
      </c>
      <c r="B78">
        <v>356.54</v>
      </c>
      <c r="C78">
        <v>0.12</v>
      </c>
    </row>
    <row r="79" spans="1:3">
      <c r="A79">
        <v>1993</v>
      </c>
      <c r="B79">
        <v>357.21</v>
      </c>
      <c r="C79">
        <v>0.12</v>
      </c>
    </row>
    <row r="80" spans="1:3">
      <c r="A80">
        <v>1994</v>
      </c>
      <c r="B80">
        <v>358.96</v>
      </c>
      <c r="C80">
        <v>0.12</v>
      </c>
    </row>
    <row r="81" spans="1:3">
      <c r="A81">
        <v>1995</v>
      </c>
      <c r="B81">
        <v>360.97</v>
      </c>
      <c r="C81">
        <v>0.12</v>
      </c>
    </row>
    <row r="82" spans="1:3">
      <c r="A82">
        <v>1996</v>
      </c>
      <c r="B82">
        <v>362.74</v>
      </c>
      <c r="C82">
        <v>0.12</v>
      </c>
    </row>
    <row r="83" spans="1:3">
      <c r="A83">
        <v>1997</v>
      </c>
      <c r="B83">
        <v>363.88</v>
      </c>
      <c r="C83">
        <v>0.12</v>
      </c>
    </row>
    <row r="84" spans="1:3">
      <c r="A84">
        <v>1998</v>
      </c>
      <c r="B84">
        <v>366.84</v>
      </c>
      <c r="C84">
        <v>0.12</v>
      </c>
    </row>
    <row r="85" spans="1:3">
      <c r="A85">
        <v>1999</v>
      </c>
      <c r="B85">
        <v>368.54</v>
      </c>
      <c r="C85">
        <v>0.12</v>
      </c>
    </row>
    <row r="86" spans="1:3">
      <c r="A86">
        <v>2000</v>
      </c>
      <c r="B86">
        <v>369.71</v>
      </c>
      <c r="C86">
        <v>0.12</v>
      </c>
    </row>
    <row r="87" spans="1:3">
      <c r="A87">
        <v>2001</v>
      </c>
      <c r="B87">
        <v>371.32</v>
      </c>
      <c r="C87">
        <v>0.12</v>
      </c>
    </row>
    <row r="88" spans="1:3">
      <c r="A88">
        <v>2002</v>
      </c>
      <c r="B88">
        <v>373.45</v>
      </c>
      <c r="C88">
        <v>0.12</v>
      </c>
    </row>
    <row r="89" spans="1:3">
      <c r="A89">
        <v>2003</v>
      </c>
      <c r="B89">
        <v>375.98</v>
      </c>
      <c r="C89">
        <v>0.12</v>
      </c>
    </row>
    <row r="90" spans="1:3">
      <c r="A90">
        <v>2004</v>
      </c>
      <c r="B90">
        <v>377.7</v>
      </c>
      <c r="C90">
        <v>0.12</v>
      </c>
    </row>
    <row r="91" spans="1:3">
      <c r="A91">
        <v>2005</v>
      </c>
      <c r="B91">
        <v>379.98</v>
      </c>
      <c r="C91">
        <v>0.12</v>
      </c>
    </row>
    <row r="92" spans="1:3">
      <c r="A92">
        <v>2006</v>
      </c>
      <c r="B92">
        <v>382.09</v>
      </c>
      <c r="C92">
        <v>0.12</v>
      </c>
    </row>
    <row r="93" spans="1:3">
      <c r="A93">
        <v>2007</v>
      </c>
      <c r="B93">
        <v>384.02</v>
      </c>
      <c r="C93">
        <v>0.12</v>
      </c>
    </row>
    <row r="94" spans="1:3">
      <c r="A94">
        <v>2008</v>
      </c>
      <c r="B94">
        <v>385.83</v>
      </c>
      <c r="C94">
        <v>0.12</v>
      </c>
    </row>
    <row r="95" spans="1:3">
      <c r="A95">
        <v>2009</v>
      </c>
      <c r="B95">
        <v>387.64</v>
      </c>
      <c r="C95">
        <v>0.12</v>
      </c>
    </row>
    <row r="96" spans="1:3">
      <c r="A96">
        <v>2010</v>
      </c>
      <c r="B96">
        <v>390.1</v>
      </c>
      <c r="C96">
        <v>0.12</v>
      </c>
    </row>
    <row r="97" spans="1:3">
      <c r="A97">
        <v>2011</v>
      </c>
      <c r="B97">
        <v>391.85</v>
      </c>
      <c r="C97">
        <v>0.12</v>
      </c>
    </row>
    <row r="98" spans="1:3">
      <c r="A98">
        <v>2012</v>
      </c>
      <c r="B98">
        <v>394.06</v>
      </c>
      <c r="C98">
        <v>0.12</v>
      </c>
    </row>
    <row r="99" spans="1:3">
      <c r="A99">
        <v>2013</v>
      </c>
      <c r="B99">
        <v>396.74</v>
      </c>
      <c r="C99">
        <v>0.12</v>
      </c>
    </row>
    <row r="100" spans="1:3">
      <c r="A100">
        <v>2014</v>
      </c>
      <c r="B100">
        <v>398.81</v>
      </c>
      <c r="C100">
        <v>0.12</v>
      </c>
    </row>
    <row r="101" spans="1:3">
      <c r="A101">
        <v>2015</v>
      </c>
      <c r="B101">
        <v>401.01</v>
      </c>
      <c r="C101">
        <v>0.12</v>
      </c>
    </row>
    <row r="102" spans="1:3">
      <c r="A102">
        <v>2016</v>
      </c>
      <c r="B102">
        <v>404.41</v>
      </c>
      <c r="C102">
        <v>0.12</v>
      </c>
    </row>
    <row r="103" spans="1:3">
      <c r="A103">
        <v>2017</v>
      </c>
      <c r="B103">
        <v>406.76</v>
      </c>
      <c r="C103">
        <v>0.12</v>
      </c>
    </row>
    <row r="104" spans="1:3">
      <c r="A104">
        <v>2018</v>
      </c>
      <c r="B104">
        <v>408.72</v>
      </c>
      <c r="C104">
        <v>0.12</v>
      </c>
    </row>
    <row r="105" spans="1:3">
      <c r="A105">
        <v>2019</v>
      </c>
      <c r="B105">
        <v>411.65</v>
      </c>
      <c r="C105">
        <v>0.12</v>
      </c>
    </row>
    <row r="106" spans="1:3">
      <c r="A106">
        <v>2020</v>
      </c>
      <c r="B106">
        <v>414.21</v>
      </c>
      <c r="C106">
        <v>0.12</v>
      </c>
    </row>
    <row r="107" spans="1:3">
      <c r="A107">
        <v>2021</v>
      </c>
      <c r="B107">
        <v>416.41</v>
      </c>
      <c r="C107">
        <v>0.12</v>
      </c>
    </row>
    <row r="108" spans="1:3">
      <c r="A108">
        <v>2022</v>
      </c>
      <c r="B108">
        <v>418.53</v>
      </c>
      <c r="C108">
        <v>0.12</v>
      </c>
    </row>
    <row r="109" spans="1:3">
      <c r="A109">
        <v>2023</v>
      </c>
      <c r="B109">
        <v>421.08</v>
      </c>
      <c r="C109">
        <v>0.12</v>
      </c>
    </row>
    <row r="110" spans="1:3">
      <c r="A110">
        <v>2024</v>
      </c>
      <c r="B110">
        <v>424.61</v>
      </c>
      <c r="C110">
        <v>0.12</v>
      </c>
    </row>
    <row r="111" spans="1:3">
      <c r="A111">
        <v>2025</v>
      </c>
      <c r="B111">
        <v>427.35</v>
      </c>
      <c r="C111">
        <v>0.12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56878-1CA0-40B0-8A91-E41A4C562BE8}">
  <dimension ref="A1:D1765"/>
  <sheetViews>
    <sheetView zoomScaleNormal="100" workbookViewId="0">
      <selection activeCell="G26" sqref="G26"/>
    </sheetView>
  </sheetViews>
  <sheetFormatPr defaultColWidth="8.5703125" defaultRowHeight="15"/>
  <sheetData>
    <row r="1" spans="1:4" ht="15" customHeight="1">
      <c r="A1" t="s">
        <v>63</v>
      </c>
      <c r="B1" t="s">
        <v>64</v>
      </c>
    </row>
    <row r="2" spans="1:4" ht="15" customHeight="1">
      <c r="A2" t="s">
        <v>65</v>
      </c>
      <c r="B2" s="15">
        <f>INDEX('GLB.Ts+dSST (4)'!$B$3:$M$149,MATCH(VALUE(RIGHT(A2,4)),'GLB.Ts+dSST (4)'!$A$3:$A$149,0),VALUE(LEFT(A2,FIND("/",A2)-1)))</f>
        <v>-0.19</v>
      </c>
      <c r="C2" s="15">
        <f t="shared" ref="C2:C65" si="0">B2+14</f>
        <v>13.81</v>
      </c>
      <c r="D2" s="15">
        <f t="shared" ref="D2:D65" si="1">C2*(9/5)+32</f>
        <v>56.858000000000004</v>
      </c>
    </row>
    <row r="3" spans="1:4" ht="15" customHeight="1">
      <c r="A3" t="s">
        <v>66</v>
      </c>
      <c r="B3" s="15">
        <f>INDEX('GLB.Ts+dSST (4)'!$B$3:$M$149,MATCH(VALUE(RIGHT(A3,4)),'GLB.Ts+dSST (4)'!$A$3:$A$149,0),VALUE(LEFT(A3,FIND("/",A3)-1)))</f>
        <v>-0.26</v>
      </c>
      <c r="C3" s="15">
        <f t="shared" si="0"/>
        <v>13.74</v>
      </c>
      <c r="D3" s="15">
        <f t="shared" si="1"/>
        <v>56.731999999999999</v>
      </c>
    </row>
    <row r="4" spans="1:4" ht="15" customHeight="1">
      <c r="A4" t="s">
        <v>67</v>
      </c>
      <c r="B4" s="15">
        <f>INDEX('GLB.Ts+dSST (4)'!$B$3:$M$149,MATCH(VALUE(RIGHT(A4,4)),'GLB.Ts+dSST (4)'!$A$3:$A$149,0),VALUE(LEFT(A4,FIND("/",A4)-1)))</f>
        <v>-0.1</v>
      </c>
      <c r="C4" s="15">
        <f t="shared" si="0"/>
        <v>13.9</v>
      </c>
      <c r="D4" s="15">
        <f t="shared" si="1"/>
        <v>57.019999999999996</v>
      </c>
    </row>
    <row r="5" spans="1:4" ht="15" customHeight="1">
      <c r="A5" t="s">
        <v>68</v>
      </c>
      <c r="B5" s="15">
        <f>INDEX('GLB.Ts+dSST (4)'!$B$3:$M$149,MATCH(VALUE(RIGHT(A5,4)),'GLB.Ts+dSST (4)'!$A$3:$A$149,0),VALUE(LEFT(A5,FIND("/",A5)-1)))</f>
        <v>-0.17</v>
      </c>
      <c r="C5" s="15">
        <f t="shared" si="0"/>
        <v>13.83</v>
      </c>
      <c r="D5" s="15">
        <f t="shared" si="1"/>
        <v>56.894000000000005</v>
      </c>
    </row>
    <row r="6" spans="1:4" ht="15" customHeight="1">
      <c r="A6" t="s">
        <v>69</v>
      </c>
      <c r="B6" s="15">
        <f>INDEX('GLB.Ts+dSST (4)'!$B$3:$M$149,MATCH(VALUE(RIGHT(A6,4)),'GLB.Ts+dSST (4)'!$A$3:$A$149,0),VALUE(LEFT(A6,FIND("/",A6)-1)))</f>
        <v>-0.11</v>
      </c>
      <c r="C6" s="15">
        <f t="shared" si="0"/>
        <v>13.89</v>
      </c>
      <c r="D6" s="15">
        <f t="shared" si="1"/>
        <v>57.002000000000002</v>
      </c>
    </row>
    <row r="7" spans="1:4" ht="15" customHeight="1">
      <c r="A7" t="s">
        <v>70</v>
      </c>
      <c r="B7" s="15">
        <f>INDEX('GLB.Ts+dSST (4)'!$B$3:$M$149,MATCH(VALUE(RIGHT(A7,4)),'GLB.Ts+dSST (4)'!$A$3:$A$149,0),VALUE(LEFT(A7,FIND("/",A7)-1)))</f>
        <v>-0.22</v>
      </c>
      <c r="C7" s="15">
        <f t="shared" si="0"/>
        <v>13.78</v>
      </c>
      <c r="D7" s="15">
        <f t="shared" si="1"/>
        <v>56.804000000000002</v>
      </c>
    </row>
    <row r="8" spans="1:4" ht="15" customHeight="1">
      <c r="A8" t="s">
        <v>71</v>
      </c>
      <c r="B8" s="15">
        <f>INDEX('GLB.Ts+dSST (4)'!$B$3:$M$149,MATCH(VALUE(RIGHT(A8,4)),'GLB.Ts+dSST (4)'!$A$3:$A$149,0),VALUE(LEFT(A8,FIND("/",A8)-1)))</f>
        <v>-0.19</v>
      </c>
      <c r="C8" s="15">
        <f t="shared" si="0"/>
        <v>13.81</v>
      </c>
      <c r="D8" s="15">
        <f t="shared" si="1"/>
        <v>56.858000000000004</v>
      </c>
    </row>
    <row r="9" spans="1:4" ht="15" customHeight="1">
      <c r="A9" t="s">
        <v>72</v>
      </c>
      <c r="B9" s="15">
        <f>INDEX('GLB.Ts+dSST (4)'!$B$3:$M$149,MATCH(VALUE(RIGHT(A9,4)),'GLB.Ts+dSST (4)'!$A$3:$A$149,0),VALUE(LEFT(A9,FIND("/",A9)-1)))</f>
        <v>-0.11</v>
      </c>
      <c r="C9" s="15">
        <f t="shared" si="0"/>
        <v>13.89</v>
      </c>
      <c r="D9" s="15">
        <f t="shared" si="1"/>
        <v>57.002000000000002</v>
      </c>
    </row>
    <row r="10" spans="1:4" ht="15" customHeight="1">
      <c r="A10" t="s">
        <v>73</v>
      </c>
      <c r="B10" s="15">
        <f>INDEX('GLB.Ts+dSST (4)'!$B$3:$M$149,MATCH(VALUE(RIGHT(A10,4)),'GLB.Ts+dSST (4)'!$A$3:$A$149,0),VALUE(LEFT(A10,FIND("/",A10)-1)))</f>
        <v>-0.15</v>
      </c>
      <c r="C10" s="15">
        <f t="shared" si="0"/>
        <v>13.85</v>
      </c>
      <c r="D10" s="15">
        <f t="shared" si="1"/>
        <v>56.93</v>
      </c>
    </row>
    <row r="11" spans="1:4" ht="15" customHeight="1">
      <c r="A11" t="s">
        <v>74</v>
      </c>
      <c r="B11" s="15">
        <f>INDEX('GLB.Ts+dSST (4)'!$B$3:$M$149,MATCH(VALUE(RIGHT(A11,4)),'GLB.Ts+dSST (4)'!$A$3:$A$149,0),VALUE(LEFT(A11,FIND("/",A11)-1)))</f>
        <v>-0.24</v>
      </c>
      <c r="C11" s="15">
        <f t="shared" si="0"/>
        <v>13.76</v>
      </c>
      <c r="D11" s="15">
        <f t="shared" si="1"/>
        <v>56.768000000000001</v>
      </c>
    </row>
    <row r="12" spans="1:4" ht="15" customHeight="1">
      <c r="A12" t="s">
        <v>75</v>
      </c>
      <c r="B12" s="15">
        <f>INDEX('GLB.Ts+dSST (4)'!$B$3:$M$149,MATCH(VALUE(RIGHT(A12,4)),'GLB.Ts+dSST (4)'!$A$3:$A$149,0),VALUE(LEFT(A12,FIND("/",A12)-1)))</f>
        <v>-0.23</v>
      </c>
      <c r="C12" s="15">
        <f t="shared" si="0"/>
        <v>13.77</v>
      </c>
      <c r="D12" s="15">
        <f t="shared" si="1"/>
        <v>56.786000000000001</v>
      </c>
    </row>
    <row r="13" spans="1:4" ht="15" customHeight="1">
      <c r="A13" t="s">
        <v>76</v>
      </c>
      <c r="B13" s="15">
        <f>INDEX('GLB.Ts+dSST (4)'!$B$3:$M$149,MATCH(VALUE(RIGHT(A13,4)),'GLB.Ts+dSST (4)'!$A$3:$A$149,0),VALUE(LEFT(A13,FIND("/",A13)-1)))</f>
        <v>-0.18</v>
      </c>
      <c r="C13" s="15">
        <f t="shared" si="0"/>
        <v>13.82</v>
      </c>
      <c r="D13" s="15">
        <f t="shared" si="1"/>
        <v>56.876000000000005</v>
      </c>
    </row>
    <row r="14" spans="1:4" ht="15" customHeight="1">
      <c r="A14" t="s">
        <v>77</v>
      </c>
      <c r="B14" s="15">
        <f>INDEX('GLB.Ts+dSST (4)'!$B$3:$M$149,MATCH(VALUE(RIGHT(A14,4)),'GLB.Ts+dSST (4)'!$A$3:$A$149,0),VALUE(LEFT(A14,FIND("/",A14)-1)))</f>
        <v>-0.2</v>
      </c>
      <c r="C14" s="15">
        <f t="shared" si="0"/>
        <v>13.8</v>
      </c>
      <c r="D14" s="15">
        <f t="shared" si="1"/>
        <v>56.84</v>
      </c>
    </row>
    <row r="15" spans="1:4" ht="15" customHeight="1">
      <c r="A15" t="s">
        <v>78</v>
      </c>
      <c r="B15" s="15">
        <f>INDEX('GLB.Ts+dSST (4)'!$B$3:$M$149,MATCH(VALUE(RIGHT(A15,4)),'GLB.Ts+dSST (4)'!$A$3:$A$149,0),VALUE(LEFT(A15,FIND("/",A15)-1)))</f>
        <v>-0.15</v>
      </c>
      <c r="C15" s="15">
        <f t="shared" si="0"/>
        <v>13.85</v>
      </c>
      <c r="D15" s="15">
        <f t="shared" si="1"/>
        <v>56.93</v>
      </c>
    </row>
    <row r="16" spans="1:4" ht="15" customHeight="1">
      <c r="A16" t="s">
        <v>79</v>
      </c>
      <c r="B16" s="15">
        <f>INDEX('GLB.Ts+dSST (4)'!$B$3:$M$149,MATCH(VALUE(RIGHT(A16,4)),'GLB.Ts+dSST (4)'!$A$3:$A$149,0),VALUE(LEFT(A16,FIND("/",A16)-1)))</f>
        <v>0.03</v>
      </c>
      <c r="C16" s="15">
        <f t="shared" si="0"/>
        <v>14.03</v>
      </c>
      <c r="D16" s="15">
        <f t="shared" si="1"/>
        <v>57.253999999999998</v>
      </c>
    </row>
    <row r="17" spans="1:4" ht="15" customHeight="1">
      <c r="A17" t="s">
        <v>80</v>
      </c>
      <c r="B17" s="15">
        <f>INDEX('GLB.Ts+dSST (4)'!$B$3:$M$149,MATCH(VALUE(RIGHT(A17,4)),'GLB.Ts+dSST (4)'!$A$3:$A$149,0),VALUE(LEFT(A17,FIND("/",A17)-1)))</f>
        <v>0.05</v>
      </c>
      <c r="C17" s="15">
        <f t="shared" si="0"/>
        <v>14.05</v>
      </c>
      <c r="D17" s="15">
        <f t="shared" si="1"/>
        <v>57.290000000000006</v>
      </c>
    </row>
    <row r="18" spans="1:4" ht="15" customHeight="1">
      <c r="A18" t="s">
        <v>81</v>
      </c>
      <c r="B18" s="15">
        <f>INDEX('GLB.Ts+dSST (4)'!$B$3:$M$149,MATCH(VALUE(RIGHT(A18,4)),'GLB.Ts+dSST (4)'!$A$3:$A$149,0),VALUE(LEFT(A18,FIND("/",A18)-1)))</f>
        <v>0.05</v>
      </c>
      <c r="C18" s="15">
        <f t="shared" si="0"/>
        <v>14.05</v>
      </c>
      <c r="D18" s="15">
        <f t="shared" si="1"/>
        <v>57.290000000000006</v>
      </c>
    </row>
    <row r="19" spans="1:4" ht="15" customHeight="1">
      <c r="A19" t="s">
        <v>82</v>
      </c>
      <c r="B19" s="15">
        <f>INDEX('GLB.Ts+dSST (4)'!$B$3:$M$149,MATCH(VALUE(RIGHT(A19,4)),'GLB.Ts+dSST (4)'!$A$3:$A$149,0),VALUE(LEFT(A19,FIND("/",A19)-1)))</f>
        <v>-0.19</v>
      </c>
      <c r="C19" s="15">
        <f t="shared" si="0"/>
        <v>13.81</v>
      </c>
      <c r="D19" s="15">
        <f t="shared" si="1"/>
        <v>56.858000000000004</v>
      </c>
    </row>
    <row r="20" spans="1:4" ht="15" customHeight="1">
      <c r="A20" t="s">
        <v>83</v>
      </c>
      <c r="B20" s="15">
        <f>INDEX('GLB.Ts+dSST (4)'!$B$3:$M$149,MATCH(VALUE(RIGHT(A20,4)),'GLB.Ts+dSST (4)'!$A$3:$A$149,0),VALUE(LEFT(A20,FIND("/",A20)-1)))</f>
        <v>0</v>
      </c>
      <c r="C20" s="15">
        <f t="shared" si="0"/>
        <v>14</v>
      </c>
      <c r="D20" s="15">
        <f t="shared" si="1"/>
        <v>57.2</v>
      </c>
    </row>
    <row r="21" spans="1:4" ht="15" customHeight="1">
      <c r="A21" t="s">
        <v>84</v>
      </c>
      <c r="B21" s="15">
        <f>INDEX('GLB.Ts+dSST (4)'!$B$3:$M$149,MATCH(VALUE(RIGHT(A21,4)),'GLB.Ts+dSST (4)'!$A$3:$A$149,0),VALUE(LEFT(A21,FIND("/",A21)-1)))</f>
        <v>-0.04</v>
      </c>
      <c r="C21" s="15">
        <f t="shared" si="0"/>
        <v>13.96</v>
      </c>
      <c r="D21" s="15">
        <f t="shared" si="1"/>
        <v>57.128</v>
      </c>
    </row>
    <row r="22" spans="1:4" ht="15" customHeight="1">
      <c r="A22" t="s">
        <v>85</v>
      </c>
      <c r="B22" s="15">
        <f>INDEX('GLB.Ts+dSST (4)'!$B$3:$M$149,MATCH(VALUE(RIGHT(A22,4)),'GLB.Ts+dSST (4)'!$A$3:$A$149,0),VALUE(LEFT(A22,FIND("/",A22)-1)))</f>
        <v>-0.16</v>
      </c>
      <c r="C22" s="15">
        <f t="shared" si="0"/>
        <v>13.84</v>
      </c>
      <c r="D22" s="15">
        <f t="shared" si="1"/>
        <v>56.911999999999999</v>
      </c>
    </row>
    <row r="23" spans="1:4" ht="15" customHeight="1">
      <c r="A23" t="s">
        <v>86</v>
      </c>
      <c r="B23" s="15">
        <f>INDEX('GLB.Ts+dSST (4)'!$B$3:$M$149,MATCH(VALUE(RIGHT(A23,4)),'GLB.Ts+dSST (4)'!$A$3:$A$149,0),VALUE(LEFT(A23,FIND("/",A23)-1)))</f>
        <v>-0.22</v>
      </c>
      <c r="C23" s="15">
        <f t="shared" si="0"/>
        <v>13.78</v>
      </c>
      <c r="D23" s="15">
        <f t="shared" si="1"/>
        <v>56.804000000000002</v>
      </c>
    </row>
    <row r="24" spans="1:4" ht="15" customHeight="1">
      <c r="A24" t="s">
        <v>87</v>
      </c>
      <c r="B24" s="15">
        <f>INDEX('GLB.Ts+dSST (4)'!$B$3:$M$149,MATCH(VALUE(RIGHT(A24,4)),'GLB.Ts+dSST (4)'!$A$3:$A$149,0),VALUE(LEFT(A24,FIND("/",A24)-1)))</f>
        <v>-0.19</v>
      </c>
      <c r="C24" s="15">
        <f t="shared" si="0"/>
        <v>13.81</v>
      </c>
      <c r="D24" s="15">
        <f t="shared" si="1"/>
        <v>56.858000000000004</v>
      </c>
    </row>
    <row r="25" spans="1:4" ht="15" customHeight="1">
      <c r="A25" t="s">
        <v>88</v>
      </c>
      <c r="B25" s="15">
        <f>INDEX('GLB.Ts+dSST (4)'!$B$3:$M$149,MATCH(VALUE(RIGHT(A25,4)),'GLB.Ts+dSST (4)'!$A$3:$A$149,0),VALUE(LEFT(A25,FIND("/",A25)-1)))</f>
        <v>-0.08</v>
      </c>
      <c r="C25" s="15">
        <f t="shared" si="0"/>
        <v>13.92</v>
      </c>
      <c r="D25" s="15">
        <f t="shared" si="1"/>
        <v>57.055999999999997</v>
      </c>
    </row>
    <row r="26" spans="1:4" ht="15" customHeight="1">
      <c r="A26" t="s">
        <v>89</v>
      </c>
      <c r="B26" s="15">
        <f>INDEX('GLB.Ts+dSST (4)'!$B$3:$M$149,MATCH(VALUE(RIGHT(A26,4)),'GLB.Ts+dSST (4)'!$A$3:$A$149,0),VALUE(LEFT(A26,FIND("/",A26)-1)))</f>
        <v>0.16</v>
      </c>
      <c r="C26" s="15">
        <f t="shared" si="0"/>
        <v>14.16</v>
      </c>
      <c r="D26" s="15">
        <f t="shared" si="1"/>
        <v>57.488</v>
      </c>
    </row>
    <row r="27" spans="1:4" ht="15" customHeight="1">
      <c r="A27" t="s">
        <v>90</v>
      </c>
      <c r="B27" s="15">
        <f>INDEX('GLB.Ts+dSST (4)'!$B$3:$M$149,MATCH(VALUE(RIGHT(A27,4)),'GLB.Ts+dSST (4)'!$A$3:$A$149,0),VALUE(LEFT(A27,FIND("/",A27)-1)))</f>
        <v>0.13</v>
      </c>
      <c r="C27" s="15">
        <f t="shared" si="0"/>
        <v>14.13</v>
      </c>
      <c r="D27" s="15">
        <f t="shared" si="1"/>
        <v>57.433999999999997</v>
      </c>
    </row>
    <row r="28" spans="1:4" ht="15" customHeight="1">
      <c r="A28" t="s">
        <v>91</v>
      </c>
      <c r="B28" s="15">
        <f>INDEX('GLB.Ts+dSST (4)'!$B$3:$M$149,MATCH(VALUE(RIGHT(A28,4)),'GLB.Ts+dSST (4)'!$A$3:$A$149,0),VALUE(LEFT(A28,FIND("/",A28)-1)))</f>
        <v>0.04</v>
      </c>
      <c r="C28" s="15">
        <f t="shared" si="0"/>
        <v>14.04</v>
      </c>
      <c r="D28" s="15">
        <f t="shared" si="1"/>
        <v>57.271999999999998</v>
      </c>
    </row>
    <row r="29" spans="1:4" ht="15" customHeight="1">
      <c r="A29" t="s">
        <v>92</v>
      </c>
      <c r="B29" s="15">
        <f>INDEX('GLB.Ts+dSST (4)'!$B$3:$M$149,MATCH(VALUE(RIGHT(A29,4)),'GLB.Ts+dSST (4)'!$A$3:$A$149,0),VALUE(LEFT(A29,FIND("/",A29)-1)))</f>
        <v>-0.16</v>
      </c>
      <c r="C29" s="15">
        <f t="shared" si="0"/>
        <v>13.84</v>
      </c>
      <c r="D29" s="15">
        <f t="shared" si="1"/>
        <v>56.911999999999999</v>
      </c>
    </row>
    <row r="30" spans="1:4" ht="15" customHeight="1">
      <c r="A30" t="s">
        <v>93</v>
      </c>
      <c r="B30" s="15">
        <f>INDEX('GLB.Ts+dSST (4)'!$B$3:$M$149,MATCH(VALUE(RIGHT(A30,4)),'GLB.Ts+dSST (4)'!$A$3:$A$149,0),VALUE(LEFT(A30,FIND("/",A30)-1)))</f>
        <v>-0.14000000000000001</v>
      </c>
      <c r="C30" s="15">
        <f t="shared" si="0"/>
        <v>13.86</v>
      </c>
      <c r="D30" s="15">
        <f t="shared" si="1"/>
        <v>56.948</v>
      </c>
    </row>
    <row r="31" spans="1:4" ht="15" customHeight="1">
      <c r="A31" t="s">
        <v>94</v>
      </c>
      <c r="B31" s="15">
        <f>INDEX('GLB.Ts+dSST (4)'!$B$3:$M$149,MATCH(VALUE(RIGHT(A31,4)),'GLB.Ts+dSST (4)'!$A$3:$A$149,0),VALUE(LEFT(A31,FIND("/",A31)-1)))</f>
        <v>-0.23</v>
      </c>
      <c r="C31" s="15">
        <f t="shared" si="0"/>
        <v>13.77</v>
      </c>
      <c r="D31" s="15">
        <f t="shared" si="1"/>
        <v>56.786000000000001</v>
      </c>
    </row>
    <row r="32" spans="1:4" ht="15" customHeight="1">
      <c r="A32" t="s">
        <v>95</v>
      </c>
      <c r="B32" s="15">
        <f>INDEX('GLB.Ts+dSST (4)'!$B$3:$M$149,MATCH(VALUE(RIGHT(A32,4)),'GLB.Ts+dSST (4)'!$A$3:$A$149,0),VALUE(LEFT(A32,FIND("/",A32)-1)))</f>
        <v>-0.17</v>
      </c>
      <c r="C32" s="15">
        <f t="shared" si="0"/>
        <v>13.83</v>
      </c>
      <c r="D32" s="15">
        <f t="shared" si="1"/>
        <v>56.894000000000005</v>
      </c>
    </row>
    <row r="33" spans="1:4" ht="15" customHeight="1">
      <c r="A33" t="s">
        <v>96</v>
      </c>
      <c r="B33" s="15">
        <f>INDEX('GLB.Ts+dSST (4)'!$B$3:$M$149,MATCH(VALUE(RIGHT(A33,4)),'GLB.Ts+dSST (4)'!$A$3:$A$149,0),VALUE(LEFT(A33,FIND("/",A33)-1)))</f>
        <v>-0.08</v>
      </c>
      <c r="C33" s="15">
        <f t="shared" si="0"/>
        <v>13.92</v>
      </c>
      <c r="D33" s="15">
        <f t="shared" si="1"/>
        <v>57.055999999999997</v>
      </c>
    </row>
    <row r="34" spans="1:4" ht="15" customHeight="1">
      <c r="A34" t="s">
        <v>97</v>
      </c>
      <c r="B34" s="15">
        <f>INDEX('GLB.Ts+dSST (4)'!$B$3:$M$149,MATCH(VALUE(RIGHT(A34,4)),'GLB.Ts+dSST (4)'!$A$3:$A$149,0),VALUE(LEFT(A34,FIND("/",A34)-1)))</f>
        <v>-0.15</v>
      </c>
      <c r="C34" s="15">
        <f t="shared" si="0"/>
        <v>13.85</v>
      </c>
      <c r="D34" s="15">
        <f t="shared" si="1"/>
        <v>56.93</v>
      </c>
    </row>
    <row r="35" spans="1:4" ht="15" customHeight="1">
      <c r="A35" t="s">
        <v>98</v>
      </c>
      <c r="B35" s="15">
        <f>INDEX('GLB.Ts+dSST (4)'!$B$3:$M$149,MATCH(VALUE(RIGHT(A35,4)),'GLB.Ts+dSST (4)'!$A$3:$A$149,0),VALUE(LEFT(A35,FIND("/",A35)-1)))</f>
        <v>-0.24</v>
      </c>
      <c r="C35" s="15">
        <f t="shared" si="0"/>
        <v>13.76</v>
      </c>
      <c r="D35" s="15">
        <f t="shared" si="1"/>
        <v>56.768000000000001</v>
      </c>
    </row>
    <row r="36" spans="1:4" ht="15" customHeight="1">
      <c r="A36" t="s">
        <v>99</v>
      </c>
      <c r="B36" s="15">
        <f>INDEX('GLB.Ts+dSST (4)'!$B$3:$M$149,MATCH(VALUE(RIGHT(A36,4)),'GLB.Ts+dSST (4)'!$A$3:$A$149,0),VALUE(LEFT(A36,FIND("/",A36)-1)))</f>
        <v>-0.17</v>
      </c>
      <c r="C36" s="15">
        <f t="shared" si="0"/>
        <v>13.83</v>
      </c>
      <c r="D36" s="15">
        <f t="shared" si="1"/>
        <v>56.894000000000005</v>
      </c>
    </row>
    <row r="37" spans="1:4" ht="15" customHeight="1">
      <c r="A37" t="s">
        <v>100</v>
      </c>
      <c r="B37" s="15">
        <f>INDEX('GLB.Ts+dSST (4)'!$B$3:$M$149,MATCH(VALUE(RIGHT(A37,4)),'GLB.Ts+dSST (4)'!$A$3:$A$149,0),VALUE(LEFT(A37,FIND("/",A37)-1)))</f>
        <v>-0.37</v>
      </c>
      <c r="C37" s="15">
        <f t="shared" si="0"/>
        <v>13.63</v>
      </c>
      <c r="D37" s="15">
        <f t="shared" si="1"/>
        <v>56.534000000000006</v>
      </c>
    </row>
    <row r="38" spans="1:4" ht="15" customHeight="1">
      <c r="A38" t="s">
        <v>101</v>
      </c>
      <c r="B38" s="15">
        <f>INDEX('GLB.Ts+dSST (4)'!$B$3:$M$149,MATCH(VALUE(RIGHT(A38,4)),'GLB.Ts+dSST (4)'!$A$3:$A$149,0),VALUE(LEFT(A38,FIND("/",A38)-1)))</f>
        <v>-0.3</v>
      </c>
      <c r="C38" s="15">
        <f t="shared" si="0"/>
        <v>13.7</v>
      </c>
      <c r="D38" s="15">
        <f t="shared" si="1"/>
        <v>56.66</v>
      </c>
    </row>
    <row r="39" spans="1:4" ht="15" customHeight="1">
      <c r="A39" t="s">
        <v>102</v>
      </c>
      <c r="B39" s="15">
        <f>INDEX('GLB.Ts+dSST (4)'!$B$3:$M$149,MATCH(VALUE(RIGHT(A39,4)),'GLB.Ts+dSST (4)'!$A$3:$A$149,0),VALUE(LEFT(A39,FIND("/",A39)-1)))</f>
        <v>-0.37</v>
      </c>
      <c r="C39" s="15">
        <f t="shared" si="0"/>
        <v>13.63</v>
      </c>
      <c r="D39" s="15">
        <f t="shared" si="1"/>
        <v>56.534000000000006</v>
      </c>
    </row>
    <row r="40" spans="1:4" ht="15" customHeight="1">
      <c r="A40" t="s">
        <v>103</v>
      </c>
      <c r="B40" s="15">
        <f>INDEX('GLB.Ts+dSST (4)'!$B$3:$M$149,MATCH(VALUE(RIGHT(A40,4)),'GLB.Ts+dSST (4)'!$A$3:$A$149,0),VALUE(LEFT(A40,FIND("/",A40)-1)))</f>
        <v>-0.13</v>
      </c>
      <c r="C40" s="15">
        <f t="shared" si="0"/>
        <v>13.87</v>
      </c>
      <c r="D40" s="15">
        <f t="shared" si="1"/>
        <v>56.965999999999994</v>
      </c>
    </row>
    <row r="41" spans="1:4" ht="15" customHeight="1">
      <c r="A41" t="s">
        <v>104</v>
      </c>
      <c r="B41" s="15">
        <f>INDEX('GLB.Ts+dSST (4)'!$B$3:$M$149,MATCH(VALUE(RIGHT(A41,4)),'GLB.Ts+dSST (4)'!$A$3:$A$149,0),VALUE(LEFT(A41,FIND("/",A41)-1)))</f>
        <v>-0.19</v>
      </c>
      <c r="C41" s="15">
        <f t="shared" si="0"/>
        <v>13.81</v>
      </c>
      <c r="D41" s="15">
        <f t="shared" si="1"/>
        <v>56.858000000000004</v>
      </c>
    </row>
    <row r="42" spans="1:4" ht="15" customHeight="1">
      <c r="A42" t="s">
        <v>105</v>
      </c>
      <c r="B42" s="15">
        <f>INDEX('GLB.Ts+dSST (4)'!$B$3:$M$149,MATCH(VALUE(RIGHT(A42,4)),'GLB.Ts+dSST (4)'!$A$3:$A$149,0),VALUE(LEFT(A42,FIND("/",A42)-1)))</f>
        <v>-0.18</v>
      </c>
      <c r="C42" s="15">
        <f t="shared" si="0"/>
        <v>13.82</v>
      </c>
      <c r="D42" s="15">
        <f t="shared" si="1"/>
        <v>56.876000000000005</v>
      </c>
    </row>
    <row r="43" spans="1:4" ht="15" customHeight="1">
      <c r="A43" t="s">
        <v>106</v>
      </c>
      <c r="B43" s="15">
        <f>INDEX('GLB.Ts+dSST (4)'!$B$3:$M$149,MATCH(VALUE(RIGHT(A43,4)),'GLB.Ts+dSST (4)'!$A$3:$A$149,0),VALUE(LEFT(A43,FIND("/",A43)-1)))</f>
        <v>-7.0000000000000007E-2</v>
      </c>
      <c r="C43" s="15">
        <f t="shared" si="0"/>
        <v>13.93</v>
      </c>
      <c r="D43" s="15">
        <f t="shared" si="1"/>
        <v>57.073999999999998</v>
      </c>
    </row>
    <row r="44" spans="1:4" ht="15" customHeight="1">
      <c r="A44" t="s">
        <v>107</v>
      </c>
      <c r="B44" s="15">
        <f>INDEX('GLB.Ts+dSST (4)'!$B$3:$M$149,MATCH(VALUE(RIGHT(A44,4)),'GLB.Ts+dSST (4)'!$A$3:$A$149,0),VALUE(LEFT(A44,FIND("/",A44)-1)))</f>
        <v>-0.08</v>
      </c>
      <c r="C44" s="15">
        <f t="shared" si="0"/>
        <v>13.92</v>
      </c>
      <c r="D44" s="15">
        <f t="shared" si="1"/>
        <v>57.055999999999997</v>
      </c>
    </row>
    <row r="45" spans="1:4" ht="15" customHeight="1">
      <c r="A45" t="s">
        <v>108</v>
      </c>
      <c r="B45" s="15">
        <f>INDEX('GLB.Ts+dSST (4)'!$B$3:$M$149,MATCH(VALUE(RIGHT(A45,4)),'GLB.Ts+dSST (4)'!$A$3:$A$149,0),VALUE(LEFT(A45,FIND("/",A45)-1)))</f>
        <v>-0.14000000000000001</v>
      </c>
      <c r="C45" s="15">
        <f t="shared" si="0"/>
        <v>13.86</v>
      </c>
      <c r="D45" s="15">
        <f t="shared" si="1"/>
        <v>56.948</v>
      </c>
    </row>
    <row r="46" spans="1:4" ht="15" customHeight="1">
      <c r="A46" t="s">
        <v>109</v>
      </c>
      <c r="B46" s="15">
        <f>INDEX('GLB.Ts+dSST (4)'!$B$3:$M$149,MATCH(VALUE(RIGHT(A46,4)),'GLB.Ts+dSST (4)'!$A$3:$A$149,0),VALUE(LEFT(A46,FIND("/",A46)-1)))</f>
        <v>-0.22</v>
      </c>
      <c r="C46" s="15">
        <f t="shared" si="0"/>
        <v>13.78</v>
      </c>
      <c r="D46" s="15">
        <f t="shared" si="1"/>
        <v>56.804000000000002</v>
      </c>
    </row>
    <row r="47" spans="1:4" ht="15" customHeight="1">
      <c r="A47" t="s">
        <v>110</v>
      </c>
      <c r="B47" s="15">
        <f>INDEX('GLB.Ts+dSST (4)'!$B$3:$M$149,MATCH(VALUE(RIGHT(A47,4)),'GLB.Ts+dSST (4)'!$A$3:$A$149,0),VALUE(LEFT(A47,FIND("/",A47)-1)))</f>
        <v>-0.11</v>
      </c>
      <c r="C47" s="15">
        <f t="shared" si="0"/>
        <v>13.89</v>
      </c>
      <c r="D47" s="15">
        <f t="shared" si="1"/>
        <v>57.002000000000002</v>
      </c>
    </row>
    <row r="48" spans="1:4" ht="15" customHeight="1">
      <c r="A48" t="s">
        <v>111</v>
      </c>
      <c r="B48" s="15">
        <f>INDEX('GLB.Ts+dSST (4)'!$B$3:$M$149,MATCH(VALUE(RIGHT(A48,4)),'GLB.Ts+dSST (4)'!$A$3:$A$149,0),VALUE(LEFT(A48,FIND("/",A48)-1)))</f>
        <v>-0.25</v>
      </c>
      <c r="C48" s="15">
        <f t="shared" si="0"/>
        <v>13.75</v>
      </c>
      <c r="D48" s="15">
        <f t="shared" si="1"/>
        <v>56.75</v>
      </c>
    </row>
    <row r="49" spans="1:4" ht="15" customHeight="1">
      <c r="A49" t="s">
        <v>112</v>
      </c>
      <c r="B49" s="15">
        <f>INDEX('GLB.Ts+dSST (4)'!$B$3:$M$149,MATCH(VALUE(RIGHT(A49,4)),'GLB.Ts+dSST (4)'!$A$3:$A$149,0),VALUE(LEFT(A49,FIND("/",A49)-1)))</f>
        <v>-0.12</v>
      </c>
      <c r="C49" s="15">
        <f t="shared" si="0"/>
        <v>13.88</v>
      </c>
      <c r="D49" s="15">
        <f t="shared" si="1"/>
        <v>56.984000000000002</v>
      </c>
    </row>
    <row r="50" spans="1:4" ht="15" customHeight="1">
      <c r="A50" t="s">
        <v>113</v>
      </c>
      <c r="B50" s="15">
        <f>INDEX('GLB.Ts+dSST (4)'!$B$3:$M$149,MATCH(VALUE(RIGHT(A50,4)),'GLB.Ts+dSST (4)'!$A$3:$A$149,0),VALUE(LEFT(A50,FIND("/",A50)-1)))</f>
        <v>-0.13</v>
      </c>
      <c r="C50" s="15">
        <f t="shared" si="0"/>
        <v>13.87</v>
      </c>
      <c r="D50" s="15">
        <f t="shared" si="1"/>
        <v>56.965999999999994</v>
      </c>
    </row>
    <row r="51" spans="1:4" ht="15" customHeight="1">
      <c r="A51" t="s">
        <v>114</v>
      </c>
      <c r="B51" s="15">
        <f>INDEX('GLB.Ts+dSST (4)'!$B$3:$M$149,MATCH(VALUE(RIGHT(A51,4)),'GLB.Ts+dSST (4)'!$A$3:$A$149,0),VALUE(LEFT(A51,FIND("/",A51)-1)))</f>
        <v>-0.08</v>
      </c>
      <c r="C51" s="15">
        <f t="shared" si="0"/>
        <v>13.92</v>
      </c>
      <c r="D51" s="15">
        <f t="shared" si="1"/>
        <v>57.055999999999997</v>
      </c>
    </row>
    <row r="52" spans="1:4" ht="15" customHeight="1">
      <c r="A52" t="s">
        <v>115</v>
      </c>
      <c r="B52" s="15">
        <f>INDEX('GLB.Ts+dSST (4)'!$B$3:$M$149,MATCH(VALUE(RIGHT(A52,4)),'GLB.Ts+dSST (4)'!$A$3:$A$149,0),VALUE(LEFT(A52,FIND("/",A52)-1)))</f>
        <v>-0.36</v>
      </c>
      <c r="C52" s="15">
        <f t="shared" si="0"/>
        <v>13.64</v>
      </c>
      <c r="D52" s="15">
        <f t="shared" si="1"/>
        <v>56.552000000000007</v>
      </c>
    </row>
    <row r="53" spans="1:4" ht="15" customHeight="1">
      <c r="A53" t="s">
        <v>116</v>
      </c>
      <c r="B53" s="15">
        <f>INDEX('GLB.Ts+dSST (4)'!$B$3:$M$149,MATCH(VALUE(RIGHT(A53,4)),'GLB.Ts+dSST (4)'!$A$3:$A$149,0),VALUE(LEFT(A53,FIND("/",A53)-1)))</f>
        <v>-0.4</v>
      </c>
      <c r="C53" s="15">
        <f t="shared" si="0"/>
        <v>13.6</v>
      </c>
      <c r="D53" s="15">
        <f t="shared" si="1"/>
        <v>56.480000000000004</v>
      </c>
    </row>
    <row r="54" spans="1:4" ht="15" customHeight="1">
      <c r="A54" t="s">
        <v>117</v>
      </c>
      <c r="B54" s="15">
        <f>INDEX('GLB.Ts+dSST (4)'!$B$3:$M$149,MATCH(VALUE(RIGHT(A54,4)),'GLB.Ts+dSST (4)'!$A$3:$A$149,0),VALUE(LEFT(A54,FIND("/",A54)-1)))</f>
        <v>-0.34</v>
      </c>
      <c r="C54" s="15">
        <f t="shared" si="0"/>
        <v>13.66</v>
      </c>
      <c r="D54" s="15">
        <f t="shared" si="1"/>
        <v>56.588000000000001</v>
      </c>
    </row>
    <row r="55" spans="1:4" ht="15" customHeight="1">
      <c r="A55" t="s">
        <v>118</v>
      </c>
      <c r="B55" s="15">
        <f>INDEX('GLB.Ts+dSST (4)'!$B$3:$M$149,MATCH(VALUE(RIGHT(A55,4)),'GLB.Ts+dSST (4)'!$A$3:$A$149,0),VALUE(LEFT(A55,FIND("/",A55)-1)))</f>
        <v>-0.35</v>
      </c>
      <c r="C55" s="15">
        <f t="shared" si="0"/>
        <v>13.65</v>
      </c>
      <c r="D55" s="15">
        <f t="shared" si="1"/>
        <v>56.57</v>
      </c>
    </row>
    <row r="56" spans="1:4" ht="15" customHeight="1">
      <c r="A56" t="s">
        <v>119</v>
      </c>
      <c r="B56" s="15">
        <f>INDEX('GLB.Ts+dSST (4)'!$B$3:$M$149,MATCH(VALUE(RIGHT(A56,4)),'GLB.Ts+dSST (4)'!$A$3:$A$149,0),VALUE(LEFT(A56,FIND("/",A56)-1)))</f>
        <v>-0.31</v>
      </c>
      <c r="C56" s="15">
        <f t="shared" si="0"/>
        <v>13.69</v>
      </c>
      <c r="D56" s="15">
        <f t="shared" si="1"/>
        <v>56.641999999999996</v>
      </c>
    </row>
    <row r="57" spans="1:4" ht="15" customHeight="1">
      <c r="A57" t="s">
        <v>120</v>
      </c>
      <c r="B57" s="15">
        <f>INDEX('GLB.Ts+dSST (4)'!$B$3:$M$149,MATCH(VALUE(RIGHT(A57,4)),'GLB.Ts+dSST (4)'!$A$3:$A$149,0),VALUE(LEFT(A57,FIND("/",A57)-1)))</f>
        <v>-0.28000000000000003</v>
      </c>
      <c r="C57" s="15">
        <f t="shared" si="0"/>
        <v>13.72</v>
      </c>
      <c r="D57" s="15">
        <f t="shared" si="1"/>
        <v>56.695999999999998</v>
      </c>
    </row>
    <row r="58" spans="1:4" ht="15" customHeight="1">
      <c r="A58" t="s">
        <v>121</v>
      </c>
      <c r="B58" s="15">
        <f>INDEX('GLB.Ts+dSST (4)'!$B$3:$M$149,MATCH(VALUE(RIGHT(A58,4)),'GLB.Ts+dSST (4)'!$A$3:$A$149,0),VALUE(LEFT(A58,FIND("/",A58)-1)))</f>
        <v>-0.27</v>
      </c>
      <c r="C58" s="15">
        <f t="shared" si="0"/>
        <v>13.73</v>
      </c>
      <c r="D58" s="15">
        <f t="shared" si="1"/>
        <v>56.713999999999999</v>
      </c>
    </row>
    <row r="59" spans="1:4" ht="15" customHeight="1">
      <c r="A59" t="s">
        <v>122</v>
      </c>
      <c r="B59" s="15">
        <f>INDEX('GLB.Ts+dSST (4)'!$B$3:$M$149,MATCH(VALUE(RIGHT(A59,4)),'GLB.Ts+dSST (4)'!$A$3:$A$149,0),VALUE(LEFT(A59,FIND("/",A59)-1)))</f>
        <v>-0.25</v>
      </c>
      <c r="C59" s="15">
        <f t="shared" si="0"/>
        <v>13.75</v>
      </c>
      <c r="D59" s="15">
        <f t="shared" si="1"/>
        <v>56.75</v>
      </c>
    </row>
    <row r="60" spans="1:4" ht="15" customHeight="1">
      <c r="A60" t="s">
        <v>123</v>
      </c>
      <c r="B60" s="15">
        <f>INDEX('GLB.Ts+dSST (4)'!$B$3:$M$149,MATCH(VALUE(RIGHT(A60,4)),'GLB.Ts+dSST (4)'!$A$3:$A$149,0),VALUE(LEFT(A60,FIND("/",A60)-1)))</f>
        <v>-0.34</v>
      </c>
      <c r="C60" s="15">
        <f t="shared" si="0"/>
        <v>13.66</v>
      </c>
      <c r="D60" s="15">
        <f t="shared" si="1"/>
        <v>56.588000000000001</v>
      </c>
    </row>
    <row r="61" spans="1:4" ht="15" customHeight="1">
      <c r="A61" t="s">
        <v>124</v>
      </c>
      <c r="B61" s="15">
        <f>INDEX('GLB.Ts+dSST (4)'!$B$3:$M$149,MATCH(VALUE(RIGHT(A61,4)),'GLB.Ts+dSST (4)'!$A$3:$A$149,0),VALUE(LEFT(A61,FIND("/",A61)-1)))</f>
        <v>-0.31</v>
      </c>
      <c r="C61" s="15">
        <f t="shared" si="0"/>
        <v>13.69</v>
      </c>
      <c r="D61" s="15">
        <f t="shared" si="1"/>
        <v>56.641999999999996</v>
      </c>
    </row>
    <row r="62" spans="1:4" ht="15" customHeight="1">
      <c r="A62" t="s">
        <v>125</v>
      </c>
      <c r="B62" s="15">
        <f>INDEX('GLB.Ts+dSST (4)'!$B$3:$M$149,MATCH(VALUE(RIGHT(A62,4)),'GLB.Ts+dSST (4)'!$A$3:$A$149,0),VALUE(LEFT(A62,FIND("/",A62)-1)))</f>
        <v>-0.59</v>
      </c>
      <c r="C62" s="15">
        <f t="shared" si="0"/>
        <v>13.41</v>
      </c>
      <c r="D62" s="15">
        <f t="shared" si="1"/>
        <v>56.138000000000005</v>
      </c>
    </row>
    <row r="63" spans="1:4" ht="15" customHeight="1">
      <c r="A63" t="s">
        <v>126</v>
      </c>
      <c r="B63" s="15">
        <f>INDEX('GLB.Ts+dSST (4)'!$B$3:$M$149,MATCH(VALUE(RIGHT(A63,4)),'GLB.Ts+dSST (4)'!$A$3:$A$149,0),VALUE(LEFT(A63,FIND("/",A63)-1)))</f>
        <v>-0.34</v>
      </c>
      <c r="C63" s="15">
        <f t="shared" si="0"/>
        <v>13.66</v>
      </c>
      <c r="D63" s="15">
        <f t="shared" si="1"/>
        <v>56.588000000000001</v>
      </c>
    </row>
    <row r="64" spans="1:4" ht="15" customHeight="1">
      <c r="A64" t="s">
        <v>127</v>
      </c>
      <c r="B64" s="15">
        <f>INDEX('GLB.Ts+dSST (4)'!$B$3:$M$149,MATCH(VALUE(RIGHT(A64,4)),'GLB.Ts+dSST (4)'!$A$3:$A$149,0),VALUE(LEFT(A64,FIND("/",A64)-1)))</f>
        <v>-0.27</v>
      </c>
      <c r="C64" s="15">
        <f t="shared" si="0"/>
        <v>13.73</v>
      </c>
      <c r="D64" s="15">
        <f t="shared" si="1"/>
        <v>56.713999999999999</v>
      </c>
    </row>
    <row r="65" spans="1:4" ht="15" customHeight="1">
      <c r="A65" t="s">
        <v>128</v>
      </c>
      <c r="B65" s="15">
        <f>INDEX('GLB.Ts+dSST (4)'!$B$3:$M$149,MATCH(VALUE(RIGHT(A65,4)),'GLB.Ts+dSST (4)'!$A$3:$A$149,0),VALUE(LEFT(A65,FIND("/",A65)-1)))</f>
        <v>-0.42</v>
      </c>
      <c r="C65" s="15">
        <f t="shared" si="0"/>
        <v>13.58</v>
      </c>
      <c r="D65" s="15">
        <f t="shared" si="1"/>
        <v>56.444000000000003</v>
      </c>
    </row>
    <row r="66" spans="1:4" ht="15" customHeight="1">
      <c r="A66" t="s">
        <v>129</v>
      </c>
      <c r="B66" s="15">
        <f>INDEX('GLB.Ts+dSST (4)'!$B$3:$M$149,MATCH(VALUE(RIGHT(A66,4)),'GLB.Ts+dSST (4)'!$A$3:$A$149,0),VALUE(LEFT(A66,FIND("/",A66)-1)))</f>
        <v>-0.46</v>
      </c>
      <c r="C66" s="15">
        <f t="shared" ref="C66:C129" si="2">B66+14</f>
        <v>13.54</v>
      </c>
      <c r="D66" s="15">
        <f t="shared" ref="D66:D129" si="3">C66*(9/5)+32</f>
        <v>56.372</v>
      </c>
    </row>
    <row r="67" spans="1:4" ht="15" customHeight="1">
      <c r="A67" t="s">
        <v>130</v>
      </c>
      <c r="B67" s="15">
        <f>INDEX('GLB.Ts+dSST (4)'!$B$3:$M$149,MATCH(VALUE(RIGHT(A67,4)),'GLB.Ts+dSST (4)'!$A$3:$A$149,0),VALUE(LEFT(A67,FIND("/",A67)-1)))</f>
        <v>-0.44</v>
      </c>
      <c r="C67" s="15">
        <f t="shared" si="2"/>
        <v>13.56</v>
      </c>
      <c r="D67" s="15">
        <f t="shared" si="3"/>
        <v>56.408000000000001</v>
      </c>
    </row>
    <row r="68" spans="1:4" ht="15" customHeight="1">
      <c r="A68" t="s">
        <v>131</v>
      </c>
      <c r="B68" s="15">
        <f>INDEX('GLB.Ts+dSST (4)'!$B$3:$M$149,MATCH(VALUE(RIGHT(A68,4)),'GLB.Ts+dSST (4)'!$A$3:$A$149,0),VALUE(LEFT(A68,FIND("/",A68)-1)))</f>
        <v>-0.34</v>
      </c>
      <c r="C68" s="15">
        <f t="shared" si="2"/>
        <v>13.66</v>
      </c>
      <c r="D68" s="15">
        <f t="shared" si="3"/>
        <v>56.588000000000001</v>
      </c>
    </row>
    <row r="69" spans="1:4" ht="15" customHeight="1">
      <c r="A69" t="s">
        <v>132</v>
      </c>
      <c r="B69" s="15">
        <f>INDEX('GLB.Ts+dSST (4)'!$B$3:$M$149,MATCH(VALUE(RIGHT(A69,4)),'GLB.Ts+dSST (4)'!$A$3:$A$149,0),VALUE(LEFT(A69,FIND("/",A69)-1)))</f>
        <v>-0.32</v>
      </c>
      <c r="C69" s="15">
        <f t="shared" si="2"/>
        <v>13.68</v>
      </c>
      <c r="D69" s="15">
        <f t="shared" si="3"/>
        <v>56.623999999999995</v>
      </c>
    </row>
    <row r="70" spans="1:4" ht="15" customHeight="1">
      <c r="A70" t="s">
        <v>133</v>
      </c>
      <c r="B70" s="15">
        <f>INDEX('GLB.Ts+dSST (4)'!$B$3:$M$149,MATCH(VALUE(RIGHT(A70,4)),'GLB.Ts+dSST (4)'!$A$3:$A$149,0),VALUE(LEFT(A70,FIND("/",A70)-1)))</f>
        <v>-0.28999999999999998</v>
      </c>
      <c r="C70" s="15">
        <f t="shared" si="2"/>
        <v>13.71</v>
      </c>
      <c r="D70" s="15">
        <f t="shared" si="3"/>
        <v>56.677999999999997</v>
      </c>
    </row>
    <row r="71" spans="1:4" ht="15" customHeight="1">
      <c r="A71" t="s">
        <v>134</v>
      </c>
      <c r="B71" s="15">
        <f>INDEX('GLB.Ts+dSST (4)'!$B$3:$M$149,MATCH(VALUE(RIGHT(A71,4)),'GLB.Ts+dSST (4)'!$A$3:$A$149,0),VALUE(LEFT(A71,FIND("/",A71)-1)))</f>
        <v>-0.24</v>
      </c>
      <c r="C71" s="15">
        <f t="shared" si="2"/>
        <v>13.76</v>
      </c>
      <c r="D71" s="15">
        <f t="shared" si="3"/>
        <v>56.768000000000001</v>
      </c>
    </row>
    <row r="72" spans="1:4" ht="15" customHeight="1">
      <c r="A72" t="s">
        <v>135</v>
      </c>
      <c r="B72" s="15">
        <f>INDEX('GLB.Ts+dSST (4)'!$B$3:$M$149,MATCH(VALUE(RIGHT(A72,4)),'GLB.Ts+dSST (4)'!$A$3:$A$149,0),VALUE(LEFT(A72,FIND("/",A72)-1)))</f>
        <v>-0.25</v>
      </c>
      <c r="C72" s="15">
        <f t="shared" si="2"/>
        <v>13.75</v>
      </c>
      <c r="D72" s="15">
        <f t="shared" si="3"/>
        <v>56.75</v>
      </c>
    </row>
    <row r="73" spans="1:4" ht="15" customHeight="1">
      <c r="A73" t="s">
        <v>136</v>
      </c>
      <c r="B73" s="15">
        <f>INDEX('GLB.Ts+dSST (4)'!$B$3:$M$149,MATCH(VALUE(RIGHT(A73,4)),'GLB.Ts+dSST (4)'!$A$3:$A$149,0),VALUE(LEFT(A73,FIND("/",A73)-1)))</f>
        <v>-0.11</v>
      </c>
      <c r="C73" s="15">
        <f t="shared" si="2"/>
        <v>13.89</v>
      </c>
      <c r="D73" s="15">
        <f t="shared" si="3"/>
        <v>57.002000000000002</v>
      </c>
    </row>
    <row r="74" spans="1:4" ht="15" customHeight="1">
      <c r="A74" t="s">
        <v>137</v>
      </c>
      <c r="B74" s="15">
        <f>INDEX('GLB.Ts+dSST (4)'!$B$3:$M$149,MATCH(VALUE(RIGHT(A74,4)),'GLB.Ts+dSST (4)'!$A$3:$A$149,0),VALUE(LEFT(A74,FIND("/",A74)-1)))</f>
        <v>-0.45</v>
      </c>
      <c r="C74" s="15">
        <f t="shared" si="2"/>
        <v>13.55</v>
      </c>
      <c r="D74" s="15">
        <f t="shared" si="3"/>
        <v>56.39</v>
      </c>
    </row>
    <row r="75" spans="1:4" ht="15" customHeight="1">
      <c r="A75" t="s">
        <v>138</v>
      </c>
      <c r="B75" s="15">
        <f>INDEX('GLB.Ts+dSST (4)'!$B$3:$M$149,MATCH(VALUE(RIGHT(A75,4)),'GLB.Ts+dSST (4)'!$A$3:$A$149,0),VALUE(LEFT(A75,FIND("/",A75)-1)))</f>
        <v>-0.51</v>
      </c>
      <c r="C75" s="15">
        <f t="shared" si="2"/>
        <v>13.49</v>
      </c>
      <c r="D75" s="15">
        <f t="shared" si="3"/>
        <v>56.281999999999996</v>
      </c>
    </row>
    <row r="76" spans="1:4" ht="15" customHeight="1">
      <c r="A76" t="s">
        <v>139</v>
      </c>
      <c r="B76" s="15">
        <f>INDEX('GLB.Ts+dSST (4)'!$B$3:$M$149,MATCH(VALUE(RIGHT(A76,4)),'GLB.Ts+dSST (4)'!$A$3:$A$149,0),VALUE(LEFT(A76,FIND("/",A76)-1)))</f>
        <v>-0.44</v>
      </c>
      <c r="C76" s="15">
        <f t="shared" si="2"/>
        <v>13.56</v>
      </c>
      <c r="D76" s="15">
        <f t="shared" si="3"/>
        <v>56.408000000000001</v>
      </c>
    </row>
    <row r="77" spans="1:4" ht="15" customHeight="1">
      <c r="A77" t="s">
        <v>140</v>
      </c>
      <c r="B77" s="15">
        <f>INDEX('GLB.Ts+dSST (4)'!$B$3:$M$149,MATCH(VALUE(RIGHT(A77,4)),'GLB.Ts+dSST (4)'!$A$3:$A$149,0),VALUE(LEFT(A77,FIND("/",A77)-1)))</f>
        <v>-0.28999999999999998</v>
      </c>
      <c r="C77" s="15">
        <f t="shared" si="2"/>
        <v>13.71</v>
      </c>
      <c r="D77" s="15">
        <f t="shared" si="3"/>
        <v>56.677999999999997</v>
      </c>
    </row>
    <row r="78" spans="1:4" ht="15" customHeight="1">
      <c r="A78" t="s">
        <v>141</v>
      </c>
      <c r="B78" s="15">
        <f>INDEX('GLB.Ts+dSST (4)'!$B$3:$M$149,MATCH(VALUE(RIGHT(A78,4)),'GLB.Ts+dSST (4)'!$A$3:$A$149,0),VALUE(LEFT(A78,FIND("/",A78)-1)))</f>
        <v>-0.25</v>
      </c>
      <c r="C78" s="15">
        <f t="shared" si="2"/>
        <v>13.75</v>
      </c>
      <c r="D78" s="15">
        <f t="shared" si="3"/>
        <v>56.75</v>
      </c>
    </row>
    <row r="79" spans="1:4" ht="15" customHeight="1">
      <c r="A79" t="s">
        <v>142</v>
      </c>
      <c r="B79" s="15">
        <f>INDEX('GLB.Ts+dSST (4)'!$B$3:$M$149,MATCH(VALUE(RIGHT(A79,4)),'GLB.Ts+dSST (4)'!$A$3:$A$149,0),VALUE(LEFT(A79,FIND("/",A79)-1)))</f>
        <v>-0.35</v>
      </c>
      <c r="C79" s="15">
        <f t="shared" si="2"/>
        <v>13.65</v>
      </c>
      <c r="D79" s="15">
        <f t="shared" si="3"/>
        <v>56.57</v>
      </c>
    </row>
    <row r="80" spans="1:4" ht="15" customHeight="1">
      <c r="A80" t="s">
        <v>143</v>
      </c>
      <c r="B80" s="15">
        <f>INDEX('GLB.Ts+dSST (4)'!$B$3:$M$149,MATCH(VALUE(RIGHT(A80,4)),'GLB.Ts+dSST (4)'!$A$3:$A$149,0),VALUE(LEFT(A80,FIND("/",A80)-1)))</f>
        <v>-0.18</v>
      </c>
      <c r="C80" s="15">
        <f t="shared" si="2"/>
        <v>13.82</v>
      </c>
      <c r="D80" s="15">
        <f t="shared" si="3"/>
        <v>56.876000000000005</v>
      </c>
    </row>
    <row r="81" spans="1:4" ht="15" customHeight="1">
      <c r="A81" t="s">
        <v>144</v>
      </c>
      <c r="B81" s="15">
        <f>INDEX('GLB.Ts+dSST (4)'!$B$3:$M$149,MATCH(VALUE(RIGHT(A81,4)),'GLB.Ts+dSST (4)'!$A$3:$A$149,0),VALUE(LEFT(A81,FIND("/",A81)-1)))</f>
        <v>-0.31</v>
      </c>
      <c r="C81" s="15">
        <f t="shared" si="2"/>
        <v>13.69</v>
      </c>
      <c r="D81" s="15">
        <f t="shared" si="3"/>
        <v>56.641999999999996</v>
      </c>
    </row>
    <row r="82" spans="1:4" ht="15" customHeight="1">
      <c r="A82" t="s">
        <v>145</v>
      </c>
      <c r="B82" s="15">
        <f>INDEX('GLB.Ts+dSST (4)'!$B$3:$M$149,MATCH(VALUE(RIGHT(A82,4)),'GLB.Ts+dSST (4)'!$A$3:$A$149,0),VALUE(LEFT(A82,FIND("/",A82)-1)))</f>
        <v>-0.24</v>
      </c>
      <c r="C82" s="15">
        <f t="shared" si="2"/>
        <v>13.76</v>
      </c>
      <c r="D82" s="15">
        <f t="shared" si="3"/>
        <v>56.768000000000001</v>
      </c>
    </row>
    <row r="83" spans="1:4" ht="15" customHeight="1">
      <c r="A83" t="s">
        <v>146</v>
      </c>
      <c r="B83" s="15">
        <f>INDEX('GLB.Ts+dSST (4)'!$B$3:$M$149,MATCH(VALUE(RIGHT(A83,4)),'GLB.Ts+dSST (4)'!$A$3:$A$149,0),VALUE(LEFT(A83,FIND("/",A83)-1)))</f>
        <v>-0.28000000000000003</v>
      </c>
      <c r="C83" s="15">
        <f t="shared" si="2"/>
        <v>13.72</v>
      </c>
      <c r="D83" s="15">
        <f t="shared" si="3"/>
        <v>56.695999999999998</v>
      </c>
    </row>
    <row r="84" spans="1:4" ht="15" customHeight="1">
      <c r="A84" t="s">
        <v>147</v>
      </c>
      <c r="B84" s="15">
        <f>INDEX('GLB.Ts+dSST (4)'!$B$3:$M$149,MATCH(VALUE(RIGHT(A84,4)),'GLB.Ts+dSST (4)'!$A$3:$A$149,0),VALUE(LEFT(A84,FIND("/",A84)-1)))</f>
        <v>-0.28000000000000003</v>
      </c>
      <c r="C84" s="15">
        <f t="shared" si="2"/>
        <v>13.72</v>
      </c>
      <c r="D84" s="15">
        <f t="shared" si="3"/>
        <v>56.695999999999998</v>
      </c>
    </row>
    <row r="85" spans="1:4" ht="15" customHeight="1">
      <c r="A85" t="s">
        <v>148</v>
      </c>
      <c r="B85" s="15">
        <f>INDEX('GLB.Ts+dSST (4)'!$B$3:$M$149,MATCH(VALUE(RIGHT(A85,4)),'GLB.Ts+dSST (4)'!$A$3:$A$149,0),VALUE(LEFT(A85,FIND("/",A85)-1)))</f>
        <v>-0.26</v>
      </c>
      <c r="C85" s="15">
        <f t="shared" si="2"/>
        <v>13.74</v>
      </c>
      <c r="D85" s="15">
        <f t="shared" si="3"/>
        <v>56.731999999999999</v>
      </c>
    </row>
    <row r="86" spans="1:4" ht="15" customHeight="1">
      <c r="A86" t="s">
        <v>149</v>
      </c>
      <c r="B86" s="15">
        <f>INDEX('GLB.Ts+dSST (4)'!$B$3:$M$149,MATCH(VALUE(RIGHT(A86,4)),'GLB.Ts+dSST (4)'!$A$3:$A$149,0),VALUE(LEFT(A86,FIND("/",A86)-1)))</f>
        <v>-0.72</v>
      </c>
      <c r="C86" s="15">
        <f t="shared" si="2"/>
        <v>13.28</v>
      </c>
      <c r="D86" s="15">
        <f t="shared" si="3"/>
        <v>55.903999999999996</v>
      </c>
    </row>
    <row r="87" spans="1:4" ht="15" customHeight="1">
      <c r="A87" t="s">
        <v>150</v>
      </c>
      <c r="B87" s="15">
        <f>INDEX('GLB.Ts+dSST (4)'!$B$3:$M$149,MATCH(VALUE(RIGHT(A87,4)),'GLB.Ts+dSST (4)'!$A$3:$A$149,0),VALUE(LEFT(A87,FIND("/",A87)-1)))</f>
        <v>-0.56999999999999995</v>
      </c>
      <c r="C87" s="15">
        <f t="shared" si="2"/>
        <v>13.43</v>
      </c>
      <c r="D87" s="15">
        <f t="shared" si="3"/>
        <v>56.173999999999999</v>
      </c>
    </row>
    <row r="88" spans="1:4" ht="15" customHeight="1">
      <c r="A88" t="s">
        <v>151</v>
      </c>
      <c r="B88" s="15">
        <f>INDEX('GLB.Ts+dSST (4)'!$B$3:$M$149,MATCH(VALUE(RIGHT(A88,4)),'GLB.Ts+dSST (4)'!$A$3:$A$149,0),VALUE(LEFT(A88,FIND("/",A88)-1)))</f>
        <v>-0.36</v>
      </c>
      <c r="C88" s="15">
        <f t="shared" si="2"/>
        <v>13.64</v>
      </c>
      <c r="D88" s="15">
        <f t="shared" si="3"/>
        <v>56.552000000000007</v>
      </c>
    </row>
    <row r="89" spans="1:4" ht="15" customHeight="1">
      <c r="A89" t="s">
        <v>152</v>
      </c>
      <c r="B89" s="15">
        <f>INDEX('GLB.Ts+dSST (4)'!$B$3:$M$149,MATCH(VALUE(RIGHT(A89,4)),'GLB.Ts+dSST (4)'!$A$3:$A$149,0),VALUE(LEFT(A89,FIND("/",A89)-1)))</f>
        <v>-0.35</v>
      </c>
      <c r="C89" s="15">
        <f t="shared" si="2"/>
        <v>13.65</v>
      </c>
      <c r="D89" s="15">
        <f t="shared" si="3"/>
        <v>56.57</v>
      </c>
    </row>
    <row r="90" spans="1:4" ht="15" customHeight="1">
      <c r="A90" t="s">
        <v>153</v>
      </c>
      <c r="B90" s="15">
        <f>INDEX('GLB.Ts+dSST (4)'!$B$3:$M$149,MATCH(VALUE(RIGHT(A90,4)),'GLB.Ts+dSST (4)'!$A$3:$A$149,0),VALUE(LEFT(A90,FIND("/",A90)-1)))</f>
        <v>-0.31</v>
      </c>
      <c r="C90" s="15">
        <f t="shared" si="2"/>
        <v>13.69</v>
      </c>
      <c r="D90" s="15">
        <f t="shared" si="3"/>
        <v>56.641999999999996</v>
      </c>
    </row>
    <row r="91" spans="1:4" ht="15" customHeight="1">
      <c r="A91" t="s">
        <v>154</v>
      </c>
      <c r="B91" s="15">
        <f>INDEX('GLB.Ts+dSST (4)'!$B$3:$M$149,MATCH(VALUE(RIGHT(A91,4)),'GLB.Ts+dSST (4)'!$A$3:$A$149,0),VALUE(LEFT(A91,FIND("/",A91)-1)))</f>
        <v>-0.25</v>
      </c>
      <c r="C91" s="15">
        <f t="shared" si="2"/>
        <v>13.75</v>
      </c>
      <c r="D91" s="15">
        <f t="shared" si="3"/>
        <v>56.75</v>
      </c>
    </row>
    <row r="92" spans="1:4" ht="15" customHeight="1">
      <c r="A92" t="s">
        <v>155</v>
      </c>
      <c r="B92" s="15">
        <f>INDEX('GLB.Ts+dSST (4)'!$B$3:$M$149,MATCH(VALUE(RIGHT(A92,4)),'GLB.Ts+dSST (4)'!$A$3:$A$149,0),VALUE(LEFT(A92,FIND("/",A92)-1)))</f>
        <v>-0.26</v>
      </c>
      <c r="C92" s="15">
        <f t="shared" si="2"/>
        <v>13.74</v>
      </c>
      <c r="D92" s="15">
        <f t="shared" si="3"/>
        <v>56.731999999999999</v>
      </c>
    </row>
    <row r="93" spans="1:4" ht="15" customHeight="1">
      <c r="A93" t="s">
        <v>156</v>
      </c>
      <c r="B93" s="15">
        <f>INDEX('GLB.Ts+dSST (4)'!$B$3:$M$149,MATCH(VALUE(RIGHT(A93,4)),'GLB.Ts+dSST (4)'!$A$3:$A$149,0),VALUE(LEFT(A93,FIND("/",A93)-1)))</f>
        <v>-0.36</v>
      </c>
      <c r="C93" s="15">
        <f t="shared" si="2"/>
        <v>13.64</v>
      </c>
      <c r="D93" s="15">
        <f t="shared" si="3"/>
        <v>56.552000000000007</v>
      </c>
    </row>
    <row r="94" spans="1:4" ht="15" customHeight="1">
      <c r="A94" t="s">
        <v>157</v>
      </c>
      <c r="B94" s="15">
        <f>INDEX('GLB.Ts+dSST (4)'!$B$3:$M$149,MATCH(VALUE(RIGHT(A94,4)),'GLB.Ts+dSST (4)'!$A$3:$A$149,0),VALUE(LEFT(A94,FIND("/",A94)-1)))</f>
        <v>-0.26</v>
      </c>
      <c r="C94" s="15">
        <f t="shared" si="2"/>
        <v>13.74</v>
      </c>
      <c r="D94" s="15">
        <f t="shared" si="3"/>
        <v>56.731999999999999</v>
      </c>
    </row>
    <row r="95" spans="1:4" ht="15" customHeight="1">
      <c r="A95" t="s">
        <v>158</v>
      </c>
      <c r="B95" s="15">
        <f>INDEX('GLB.Ts+dSST (4)'!$B$3:$M$149,MATCH(VALUE(RIGHT(A95,4)),'GLB.Ts+dSST (4)'!$A$3:$A$149,0),VALUE(LEFT(A95,FIND("/",A95)-1)))</f>
        <v>-0.36</v>
      </c>
      <c r="C95" s="15">
        <f t="shared" si="2"/>
        <v>13.64</v>
      </c>
      <c r="D95" s="15">
        <f t="shared" si="3"/>
        <v>56.552000000000007</v>
      </c>
    </row>
    <row r="96" spans="1:4" ht="15" customHeight="1">
      <c r="A96" t="s">
        <v>159</v>
      </c>
      <c r="B96" s="15">
        <f>INDEX('GLB.Ts+dSST (4)'!$B$3:$M$149,MATCH(VALUE(RIGHT(A96,4)),'GLB.Ts+dSST (4)'!$A$3:$A$149,0),VALUE(LEFT(A96,FIND("/",A96)-1)))</f>
        <v>-0.26</v>
      </c>
      <c r="C96" s="15">
        <f t="shared" si="2"/>
        <v>13.74</v>
      </c>
      <c r="D96" s="15">
        <f t="shared" si="3"/>
        <v>56.731999999999999</v>
      </c>
    </row>
    <row r="97" spans="1:4" ht="15" customHeight="1">
      <c r="A97" t="s">
        <v>160</v>
      </c>
      <c r="B97" s="15">
        <f>INDEX('GLB.Ts+dSST (4)'!$B$3:$M$149,MATCH(VALUE(RIGHT(A97,4)),'GLB.Ts+dSST (4)'!$A$3:$A$149,0),VALUE(LEFT(A97,FIND("/",A97)-1)))</f>
        <v>-0.34</v>
      </c>
      <c r="C97" s="15">
        <f t="shared" si="2"/>
        <v>13.66</v>
      </c>
      <c r="D97" s="15">
        <f t="shared" si="3"/>
        <v>56.588000000000001</v>
      </c>
    </row>
    <row r="98" spans="1:4" ht="15" customHeight="1">
      <c r="A98" t="s">
        <v>161</v>
      </c>
      <c r="B98" s="15">
        <f>INDEX('GLB.Ts+dSST (4)'!$B$3:$M$149,MATCH(VALUE(RIGHT(A98,4)),'GLB.Ts+dSST (4)'!$A$3:$A$149,0),VALUE(LEFT(A98,FIND("/",A98)-1)))</f>
        <v>-0.34</v>
      </c>
      <c r="C98" s="15">
        <f t="shared" si="2"/>
        <v>13.66</v>
      </c>
      <c r="D98" s="15">
        <f t="shared" si="3"/>
        <v>56.588000000000001</v>
      </c>
    </row>
    <row r="99" spans="1:4" ht="15" customHeight="1">
      <c r="A99" t="s">
        <v>162</v>
      </c>
      <c r="B99" s="15">
        <f>INDEX('GLB.Ts+dSST (4)'!$B$3:$M$149,MATCH(VALUE(RIGHT(A99,4)),'GLB.Ts+dSST (4)'!$A$3:$A$149,0),VALUE(LEFT(A99,FIND("/",A99)-1)))</f>
        <v>-0.37</v>
      </c>
      <c r="C99" s="15">
        <f t="shared" si="2"/>
        <v>13.63</v>
      </c>
      <c r="D99" s="15">
        <f t="shared" si="3"/>
        <v>56.534000000000006</v>
      </c>
    </row>
    <row r="100" spans="1:4" ht="15" customHeight="1">
      <c r="A100" t="s">
        <v>163</v>
      </c>
      <c r="B100" s="15">
        <f>INDEX('GLB.Ts+dSST (4)'!$B$3:$M$149,MATCH(VALUE(RIGHT(A100,4)),'GLB.Ts+dSST (4)'!$A$3:$A$149,0),VALUE(LEFT(A100,FIND("/",A100)-1)))</f>
        <v>-0.42</v>
      </c>
      <c r="C100" s="15">
        <f t="shared" si="2"/>
        <v>13.58</v>
      </c>
      <c r="D100" s="15">
        <f t="shared" si="3"/>
        <v>56.444000000000003</v>
      </c>
    </row>
    <row r="101" spans="1:4" ht="15" customHeight="1">
      <c r="A101" t="s">
        <v>164</v>
      </c>
      <c r="B101" s="15">
        <f>INDEX('GLB.Ts+dSST (4)'!$B$3:$M$149,MATCH(VALUE(RIGHT(A101,4)),'GLB.Ts+dSST (4)'!$A$3:$A$149,0),VALUE(LEFT(A101,FIND("/",A101)-1)))</f>
        <v>-0.21</v>
      </c>
      <c r="C101" s="15">
        <f t="shared" si="2"/>
        <v>13.79</v>
      </c>
      <c r="D101" s="15">
        <f t="shared" si="3"/>
        <v>56.822000000000003</v>
      </c>
    </row>
    <row r="102" spans="1:4" ht="15" customHeight="1">
      <c r="A102" t="s">
        <v>165</v>
      </c>
      <c r="B102" s="15">
        <f>INDEX('GLB.Ts+dSST (4)'!$B$3:$M$149,MATCH(VALUE(RIGHT(A102,4)),'GLB.Ts+dSST (4)'!$A$3:$A$149,0),VALUE(LEFT(A102,FIND("/",A102)-1)))</f>
        <v>-0.23</v>
      </c>
      <c r="C102" s="15">
        <f t="shared" si="2"/>
        <v>13.77</v>
      </c>
      <c r="D102" s="15">
        <f t="shared" si="3"/>
        <v>56.786000000000001</v>
      </c>
    </row>
    <row r="103" spans="1:4" ht="15" customHeight="1">
      <c r="A103" t="s">
        <v>166</v>
      </c>
      <c r="B103" s="15">
        <f>INDEX('GLB.Ts+dSST (4)'!$B$3:$M$149,MATCH(VALUE(RIGHT(A103,4)),'GLB.Ts+dSST (4)'!$A$3:$A$149,0),VALUE(LEFT(A103,FIND("/",A103)-1)))</f>
        <v>-0.18</v>
      </c>
      <c r="C103" s="15">
        <f t="shared" si="2"/>
        <v>13.82</v>
      </c>
      <c r="D103" s="15">
        <f t="shared" si="3"/>
        <v>56.876000000000005</v>
      </c>
    </row>
    <row r="104" spans="1:4" ht="15" customHeight="1">
      <c r="A104" t="s">
        <v>167</v>
      </c>
      <c r="B104" s="15">
        <f>INDEX('GLB.Ts+dSST (4)'!$B$3:$M$149,MATCH(VALUE(RIGHT(A104,4)),'GLB.Ts+dSST (4)'!$A$3:$A$149,0),VALUE(LEFT(A104,FIND("/",A104)-1)))</f>
        <v>-0.11</v>
      </c>
      <c r="C104" s="15">
        <f t="shared" si="2"/>
        <v>13.89</v>
      </c>
      <c r="D104" s="15">
        <f t="shared" si="3"/>
        <v>57.002000000000002</v>
      </c>
    </row>
    <row r="105" spans="1:4" ht="15" customHeight="1">
      <c r="A105" t="s">
        <v>168</v>
      </c>
      <c r="B105" s="15">
        <f>INDEX('GLB.Ts+dSST (4)'!$B$3:$M$149,MATCH(VALUE(RIGHT(A105,4)),'GLB.Ts+dSST (4)'!$A$3:$A$149,0),VALUE(LEFT(A105,FIND("/",A105)-1)))</f>
        <v>-0.16</v>
      </c>
      <c r="C105" s="15">
        <f t="shared" si="2"/>
        <v>13.84</v>
      </c>
      <c r="D105" s="15">
        <f t="shared" si="3"/>
        <v>56.911999999999999</v>
      </c>
    </row>
    <row r="106" spans="1:4" ht="15" customHeight="1">
      <c r="A106" t="s">
        <v>169</v>
      </c>
      <c r="B106" s="15">
        <f>INDEX('GLB.Ts+dSST (4)'!$B$3:$M$149,MATCH(VALUE(RIGHT(A106,4)),'GLB.Ts+dSST (4)'!$A$3:$A$149,0),VALUE(LEFT(A106,FIND("/",A106)-1)))</f>
        <v>-0.12</v>
      </c>
      <c r="C106" s="15">
        <f t="shared" si="2"/>
        <v>13.88</v>
      </c>
      <c r="D106" s="15">
        <f t="shared" si="3"/>
        <v>56.984000000000002</v>
      </c>
    </row>
    <row r="107" spans="1:4" ht="15" customHeight="1">
      <c r="A107" t="s">
        <v>170</v>
      </c>
      <c r="B107" s="15">
        <f>INDEX('GLB.Ts+dSST (4)'!$B$3:$M$149,MATCH(VALUE(RIGHT(A107,4)),'GLB.Ts+dSST (4)'!$A$3:$A$149,0),VALUE(LEFT(A107,FIND("/",A107)-1)))</f>
        <v>0.01</v>
      </c>
      <c r="C107" s="15">
        <f t="shared" si="2"/>
        <v>14.01</v>
      </c>
      <c r="D107" s="15">
        <f t="shared" si="3"/>
        <v>57.218000000000004</v>
      </c>
    </row>
    <row r="108" spans="1:4" ht="15" customHeight="1">
      <c r="A108" t="s">
        <v>171</v>
      </c>
      <c r="B108" s="15">
        <f>INDEX('GLB.Ts+dSST (4)'!$B$3:$M$149,MATCH(VALUE(RIGHT(A108,4)),'GLB.Ts+dSST (4)'!$A$3:$A$149,0),VALUE(LEFT(A108,FIND("/",A108)-1)))</f>
        <v>0.02</v>
      </c>
      <c r="C108" s="15">
        <f t="shared" si="2"/>
        <v>14.02</v>
      </c>
      <c r="D108" s="15">
        <f t="shared" si="3"/>
        <v>57.236000000000004</v>
      </c>
    </row>
    <row r="109" spans="1:4" ht="15" customHeight="1">
      <c r="A109" t="s">
        <v>172</v>
      </c>
      <c r="B109" s="15">
        <f>INDEX('GLB.Ts+dSST (4)'!$B$3:$M$149,MATCH(VALUE(RIGHT(A109,4)),'GLB.Ts+dSST (4)'!$A$3:$A$149,0),VALUE(LEFT(A109,FIND("/",A109)-1)))</f>
        <v>-0.05</v>
      </c>
      <c r="C109" s="15">
        <f t="shared" si="2"/>
        <v>13.95</v>
      </c>
      <c r="D109" s="15">
        <f t="shared" si="3"/>
        <v>57.11</v>
      </c>
    </row>
    <row r="110" spans="1:4" ht="15" customHeight="1">
      <c r="A110" t="s">
        <v>173</v>
      </c>
      <c r="B110" s="15">
        <f>INDEX('GLB.Ts+dSST (4)'!$B$3:$M$149,MATCH(VALUE(RIGHT(A110,4)),'GLB.Ts+dSST (4)'!$A$3:$A$149,0),VALUE(LEFT(A110,FIND("/",A110)-1)))</f>
        <v>-0.1</v>
      </c>
      <c r="C110" s="15">
        <f t="shared" si="2"/>
        <v>13.9</v>
      </c>
      <c r="D110" s="15">
        <f t="shared" si="3"/>
        <v>57.019999999999996</v>
      </c>
    </row>
    <row r="111" spans="1:4" ht="15" customHeight="1">
      <c r="A111" t="s">
        <v>174</v>
      </c>
      <c r="B111" s="15">
        <f>INDEX('GLB.Ts+dSST (4)'!$B$3:$M$149,MATCH(VALUE(RIGHT(A111,4)),'GLB.Ts+dSST (4)'!$A$3:$A$149,0),VALUE(LEFT(A111,FIND("/",A111)-1)))</f>
        <v>0.16</v>
      </c>
      <c r="C111" s="15">
        <f t="shared" si="2"/>
        <v>14.16</v>
      </c>
      <c r="D111" s="15">
        <f t="shared" si="3"/>
        <v>57.488</v>
      </c>
    </row>
    <row r="112" spans="1:4" ht="15" customHeight="1">
      <c r="A112" t="s">
        <v>175</v>
      </c>
      <c r="B112" s="15">
        <f>INDEX('GLB.Ts+dSST (4)'!$B$3:$M$149,MATCH(VALUE(RIGHT(A112,4)),'GLB.Ts+dSST (4)'!$A$3:$A$149,0),VALUE(LEFT(A112,FIND("/",A112)-1)))</f>
        <v>0.05</v>
      </c>
      <c r="C112" s="15">
        <f t="shared" si="2"/>
        <v>14.05</v>
      </c>
      <c r="D112" s="15">
        <f t="shared" si="3"/>
        <v>57.290000000000006</v>
      </c>
    </row>
    <row r="113" spans="1:4" ht="15" customHeight="1">
      <c r="A113" t="s">
        <v>176</v>
      </c>
      <c r="B113" s="15">
        <f>INDEX('GLB.Ts+dSST (4)'!$B$3:$M$149,MATCH(VALUE(RIGHT(A113,4)),'GLB.Ts+dSST (4)'!$A$3:$A$149,0),VALUE(LEFT(A113,FIND("/",A113)-1)))</f>
        <v>0.08</v>
      </c>
      <c r="C113" s="15">
        <f t="shared" si="2"/>
        <v>14.08</v>
      </c>
      <c r="D113" s="15">
        <f t="shared" si="3"/>
        <v>57.344000000000001</v>
      </c>
    </row>
    <row r="114" spans="1:4" ht="15" customHeight="1">
      <c r="A114" t="s">
        <v>177</v>
      </c>
      <c r="B114" s="15">
        <f>INDEX('GLB.Ts+dSST (4)'!$B$3:$M$149,MATCH(VALUE(RIGHT(A114,4)),'GLB.Ts+dSST (4)'!$A$3:$A$149,0),VALUE(LEFT(A114,FIND("/",A114)-1)))</f>
        <v>-0.02</v>
      </c>
      <c r="C114" s="15">
        <f t="shared" si="2"/>
        <v>13.98</v>
      </c>
      <c r="D114" s="15">
        <f t="shared" si="3"/>
        <v>57.164000000000001</v>
      </c>
    </row>
    <row r="115" spans="1:4" ht="15" customHeight="1">
      <c r="A115" t="s">
        <v>178</v>
      </c>
      <c r="B115" s="15">
        <f>INDEX('GLB.Ts+dSST (4)'!$B$3:$M$149,MATCH(VALUE(RIGHT(A115,4)),'GLB.Ts+dSST (4)'!$A$3:$A$149,0),VALUE(LEFT(A115,FIND("/",A115)-1)))</f>
        <v>-0.11</v>
      </c>
      <c r="C115" s="15">
        <f t="shared" si="2"/>
        <v>13.89</v>
      </c>
      <c r="D115" s="15">
        <f t="shared" si="3"/>
        <v>57.002000000000002</v>
      </c>
    </row>
    <row r="116" spans="1:4" ht="15" customHeight="1">
      <c r="A116" t="s">
        <v>179</v>
      </c>
      <c r="B116" s="15">
        <f>INDEX('GLB.Ts+dSST (4)'!$B$3:$M$149,MATCH(VALUE(RIGHT(A116,4)),'GLB.Ts+dSST (4)'!$A$3:$A$149,0),VALUE(LEFT(A116,FIND("/",A116)-1)))</f>
        <v>-0.08</v>
      </c>
      <c r="C116" s="15">
        <f t="shared" si="2"/>
        <v>13.92</v>
      </c>
      <c r="D116" s="15">
        <f t="shared" si="3"/>
        <v>57.055999999999997</v>
      </c>
    </row>
    <row r="117" spans="1:4" ht="15" customHeight="1">
      <c r="A117" t="s">
        <v>180</v>
      </c>
      <c r="B117" s="15">
        <f>INDEX('GLB.Ts+dSST (4)'!$B$3:$M$149,MATCH(VALUE(RIGHT(A117,4)),'GLB.Ts+dSST (4)'!$A$3:$A$149,0),VALUE(LEFT(A117,FIND("/",A117)-1)))</f>
        <v>-0.21</v>
      </c>
      <c r="C117" s="15">
        <f t="shared" si="2"/>
        <v>13.79</v>
      </c>
      <c r="D117" s="15">
        <f t="shared" si="3"/>
        <v>56.822000000000003</v>
      </c>
    </row>
    <row r="118" spans="1:4" ht="15" customHeight="1">
      <c r="A118" t="s">
        <v>181</v>
      </c>
      <c r="B118" s="15">
        <f>INDEX('GLB.Ts+dSST (4)'!$B$3:$M$149,MATCH(VALUE(RIGHT(A118,4)),'GLB.Ts+dSST (4)'!$A$3:$A$149,0),VALUE(LEFT(A118,FIND("/",A118)-1)))</f>
        <v>-0.24</v>
      </c>
      <c r="C118" s="15">
        <f t="shared" si="2"/>
        <v>13.76</v>
      </c>
      <c r="D118" s="15">
        <f t="shared" si="3"/>
        <v>56.768000000000001</v>
      </c>
    </row>
    <row r="119" spans="1:4" ht="15" customHeight="1">
      <c r="A119" t="s">
        <v>182</v>
      </c>
      <c r="B119" s="15">
        <f>INDEX('GLB.Ts+dSST (4)'!$B$3:$M$149,MATCH(VALUE(RIGHT(A119,4)),'GLB.Ts+dSST (4)'!$A$3:$A$149,0),VALUE(LEFT(A119,FIND("/",A119)-1)))</f>
        <v>-0.26</v>
      </c>
      <c r="C119" s="15">
        <f t="shared" si="2"/>
        <v>13.74</v>
      </c>
      <c r="D119" s="15">
        <f t="shared" si="3"/>
        <v>56.731999999999999</v>
      </c>
    </row>
    <row r="120" spans="1:4" ht="15" customHeight="1">
      <c r="A120" t="s">
        <v>183</v>
      </c>
      <c r="B120" s="15">
        <f>INDEX('GLB.Ts+dSST (4)'!$B$3:$M$149,MATCH(VALUE(RIGHT(A120,4)),'GLB.Ts+dSST (4)'!$A$3:$A$149,0),VALUE(LEFT(A120,FIND("/",A120)-1)))</f>
        <v>-0.34</v>
      </c>
      <c r="C120" s="15">
        <f t="shared" si="2"/>
        <v>13.66</v>
      </c>
      <c r="D120" s="15">
        <f t="shared" si="3"/>
        <v>56.588000000000001</v>
      </c>
    </row>
    <row r="121" spans="1:4" ht="15" customHeight="1">
      <c r="A121" t="s">
        <v>184</v>
      </c>
      <c r="B121" s="15">
        <f>INDEX('GLB.Ts+dSST (4)'!$B$3:$M$149,MATCH(VALUE(RIGHT(A121,4)),'GLB.Ts+dSST (4)'!$A$3:$A$149,0),VALUE(LEFT(A121,FIND("/",A121)-1)))</f>
        <v>-0.28999999999999998</v>
      </c>
      <c r="C121" s="15">
        <f t="shared" si="2"/>
        <v>13.71</v>
      </c>
      <c r="D121" s="15">
        <f t="shared" si="3"/>
        <v>56.677999999999997</v>
      </c>
    </row>
    <row r="122" spans="1:4" ht="15" customHeight="1">
      <c r="A122" t="s">
        <v>185</v>
      </c>
      <c r="B122" s="15">
        <f>INDEX('GLB.Ts+dSST (4)'!$B$3:$M$149,MATCH(VALUE(RIGHT(A122,4)),'GLB.Ts+dSST (4)'!$A$3:$A$149,0),VALUE(LEFT(A122,FIND("/",A122)-1)))</f>
        <v>-0.43</v>
      </c>
      <c r="C122" s="15">
        <f t="shared" si="2"/>
        <v>13.57</v>
      </c>
      <c r="D122" s="15">
        <f t="shared" si="3"/>
        <v>56.426000000000002</v>
      </c>
    </row>
    <row r="123" spans="1:4" ht="15" customHeight="1">
      <c r="A123" t="s">
        <v>186</v>
      </c>
      <c r="B123" s="15">
        <f>INDEX('GLB.Ts+dSST (4)'!$B$3:$M$149,MATCH(VALUE(RIGHT(A123,4)),'GLB.Ts+dSST (4)'!$A$3:$A$149,0),VALUE(LEFT(A123,FIND("/",A123)-1)))</f>
        <v>-0.46</v>
      </c>
      <c r="C123" s="15">
        <f t="shared" si="2"/>
        <v>13.54</v>
      </c>
      <c r="D123" s="15">
        <f t="shared" si="3"/>
        <v>56.372</v>
      </c>
    </row>
    <row r="124" spans="1:4" ht="15" customHeight="1">
      <c r="A124" t="s">
        <v>187</v>
      </c>
      <c r="B124" s="15">
        <f>INDEX('GLB.Ts+dSST (4)'!$B$3:$M$149,MATCH(VALUE(RIGHT(A124,4)),'GLB.Ts+dSST (4)'!$A$3:$A$149,0),VALUE(LEFT(A124,FIND("/",A124)-1)))</f>
        <v>-0.41</v>
      </c>
      <c r="C124" s="15">
        <f t="shared" si="2"/>
        <v>13.59</v>
      </c>
      <c r="D124" s="15">
        <f t="shared" si="3"/>
        <v>56.462000000000003</v>
      </c>
    </row>
    <row r="125" spans="1:4" ht="15" customHeight="1">
      <c r="A125" t="s">
        <v>188</v>
      </c>
      <c r="B125" s="15">
        <f>INDEX('GLB.Ts+dSST (4)'!$B$3:$M$149,MATCH(VALUE(RIGHT(A125,4)),'GLB.Ts+dSST (4)'!$A$3:$A$149,0),VALUE(LEFT(A125,FIND("/",A125)-1)))</f>
        <v>-0.3</v>
      </c>
      <c r="C125" s="15">
        <f t="shared" si="2"/>
        <v>13.7</v>
      </c>
      <c r="D125" s="15">
        <f t="shared" si="3"/>
        <v>56.66</v>
      </c>
    </row>
    <row r="126" spans="1:4" ht="15" customHeight="1">
      <c r="A126" t="s">
        <v>189</v>
      </c>
      <c r="B126" s="15">
        <f>INDEX('GLB.Ts+dSST (4)'!$B$3:$M$149,MATCH(VALUE(RIGHT(A126,4)),'GLB.Ts+dSST (4)'!$A$3:$A$149,0),VALUE(LEFT(A126,FIND("/",A126)-1)))</f>
        <v>-0.4</v>
      </c>
      <c r="C126" s="15">
        <f t="shared" si="2"/>
        <v>13.6</v>
      </c>
      <c r="D126" s="15">
        <f t="shared" si="3"/>
        <v>56.480000000000004</v>
      </c>
    </row>
    <row r="127" spans="1:4" ht="15" customHeight="1">
      <c r="A127" t="s">
        <v>190</v>
      </c>
      <c r="B127" s="15">
        <f>INDEX('GLB.Ts+dSST (4)'!$B$3:$M$149,MATCH(VALUE(RIGHT(A127,4)),'GLB.Ts+dSST (4)'!$A$3:$A$149,0),VALUE(LEFT(A127,FIND("/",A127)-1)))</f>
        <v>-0.25</v>
      </c>
      <c r="C127" s="15">
        <f t="shared" si="2"/>
        <v>13.75</v>
      </c>
      <c r="D127" s="15">
        <f t="shared" si="3"/>
        <v>56.75</v>
      </c>
    </row>
    <row r="128" spans="1:4" ht="15" customHeight="1">
      <c r="A128" t="s">
        <v>191</v>
      </c>
      <c r="B128" s="15">
        <f>INDEX('GLB.Ts+dSST (4)'!$B$3:$M$149,MATCH(VALUE(RIGHT(A128,4)),'GLB.Ts+dSST (4)'!$A$3:$A$149,0),VALUE(LEFT(A128,FIND("/",A128)-1)))</f>
        <v>-0.28999999999999998</v>
      </c>
      <c r="C128" s="15">
        <f t="shared" si="2"/>
        <v>13.71</v>
      </c>
      <c r="D128" s="15">
        <f t="shared" si="3"/>
        <v>56.677999999999997</v>
      </c>
    </row>
    <row r="129" spans="1:4" ht="15" customHeight="1">
      <c r="A129" t="s">
        <v>192</v>
      </c>
      <c r="B129" s="15">
        <f>INDEX('GLB.Ts+dSST (4)'!$B$3:$M$149,MATCH(VALUE(RIGHT(A129,4)),'GLB.Ts+dSST (4)'!$A$3:$A$149,0),VALUE(LEFT(A129,FIND("/",A129)-1)))</f>
        <v>-0.4</v>
      </c>
      <c r="C129" s="15">
        <f t="shared" si="2"/>
        <v>13.6</v>
      </c>
      <c r="D129" s="15">
        <f t="shared" si="3"/>
        <v>56.480000000000004</v>
      </c>
    </row>
    <row r="130" spans="1:4" ht="15" customHeight="1">
      <c r="A130" t="s">
        <v>193</v>
      </c>
      <c r="B130" s="15">
        <f>INDEX('GLB.Ts+dSST (4)'!$B$3:$M$149,MATCH(VALUE(RIGHT(A130,4)),'GLB.Ts+dSST (4)'!$A$3:$A$149,0),VALUE(LEFT(A130,FIND("/",A130)-1)))</f>
        <v>-0.37</v>
      </c>
      <c r="C130" s="15">
        <f t="shared" ref="C130:C193" si="4">B130+14</f>
        <v>13.63</v>
      </c>
      <c r="D130" s="15">
        <f t="shared" ref="D130:D193" si="5">C130*(9/5)+32</f>
        <v>56.534000000000006</v>
      </c>
    </row>
    <row r="131" spans="1:4" ht="15" customHeight="1">
      <c r="A131" t="s">
        <v>194</v>
      </c>
      <c r="B131" s="15">
        <f>INDEX('GLB.Ts+dSST (4)'!$B$3:$M$149,MATCH(VALUE(RIGHT(A131,4)),'GLB.Ts+dSST (4)'!$A$3:$A$149,0),VALUE(LEFT(A131,FIND("/",A131)-1)))</f>
        <v>-0.26</v>
      </c>
      <c r="C131" s="15">
        <f t="shared" si="4"/>
        <v>13.74</v>
      </c>
      <c r="D131" s="15">
        <f t="shared" si="5"/>
        <v>56.731999999999999</v>
      </c>
    </row>
    <row r="132" spans="1:4" ht="15" customHeight="1">
      <c r="A132" t="s">
        <v>195</v>
      </c>
      <c r="B132" s="15">
        <f>INDEX('GLB.Ts+dSST (4)'!$B$3:$M$149,MATCH(VALUE(RIGHT(A132,4)),'GLB.Ts+dSST (4)'!$A$3:$A$149,0),VALUE(LEFT(A132,FIND("/",A132)-1)))</f>
        <v>-0.45</v>
      </c>
      <c r="C132" s="15">
        <f t="shared" si="4"/>
        <v>13.55</v>
      </c>
      <c r="D132" s="15">
        <f t="shared" si="5"/>
        <v>56.39</v>
      </c>
    </row>
    <row r="133" spans="1:4" ht="15" customHeight="1">
      <c r="A133" t="s">
        <v>196</v>
      </c>
      <c r="B133" s="15">
        <f>INDEX('GLB.Ts+dSST (4)'!$B$3:$M$149,MATCH(VALUE(RIGHT(A133,4)),'GLB.Ts+dSST (4)'!$A$3:$A$149,0),VALUE(LEFT(A133,FIND("/",A133)-1)))</f>
        <v>-0.32</v>
      </c>
      <c r="C133" s="15">
        <f t="shared" si="4"/>
        <v>13.68</v>
      </c>
      <c r="D133" s="15">
        <f t="shared" si="5"/>
        <v>56.623999999999995</v>
      </c>
    </row>
    <row r="134" spans="1:4" ht="15" customHeight="1">
      <c r="A134" t="s">
        <v>197</v>
      </c>
      <c r="B134" s="15">
        <f>INDEX('GLB.Ts+dSST (4)'!$B$3:$M$149,MATCH(VALUE(RIGHT(A134,4)),'GLB.Ts+dSST (4)'!$A$3:$A$149,0),VALUE(LEFT(A134,FIND("/",A134)-1)))</f>
        <v>-0.34</v>
      </c>
      <c r="C134" s="15">
        <f t="shared" si="4"/>
        <v>13.66</v>
      </c>
      <c r="D134" s="15">
        <f t="shared" si="5"/>
        <v>56.588000000000001</v>
      </c>
    </row>
    <row r="135" spans="1:4" ht="15" customHeight="1">
      <c r="A135" t="s">
        <v>198</v>
      </c>
      <c r="B135" s="15">
        <f>INDEX('GLB.Ts+dSST (4)'!$B$3:$M$149,MATCH(VALUE(RIGHT(A135,4)),'GLB.Ts+dSST (4)'!$A$3:$A$149,0),VALUE(LEFT(A135,FIND("/",A135)-1)))</f>
        <v>-0.47</v>
      </c>
      <c r="C135" s="15">
        <f t="shared" si="4"/>
        <v>13.53</v>
      </c>
      <c r="D135" s="15">
        <f t="shared" si="5"/>
        <v>56.353999999999999</v>
      </c>
    </row>
    <row r="136" spans="1:4" ht="15" customHeight="1">
      <c r="A136" t="s">
        <v>199</v>
      </c>
      <c r="B136" s="15">
        <f>INDEX('GLB.Ts+dSST (4)'!$B$3:$M$149,MATCH(VALUE(RIGHT(A136,4)),'GLB.Ts+dSST (4)'!$A$3:$A$149,0),VALUE(LEFT(A136,FIND("/",A136)-1)))</f>
        <v>-0.18</v>
      </c>
      <c r="C136" s="15">
        <f t="shared" si="4"/>
        <v>13.82</v>
      </c>
      <c r="D136" s="15">
        <f t="shared" si="5"/>
        <v>56.876000000000005</v>
      </c>
    </row>
    <row r="137" spans="1:4" ht="15" customHeight="1">
      <c r="A137" t="s">
        <v>200</v>
      </c>
      <c r="B137" s="15">
        <f>INDEX('GLB.Ts+dSST (4)'!$B$3:$M$149,MATCH(VALUE(RIGHT(A137,4)),'GLB.Ts+dSST (4)'!$A$3:$A$149,0),VALUE(LEFT(A137,FIND("/",A137)-1)))</f>
        <v>-0.28000000000000003</v>
      </c>
      <c r="C137" s="15">
        <f t="shared" si="4"/>
        <v>13.72</v>
      </c>
      <c r="D137" s="15">
        <f t="shared" si="5"/>
        <v>56.695999999999998</v>
      </c>
    </row>
    <row r="138" spans="1:4" ht="15" customHeight="1">
      <c r="A138" t="s">
        <v>201</v>
      </c>
      <c r="B138" s="15">
        <f>INDEX('GLB.Ts+dSST (4)'!$B$3:$M$149,MATCH(VALUE(RIGHT(A138,4)),'GLB.Ts+dSST (4)'!$A$3:$A$149,0),VALUE(LEFT(A138,FIND("/",A138)-1)))</f>
        <v>-0.17</v>
      </c>
      <c r="C138" s="15">
        <f t="shared" si="4"/>
        <v>13.83</v>
      </c>
      <c r="D138" s="15">
        <f t="shared" si="5"/>
        <v>56.894000000000005</v>
      </c>
    </row>
    <row r="139" spans="1:4" ht="15" customHeight="1">
      <c r="A139" t="s">
        <v>202</v>
      </c>
      <c r="B139" s="15">
        <f>INDEX('GLB.Ts+dSST (4)'!$B$3:$M$149,MATCH(VALUE(RIGHT(A139,4)),'GLB.Ts+dSST (4)'!$A$3:$A$149,0),VALUE(LEFT(A139,FIND("/",A139)-1)))</f>
        <v>-0.21</v>
      </c>
      <c r="C139" s="15">
        <f t="shared" si="4"/>
        <v>13.79</v>
      </c>
      <c r="D139" s="15">
        <f t="shared" si="5"/>
        <v>56.822000000000003</v>
      </c>
    </row>
    <row r="140" spans="1:4" ht="15" customHeight="1">
      <c r="A140" t="s">
        <v>203</v>
      </c>
      <c r="B140" s="15">
        <f>INDEX('GLB.Ts+dSST (4)'!$B$3:$M$149,MATCH(VALUE(RIGHT(A140,4)),'GLB.Ts+dSST (4)'!$A$3:$A$149,0),VALUE(LEFT(A140,FIND("/",A140)-1)))</f>
        <v>-0.18</v>
      </c>
      <c r="C140" s="15">
        <f t="shared" si="4"/>
        <v>13.82</v>
      </c>
      <c r="D140" s="15">
        <f t="shared" si="5"/>
        <v>56.876000000000005</v>
      </c>
    </row>
    <row r="141" spans="1:4" ht="15" customHeight="1">
      <c r="A141" t="s">
        <v>204</v>
      </c>
      <c r="B141" s="15">
        <f>INDEX('GLB.Ts+dSST (4)'!$B$3:$M$149,MATCH(VALUE(RIGHT(A141,4)),'GLB.Ts+dSST (4)'!$A$3:$A$149,0),VALUE(LEFT(A141,FIND("/",A141)-1)))</f>
        <v>-0.18</v>
      </c>
      <c r="C141" s="15">
        <f t="shared" si="4"/>
        <v>13.82</v>
      </c>
      <c r="D141" s="15">
        <f t="shared" si="5"/>
        <v>56.876000000000005</v>
      </c>
    </row>
    <row r="142" spans="1:4" ht="15" customHeight="1">
      <c r="A142" t="s">
        <v>205</v>
      </c>
      <c r="B142" s="15">
        <f>INDEX('GLB.Ts+dSST (4)'!$B$3:$M$149,MATCH(VALUE(RIGHT(A142,4)),'GLB.Ts+dSST (4)'!$A$3:$A$149,0),VALUE(LEFT(A142,FIND("/",A142)-1)))</f>
        <v>-0.16</v>
      </c>
      <c r="C142" s="15">
        <f t="shared" si="4"/>
        <v>13.84</v>
      </c>
      <c r="D142" s="15">
        <f t="shared" si="5"/>
        <v>56.911999999999999</v>
      </c>
    </row>
    <row r="143" spans="1:4" ht="15" customHeight="1">
      <c r="A143" t="s">
        <v>206</v>
      </c>
      <c r="B143" s="15">
        <f>INDEX('GLB.Ts+dSST (4)'!$B$3:$M$149,MATCH(VALUE(RIGHT(A143,4)),'GLB.Ts+dSST (4)'!$A$3:$A$149,0),VALUE(LEFT(A143,FIND("/",A143)-1)))</f>
        <v>-0.22</v>
      </c>
      <c r="C143" s="15">
        <f t="shared" si="4"/>
        <v>13.78</v>
      </c>
      <c r="D143" s="15">
        <f t="shared" si="5"/>
        <v>56.804000000000002</v>
      </c>
    </row>
    <row r="144" spans="1:4" ht="15" customHeight="1">
      <c r="A144" t="s">
        <v>207</v>
      </c>
      <c r="B144" s="15">
        <f>INDEX('GLB.Ts+dSST (4)'!$B$3:$M$149,MATCH(VALUE(RIGHT(A144,4)),'GLB.Ts+dSST (4)'!$A$3:$A$149,0),VALUE(LEFT(A144,FIND("/",A144)-1)))</f>
        <v>-0.32</v>
      </c>
      <c r="C144" s="15">
        <f t="shared" si="4"/>
        <v>13.68</v>
      </c>
      <c r="D144" s="15">
        <f t="shared" si="5"/>
        <v>56.623999999999995</v>
      </c>
    </row>
    <row r="145" spans="1:4" ht="15" customHeight="1">
      <c r="A145" t="s">
        <v>208</v>
      </c>
      <c r="B145" s="15">
        <f>INDEX('GLB.Ts+dSST (4)'!$B$3:$M$149,MATCH(VALUE(RIGHT(A145,4)),'GLB.Ts+dSST (4)'!$A$3:$A$149,0),VALUE(LEFT(A145,FIND("/",A145)-1)))</f>
        <v>-0.04</v>
      </c>
      <c r="C145" s="15">
        <f t="shared" si="4"/>
        <v>13.96</v>
      </c>
      <c r="D145" s="15">
        <f t="shared" si="5"/>
        <v>57.128</v>
      </c>
    </row>
    <row r="146" spans="1:4" ht="15" customHeight="1">
      <c r="A146" t="s">
        <v>209</v>
      </c>
      <c r="B146" s="15">
        <f>INDEX('GLB.Ts+dSST (4)'!$B$3:$M$149,MATCH(VALUE(RIGHT(A146,4)),'GLB.Ts+dSST (4)'!$A$3:$A$149,0),VALUE(LEFT(A146,FIND("/",A146)-1)))</f>
        <v>-0.3</v>
      </c>
      <c r="C146" s="15">
        <f t="shared" si="4"/>
        <v>13.7</v>
      </c>
      <c r="D146" s="15">
        <f t="shared" si="5"/>
        <v>56.66</v>
      </c>
    </row>
    <row r="147" spans="1:4" ht="15" customHeight="1">
      <c r="A147" t="s">
        <v>210</v>
      </c>
      <c r="B147" s="15">
        <f>INDEX('GLB.Ts+dSST (4)'!$B$3:$M$149,MATCH(VALUE(RIGHT(A147,4)),'GLB.Ts+dSST (4)'!$A$3:$A$149,0),VALUE(LEFT(A147,FIND("/",A147)-1)))</f>
        <v>-0.12</v>
      </c>
      <c r="C147" s="15">
        <f t="shared" si="4"/>
        <v>13.88</v>
      </c>
      <c r="D147" s="15">
        <f t="shared" si="5"/>
        <v>56.984000000000002</v>
      </c>
    </row>
    <row r="148" spans="1:4" ht="15" customHeight="1">
      <c r="A148" t="s">
        <v>211</v>
      </c>
      <c r="B148" s="15">
        <f>INDEX('GLB.Ts+dSST (4)'!$B$3:$M$149,MATCH(VALUE(RIGHT(A148,4)),'GLB.Ts+dSST (4)'!$A$3:$A$149,0),VALUE(LEFT(A148,FIND("/",A148)-1)))</f>
        <v>-0.4</v>
      </c>
      <c r="C148" s="15">
        <f t="shared" si="4"/>
        <v>13.6</v>
      </c>
      <c r="D148" s="15">
        <f t="shared" si="5"/>
        <v>56.480000000000004</v>
      </c>
    </row>
    <row r="149" spans="1:4" ht="15" customHeight="1">
      <c r="A149" t="s">
        <v>212</v>
      </c>
      <c r="B149" s="15">
        <f>INDEX('GLB.Ts+dSST (4)'!$B$3:$M$149,MATCH(VALUE(RIGHT(A149,4)),'GLB.Ts+dSST (4)'!$A$3:$A$149,0),VALUE(LEFT(A149,FIND("/",A149)-1)))</f>
        <v>-0.34</v>
      </c>
      <c r="C149" s="15">
        <f t="shared" si="4"/>
        <v>13.66</v>
      </c>
      <c r="D149" s="15">
        <f t="shared" si="5"/>
        <v>56.588000000000001</v>
      </c>
    </row>
    <row r="150" spans="1:4" ht="15" customHeight="1">
      <c r="A150" t="s">
        <v>213</v>
      </c>
      <c r="B150" s="15">
        <f>INDEX('GLB.Ts+dSST (4)'!$B$3:$M$149,MATCH(VALUE(RIGHT(A150,4)),'GLB.Ts+dSST (4)'!$A$3:$A$149,0),VALUE(LEFT(A150,FIND("/",A150)-1)))</f>
        <v>-0.23</v>
      </c>
      <c r="C150" s="15">
        <f t="shared" si="4"/>
        <v>13.77</v>
      </c>
      <c r="D150" s="15">
        <f t="shared" si="5"/>
        <v>56.786000000000001</v>
      </c>
    </row>
    <row r="151" spans="1:4" ht="15" customHeight="1">
      <c r="A151" t="s">
        <v>214</v>
      </c>
      <c r="B151" s="15">
        <f>INDEX('GLB.Ts+dSST (4)'!$B$3:$M$149,MATCH(VALUE(RIGHT(A151,4)),'GLB.Ts+dSST (4)'!$A$3:$A$149,0),VALUE(LEFT(A151,FIND("/",A151)-1)))</f>
        <v>-0.22</v>
      </c>
      <c r="C151" s="15">
        <f t="shared" si="4"/>
        <v>13.78</v>
      </c>
      <c r="D151" s="15">
        <f t="shared" si="5"/>
        <v>56.804000000000002</v>
      </c>
    </row>
    <row r="152" spans="1:4" ht="15" customHeight="1">
      <c r="A152" t="s">
        <v>215</v>
      </c>
      <c r="B152" s="15">
        <f>INDEX('GLB.Ts+dSST (4)'!$B$3:$M$149,MATCH(VALUE(RIGHT(A152,4)),'GLB.Ts+dSST (4)'!$A$3:$A$149,0),VALUE(LEFT(A152,FIND("/",A152)-1)))</f>
        <v>-0.32</v>
      </c>
      <c r="C152" s="15">
        <f t="shared" si="4"/>
        <v>13.68</v>
      </c>
      <c r="D152" s="15">
        <f t="shared" si="5"/>
        <v>56.623999999999995</v>
      </c>
    </row>
    <row r="153" spans="1:4" ht="15" customHeight="1">
      <c r="A153" t="s">
        <v>216</v>
      </c>
      <c r="B153" s="15">
        <f>INDEX('GLB.Ts+dSST (4)'!$B$3:$M$149,MATCH(VALUE(RIGHT(A153,4)),'GLB.Ts+dSST (4)'!$A$3:$A$149,0),VALUE(LEFT(A153,FIND("/",A153)-1)))</f>
        <v>-0.27</v>
      </c>
      <c r="C153" s="15">
        <f t="shared" si="4"/>
        <v>13.73</v>
      </c>
      <c r="D153" s="15">
        <f t="shared" si="5"/>
        <v>56.713999999999999</v>
      </c>
    </row>
    <row r="154" spans="1:4" ht="15" customHeight="1">
      <c r="A154" t="s">
        <v>217</v>
      </c>
      <c r="B154" s="15">
        <f>INDEX('GLB.Ts+dSST (4)'!$B$3:$M$149,MATCH(VALUE(RIGHT(A154,4)),'GLB.Ts+dSST (4)'!$A$3:$A$149,0),VALUE(LEFT(A154,FIND("/",A154)-1)))</f>
        <v>-0.17</v>
      </c>
      <c r="C154" s="15">
        <f t="shared" si="4"/>
        <v>13.83</v>
      </c>
      <c r="D154" s="15">
        <f t="shared" si="5"/>
        <v>56.894000000000005</v>
      </c>
    </row>
    <row r="155" spans="1:4" ht="15" customHeight="1">
      <c r="A155" t="s">
        <v>218</v>
      </c>
      <c r="B155" s="15">
        <f>INDEX('GLB.Ts+dSST (4)'!$B$3:$M$149,MATCH(VALUE(RIGHT(A155,4)),'GLB.Ts+dSST (4)'!$A$3:$A$149,0),VALUE(LEFT(A155,FIND("/",A155)-1)))</f>
        <v>-0.14000000000000001</v>
      </c>
      <c r="C155" s="15">
        <f t="shared" si="4"/>
        <v>13.86</v>
      </c>
      <c r="D155" s="15">
        <f t="shared" si="5"/>
        <v>56.948</v>
      </c>
    </row>
    <row r="156" spans="1:4" ht="15" customHeight="1">
      <c r="A156" t="s">
        <v>219</v>
      </c>
      <c r="B156" s="15">
        <f>INDEX('GLB.Ts+dSST (4)'!$B$3:$M$149,MATCH(VALUE(RIGHT(A156,4)),'GLB.Ts+dSST (4)'!$A$3:$A$149,0),VALUE(LEFT(A156,FIND("/",A156)-1)))</f>
        <v>-0.43</v>
      </c>
      <c r="C156" s="15">
        <f t="shared" si="4"/>
        <v>13.57</v>
      </c>
      <c r="D156" s="15">
        <f t="shared" si="5"/>
        <v>56.426000000000002</v>
      </c>
    </row>
    <row r="157" spans="1:4" ht="15" customHeight="1">
      <c r="A157" t="s">
        <v>220</v>
      </c>
      <c r="B157" s="15">
        <f>INDEX('GLB.Ts+dSST (4)'!$B$3:$M$149,MATCH(VALUE(RIGHT(A157,4)),'GLB.Ts+dSST (4)'!$A$3:$A$149,0),VALUE(LEFT(A157,FIND("/",A157)-1)))</f>
        <v>-0.4</v>
      </c>
      <c r="C157" s="15">
        <f t="shared" si="4"/>
        <v>13.6</v>
      </c>
      <c r="D157" s="15">
        <f t="shared" si="5"/>
        <v>56.480000000000004</v>
      </c>
    </row>
    <row r="158" spans="1:4" ht="15" customHeight="1">
      <c r="A158" t="s">
        <v>221</v>
      </c>
      <c r="B158" s="15">
        <f>INDEX('GLB.Ts+dSST (4)'!$B$3:$M$149,MATCH(VALUE(RIGHT(A158,4)),'GLB.Ts+dSST (4)'!$A$3:$A$149,0),VALUE(LEFT(A158,FIND("/",A158)-1)))</f>
        <v>-0.81</v>
      </c>
      <c r="C158" s="15">
        <f t="shared" si="4"/>
        <v>13.19</v>
      </c>
      <c r="D158" s="15">
        <f t="shared" si="5"/>
        <v>55.742000000000004</v>
      </c>
    </row>
    <row r="159" spans="1:4" ht="15" customHeight="1">
      <c r="A159" t="s">
        <v>222</v>
      </c>
      <c r="B159" s="15">
        <f>INDEX('GLB.Ts+dSST (4)'!$B$3:$M$149,MATCH(VALUE(RIGHT(A159,4)),'GLB.Ts+dSST (4)'!$A$3:$A$149,0),VALUE(LEFT(A159,FIND("/",A159)-1)))</f>
        <v>-0.56999999999999995</v>
      </c>
      <c r="C159" s="15">
        <f t="shared" si="4"/>
        <v>13.43</v>
      </c>
      <c r="D159" s="15">
        <f t="shared" si="5"/>
        <v>56.173999999999999</v>
      </c>
    </row>
    <row r="160" spans="1:4" ht="15" customHeight="1">
      <c r="A160" t="s">
        <v>223</v>
      </c>
      <c r="B160" s="15">
        <f>INDEX('GLB.Ts+dSST (4)'!$B$3:$M$149,MATCH(VALUE(RIGHT(A160,4)),'GLB.Ts+dSST (4)'!$A$3:$A$149,0),VALUE(LEFT(A160,FIND("/",A160)-1)))</f>
        <v>-0.23</v>
      </c>
      <c r="C160" s="15">
        <f t="shared" si="4"/>
        <v>13.77</v>
      </c>
      <c r="D160" s="15">
        <f t="shared" si="5"/>
        <v>56.786000000000001</v>
      </c>
    </row>
    <row r="161" spans="1:4" ht="15" customHeight="1">
      <c r="A161" t="s">
        <v>224</v>
      </c>
      <c r="B161" s="15">
        <f>INDEX('GLB.Ts+dSST (4)'!$B$3:$M$149,MATCH(VALUE(RIGHT(A161,4)),'GLB.Ts+dSST (4)'!$A$3:$A$149,0),VALUE(LEFT(A161,FIND("/",A161)-1)))</f>
        <v>-0.28000000000000003</v>
      </c>
      <c r="C161" s="15">
        <f t="shared" si="4"/>
        <v>13.72</v>
      </c>
      <c r="D161" s="15">
        <f t="shared" si="5"/>
        <v>56.695999999999998</v>
      </c>
    </row>
    <row r="162" spans="1:4" ht="15" customHeight="1">
      <c r="A162" t="s">
        <v>225</v>
      </c>
      <c r="B162" s="15">
        <f>INDEX('GLB.Ts+dSST (4)'!$B$3:$M$149,MATCH(VALUE(RIGHT(A162,4)),'GLB.Ts+dSST (4)'!$A$3:$A$149,0),VALUE(LEFT(A162,FIND("/",A162)-1)))</f>
        <v>-0.34</v>
      </c>
      <c r="C162" s="15">
        <f t="shared" si="4"/>
        <v>13.66</v>
      </c>
      <c r="D162" s="15">
        <f t="shared" si="5"/>
        <v>56.588000000000001</v>
      </c>
    </row>
    <row r="163" spans="1:4" ht="15" customHeight="1">
      <c r="A163" t="s">
        <v>226</v>
      </c>
      <c r="B163" s="15">
        <f>INDEX('GLB.Ts+dSST (4)'!$B$3:$M$149,MATCH(VALUE(RIGHT(A163,4)),'GLB.Ts+dSST (4)'!$A$3:$A$149,0),VALUE(LEFT(A163,FIND("/",A163)-1)))</f>
        <v>-0.26</v>
      </c>
      <c r="C163" s="15">
        <f t="shared" si="4"/>
        <v>13.74</v>
      </c>
      <c r="D163" s="15">
        <f t="shared" si="5"/>
        <v>56.731999999999999</v>
      </c>
    </row>
    <row r="164" spans="1:4" ht="15" customHeight="1">
      <c r="A164" t="s">
        <v>227</v>
      </c>
      <c r="B164" s="15">
        <f>INDEX('GLB.Ts+dSST (4)'!$B$3:$M$149,MATCH(VALUE(RIGHT(A164,4)),'GLB.Ts+dSST (4)'!$A$3:$A$149,0),VALUE(LEFT(A164,FIND("/",A164)-1)))</f>
        <v>-0.14000000000000001</v>
      </c>
      <c r="C164" s="15">
        <f t="shared" si="4"/>
        <v>13.86</v>
      </c>
      <c r="D164" s="15">
        <f t="shared" si="5"/>
        <v>56.948</v>
      </c>
    </row>
    <row r="165" spans="1:4" ht="15" customHeight="1">
      <c r="A165" t="s">
        <v>228</v>
      </c>
      <c r="B165" s="15">
        <f>INDEX('GLB.Ts+dSST (4)'!$B$3:$M$149,MATCH(VALUE(RIGHT(A165,4)),'GLB.Ts+dSST (4)'!$A$3:$A$149,0),VALUE(LEFT(A165,FIND("/",A165)-1)))</f>
        <v>-0.25</v>
      </c>
      <c r="C165" s="15">
        <f t="shared" si="4"/>
        <v>13.75</v>
      </c>
      <c r="D165" s="15">
        <f t="shared" si="5"/>
        <v>56.75</v>
      </c>
    </row>
    <row r="166" spans="1:4" ht="15" customHeight="1">
      <c r="A166" t="s">
        <v>229</v>
      </c>
      <c r="B166" s="15">
        <f>INDEX('GLB.Ts+dSST (4)'!$B$3:$M$149,MATCH(VALUE(RIGHT(A166,4)),'GLB.Ts+dSST (4)'!$A$3:$A$149,0),VALUE(LEFT(A166,FIND("/",A166)-1)))</f>
        <v>-0.22</v>
      </c>
      <c r="C166" s="15">
        <f t="shared" si="4"/>
        <v>13.78</v>
      </c>
      <c r="D166" s="15">
        <f t="shared" si="5"/>
        <v>56.804000000000002</v>
      </c>
    </row>
    <row r="167" spans="1:4" ht="15" customHeight="1">
      <c r="A167" t="s">
        <v>230</v>
      </c>
      <c r="B167" s="15">
        <f>INDEX('GLB.Ts+dSST (4)'!$B$3:$M$149,MATCH(VALUE(RIGHT(A167,4)),'GLB.Ts+dSST (4)'!$A$3:$A$149,0),VALUE(LEFT(A167,FIND("/",A167)-1)))</f>
        <v>-0.18</v>
      </c>
      <c r="C167" s="15">
        <f t="shared" si="4"/>
        <v>13.82</v>
      </c>
      <c r="D167" s="15">
        <f t="shared" si="5"/>
        <v>56.876000000000005</v>
      </c>
    </row>
    <row r="168" spans="1:4" ht="15" customHeight="1">
      <c r="A168" t="s">
        <v>231</v>
      </c>
      <c r="B168" s="15">
        <f>INDEX('GLB.Ts+dSST (4)'!$B$3:$M$149,MATCH(VALUE(RIGHT(A168,4)),'GLB.Ts+dSST (4)'!$A$3:$A$149,0),VALUE(LEFT(A168,FIND("/",A168)-1)))</f>
        <v>-0.19</v>
      </c>
      <c r="C168" s="15">
        <f t="shared" si="4"/>
        <v>13.81</v>
      </c>
      <c r="D168" s="15">
        <f t="shared" si="5"/>
        <v>56.858000000000004</v>
      </c>
    </row>
    <row r="169" spans="1:4" ht="15" customHeight="1">
      <c r="A169" t="s">
        <v>232</v>
      </c>
      <c r="B169" s="15">
        <f>INDEX('GLB.Ts+dSST (4)'!$B$3:$M$149,MATCH(VALUE(RIGHT(A169,4)),'GLB.Ts+dSST (4)'!$A$3:$A$149,0),VALUE(LEFT(A169,FIND("/",A169)-1)))</f>
        <v>-0.32</v>
      </c>
      <c r="C169" s="15">
        <f t="shared" si="4"/>
        <v>13.68</v>
      </c>
      <c r="D169" s="15">
        <f t="shared" si="5"/>
        <v>56.623999999999995</v>
      </c>
    </row>
    <row r="170" spans="1:4" ht="15" customHeight="1">
      <c r="A170" t="s">
        <v>233</v>
      </c>
      <c r="B170" s="15">
        <f>INDEX('GLB.Ts+dSST (4)'!$B$3:$M$149,MATCH(VALUE(RIGHT(A170,4)),'GLB.Ts+dSST (4)'!$A$3:$A$149,0),VALUE(LEFT(A170,FIND("/",A170)-1)))</f>
        <v>-0.53</v>
      </c>
      <c r="C170" s="15">
        <f t="shared" si="4"/>
        <v>13.47</v>
      </c>
      <c r="D170" s="15">
        <f t="shared" si="5"/>
        <v>56.246000000000002</v>
      </c>
    </row>
    <row r="171" spans="1:4" ht="15" customHeight="1">
      <c r="A171" t="s">
        <v>234</v>
      </c>
      <c r="B171" s="15">
        <f>INDEX('GLB.Ts+dSST (4)'!$B$3:$M$149,MATCH(VALUE(RIGHT(A171,4)),'GLB.Ts+dSST (4)'!$A$3:$A$149,0),VALUE(LEFT(A171,FIND("/",A171)-1)))</f>
        <v>-0.3</v>
      </c>
      <c r="C171" s="15">
        <f t="shared" si="4"/>
        <v>13.7</v>
      </c>
      <c r="D171" s="15">
        <f t="shared" si="5"/>
        <v>56.66</v>
      </c>
    </row>
    <row r="172" spans="1:4" ht="15" customHeight="1">
      <c r="A172" t="s">
        <v>235</v>
      </c>
      <c r="B172" s="15">
        <f>INDEX('GLB.Ts+dSST (4)'!$B$3:$M$149,MATCH(VALUE(RIGHT(A172,4)),'GLB.Ts+dSST (4)'!$A$3:$A$149,0),VALUE(LEFT(A172,FIND("/",A172)-1)))</f>
        <v>-0.24</v>
      </c>
      <c r="C172" s="15">
        <f t="shared" si="4"/>
        <v>13.76</v>
      </c>
      <c r="D172" s="15">
        <f t="shared" si="5"/>
        <v>56.768000000000001</v>
      </c>
    </row>
    <row r="173" spans="1:4" ht="15" customHeight="1">
      <c r="A173" t="s">
        <v>236</v>
      </c>
      <c r="B173" s="15">
        <f>INDEX('GLB.Ts+dSST (4)'!$B$3:$M$149,MATCH(VALUE(RIGHT(A173,4)),'GLB.Ts+dSST (4)'!$A$3:$A$149,0),VALUE(LEFT(A173,FIND("/",A173)-1)))</f>
        <v>-0.45</v>
      </c>
      <c r="C173" s="15">
        <f t="shared" si="4"/>
        <v>13.55</v>
      </c>
      <c r="D173" s="15">
        <f t="shared" si="5"/>
        <v>56.39</v>
      </c>
    </row>
    <row r="174" spans="1:4" ht="15" customHeight="1">
      <c r="A174" t="s">
        <v>237</v>
      </c>
      <c r="B174" s="15">
        <f>INDEX('GLB.Ts+dSST (4)'!$B$3:$M$149,MATCH(VALUE(RIGHT(A174,4)),'GLB.Ts+dSST (4)'!$A$3:$A$149,0),VALUE(LEFT(A174,FIND("/",A174)-1)))</f>
        <v>-0.32</v>
      </c>
      <c r="C174" s="15">
        <f t="shared" si="4"/>
        <v>13.68</v>
      </c>
      <c r="D174" s="15">
        <f t="shared" si="5"/>
        <v>56.623999999999995</v>
      </c>
    </row>
    <row r="175" spans="1:4" ht="15" customHeight="1">
      <c r="A175" t="s">
        <v>238</v>
      </c>
      <c r="B175" s="15">
        <f>INDEX('GLB.Ts+dSST (4)'!$B$3:$M$149,MATCH(VALUE(RIGHT(A175,4)),'GLB.Ts+dSST (4)'!$A$3:$A$149,0),VALUE(LEFT(A175,FIND("/",A175)-1)))</f>
        <v>-0.41</v>
      </c>
      <c r="C175" s="15">
        <f t="shared" si="4"/>
        <v>13.59</v>
      </c>
      <c r="D175" s="15">
        <f t="shared" si="5"/>
        <v>56.462000000000003</v>
      </c>
    </row>
    <row r="176" spans="1:4" ht="15" customHeight="1">
      <c r="A176" t="s">
        <v>239</v>
      </c>
      <c r="B176" s="15">
        <f>INDEX('GLB.Ts+dSST (4)'!$B$3:$M$149,MATCH(VALUE(RIGHT(A176,4)),'GLB.Ts+dSST (4)'!$A$3:$A$149,0),VALUE(LEFT(A176,FIND("/",A176)-1)))</f>
        <v>-0.24</v>
      </c>
      <c r="C176" s="15">
        <f t="shared" si="4"/>
        <v>13.76</v>
      </c>
      <c r="D176" s="15">
        <f t="shared" si="5"/>
        <v>56.768000000000001</v>
      </c>
    </row>
    <row r="177" spans="1:4" ht="15" customHeight="1">
      <c r="A177" t="s">
        <v>240</v>
      </c>
      <c r="B177" s="15">
        <f>INDEX('GLB.Ts+dSST (4)'!$B$3:$M$149,MATCH(VALUE(RIGHT(A177,4)),'GLB.Ts+dSST (4)'!$A$3:$A$149,0),VALUE(LEFT(A177,FIND("/",A177)-1)))</f>
        <v>-0.24</v>
      </c>
      <c r="C177" s="15">
        <f t="shared" si="4"/>
        <v>13.76</v>
      </c>
      <c r="D177" s="15">
        <f t="shared" si="5"/>
        <v>56.768000000000001</v>
      </c>
    </row>
    <row r="178" spans="1:4" ht="15" customHeight="1">
      <c r="A178" t="s">
        <v>241</v>
      </c>
      <c r="B178" s="15">
        <f>INDEX('GLB.Ts+dSST (4)'!$B$3:$M$149,MATCH(VALUE(RIGHT(A178,4)),'GLB.Ts+dSST (4)'!$A$3:$A$149,0),VALUE(LEFT(A178,FIND("/",A178)-1)))</f>
        <v>-0.28000000000000003</v>
      </c>
      <c r="C178" s="15">
        <f t="shared" si="4"/>
        <v>13.72</v>
      </c>
      <c r="D178" s="15">
        <f t="shared" si="5"/>
        <v>56.695999999999998</v>
      </c>
    </row>
    <row r="179" spans="1:4" ht="15" customHeight="1">
      <c r="A179" t="s">
        <v>242</v>
      </c>
      <c r="B179" s="15">
        <f>INDEX('GLB.Ts+dSST (4)'!$B$3:$M$149,MATCH(VALUE(RIGHT(A179,4)),'GLB.Ts+dSST (4)'!$A$3:$A$149,0),VALUE(LEFT(A179,FIND("/",A179)-1)))</f>
        <v>-0.23</v>
      </c>
      <c r="C179" s="15">
        <f t="shared" si="4"/>
        <v>13.77</v>
      </c>
      <c r="D179" s="15">
        <f t="shared" si="5"/>
        <v>56.786000000000001</v>
      </c>
    </row>
    <row r="180" spans="1:4" ht="15" customHeight="1">
      <c r="A180" t="s">
        <v>243</v>
      </c>
      <c r="B180" s="15">
        <f>INDEX('GLB.Ts+dSST (4)'!$B$3:$M$149,MATCH(VALUE(RIGHT(A180,4)),'GLB.Ts+dSST (4)'!$A$3:$A$149,0),VALUE(LEFT(A180,FIND("/",A180)-1)))</f>
        <v>-0.26</v>
      </c>
      <c r="C180" s="15">
        <f t="shared" si="4"/>
        <v>13.74</v>
      </c>
      <c r="D180" s="15">
        <f t="shared" si="5"/>
        <v>56.731999999999999</v>
      </c>
    </row>
    <row r="181" spans="1:4" ht="15" customHeight="1">
      <c r="A181" t="s">
        <v>244</v>
      </c>
      <c r="B181" s="15">
        <f>INDEX('GLB.Ts+dSST (4)'!$B$3:$M$149,MATCH(VALUE(RIGHT(A181,4)),'GLB.Ts+dSST (4)'!$A$3:$A$149,0),VALUE(LEFT(A181,FIND("/",A181)-1)))</f>
        <v>-0.21</v>
      </c>
      <c r="C181" s="15">
        <f t="shared" si="4"/>
        <v>13.79</v>
      </c>
      <c r="D181" s="15">
        <f t="shared" si="5"/>
        <v>56.822000000000003</v>
      </c>
    </row>
    <row r="182" spans="1:4" ht="15" customHeight="1">
      <c r="A182" t="s">
        <v>245</v>
      </c>
      <c r="B182" s="15">
        <f>INDEX('GLB.Ts+dSST (4)'!$B$3:$M$149,MATCH(VALUE(RIGHT(A182,4)),'GLB.Ts+dSST (4)'!$A$3:$A$149,0),VALUE(LEFT(A182,FIND("/",A182)-1)))</f>
        <v>-0.41</v>
      </c>
      <c r="C182" s="15">
        <f t="shared" si="4"/>
        <v>13.59</v>
      </c>
      <c r="D182" s="15">
        <f t="shared" si="5"/>
        <v>56.462000000000003</v>
      </c>
    </row>
    <row r="183" spans="1:4" ht="15" customHeight="1">
      <c r="A183" t="s">
        <v>246</v>
      </c>
      <c r="B183" s="15">
        <f>INDEX('GLB.Ts+dSST (4)'!$B$3:$M$149,MATCH(VALUE(RIGHT(A183,4)),'GLB.Ts+dSST (4)'!$A$3:$A$149,0),VALUE(LEFT(A183,FIND("/",A183)-1)))</f>
        <v>-0.43</v>
      </c>
      <c r="C183" s="15">
        <f t="shared" si="4"/>
        <v>13.57</v>
      </c>
      <c r="D183" s="15">
        <f t="shared" si="5"/>
        <v>56.426000000000002</v>
      </c>
    </row>
    <row r="184" spans="1:4" ht="15" customHeight="1">
      <c r="A184" t="s">
        <v>247</v>
      </c>
      <c r="B184" s="15">
        <f>INDEX('GLB.Ts+dSST (4)'!$B$3:$M$149,MATCH(VALUE(RIGHT(A184,4)),'GLB.Ts+dSST (4)'!$A$3:$A$149,0),VALUE(LEFT(A184,FIND("/",A184)-1)))</f>
        <v>-0.33</v>
      </c>
      <c r="C184" s="15">
        <f t="shared" si="4"/>
        <v>13.67</v>
      </c>
      <c r="D184" s="15">
        <f t="shared" si="5"/>
        <v>56.606000000000002</v>
      </c>
    </row>
    <row r="185" spans="1:4" ht="15" customHeight="1">
      <c r="A185" t="s">
        <v>248</v>
      </c>
      <c r="B185" s="15">
        <f>INDEX('GLB.Ts+dSST (4)'!$B$3:$M$149,MATCH(VALUE(RIGHT(A185,4)),'GLB.Ts+dSST (4)'!$A$3:$A$149,0),VALUE(LEFT(A185,FIND("/",A185)-1)))</f>
        <v>-0.22</v>
      </c>
      <c r="C185" s="15">
        <f t="shared" si="4"/>
        <v>13.78</v>
      </c>
      <c r="D185" s="15">
        <f t="shared" si="5"/>
        <v>56.804000000000002</v>
      </c>
    </row>
    <row r="186" spans="1:4" ht="15" customHeight="1">
      <c r="A186" t="s">
        <v>249</v>
      </c>
      <c r="B186" s="15">
        <f>INDEX('GLB.Ts+dSST (4)'!$B$3:$M$149,MATCH(VALUE(RIGHT(A186,4)),'GLB.Ts+dSST (4)'!$A$3:$A$149,0),VALUE(LEFT(A186,FIND("/",A186)-1)))</f>
        <v>-0.27</v>
      </c>
      <c r="C186" s="15">
        <f t="shared" si="4"/>
        <v>13.73</v>
      </c>
      <c r="D186" s="15">
        <f t="shared" si="5"/>
        <v>56.713999999999999</v>
      </c>
    </row>
    <row r="187" spans="1:4" ht="15" customHeight="1">
      <c r="A187" t="s">
        <v>250</v>
      </c>
      <c r="B187" s="15">
        <f>INDEX('GLB.Ts+dSST (4)'!$B$3:$M$149,MATCH(VALUE(RIGHT(A187,4)),'GLB.Ts+dSST (4)'!$A$3:$A$149,0),VALUE(LEFT(A187,FIND("/",A187)-1)))</f>
        <v>-0.21</v>
      </c>
      <c r="C187" s="15">
        <f t="shared" si="4"/>
        <v>13.79</v>
      </c>
      <c r="D187" s="15">
        <f t="shared" si="5"/>
        <v>56.822000000000003</v>
      </c>
    </row>
    <row r="188" spans="1:4" ht="15" customHeight="1">
      <c r="A188" t="s">
        <v>251</v>
      </c>
      <c r="B188" s="15">
        <f>INDEX('GLB.Ts+dSST (4)'!$B$3:$M$149,MATCH(VALUE(RIGHT(A188,4)),'GLB.Ts+dSST (4)'!$A$3:$A$149,0),VALUE(LEFT(A188,FIND("/",A188)-1)))</f>
        <v>-0.17</v>
      </c>
      <c r="C188" s="15">
        <f t="shared" si="4"/>
        <v>13.83</v>
      </c>
      <c r="D188" s="15">
        <f t="shared" si="5"/>
        <v>56.894000000000005</v>
      </c>
    </row>
    <row r="189" spans="1:4" ht="15" customHeight="1">
      <c r="A189" t="s">
        <v>252</v>
      </c>
      <c r="B189" s="15">
        <f>INDEX('GLB.Ts+dSST (4)'!$B$3:$M$149,MATCH(VALUE(RIGHT(A189,4)),'GLB.Ts+dSST (4)'!$A$3:$A$149,0),VALUE(LEFT(A189,FIND("/",A189)-1)))</f>
        <v>-0.17</v>
      </c>
      <c r="C189" s="15">
        <f t="shared" si="4"/>
        <v>13.83</v>
      </c>
      <c r="D189" s="15">
        <f t="shared" si="5"/>
        <v>56.894000000000005</v>
      </c>
    </row>
    <row r="190" spans="1:4" ht="15" customHeight="1">
      <c r="A190" t="s">
        <v>253</v>
      </c>
      <c r="B190" s="15">
        <f>INDEX('GLB.Ts+dSST (4)'!$B$3:$M$149,MATCH(VALUE(RIGHT(A190,4)),'GLB.Ts+dSST (4)'!$A$3:$A$149,0),VALUE(LEFT(A190,FIND("/",A190)-1)))</f>
        <v>-0.12</v>
      </c>
      <c r="C190" s="15">
        <f t="shared" si="4"/>
        <v>13.88</v>
      </c>
      <c r="D190" s="15">
        <f t="shared" si="5"/>
        <v>56.984000000000002</v>
      </c>
    </row>
    <row r="191" spans="1:4" ht="15" customHeight="1">
      <c r="A191" t="s">
        <v>254</v>
      </c>
      <c r="B191" s="15">
        <f>INDEX('GLB.Ts+dSST (4)'!$B$3:$M$149,MATCH(VALUE(RIGHT(A191,4)),'GLB.Ts+dSST (4)'!$A$3:$A$149,0),VALUE(LEFT(A191,FIND("/",A191)-1)))</f>
        <v>-0.11</v>
      </c>
      <c r="C191" s="15">
        <f t="shared" si="4"/>
        <v>13.89</v>
      </c>
      <c r="D191" s="15">
        <f t="shared" si="5"/>
        <v>57.002000000000002</v>
      </c>
    </row>
    <row r="192" spans="1:4" ht="15" customHeight="1">
      <c r="A192" t="s">
        <v>255</v>
      </c>
      <c r="B192" s="15">
        <f>INDEX('GLB.Ts+dSST (4)'!$B$3:$M$149,MATCH(VALUE(RIGHT(A192,4)),'GLB.Ts+dSST (4)'!$A$3:$A$149,0),VALUE(LEFT(A192,FIND("/",A192)-1)))</f>
        <v>-0.17</v>
      </c>
      <c r="C192" s="15">
        <f t="shared" si="4"/>
        <v>13.83</v>
      </c>
      <c r="D192" s="15">
        <f t="shared" si="5"/>
        <v>56.894000000000005</v>
      </c>
    </row>
    <row r="193" spans="1:4" ht="15" customHeight="1">
      <c r="A193" t="s">
        <v>256</v>
      </c>
      <c r="B193" s="15">
        <f>INDEX('GLB.Ts+dSST (4)'!$B$3:$M$149,MATCH(VALUE(RIGHT(A193,4)),'GLB.Ts+dSST (4)'!$A$3:$A$149,0),VALUE(LEFT(A193,FIND("/",A193)-1)))</f>
        <v>-0.15</v>
      </c>
      <c r="C193" s="15">
        <f t="shared" si="4"/>
        <v>13.85</v>
      </c>
      <c r="D193" s="15">
        <f t="shared" si="5"/>
        <v>56.93</v>
      </c>
    </row>
    <row r="194" spans="1:4" ht="15" customHeight="1">
      <c r="A194" t="s">
        <v>257</v>
      </c>
      <c r="B194" s="15">
        <f>INDEX('GLB.Ts+dSST (4)'!$B$3:$M$149,MATCH(VALUE(RIGHT(A194,4)),'GLB.Ts+dSST (4)'!$A$3:$A$149,0),VALUE(LEFT(A194,FIND("/",A194)-1)))</f>
        <v>-0.23</v>
      </c>
      <c r="C194" s="15">
        <f t="shared" ref="C194:C257" si="6">B194+14</f>
        <v>13.77</v>
      </c>
      <c r="D194" s="15">
        <f t="shared" ref="D194:D257" si="7">C194*(9/5)+32</f>
        <v>56.786000000000001</v>
      </c>
    </row>
    <row r="195" spans="1:4" ht="15" customHeight="1">
      <c r="A195" t="s">
        <v>258</v>
      </c>
      <c r="B195" s="15">
        <f>INDEX('GLB.Ts+dSST (4)'!$B$3:$M$149,MATCH(VALUE(RIGHT(A195,4)),'GLB.Ts+dSST (4)'!$A$3:$A$149,0),VALUE(LEFT(A195,FIND("/",A195)-1)))</f>
        <v>-0.13</v>
      </c>
      <c r="C195" s="15">
        <f t="shared" si="6"/>
        <v>13.87</v>
      </c>
      <c r="D195" s="15">
        <f t="shared" si="7"/>
        <v>56.965999999999994</v>
      </c>
    </row>
    <row r="196" spans="1:4" ht="15" customHeight="1">
      <c r="A196" t="s">
        <v>259</v>
      </c>
      <c r="B196" s="15">
        <f>INDEX('GLB.Ts+dSST (4)'!$B$3:$M$149,MATCH(VALUE(RIGHT(A196,4)),'GLB.Ts+dSST (4)'!$A$3:$A$149,0),VALUE(LEFT(A196,FIND("/",A196)-1)))</f>
        <v>-0.27</v>
      </c>
      <c r="C196" s="15">
        <f t="shared" si="6"/>
        <v>13.73</v>
      </c>
      <c r="D196" s="15">
        <f t="shared" si="7"/>
        <v>56.713999999999999</v>
      </c>
    </row>
    <row r="197" spans="1:4" ht="15" customHeight="1">
      <c r="A197" t="s">
        <v>260</v>
      </c>
      <c r="B197" s="15">
        <f>INDEX('GLB.Ts+dSST (4)'!$B$3:$M$149,MATCH(VALUE(RIGHT(A197,4)),'GLB.Ts+dSST (4)'!$A$3:$A$149,0),VALUE(LEFT(A197,FIND("/",A197)-1)))</f>
        <v>-0.31</v>
      </c>
      <c r="C197" s="15">
        <f t="shared" si="6"/>
        <v>13.69</v>
      </c>
      <c r="D197" s="15">
        <f t="shared" si="7"/>
        <v>56.641999999999996</v>
      </c>
    </row>
    <row r="198" spans="1:4" ht="15" customHeight="1">
      <c r="A198" t="s">
        <v>261</v>
      </c>
      <c r="B198" s="15">
        <f>INDEX('GLB.Ts+dSST (4)'!$B$3:$M$149,MATCH(VALUE(RIGHT(A198,4)),'GLB.Ts+dSST (4)'!$A$3:$A$149,0),VALUE(LEFT(A198,FIND("/",A198)-1)))</f>
        <v>-0.16</v>
      </c>
      <c r="C198" s="15">
        <f t="shared" si="6"/>
        <v>13.84</v>
      </c>
      <c r="D198" s="15">
        <f t="shared" si="7"/>
        <v>56.911999999999999</v>
      </c>
    </row>
    <row r="199" spans="1:4" ht="15" customHeight="1">
      <c r="A199" t="s">
        <v>262</v>
      </c>
      <c r="B199" s="15">
        <f>INDEX('GLB.Ts+dSST (4)'!$B$3:$M$149,MATCH(VALUE(RIGHT(A199,4)),'GLB.Ts+dSST (4)'!$A$3:$A$149,0),VALUE(LEFT(A199,FIND("/",A199)-1)))</f>
        <v>-0.12</v>
      </c>
      <c r="C199" s="15">
        <f t="shared" si="6"/>
        <v>13.88</v>
      </c>
      <c r="D199" s="15">
        <f t="shared" si="7"/>
        <v>56.984000000000002</v>
      </c>
    </row>
    <row r="200" spans="1:4" ht="15" customHeight="1">
      <c r="A200" t="s">
        <v>263</v>
      </c>
      <c r="B200" s="15">
        <f>INDEX('GLB.Ts+dSST (4)'!$B$3:$M$149,MATCH(VALUE(RIGHT(A200,4)),'GLB.Ts+dSST (4)'!$A$3:$A$149,0),VALUE(LEFT(A200,FIND("/",A200)-1)))</f>
        <v>-0.03</v>
      </c>
      <c r="C200" s="15">
        <f t="shared" si="6"/>
        <v>13.97</v>
      </c>
      <c r="D200" s="15">
        <f t="shared" si="7"/>
        <v>57.146000000000001</v>
      </c>
    </row>
    <row r="201" spans="1:4" ht="15" customHeight="1">
      <c r="A201" t="s">
        <v>264</v>
      </c>
      <c r="B201" s="15">
        <f>INDEX('GLB.Ts+dSST (4)'!$B$3:$M$149,MATCH(VALUE(RIGHT(A201,4)),'GLB.Ts+dSST (4)'!$A$3:$A$149,0),VALUE(LEFT(A201,FIND("/",A201)-1)))</f>
        <v>-0.06</v>
      </c>
      <c r="C201" s="15">
        <f t="shared" si="6"/>
        <v>13.94</v>
      </c>
      <c r="D201" s="15">
        <f t="shared" si="7"/>
        <v>57.091999999999999</v>
      </c>
    </row>
    <row r="202" spans="1:4" ht="15" customHeight="1">
      <c r="A202" t="s">
        <v>265</v>
      </c>
      <c r="B202" s="15">
        <f>INDEX('GLB.Ts+dSST (4)'!$B$3:$M$149,MATCH(VALUE(RIGHT(A202,4)),'GLB.Ts+dSST (4)'!$A$3:$A$149,0),VALUE(LEFT(A202,FIND("/",A202)-1)))</f>
        <v>-0.08</v>
      </c>
      <c r="C202" s="15">
        <f t="shared" si="6"/>
        <v>13.92</v>
      </c>
      <c r="D202" s="15">
        <f t="shared" si="7"/>
        <v>57.055999999999997</v>
      </c>
    </row>
    <row r="203" spans="1:4" ht="15" customHeight="1">
      <c r="A203" t="s">
        <v>266</v>
      </c>
      <c r="B203" s="15">
        <f>INDEX('GLB.Ts+dSST (4)'!$B$3:$M$149,MATCH(VALUE(RIGHT(A203,4)),'GLB.Ts+dSST (4)'!$A$3:$A$149,0),VALUE(LEFT(A203,FIND("/",A203)-1)))</f>
        <v>0.06</v>
      </c>
      <c r="C203" s="15">
        <f t="shared" si="6"/>
        <v>14.06</v>
      </c>
      <c r="D203" s="15">
        <f t="shared" si="7"/>
        <v>57.308</v>
      </c>
    </row>
    <row r="204" spans="1:4" ht="15" customHeight="1">
      <c r="A204" t="s">
        <v>267</v>
      </c>
      <c r="B204" s="15">
        <f>INDEX('GLB.Ts+dSST (4)'!$B$3:$M$149,MATCH(VALUE(RIGHT(A204,4)),'GLB.Ts+dSST (4)'!$A$3:$A$149,0),VALUE(LEFT(A204,FIND("/",A204)-1)))</f>
        <v>-0.05</v>
      </c>
      <c r="C204" s="15">
        <f t="shared" si="6"/>
        <v>13.95</v>
      </c>
      <c r="D204" s="15">
        <f t="shared" si="7"/>
        <v>57.11</v>
      </c>
    </row>
    <row r="205" spans="1:4" ht="15" customHeight="1">
      <c r="A205" t="s">
        <v>268</v>
      </c>
      <c r="B205" s="15">
        <f>INDEX('GLB.Ts+dSST (4)'!$B$3:$M$149,MATCH(VALUE(RIGHT(A205,4)),'GLB.Ts+dSST (4)'!$A$3:$A$149,0),VALUE(LEFT(A205,FIND("/",A205)-1)))</f>
        <v>-0.05</v>
      </c>
      <c r="C205" s="15">
        <f t="shared" si="6"/>
        <v>13.95</v>
      </c>
      <c r="D205" s="15">
        <f t="shared" si="7"/>
        <v>57.11</v>
      </c>
    </row>
    <row r="206" spans="1:4" ht="15" customHeight="1">
      <c r="A206" t="s">
        <v>269</v>
      </c>
      <c r="B206" s="15">
        <f>INDEX('GLB.Ts+dSST (4)'!$B$3:$M$149,MATCH(VALUE(RIGHT(A206,4)),'GLB.Ts+dSST (4)'!$A$3:$A$149,0),VALUE(LEFT(A206,FIND("/",A206)-1)))</f>
        <v>-0.16</v>
      </c>
      <c r="C206" s="15">
        <f t="shared" si="6"/>
        <v>13.84</v>
      </c>
      <c r="D206" s="15">
        <f t="shared" si="7"/>
        <v>56.911999999999999</v>
      </c>
    </row>
    <row r="207" spans="1:4" ht="15" customHeight="1">
      <c r="A207" t="s">
        <v>270</v>
      </c>
      <c r="B207" s="15">
        <f>INDEX('GLB.Ts+dSST (4)'!$B$3:$M$149,MATCH(VALUE(RIGHT(A207,4)),'GLB.Ts+dSST (4)'!$A$3:$A$149,0),VALUE(LEFT(A207,FIND("/",A207)-1)))</f>
        <v>-0.17</v>
      </c>
      <c r="C207" s="15">
        <f t="shared" si="6"/>
        <v>13.83</v>
      </c>
      <c r="D207" s="15">
        <f t="shared" si="7"/>
        <v>56.894000000000005</v>
      </c>
    </row>
    <row r="208" spans="1:4" ht="15" customHeight="1">
      <c r="A208" t="s">
        <v>271</v>
      </c>
      <c r="B208" s="15">
        <f>INDEX('GLB.Ts+dSST (4)'!$B$3:$M$149,MATCH(VALUE(RIGHT(A208,4)),'GLB.Ts+dSST (4)'!$A$3:$A$149,0),VALUE(LEFT(A208,FIND("/",A208)-1)))</f>
        <v>-0.14000000000000001</v>
      </c>
      <c r="C208" s="15">
        <f t="shared" si="6"/>
        <v>13.86</v>
      </c>
      <c r="D208" s="15">
        <f t="shared" si="7"/>
        <v>56.948</v>
      </c>
    </row>
    <row r="209" spans="1:4" ht="15" customHeight="1">
      <c r="A209" t="s">
        <v>272</v>
      </c>
      <c r="B209" s="15">
        <f>INDEX('GLB.Ts+dSST (4)'!$B$3:$M$149,MATCH(VALUE(RIGHT(A209,4)),'GLB.Ts+dSST (4)'!$A$3:$A$149,0),VALUE(LEFT(A209,FIND("/",A209)-1)))</f>
        <v>-0.03</v>
      </c>
      <c r="C209" s="15">
        <f t="shared" si="6"/>
        <v>13.97</v>
      </c>
      <c r="D209" s="15">
        <f t="shared" si="7"/>
        <v>57.146000000000001</v>
      </c>
    </row>
    <row r="210" spans="1:4" ht="15" customHeight="1">
      <c r="A210" t="s">
        <v>273</v>
      </c>
      <c r="B210" s="15">
        <f>INDEX('GLB.Ts+dSST (4)'!$B$3:$M$149,MATCH(VALUE(RIGHT(A210,4)),'GLB.Ts+dSST (4)'!$A$3:$A$149,0),VALUE(LEFT(A210,FIND("/",A210)-1)))</f>
        <v>-0.02</v>
      </c>
      <c r="C210" s="15">
        <f t="shared" si="6"/>
        <v>13.98</v>
      </c>
      <c r="D210" s="15">
        <f t="shared" si="7"/>
        <v>57.164000000000001</v>
      </c>
    </row>
    <row r="211" spans="1:4" ht="15" customHeight="1">
      <c r="A211" t="s">
        <v>274</v>
      </c>
      <c r="B211" s="15">
        <f>INDEX('GLB.Ts+dSST (4)'!$B$3:$M$149,MATCH(VALUE(RIGHT(A211,4)),'GLB.Ts+dSST (4)'!$A$3:$A$149,0),VALUE(LEFT(A211,FIND("/",A211)-1)))</f>
        <v>-0.12</v>
      </c>
      <c r="C211" s="15">
        <f t="shared" si="6"/>
        <v>13.88</v>
      </c>
      <c r="D211" s="15">
        <f t="shared" si="7"/>
        <v>56.984000000000002</v>
      </c>
    </row>
    <row r="212" spans="1:4" ht="15" customHeight="1">
      <c r="A212" t="s">
        <v>275</v>
      </c>
      <c r="B212" s="15">
        <f>INDEX('GLB.Ts+dSST (4)'!$B$3:$M$149,MATCH(VALUE(RIGHT(A212,4)),'GLB.Ts+dSST (4)'!$A$3:$A$149,0),VALUE(LEFT(A212,FIND("/",A212)-1)))</f>
        <v>-0.03</v>
      </c>
      <c r="C212" s="15">
        <f t="shared" si="6"/>
        <v>13.97</v>
      </c>
      <c r="D212" s="15">
        <f t="shared" si="7"/>
        <v>57.146000000000001</v>
      </c>
    </row>
    <row r="213" spans="1:4" ht="15" customHeight="1">
      <c r="A213" t="s">
        <v>276</v>
      </c>
      <c r="B213" s="15">
        <f>INDEX('GLB.Ts+dSST (4)'!$B$3:$M$149,MATCH(VALUE(RIGHT(A213,4)),'GLB.Ts+dSST (4)'!$A$3:$A$149,0),VALUE(LEFT(A213,FIND("/",A213)-1)))</f>
        <v>-0.1</v>
      </c>
      <c r="C213" s="15">
        <f t="shared" si="6"/>
        <v>13.9</v>
      </c>
      <c r="D213" s="15">
        <f t="shared" si="7"/>
        <v>57.019999999999996</v>
      </c>
    </row>
    <row r="214" spans="1:4" ht="15" customHeight="1">
      <c r="A214" t="s">
        <v>277</v>
      </c>
      <c r="B214" s="15">
        <f>INDEX('GLB.Ts+dSST (4)'!$B$3:$M$149,MATCH(VALUE(RIGHT(A214,4)),'GLB.Ts+dSST (4)'!$A$3:$A$149,0),VALUE(LEFT(A214,FIND("/",A214)-1)))</f>
        <v>-0.09</v>
      </c>
      <c r="C214" s="15">
        <f t="shared" si="6"/>
        <v>13.91</v>
      </c>
      <c r="D214" s="15">
        <f t="shared" si="7"/>
        <v>57.037999999999997</v>
      </c>
    </row>
    <row r="215" spans="1:4" ht="15" customHeight="1">
      <c r="A215" t="s">
        <v>278</v>
      </c>
      <c r="B215" s="15">
        <f>INDEX('GLB.Ts+dSST (4)'!$B$3:$M$149,MATCH(VALUE(RIGHT(A215,4)),'GLB.Ts+dSST (4)'!$A$3:$A$149,0),VALUE(LEFT(A215,FIND("/",A215)-1)))</f>
        <v>-0.13</v>
      </c>
      <c r="C215" s="15">
        <f t="shared" si="6"/>
        <v>13.87</v>
      </c>
      <c r="D215" s="15">
        <f t="shared" si="7"/>
        <v>56.965999999999994</v>
      </c>
    </row>
    <row r="216" spans="1:4" ht="15" customHeight="1">
      <c r="A216" t="s">
        <v>279</v>
      </c>
      <c r="B216" s="15">
        <f>INDEX('GLB.Ts+dSST (4)'!$B$3:$M$149,MATCH(VALUE(RIGHT(A216,4)),'GLB.Ts+dSST (4)'!$A$3:$A$149,0),VALUE(LEFT(A216,FIND("/",A216)-1)))</f>
        <v>-0.19</v>
      </c>
      <c r="C216" s="15">
        <f t="shared" si="6"/>
        <v>13.81</v>
      </c>
      <c r="D216" s="15">
        <f t="shared" si="7"/>
        <v>56.858000000000004</v>
      </c>
    </row>
    <row r="217" spans="1:4" ht="15" customHeight="1">
      <c r="A217" t="s">
        <v>280</v>
      </c>
      <c r="B217" s="15">
        <f>INDEX('GLB.Ts+dSST (4)'!$B$3:$M$149,MATCH(VALUE(RIGHT(A217,4)),'GLB.Ts+dSST (4)'!$A$3:$A$149,0),VALUE(LEFT(A217,FIND("/",A217)-1)))</f>
        <v>-0.21</v>
      </c>
      <c r="C217" s="15">
        <f t="shared" si="6"/>
        <v>13.79</v>
      </c>
      <c r="D217" s="15">
        <f t="shared" si="7"/>
        <v>56.822000000000003</v>
      </c>
    </row>
    <row r="218" spans="1:4" ht="15" customHeight="1">
      <c r="A218" t="s">
        <v>281</v>
      </c>
      <c r="B218" s="15">
        <f>INDEX('GLB.Ts+dSST (4)'!$B$3:$M$149,MATCH(VALUE(RIGHT(A218,4)),'GLB.Ts+dSST (4)'!$A$3:$A$149,0),VALUE(LEFT(A218,FIND("/",A218)-1)))</f>
        <v>-0.03</v>
      </c>
      <c r="C218" s="15">
        <f t="shared" si="6"/>
        <v>13.97</v>
      </c>
      <c r="D218" s="15">
        <f t="shared" si="7"/>
        <v>57.146000000000001</v>
      </c>
    </row>
    <row r="219" spans="1:4" ht="15" customHeight="1">
      <c r="A219" t="s">
        <v>282</v>
      </c>
      <c r="B219" s="15">
        <f>INDEX('GLB.Ts+dSST (4)'!$B$3:$M$149,MATCH(VALUE(RIGHT(A219,4)),'GLB.Ts+dSST (4)'!$A$3:$A$149,0),VALUE(LEFT(A219,FIND("/",A219)-1)))</f>
        <v>-0.31</v>
      </c>
      <c r="C219" s="15">
        <f t="shared" si="6"/>
        <v>13.69</v>
      </c>
      <c r="D219" s="15">
        <f t="shared" si="7"/>
        <v>56.641999999999996</v>
      </c>
    </row>
    <row r="220" spans="1:4" ht="15" customHeight="1">
      <c r="A220" t="s">
        <v>283</v>
      </c>
      <c r="B220" s="15">
        <f>INDEX('GLB.Ts+dSST (4)'!$B$3:$M$149,MATCH(VALUE(RIGHT(A220,4)),'GLB.Ts+dSST (4)'!$A$3:$A$149,0),VALUE(LEFT(A220,FIND("/",A220)-1)))</f>
        <v>-0.52</v>
      </c>
      <c r="C220" s="15">
        <f t="shared" si="6"/>
        <v>13.48</v>
      </c>
      <c r="D220" s="15">
        <f t="shared" si="7"/>
        <v>56.264000000000003</v>
      </c>
    </row>
    <row r="221" spans="1:4" ht="15" customHeight="1">
      <c r="A221" t="s">
        <v>284</v>
      </c>
      <c r="B221" s="15">
        <f>INDEX('GLB.Ts+dSST (4)'!$B$3:$M$149,MATCH(VALUE(RIGHT(A221,4)),'GLB.Ts+dSST (4)'!$A$3:$A$149,0),VALUE(LEFT(A221,FIND("/",A221)-1)))</f>
        <v>-0.31</v>
      </c>
      <c r="C221" s="15">
        <f t="shared" si="6"/>
        <v>13.69</v>
      </c>
      <c r="D221" s="15">
        <f t="shared" si="7"/>
        <v>56.641999999999996</v>
      </c>
    </row>
    <row r="222" spans="1:4" ht="15" customHeight="1">
      <c r="A222" t="s">
        <v>285</v>
      </c>
      <c r="B222" s="15">
        <f>INDEX('GLB.Ts+dSST (4)'!$B$3:$M$149,MATCH(VALUE(RIGHT(A222,4)),'GLB.Ts+dSST (4)'!$A$3:$A$149,0),VALUE(LEFT(A222,FIND("/",A222)-1)))</f>
        <v>-0.31</v>
      </c>
      <c r="C222" s="15">
        <f t="shared" si="6"/>
        <v>13.69</v>
      </c>
      <c r="D222" s="15">
        <f t="shared" si="7"/>
        <v>56.641999999999996</v>
      </c>
    </row>
    <row r="223" spans="1:4" ht="15" customHeight="1">
      <c r="A223" t="s">
        <v>286</v>
      </c>
      <c r="B223" s="15">
        <f>INDEX('GLB.Ts+dSST (4)'!$B$3:$M$149,MATCH(VALUE(RIGHT(A223,4)),'GLB.Ts+dSST (4)'!$A$3:$A$149,0),VALUE(LEFT(A223,FIND("/",A223)-1)))</f>
        <v>-0.2</v>
      </c>
      <c r="C223" s="15">
        <f t="shared" si="6"/>
        <v>13.8</v>
      </c>
      <c r="D223" s="15">
        <f t="shared" si="7"/>
        <v>56.84</v>
      </c>
    </row>
    <row r="224" spans="1:4" ht="15" customHeight="1">
      <c r="A224" t="s">
        <v>287</v>
      </c>
      <c r="B224" s="15">
        <f>INDEX('GLB.Ts+dSST (4)'!$B$3:$M$149,MATCH(VALUE(RIGHT(A224,4)),'GLB.Ts+dSST (4)'!$A$3:$A$149,0),VALUE(LEFT(A224,FIND("/",A224)-1)))</f>
        <v>-0.23</v>
      </c>
      <c r="C224" s="15">
        <f t="shared" si="6"/>
        <v>13.77</v>
      </c>
      <c r="D224" s="15">
        <f t="shared" si="7"/>
        <v>56.786000000000001</v>
      </c>
    </row>
    <row r="225" spans="1:4" ht="15" customHeight="1">
      <c r="A225" t="s">
        <v>288</v>
      </c>
      <c r="B225" s="15">
        <f>INDEX('GLB.Ts+dSST (4)'!$B$3:$M$149,MATCH(VALUE(RIGHT(A225,4)),'GLB.Ts+dSST (4)'!$A$3:$A$149,0),VALUE(LEFT(A225,FIND("/",A225)-1)))</f>
        <v>-0.27</v>
      </c>
      <c r="C225" s="15">
        <f t="shared" si="6"/>
        <v>13.73</v>
      </c>
      <c r="D225" s="15">
        <f t="shared" si="7"/>
        <v>56.713999999999999</v>
      </c>
    </row>
    <row r="226" spans="1:4" ht="15" customHeight="1">
      <c r="A226" t="s">
        <v>289</v>
      </c>
      <c r="B226" s="15">
        <f>INDEX('GLB.Ts+dSST (4)'!$B$3:$M$149,MATCH(VALUE(RIGHT(A226,4)),'GLB.Ts+dSST (4)'!$A$3:$A$149,0),VALUE(LEFT(A226,FIND("/",A226)-1)))</f>
        <v>-0.22</v>
      </c>
      <c r="C226" s="15">
        <f t="shared" si="6"/>
        <v>13.78</v>
      </c>
      <c r="D226" s="15">
        <f t="shared" si="7"/>
        <v>56.804000000000002</v>
      </c>
    </row>
    <row r="227" spans="1:4" ht="15" customHeight="1">
      <c r="A227" t="s">
        <v>290</v>
      </c>
      <c r="B227" s="15">
        <f>INDEX('GLB.Ts+dSST (4)'!$B$3:$M$149,MATCH(VALUE(RIGHT(A227,4)),'GLB.Ts+dSST (4)'!$A$3:$A$149,0),VALUE(LEFT(A227,FIND("/",A227)-1)))</f>
        <v>-0.35</v>
      </c>
      <c r="C227" s="15">
        <f t="shared" si="6"/>
        <v>13.65</v>
      </c>
      <c r="D227" s="15">
        <f t="shared" si="7"/>
        <v>56.57</v>
      </c>
    </row>
    <row r="228" spans="1:4" ht="15" customHeight="1">
      <c r="A228" t="s">
        <v>291</v>
      </c>
      <c r="B228" s="15">
        <f>INDEX('GLB.Ts+dSST (4)'!$B$3:$M$149,MATCH(VALUE(RIGHT(A228,4)),'GLB.Ts+dSST (4)'!$A$3:$A$149,0),VALUE(LEFT(A228,FIND("/",A228)-1)))</f>
        <v>-0.39</v>
      </c>
      <c r="C228" s="15">
        <f t="shared" si="6"/>
        <v>13.61</v>
      </c>
      <c r="D228" s="15">
        <f t="shared" si="7"/>
        <v>56.498000000000005</v>
      </c>
    </row>
    <row r="229" spans="1:4" ht="15" customHeight="1">
      <c r="A229" t="s">
        <v>292</v>
      </c>
      <c r="B229" s="15">
        <f>INDEX('GLB.Ts+dSST (4)'!$B$3:$M$149,MATCH(VALUE(RIGHT(A229,4)),'GLB.Ts+dSST (4)'!$A$3:$A$149,0),VALUE(LEFT(A229,FIND("/",A229)-1)))</f>
        <v>-0.24</v>
      </c>
      <c r="C229" s="15">
        <f t="shared" si="6"/>
        <v>13.76</v>
      </c>
      <c r="D229" s="15">
        <f t="shared" si="7"/>
        <v>56.768000000000001</v>
      </c>
    </row>
    <row r="230" spans="1:4" ht="15" customHeight="1">
      <c r="A230" t="s">
        <v>293</v>
      </c>
      <c r="B230" s="15">
        <f>INDEX('GLB.Ts+dSST (4)'!$B$3:$M$149,MATCH(VALUE(RIGHT(A230,4)),'GLB.Ts+dSST (4)'!$A$3:$A$149,0),VALUE(LEFT(A230,FIND("/",A230)-1)))</f>
        <v>-0.17</v>
      </c>
      <c r="C230" s="15">
        <f t="shared" si="6"/>
        <v>13.83</v>
      </c>
      <c r="D230" s="15">
        <f t="shared" si="7"/>
        <v>56.894000000000005</v>
      </c>
    </row>
    <row r="231" spans="1:4" ht="15" customHeight="1">
      <c r="A231" t="s">
        <v>294</v>
      </c>
      <c r="B231" s="15">
        <f>INDEX('GLB.Ts+dSST (4)'!$B$3:$M$149,MATCH(VALUE(RIGHT(A231,4)),'GLB.Ts+dSST (4)'!$A$3:$A$149,0),VALUE(LEFT(A231,FIND("/",A231)-1)))</f>
        <v>-0.39</v>
      </c>
      <c r="C231" s="15">
        <f t="shared" si="6"/>
        <v>13.61</v>
      </c>
      <c r="D231" s="15">
        <f t="shared" si="7"/>
        <v>56.498000000000005</v>
      </c>
    </row>
    <row r="232" spans="1:4" ht="15" customHeight="1">
      <c r="A232" t="s">
        <v>295</v>
      </c>
      <c r="B232" s="15">
        <f>INDEX('GLB.Ts+dSST (4)'!$B$3:$M$149,MATCH(VALUE(RIGHT(A232,4)),'GLB.Ts+dSST (4)'!$A$3:$A$149,0),VALUE(LEFT(A232,FIND("/",A232)-1)))</f>
        <v>-0.37</v>
      </c>
      <c r="C232" s="15">
        <f t="shared" si="6"/>
        <v>13.63</v>
      </c>
      <c r="D232" s="15">
        <f t="shared" si="7"/>
        <v>56.534000000000006</v>
      </c>
    </row>
    <row r="233" spans="1:4" ht="15" customHeight="1">
      <c r="A233" t="s">
        <v>296</v>
      </c>
      <c r="B233" s="15">
        <f>INDEX('GLB.Ts+dSST (4)'!$B$3:$M$149,MATCH(VALUE(RIGHT(A233,4)),'GLB.Ts+dSST (4)'!$A$3:$A$149,0),VALUE(LEFT(A233,FIND("/",A233)-1)))</f>
        <v>-0.21</v>
      </c>
      <c r="C233" s="15">
        <f t="shared" si="6"/>
        <v>13.79</v>
      </c>
      <c r="D233" s="15">
        <f t="shared" si="7"/>
        <v>56.822000000000003</v>
      </c>
    </row>
    <row r="234" spans="1:4" ht="15" customHeight="1">
      <c r="A234" t="s">
        <v>297</v>
      </c>
      <c r="B234" s="15">
        <f>INDEX('GLB.Ts+dSST (4)'!$B$3:$M$149,MATCH(VALUE(RIGHT(A234,4)),'GLB.Ts+dSST (4)'!$A$3:$A$149,0),VALUE(LEFT(A234,FIND("/",A234)-1)))</f>
        <v>-0.23</v>
      </c>
      <c r="C234" s="15">
        <f t="shared" si="6"/>
        <v>13.77</v>
      </c>
      <c r="D234" s="15">
        <f t="shared" si="7"/>
        <v>56.786000000000001</v>
      </c>
    </row>
    <row r="235" spans="1:4" ht="15" customHeight="1">
      <c r="A235" t="s">
        <v>298</v>
      </c>
      <c r="B235" s="15">
        <f>INDEX('GLB.Ts+dSST (4)'!$B$3:$M$149,MATCH(VALUE(RIGHT(A235,4)),'GLB.Ts+dSST (4)'!$A$3:$A$149,0),VALUE(LEFT(A235,FIND("/",A235)-1)))</f>
        <v>-0.32</v>
      </c>
      <c r="C235" s="15">
        <f t="shared" si="6"/>
        <v>13.68</v>
      </c>
      <c r="D235" s="15">
        <f t="shared" si="7"/>
        <v>56.623999999999995</v>
      </c>
    </row>
    <row r="236" spans="1:4" ht="15" customHeight="1">
      <c r="A236" t="s">
        <v>299</v>
      </c>
      <c r="B236" s="15">
        <f>INDEX('GLB.Ts+dSST (4)'!$B$3:$M$149,MATCH(VALUE(RIGHT(A236,4)),'GLB.Ts+dSST (4)'!$A$3:$A$149,0),VALUE(LEFT(A236,FIND("/",A236)-1)))</f>
        <v>-0.16</v>
      </c>
      <c r="C236" s="15">
        <f t="shared" si="6"/>
        <v>13.84</v>
      </c>
      <c r="D236" s="15">
        <f t="shared" si="7"/>
        <v>56.911999999999999</v>
      </c>
    </row>
    <row r="237" spans="1:4" ht="15" customHeight="1">
      <c r="A237" t="s">
        <v>300</v>
      </c>
      <c r="B237" s="15">
        <f>INDEX('GLB.Ts+dSST (4)'!$B$3:$M$149,MATCH(VALUE(RIGHT(A237,4)),'GLB.Ts+dSST (4)'!$A$3:$A$149,0),VALUE(LEFT(A237,FIND("/",A237)-1)))</f>
        <v>-0.09</v>
      </c>
      <c r="C237" s="15">
        <f t="shared" si="6"/>
        <v>13.91</v>
      </c>
      <c r="D237" s="15">
        <f t="shared" si="7"/>
        <v>57.037999999999997</v>
      </c>
    </row>
    <row r="238" spans="1:4" ht="15" customHeight="1">
      <c r="A238" t="s">
        <v>301</v>
      </c>
      <c r="B238" s="15">
        <f>INDEX('GLB.Ts+dSST (4)'!$B$3:$M$149,MATCH(VALUE(RIGHT(A238,4)),'GLB.Ts+dSST (4)'!$A$3:$A$149,0),VALUE(LEFT(A238,FIND("/",A238)-1)))</f>
        <v>-0.05</v>
      </c>
      <c r="C238" s="15">
        <f t="shared" si="6"/>
        <v>13.95</v>
      </c>
      <c r="D238" s="15">
        <f t="shared" si="7"/>
        <v>57.11</v>
      </c>
    </row>
    <row r="239" spans="1:4" ht="15" customHeight="1">
      <c r="A239" t="s">
        <v>302</v>
      </c>
      <c r="B239" s="15">
        <f>INDEX('GLB.Ts+dSST (4)'!$B$3:$M$149,MATCH(VALUE(RIGHT(A239,4)),'GLB.Ts+dSST (4)'!$A$3:$A$149,0),VALUE(LEFT(A239,FIND("/",A239)-1)))</f>
        <v>-0.04</v>
      </c>
      <c r="C239" s="15">
        <f t="shared" si="6"/>
        <v>13.96</v>
      </c>
      <c r="D239" s="15">
        <f t="shared" si="7"/>
        <v>57.128</v>
      </c>
    </row>
    <row r="240" spans="1:4" ht="15" customHeight="1">
      <c r="A240" t="s">
        <v>303</v>
      </c>
      <c r="B240" s="15">
        <f>INDEX('GLB.Ts+dSST (4)'!$B$3:$M$149,MATCH(VALUE(RIGHT(A240,4)),'GLB.Ts+dSST (4)'!$A$3:$A$149,0),VALUE(LEFT(A240,FIND("/",A240)-1)))</f>
        <v>0.12</v>
      </c>
      <c r="C240" s="15">
        <f t="shared" si="6"/>
        <v>14.12</v>
      </c>
      <c r="D240" s="15">
        <f t="shared" si="7"/>
        <v>57.415999999999997</v>
      </c>
    </row>
    <row r="241" spans="1:4" ht="15" customHeight="1">
      <c r="A241" t="s">
        <v>304</v>
      </c>
      <c r="B241" s="15">
        <f>INDEX('GLB.Ts+dSST (4)'!$B$3:$M$149,MATCH(VALUE(RIGHT(A241,4)),'GLB.Ts+dSST (4)'!$A$3:$A$149,0),VALUE(LEFT(A241,FIND("/",A241)-1)))</f>
        <v>-0.27</v>
      </c>
      <c r="C241" s="15">
        <f t="shared" si="6"/>
        <v>13.73</v>
      </c>
      <c r="D241" s="15">
        <f t="shared" si="7"/>
        <v>56.713999999999999</v>
      </c>
    </row>
    <row r="242" spans="1:4" ht="15" customHeight="1">
      <c r="A242" t="s">
        <v>305</v>
      </c>
      <c r="B242" s="15">
        <f>INDEX('GLB.Ts+dSST (4)'!$B$3:$M$149,MATCH(VALUE(RIGHT(A242,4)),'GLB.Ts+dSST (4)'!$A$3:$A$149,0),VALUE(LEFT(A242,FIND("/",A242)-1)))</f>
        <v>-0.37</v>
      </c>
      <c r="C242" s="15">
        <f t="shared" si="6"/>
        <v>13.63</v>
      </c>
      <c r="D242" s="15">
        <f t="shared" si="7"/>
        <v>56.534000000000006</v>
      </c>
    </row>
    <row r="243" spans="1:4" ht="15" customHeight="1">
      <c r="A243" t="s">
        <v>306</v>
      </c>
      <c r="B243" s="15">
        <f>INDEX('GLB.Ts+dSST (4)'!$B$3:$M$149,MATCH(VALUE(RIGHT(A243,4)),'GLB.Ts+dSST (4)'!$A$3:$A$149,0),VALUE(LEFT(A243,FIND("/",A243)-1)))</f>
        <v>-0.06</v>
      </c>
      <c r="C243" s="15">
        <f t="shared" si="6"/>
        <v>13.94</v>
      </c>
      <c r="D243" s="15">
        <f t="shared" si="7"/>
        <v>57.091999999999999</v>
      </c>
    </row>
    <row r="244" spans="1:4" ht="15" customHeight="1">
      <c r="A244" t="s">
        <v>307</v>
      </c>
      <c r="B244" s="15">
        <f>INDEX('GLB.Ts+dSST (4)'!$B$3:$M$149,MATCH(VALUE(RIGHT(A244,4)),'GLB.Ts+dSST (4)'!$A$3:$A$149,0),VALUE(LEFT(A244,FIND("/",A244)-1)))</f>
        <v>0</v>
      </c>
      <c r="C244" s="15">
        <f t="shared" si="6"/>
        <v>14</v>
      </c>
      <c r="D244" s="15">
        <f t="shared" si="7"/>
        <v>57.2</v>
      </c>
    </row>
    <row r="245" spans="1:4" ht="15" customHeight="1">
      <c r="A245" t="s">
        <v>308</v>
      </c>
      <c r="B245" s="15">
        <f>INDEX('GLB.Ts+dSST (4)'!$B$3:$M$149,MATCH(VALUE(RIGHT(A245,4)),'GLB.Ts+dSST (4)'!$A$3:$A$149,0),VALUE(LEFT(A245,FIND("/",A245)-1)))</f>
        <v>-0.1</v>
      </c>
      <c r="C245" s="15">
        <f t="shared" si="6"/>
        <v>13.9</v>
      </c>
      <c r="D245" s="15">
        <f t="shared" si="7"/>
        <v>57.019999999999996</v>
      </c>
    </row>
    <row r="246" spans="1:4" ht="15" customHeight="1">
      <c r="A246" t="s">
        <v>309</v>
      </c>
      <c r="B246" s="15">
        <f>INDEX('GLB.Ts+dSST (4)'!$B$3:$M$149,MATCH(VALUE(RIGHT(A246,4)),'GLB.Ts+dSST (4)'!$A$3:$A$149,0),VALUE(LEFT(A246,FIND("/",A246)-1)))</f>
        <v>-0.09</v>
      </c>
      <c r="C246" s="15">
        <f t="shared" si="6"/>
        <v>13.91</v>
      </c>
      <c r="D246" s="15">
        <f t="shared" si="7"/>
        <v>57.037999999999997</v>
      </c>
    </row>
    <row r="247" spans="1:4" ht="15" customHeight="1">
      <c r="A247" t="s">
        <v>310</v>
      </c>
      <c r="B247" s="15">
        <f>INDEX('GLB.Ts+dSST (4)'!$B$3:$M$149,MATCH(VALUE(RIGHT(A247,4)),'GLB.Ts+dSST (4)'!$A$3:$A$149,0),VALUE(LEFT(A247,FIND("/",A247)-1)))</f>
        <v>-0.1</v>
      </c>
      <c r="C247" s="15">
        <f t="shared" si="6"/>
        <v>13.9</v>
      </c>
      <c r="D247" s="15">
        <f t="shared" si="7"/>
        <v>57.019999999999996</v>
      </c>
    </row>
    <row r="248" spans="1:4" ht="15" customHeight="1">
      <c r="A248" t="s">
        <v>311</v>
      </c>
      <c r="B248" s="15">
        <f>INDEX('GLB.Ts+dSST (4)'!$B$3:$M$149,MATCH(VALUE(RIGHT(A248,4)),'GLB.Ts+dSST (4)'!$A$3:$A$149,0),VALUE(LEFT(A248,FIND("/",A248)-1)))</f>
        <v>-0.13</v>
      </c>
      <c r="C248" s="15">
        <f t="shared" si="6"/>
        <v>13.87</v>
      </c>
      <c r="D248" s="15">
        <f t="shared" si="7"/>
        <v>56.965999999999994</v>
      </c>
    </row>
    <row r="249" spans="1:4" ht="15" customHeight="1">
      <c r="A249" t="s">
        <v>312</v>
      </c>
      <c r="B249" s="15">
        <f>INDEX('GLB.Ts+dSST (4)'!$B$3:$M$149,MATCH(VALUE(RIGHT(A249,4)),'GLB.Ts+dSST (4)'!$A$3:$A$149,0),VALUE(LEFT(A249,FIND("/",A249)-1)))</f>
        <v>-0.09</v>
      </c>
      <c r="C249" s="15">
        <f t="shared" si="6"/>
        <v>13.91</v>
      </c>
      <c r="D249" s="15">
        <f t="shared" si="7"/>
        <v>57.037999999999997</v>
      </c>
    </row>
    <row r="250" spans="1:4" ht="15" customHeight="1">
      <c r="A250" t="s">
        <v>313</v>
      </c>
      <c r="B250" s="15">
        <f>INDEX('GLB.Ts+dSST (4)'!$B$3:$M$149,MATCH(VALUE(RIGHT(A250,4)),'GLB.Ts+dSST (4)'!$A$3:$A$149,0),VALUE(LEFT(A250,FIND("/",A250)-1)))</f>
        <v>-0.06</v>
      </c>
      <c r="C250" s="15">
        <f t="shared" si="6"/>
        <v>13.94</v>
      </c>
      <c r="D250" s="15">
        <f t="shared" si="7"/>
        <v>57.091999999999999</v>
      </c>
    </row>
    <row r="251" spans="1:4" ht="15" customHeight="1">
      <c r="A251" t="s">
        <v>314</v>
      </c>
      <c r="B251" s="15">
        <f>INDEX('GLB.Ts+dSST (4)'!$B$3:$M$149,MATCH(VALUE(RIGHT(A251,4)),'GLB.Ts+dSST (4)'!$A$3:$A$149,0),VALUE(LEFT(A251,FIND("/",A251)-1)))</f>
        <v>0.09</v>
      </c>
      <c r="C251" s="15">
        <f t="shared" si="6"/>
        <v>14.09</v>
      </c>
      <c r="D251" s="15">
        <f t="shared" si="7"/>
        <v>57.362000000000002</v>
      </c>
    </row>
    <row r="252" spans="1:4" ht="15" customHeight="1">
      <c r="A252" t="s">
        <v>315</v>
      </c>
      <c r="B252" s="15">
        <f>INDEX('GLB.Ts+dSST (4)'!$B$3:$M$149,MATCH(VALUE(RIGHT(A252,4)),'GLB.Ts+dSST (4)'!$A$3:$A$149,0),VALUE(LEFT(A252,FIND("/",A252)-1)))</f>
        <v>-7.0000000000000007E-2</v>
      </c>
      <c r="C252" s="15">
        <f t="shared" si="6"/>
        <v>13.93</v>
      </c>
      <c r="D252" s="15">
        <f t="shared" si="7"/>
        <v>57.073999999999998</v>
      </c>
    </row>
    <row r="253" spans="1:4" ht="15" customHeight="1">
      <c r="A253" t="s">
        <v>316</v>
      </c>
      <c r="B253" s="15">
        <f>INDEX('GLB.Ts+dSST (4)'!$B$3:$M$149,MATCH(VALUE(RIGHT(A253,4)),'GLB.Ts+dSST (4)'!$A$3:$A$149,0),VALUE(LEFT(A253,FIND("/",A253)-1)))</f>
        <v>-7.0000000000000007E-2</v>
      </c>
      <c r="C253" s="15">
        <f t="shared" si="6"/>
        <v>13.93</v>
      </c>
      <c r="D253" s="15">
        <f t="shared" si="7"/>
        <v>57.073999999999998</v>
      </c>
    </row>
    <row r="254" spans="1:4" ht="15" customHeight="1">
      <c r="A254" t="s">
        <v>317</v>
      </c>
      <c r="B254" s="15">
        <f>INDEX('GLB.Ts+dSST (4)'!$B$3:$M$149,MATCH(VALUE(RIGHT(A254,4)),'GLB.Ts+dSST (4)'!$A$3:$A$149,0),VALUE(LEFT(A254,FIND("/",A254)-1)))</f>
        <v>-0.22</v>
      </c>
      <c r="C254" s="15">
        <f t="shared" si="6"/>
        <v>13.78</v>
      </c>
      <c r="D254" s="15">
        <f t="shared" si="7"/>
        <v>56.804000000000002</v>
      </c>
    </row>
    <row r="255" spans="1:4" ht="15" customHeight="1">
      <c r="A255" t="s">
        <v>318</v>
      </c>
      <c r="B255" s="15">
        <f>INDEX('GLB.Ts+dSST (4)'!$B$3:$M$149,MATCH(VALUE(RIGHT(A255,4)),'GLB.Ts+dSST (4)'!$A$3:$A$149,0),VALUE(LEFT(A255,FIND("/",A255)-1)))</f>
        <v>-0.11</v>
      </c>
      <c r="C255" s="15">
        <f t="shared" si="6"/>
        <v>13.89</v>
      </c>
      <c r="D255" s="15">
        <f t="shared" si="7"/>
        <v>57.002000000000002</v>
      </c>
    </row>
    <row r="256" spans="1:4" ht="15" customHeight="1">
      <c r="A256" t="s">
        <v>319</v>
      </c>
      <c r="B256" s="15">
        <f>INDEX('GLB.Ts+dSST (4)'!$B$3:$M$149,MATCH(VALUE(RIGHT(A256,4)),'GLB.Ts+dSST (4)'!$A$3:$A$149,0),VALUE(LEFT(A256,FIND("/",A256)-1)))</f>
        <v>0.06</v>
      </c>
      <c r="C256" s="15">
        <f t="shared" si="6"/>
        <v>14.06</v>
      </c>
      <c r="D256" s="15">
        <f t="shared" si="7"/>
        <v>57.308</v>
      </c>
    </row>
    <row r="257" spans="1:4" ht="15" customHeight="1">
      <c r="A257" t="s">
        <v>320</v>
      </c>
      <c r="B257" s="15">
        <f>INDEX('GLB.Ts+dSST (4)'!$B$3:$M$149,MATCH(VALUE(RIGHT(A257,4)),'GLB.Ts+dSST (4)'!$A$3:$A$149,0),VALUE(LEFT(A257,FIND("/",A257)-1)))</f>
        <v>-0.03</v>
      </c>
      <c r="C257" s="15">
        <f t="shared" si="6"/>
        <v>13.97</v>
      </c>
      <c r="D257" s="15">
        <f t="shared" si="7"/>
        <v>57.146000000000001</v>
      </c>
    </row>
    <row r="258" spans="1:4" ht="15" customHeight="1">
      <c r="A258" t="s">
        <v>321</v>
      </c>
      <c r="B258" s="15">
        <f>INDEX('GLB.Ts+dSST (4)'!$B$3:$M$149,MATCH(VALUE(RIGHT(A258,4)),'GLB.Ts+dSST (4)'!$A$3:$A$149,0),VALUE(LEFT(A258,FIND("/",A258)-1)))</f>
        <v>-0.15</v>
      </c>
      <c r="C258" s="15">
        <f t="shared" ref="C258:C321" si="8">B258+14</f>
        <v>13.85</v>
      </c>
      <c r="D258" s="15">
        <f t="shared" ref="D258:D321" si="9">C258*(9/5)+32</f>
        <v>56.93</v>
      </c>
    </row>
    <row r="259" spans="1:4" ht="15" customHeight="1">
      <c r="A259" t="s">
        <v>322</v>
      </c>
      <c r="B259" s="15">
        <f>INDEX('GLB.Ts+dSST (4)'!$B$3:$M$149,MATCH(VALUE(RIGHT(A259,4)),'GLB.Ts+dSST (4)'!$A$3:$A$149,0),VALUE(LEFT(A259,FIND("/",A259)-1)))</f>
        <v>-0.12</v>
      </c>
      <c r="C259" s="15">
        <f t="shared" si="8"/>
        <v>13.88</v>
      </c>
      <c r="D259" s="15">
        <f t="shared" si="9"/>
        <v>56.984000000000002</v>
      </c>
    </row>
    <row r="260" spans="1:4" ht="15" customHeight="1">
      <c r="A260" t="s">
        <v>323</v>
      </c>
      <c r="B260" s="15">
        <f>INDEX('GLB.Ts+dSST (4)'!$B$3:$M$149,MATCH(VALUE(RIGHT(A260,4)),'GLB.Ts+dSST (4)'!$A$3:$A$149,0),VALUE(LEFT(A260,FIND("/",A260)-1)))</f>
        <v>-0.15</v>
      </c>
      <c r="C260" s="15">
        <f t="shared" si="8"/>
        <v>13.85</v>
      </c>
      <c r="D260" s="15">
        <f t="shared" si="9"/>
        <v>56.93</v>
      </c>
    </row>
    <row r="261" spans="1:4" ht="15" customHeight="1">
      <c r="A261" t="s">
        <v>324</v>
      </c>
      <c r="B261" s="15">
        <f>INDEX('GLB.Ts+dSST (4)'!$B$3:$M$149,MATCH(VALUE(RIGHT(A261,4)),'GLB.Ts+dSST (4)'!$A$3:$A$149,0),VALUE(LEFT(A261,FIND("/",A261)-1)))</f>
        <v>-0.2</v>
      </c>
      <c r="C261" s="15">
        <f t="shared" si="8"/>
        <v>13.8</v>
      </c>
      <c r="D261" s="15">
        <f t="shared" si="9"/>
        <v>56.84</v>
      </c>
    </row>
    <row r="262" spans="1:4" ht="15" customHeight="1">
      <c r="A262" t="s">
        <v>325</v>
      </c>
      <c r="B262" s="15">
        <f>INDEX('GLB.Ts+dSST (4)'!$B$3:$M$149,MATCH(VALUE(RIGHT(A262,4)),'GLB.Ts+dSST (4)'!$A$3:$A$149,0),VALUE(LEFT(A262,FIND("/",A262)-1)))</f>
        <v>-0.23</v>
      </c>
      <c r="C262" s="15">
        <f t="shared" si="8"/>
        <v>13.77</v>
      </c>
      <c r="D262" s="15">
        <f t="shared" si="9"/>
        <v>56.786000000000001</v>
      </c>
    </row>
    <row r="263" spans="1:4" ht="15" customHeight="1">
      <c r="A263" t="s">
        <v>326</v>
      </c>
      <c r="B263" s="15">
        <f>INDEX('GLB.Ts+dSST (4)'!$B$3:$M$149,MATCH(VALUE(RIGHT(A263,4)),'GLB.Ts+dSST (4)'!$A$3:$A$149,0),VALUE(LEFT(A263,FIND("/",A263)-1)))</f>
        <v>-0.28999999999999998</v>
      </c>
      <c r="C263" s="15">
        <f t="shared" si="8"/>
        <v>13.71</v>
      </c>
      <c r="D263" s="15">
        <f t="shared" si="9"/>
        <v>56.677999999999997</v>
      </c>
    </row>
    <row r="264" spans="1:4" ht="15" customHeight="1">
      <c r="A264" t="s">
        <v>327</v>
      </c>
      <c r="B264" s="15">
        <f>INDEX('GLB.Ts+dSST (4)'!$B$3:$M$149,MATCH(VALUE(RIGHT(A264,4)),'GLB.Ts+dSST (4)'!$A$3:$A$149,0),VALUE(LEFT(A264,FIND("/",A264)-1)))</f>
        <v>-0.17</v>
      </c>
      <c r="C264" s="15">
        <f t="shared" si="8"/>
        <v>13.83</v>
      </c>
      <c r="D264" s="15">
        <f t="shared" si="9"/>
        <v>56.894000000000005</v>
      </c>
    </row>
    <row r="265" spans="1:4" ht="15" customHeight="1">
      <c r="A265" t="s">
        <v>328</v>
      </c>
      <c r="B265" s="15">
        <f>INDEX('GLB.Ts+dSST (4)'!$B$3:$M$149,MATCH(VALUE(RIGHT(A265,4)),'GLB.Ts+dSST (4)'!$A$3:$A$149,0),VALUE(LEFT(A265,FIND("/",A265)-1)))</f>
        <v>-0.28000000000000003</v>
      </c>
      <c r="C265" s="15">
        <f t="shared" si="8"/>
        <v>13.72</v>
      </c>
      <c r="D265" s="15">
        <f t="shared" si="9"/>
        <v>56.695999999999998</v>
      </c>
    </row>
    <row r="266" spans="1:4" ht="15" customHeight="1">
      <c r="A266" t="s">
        <v>329</v>
      </c>
      <c r="B266" s="15">
        <f>INDEX('GLB.Ts+dSST (4)'!$B$3:$M$149,MATCH(VALUE(RIGHT(A266,4)),'GLB.Ts+dSST (4)'!$A$3:$A$149,0),VALUE(LEFT(A266,FIND("/",A266)-1)))</f>
        <v>-0.17</v>
      </c>
      <c r="C266" s="15">
        <f t="shared" si="8"/>
        <v>13.83</v>
      </c>
      <c r="D266" s="15">
        <f t="shared" si="9"/>
        <v>56.894000000000005</v>
      </c>
    </row>
    <row r="267" spans="1:4" ht="15" customHeight="1">
      <c r="A267" t="s">
        <v>330</v>
      </c>
      <c r="B267" s="15">
        <f>INDEX('GLB.Ts+dSST (4)'!$B$3:$M$149,MATCH(VALUE(RIGHT(A267,4)),'GLB.Ts+dSST (4)'!$A$3:$A$149,0),VALUE(LEFT(A267,FIND("/",A267)-1)))</f>
        <v>-0.09</v>
      </c>
      <c r="C267" s="15">
        <f t="shared" si="8"/>
        <v>13.91</v>
      </c>
      <c r="D267" s="15">
        <f t="shared" si="9"/>
        <v>57.037999999999997</v>
      </c>
    </row>
    <row r="268" spans="1:4" ht="15" customHeight="1">
      <c r="A268" t="s">
        <v>331</v>
      </c>
      <c r="B268" s="15">
        <f>INDEX('GLB.Ts+dSST (4)'!$B$3:$M$149,MATCH(VALUE(RIGHT(A268,4)),'GLB.Ts+dSST (4)'!$A$3:$A$149,0),VALUE(LEFT(A268,FIND("/",A268)-1)))</f>
        <v>-0.28000000000000003</v>
      </c>
      <c r="C268" s="15">
        <f t="shared" si="8"/>
        <v>13.72</v>
      </c>
      <c r="D268" s="15">
        <f t="shared" si="9"/>
        <v>56.695999999999998</v>
      </c>
    </row>
    <row r="269" spans="1:4" ht="15" customHeight="1">
      <c r="A269" t="s">
        <v>332</v>
      </c>
      <c r="B269" s="15">
        <f>INDEX('GLB.Ts+dSST (4)'!$B$3:$M$149,MATCH(VALUE(RIGHT(A269,4)),'GLB.Ts+dSST (4)'!$A$3:$A$149,0),VALUE(LEFT(A269,FIND("/",A269)-1)))</f>
        <v>-0.28000000000000003</v>
      </c>
      <c r="C269" s="15">
        <f t="shared" si="8"/>
        <v>13.72</v>
      </c>
      <c r="D269" s="15">
        <f t="shared" si="9"/>
        <v>56.695999999999998</v>
      </c>
    </row>
    <row r="270" spans="1:4" ht="15" customHeight="1">
      <c r="A270" t="s">
        <v>333</v>
      </c>
      <c r="B270" s="15">
        <f>INDEX('GLB.Ts+dSST (4)'!$B$3:$M$149,MATCH(VALUE(RIGHT(A270,4)),'GLB.Ts+dSST (4)'!$A$3:$A$149,0),VALUE(LEFT(A270,FIND("/",A270)-1)))</f>
        <v>-0.33</v>
      </c>
      <c r="C270" s="15">
        <f t="shared" si="8"/>
        <v>13.67</v>
      </c>
      <c r="D270" s="15">
        <f t="shared" si="9"/>
        <v>56.606000000000002</v>
      </c>
    </row>
    <row r="271" spans="1:4" ht="15" customHeight="1">
      <c r="A271" t="s">
        <v>334</v>
      </c>
      <c r="B271" s="15">
        <f>INDEX('GLB.Ts+dSST (4)'!$B$3:$M$149,MATCH(VALUE(RIGHT(A271,4)),'GLB.Ts+dSST (4)'!$A$3:$A$149,0),VALUE(LEFT(A271,FIND("/",A271)-1)))</f>
        <v>-0.32</v>
      </c>
      <c r="C271" s="15">
        <f t="shared" si="8"/>
        <v>13.68</v>
      </c>
      <c r="D271" s="15">
        <f t="shared" si="9"/>
        <v>56.623999999999995</v>
      </c>
    </row>
    <row r="272" spans="1:4" ht="15" customHeight="1">
      <c r="A272" t="s">
        <v>335</v>
      </c>
      <c r="B272" s="15">
        <f>INDEX('GLB.Ts+dSST (4)'!$B$3:$M$149,MATCH(VALUE(RIGHT(A272,4)),'GLB.Ts+dSST (4)'!$A$3:$A$149,0),VALUE(LEFT(A272,FIND("/",A272)-1)))</f>
        <v>-0.28000000000000003</v>
      </c>
      <c r="C272" s="15">
        <f t="shared" si="8"/>
        <v>13.72</v>
      </c>
      <c r="D272" s="15">
        <f t="shared" si="9"/>
        <v>56.695999999999998</v>
      </c>
    </row>
    <row r="273" spans="1:4" ht="15" customHeight="1">
      <c r="A273" t="s">
        <v>336</v>
      </c>
      <c r="B273" s="15">
        <f>INDEX('GLB.Ts+dSST (4)'!$B$3:$M$149,MATCH(VALUE(RIGHT(A273,4)),'GLB.Ts+dSST (4)'!$A$3:$A$149,0),VALUE(LEFT(A273,FIND("/",A273)-1)))</f>
        <v>-0.3</v>
      </c>
      <c r="C273" s="15">
        <f t="shared" si="8"/>
        <v>13.7</v>
      </c>
      <c r="D273" s="15">
        <f t="shared" si="9"/>
        <v>56.66</v>
      </c>
    </row>
    <row r="274" spans="1:4" ht="15" customHeight="1">
      <c r="A274" t="s">
        <v>337</v>
      </c>
      <c r="B274" s="15">
        <f>INDEX('GLB.Ts+dSST (4)'!$B$3:$M$149,MATCH(VALUE(RIGHT(A274,4)),'GLB.Ts+dSST (4)'!$A$3:$A$149,0),VALUE(LEFT(A274,FIND("/",A274)-1)))</f>
        <v>-0.28999999999999998</v>
      </c>
      <c r="C274" s="15">
        <f t="shared" si="8"/>
        <v>13.71</v>
      </c>
      <c r="D274" s="15">
        <f t="shared" si="9"/>
        <v>56.677999999999997</v>
      </c>
    </row>
    <row r="275" spans="1:4" ht="15" customHeight="1">
      <c r="A275" t="s">
        <v>338</v>
      </c>
      <c r="B275" s="15">
        <f>INDEX('GLB.Ts+dSST (4)'!$B$3:$M$149,MATCH(VALUE(RIGHT(A275,4)),'GLB.Ts+dSST (4)'!$A$3:$A$149,0),VALUE(LEFT(A275,FIND("/",A275)-1)))</f>
        <v>-0.3</v>
      </c>
      <c r="C275" s="15">
        <f t="shared" si="8"/>
        <v>13.7</v>
      </c>
      <c r="D275" s="15">
        <f t="shared" si="9"/>
        <v>56.66</v>
      </c>
    </row>
    <row r="276" spans="1:4" ht="15" customHeight="1">
      <c r="A276" t="s">
        <v>339</v>
      </c>
      <c r="B276" s="15">
        <f>INDEX('GLB.Ts+dSST (4)'!$B$3:$M$149,MATCH(VALUE(RIGHT(A276,4)),'GLB.Ts+dSST (4)'!$A$3:$A$149,0),VALUE(LEFT(A276,FIND("/",A276)-1)))</f>
        <v>-0.37</v>
      </c>
      <c r="C276" s="15">
        <f t="shared" si="8"/>
        <v>13.63</v>
      </c>
      <c r="D276" s="15">
        <f t="shared" si="9"/>
        <v>56.534000000000006</v>
      </c>
    </row>
    <row r="277" spans="1:4" ht="15" customHeight="1">
      <c r="A277" t="s">
        <v>340</v>
      </c>
      <c r="B277" s="15">
        <f>INDEX('GLB.Ts+dSST (4)'!$B$3:$M$149,MATCH(VALUE(RIGHT(A277,4)),'GLB.Ts+dSST (4)'!$A$3:$A$149,0),VALUE(LEFT(A277,FIND("/",A277)-1)))</f>
        <v>-0.43</v>
      </c>
      <c r="C277" s="15">
        <f t="shared" si="8"/>
        <v>13.57</v>
      </c>
      <c r="D277" s="15">
        <f t="shared" si="9"/>
        <v>56.426000000000002</v>
      </c>
    </row>
    <row r="278" spans="1:4" ht="15" customHeight="1">
      <c r="A278" t="s">
        <v>341</v>
      </c>
      <c r="B278" s="15">
        <f>INDEX('GLB.Ts+dSST (4)'!$B$3:$M$149,MATCH(VALUE(RIGHT(A278,4)),'GLB.Ts+dSST (4)'!$A$3:$A$149,0),VALUE(LEFT(A278,FIND("/",A278)-1)))</f>
        <v>-0.25</v>
      </c>
      <c r="C278" s="15">
        <f t="shared" si="8"/>
        <v>13.75</v>
      </c>
      <c r="D278" s="15">
        <f t="shared" si="9"/>
        <v>56.75</v>
      </c>
    </row>
    <row r="279" spans="1:4" ht="15" customHeight="1">
      <c r="A279" t="s">
        <v>342</v>
      </c>
      <c r="B279" s="15">
        <f>INDEX('GLB.Ts+dSST (4)'!$B$3:$M$149,MATCH(VALUE(RIGHT(A279,4)),'GLB.Ts+dSST (4)'!$A$3:$A$149,0),VALUE(LEFT(A279,FIND("/",A279)-1)))</f>
        <v>-7.0000000000000007E-2</v>
      </c>
      <c r="C279" s="15">
        <f t="shared" si="8"/>
        <v>13.93</v>
      </c>
      <c r="D279" s="15">
        <f t="shared" si="9"/>
        <v>57.073999999999998</v>
      </c>
    </row>
    <row r="280" spans="1:4" ht="15" customHeight="1">
      <c r="A280" t="s">
        <v>343</v>
      </c>
      <c r="B280" s="15">
        <f>INDEX('GLB.Ts+dSST (4)'!$B$3:$M$149,MATCH(VALUE(RIGHT(A280,4)),'GLB.Ts+dSST (4)'!$A$3:$A$149,0),VALUE(LEFT(A280,FIND("/",A280)-1)))</f>
        <v>-0.24</v>
      </c>
      <c r="C280" s="15">
        <f t="shared" si="8"/>
        <v>13.76</v>
      </c>
      <c r="D280" s="15">
        <f t="shared" si="9"/>
        <v>56.768000000000001</v>
      </c>
    </row>
    <row r="281" spans="1:4" ht="15" customHeight="1">
      <c r="A281" t="s">
        <v>344</v>
      </c>
      <c r="B281" s="15">
        <f>INDEX('GLB.Ts+dSST (4)'!$B$3:$M$149,MATCH(VALUE(RIGHT(A281,4)),'GLB.Ts+dSST (4)'!$A$3:$A$149,0),VALUE(LEFT(A281,FIND("/",A281)-1)))</f>
        <v>-0.42</v>
      </c>
      <c r="C281" s="15">
        <f t="shared" si="8"/>
        <v>13.58</v>
      </c>
      <c r="D281" s="15">
        <f t="shared" si="9"/>
        <v>56.444000000000003</v>
      </c>
    </row>
    <row r="282" spans="1:4" ht="15" customHeight="1">
      <c r="A282" t="s">
        <v>345</v>
      </c>
      <c r="B282" s="15">
        <f>INDEX('GLB.Ts+dSST (4)'!$B$3:$M$149,MATCH(VALUE(RIGHT(A282,4)),'GLB.Ts+dSST (4)'!$A$3:$A$149,0),VALUE(LEFT(A282,FIND("/",A282)-1)))</f>
        <v>-0.4</v>
      </c>
      <c r="C282" s="15">
        <f t="shared" si="8"/>
        <v>13.6</v>
      </c>
      <c r="D282" s="15">
        <f t="shared" si="9"/>
        <v>56.480000000000004</v>
      </c>
    </row>
    <row r="283" spans="1:4" ht="15" customHeight="1">
      <c r="A283" t="s">
        <v>346</v>
      </c>
      <c r="B283" s="15">
        <f>INDEX('GLB.Ts+dSST (4)'!$B$3:$M$149,MATCH(VALUE(RIGHT(A283,4)),'GLB.Ts+dSST (4)'!$A$3:$A$149,0),VALUE(LEFT(A283,FIND("/",A283)-1)))</f>
        <v>-0.43</v>
      </c>
      <c r="C283" s="15">
        <f t="shared" si="8"/>
        <v>13.57</v>
      </c>
      <c r="D283" s="15">
        <f t="shared" si="9"/>
        <v>56.426000000000002</v>
      </c>
    </row>
    <row r="284" spans="1:4" ht="15" customHeight="1">
      <c r="A284" t="s">
        <v>347</v>
      </c>
      <c r="B284" s="15">
        <f>INDEX('GLB.Ts+dSST (4)'!$B$3:$M$149,MATCH(VALUE(RIGHT(A284,4)),'GLB.Ts+dSST (4)'!$A$3:$A$149,0),VALUE(LEFT(A284,FIND("/",A284)-1)))</f>
        <v>-0.35</v>
      </c>
      <c r="C284" s="15">
        <f t="shared" si="8"/>
        <v>13.65</v>
      </c>
      <c r="D284" s="15">
        <f t="shared" si="9"/>
        <v>56.57</v>
      </c>
    </row>
    <row r="285" spans="1:4" ht="15" customHeight="1">
      <c r="A285" t="s">
        <v>348</v>
      </c>
      <c r="B285" s="15">
        <f>INDEX('GLB.Ts+dSST (4)'!$B$3:$M$149,MATCH(VALUE(RIGHT(A285,4)),'GLB.Ts+dSST (4)'!$A$3:$A$149,0),VALUE(LEFT(A285,FIND("/",A285)-1)))</f>
        <v>-0.45</v>
      </c>
      <c r="C285" s="15">
        <f t="shared" si="8"/>
        <v>13.55</v>
      </c>
      <c r="D285" s="15">
        <f t="shared" si="9"/>
        <v>56.39</v>
      </c>
    </row>
    <row r="286" spans="1:4" ht="15" customHeight="1">
      <c r="A286" t="s">
        <v>349</v>
      </c>
      <c r="B286" s="15">
        <f>INDEX('GLB.Ts+dSST (4)'!$B$3:$M$149,MATCH(VALUE(RIGHT(A286,4)),'GLB.Ts+dSST (4)'!$A$3:$A$149,0),VALUE(LEFT(A286,FIND("/",A286)-1)))</f>
        <v>-0.49</v>
      </c>
      <c r="C286" s="15">
        <f t="shared" si="8"/>
        <v>13.51</v>
      </c>
      <c r="D286" s="15">
        <f t="shared" si="9"/>
        <v>56.317999999999998</v>
      </c>
    </row>
    <row r="287" spans="1:4" ht="15" customHeight="1">
      <c r="A287" t="s">
        <v>350</v>
      </c>
      <c r="B287" s="15">
        <f>INDEX('GLB.Ts+dSST (4)'!$B$3:$M$149,MATCH(VALUE(RIGHT(A287,4)),'GLB.Ts+dSST (4)'!$A$3:$A$149,0),VALUE(LEFT(A287,FIND("/",A287)-1)))</f>
        <v>-0.47</v>
      </c>
      <c r="C287" s="15">
        <f t="shared" si="8"/>
        <v>13.53</v>
      </c>
      <c r="D287" s="15">
        <f t="shared" si="9"/>
        <v>56.353999999999999</v>
      </c>
    </row>
    <row r="288" spans="1:4" ht="15" customHeight="1">
      <c r="A288" t="s">
        <v>351</v>
      </c>
      <c r="B288" s="15">
        <f>INDEX('GLB.Ts+dSST (4)'!$B$3:$M$149,MATCH(VALUE(RIGHT(A288,4)),'GLB.Ts+dSST (4)'!$A$3:$A$149,0),VALUE(LEFT(A288,FIND("/",A288)-1)))</f>
        <v>-0.42</v>
      </c>
      <c r="C288" s="15">
        <f t="shared" si="8"/>
        <v>13.58</v>
      </c>
      <c r="D288" s="15">
        <f t="shared" si="9"/>
        <v>56.444000000000003</v>
      </c>
    </row>
    <row r="289" spans="1:4" ht="15" customHeight="1">
      <c r="A289" t="s">
        <v>352</v>
      </c>
      <c r="B289" s="15">
        <f>INDEX('GLB.Ts+dSST (4)'!$B$3:$M$149,MATCH(VALUE(RIGHT(A289,4)),'GLB.Ts+dSST (4)'!$A$3:$A$149,0),VALUE(LEFT(A289,FIND("/",A289)-1)))</f>
        <v>-0.52</v>
      </c>
      <c r="C289" s="15">
        <f t="shared" si="8"/>
        <v>13.48</v>
      </c>
      <c r="D289" s="15">
        <f t="shared" si="9"/>
        <v>56.264000000000003</v>
      </c>
    </row>
    <row r="290" spans="1:4" ht="15" customHeight="1">
      <c r="A290" t="s">
        <v>353</v>
      </c>
      <c r="B290" s="15">
        <f>INDEX('GLB.Ts+dSST (4)'!$B$3:$M$149,MATCH(VALUE(RIGHT(A290,4)),'GLB.Ts+dSST (4)'!$A$3:$A$149,0),VALUE(LEFT(A290,FIND("/",A290)-1)))</f>
        <v>-0.64</v>
      </c>
      <c r="C290" s="15">
        <f t="shared" si="8"/>
        <v>13.36</v>
      </c>
      <c r="D290" s="15">
        <f t="shared" si="9"/>
        <v>56.048000000000002</v>
      </c>
    </row>
    <row r="291" spans="1:4" ht="15" customHeight="1">
      <c r="A291" t="s">
        <v>354</v>
      </c>
      <c r="B291" s="15">
        <f>INDEX('GLB.Ts+dSST (4)'!$B$3:$M$149,MATCH(VALUE(RIGHT(A291,4)),'GLB.Ts+dSST (4)'!$A$3:$A$149,0),VALUE(LEFT(A291,FIND("/",A291)-1)))</f>
        <v>-0.59</v>
      </c>
      <c r="C291" s="15">
        <f t="shared" si="8"/>
        <v>13.41</v>
      </c>
      <c r="D291" s="15">
        <f t="shared" si="9"/>
        <v>56.138000000000005</v>
      </c>
    </row>
    <row r="292" spans="1:4" ht="15" customHeight="1">
      <c r="A292" t="s">
        <v>355</v>
      </c>
      <c r="B292" s="15">
        <f>INDEX('GLB.Ts+dSST (4)'!$B$3:$M$149,MATCH(VALUE(RIGHT(A292,4)),'GLB.Ts+dSST (4)'!$A$3:$A$149,0),VALUE(LEFT(A292,FIND("/",A292)-1)))</f>
        <v>-0.52</v>
      </c>
      <c r="C292" s="15">
        <f t="shared" si="8"/>
        <v>13.48</v>
      </c>
      <c r="D292" s="15">
        <f t="shared" si="9"/>
        <v>56.264000000000003</v>
      </c>
    </row>
    <row r="293" spans="1:4" ht="15" customHeight="1">
      <c r="A293" t="s">
        <v>356</v>
      </c>
      <c r="B293" s="15">
        <f>INDEX('GLB.Ts+dSST (4)'!$B$3:$M$149,MATCH(VALUE(RIGHT(A293,4)),'GLB.Ts+dSST (4)'!$A$3:$A$149,0),VALUE(LEFT(A293,FIND("/",A293)-1)))</f>
        <v>-0.51</v>
      </c>
      <c r="C293" s="15">
        <f t="shared" si="8"/>
        <v>13.49</v>
      </c>
      <c r="D293" s="15">
        <f t="shared" si="9"/>
        <v>56.281999999999996</v>
      </c>
    </row>
    <row r="294" spans="1:4" ht="15" customHeight="1">
      <c r="A294" t="s">
        <v>357</v>
      </c>
      <c r="B294" s="15">
        <f>INDEX('GLB.Ts+dSST (4)'!$B$3:$M$149,MATCH(VALUE(RIGHT(A294,4)),'GLB.Ts+dSST (4)'!$A$3:$A$149,0),VALUE(LEFT(A294,FIND("/",A294)-1)))</f>
        <v>-0.52</v>
      </c>
      <c r="C294" s="15">
        <f t="shared" si="8"/>
        <v>13.48</v>
      </c>
      <c r="D294" s="15">
        <f t="shared" si="9"/>
        <v>56.264000000000003</v>
      </c>
    </row>
    <row r="295" spans="1:4" ht="15" customHeight="1">
      <c r="A295" t="s">
        <v>358</v>
      </c>
      <c r="B295" s="15">
        <f>INDEX('GLB.Ts+dSST (4)'!$B$3:$M$149,MATCH(VALUE(RIGHT(A295,4)),'GLB.Ts+dSST (4)'!$A$3:$A$149,0),VALUE(LEFT(A295,FIND("/",A295)-1)))</f>
        <v>-0.49</v>
      </c>
      <c r="C295" s="15">
        <f t="shared" si="8"/>
        <v>13.51</v>
      </c>
      <c r="D295" s="15">
        <f t="shared" si="9"/>
        <v>56.317999999999998</v>
      </c>
    </row>
    <row r="296" spans="1:4" ht="15" customHeight="1">
      <c r="A296" t="s">
        <v>359</v>
      </c>
      <c r="B296" s="15">
        <f>INDEX('GLB.Ts+dSST (4)'!$B$3:$M$149,MATCH(VALUE(RIGHT(A296,4)),'GLB.Ts+dSST (4)'!$A$3:$A$149,0),VALUE(LEFT(A296,FIND("/",A296)-1)))</f>
        <v>-0.52</v>
      </c>
      <c r="C296" s="15">
        <f t="shared" si="8"/>
        <v>13.48</v>
      </c>
      <c r="D296" s="15">
        <f t="shared" si="9"/>
        <v>56.264000000000003</v>
      </c>
    </row>
    <row r="297" spans="1:4" ht="15" customHeight="1">
      <c r="A297" t="s">
        <v>360</v>
      </c>
      <c r="B297" s="15">
        <f>INDEX('GLB.Ts+dSST (4)'!$B$3:$M$149,MATCH(VALUE(RIGHT(A297,4)),'GLB.Ts+dSST (4)'!$A$3:$A$149,0),VALUE(LEFT(A297,FIND("/",A297)-1)))</f>
        <v>-0.5</v>
      </c>
      <c r="C297" s="15">
        <f t="shared" si="8"/>
        <v>13.5</v>
      </c>
      <c r="D297" s="15">
        <f t="shared" si="9"/>
        <v>56.3</v>
      </c>
    </row>
    <row r="298" spans="1:4" ht="15" customHeight="1">
      <c r="A298" t="s">
        <v>361</v>
      </c>
      <c r="B298" s="15">
        <f>INDEX('GLB.Ts+dSST (4)'!$B$3:$M$149,MATCH(VALUE(RIGHT(A298,4)),'GLB.Ts+dSST (4)'!$A$3:$A$149,0),VALUE(LEFT(A298,FIND("/",A298)-1)))</f>
        <v>-0.56000000000000005</v>
      </c>
      <c r="C298" s="15">
        <f t="shared" si="8"/>
        <v>13.44</v>
      </c>
      <c r="D298" s="15">
        <f t="shared" si="9"/>
        <v>56.192</v>
      </c>
    </row>
    <row r="299" spans="1:4" ht="15" customHeight="1">
      <c r="A299" t="s">
        <v>362</v>
      </c>
      <c r="B299" s="15">
        <f>INDEX('GLB.Ts+dSST (4)'!$B$3:$M$149,MATCH(VALUE(RIGHT(A299,4)),'GLB.Ts+dSST (4)'!$A$3:$A$149,0),VALUE(LEFT(A299,FIND("/",A299)-1)))</f>
        <v>-0.4</v>
      </c>
      <c r="C299" s="15">
        <f t="shared" si="8"/>
        <v>13.6</v>
      </c>
      <c r="D299" s="15">
        <f t="shared" si="9"/>
        <v>56.480000000000004</v>
      </c>
    </row>
    <row r="300" spans="1:4" ht="15" customHeight="1">
      <c r="A300" t="s">
        <v>363</v>
      </c>
      <c r="B300" s="15">
        <f>INDEX('GLB.Ts+dSST (4)'!$B$3:$M$149,MATCH(VALUE(RIGHT(A300,4)),'GLB.Ts+dSST (4)'!$A$3:$A$149,0),VALUE(LEFT(A300,FIND("/",A300)-1)))</f>
        <v>-0.19</v>
      </c>
      <c r="C300" s="15">
        <f t="shared" si="8"/>
        <v>13.81</v>
      </c>
      <c r="D300" s="15">
        <f t="shared" si="9"/>
        <v>56.858000000000004</v>
      </c>
    </row>
    <row r="301" spans="1:4" ht="15" customHeight="1">
      <c r="A301" t="s">
        <v>364</v>
      </c>
      <c r="B301" s="15">
        <f>INDEX('GLB.Ts+dSST (4)'!$B$3:$M$149,MATCH(VALUE(RIGHT(A301,4)),'GLB.Ts+dSST (4)'!$A$3:$A$149,0),VALUE(LEFT(A301,FIND("/",A301)-1)))</f>
        <v>-0.34</v>
      </c>
      <c r="C301" s="15">
        <f t="shared" si="8"/>
        <v>13.66</v>
      </c>
      <c r="D301" s="15">
        <f t="shared" si="9"/>
        <v>56.588000000000001</v>
      </c>
    </row>
    <row r="302" spans="1:4" ht="15" customHeight="1">
      <c r="A302" t="s">
        <v>365</v>
      </c>
      <c r="B302" s="15">
        <f>INDEX('GLB.Ts+dSST (4)'!$B$3:$M$149,MATCH(VALUE(RIGHT(A302,4)),'GLB.Ts+dSST (4)'!$A$3:$A$149,0),VALUE(LEFT(A302,FIND("/",A302)-1)))</f>
        <v>-0.36</v>
      </c>
      <c r="C302" s="15">
        <f t="shared" si="8"/>
        <v>13.64</v>
      </c>
      <c r="D302" s="15">
        <f t="shared" si="9"/>
        <v>56.552000000000007</v>
      </c>
    </row>
    <row r="303" spans="1:4" ht="15" customHeight="1">
      <c r="A303" t="s">
        <v>366</v>
      </c>
      <c r="B303" s="15">
        <f>INDEX('GLB.Ts+dSST (4)'!$B$3:$M$149,MATCH(VALUE(RIGHT(A303,4)),'GLB.Ts+dSST (4)'!$A$3:$A$149,0),VALUE(LEFT(A303,FIND("/",A303)-1)))</f>
        <v>-0.6</v>
      </c>
      <c r="C303" s="15">
        <f t="shared" si="8"/>
        <v>13.4</v>
      </c>
      <c r="D303" s="15">
        <f t="shared" si="9"/>
        <v>56.120000000000005</v>
      </c>
    </row>
    <row r="304" spans="1:4" ht="15" customHeight="1">
      <c r="A304" t="s">
        <v>367</v>
      </c>
      <c r="B304" s="15">
        <f>INDEX('GLB.Ts+dSST (4)'!$B$3:$M$149,MATCH(VALUE(RIGHT(A304,4)),'GLB.Ts+dSST (4)'!$A$3:$A$149,0),VALUE(LEFT(A304,FIND("/",A304)-1)))</f>
        <v>-0.22</v>
      </c>
      <c r="C304" s="15">
        <f t="shared" si="8"/>
        <v>13.78</v>
      </c>
      <c r="D304" s="15">
        <f t="shared" si="9"/>
        <v>56.804000000000002</v>
      </c>
    </row>
    <row r="305" spans="1:4" ht="15" customHeight="1">
      <c r="A305" t="s">
        <v>368</v>
      </c>
      <c r="B305" s="15">
        <f>INDEX('GLB.Ts+dSST (4)'!$B$3:$M$149,MATCH(VALUE(RIGHT(A305,4)),'GLB.Ts+dSST (4)'!$A$3:$A$149,0),VALUE(LEFT(A305,FIND("/",A305)-1)))</f>
        <v>-0.34</v>
      </c>
      <c r="C305" s="15">
        <f t="shared" si="8"/>
        <v>13.66</v>
      </c>
      <c r="D305" s="15">
        <f t="shared" si="9"/>
        <v>56.588000000000001</v>
      </c>
    </row>
    <row r="306" spans="1:4" ht="15" customHeight="1">
      <c r="A306" t="s">
        <v>369</v>
      </c>
      <c r="B306" s="15">
        <f>INDEX('GLB.Ts+dSST (4)'!$B$3:$M$149,MATCH(VALUE(RIGHT(A306,4)),'GLB.Ts+dSST (4)'!$A$3:$A$149,0),VALUE(LEFT(A306,FIND("/",A306)-1)))</f>
        <v>-0.3</v>
      </c>
      <c r="C306" s="15">
        <f t="shared" si="8"/>
        <v>13.7</v>
      </c>
      <c r="D306" s="15">
        <f t="shared" si="9"/>
        <v>56.66</v>
      </c>
    </row>
    <row r="307" spans="1:4" ht="15" customHeight="1">
      <c r="A307" t="s">
        <v>370</v>
      </c>
      <c r="B307" s="15">
        <f>INDEX('GLB.Ts+dSST (4)'!$B$3:$M$149,MATCH(VALUE(RIGHT(A307,4)),'GLB.Ts+dSST (4)'!$A$3:$A$149,0),VALUE(LEFT(A307,FIND("/",A307)-1)))</f>
        <v>-0.28999999999999998</v>
      </c>
      <c r="C307" s="15">
        <f t="shared" si="8"/>
        <v>13.71</v>
      </c>
      <c r="D307" s="15">
        <f t="shared" si="9"/>
        <v>56.677999999999997</v>
      </c>
    </row>
    <row r="308" spans="1:4" ht="15" customHeight="1">
      <c r="A308" t="s">
        <v>371</v>
      </c>
      <c r="B308" s="15">
        <f>INDEX('GLB.Ts+dSST (4)'!$B$3:$M$149,MATCH(VALUE(RIGHT(A308,4)),'GLB.Ts+dSST (4)'!$A$3:$A$149,0),VALUE(LEFT(A308,FIND("/",A308)-1)))</f>
        <v>-0.27</v>
      </c>
      <c r="C308" s="15">
        <f t="shared" si="8"/>
        <v>13.73</v>
      </c>
      <c r="D308" s="15">
        <f t="shared" si="9"/>
        <v>56.713999999999999</v>
      </c>
    </row>
    <row r="309" spans="1:4" ht="15" customHeight="1">
      <c r="A309" t="s">
        <v>372</v>
      </c>
      <c r="B309" s="15">
        <f>INDEX('GLB.Ts+dSST (4)'!$B$3:$M$149,MATCH(VALUE(RIGHT(A309,4)),'GLB.Ts+dSST (4)'!$A$3:$A$149,0),VALUE(LEFT(A309,FIND("/",A309)-1)))</f>
        <v>-0.2</v>
      </c>
      <c r="C309" s="15">
        <f t="shared" si="8"/>
        <v>13.8</v>
      </c>
      <c r="D309" s="15">
        <f t="shared" si="9"/>
        <v>56.84</v>
      </c>
    </row>
    <row r="310" spans="1:4" ht="15" customHeight="1">
      <c r="A310" t="s">
        <v>373</v>
      </c>
      <c r="B310" s="15">
        <f>INDEX('GLB.Ts+dSST (4)'!$B$3:$M$149,MATCH(VALUE(RIGHT(A310,4)),'GLB.Ts+dSST (4)'!$A$3:$A$149,0),VALUE(LEFT(A310,FIND("/",A310)-1)))</f>
        <v>-0.19</v>
      </c>
      <c r="C310" s="15">
        <f t="shared" si="8"/>
        <v>13.81</v>
      </c>
      <c r="D310" s="15">
        <f t="shared" si="9"/>
        <v>56.858000000000004</v>
      </c>
    </row>
    <row r="311" spans="1:4" ht="15" customHeight="1">
      <c r="A311" t="s">
        <v>374</v>
      </c>
      <c r="B311" s="15">
        <f>INDEX('GLB.Ts+dSST (4)'!$B$3:$M$149,MATCH(VALUE(RIGHT(A311,4)),'GLB.Ts+dSST (4)'!$A$3:$A$149,0),VALUE(LEFT(A311,FIND("/",A311)-1)))</f>
        <v>-0.25</v>
      </c>
      <c r="C311" s="15">
        <f t="shared" si="8"/>
        <v>13.75</v>
      </c>
      <c r="D311" s="15">
        <f t="shared" si="9"/>
        <v>56.75</v>
      </c>
    </row>
    <row r="312" spans="1:4" ht="15" customHeight="1">
      <c r="A312" t="s">
        <v>375</v>
      </c>
      <c r="B312" s="15">
        <f>INDEX('GLB.Ts+dSST (4)'!$B$3:$M$149,MATCH(VALUE(RIGHT(A312,4)),'GLB.Ts+dSST (4)'!$A$3:$A$149,0),VALUE(LEFT(A312,FIND("/",A312)-1)))</f>
        <v>-0.08</v>
      </c>
      <c r="C312" s="15">
        <f t="shared" si="8"/>
        <v>13.92</v>
      </c>
      <c r="D312" s="15">
        <f t="shared" si="9"/>
        <v>57.055999999999997</v>
      </c>
    </row>
    <row r="313" spans="1:4" ht="15" customHeight="1">
      <c r="A313" t="s">
        <v>376</v>
      </c>
      <c r="B313" s="15">
        <f>INDEX('GLB.Ts+dSST (4)'!$B$3:$M$149,MATCH(VALUE(RIGHT(A313,4)),'GLB.Ts+dSST (4)'!$A$3:$A$149,0),VALUE(LEFT(A313,FIND("/",A313)-1)))</f>
        <v>-0.14000000000000001</v>
      </c>
      <c r="C313" s="15">
        <f t="shared" si="8"/>
        <v>13.86</v>
      </c>
      <c r="D313" s="15">
        <f t="shared" si="9"/>
        <v>56.948</v>
      </c>
    </row>
    <row r="314" spans="1:4" ht="15" customHeight="1">
      <c r="A314" t="s">
        <v>377</v>
      </c>
      <c r="B314" s="15">
        <f>INDEX('GLB.Ts+dSST (4)'!$B$3:$M$149,MATCH(VALUE(RIGHT(A314,4)),'GLB.Ts+dSST (4)'!$A$3:$A$149,0),VALUE(LEFT(A314,FIND("/",A314)-1)))</f>
        <v>-0.28999999999999998</v>
      </c>
      <c r="C314" s="15">
        <f t="shared" si="8"/>
        <v>13.71</v>
      </c>
      <c r="D314" s="15">
        <f t="shared" si="9"/>
        <v>56.677999999999997</v>
      </c>
    </row>
    <row r="315" spans="1:4" ht="15" customHeight="1">
      <c r="A315" t="s">
        <v>378</v>
      </c>
      <c r="B315" s="15">
        <f>INDEX('GLB.Ts+dSST (4)'!$B$3:$M$149,MATCH(VALUE(RIGHT(A315,4)),'GLB.Ts+dSST (4)'!$A$3:$A$149,0),VALUE(LEFT(A315,FIND("/",A315)-1)))</f>
        <v>-0.3</v>
      </c>
      <c r="C315" s="15">
        <f t="shared" si="8"/>
        <v>13.7</v>
      </c>
      <c r="D315" s="15">
        <f t="shared" si="9"/>
        <v>56.66</v>
      </c>
    </row>
    <row r="316" spans="1:4" ht="15" customHeight="1">
      <c r="A316" t="s">
        <v>379</v>
      </c>
      <c r="B316" s="15">
        <f>INDEX('GLB.Ts+dSST (4)'!$B$3:$M$149,MATCH(VALUE(RIGHT(A316,4)),'GLB.Ts+dSST (4)'!$A$3:$A$149,0),VALUE(LEFT(A316,FIND("/",A316)-1)))</f>
        <v>-0.19</v>
      </c>
      <c r="C316" s="15">
        <f t="shared" si="8"/>
        <v>13.81</v>
      </c>
      <c r="D316" s="15">
        <f t="shared" si="9"/>
        <v>56.858000000000004</v>
      </c>
    </row>
    <row r="317" spans="1:4" ht="15" customHeight="1">
      <c r="A317" t="s">
        <v>380</v>
      </c>
      <c r="B317" s="15">
        <f>INDEX('GLB.Ts+dSST (4)'!$B$3:$M$149,MATCH(VALUE(RIGHT(A317,4)),'GLB.Ts+dSST (4)'!$A$3:$A$149,0),VALUE(LEFT(A317,FIND("/",A317)-1)))</f>
        <v>-0.06</v>
      </c>
      <c r="C317" s="15">
        <f t="shared" si="8"/>
        <v>13.94</v>
      </c>
      <c r="D317" s="15">
        <f t="shared" si="9"/>
        <v>57.091999999999999</v>
      </c>
    </row>
    <row r="318" spans="1:4" ht="15" customHeight="1">
      <c r="A318" t="s">
        <v>381</v>
      </c>
      <c r="B318" s="15">
        <f>INDEX('GLB.Ts+dSST (4)'!$B$3:$M$149,MATCH(VALUE(RIGHT(A318,4)),'GLB.Ts+dSST (4)'!$A$3:$A$149,0),VALUE(LEFT(A318,FIND("/",A318)-1)))</f>
        <v>-0.26</v>
      </c>
      <c r="C318" s="15">
        <f t="shared" si="8"/>
        <v>13.74</v>
      </c>
      <c r="D318" s="15">
        <f t="shared" si="9"/>
        <v>56.731999999999999</v>
      </c>
    </row>
    <row r="319" spans="1:4" ht="15" customHeight="1">
      <c r="A319" t="s">
        <v>382</v>
      </c>
      <c r="B319" s="15">
        <f>INDEX('GLB.Ts+dSST (4)'!$B$3:$M$149,MATCH(VALUE(RIGHT(A319,4)),'GLB.Ts+dSST (4)'!$A$3:$A$149,0),VALUE(LEFT(A319,FIND("/",A319)-1)))</f>
        <v>-0.2</v>
      </c>
      <c r="C319" s="15">
        <f t="shared" si="8"/>
        <v>13.8</v>
      </c>
      <c r="D319" s="15">
        <f t="shared" si="9"/>
        <v>56.84</v>
      </c>
    </row>
    <row r="320" spans="1:4" ht="15" customHeight="1">
      <c r="A320" t="s">
        <v>383</v>
      </c>
      <c r="B320" s="15">
        <f>INDEX('GLB.Ts+dSST (4)'!$B$3:$M$149,MATCH(VALUE(RIGHT(A320,4)),'GLB.Ts+dSST (4)'!$A$3:$A$149,0),VALUE(LEFT(A320,FIND("/",A320)-1)))</f>
        <v>-0.23</v>
      </c>
      <c r="C320" s="15">
        <f t="shared" si="8"/>
        <v>13.77</v>
      </c>
      <c r="D320" s="15">
        <f t="shared" si="9"/>
        <v>56.786000000000001</v>
      </c>
    </row>
    <row r="321" spans="1:4" ht="15" customHeight="1">
      <c r="A321" t="s">
        <v>384</v>
      </c>
      <c r="B321" s="15">
        <f>INDEX('GLB.Ts+dSST (4)'!$B$3:$M$149,MATCH(VALUE(RIGHT(A321,4)),'GLB.Ts+dSST (4)'!$A$3:$A$149,0),VALUE(LEFT(A321,FIND("/",A321)-1)))</f>
        <v>-0.2</v>
      </c>
      <c r="C321" s="15">
        <f t="shared" si="8"/>
        <v>13.8</v>
      </c>
      <c r="D321" s="15">
        <f t="shared" si="9"/>
        <v>56.84</v>
      </c>
    </row>
    <row r="322" spans="1:4" ht="15" customHeight="1">
      <c r="A322" t="s">
        <v>385</v>
      </c>
      <c r="B322" s="15">
        <f>INDEX('GLB.Ts+dSST (4)'!$B$3:$M$149,MATCH(VALUE(RIGHT(A322,4)),'GLB.Ts+dSST (4)'!$A$3:$A$149,0),VALUE(LEFT(A322,FIND("/",A322)-1)))</f>
        <v>-0.28000000000000003</v>
      </c>
      <c r="C322" s="15">
        <f t="shared" ref="C322:C385" si="10">B322+14</f>
        <v>13.72</v>
      </c>
      <c r="D322" s="15">
        <f t="shared" ref="D322:D385" si="11">C322*(9/5)+32</f>
        <v>56.695999999999998</v>
      </c>
    </row>
    <row r="323" spans="1:4" ht="15" customHeight="1">
      <c r="A323" t="s">
        <v>386</v>
      </c>
      <c r="B323" s="15">
        <f>INDEX('GLB.Ts+dSST (4)'!$B$3:$M$149,MATCH(VALUE(RIGHT(A323,4)),'GLB.Ts+dSST (4)'!$A$3:$A$149,0),VALUE(LEFT(A323,FIND("/",A323)-1)))</f>
        <v>-0.2</v>
      </c>
      <c r="C323" s="15">
        <f t="shared" si="10"/>
        <v>13.8</v>
      </c>
      <c r="D323" s="15">
        <f t="shared" si="11"/>
        <v>56.84</v>
      </c>
    </row>
    <row r="324" spans="1:4" ht="15" customHeight="1">
      <c r="A324" t="s">
        <v>387</v>
      </c>
      <c r="B324" s="15">
        <f>INDEX('GLB.Ts+dSST (4)'!$B$3:$M$149,MATCH(VALUE(RIGHT(A324,4)),'GLB.Ts+dSST (4)'!$A$3:$A$149,0),VALUE(LEFT(A324,FIND("/",A324)-1)))</f>
        <v>-0.38</v>
      </c>
      <c r="C324" s="15">
        <f t="shared" si="10"/>
        <v>13.62</v>
      </c>
      <c r="D324" s="15">
        <f t="shared" si="11"/>
        <v>56.515999999999998</v>
      </c>
    </row>
    <row r="325" spans="1:4" ht="15" customHeight="1">
      <c r="A325" t="s">
        <v>388</v>
      </c>
      <c r="B325" s="15">
        <f>INDEX('GLB.Ts+dSST (4)'!$B$3:$M$149,MATCH(VALUE(RIGHT(A325,4)),'GLB.Ts+dSST (4)'!$A$3:$A$149,0),VALUE(LEFT(A325,FIND("/",A325)-1)))</f>
        <v>-0.15</v>
      </c>
      <c r="C325" s="15">
        <f t="shared" si="10"/>
        <v>13.85</v>
      </c>
      <c r="D325" s="15">
        <f t="shared" si="11"/>
        <v>56.93</v>
      </c>
    </row>
    <row r="326" spans="1:4" ht="15" customHeight="1">
      <c r="A326" t="s">
        <v>389</v>
      </c>
      <c r="B326" s="15">
        <f>INDEX('GLB.Ts+dSST (4)'!$B$3:$M$149,MATCH(VALUE(RIGHT(A326,4)),'GLB.Ts+dSST (4)'!$A$3:$A$149,0),VALUE(LEFT(A326,FIND("/",A326)-1)))</f>
        <v>-0.43</v>
      </c>
      <c r="C326" s="15">
        <f t="shared" si="10"/>
        <v>13.57</v>
      </c>
      <c r="D326" s="15">
        <f t="shared" si="11"/>
        <v>56.426000000000002</v>
      </c>
    </row>
    <row r="327" spans="1:4" ht="15" customHeight="1">
      <c r="A327" t="s">
        <v>390</v>
      </c>
      <c r="B327" s="15">
        <f>INDEX('GLB.Ts+dSST (4)'!$B$3:$M$149,MATCH(VALUE(RIGHT(A327,4)),'GLB.Ts+dSST (4)'!$A$3:$A$149,0),VALUE(LEFT(A327,FIND("/",A327)-1)))</f>
        <v>-0.51</v>
      </c>
      <c r="C327" s="15">
        <f t="shared" si="10"/>
        <v>13.49</v>
      </c>
      <c r="D327" s="15">
        <f t="shared" si="11"/>
        <v>56.281999999999996</v>
      </c>
    </row>
    <row r="328" spans="1:4" ht="15" customHeight="1">
      <c r="A328" t="s">
        <v>391</v>
      </c>
      <c r="B328" s="15">
        <f>INDEX('GLB.Ts+dSST (4)'!$B$3:$M$149,MATCH(VALUE(RIGHT(A328,4)),'GLB.Ts+dSST (4)'!$A$3:$A$149,0),VALUE(LEFT(A328,FIND("/",A328)-1)))</f>
        <v>-0.27</v>
      </c>
      <c r="C328" s="15">
        <f t="shared" si="10"/>
        <v>13.73</v>
      </c>
      <c r="D328" s="15">
        <f t="shared" si="11"/>
        <v>56.713999999999999</v>
      </c>
    </row>
    <row r="329" spans="1:4" ht="15" customHeight="1">
      <c r="A329" t="s">
        <v>392</v>
      </c>
      <c r="B329" s="15">
        <f>INDEX('GLB.Ts+dSST (4)'!$B$3:$M$149,MATCH(VALUE(RIGHT(A329,4)),'GLB.Ts+dSST (4)'!$A$3:$A$149,0),VALUE(LEFT(A329,FIND("/",A329)-1)))</f>
        <v>-0.37</v>
      </c>
      <c r="C329" s="15">
        <f t="shared" si="10"/>
        <v>13.63</v>
      </c>
      <c r="D329" s="15">
        <f t="shared" si="11"/>
        <v>56.534000000000006</v>
      </c>
    </row>
    <row r="330" spans="1:4" ht="15" customHeight="1">
      <c r="A330" t="s">
        <v>393</v>
      </c>
      <c r="B330" s="15">
        <f>INDEX('GLB.Ts+dSST (4)'!$B$3:$M$149,MATCH(VALUE(RIGHT(A330,4)),'GLB.Ts+dSST (4)'!$A$3:$A$149,0),VALUE(LEFT(A330,FIND("/",A330)-1)))</f>
        <v>-0.46</v>
      </c>
      <c r="C330" s="15">
        <f t="shared" si="10"/>
        <v>13.54</v>
      </c>
      <c r="D330" s="15">
        <f t="shared" si="11"/>
        <v>56.372</v>
      </c>
    </row>
    <row r="331" spans="1:4" ht="15" customHeight="1">
      <c r="A331" t="s">
        <v>394</v>
      </c>
      <c r="B331" s="15">
        <f>INDEX('GLB.Ts+dSST (4)'!$B$3:$M$149,MATCH(VALUE(RIGHT(A331,4)),'GLB.Ts+dSST (4)'!$A$3:$A$149,0),VALUE(LEFT(A331,FIND("/",A331)-1)))</f>
        <v>-0.42</v>
      </c>
      <c r="C331" s="15">
        <f t="shared" si="10"/>
        <v>13.58</v>
      </c>
      <c r="D331" s="15">
        <f t="shared" si="11"/>
        <v>56.444000000000003</v>
      </c>
    </row>
    <row r="332" spans="1:4" ht="15" customHeight="1">
      <c r="A332" t="s">
        <v>395</v>
      </c>
      <c r="B332" s="15">
        <f>INDEX('GLB.Ts+dSST (4)'!$B$3:$M$149,MATCH(VALUE(RIGHT(A332,4)),'GLB.Ts+dSST (4)'!$A$3:$A$149,0),VALUE(LEFT(A332,FIND("/",A332)-1)))</f>
        <v>-0.35</v>
      </c>
      <c r="C332" s="15">
        <f t="shared" si="10"/>
        <v>13.65</v>
      </c>
      <c r="D332" s="15">
        <f t="shared" si="11"/>
        <v>56.57</v>
      </c>
    </row>
    <row r="333" spans="1:4" ht="15" customHeight="1">
      <c r="A333" t="s">
        <v>396</v>
      </c>
      <c r="B333" s="15">
        <f>INDEX('GLB.Ts+dSST (4)'!$B$3:$M$149,MATCH(VALUE(RIGHT(A333,4)),'GLB.Ts+dSST (4)'!$A$3:$A$149,0),VALUE(LEFT(A333,FIND("/",A333)-1)))</f>
        <v>-0.35</v>
      </c>
      <c r="C333" s="15">
        <f t="shared" si="10"/>
        <v>13.65</v>
      </c>
      <c r="D333" s="15">
        <f t="shared" si="11"/>
        <v>56.57</v>
      </c>
    </row>
    <row r="334" spans="1:4" ht="15" customHeight="1">
      <c r="A334" t="s">
        <v>397</v>
      </c>
      <c r="B334" s="15">
        <f>INDEX('GLB.Ts+dSST (4)'!$B$3:$M$149,MATCH(VALUE(RIGHT(A334,4)),'GLB.Ts+dSST (4)'!$A$3:$A$149,0),VALUE(LEFT(A334,FIND("/",A334)-1)))</f>
        <v>-0.34</v>
      </c>
      <c r="C334" s="15">
        <f t="shared" si="10"/>
        <v>13.66</v>
      </c>
      <c r="D334" s="15">
        <f t="shared" si="11"/>
        <v>56.588000000000001</v>
      </c>
    </row>
    <row r="335" spans="1:4" ht="15" customHeight="1">
      <c r="A335" t="s">
        <v>398</v>
      </c>
      <c r="B335" s="15">
        <f>INDEX('GLB.Ts+dSST (4)'!$B$3:$M$149,MATCH(VALUE(RIGHT(A335,4)),'GLB.Ts+dSST (4)'!$A$3:$A$149,0),VALUE(LEFT(A335,FIND("/",A335)-1)))</f>
        <v>-0.23</v>
      </c>
      <c r="C335" s="15">
        <f t="shared" si="10"/>
        <v>13.77</v>
      </c>
      <c r="D335" s="15">
        <f t="shared" si="11"/>
        <v>56.786000000000001</v>
      </c>
    </row>
    <row r="336" spans="1:4" ht="15" customHeight="1">
      <c r="A336" t="s">
        <v>399</v>
      </c>
      <c r="B336" s="15">
        <f>INDEX('GLB.Ts+dSST (4)'!$B$3:$M$149,MATCH(VALUE(RIGHT(A336,4)),'GLB.Ts+dSST (4)'!$A$3:$A$149,0),VALUE(LEFT(A336,FIND("/",A336)-1)))</f>
        <v>-0.47</v>
      </c>
      <c r="C336" s="15">
        <f t="shared" si="10"/>
        <v>13.53</v>
      </c>
      <c r="D336" s="15">
        <f t="shared" si="11"/>
        <v>56.353999999999999</v>
      </c>
    </row>
    <row r="337" spans="1:4" ht="15" customHeight="1">
      <c r="A337" t="s">
        <v>400</v>
      </c>
      <c r="B337" s="15">
        <f>INDEX('GLB.Ts+dSST (4)'!$B$3:$M$149,MATCH(VALUE(RIGHT(A337,4)),'GLB.Ts+dSST (4)'!$A$3:$A$149,0),VALUE(LEFT(A337,FIND("/",A337)-1)))</f>
        <v>-0.47</v>
      </c>
      <c r="C337" s="15">
        <f t="shared" si="10"/>
        <v>13.53</v>
      </c>
      <c r="D337" s="15">
        <f t="shared" si="11"/>
        <v>56.353999999999999</v>
      </c>
    </row>
    <row r="338" spans="1:4" ht="15" customHeight="1">
      <c r="A338" t="s">
        <v>401</v>
      </c>
      <c r="B338" s="15">
        <f>INDEX('GLB.Ts+dSST (4)'!$B$3:$M$149,MATCH(VALUE(RIGHT(A338,4)),'GLB.Ts+dSST (4)'!$A$3:$A$149,0),VALUE(LEFT(A338,FIND("/",A338)-1)))</f>
        <v>-0.45</v>
      </c>
      <c r="C338" s="15">
        <f t="shared" si="10"/>
        <v>13.55</v>
      </c>
      <c r="D338" s="15">
        <f t="shared" si="11"/>
        <v>56.39</v>
      </c>
    </row>
    <row r="339" spans="1:4" ht="15" customHeight="1">
      <c r="A339" t="s">
        <v>402</v>
      </c>
      <c r="B339" s="15">
        <f>INDEX('GLB.Ts+dSST (4)'!$B$3:$M$149,MATCH(VALUE(RIGHT(A339,4)),'GLB.Ts+dSST (4)'!$A$3:$A$149,0),VALUE(LEFT(A339,FIND("/",A339)-1)))</f>
        <v>-0.33</v>
      </c>
      <c r="C339" s="15">
        <f t="shared" si="10"/>
        <v>13.67</v>
      </c>
      <c r="D339" s="15">
        <f t="shared" si="11"/>
        <v>56.606000000000002</v>
      </c>
    </row>
    <row r="340" spans="1:4" ht="15" customHeight="1">
      <c r="A340" t="s">
        <v>403</v>
      </c>
      <c r="B340" s="15">
        <f>INDEX('GLB.Ts+dSST (4)'!$B$3:$M$149,MATCH(VALUE(RIGHT(A340,4)),'GLB.Ts+dSST (4)'!$A$3:$A$149,0),VALUE(LEFT(A340,FIND("/",A340)-1)))</f>
        <v>-0.56000000000000005</v>
      </c>
      <c r="C340" s="15">
        <f t="shared" si="10"/>
        <v>13.44</v>
      </c>
      <c r="D340" s="15">
        <f t="shared" si="11"/>
        <v>56.192</v>
      </c>
    </row>
    <row r="341" spans="1:4" ht="15" customHeight="1">
      <c r="A341" t="s">
        <v>404</v>
      </c>
      <c r="B341" s="15">
        <f>INDEX('GLB.Ts+dSST (4)'!$B$3:$M$149,MATCH(VALUE(RIGHT(A341,4)),'GLB.Ts+dSST (4)'!$A$3:$A$149,0),VALUE(LEFT(A341,FIND("/",A341)-1)))</f>
        <v>-0.45</v>
      </c>
      <c r="C341" s="15">
        <f t="shared" si="10"/>
        <v>13.55</v>
      </c>
      <c r="D341" s="15">
        <f t="shared" si="11"/>
        <v>56.39</v>
      </c>
    </row>
    <row r="342" spans="1:4" ht="15" customHeight="1">
      <c r="A342" t="s">
        <v>405</v>
      </c>
      <c r="B342" s="15">
        <f>INDEX('GLB.Ts+dSST (4)'!$B$3:$M$149,MATCH(VALUE(RIGHT(A342,4)),'GLB.Ts+dSST (4)'!$A$3:$A$149,0),VALUE(LEFT(A342,FIND("/",A342)-1)))</f>
        <v>-0.38</v>
      </c>
      <c r="C342" s="15">
        <f t="shared" si="10"/>
        <v>13.62</v>
      </c>
      <c r="D342" s="15">
        <f t="shared" si="11"/>
        <v>56.515999999999998</v>
      </c>
    </row>
    <row r="343" spans="1:4" ht="15" customHeight="1">
      <c r="A343" t="s">
        <v>406</v>
      </c>
      <c r="B343" s="15">
        <f>INDEX('GLB.Ts+dSST (4)'!$B$3:$M$149,MATCH(VALUE(RIGHT(A343,4)),'GLB.Ts+dSST (4)'!$A$3:$A$149,0),VALUE(LEFT(A343,FIND("/",A343)-1)))</f>
        <v>-0.39</v>
      </c>
      <c r="C343" s="15">
        <f t="shared" si="10"/>
        <v>13.61</v>
      </c>
      <c r="D343" s="15">
        <f t="shared" si="11"/>
        <v>56.498000000000005</v>
      </c>
    </row>
    <row r="344" spans="1:4" ht="15" customHeight="1">
      <c r="A344" t="s">
        <v>407</v>
      </c>
      <c r="B344" s="15">
        <f>INDEX('GLB.Ts+dSST (4)'!$B$3:$M$149,MATCH(VALUE(RIGHT(A344,4)),'GLB.Ts+dSST (4)'!$A$3:$A$149,0),VALUE(LEFT(A344,FIND("/",A344)-1)))</f>
        <v>-0.36</v>
      </c>
      <c r="C344" s="15">
        <f t="shared" si="10"/>
        <v>13.64</v>
      </c>
      <c r="D344" s="15">
        <f t="shared" si="11"/>
        <v>56.552000000000007</v>
      </c>
    </row>
    <row r="345" spans="1:4" ht="15" customHeight="1">
      <c r="A345" t="s">
        <v>408</v>
      </c>
      <c r="B345" s="15">
        <f>INDEX('GLB.Ts+dSST (4)'!$B$3:$M$149,MATCH(VALUE(RIGHT(A345,4)),'GLB.Ts+dSST (4)'!$A$3:$A$149,0),VALUE(LEFT(A345,FIND("/",A345)-1)))</f>
        <v>-0.47</v>
      </c>
      <c r="C345" s="15">
        <f t="shared" si="10"/>
        <v>13.53</v>
      </c>
      <c r="D345" s="15">
        <f t="shared" si="11"/>
        <v>56.353999999999999</v>
      </c>
    </row>
    <row r="346" spans="1:4" ht="15" customHeight="1">
      <c r="A346" t="s">
        <v>409</v>
      </c>
      <c r="B346" s="15">
        <f>INDEX('GLB.Ts+dSST (4)'!$B$3:$M$149,MATCH(VALUE(RIGHT(A346,4)),'GLB.Ts+dSST (4)'!$A$3:$A$149,0),VALUE(LEFT(A346,FIND("/",A346)-1)))</f>
        <v>-0.36</v>
      </c>
      <c r="C346" s="15">
        <f t="shared" si="10"/>
        <v>13.64</v>
      </c>
      <c r="D346" s="15">
        <f t="shared" si="11"/>
        <v>56.552000000000007</v>
      </c>
    </row>
    <row r="347" spans="1:4" ht="15" customHeight="1">
      <c r="A347" t="s">
        <v>410</v>
      </c>
      <c r="B347" s="15">
        <f>INDEX('GLB.Ts+dSST (4)'!$B$3:$M$149,MATCH(VALUE(RIGHT(A347,4)),'GLB.Ts+dSST (4)'!$A$3:$A$149,0),VALUE(LEFT(A347,FIND("/",A347)-1)))</f>
        <v>-0.44</v>
      </c>
      <c r="C347" s="15">
        <f t="shared" si="10"/>
        <v>13.56</v>
      </c>
      <c r="D347" s="15">
        <f t="shared" si="11"/>
        <v>56.408000000000001</v>
      </c>
    </row>
    <row r="348" spans="1:4" ht="15" customHeight="1">
      <c r="A348" t="s">
        <v>411</v>
      </c>
      <c r="B348" s="15">
        <f>INDEX('GLB.Ts+dSST (4)'!$B$3:$M$149,MATCH(VALUE(RIGHT(A348,4)),'GLB.Ts+dSST (4)'!$A$3:$A$149,0),VALUE(LEFT(A348,FIND("/",A348)-1)))</f>
        <v>-0.52</v>
      </c>
      <c r="C348" s="15">
        <f t="shared" si="10"/>
        <v>13.48</v>
      </c>
      <c r="D348" s="15">
        <f t="shared" si="11"/>
        <v>56.264000000000003</v>
      </c>
    </row>
    <row r="349" spans="1:4" ht="15" customHeight="1">
      <c r="A349" t="s">
        <v>412</v>
      </c>
      <c r="B349" s="15">
        <f>INDEX('GLB.Ts+dSST (4)'!$B$3:$M$149,MATCH(VALUE(RIGHT(A349,4)),'GLB.Ts+dSST (4)'!$A$3:$A$149,0),VALUE(LEFT(A349,FIND("/",A349)-1)))</f>
        <v>-0.5</v>
      </c>
      <c r="C349" s="15">
        <f t="shared" si="10"/>
        <v>13.5</v>
      </c>
      <c r="D349" s="15">
        <f t="shared" si="11"/>
        <v>56.3</v>
      </c>
    </row>
    <row r="350" spans="1:4" ht="15" customHeight="1">
      <c r="A350" t="s">
        <v>413</v>
      </c>
      <c r="B350" s="15">
        <f>INDEX('GLB.Ts+dSST (4)'!$B$3:$M$149,MATCH(VALUE(RIGHT(A350,4)),'GLB.Ts+dSST (4)'!$A$3:$A$149,0),VALUE(LEFT(A350,FIND("/",A350)-1)))</f>
        <v>-0.74</v>
      </c>
      <c r="C350" s="15">
        <f t="shared" si="10"/>
        <v>13.26</v>
      </c>
      <c r="D350" s="15">
        <f t="shared" si="11"/>
        <v>55.867999999999995</v>
      </c>
    </row>
    <row r="351" spans="1:4" ht="15" customHeight="1">
      <c r="A351" t="s">
        <v>414</v>
      </c>
      <c r="B351" s="15">
        <f>INDEX('GLB.Ts+dSST (4)'!$B$3:$M$149,MATCH(VALUE(RIGHT(A351,4)),'GLB.Ts+dSST (4)'!$A$3:$A$149,0),VALUE(LEFT(A351,FIND("/",A351)-1)))</f>
        <v>-0.47</v>
      </c>
      <c r="C351" s="15">
        <f t="shared" si="10"/>
        <v>13.53</v>
      </c>
      <c r="D351" s="15">
        <f t="shared" si="11"/>
        <v>56.353999999999999</v>
      </c>
    </row>
    <row r="352" spans="1:4" ht="15" customHeight="1">
      <c r="A352" t="s">
        <v>415</v>
      </c>
      <c r="B352" s="15">
        <f>INDEX('GLB.Ts+dSST (4)'!$B$3:$M$149,MATCH(VALUE(RIGHT(A352,4)),'GLB.Ts+dSST (4)'!$A$3:$A$149,0),VALUE(LEFT(A352,FIND("/",A352)-1)))</f>
        <v>-0.55000000000000004</v>
      </c>
      <c r="C352" s="15">
        <f t="shared" si="10"/>
        <v>13.45</v>
      </c>
      <c r="D352" s="15">
        <f t="shared" si="11"/>
        <v>56.21</v>
      </c>
    </row>
    <row r="353" spans="1:4" ht="15" customHeight="1">
      <c r="A353" t="s">
        <v>416</v>
      </c>
      <c r="B353" s="15">
        <f>INDEX('GLB.Ts+dSST (4)'!$B$3:$M$149,MATCH(VALUE(RIGHT(A353,4)),'GLB.Ts+dSST (4)'!$A$3:$A$149,0),VALUE(LEFT(A353,FIND("/",A353)-1)))</f>
        <v>-0.6</v>
      </c>
      <c r="C353" s="15">
        <f t="shared" si="10"/>
        <v>13.4</v>
      </c>
      <c r="D353" s="15">
        <f t="shared" si="11"/>
        <v>56.120000000000005</v>
      </c>
    </row>
    <row r="354" spans="1:4" ht="15" customHeight="1">
      <c r="A354" t="s">
        <v>417</v>
      </c>
      <c r="B354" s="15">
        <f>INDEX('GLB.Ts+dSST (4)'!$B$3:$M$149,MATCH(VALUE(RIGHT(A354,4)),'GLB.Ts+dSST (4)'!$A$3:$A$149,0),VALUE(LEFT(A354,FIND("/",A354)-1)))</f>
        <v>-0.55000000000000004</v>
      </c>
      <c r="C354" s="15">
        <f t="shared" si="10"/>
        <v>13.45</v>
      </c>
      <c r="D354" s="15">
        <f t="shared" si="11"/>
        <v>56.21</v>
      </c>
    </row>
    <row r="355" spans="1:4" ht="15" customHeight="1">
      <c r="A355" t="s">
        <v>418</v>
      </c>
      <c r="B355" s="15">
        <f>INDEX('GLB.Ts+dSST (4)'!$B$3:$M$149,MATCH(VALUE(RIGHT(A355,4)),'GLB.Ts+dSST (4)'!$A$3:$A$149,0),VALUE(LEFT(A355,FIND("/",A355)-1)))</f>
        <v>-0.52</v>
      </c>
      <c r="C355" s="15">
        <f t="shared" si="10"/>
        <v>13.48</v>
      </c>
      <c r="D355" s="15">
        <f t="shared" si="11"/>
        <v>56.264000000000003</v>
      </c>
    </row>
    <row r="356" spans="1:4" ht="15" customHeight="1">
      <c r="A356" t="s">
        <v>419</v>
      </c>
      <c r="B356" s="15">
        <f>INDEX('GLB.Ts+dSST (4)'!$B$3:$M$149,MATCH(VALUE(RIGHT(A356,4)),'GLB.Ts+dSST (4)'!$A$3:$A$149,0),VALUE(LEFT(A356,FIND("/",A356)-1)))</f>
        <v>-0.46</v>
      </c>
      <c r="C356" s="15">
        <f t="shared" si="10"/>
        <v>13.54</v>
      </c>
      <c r="D356" s="15">
        <f t="shared" si="11"/>
        <v>56.372</v>
      </c>
    </row>
    <row r="357" spans="1:4" ht="15" customHeight="1">
      <c r="A357" t="s">
        <v>420</v>
      </c>
      <c r="B357" s="15">
        <f>INDEX('GLB.Ts+dSST (4)'!$B$3:$M$149,MATCH(VALUE(RIGHT(A357,4)),'GLB.Ts+dSST (4)'!$A$3:$A$149,0),VALUE(LEFT(A357,FIND("/",A357)-1)))</f>
        <v>-0.34</v>
      </c>
      <c r="C357" s="15">
        <f t="shared" si="10"/>
        <v>13.66</v>
      </c>
      <c r="D357" s="15">
        <f t="shared" si="11"/>
        <v>56.588000000000001</v>
      </c>
    </row>
    <row r="358" spans="1:4" ht="15" customHeight="1">
      <c r="A358" t="s">
        <v>421</v>
      </c>
      <c r="B358" s="15">
        <f>INDEX('GLB.Ts+dSST (4)'!$B$3:$M$149,MATCH(VALUE(RIGHT(A358,4)),'GLB.Ts+dSST (4)'!$A$3:$A$149,0),VALUE(LEFT(A358,FIND("/",A358)-1)))</f>
        <v>-0.39</v>
      </c>
      <c r="C358" s="15">
        <f t="shared" si="10"/>
        <v>13.61</v>
      </c>
      <c r="D358" s="15">
        <f t="shared" si="11"/>
        <v>56.498000000000005</v>
      </c>
    </row>
    <row r="359" spans="1:4" ht="15" customHeight="1">
      <c r="A359" t="s">
        <v>422</v>
      </c>
      <c r="B359" s="15">
        <f>INDEX('GLB.Ts+dSST (4)'!$B$3:$M$149,MATCH(VALUE(RIGHT(A359,4)),'GLB.Ts+dSST (4)'!$A$3:$A$149,0),VALUE(LEFT(A359,FIND("/",A359)-1)))</f>
        <v>-0.4</v>
      </c>
      <c r="C359" s="15">
        <f t="shared" si="10"/>
        <v>13.6</v>
      </c>
      <c r="D359" s="15">
        <f t="shared" si="11"/>
        <v>56.480000000000004</v>
      </c>
    </row>
    <row r="360" spans="1:4" ht="15" customHeight="1">
      <c r="A360" t="s">
        <v>423</v>
      </c>
      <c r="B360" s="15">
        <f>INDEX('GLB.Ts+dSST (4)'!$B$3:$M$149,MATCH(VALUE(RIGHT(A360,4)),'GLB.Ts+dSST (4)'!$A$3:$A$149,0),VALUE(LEFT(A360,FIND("/",A360)-1)))</f>
        <v>-0.33</v>
      </c>
      <c r="C360" s="15">
        <f t="shared" si="10"/>
        <v>13.67</v>
      </c>
      <c r="D360" s="15">
        <f t="shared" si="11"/>
        <v>56.606000000000002</v>
      </c>
    </row>
    <row r="361" spans="1:4" ht="15" customHeight="1">
      <c r="A361" t="s">
        <v>424</v>
      </c>
      <c r="B361" s="15">
        <f>INDEX('GLB.Ts+dSST (4)'!$B$3:$M$149,MATCH(VALUE(RIGHT(A361,4)),'GLB.Ts+dSST (4)'!$A$3:$A$149,0),VALUE(LEFT(A361,FIND("/",A361)-1)))</f>
        <v>-0.56999999999999995</v>
      </c>
      <c r="C361" s="15">
        <f t="shared" si="10"/>
        <v>13.43</v>
      </c>
      <c r="D361" s="15">
        <f t="shared" si="11"/>
        <v>56.173999999999999</v>
      </c>
    </row>
    <row r="362" spans="1:4" ht="15" customHeight="1">
      <c r="A362" t="s">
        <v>425</v>
      </c>
      <c r="B362" s="15">
        <f>INDEX('GLB.Ts+dSST (4)'!$B$3:$M$149,MATCH(VALUE(RIGHT(A362,4)),'GLB.Ts+dSST (4)'!$A$3:$A$149,0),VALUE(LEFT(A362,FIND("/",A362)-1)))</f>
        <v>-0.43</v>
      </c>
      <c r="C362" s="15">
        <f t="shared" si="10"/>
        <v>13.57</v>
      </c>
      <c r="D362" s="15">
        <f t="shared" si="11"/>
        <v>56.426000000000002</v>
      </c>
    </row>
    <row r="363" spans="1:4" ht="15" customHeight="1">
      <c r="A363" t="s">
        <v>426</v>
      </c>
      <c r="B363" s="15">
        <f>INDEX('GLB.Ts+dSST (4)'!$B$3:$M$149,MATCH(VALUE(RIGHT(A363,4)),'GLB.Ts+dSST (4)'!$A$3:$A$149,0),VALUE(LEFT(A363,FIND("/",A363)-1)))</f>
        <v>-0.42</v>
      </c>
      <c r="C363" s="15">
        <f t="shared" si="10"/>
        <v>13.58</v>
      </c>
      <c r="D363" s="15">
        <f t="shared" si="11"/>
        <v>56.444000000000003</v>
      </c>
    </row>
    <row r="364" spans="1:4" ht="15" customHeight="1">
      <c r="A364" t="s">
        <v>427</v>
      </c>
      <c r="B364" s="15">
        <f>INDEX('GLB.Ts+dSST (4)'!$B$3:$M$149,MATCH(VALUE(RIGHT(A364,4)),'GLB.Ts+dSST (4)'!$A$3:$A$149,0),VALUE(LEFT(A364,FIND("/",A364)-1)))</f>
        <v>-0.51</v>
      </c>
      <c r="C364" s="15">
        <f t="shared" si="10"/>
        <v>13.49</v>
      </c>
      <c r="D364" s="15">
        <f t="shared" si="11"/>
        <v>56.281999999999996</v>
      </c>
    </row>
    <row r="365" spans="1:4" ht="15" customHeight="1">
      <c r="A365" t="s">
        <v>428</v>
      </c>
      <c r="B365" s="15">
        <f>INDEX('GLB.Ts+dSST (4)'!$B$3:$M$149,MATCH(VALUE(RIGHT(A365,4)),'GLB.Ts+dSST (4)'!$A$3:$A$149,0),VALUE(LEFT(A365,FIND("/",A365)-1)))</f>
        <v>-0.43</v>
      </c>
      <c r="C365" s="15">
        <f t="shared" si="10"/>
        <v>13.57</v>
      </c>
      <c r="D365" s="15">
        <f t="shared" si="11"/>
        <v>56.426000000000002</v>
      </c>
    </row>
    <row r="366" spans="1:4" ht="15" customHeight="1">
      <c r="A366" t="s">
        <v>429</v>
      </c>
      <c r="B366" s="15">
        <f>INDEX('GLB.Ts+dSST (4)'!$B$3:$M$149,MATCH(VALUE(RIGHT(A366,4)),'GLB.Ts+dSST (4)'!$A$3:$A$149,0),VALUE(LEFT(A366,FIND("/",A366)-1)))</f>
        <v>-0.35</v>
      </c>
      <c r="C366" s="15">
        <f t="shared" si="10"/>
        <v>13.65</v>
      </c>
      <c r="D366" s="15">
        <f t="shared" si="11"/>
        <v>56.57</v>
      </c>
    </row>
    <row r="367" spans="1:4" ht="15" customHeight="1">
      <c r="A367" t="s">
        <v>430</v>
      </c>
      <c r="B367" s="15">
        <f>INDEX('GLB.Ts+dSST (4)'!$B$3:$M$149,MATCH(VALUE(RIGHT(A367,4)),'GLB.Ts+dSST (4)'!$A$3:$A$149,0),VALUE(LEFT(A367,FIND("/",A367)-1)))</f>
        <v>-0.4</v>
      </c>
      <c r="C367" s="15">
        <f t="shared" si="10"/>
        <v>13.6</v>
      </c>
      <c r="D367" s="15">
        <f t="shared" si="11"/>
        <v>56.480000000000004</v>
      </c>
    </row>
    <row r="368" spans="1:4" ht="15" customHeight="1">
      <c r="A368" t="s">
        <v>431</v>
      </c>
      <c r="B368" s="15">
        <f>INDEX('GLB.Ts+dSST (4)'!$B$3:$M$149,MATCH(VALUE(RIGHT(A368,4)),'GLB.Ts+dSST (4)'!$A$3:$A$149,0),VALUE(LEFT(A368,FIND("/",A368)-1)))</f>
        <v>-0.35</v>
      </c>
      <c r="C368" s="15">
        <f t="shared" si="10"/>
        <v>13.65</v>
      </c>
      <c r="D368" s="15">
        <f t="shared" si="11"/>
        <v>56.57</v>
      </c>
    </row>
    <row r="369" spans="1:4" ht="15" customHeight="1">
      <c r="A369" t="s">
        <v>432</v>
      </c>
      <c r="B369" s="15">
        <f>INDEX('GLB.Ts+dSST (4)'!$B$3:$M$149,MATCH(VALUE(RIGHT(A369,4)),'GLB.Ts+dSST (4)'!$A$3:$A$149,0),VALUE(LEFT(A369,FIND("/",A369)-1)))</f>
        <v>-0.37</v>
      </c>
      <c r="C369" s="15">
        <f t="shared" si="10"/>
        <v>13.63</v>
      </c>
      <c r="D369" s="15">
        <f t="shared" si="11"/>
        <v>56.534000000000006</v>
      </c>
    </row>
    <row r="370" spans="1:4" ht="15" customHeight="1">
      <c r="A370" t="s">
        <v>433</v>
      </c>
      <c r="B370" s="15">
        <f>INDEX('GLB.Ts+dSST (4)'!$B$3:$M$149,MATCH(VALUE(RIGHT(A370,4)),'GLB.Ts+dSST (4)'!$A$3:$A$149,0),VALUE(LEFT(A370,FIND("/",A370)-1)))</f>
        <v>-0.39</v>
      </c>
      <c r="C370" s="15">
        <f t="shared" si="10"/>
        <v>13.61</v>
      </c>
      <c r="D370" s="15">
        <f t="shared" si="11"/>
        <v>56.498000000000005</v>
      </c>
    </row>
    <row r="371" spans="1:4" ht="15" customHeight="1">
      <c r="A371" t="s">
        <v>434</v>
      </c>
      <c r="B371" s="15">
        <f>INDEX('GLB.Ts+dSST (4)'!$B$3:$M$149,MATCH(VALUE(RIGHT(A371,4)),'GLB.Ts+dSST (4)'!$A$3:$A$149,0),VALUE(LEFT(A371,FIND("/",A371)-1)))</f>
        <v>-0.41</v>
      </c>
      <c r="C371" s="15">
        <f t="shared" si="10"/>
        <v>13.59</v>
      </c>
      <c r="D371" s="15">
        <f t="shared" si="11"/>
        <v>56.462000000000003</v>
      </c>
    </row>
    <row r="372" spans="1:4" ht="15" customHeight="1">
      <c r="A372" t="s">
        <v>435</v>
      </c>
      <c r="B372" s="15">
        <f>INDEX('GLB.Ts+dSST (4)'!$B$3:$M$149,MATCH(VALUE(RIGHT(A372,4)),'GLB.Ts+dSST (4)'!$A$3:$A$149,0),VALUE(LEFT(A372,FIND("/",A372)-1)))</f>
        <v>-0.57999999999999996</v>
      </c>
      <c r="C372" s="15">
        <f t="shared" si="10"/>
        <v>13.42</v>
      </c>
      <c r="D372" s="15">
        <f t="shared" si="11"/>
        <v>56.155999999999999</v>
      </c>
    </row>
    <row r="373" spans="1:4" ht="15" customHeight="1">
      <c r="A373" t="s">
        <v>436</v>
      </c>
      <c r="B373" s="15">
        <f>INDEX('GLB.Ts+dSST (4)'!$B$3:$M$149,MATCH(VALUE(RIGHT(A373,4)),'GLB.Ts+dSST (4)'!$A$3:$A$149,0),VALUE(LEFT(A373,FIND("/",A373)-1)))</f>
        <v>-0.68</v>
      </c>
      <c r="C373" s="15">
        <f t="shared" si="10"/>
        <v>13.32</v>
      </c>
      <c r="D373" s="15">
        <f t="shared" si="11"/>
        <v>55.975999999999999</v>
      </c>
    </row>
    <row r="374" spans="1:4" ht="15" customHeight="1">
      <c r="A374" t="s">
        <v>437</v>
      </c>
      <c r="B374" s="15">
        <f>INDEX('GLB.Ts+dSST (4)'!$B$3:$M$149,MATCH(VALUE(RIGHT(A374,4)),'GLB.Ts+dSST (4)'!$A$3:$A$149,0),VALUE(LEFT(A374,FIND("/",A374)-1)))</f>
        <v>-0.63</v>
      </c>
      <c r="C374" s="15">
        <f t="shared" si="10"/>
        <v>13.37</v>
      </c>
      <c r="D374" s="15">
        <f t="shared" si="11"/>
        <v>56.066000000000003</v>
      </c>
    </row>
    <row r="375" spans="1:4" ht="15" customHeight="1">
      <c r="A375" t="s">
        <v>438</v>
      </c>
      <c r="B375" s="15">
        <f>INDEX('GLB.Ts+dSST (4)'!$B$3:$M$149,MATCH(VALUE(RIGHT(A375,4)),'GLB.Ts+dSST (4)'!$A$3:$A$149,0),VALUE(LEFT(A375,FIND("/",A375)-1)))</f>
        <v>-0.59</v>
      </c>
      <c r="C375" s="15">
        <f t="shared" si="10"/>
        <v>13.41</v>
      </c>
      <c r="D375" s="15">
        <f t="shared" si="11"/>
        <v>56.138000000000005</v>
      </c>
    </row>
    <row r="376" spans="1:4" ht="15" customHeight="1">
      <c r="A376" t="s">
        <v>439</v>
      </c>
      <c r="B376" s="15">
        <f>INDEX('GLB.Ts+dSST (4)'!$B$3:$M$149,MATCH(VALUE(RIGHT(A376,4)),'GLB.Ts+dSST (4)'!$A$3:$A$149,0),VALUE(LEFT(A376,FIND("/",A376)-1)))</f>
        <v>-0.61</v>
      </c>
      <c r="C376" s="15">
        <f t="shared" si="10"/>
        <v>13.39</v>
      </c>
      <c r="D376" s="15">
        <f t="shared" si="11"/>
        <v>56.102000000000004</v>
      </c>
    </row>
    <row r="377" spans="1:4" ht="15" customHeight="1">
      <c r="A377" t="s">
        <v>440</v>
      </c>
      <c r="B377" s="15">
        <f>INDEX('GLB.Ts+dSST (4)'!$B$3:$M$149,MATCH(VALUE(RIGHT(A377,4)),'GLB.Ts+dSST (4)'!$A$3:$A$149,0),VALUE(LEFT(A377,FIND("/",A377)-1)))</f>
        <v>-0.55000000000000004</v>
      </c>
      <c r="C377" s="15">
        <f t="shared" si="10"/>
        <v>13.45</v>
      </c>
      <c r="D377" s="15">
        <f t="shared" si="11"/>
        <v>56.21</v>
      </c>
    </row>
    <row r="378" spans="1:4" ht="15" customHeight="1">
      <c r="A378" t="s">
        <v>441</v>
      </c>
      <c r="B378" s="15">
        <f>INDEX('GLB.Ts+dSST (4)'!$B$3:$M$149,MATCH(VALUE(RIGHT(A378,4)),'GLB.Ts+dSST (4)'!$A$3:$A$149,0),VALUE(LEFT(A378,FIND("/",A378)-1)))</f>
        <v>-0.52</v>
      </c>
      <c r="C378" s="15">
        <f t="shared" si="10"/>
        <v>13.48</v>
      </c>
      <c r="D378" s="15">
        <f t="shared" si="11"/>
        <v>56.264000000000003</v>
      </c>
    </row>
    <row r="379" spans="1:4" ht="15" customHeight="1">
      <c r="A379" t="s">
        <v>442</v>
      </c>
      <c r="B379" s="15">
        <f>INDEX('GLB.Ts+dSST (4)'!$B$3:$M$149,MATCH(VALUE(RIGHT(A379,4)),'GLB.Ts+dSST (4)'!$A$3:$A$149,0),VALUE(LEFT(A379,FIND("/",A379)-1)))</f>
        <v>-0.51</v>
      </c>
      <c r="C379" s="15">
        <f t="shared" si="10"/>
        <v>13.49</v>
      </c>
      <c r="D379" s="15">
        <f t="shared" si="11"/>
        <v>56.281999999999996</v>
      </c>
    </row>
    <row r="380" spans="1:4" ht="15" customHeight="1">
      <c r="A380" t="s">
        <v>443</v>
      </c>
      <c r="B380" s="15">
        <f>INDEX('GLB.Ts+dSST (4)'!$B$3:$M$149,MATCH(VALUE(RIGHT(A380,4)),'GLB.Ts+dSST (4)'!$A$3:$A$149,0),VALUE(LEFT(A380,FIND("/",A380)-1)))</f>
        <v>-0.43</v>
      </c>
      <c r="C380" s="15">
        <f t="shared" si="10"/>
        <v>13.57</v>
      </c>
      <c r="D380" s="15">
        <f t="shared" si="11"/>
        <v>56.426000000000002</v>
      </c>
    </row>
    <row r="381" spans="1:4" ht="15" customHeight="1">
      <c r="A381" t="s">
        <v>444</v>
      </c>
      <c r="B381" s="15">
        <f>INDEX('GLB.Ts+dSST (4)'!$B$3:$M$149,MATCH(VALUE(RIGHT(A381,4)),'GLB.Ts+dSST (4)'!$A$3:$A$149,0),VALUE(LEFT(A381,FIND("/",A381)-1)))</f>
        <v>-0.44</v>
      </c>
      <c r="C381" s="15">
        <f t="shared" si="10"/>
        <v>13.56</v>
      </c>
      <c r="D381" s="15">
        <f t="shared" si="11"/>
        <v>56.408000000000001</v>
      </c>
    </row>
    <row r="382" spans="1:4" ht="15" customHeight="1">
      <c r="A382" t="s">
        <v>445</v>
      </c>
      <c r="B382" s="15">
        <f>INDEX('GLB.Ts+dSST (4)'!$B$3:$M$149,MATCH(VALUE(RIGHT(A382,4)),'GLB.Ts+dSST (4)'!$A$3:$A$149,0),VALUE(LEFT(A382,FIND("/",A382)-1)))</f>
        <v>-0.41</v>
      </c>
      <c r="C382" s="15">
        <f t="shared" si="10"/>
        <v>13.59</v>
      </c>
      <c r="D382" s="15">
        <f t="shared" si="11"/>
        <v>56.462000000000003</v>
      </c>
    </row>
    <row r="383" spans="1:4" ht="15" customHeight="1">
      <c r="A383" t="s">
        <v>446</v>
      </c>
      <c r="B383" s="15">
        <f>INDEX('GLB.Ts+dSST (4)'!$B$3:$M$149,MATCH(VALUE(RIGHT(A383,4)),'GLB.Ts+dSST (4)'!$A$3:$A$149,0),VALUE(LEFT(A383,FIND("/",A383)-1)))</f>
        <v>-0.27</v>
      </c>
      <c r="C383" s="15">
        <f t="shared" si="10"/>
        <v>13.73</v>
      </c>
      <c r="D383" s="15">
        <f t="shared" si="11"/>
        <v>56.713999999999999</v>
      </c>
    </row>
    <row r="384" spans="1:4" ht="15" customHeight="1">
      <c r="A384" t="s">
        <v>447</v>
      </c>
      <c r="B384" s="15">
        <f>INDEX('GLB.Ts+dSST (4)'!$B$3:$M$149,MATCH(VALUE(RIGHT(A384,4)),'GLB.Ts+dSST (4)'!$A$3:$A$149,0),VALUE(LEFT(A384,FIND("/",A384)-1)))</f>
        <v>-0.22</v>
      </c>
      <c r="C384" s="15">
        <f t="shared" si="10"/>
        <v>13.78</v>
      </c>
      <c r="D384" s="15">
        <f t="shared" si="11"/>
        <v>56.804000000000002</v>
      </c>
    </row>
    <row r="385" spans="1:4" ht="15" customHeight="1">
      <c r="A385" t="s">
        <v>448</v>
      </c>
      <c r="B385" s="15">
        <f>INDEX('GLB.Ts+dSST (4)'!$B$3:$M$149,MATCH(VALUE(RIGHT(A385,4)),'GLB.Ts+dSST (4)'!$A$3:$A$149,0),VALUE(LEFT(A385,FIND("/",A385)-1)))</f>
        <v>-0.23</v>
      </c>
      <c r="C385" s="15">
        <f t="shared" si="10"/>
        <v>13.77</v>
      </c>
      <c r="D385" s="15">
        <f t="shared" si="11"/>
        <v>56.786000000000001</v>
      </c>
    </row>
    <row r="386" spans="1:4" ht="15" customHeight="1">
      <c r="A386" t="s">
        <v>449</v>
      </c>
      <c r="B386" s="15">
        <f>INDEX('GLB.Ts+dSST (4)'!$B$3:$M$149,MATCH(VALUE(RIGHT(A386,4)),'GLB.Ts+dSST (4)'!$A$3:$A$149,0),VALUE(LEFT(A386,FIND("/",A386)-1)))</f>
        <v>-0.28000000000000003</v>
      </c>
      <c r="C386" s="15">
        <f t="shared" ref="C386:C449" si="12">B386+14</f>
        <v>13.72</v>
      </c>
      <c r="D386" s="15">
        <f t="shared" ref="D386:D449" si="13">C386*(9/5)+32</f>
        <v>56.695999999999998</v>
      </c>
    </row>
    <row r="387" spans="1:4" ht="15" customHeight="1">
      <c r="A387" t="s">
        <v>450</v>
      </c>
      <c r="B387" s="15">
        <f>INDEX('GLB.Ts+dSST (4)'!$B$3:$M$149,MATCH(VALUE(RIGHT(A387,4)),'GLB.Ts+dSST (4)'!$A$3:$A$149,0),VALUE(LEFT(A387,FIND("/",A387)-1)))</f>
        <v>-0.17</v>
      </c>
      <c r="C387" s="15">
        <f t="shared" si="12"/>
        <v>13.83</v>
      </c>
      <c r="D387" s="15">
        <f t="shared" si="13"/>
        <v>56.894000000000005</v>
      </c>
    </row>
    <row r="388" spans="1:4" ht="15" customHeight="1">
      <c r="A388" t="s">
        <v>451</v>
      </c>
      <c r="B388" s="15">
        <f>INDEX('GLB.Ts+dSST (4)'!$B$3:$M$149,MATCH(VALUE(RIGHT(A388,4)),'GLB.Ts+dSST (4)'!$A$3:$A$149,0),VALUE(LEFT(A388,FIND("/",A388)-1)))</f>
        <v>-0.4</v>
      </c>
      <c r="C388" s="15">
        <f t="shared" si="12"/>
        <v>13.6</v>
      </c>
      <c r="D388" s="15">
        <f t="shared" si="13"/>
        <v>56.480000000000004</v>
      </c>
    </row>
    <row r="389" spans="1:4" ht="15" customHeight="1">
      <c r="A389" t="s">
        <v>452</v>
      </c>
      <c r="B389" s="15">
        <f>INDEX('GLB.Ts+dSST (4)'!$B$3:$M$149,MATCH(VALUE(RIGHT(A389,4)),'GLB.Ts+dSST (4)'!$A$3:$A$149,0),VALUE(LEFT(A389,FIND("/",A389)-1)))</f>
        <v>-0.19</v>
      </c>
      <c r="C389" s="15">
        <f t="shared" si="12"/>
        <v>13.81</v>
      </c>
      <c r="D389" s="15">
        <f t="shared" si="13"/>
        <v>56.858000000000004</v>
      </c>
    </row>
    <row r="390" spans="1:4" ht="15" customHeight="1">
      <c r="A390" t="s">
        <v>453</v>
      </c>
      <c r="B390" s="15">
        <f>INDEX('GLB.Ts+dSST (4)'!$B$3:$M$149,MATCH(VALUE(RIGHT(A390,4)),'GLB.Ts+dSST (4)'!$A$3:$A$149,0),VALUE(LEFT(A390,FIND("/",A390)-1)))</f>
        <v>-0.22</v>
      </c>
      <c r="C390" s="15">
        <f t="shared" si="12"/>
        <v>13.78</v>
      </c>
      <c r="D390" s="15">
        <f t="shared" si="13"/>
        <v>56.804000000000002</v>
      </c>
    </row>
    <row r="391" spans="1:4" ht="15" customHeight="1">
      <c r="A391" t="s">
        <v>454</v>
      </c>
      <c r="B391" s="15">
        <f>INDEX('GLB.Ts+dSST (4)'!$B$3:$M$149,MATCH(VALUE(RIGHT(A391,4)),'GLB.Ts+dSST (4)'!$A$3:$A$149,0),VALUE(LEFT(A391,FIND("/",A391)-1)))</f>
        <v>-0.25</v>
      </c>
      <c r="C391" s="15">
        <f t="shared" si="12"/>
        <v>13.75</v>
      </c>
      <c r="D391" s="15">
        <f t="shared" si="13"/>
        <v>56.75</v>
      </c>
    </row>
    <row r="392" spans="1:4" ht="15" customHeight="1">
      <c r="A392" t="s">
        <v>455</v>
      </c>
      <c r="B392" s="15">
        <f>INDEX('GLB.Ts+dSST (4)'!$B$3:$M$149,MATCH(VALUE(RIGHT(A392,4)),'GLB.Ts+dSST (4)'!$A$3:$A$149,0),VALUE(LEFT(A392,FIND("/",A392)-1)))</f>
        <v>-0.43</v>
      </c>
      <c r="C392" s="15">
        <f t="shared" si="12"/>
        <v>13.57</v>
      </c>
      <c r="D392" s="15">
        <f t="shared" si="13"/>
        <v>56.426000000000002</v>
      </c>
    </row>
    <row r="393" spans="1:4" ht="15" customHeight="1">
      <c r="A393" t="s">
        <v>456</v>
      </c>
      <c r="B393" s="15">
        <f>INDEX('GLB.Ts+dSST (4)'!$B$3:$M$149,MATCH(VALUE(RIGHT(A393,4)),'GLB.Ts+dSST (4)'!$A$3:$A$149,0),VALUE(LEFT(A393,FIND("/",A393)-1)))</f>
        <v>-0.55000000000000004</v>
      </c>
      <c r="C393" s="15">
        <f t="shared" si="12"/>
        <v>13.45</v>
      </c>
      <c r="D393" s="15">
        <f t="shared" si="13"/>
        <v>56.21</v>
      </c>
    </row>
    <row r="394" spans="1:4" ht="15" customHeight="1">
      <c r="A394" t="s">
        <v>457</v>
      </c>
      <c r="B394" s="15">
        <f>INDEX('GLB.Ts+dSST (4)'!$B$3:$M$149,MATCH(VALUE(RIGHT(A394,4)),'GLB.Ts+dSST (4)'!$A$3:$A$149,0),VALUE(LEFT(A394,FIND("/",A394)-1)))</f>
        <v>-0.57999999999999996</v>
      </c>
      <c r="C394" s="15">
        <f t="shared" si="12"/>
        <v>13.42</v>
      </c>
      <c r="D394" s="15">
        <f t="shared" si="13"/>
        <v>56.155999999999999</v>
      </c>
    </row>
    <row r="395" spans="1:4" ht="15" customHeight="1">
      <c r="A395" t="s">
        <v>458</v>
      </c>
      <c r="B395" s="15">
        <f>INDEX('GLB.Ts+dSST (4)'!$B$3:$M$149,MATCH(VALUE(RIGHT(A395,4)),'GLB.Ts+dSST (4)'!$A$3:$A$149,0),VALUE(LEFT(A395,FIND("/",A395)-1)))</f>
        <v>-0.59</v>
      </c>
      <c r="C395" s="15">
        <f t="shared" si="12"/>
        <v>13.41</v>
      </c>
      <c r="D395" s="15">
        <f t="shared" si="13"/>
        <v>56.138000000000005</v>
      </c>
    </row>
    <row r="396" spans="1:4" ht="15" customHeight="1">
      <c r="A396" t="s">
        <v>459</v>
      </c>
      <c r="B396" s="15">
        <f>INDEX('GLB.Ts+dSST (4)'!$B$3:$M$149,MATCH(VALUE(RIGHT(A396,4)),'GLB.Ts+dSST (4)'!$A$3:$A$149,0),VALUE(LEFT(A396,FIND("/",A396)-1)))</f>
        <v>-0.4</v>
      </c>
      <c r="C396" s="15">
        <f t="shared" si="12"/>
        <v>13.6</v>
      </c>
      <c r="D396" s="15">
        <f t="shared" si="13"/>
        <v>56.480000000000004</v>
      </c>
    </row>
    <row r="397" spans="1:4" ht="15" customHeight="1">
      <c r="A397" t="s">
        <v>460</v>
      </c>
      <c r="B397" s="15">
        <f>INDEX('GLB.Ts+dSST (4)'!$B$3:$M$149,MATCH(VALUE(RIGHT(A397,4)),'GLB.Ts+dSST (4)'!$A$3:$A$149,0),VALUE(LEFT(A397,FIND("/",A397)-1)))</f>
        <v>-0.44</v>
      </c>
      <c r="C397" s="15">
        <f t="shared" si="12"/>
        <v>13.56</v>
      </c>
      <c r="D397" s="15">
        <f t="shared" si="13"/>
        <v>56.408000000000001</v>
      </c>
    </row>
    <row r="398" spans="1:4" ht="15" customHeight="1">
      <c r="A398" t="s">
        <v>461</v>
      </c>
      <c r="B398" s="15">
        <f>INDEX('GLB.Ts+dSST (4)'!$B$3:$M$149,MATCH(VALUE(RIGHT(A398,4)),'GLB.Ts+dSST (4)'!$A$3:$A$149,0),VALUE(LEFT(A398,FIND("/",A398)-1)))</f>
        <v>-0.42</v>
      </c>
      <c r="C398" s="15">
        <f t="shared" si="12"/>
        <v>13.58</v>
      </c>
      <c r="D398" s="15">
        <f t="shared" si="13"/>
        <v>56.444000000000003</v>
      </c>
    </row>
    <row r="399" spans="1:4" ht="15" customHeight="1">
      <c r="A399" t="s">
        <v>462</v>
      </c>
      <c r="B399" s="15">
        <f>INDEX('GLB.Ts+dSST (4)'!$B$3:$M$149,MATCH(VALUE(RIGHT(A399,4)),'GLB.Ts+dSST (4)'!$A$3:$A$149,0),VALUE(LEFT(A399,FIND("/",A399)-1)))</f>
        <v>-0.47</v>
      </c>
      <c r="C399" s="15">
        <f t="shared" si="12"/>
        <v>13.53</v>
      </c>
      <c r="D399" s="15">
        <f t="shared" si="13"/>
        <v>56.353999999999999</v>
      </c>
    </row>
    <row r="400" spans="1:4" ht="15" customHeight="1">
      <c r="A400" t="s">
        <v>463</v>
      </c>
      <c r="B400" s="15">
        <f>INDEX('GLB.Ts+dSST (4)'!$B$3:$M$149,MATCH(VALUE(RIGHT(A400,4)),'GLB.Ts+dSST (4)'!$A$3:$A$149,0),VALUE(LEFT(A400,FIND("/",A400)-1)))</f>
        <v>-0.44</v>
      </c>
      <c r="C400" s="15">
        <f t="shared" si="12"/>
        <v>13.56</v>
      </c>
      <c r="D400" s="15">
        <f t="shared" si="13"/>
        <v>56.408000000000001</v>
      </c>
    </row>
    <row r="401" spans="1:4" ht="15" customHeight="1">
      <c r="A401" t="s">
        <v>464</v>
      </c>
      <c r="B401" s="15">
        <f>INDEX('GLB.Ts+dSST (4)'!$B$3:$M$149,MATCH(VALUE(RIGHT(A401,4)),'GLB.Ts+dSST (4)'!$A$3:$A$149,0),VALUE(LEFT(A401,FIND("/",A401)-1)))</f>
        <v>-0.41</v>
      </c>
      <c r="C401" s="15">
        <f t="shared" si="12"/>
        <v>13.59</v>
      </c>
      <c r="D401" s="15">
        <f t="shared" si="13"/>
        <v>56.462000000000003</v>
      </c>
    </row>
    <row r="402" spans="1:4" ht="15" customHeight="1">
      <c r="A402" t="s">
        <v>465</v>
      </c>
      <c r="B402" s="15">
        <f>INDEX('GLB.Ts+dSST (4)'!$B$3:$M$149,MATCH(VALUE(RIGHT(A402,4)),'GLB.Ts+dSST (4)'!$A$3:$A$149,0),VALUE(LEFT(A402,FIND("/",A402)-1)))</f>
        <v>-0.45</v>
      </c>
      <c r="C402" s="15">
        <f t="shared" si="12"/>
        <v>13.55</v>
      </c>
      <c r="D402" s="15">
        <f t="shared" si="13"/>
        <v>56.39</v>
      </c>
    </row>
    <row r="403" spans="1:4" ht="15" customHeight="1">
      <c r="A403" t="s">
        <v>466</v>
      </c>
      <c r="B403" s="15">
        <f>INDEX('GLB.Ts+dSST (4)'!$B$3:$M$149,MATCH(VALUE(RIGHT(A403,4)),'GLB.Ts+dSST (4)'!$A$3:$A$149,0),VALUE(LEFT(A403,FIND("/",A403)-1)))</f>
        <v>-0.46</v>
      </c>
      <c r="C403" s="15">
        <f t="shared" si="12"/>
        <v>13.54</v>
      </c>
      <c r="D403" s="15">
        <f t="shared" si="13"/>
        <v>56.372</v>
      </c>
    </row>
    <row r="404" spans="1:4" ht="15" customHeight="1">
      <c r="A404" t="s">
        <v>467</v>
      </c>
      <c r="B404" s="15">
        <f>INDEX('GLB.Ts+dSST (4)'!$B$3:$M$149,MATCH(VALUE(RIGHT(A404,4)),'GLB.Ts+dSST (4)'!$A$3:$A$149,0),VALUE(LEFT(A404,FIND("/",A404)-1)))</f>
        <v>-0.37</v>
      </c>
      <c r="C404" s="15">
        <f t="shared" si="12"/>
        <v>13.63</v>
      </c>
      <c r="D404" s="15">
        <f t="shared" si="13"/>
        <v>56.534000000000006</v>
      </c>
    </row>
    <row r="405" spans="1:4" ht="15" customHeight="1">
      <c r="A405" t="s">
        <v>468</v>
      </c>
      <c r="B405" s="15">
        <f>INDEX('GLB.Ts+dSST (4)'!$B$3:$M$149,MATCH(VALUE(RIGHT(A405,4)),'GLB.Ts+dSST (4)'!$A$3:$A$149,0),VALUE(LEFT(A405,FIND("/",A405)-1)))</f>
        <v>-0.34</v>
      </c>
      <c r="C405" s="15">
        <f t="shared" si="12"/>
        <v>13.66</v>
      </c>
      <c r="D405" s="15">
        <f t="shared" si="13"/>
        <v>56.588000000000001</v>
      </c>
    </row>
    <row r="406" spans="1:4" ht="15" customHeight="1">
      <c r="A406" t="s">
        <v>469</v>
      </c>
      <c r="B406" s="15">
        <f>INDEX('GLB.Ts+dSST (4)'!$B$3:$M$149,MATCH(VALUE(RIGHT(A406,4)),'GLB.Ts+dSST (4)'!$A$3:$A$149,0),VALUE(LEFT(A406,FIND("/",A406)-1)))</f>
        <v>-0.35</v>
      </c>
      <c r="C406" s="15">
        <f t="shared" si="12"/>
        <v>13.65</v>
      </c>
      <c r="D406" s="15">
        <f t="shared" si="13"/>
        <v>56.57</v>
      </c>
    </row>
    <row r="407" spans="1:4" ht="15" customHeight="1">
      <c r="A407" t="s">
        <v>470</v>
      </c>
      <c r="B407" s="15">
        <f>INDEX('GLB.Ts+dSST (4)'!$B$3:$M$149,MATCH(VALUE(RIGHT(A407,4)),'GLB.Ts+dSST (4)'!$A$3:$A$149,0),VALUE(LEFT(A407,FIND("/",A407)-1)))</f>
        <v>-0.33</v>
      </c>
      <c r="C407" s="15">
        <f t="shared" si="12"/>
        <v>13.67</v>
      </c>
      <c r="D407" s="15">
        <f t="shared" si="13"/>
        <v>56.606000000000002</v>
      </c>
    </row>
    <row r="408" spans="1:4" ht="15" customHeight="1">
      <c r="A408" t="s">
        <v>471</v>
      </c>
      <c r="B408" s="15">
        <f>INDEX('GLB.Ts+dSST (4)'!$B$3:$M$149,MATCH(VALUE(RIGHT(A408,4)),'GLB.Ts+dSST (4)'!$A$3:$A$149,0),VALUE(LEFT(A408,FIND("/",A408)-1)))</f>
        <v>-0.21</v>
      </c>
      <c r="C408" s="15">
        <f t="shared" si="12"/>
        <v>13.79</v>
      </c>
      <c r="D408" s="15">
        <f t="shared" si="13"/>
        <v>56.822000000000003</v>
      </c>
    </row>
    <row r="409" spans="1:4" ht="15" customHeight="1">
      <c r="A409" t="s">
        <v>472</v>
      </c>
      <c r="B409" s="15">
        <f>INDEX('GLB.Ts+dSST (4)'!$B$3:$M$149,MATCH(VALUE(RIGHT(A409,4)),'GLB.Ts+dSST (4)'!$A$3:$A$149,0),VALUE(LEFT(A409,FIND("/",A409)-1)))</f>
        <v>-0.04</v>
      </c>
      <c r="C409" s="15">
        <f t="shared" si="12"/>
        <v>13.96</v>
      </c>
      <c r="D409" s="15">
        <f t="shared" si="13"/>
        <v>57.128</v>
      </c>
    </row>
    <row r="410" spans="1:4" ht="15" customHeight="1">
      <c r="A410" t="s">
        <v>473</v>
      </c>
      <c r="B410" s="15">
        <f>INDEX('GLB.Ts+dSST (4)'!$B$3:$M$149,MATCH(VALUE(RIGHT(A410,4)),'GLB.Ts+dSST (4)'!$A$3:$A$149,0),VALUE(LEFT(A410,FIND("/",A410)-1)))</f>
        <v>0.02</v>
      </c>
      <c r="C410" s="15">
        <f t="shared" si="12"/>
        <v>14.02</v>
      </c>
      <c r="D410" s="15">
        <f t="shared" si="13"/>
        <v>57.236000000000004</v>
      </c>
    </row>
    <row r="411" spans="1:4" ht="15" customHeight="1">
      <c r="A411" t="s">
        <v>474</v>
      </c>
      <c r="B411" s="15">
        <f>INDEX('GLB.Ts+dSST (4)'!$B$3:$M$149,MATCH(VALUE(RIGHT(A411,4)),'GLB.Ts+dSST (4)'!$A$3:$A$149,0),VALUE(LEFT(A411,FIND("/",A411)-1)))</f>
        <v>-0.11</v>
      </c>
      <c r="C411" s="15">
        <f t="shared" si="12"/>
        <v>13.89</v>
      </c>
      <c r="D411" s="15">
        <f t="shared" si="13"/>
        <v>57.002000000000002</v>
      </c>
    </row>
    <row r="412" spans="1:4" ht="15" customHeight="1">
      <c r="A412" t="s">
        <v>475</v>
      </c>
      <c r="B412" s="15">
        <f>INDEX('GLB.Ts+dSST (4)'!$B$3:$M$149,MATCH(VALUE(RIGHT(A412,4)),'GLB.Ts+dSST (4)'!$A$3:$A$149,0),VALUE(LEFT(A412,FIND("/",A412)-1)))</f>
        <v>-0.26</v>
      </c>
      <c r="C412" s="15">
        <f t="shared" si="12"/>
        <v>13.74</v>
      </c>
      <c r="D412" s="15">
        <f t="shared" si="13"/>
        <v>56.731999999999999</v>
      </c>
    </row>
    <row r="413" spans="1:4" ht="15" customHeight="1">
      <c r="A413" t="s">
        <v>476</v>
      </c>
      <c r="B413" s="15">
        <f>INDEX('GLB.Ts+dSST (4)'!$B$3:$M$149,MATCH(VALUE(RIGHT(A413,4)),'GLB.Ts+dSST (4)'!$A$3:$A$149,0),VALUE(LEFT(A413,FIND("/",A413)-1)))</f>
        <v>-0.31</v>
      </c>
      <c r="C413" s="15">
        <f t="shared" si="12"/>
        <v>13.69</v>
      </c>
      <c r="D413" s="15">
        <f t="shared" si="13"/>
        <v>56.641999999999996</v>
      </c>
    </row>
    <row r="414" spans="1:4" ht="15" customHeight="1">
      <c r="A414" t="s">
        <v>477</v>
      </c>
      <c r="B414" s="15">
        <f>INDEX('GLB.Ts+dSST (4)'!$B$3:$M$149,MATCH(VALUE(RIGHT(A414,4)),'GLB.Ts+dSST (4)'!$A$3:$A$149,0),VALUE(LEFT(A414,FIND("/",A414)-1)))</f>
        <v>-0.22</v>
      </c>
      <c r="C414" s="15">
        <f t="shared" si="12"/>
        <v>13.78</v>
      </c>
      <c r="D414" s="15">
        <f t="shared" si="13"/>
        <v>56.804000000000002</v>
      </c>
    </row>
    <row r="415" spans="1:4" ht="15" customHeight="1">
      <c r="A415" t="s">
        <v>478</v>
      </c>
      <c r="B415" s="15">
        <f>INDEX('GLB.Ts+dSST (4)'!$B$3:$M$149,MATCH(VALUE(RIGHT(A415,4)),'GLB.Ts+dSST (4)'!$A$3:$A$149,0),VALUE(LEFT(A415,FIND("/",A415)-1)))</f>
        <v>-0.26</v>
      </c>
      <c r="C415" s="15">
        <f t="shared" si="12"/>
        <v>13.74</v>
      </c>
      <c r="D415" s="15">
        <f t="shared" si="13"/>
        <v>56.731999999999999</v>
      </c>
    </row>
    <row r="416" spans="1:4" ht="15" customHeight="1">
      <c r="A416" t="s">
        <v>479</v>
      </c>
      <c r="B416" s="15">
        <f>INDEX('GLB.Ts+dSST (4)'!$B$3:$M$149,MATCH(VALUE(RIGHT(A416,4)),'GLB.Ts+dSST (4)'!$A$3:$A$149,0),VALUE(LEFT(A416,FIND("/",A416)-1)))</f>
        <v>-0.25</v>
      </c>
      <c r="C416" s="15">
        <f t="shared" si="12"/>
        <v>13.75</v>
      </c>
      <c r="D416" s="15">
        <f t="shared" si="13"/>
        <v>56.75</v>
      </c>
    </row>
    <row r="417" spans="1:4" ht="15" customHeight="1">
      <c r="A417" t="s">
        <v>480</v>
      </c>
      <c r="B417" s="15">
        <f>INDEX('GLB.Ts+dSST (4)'!$B$3:$M$149,MATCH(VALUE(RIGHT(A417,4)),'GLB.Ts+dSST (4)'!$A$3:$A$149,0),VALUE(LEFT(A417,FIND("/",A417)-1)))</f>
        <v>-0.17</v>
      </c>
      <c r="C417" s="15">
        <f t="shared" si="12"/>
        <v>13.83</v>
      </c>
      <c r="D417" s="15">
        <f t="shared" si="13"/>
        <v>56.894000000000005</v>
      </c>
    </row>
    <row r="418" spans="1:4" ht="15" customHeight="1">
      <c r="A418" t="s">
        <v>481</v>
      </c>
      <c r="B418" s="15">
        <f>INDEX('GLB.Ts+dSST (4)'!$B$3:$M$149,MATCH(VALUE(RIGHT(A418,4)),'GLB.Ts+dSST (4)'!$A$3:$A$149,0),VALUE(LEFT(A418,FIND("/",A418)-1)))</f>
        <v>-0.18</v>
      </c>
      <c r="C418" s="15">
        <f t="shared" si="12"/>
        <v>13.82</v>
      </c>
      <c r="D418" s="15">
        <f t="shared" si="13"/>
        <v>56.876000000000005</v>
      </c>
    </row>
    <row r="419" spans="1:4" ht="15" customHeight="1">
      <c r="A419" t="s">
        <v>482</v>
      </c>
      <c r="B419" s="15">
        <f>INDEX('GLB.Ts+dSST (4)'!$B$3:$M$149,MATCH(VALUE(RIGHT(A419,4)),'GLB.Ts+dSST (4)'!$A$3:$A$149,0),VALUE(LEFT(A419,FIND("/",A419)-1)))</f>
        <v>-0.04</v>
      </c>
      <c r="C419" s="15">
        <f t="shared" si="12"/>
        <v>13.96</v>
      </c>
      <c r="D419" s="15">
        <f t="shared" si="13"/>
        <v>57.128</v>
      </c>
    </row>
    <row r="420" spans="1:4" ht="15" customHeight="1">
      <c r="A420" t="s">
        <v>483</v>
      </c>
      <c r="B420" s="15">
        <f>INDEX('GLB.Ts+dSST (4)'!$B$3:$M$149,MATCH(VALUE(RIGHT(A420,4)),'GLB.Ts+dSST (4)'!$A$3:$A$149,0),VALUE(LEFT(A420,FIND("/",A420)-1)))</f>
        <v>-0.17</v>
      </c>
      <c r="C420" s="15">
        <f t="shared" si="12"/>
        <v>13.83</v>
      </c>
      <c r="D420" s="15">
        <f t="shared" si="13"/>
        <v>56.894000000000005</v>
      </c>
    </row>
    <row r="421" spans="1:4" ht="15" customHeight="1">
      <c r="A421" t="s">
        <v>484</v>
      </c>
      <c r="B421" s="15">
        <f>INDEX('GLB.Ts+dSST (4)'!$B$3:$M$149,MATCH(VALUE(RIGHT(A421,4)),'GLB.Ts+dSST (4)'!$A$3:$A$149,0),VALUE(LEFT(A421,FIND("/",A421)-1)))</f>
        <v>-0.05</v>
      </c>
      <c r="C421" s="15">
        <f t="shared" si="12"/>
        <v>13.95</v>
      </c>
      <c r="D421" s="15">
        <f t="shared" si="13"/>
        <v>57.11</v>
      </c>
    </row>
    <row r="422" spans="1:4" ht="15" customHeight="1">
      <c r="A422" t="s">
        <v>485</v>
      </c>
      <c r="B422" s="15">
        <f>INDEX('GLB.Ts+dSST (4)'!$B$3:$M$149,MATCH(VALUE(RIGHT(A422,4)),'GLB.Ts+dSST (4)'!$A$3:$A$149,0),VALUE(LEFT(A422,FIND("/",A422)-1)))</f>
        <v>-0.22</v>
      </c>
      <c r="C422" s="15">
        <f t="shared" si="12"/>
        <v>13.78</v>
      </c>
      <c r="D422" s="15">
        <f t="shared" si="13"/>
        <v>56.804000000000002</v>
      </c>
    </row>
    <row r="423" spans="1:4" ht="15" customHeight="1">
      <c r="A423" t="s">
        <v>486</v>
      </c>
      <c r="B423" s="15">
        <f>INDEX('GLB.Ts+dSST (4)'!$B$3:$M$149,MATCH(VALUE(RIGHT(A423,4)),'GLB.Ts+dSST (4)'!$A$3:$A$149,0),VALUE(LEFT(A423,FIND("/",A423)-1)))</f>
        <v>-0.04</v>
      </c>
      <c r="C423" s="15">
        <f t="shared" si="12"/>
        <v>13.96</v>
      </c>
      <c r="D423" s="15">
        <f t="shared" si="13"/>
        <v>57.128</v>
      </c>
    </row>
    <row r="424" spans="1:4" ht="15" customHeight="1">
      <c r="A424" t="s">
        <v>487</v>
      </c>
      <c r="B424" s="15">
        <f>INDEX('GLB.Ts+dSST (4)'!$B$3:$M$149,MATCH(VALUE(RIGHT(A424,4)),'GLB.Ts+dSST (4)'!$A$3:$A$149,0),VALUE(LEFT(A424,FIND("/",A424)-1)))</f>
        <v>-0.11</v>
      </c>
      <c r="C424" s="15">
        <f t="shared" si="12"/>
        <v>13.89</v>
      </c>
      <c r="D424" s="15">
        <f t="shared" si="13"/>
        <v>57.002000000000002</v>
      </c>
    </row>
    <row r="425" spans="1:4" ht="15" customHeight="1">
      <c r="A425" t="s">
        <v>488</v>
      </c>
      <c r="B425" s="15">
        <f>INDEX('GLB.Ts+dSST (4)'!$B$3:$M$149,MATCH(VALUE(RIGHT(A425,4)),'GLB.Ts+dSST (4)'!$A$3:$A$149,0),VALUE(LEFT(A425,FIND("/",A425)-1)))</f>
        <v>0.06</v>
      </c>
      <c r="C425" s="15">
        <f t="shared" si="12"/>
        <v>14.06</v>
      </c>
      <c r="D425" s="15">
        <f t="shared" si="13"/>
        <v>57.308</v>
      </c>
    </row>
    <row r="426" spans="1:4" ht="15" customHeight="1">
      <c r="A426" t="s">
        <v>489</v>
      </c>
      <c r="B426" s="15">
        <f>INDEX('GLB.Ts+dSST (4)'!$B$3:$M$149,MATCH(VALUE(RIGHT(A426,4)),'GLB.Ts+dSST (4)'!$A$3:$A$149,0),VALUE(LEFT(A426,FIND("/",A426)-1)))</f>
        <v>-0.06</v>
      </c>
      <c r="C426" s="15">
        <f t="shared" si="12"/>
        <v>13.94</v>
      </c>
      <c r="D426" s="15">
        <f t="shared" si="13"/>
        <v>57.091999999999999</v>
      </c>
    </row>
    <row r="427" spans="1:4" ht="15" customHeight="1">
      <c r="A427" t="s">
        <v>490</v>
      </c>
      <c r="B427" s="15">
        <f>INDEX('GLB.Ts+dSST (4)'!$B$3:$M$149,MATCH(VALUE(RIGHT(A427,4)),'GLB.Ts+dSST (4)'!$A$3:$A$149,0),VALUE(LEFT(A427,FIND("/",A427)-1)))</f>
        <v>-0.23</v>
      </c>
      <c r="C427" s="15">
        <f t="shared" si="12"/>
        <v>13.77</v>
      </c>
      <c r="D427" s="15">
        <f t="shared" si="13"/>
        <v>56.786000000000001</v>
      </c>
    </row>
    <row r="428" spans="1:4" ht="15" customHeight="1">
      <c r="A428" t="s">
        <v>491</v>
      </c>
      <c r="B428" s="15">
        <f>INDEX('GLB.Ts+dSST (4)'!$B$3:$M$149,MATCH(VALUE(RIGHT(A428,4)),'GLB.Ts+dSST (4)'!$A$3:$A$149,0),VALUE(LEFT(A428,FIND("/",A428)-1)))</f>
        <v>-0.13</v>
      </c>
      <c r="C428" s="15">
        <f t="shared" si="12"/>
        <v>13.87</v>
      </c>
      <c r="D428" s="15">
        <f t="shared" si="13"/>
        <v>56.965999999999994</v>
      </c>
    </row>
    <row r="429" spans="1:4" ht="15" customHeight="1">
      <c r="A429" t="s">
        <v>492</v>
      </c>
      <c r="B429" s="15">
        <f>INDEX('GLB.Ts+dSST (4)'!$B$3:$M$149,MATCH(VALUE(RIGHT(A429,4)),'GLB.Ts+dSST (4)'!$A$3:$A$149,0),VALUE(LEFT(A429,FIND("/",A429)-1)))</f>
        <v>-0.23</v>
      </c>
      <c r="C429" s="15">
        <f t="shared" si="12"/>
        <v>13.77</v>
      </c>
      <c r="D429" s="15">
        <f t="shared" si="13"/>
        <v>56.786000000000001</v>
      </c>
    </row>
    <row r="430" spans="1:4" ht="15" customHeight="1">
      <c r="A430" t="s">
        <v>493</v>
      </c>
      <c r="B430" s="15">
        <f>INDEX('GLB.Ts+dSST (4)'!$B$3:$M$149,MATCH(VALUE(RIGHT(A430,4)),'GLB.Ts+dSST (4)'!$A$3:$A$149,0),VALUE(LEFT(A430,FIND("/",A430)-1)))</f>
        <v>-0.21</v>
      </c>
      <c r="C430" s="15">
        <f t="shared" si="12"/>
        <v>13.79</v>
      </c>
      <c r="D430" s="15">
        <f t="shared" si="13"/>
        <v>56.822000000000003</v>
      </c>
    </row>
    <row r="431" spans="1:4" ht="15" customHeight="1">
      <c r="A431" t="s">
        <v>494</v>
      </c>
      <c r="B431" s="15">
        <f>INDEX('GLB.Ts+dSST (4)'!$B$3:$M$149,MATCH(VALUE(RIGHT(A431,4)),'GLB.Ts+dSST (4)'!$A$3:$A$149,0),VALUE(LEFT(A431,FIND("/",A431)-1)))</f>
        <v>-0.25</v>
      </c>
      <c r="C431" s="15">
        <f t="shared" si="12"/>
        <v>13.75</v>
      </c>
      <c r="D431" s="15">
        <f t="shared" si="13"/>
        <v>56.75</v>
      </c>
    </row>
    <row r="432" spans="1:4" ht="15" customHeight="1">
      <c r="A432" t="s">
        <v>495</v>
      </c>
      <c r="B432" s="15">
        <f>INDEX('GLB.Ts+dSST (4)'!$B$3:$M$149,MATCH(VALUE(RIGHT(A432,4)),'GLB.Ts+dSST (4)'!$A$3:$A$149,0),VALUE(LEFT(A432,FIND("/",A432)-1)))</f>
        <v>-0.14000000000000001</v>
      </c>
      <c r="C432" s="15">
        <f t="shared" si="12"/>
        <v>13.86</v>
      </c>
      <c r="D432" s="15">
        <f t="shared" si="13"/>
        <v>56.948</v>
      </c>
    </row>
    <row r="433" spans="1:4" ht="15" customHeight="1">
      <c r="A433" t="s">
        <v>496</v>
      </c>
      <c r="B433" s="15">
        <f>INDEX('GLB.Ts+dSST (4)'!$B$3:$M$149,MATCH(VALUE(RIGHT(A433,4)),'GLB.Ts+dSST (4)'!$A$3:$A$149,0),VALUE(LEFT(A433,FIND("/",A433)-1)))</f>
        <v>-0.22</v>
      </c>
      <c r="C433" s="15">
        <f t="shared" si="12"/>
        <v>13.78</v>
      </c>
      <c r="D433" s="15">
        <f t="shared" si="13"/>
        <v>56.804000000000002</v>
      </c>
    </row>
    <row r="434" spans="1:4" ht="15" customHeight="1">
      <c r="A434" t="s">
        <v>497</v>
      </c>
      <c r="B434" s="15">
        <f>INDEX('GLB.Ts+dSST (4)'!$B$3:$M$149,MATCH(VALUE(RIGHT(A434,4)),'GLB.Ts+dSST (4)'!$A$3:$A$149,0),VALUE(LEFT(A434,FIND("/",A434)-1)))</f>
        <v>-0.14000000000000001</v>
      </c>
      <c r="C434" s="15">
        <f t="shared" si="12"/>
        <v>13.86</v>
      </c>
      <c r="D434" s="15">
        <f t="shared" si="13"/>
        <v>56.948</v>
      </c>
    </row>
    <row r="435" spans="1:4" ht="15" customHeight="1">
      <c r="A435" t="s">
        <v>498</v>
      </c>
      <c r="B435" s="15">
        <f>INDEX('GLB.Ts+dSST (4)'!$B$3:$M$149,MATCH(VALUE(RIGHT(A435,4)),'GLB.Ts+dSST (4)'!$A$3:$A$149,0),VALUE(LEFT(A435,FIND("/",A435)-1)))</f>
        <v>-0.15</v>
      </c>
      <c r="C435" s="15">
        <f t="shared" si="12"/>
        <v>13.85</v>
      </c>
      <c r="D435" s="15">
        <f t="shared" si="13"/>
        <v>56.93</v>
      </c>
    </row>
    <row r="436" spans="1:4" ht="15" customHeight="1">
      <c r="A436" t="s">
        <v>499</v>
      </c>
      <c r="B436" s="15">
        <f>INDEX('GLB.Ts+dSST (4)'!$B$3:$M$149,MATCH(VALUE(RIGHT(A436,4)),'GLB.Ts+dSST (4)'!$A$3:$A$149,0),VALUE(LEFT(A436,FIND("/",A436)-1)))</f>
        <v>-0.28999999999999998</v>
      </c>
      <c r="C436" s="15">
        <f t="shared" si="12"/>
        <v>13.71</v>
      </c>
      <c r="D436" s="15">
        <f t="shared" si="13"/>
        <v>56.677999999999997</v>
      </c>
    </row>
    <row r="437" spans="1:4" ht="15" customHeight="1">
      <c r="A437" t="s">
        <v>500</v>
      </c>
      <c r="B437" s="15">
        <f>INDEX('GLB.Ts+dSST (4)'!$B$3:$M$149,MATCH(VALUE(RIGHT(A437,4)),'GLB.Ts+dSST (4)'!$A$3:$A$149,0),VALUE(LEFT(A437,FIND("/",A437)-1)))</f>
        <v>-0.31</v>
      </c>
      <c r="C437" s="15">
        <f t="shared" si="12"/>
        <v>13.69</v>
      </c>
      <c r="D437" s="15">
        <f t="shared" si="13"/>
        <v>56.641999999999996</v>
      </c>
    </row>
    <row r="438" spans="1:4" ht="15" customHeight="1">
      <c r="A438" t="s">
        <v>501</v>
      </c>
      <c r="B438" s="15">
        <f>INDEX('GLB.Ts+dSST (4)'!$B$3:$M$149,MATCH(VALUE(RIGHT(A438,4)),'GLB.Ts+dSST (4)'!$A$3:$A$149,0),VALUE(LEFT(A438,FIND("/",A438)-1)))</f>
        <v>-0.36</v>
      </c>
      <c r="C438" s="15">
        <f t="shared" si="12"/>
        <v>13.64</v>
      </c>
      <c r="D438" s="15">
        <f t="shared" si="13"/>
        <v>56.552000000000007</v>
      </c>
    </row>
    <row r="439" spans="1:4" ht="15" customHeight="1">
      <c r="A439" t="s">
        <v>502</v>
      </c>
      <c r="B439" s="15">
        <f>INDEX('GLB.Ts+dSST (4)'!$B$3:$M$149,MATCH(VALUE(RIGHT(A439,4)),'GLB.Ts+dSST (4)'!$A$3:$A$149,0),VALUE(LEFT(A439,FIND("/",A439)-1)))</f>
        <v>-0.5</v>
      </c>
      <c r="C439" s="15">
        <f t="shared" si="12"/>
        <v>13.5</v>
      </c>
      <c r="D439" s="15">
        <f t="shared" si="13"/>
        <v>56.3</v>
      </c>
    </row>
    <row r="440" spans="1:4" ht="15" customHeight="1">
      <c r="A440" t="s">
        <v>503</v>
      </c>
      <c r="B440" s="15">
        <f>INDEX('GLB.Ts+dSST (4)'!$B$3:$M$149,MATCH(VALUE(RIGHT(A440,4)),'GLB.Ts+dSST (4)'!$A$3:$A$149,0),VALUE(LEFT(A440,FIND("/",A440)-1)))</f>
        <v>-0.37</v>
      </c>
      <c r="C440" s="15">
        <f t="shared" si="12"/>
        <v>13.63</v>
      </c>
      <c r="D440" s="15">
        <f t="shared" si="13"/>
        <v>56.534000000000006</v>
      </c>
    </row>
    <row r="441" spans="1:4" ht="15" customHeight="1">
      <c r="A441" t="s">
        <v>504</v>
      </c>
      <c r="B441" s="15">
        <f>INDEX('GLB.Ts+dSST (4)'!$B$3:$M$149,MATCH(VALUE(RIGHT(A441,4)),'GLB.Ts+dSST (4)'!$A$3:$A$149,0),VALUE(LEFT(A441,FIND("/",A441)-1)))</f>
        <v>-0.28000000000000003</v>
      </c>
      <c r="C441" s="15">
        <f t="shared" si="12"/>
        <v>13.72</v>
      </c>
      <c r="D441" s="15">
        <f t="shared" si="13"/>
        <v>56.695999999999998</v>
      </c>
    </row>
    <row r="442" spans="1:4" ht="15" customHeight="1">
      <c r="A442" t="s">
        <v>505</v>
      </c>
      <c r="B442" s="15">
        <f>INDEX('GLB.Ts+dSST (4)'!$B$3:$M$149,MATCH(VALUE(RIGHT(A442,4)),'GLB.Ts+dSST (4)'!$A$3:$A$149,0),VALUE(LEFT(A442,FIND("/",A442)-1)))</f>
        <v>-0.36</v>
      </c>
      <c r="C442" s="15">
        <f t="shared" si="12"/>
        <v>13.64</v>
      </c>
      <c r="D442" s="15">
        <f t="shared" si="13"/>
        <v>56.552000000000007</v>
      </c>
    </row>
    <row r="443" spans="1:4" ht="15" customHeight="1">
      <c r="A443" t="s">
        <v>506</v>
      </c>
      <c r="B443" s="15">
        <f>INDEX('GLB.Ts+dSST (4)'!$B$3:$M$149,MATCH(VALUE(RIGHT(A443,4)),'GLB.Ts+dSST (4)'!$A$3:$A$149,0),VALUE(LEFT(A443,FIND("/",A443)-1)))</f>
        <v>-0.33</v>
      </c>
      <c r="C443" s="15">
        <f t="shared" si="12"/>
        <v>13.67</v>
      </c>
      <c r="D443" s="15">
        <f t="shared" si="13"/>
        <v>56.606000000000002</v>
      </c>
    </row>
    <row r="444" spans="1:4" ht="15" customHeight="1">
      <c r="A444" t="s">
        <v>507</v>
      </c>
      <c r="B444" s="15">
        <f>INDEX('GLB.Ts+dSST (4)'!$B$3:$M$149,MATCH(VALUE(RIGHT(A444,4)),'GLB.Ts+dSST (4)'!$A$3:$A$149,0),VALUE(LEFT(A444,FIND("/",A444)-1)))</f>
        <v>-0.47</v>
      </c>
      <c r="C444" s="15">
        <f t="shared" si="12"/>
        <v>13.53</v>
      </c>
      <c r="D444" s="15">
        <f t="shared" si="13"/>
        <v>56.353999999999999</v>
      </c>
    </row>
    <row r="445" spans="1:4" ht="15" customHeight="1">
      <c r="A445" t="s">
        <v>508</v>
      </c>
      <c r="B445" s="15">
        <f>INDEX('GLB.Ts+dSST (4)'!$B$3:$M$149,MATCH(VALUE(RIGHT(A445,4)),'GLB.Ts+dSST (4)'!$A$3:$A$149,0),VALUE(LEFT(A445,FIND("/",A445)-1)))</f>
        <v>-0.82</v>
      </c>
      <c r="C445" s="15">
        <f t="shared" si="12"/>
        <v>13.18</v>
      </c>
      <c r="D445" s="15">
        <f t="shared" si="13"/>
        <v>55.724000000000004</v>
      </c>
    </row>
    <row r="446" spans="1:4" ht="15" customHeight="1">
      <c r="A446" t="s">
        <v>509</v>
      </c>
      <c r="B446" s="15">
        <f>INDEX('GLB.Ts+dSST (4)'!$B$3:$M$149,MATCH(VALUE(RIGHT(A446,4)),'GLB.Ts+dSST (4)'!$A$3:$A$149,0),VALUE(LEFT(A446,FIND("/",A446)-1)))</f>
        <v>-0.56999999999999995</v>
      </c>
      <c r="C446" s="15">
        <f t="shared" si="12"/>
        <v>13.43</v>
      </c>
      <c r="D446" s="15">
        <f t="shared" si="13"/>
        <v>56.173999999999999</v>
      </c>
    </row>
    <row r="447" spans="1:4" ht="15" customHeight="1">
      <c r="A447" t="s">
        <v>510</v>
      </c>
      <c r="B447" s="15">
        <f>INDEX('GLB.Ts+dSST (4)'!$B$3:$M$149,MATCH(VALUE(RIGHT(A447,4)),'GLB.Ts+dSST (4)'!$A$3:$A$149,0),VALUE(LEFT(A447,FIND("/",A447)-1)))</f>
        <v>-0.63</v>
      </c>
      <c r="C447" s="15">
        <f t="shared" si="12"/>
        <v>13.37</v>
      </c>
      <c r="D447" s="15">
        <f t="shared" si="13"/>
        <v>56.066000000000003</v>
      </c>
    </row>
    <row r="448" spans="1:4" ht="15" customHeight="1">
      <c r="A448" t="s">
        <v>511</v>
      </c>
      <c r="B448" s="15">
        <f>INDEX('GLB.Ts+dSST (4)'!$B$3:$M$149,MATCH(VALUE(RIGHT(A448,4)),'GLB.Ts+dSST (4)'!$A$3:$A$149,0),VALUE(LEFT(A448,FIND("/",A448)-1)))</f>
        <v>-0.63</v>
      </c>
      <c r="C448" s="15">
        <f t="shared" si="12"/>
        <v>13.37</v>
      </c>
      <c r="D448" s="15">
        <f t="shared" si="13"/>
        <v>56.066000000000003</v>
      </c>
    </row>
    <row r="449" spans="1:4" ht="15" customHeight="1">
      <c r="A449" t="s">
        <v>512</v>
      </c>
      <c r="B449" s="15">
        <f>INDEX('GLB.Ts+dSST (4)'!$B$3:$M$149,MATCH(VALUE(RIGHT(A449,4)),'GLB.Ts+dSST (4)'!$A$3:$A$149,0),VALUE(LEFT(A449,FIND("/",A449)-1)))</f>
        <v>-0.55000000000000004</v>
      </c>
      <c r="C449" s="15">
        <f t="shared" si="12"/>
        <v>13.45</v>
      </c>
      <c r="D449" s="15">
        <f t="shared" si="13"/>
        <v>56.21</v>
      </c>
    </row>
    <row r="450" spans="1:4" ht="15" customHeight="1">
      <c r="A450" t="s">
        <v>513</v>
      </c>
      <c r="B450" s="15">
        <f>INDEX('GLB.Ts+dSST (4)'!$B$3:$M$149,MATCH(VALUE(RIGHT(A450,4)),'GLB.Ts+dSST (4)'!$A$3:$A$149,0),VALUE(LEFT(A450,FIND("/",A450)-1)))</f>
        <v>-0.56000000000000005</v>
      </c>
      <c r="C450" s="15">
        <f t="shared" ref="C450:C513" si="14">B450+14</f>
        <v>13.44</v>
      </c>
      <c r="D450" s="15">
        <f t="shared" ref="D450:D513" si="15">C450*(9/5)+32</f>
        <v>56.192</v>
      </c>
    </row>
    <row r="451" spans="1:4" ht="15" customHeight="1">
      <c r="A451" t="s">
        <v>514</v>
      </c>
      <c r="B451" s="15">
        <f>INDEX('GLB.Ts+dSST (4)'!$B$3:$M$149,MATCH(VALUE(RIGHT(A451,4)),'GLB.Ts+dSST (4)'!$A$3:$A$149,0),VALUE(LEFT(A451,FIND("/",A451)-1)))</f>
        <v>-0.44</v>
      </c>
      <c r="C451" s="15">
        <f t="shared" si="14"/>
        <v>13.56</v>
      </c>
      <c r="D451" s="15">
        <f t="shared" si="15"/>
        <v>56.408000000000001</v>
      </c>
    </row>
    <row r="452" spans="1:4" ht="15" customHeight="1">
      <c r="A452" t="s">
        <v>515</v>
      </c>
      <c r="B452" s="15">
        <f>INDEX('GLB.Ts+dSST (4)'!$B$3:$M$149,MATCH(VALUE(RIGHT(A452,4)),'GLB.Ts+dSST (4)'!$A$3:$A$149,0),VALUE(LEFT(A452,FIND("/",A452)-1)))</f>
        <v>-0.26</v>
      </c>
      <c r="C452" s="15">
        <f t="shared" si="14"/>
        <v>13.74</v>
      </c>
      <c r="D452" s="15">
        <f t="shared" si="15"/>
        <v>56.731999999999999</v>
      </c>
    </row>
    <row r="453" spans="1:4" ht="15" customHeight="1">
      <c r="A453" t="s">
        <v>516</v>
      </c>
      <c r="B453" s="15">
        <f>INDEX('GLB.Ts+dSST (4)'!$B$3:$M$149,MATCH(VALUE(RIGHT(A453,4)),'GLB.Ts+dSST (4)'!$A$3:$A$149,0),VALUE(LEFT(A453,FIND("/",A453)-1)))</f>
        <v>-0.23</v>
      </c>
      <c r="C453" s="15">
        <f t="shared" si="14"/>
        <v>13.77</v>
      </c>
      <c r="D453" s="15">
        <f t="shared" si="15"/>
        <v>56.786000000000001</v>
      </c>
    </row>
    <row r="454" spans="1:4" ht="15" customHeight="1">
      <c r="A454" t="s">
        <v>517</v>
      </c>
      <c r="B454" s="15">
        <f>INDEX('GLB.Ts+dSST (4)'!$B$3:$M$149,MATCH(VALUE(RIGHT(A454,4)),'GLB.Ts+dSST (4)'!$A$3:$A$149,0),VALUE(LEFT(A454,FIND("/",A454)-1)))</f>
        <v>-0.23</v>
      </c>
      <c r="C454" s="15">
        <f t="shared" si="14"/>
        <v>13.77</v>
      </c>
      <c r="D454" s="15">
        <f t="shared" si="15"/>
        <v>56.786000000000001</v>
      </c>
    </row>
    <row r="455" spans="1:4" ht="15" customHeight="1">
      <c r="A455" t="s">
        <v>518</v>
      </c>
      <c r="B455" s="15">
        <f>INDEX('GLB.Ts+dSST (4)'!$B$3:$M$149,MATCH(VALUE(RIGHT(A455,4)),'GLB.Ts+dSST (4)'!$A$3:$A$149,0),VALUE(LEFT(A455,FIND("/",A455)-1)))</f>
        <v>-0.45</v>
      </c>
      <c r="C455" s="15">
        <f t="shared" si="14"/>
        <v>13.55</v>
      </c>
      <c r="D455" s="15">
        <f t="shared" si="15"/>
        <v>56.39</v>
      </c>
    </row>
    <row r="456" spans="1:4" ht="15" customHeight="1">
      <c r="A456" t="s">
        <v>519</v>
      </c>
      <c r="B456" s="15">
        <f>INDEX('GLB.Ts+dSST (4)'!$B$3:$M$149,MATCH(VALUE(RIGHT(A456,4)),'GLB.Ts+dSST (4)'!$A$3:$A$149,0),VALUE(LEFT(A456,FIND("/",A456)-1)))</f>
        <v>-0.34</v>
      </c>
      <c r="C456" s="15">
        <f t="shared" si="14"/>
        <v>13.66</v>
      </c>
      <c r="D456" s="15">
        <f t="shared" si="15"/>
        <v>56.588000000000001</v>
      </c>
    </row>
    <row r="457" spans="1:4" ht="15" customHeight="1">
      <c r="A457" t="s">
        <v>520</v>
      </c>
      <c r="B457" s="15">
        <f>INDEX('GLB.Ts+dSST (4)'!$B$3:$M$149,MATCH(VALUE(RIGHT(A457,4)),'GLB.Ts+dSST (4)'!$A$3:$A$149,0),VALUE(LEFT(A457,FIND("/",A457)-1)))</f>
        <v>-0.68</v>
      </c>
      <c r="C457" s="15">
        <f t="shared" si="14"/>
        <v>13.32</v>
      </c>
      <c r="D457" s="15">
        <f t="shared" si="15"/>
        <v>55.975999999999999</v>
      </c>
    </row>
    <row r="458" spans="1:4" ht="15" customHeight="1">
      <c r="A458" t="s">
        <v>521</v>
      </c>
      <c r="B458" s="15">
        <f>INDEX('GLB.Ts+dSST (4)'!$B$3:$M$149,MATCH(VALUE(RIGHT(A458,4)),'GLB.Ts+dSST (4)'!$A$3:$A$149,0),VALUE(LEFT(A458,FIND("/",A458)-1)))</f>
        <v>-0.48</v>
      </c>
      <c r="C458" s="15">
        <f t="shared" si="14"/>
        <v>13.52</v>
      </c>
      <c r="D458" s="15">
        <f t="shared" si="15"/>
        <v>56.335999999999999</v>
      </c>
    </row>
    <row r="459" spans="1:4" ht="15" customHeight="1">
      <c r="A459" t="s">
        <v>522</v>
      </c>
      <c r="B459" s="15">
        <f>INDEX('GLB.Ts+dSST (4)'!$B$3:$M$149,MATCH(VALUE(RIGHT(A459,4)),'GLB.Ts+dSST (4)'!$A$3:$A$149,0),VALUE(LEFT(A459,FIND("/",A459)-1)))</f>
        <v>-0.35</v>
      </c>
      <c r="C459" s="15">
        <f t="shared" si="14"/>
        <v>13.65</v>
      </c>
      <c r="D459" s="15">
        <f t="shared" si="15"/>
        <v>56.57</v>
      </c>
    </row>
    <row r="460" spans="1:4" ht="15" customHeight="1">
      <c r="A460" t="s">
        <v>523</v>
      </c>
      <c r="B460" s="15">
        <f>INDEX('GLB.Ts+dSST (4)'!$B$3:$M$149,MATCH(VALUE(RIGHT(A460,4)),'GLB.Ts+dSST (4)'!$A$3:$A$149,0),VALUE(LEFT(A460,FIND("/",A460)-1)))</f>
        <v>-0.26</v>
      </c>
      <c r="C460" s="15">
        <f t="shared" si="14"/>
        <v>13.74</v>
      </c>
      <c r="D460" s="15">
        <f t="shared" si="15"/>
        <v>56.731999999999999</v>
      </c>
    </row>
    <row r="461" spans="1:4" ht="15" customHeight="1">
      <c r="A461" t="s">
        <v>524</v>
      </c>
      <c r="B461" s="15">
        <f>INDEX('GLB.Ts+dSST (4)'!$B$3:$M$149,MATCH(VALUE(RIGHT(A461,4)),'GLB.Ts+dSST (4)'!$A$3:$A$149,0),VALUE(LEFT(A461,FIND("/",A461)-1)))</f>
        <v>-0.45</v>
      </c>
      <c r="C461" s="15">
        <f t="shared" si="14"/>
        <v>13.55</v>
      </c>
      <c r="D461" s="15">
        <f t="shared" si="15"/>
        <v>56.39</v>
      </c>
    </row>
    <row r="462" spans="1:4" ht="15" customHeight="1">
      <c r="A462" t="s">
        <v>525</v>
      </c>
      <c r="B462" s="15">
        <f>INDEX('GLB.Ts+dSST (4)'!$B$3:$M$149,MATCH(VALUE(RIGHT(A462,4)),'GLB.Ts+dSST (4)'!$A$3:$A$149,0),VALUE(LEFT(A462,FIND("/",A462)-1)))</f>
        <v>-0.43</v>
      </c>
      <c r="C462" s="15">
        <f t="shared" si="14"/>
        <v>13.57</v>
      </c>
      <c r="D462" s="15">
        <f t="shared" si="15"/>
        <v>56.426000000000002</v>
      </c>
    </row>
    <row r="463" spans="1:4" ht="15" customHeight="1">
      <c r="A463" t="s">
        <v>526</v>
      </c>
      <c r="B463" s="15">
        <f>INDEX('GLB.Ts+dSST (4)'!$B$3:$M$149,MATCH(VALUE(RIGHT(A463,4)),'GLB.Ts+dSST (4)'!$A$3:$A$149,0),VALUE(LEFT(A463,FIND("/",A463)-1)))</f>
        <v>-0.37</v>
      </c>
      <c r="C463" s="15">
        <f t="shared" si="14"/>
        <v>13.63</v>
      </c>
      <c r="D463" s="15">
        <f t="shared" si="15"/>
        <v>56.534000000000006</v>
      </c>
    </row>
    <row r="464" spans="1:4" ht="15" customHeight="1">
      <c r="A464" t="s">
        <v>527</v>
      </c>
      <c r="B464" s="15">
        <f>INDEX('GLB.Ts+dSST (4)'!$B$3:$M$149,MATCH(VALUE(RIGHT(A464,4)),'GLB.Ts+dSST (4)'!$A$3:$A$149,0),VALUE(LEFT(A464,FIND("/",A464)-1)))</f>
        <v>-0.32</v>
      </c>
      <c r="C464" s="15">
        <f t="shared" si="14"/>
        <v>13.68</v>
      </c>
      <c r="D464" s="15">
        <f t="shared" si="15"/>
        <v>56.623999999999995</v>
      </c>
    </row>
    <row r="465" spans="1:4" ht="15" customHeight="1">
      <c r="A465" t="s">
        <v>528</v>
      </c>
      <c r="B465" s="15">
        <f>INDEX('GLB.Ts+dSST (4)'!$B$3:$M$149,MATCH(VALUE(RIGHT(A465,4)),'GLB.Ts+dSST (4)'!$A$3:$A$149,0),VALUE(LEFT(A465,FIND("/",A465)-1)))</f>
        <v>-0.32</v>
      </c>
      <c r="C465" s="15">
        <f t="shared" si="14"/>
        <v>13.68</v>
      </c>
      <c r="D465" s="15">
        <f t="shared" si="15"/>
        <v>56.623999999999995</v>
      </c>
    </row>
    <row r="466" spans="1:4" ht="15" customHeight="1">
      <c r="A466" t="s">
        <v>529</v>
      </c>
      <c r="B466" s="15">
        <f>INDEX('GLB.Ts+dSST (4)'!$B$3:$M$149,MATCH(VALUE(RIGHT(A466,4)),'GLB.Ts+dSST (4)'!$A$3:$A$149,0),VALUE(LEFT(A466,FIND("/",A466)-1)))</f>
        <v>-0.17</v>
      </c>
      <c r="C466" s="15">
        <f t="shared" si="14"/>
        <v>13.83</v>
      </c>
      <c r="D466" s="15">
        <f t="shared" si="15"/>
        <v>56.894000000000005</v>
      </c>
    </row>
    <row r="467" spans="1:4" ht="15" customHeight="1">
      <c r="A467" t="s">
        <v>530</v>
      </c>
      <c r="B467" s="15">
        <f>INDEX('GLB.Ts+dSST (4)'!$B$3:$M$149,MATCH(VALUE(RIGHT(A467,4)),'GLB.Ts+dSST (4)'!$A$3:$A$149,0),VALUE(LEFT(A467,FIND("/",A467)-1)))</f>
        <v>-0.06</v>
      </c>
      <c r="C467" s="15">
        <f t="shared" si="14"/>
        <v>13.94</v>
      </c>
      <c r="D467" s="15">
        <f t="shared" si="15"/>
        <v>57.091999999999999</v>
      </c>
    </row>
    <row r="468" spans="1:4" ht="15" customHeight="1">
      <c r="A468" t="s">
        <v>531</v>
      </c>
      <c r="B468" s="15">
        <f>INDEX('GLB.Ts+dSST (4)'!$B$3:$M$149,MATCH(VALUE(RIGHT(A468,4)),'GLB.Ts+dSST (4)'!$A$3:$A$149,0),VALUE(LEFT(A468,FIND("/",A468)-1)))</f>
        <v>-0.12</v>
      </c>
      <c r="C468" s="15">
        <f t="shared" si="14"/>
        <v>13.88</v>
      </c>
      <c r="D468" s="15">
        <f t="shared" si="15"/>
        <v>56.984000000000002</v>
      </c>
    </row>
    <row r="469" spans="1:4" ht="15" customHeight="1">
      <c r="A469" t="s">
        <v>532</v>
      </c>
      <c r="B469" s="15">
        <f>INDEX('GLB.Ts+dSST (4)'!$B$3:$M$149,MATCH(VALUE(RIGHT(A469,4)),'GLB.Ts+dSST (4)'!$A$3:$A$149,0),VALUE(LEFT(A469,FIND("/",A469)-1)))</f>
        <v>-0.3</v>
      </c>
      <c r="C469" s="15">
        <f t="shared" si="14"/>
        <v>13.7</v>
      </c>
      <c r="D469" s="15">
        <f t="shared" si="15"/>
        <v>56.66</v>
      </c>
    </row>
    <row r="470" spans="1:4" ht="15" customHeight="1">
      <c r="A470" t="s">
        <v>533</v>
      </c>
      <c r="B470" s="15">
        <f>INDEX('GLB.Ts+dSST (4)'!$B$3:$M$149,MATCH(VALUE(RIGHT(A470,4)),'GLB.Ts+dSST (4)'!$A$3:$A$149,0),VALUE(LEFT(A470,FIND("/",A470)-1)))</f>
        <v>-0.2</v>
      </c>
      <c r="C470" s="15">
        <f t="shared" si="14"/>
        <v>13.8</v>
      </c>
      <c r="D470" s="15">
        <f t="shared" si="15"/>
        <v>56.84</v>
      </c>
    </row>
    <row r="471" spans="1:4" ht="15" customHeight="1">
      <c r="A471" t="s">
        <v>534</v>
      </c>
      <c r="B471" s="15">
        <f>INDEX('GLB.Ts+dSST (4)'!$B$3:$M$149,MATCH(VALUE(RIGHT(A471,4)),'GLB.Ts+dSST (4)'!$A$3:$A$149,0),VALUE(LEFT(A471,FIND("/",A471)-1)))</f>
        <v>-0.24</v>
      </c>
      <c r="C471" s="15">
        <f t="shared" si="14"/>
        <v>13.76</v>
      </c>
      <c r="D471" s="15">
        <f t="shared" si="15"/>
        <v>56.768000000000001</v>
      </c>
    </row>
    <row r="472" spans="1:4" ht="15" customHeight="1">
      <c r="A472" t="s">
        <v>535</v>
      </c>
      <c r="B472" s="15">
        <f>INDEX('GLB.Ts+dSST (4)'!$B$3:$M$149,MATCH(VALUE(RIGHT(A472,4)),'GLB.Ts+dSST (4)'!$A$3:$A$149,0),VALUE(LEFT(A472,FIND("/",A472)-1)))</f>
        <v>-0.21</v>
      </c>
      <c r="C472" s="15">
        <f t="shared" si="14"/>
        <v>13.79</v>
      </c>
      <c r="D472" s="15">
        <f t="shared" si="15"/>
        <v>56.822000000000003</v>
      </c>
    </row>
    <row r="473" spans="1:4" ht="15" customHeight="1">
      <c r="A473" t="s">
        <v>536</v>
      </c>
      <c r="B473" s="15">
        <f>INDEX('GLB.Ts+dSST (4)'!$B$3:$M$149,MATCH(VALUE(RIGHT(A473,4)),'GLB.Ts+dSST (4)'!$A$3:$A$149,0),VALUE(LEFT(A473,FIND("/",A473)-1)))</f>
        <v>-0.13</v>
      </c>
      <c r="C473" s="15">
        <f t="shared" si="14"/>
        <v>13.87</v>
      </c>
      <c r="D473" s="15">
        <f t="shared" si="15"/>
        <v>56.965999999999994</v>
      </c>
    </row>
    <row r="474" spans="1:4" ht="15" customHeight="1">
      <c r="A474" t="s">
        <v>537</v>
      </c>
      <c r="B474" s="15">
        <f>INDEX('GLB.Ts+dSST (4)'!$B$3:$M$149,MATCH(VALUE(RIGHT(A474,4)),'GLB.Ts+dSST (4)'!$A$3:$A$149,0),VALUE(LEFT(A474,FIND("/",A474)-1)))</f>
        <v>-0.28000000000000003</v>
      </c>
      <c r="C474" s="15">
        <f t="shared" si="14"/>
        <v>13.72</v>
      </c>
      <c r="D474" s="15">
        <f t="shared" si="15"/>
        <v>56.695999999999998</v>
      </c>
    </row>
    <row r="475" spans="1:4" ht="15" customHeight="1">
      <c r="A475" t="s">
        <v>538</v>
      </c>
      <c r="B475" s="15">
        <f>INDEX('GLB.Ts+dSST (4)'!$B$3:$M$149,MATCH(VALUE(RIGHT(A475,4)),'GLB.Ts+dSST (4)'!$A$3:$A$149,0),VALUE(LEFT(A475,FIND("/",A475)-1)))</f>
        <v>-0.36</v>
      </c>
      <c r="C475" s="15">
        <f t="shared" si="14"/>
        <v>13.64</v>
      </c>
      <c r="D475" s="15">
        <f t="shared" si="15"/>
        <v>56.552000000000007</v>
      </c>
    </row>
    <row r="476" spans="1:4" ht="15" customHeight="1">
      <c r="A476" t="s">
        <v>539</v>
      </c>
      <c r="B476" s="15">
        <f>INDEX('GLB.Ts+dSST (4)'!$B$3:$M$149,MATCH(VALUE(RIGHT(A476,4)),'GLB.Ts+dSST (4)'!$A$3:$A$149,0),VALUE(LEFT(A476,FIND("/",A476)-1)))</f>
        <v>-0.28999999999999998</v>
      </c>
      <c r="C476" s="15">
        <f t="shared" si="14"/>
        <v>13.71</v>
      </c>
      <c r="D476" s="15">
        <f t="shared" si="15"/>
        <v>56.677999999999997</v>
      </c>
    </row>
    <row r="477" spans="1:4" ht="15" customHeight="1">
      <c r="A477" t="s">
        <v>540</v>
      </c>
      <c r="B477" s="15">
        <f>INDEX('GLB.Ts+dSST (4)'!$B$3:$M$149,MATCH(VALUE(RIGHT(A477,4)),'GLB.Ts+dSST (4)'!$A$3:$A$149,0),VALUE(LEFT(A477,FIND("/",A477)-1)))</f>
        <v>-0.33</v>
      </c>
      <c r="C477" s="15">
        <f t="shared" si="14"/>
        <v>13.67</v>
      </c>
      <c r="D477" s="15">
        <f t="shared" si="15"/>
        <v>56.606000000000002</v>
      </c>
    </row>
    <row r="478" spans="1:4" ht="15" customHeight="1">
      <c r="A478" t="s">
        <v>541</v>
      </c>
      <c r="B478" s="15">
        <f>INDEX('GLB.Ts+dSST (4)'!$B$3:$M$149,MATCH(VALUE(RIGHT(A478,4)),'GLB.Ts+dSST (4)'!$A$3:$A$149,0),VALUE(LEFT(A478,FIND("/",A478)-1)))</f>
        <v>-0.25</v>
      </c>
      <c r="C478" s="15">
        <f t="shared" si="14"/>
        <v>13.75</v>
      </c>
      <c r="D478" s="15">
        <f t="shared" si="15"/>
        <v>56.75</v>
      </c>
    </row>
    <row r="479" spans="1:4" ht="15" customHeight="1">
      <c r="A479" t="s">
        <v>542</v>
      </c>
      <c r="B479" s="15">
        <f>INDEX('GLB.Ts+dSST (4)'!$B$3:$M$149,MATCH(VALUE(RIGHT(A479,4)),'GLB.Ts+dSST (4)'!$A$3:$A$149,0),VALUE(LEFT(A479,FIND("/",A479)-1)))</f>
        <v>-0.2</v>
      </c>
      <c r="C479" s="15">
        <f t="shared" si="14"/>
        <v>13.8</v>
      </c>
      <c r="D479" s="15">
        <f t="shared" si="15"/>
        <v>56.84</v>
      </c>
    </row>
    <row r="480" spans="1:4" ht="15" customHeight="1">
      <c r="A480" t="s">
        <v>543</v>
      </c>
      <c r="B480" s="15">
        <f>INDEX('GLB.Ts+dSST (4)'!$B$3:$M$149,MATCH(VALUE(RIGHT(A480,4)),'GLB.Ts+dSST (4)'!$A$3:$A$149,0),VALUE(LEFT(A480,FIND("/",A480)-1)))</f>
        <v>-0.42</v>
      </c>
      <c r="C480" s="15">
        <f t="shared" si="14"/>
        <v>13.58</v>
      </c>
      <c r="D480" s="15">
        <f t="shared" si="15"/>
        <v>56.444000000000003</v>
      </c>
    </row>
    <row r="481" spans="1:4" ht="15" customHeight="1">
      <c r="A481" t="s">
        <v>544</v>
      </c>
      <c r="B481" s="15">
        <f>INDEX('GLB.Ts+dSST (4)'!$B$3:$M$149,MATCH(VALUE(RIGHT(A481,4)),'GLB.Ts+dSST (4)'!$A$3:$A$149,0),VALUE(LEFT(A481,FIND("/",A481)-1)))</f>
        <v>-0.43</v>
      </c>
      <c r="C481" s="15">
        <f t="shared" si="14"/>
        <v>13.57</v>
      </c>
      <c r="D481" s="15">
        <f t="shared" si="15"/>
        <v>56.426000000000002</v>
      </c>
    </row>
    <row r="482" spans="1:4" ht="15" customHeight="1">
      <c r="A482" t="s">
        <v>545</v>
      </c>
      <c r="B482" s="15">
        <f>INDEX('GLB.Ts+dSST (4)'!$B$3:$M$149,MATCH(VALUE(RIGHT(A482,4)),'GLB.Ts+dSST (4)'!$A$3:$A$149,0),VALUE(LEFT(A482,FIND("/",A482)-1)))</f>
        <v>-0.26</v>
      </c>
      <c r="C482" s="15">
        <f t="shared" si="14"/>
        <v>13.74</v>
      </c>
      <c r="D482" s="15">
        <f t="shared" si="15"/>
        <v>56.731999999999999</v>
      </c>
    </row>
    <row r="483" spans="1:4" ht="15" customHeight="1">
      <c r="A483" t="s">
        <v>546</v>
      </c>
      <c r="B483" s="15">
        <f>INDEX('GLB.Ts+dSST (4)'!$B$3:$M$149,MATCH(VALUE(RIGHT(A483,4)),'GLB.Ts+dSST (4)'!$A$3:$A$149,0),VALUE(LEFT(A483,FIND("/",A483)-1)))</f>
        <v>-0.27</v>
      </c>
      <c r="C483" s="15">
        <f t="shared" si="14"/>
        <v>13.73</v>
      </c>
      <c r="D483" s="15">
        <f t="shared" si="15"/>
        <v>56.713999999999999</v>
      </c>
    </row>
    <row r="484" spans="1:4" ht="15" customHeight="1">
      <c r="A484" t="s">
        <v>547</v>
      </c>
      <c r="B484" s="15">
        <f>INDEX('GLB.Ts+dSST (4)'!$B$3:$M$149,MATCH(VALUE(RIGHT(A484,4)),'GLB.Ts+dSST (4)'!$A$3:$A$149,0),VALUE(LEFT(A484,FIND("/",A484)-1)))</f>
        <v>-0.12</v>
      </c>
      <c r="C484" s="15">
        <f t="shared" si="14"/>
        <v>13.88</v>
      </c>
      <c r="D484" s="15">
        <f t="shared" si="15"/>
        <v>56.984000000000002</v>
      </c>
    </row>
    <row r="485" spans="1:4" ht="15" customHeight="1">
      <c r="A485" t="s">
        <v>548</v>
      </c>
      <c r="B485" s="15">
        <f>INDEX('GLB.Ts+dSST (4)'!$B$3:$M$149,MATCH(VALUE(RIGHT(A485,4)),'GLB.Ts+dSST (4)'!$A$3:$A$149,0),VALUE(LEFT(A485,FIND("/",A485)-1)))</f>
        <v>-0.25</v>
      </c>
      <c r="C485" s="15">
        <f t="shared" si="14"/>
        <v>13.75</v>
      </c>
      <c r="D485" s="15">
        <f t="shared" si="15"/>
        <v>56.75</v>
      </c>
    </row>
    <row r="486" spans="1:4" ht="15" customHeight="1">
      <c r="A486" t="s">
        <v>549</v>
      </c>
      <c r="B486" s="15">
        <f>INDEX('GLB.Ts+dSST (4)'!$B$3:$M$149,MATCH(VALUE(RIGHT(A486,4)),'GLB.Ts+dSST (4)'!$A$3:$A$149,0),VALUE(LEFT(A486,FIND("/",A486)-1)))</f>
        <v>-0.27</v>
      </c>
      <c r="C486" s="15">
        <f t="shared" si="14"/>
        <v>13.73</v>
      </c>
      <c r="D486" s="15">
        <f t="shared" si="15"/>
        <v>56.713999999999999</v>
      </c>
    </row>
    <row r="487" spans="1:4" ht="15" customHeight="1">
      <c r="A487" t="s">
        <v>550</v>
      </c>
      <c r="B487" s="15">
        <f>INDEX('GLB.Ts+dSST (4)'!$B$3:$M$149,MATCH(VALUE(RIGHT(A487,4)),'GLB.Ts+dSST (4)'!$A$3:$A$149,0),VALUE(LEFT(A487,FIND("/",A487)-1)))</f>
        <v>-0.36</v>
      </c>
      <c r="C487" s="15">
        <f t="shared" si="14"/>
        <v>13.64</v>
      </c>
      <c r="D487" s="15">
        <f t="shared" si="15"/>
        <v>56.552000000000007</v>
      </c>
    </row>
    <row r="488" spans="1:4" ht="15" customHeight="1">
      <c r="A488" t="s">
        <v>551</v>
      </c>
      <c r="B488" s="15">
        <f>INDEX('GLB.Ts+dSST (4)'!$B$3:$M$149,MATCH(VALUE(RIGHT(A488,4)),'GLB.Ts+dSST (4)'!$A$3:$A$149,0),VALUE(LEFT(A488,FIND("/",A488)-1)))</f>
        <v>-0.31</v>
      </c>
      <c r="C488" s="15">
        <f t="shared" si="14"/>
        <v>13.69</v>
      </c>
      <c r="D488" s="15">
        <f t="shared" si="15"/>
        <v>56.641999999999996</v>
      </c>
    </row>
    <row r="489" spans="1:4" ht="15" customHeight="1">
      <c r="A489" t="s">
        <v>552</v>
      </c>
      <c r="B489" s="15">
        <f>INDEX('GLB.Ts+dSST (4)'!$B$3:$M$149,MATCH(VALUE(RIGHT(A489,4)),'GLB.Ts+dSST (4)'!$A$3:$A$149,0),VALUE(LEFT(A489,FIND("/",A489)-1)))</f>
        <v>-0.26</v>
      </c>
      <c r="C489" s="15">
        <f t="shared" si="14"/>
        <v>13.74</v>
      </c>
      <c r="D489" s="15">
        <f t="shared" si="15"/>
        <v>56.731999999999999</v>
      </c>
    </row>
    <row r="490" spans="1:4" ht="15" customHeight="1">
      <c r="A490" t="s">
        <v>553</v>
      </c>
      <c r="B490" s="15">
        <f>INDEX('GLB.Ts+dSST (4)'!$B$3:$M$149,MATCH(VALUE(RIGHT(A490,4)),'GLB.Ts+dSST (4)'!$A$3:$A$149,0),VALUE(LEFT(A490,FIND("/",A490)-1)))</f>
        <v>-0.22</v>
      </c>
      <c r="C490" s="15">
        <f t="shared" si="14"/>
        <v>13.78</v>
      </c>
      <c r="D490" s="15">
        <f t="shared" si="15"/>
        <v>56.804000000000002</v>
      </c>
    </row>
    <row r="491" spans="1:4" ht="15" customHeight="1">
      <c r="A491" t="s">
        <v>554</v>
      </c>
      <c r="B491" s="15">
        <f>INDEX('GLB.Ts+dSST (4)'!$B$3:$M$149,MATCH(VALUE(RIGHT(A491,4)),'GLB.Ts+dSST (4)'!$A$3:$A$149,0),VALUE(LEFT(A491,FIND("/",A491)-1)))</f>
        <v>-0.27</v>
      </c>
      <c r="C491" s="15">
        <f t="shared" si="14"/>
        <v>13.73</v>
      </c>
      <c r="D491" s="15">
        <f t="shared" si="15"/>
        <v>56.713999999999999</v>
      </c>
    </row>
    <row r="492" spans="1:4" ht="15" customHeight="1">
      <c r="A492" t="s">
        <v>555</v>
      </c>
      <c r="B492" s="15">
        <f>INDEX('GLB.Ts+dSST (4)'!$B$3:$M$149,MATCH(VALUE(RIGHT(A492,4)),'GLB.Ts+dSST (4)'!$A$3:$A$149,0),VALUE(LEFT(A492,FIND("/",A492)-1)))</f>
        <v>-0.28000000000000003</v>
      </c>
      <c r="C492" s="15">
        <f t="shared" si="14"/>
        <v>13.72</v>
      </c>
      <c r="D492" s="15">
        <f t="shared" si="15"/>
        <v>56.695999999999998</v>
      </c>
    </row>
    <row r="493" spans="1:4" ht="15" customHeight="1">
      <c r="A493" t="s">
        <v>556</v>
      </c>
      <c r="B493" s="15">
        <f>INDEX('GLB.Ts+dSST (4)'!$B$3:$M$149,MATCH(VALUE(RIGHT(A493,4)),'GLB.Ts+dSST (4)'!$A$3:$A$149,0),VALUE(LEFT(A493,FIND("/",A493)-1)))</f>
        <v>-0.47</v>
      </c>
      <c r="C493" s="15">
        <f t="shared" si="14"/>
        <v>13.53</v>
      </c>
      <c r="D493" s="15">
        <f t="shared" si="15"/>
        <v>56.353999999999999</v>
      </c>
    </row>
    <row r="494" spans="1:4" ht="15" customHeight="1">
      <c r="A494" t="s">
        <v>557</v>
      </c>
      <c r="B494" s="15">
        <f>INDEX('GLB.Ts+dSST (4)'!$B$3:$M$149,MATCH(VALUE(RIGHT(A494,4)),'GLB.Ts+dSST (4)'!$A$3:$A$149,0),VALUE(LEFT(A494,FIND("/",A494)-1)))</f>
        <v>-0.05</v>
      </c>
      <c r="C494" s="15">
        <f t="shared" si="14"/>
        <v>13.95</v>
      </c>
      <c r="D494" s="15">
        <f t="shared" si="15"/>
        <v>57.11</v>
      </c>
    </row>
    <row r="495" spans="1:4" ht="15" customHeight="1">
      <c r="A495" t="s">
        <v>558</v>
      </c>
      <c r="B495" s="15">
        <f>INDEX('GLB.Ts+dSST (4)'!$B$3:$M$149,MATCH(VALUE(RIGHT(A495,4)),'GLB.Ts+dSST (4)'!$A$3:$A$149,0),VALUE(LEFT(A495,FIND("/",A495)-1)))</f>
        <v>-0.18</v>
      </c>
      <c r="C495" s="15">
        <f t="shared" si="14"/>
        <v>13.82</v>
      </c>
      <c r="D495" s="15">
        <f t="shared" si="15"/>
        <v>56.876000000000005</v>
      </c>
    </row>
    <row r="496" spans="1:4" ht="15" customHeight="1">
      <c r="A496" t="s">
        <v>559</v>
      </c>
      <c r="B496" s="15">
        <f>INDEX('GLB.Ts+dSST (4)'!$B$3:$M$149,MATCH(VALUE(RIGHT(A496,4)),'GLB.Ts+dSST (4)'!$A$3:$A$149,0),VALUE(LEFT(A496,FIND("/",A496)-1)))</f>
        <v>-0.23</v>
      </c>
      <c r="C496" s="15">
        <f t="shared" si="14"/>
        <v>13.77</v>
      </c>
      <c r="D496" s="15">
        <f t="shared" si="15"/>
        <v>56.786000000000001</v>
      </c>
    </row>
    <row r="497" spans="1:4" ht="15" customHeight="1">
      <c r="A497" t="s">
        <v>560</v>
      </c>
      <c r="B497" s="15">
        <f>INDEX('GLB.Ts+dSST (4)'!$B$3:$M$149,MATCH(VALUE(RIGHT(A497,4)),'GLB.Ts+dSST (4)'!$A$3:$A$149,0),VALUE(LEFT(A497,FIND("/",A497)-1)))</f>
        <v>-0.3</v>
      </c>
      <c r="C497" s="15">
        <f t="shared" si="14"/>
        <v>13.7</v>
      </c>
      <c r="D497" s="15">
        <f t="shared" si="15"/>
        <v>56.66</v>
      </c>
    </row>
    <row r="498" spans="1:4" ht="15" customHeight="1">
      <c r="A498" t="s">
        <v>561</v>
      </c>
      <c r="B498" s="15">
        <f>INDEX('GLB.Ts+dSST (4)'!$B$3:$M$149,MATCH(VALUE(RIGHT(A498,4)),'GLB.Ts+dSST (4)'!$A$3:$A$149,0),VALUE(LEFT(A498,FIND("/",A498)-1)))</f>
        <v>-0.3</v>
      </c>
      <c r="C498" s="15">
        <f t="shared" si="14"/>
        <v>13.7</v>
      </c>
      <c r="D498" s="15">
        <f t="shared" si="15"/>
        <v>56.66</v>
      </c>
    </row>
    <row r="499" spans="1:4" ht="15" customHeight="1">
      <c r="A499" t="s">
        <v>562</v>
      </c>
      <c r="B499" s="15">
        <f>INDEX('GLB.Ts+dSST (4)'!$B$3:$M$149,MATCH(VALUE(RIGHT(A499,4)),'GLB.Ts+dSST (4)'!$A$3:$A$149,0),VALUE(LEFT(A499,FIND("/",A499)-1)))</f>
        <v>-0.27</v>
      </c>
      <c r="C499" s="15">
        <f t="shared" si="14"/>
        <v>13.73</v>
      </c>
      <c r="D499" s="15">
        <f t="shared" si="15"/>
        <v>56.713999999999999</v>
      </c>
    </row>
    <row r="500" spans="1:4" ht="15" customHeight="1">
      <c r="A500" t="s">
        <v>563</v>
      </c>
      <c r="B500" s="15">
        <f>INDEX('GLB.Ts+dSST (4)'!$B$3:$M$149,MATCH(VALUE(RIGHT(A500,4)),'GLB.Ts+dSST (4)'!$A$3:$A$149,0),VALUE(LEFT(A500,FIND("/",A500)-1)))</f>
        <v>-0.15</v>
      </c>
      <c r="C500" s="15">
        <f t="shared" si="14"/>
        <v>13.85</v>
      </c>
      <c r="D500" s="15">
        <f t="shared" si="15"/>
        <v>56.93</v>
      </c>
    </row>
    <row r="501" spans="1:4" ht="15" customHeight="1">
      <c r="A501" t="s">
        <v>564</v>
      </c>
      <c r="B501" s="15">
        <f>INDEX('GLB.Ts+dSST (4)'!$B$3:$M$149,MATCH(VALUE(RIGHT(A501,4)),'GLB.Ts+dSST (4)'!$A$3:$A$149,0),VALUE(LEFT(A501,FIND("/",A501)-1)))</f>
        <v>-0.27</v>
      </c>
      <c r="C501" s="15">
        <f t="shared" si="14"/>
        <v>13.73</v>
      </c>
      <c r="D501" s="15">
        <f t="shared" si="15"/>
        <v>56.713999999999999</v>
      </c>
    </row>
    <row r="502" spans="1:4" ht="15" customHeight="1">
      <c r="A502" t="s">
        <v>565</v>
      </c>
      <c r="B502" s="15">
        <f>INDEX('GLB.Ts+dSST (4)'!$B$3:$M$149,MATCH(VALUE(RIGHT(A502,4)),'GLB.Ts+dSST (4)'!$A$3:$A$149,0),VALUE(LEFT(A502,FIND("/",A502)-1)))</f>
        <v>-0.19</v>
      </c>
      <c r="C502" s="15">
        <f t="shared" si="14"/>
        <v>13.81</v>
      </c>
      <c r="D502" s="15">
        <f t="shared" si="15"/>
        <v>56.858000000000004</v>
      </c>
    </row>
    <row r="503" spans="1:4" ht="15" customHeight="1">
      <c r="A503" t="s">
        <v>566</v>
      </c>
      <c r="B503" s="15">
        <f>INDEX('GLB.Ts+dSST (4)'!$B$3:$M$149,MATCH(VALUE(RIGHT(A503,4)),'GLB.Ts+dSST (4)'!$A$3:$A$149,0),VALUE(LEFT(A503,FIND("/",A503)-1)))</f>
        <v>-0.03</v>
      </c>
      <c r="C503" s="15">
        <f t="shared" si="14"/>
        <v>13.97</v>
      </c>
      <c r="D503" s="15">
        <f t="shared" si="15"/>
        <v>57.146000000000001</v>
      </c>
    </row>
    <row r="504" spans="1:4" ht="15" customHeight="1">
      <c r="A504" t="s">
        <v>567</v>
      </c>
      <c r="B504" s="15">
        <f>INDEX('GLB.Ts+dSST (4)'!$B$3:$M$149,MATCH(VALUE(RIGHT(A504,4)),'GLB.Ts+dSST (4)'!$A$3:$A$149,0),VALUE(LEFT(A504,FIND("/",A504)-1)))</f>
        <v>-0.15</v>
      </c>
      <c r="C504" s="15">
        <f t="shared" si="14"/>
        <v>13.85</v>
      </c>
      <c r="D504" s="15">
        <f t="shared" si="15"/>
        <v>56.93</v>
      </c>
    </row>
    <row r="505" spans="1:4" ht="15" customHeight="1">
      <c r="A505" t="s">
        <v>568</v>
      </c>
      <c r="B505" s="15">
        <f>INDEX('GLB.Ts+dSST (4)'!$B$3:$M$149,MATCH(VALUE(RIGHT(A505,4)),'GLB.Ts+dSST (4)'!$A$3:$A$149,0),VALUE(LEFT(A505,FIND("/",A505)-1)))</f>
        <v>-0.18</v>
      </c>
      <c r="C505" s="15">
        <f t="shared" si="14"/>
        <v>13.82</v>
      </c>
      <c r="D505" s="15">
        <f t="shared" si="15"/>
        <v>56.876000000000005</v>
      </c>
    </row>
    <row r="506" spans="1:4" ht="15" customHeight="1">
      <c r="A506" t="s">
        <v>569</v>
      </c>
      <c r="B506" s="15">
        <f>INDEX('GLB.Ts+dSST (4)'!$B$3:$M$149,MATCH(VALUE(RIGHT(A506,4)),'GLB.Ts+dSST (4)'!$A$3:$A$149,0),VALUE(LEFT(A506,FIND("/",A506)-1)))</f>
        <v>-0.34</v>
      </c>
      <c r="C506" s="15">
        <f t="shared" si="14"/>
        <v>13.66</v>
      </c>
      <c r="D506" s="15">
        <f t="shared" si="15"/>
        <v>56.588000000000001</v>
      </c>
    </row>
    <row r="507" spans="1:4" ht="15" customHeight="1">
      <c r="A507" t="s">
        <v>570</v>
      </c>
      <c r="B507" s="15">
        <f>INDEX('GLB.Ts+dSST (4)'!$B$3:$M$149,MATCH(VALUE(RIGHT(A507,4)),'GLB.Ts+dSST (4)'!$A$3:$A$149,0),VALUE(LEFT(A507,FIND("/",A507)-1)))</f>
        <v>-0.45</v>
      </c>
      <c r="C507" s="15">
        <f t="shared" si="14"/>
        <v>13.55</v>
      </c>
      <c r="D507" s="15">
        <f t="shared" si="15"/>
        <v>56.39</v>
      </c>
    </row>
    <row r="508" spans="1:4" ht="15" customHeight="1">
      <c r="A508" t="s">
        <v>571</v>
      </c>
      <c r="B508" s="15">
        <f>INDEX('GLB.Ts+dSST (4)'!$B$3:$M$149,MATCH(VALUE(RIGHT(A508,4)),'GLB.Ts+dSST (4)'!$A$3:$A$149,0),VALUE(LEFT(A508,FIND("/",A508)-1)))</f>
        <v>-0.15</v>
      </c>
      <c r="C508" s="15">
        <f t="shared" si="14"/>
        <v>13.85</v>
      </c>
      <c r="D508" s="15">
        <f t="shared" si="15"/>
        <v>56.93</v>
      </c>
    </row>
    <row r="509" spans="1:4" ht="15" customHeight="1">
      <c r="A509" t="s">
        <v>572</v>
      </c>
      <c r="B509" s="15">
        <f>INDEX('GLB.Ts+dSST (4)'!$B$3:$M$149,MATCH(VALUE(RIGHT(A509,4)),'GLB.Ts+dSST (4)'!$A$3:$A$149,0),VALUE(LEFT(A509,FIND("/",A509)-1)))</f>
        <v>-0.23</v>
      </c>
      <c r="C509" s="15">
        <f t="shared" si="14"/>
        <v>13.77</v>
      </c>
      <c r="D509" s="15">
        <f t="shared" si="15"/>
        <v>56.786000000000001</v>
      </c>
    </row>
    <row r="510" spans="1:4" ht="15" customHeight="1">
      <c r="A510" t="s">
        <v>573</v>
      </c>
      <c r="B510" s="15">
        <f>INDEX('GLB.Ts+dSST (4)'!$B$3:$M$149,MATCH(VALUE(RIGHT(A510,4)),'GLB.Ts+dSST (4)'!$A$3:$A$149,0),VALUE(LEFT(A510,FIND("/",A510)-1)))</f>
        <v>-0.33</v>
      </c>
      <c r="C510" s="15">
        <f t="shared" si="14"/>
        <v>13.67</v>
      </c>
      <c r="D510" s="15">
        <f t="shared" si="15"/>
        <v>56.606000000000002</v>
      </c>
    </row>
    <row r="511" spans="1:4" ht="15" customHeight="1">
      <c r="A511" t="s">
        <v>574</v>
      </c>
      <c r="B511" s="15">
        <f>INDEX('GLB.Ts+dSST (4)'!$B$3:$M$149,MATCH(VALUE(RIGHT(A511,4)),'GLB.Ts+dSST (4)'!$A$3:$A$149,0),VALUE(LEFT(A511,FIND("/",A511)-1)))</f>
        <v>-0.31</v>
      </c>
      <c r="C511" s="15">
        <f t="shared" si="14"/>
        <v>13.69</v>
      </c>
      <c r="D511" s="15">
        <f t="shared" si="15"/>
        <v>56.641999999999996</v>
      </c>
    </row>
    <row r="512" spans="1:4" ht="15" customHeight="1">
      <c r="A512" t="s">
        <v>575</v>
      </c>
      <c r="B512" s="15">
        <f>INDEX('GLB.Ts+dSST (4)'!$B$3:$M$149,MATCH(VALUE(RIGHT(A512,4)),'GLB.Ts+dSST (4)'!$A$3:$A$149,0),VALUE(LEFT(A512,FIND("/",A512)-1)))</f>
        <v>-0.27</v>
      </c>
      <c r="C512" s="15">
        <f t="shared" si="14"/>
        <v>13.73</v>
      </c>
      <c r="D512" s="15">
        <f t="shared" si="15"/>
        <v>56.713999999999999</v>
      </c>
    </row>
    <row r="513" spans="1:4" ht="15" customHeight="1">
      <c r="A513" t="s">
        <v>576</v>
      </c>
      <c r="B513" s="15">
        <f>INDEX('GLB.Ts+dSST (4)'!$B$3:$M$149,MATCH(VALUE(RIGHT(A513,4)),'GLB.Ts+dSST (4)'!$A$3:$A$149,0),VALUE(LEFT(A513,FIND("/",A513)-1)))</f>
        <v>-0.33</v>
      </c>
      <c r="C513" s="15">
        <f t="shared" si="14"/>
        <v>13.67</v>
      </c>
      <c r="D513" s="15">
        <f t="shared" si="15"/>
        <v>56.606000000000002</v>
      </c>
    </row>
    <row r="514" spans="1:4" ht="15" customHeight="1">
      <c r="A514" t="s">
        <v>577</v>
      </c>
      <c r="B514" s="15">
        <f>INDEX('GLB.Ts+dSST (4)'!$B$3:$M$149,MATCH(VALUE(RIGHT(A514,4)),'GLB.Ts+dSST (4)'!$A$3:$A$149,0),VALUE(LEFT(A514,FIND("/",A514)-1)))</f>
        <v>-0.35</v>
      </c>
      <c r="C514" s="15">
        <f t="shared" ref="C514:C577" si="16">B514+14</f>
        <v>13.65</v>
      </c>
      <c r="D514" s="15">
        <f t="shared" ref="D514:D577" si="17">C514*(9/5)+32</f>
        <v>56.57</v>
      </c>
    </row>
    <row r="515" spans="1:4" ht="15" customHeight="1">
      <c r="A515" t="s">
        <v>578</v>
      </c>
      <c r="B515" s="15">
        <f>INDEX('GLB.Ts+dSST (4)'!$B$3:$M$149,MATCH(VALUE(RIGHT(A515,4)),'GLB.Ts+dSST (4)'!$A$3:$A$149,0),VALUE(LEFT(A515,FIND("/",A515)-1)))</f>
        <v>-0.31</v>
      </c>
      <c r="C515" s="15">
        <f t="shared" si="16"/>
        <v>13.69</v>
      </c>
      <c r="D515" s="15">
        <f t="shared" si="17"/>
        <v>56.641999999999996</v>
      </c>
    </row>
    <row r="516" spans="1:4" ht="15" customHeight="1">
      <c r="A516" t="s">
        <v>579</v>
      </c>
      <c r="B516" s="15">
        <f>INDEX('GLB.Ts+dSST (4)'!$B$3:$M$149,MATCH(VALUE(RIGHT(A516,4)),'GLB.Ts+dSST (4)'!$A$3:$A$149,0),VALUE(LEFT(A516,FIND("/",A516)-1)))</f>
        <v>-0.14000000000000001</v>
      </c>
      <c r="C516" s="15">
        <f t="shared" si="16"/>
        <v>13.86</v>
      </c>
      <c r="D516" s="15">
        <f t="shared" si="17"/>
        <v>56.948</v>
      </c>
    </row>
    <row r="517" spans="1:4" ht="15" customHeight="1">
      <c r="A517" t="s">
        <v>580</v>
      </c>
      <c r="B517" s="15">
        <f>INDEX('GLB.Ts+dSST (4)'!$B$3:$M$149,MATCH(VALUE(RIGHT(A517,4)),'GLB.Ts+dSST (4)'!$A$3:$A$149,0),VALUE(LEFT(A517,FIND("/",A517)-1)))</f>
        <v>-0.2</v>
      </c>
      <c r="C517" s="15">
        <f t="shared" si="16"/>
        <v>13.8</v>
      </c>
      <c r="D517" s="15">
        <f t="shared" si="17"/>
        <v>56.84</v>
      </c>
    </row>
    <row r="518" spans="1:4" ht="15" customHeight="1">
      <c r="A518" t="s">
        <v>581</v>
      </c>
      <c r="B518" s="15">
        <f>INDEX('GLB.Ts+dSST (4)'!$B$3:$M$149,MATCH(VALUE(RIGHT(A518,4)),'GLB.Ts+dSST (4)'!$A$3:$A$149,0),VALUE(LEFT(A518,FIND("/",A518)-1)))</f>
        <v>-0.27</v>
      </c>
      <c r="C518" s="15">
        <f t="shared" si="16"/>
        <v>13.73</v>
      </c>
      <c r="D518" s="15">
        <f t="shared" si="17"/>
        <v>56.713999999999999</v>
      </c>
    </row>
    <row r="519" spans="1:4" ht="15" customHeight="1">
      <c r="A519" t="s">
        <v>582</v>
      </c>
      <c r="B519" s="15">
        <f>INDEX('GLB.Ts+dSST (4)'!$B$3:$M$149,MATCH(VALUE(RIGHT(A519,4)),'GLB.Ts+dSST (4)'!$A$3:$A$149,0),VALUE(LEFT(A519,FIND("/",A519)-1)))</f>
        <v>-0.39</v>
      </c>
      <c r="C519" s="15">
        <f t="shared" si="16"/>
        <v>13.61</v>
      </c>
      <c r="D519" s="15">
        <f t="shared" si="17"/>
        <v>56.498000000000005</v>
      </c>
    </row>
    <row r="520" spans="1:4" ht="15" customHeight="1">
      <c r="A520" t="s">
        <v>583</v>
      </c>
      <c r="B520" s="15">
        <f>INDEX('GLB.Ts+dSST (4)'!$B$3:$M$149,MATCH(VALUE(RIGHT(A520,4)),'GLB.Ts+dSST (4)'!$A$3:$A$149,0),VALUE(LEFT(A520,FIND("/",A520)-1)))</f>
        <v>-0.34</v>
      </c>
      <c r="C520" s="15">
        <f t="shared" si="16"/>
        <v>13.66</v>
      </c>
      <c r="D520" s="15">
        <f t="shared" si="17"/>
        <v>56.588000000000001</v>
      </c>
    </row>
    <row r="521" spans="1:4" ht="15" customHeight="1">
      <c r="A521" t="s">
        <v>584</v>
      </c>
      <c r="B521" s="15">
        <f>INDEX('GLB.Ts+dSST (4)'!$B$3:$M$149,MATCH(VALUE(RIGHT(A521,4)),'GLB.Ts+dSST (4)'!$A$3:$A$149,0),VALUE(LEFT(A521,FIND("/",A521)-1)))</f>
        <v>-0.41</v>
      </c>
      <c r="C521" s="15">
        <f t="shared" si="16"/>
        <v>13.59</v>
      </c>
      <c r="D521" s="15">
        <f t="shared" si="17"/>
        <v>56.462000000000003</v>
      </c>
    </row>
    <row r="522" spans="1:4" ht="15" customHeight="1">
      <c r="A522" t="s">
        <v>585</v>
      </c>
      <c r="B522" s="15">
        <f>INDEX('GLB.Ts+dSST (4)'!$B$3:$M$149,MATCH(VALUE(RIGHT(A522,4)),'GLB.Ts+dSST (4)'!$A$3:$A$149,0),VALUE(LEFT(A522,FIND("/",A522)-1)))</f>
        <v>-0.34</v>
      </c>
      <c r="C522" s="15">
        <f t="shared" si="16"/>
        <v>13.66</v>
      </c>
      <c r="D522" s="15">
        <f t="shared" si="17"/>
        <v>56.588000000000001</v>
      </c>
    </row>
    <row r="523" spans="1:4" ht="15" customHeight="1">
      <c r="A523" t="s">
        <v>586</v>
      </c>
      <c r="B523" s="15">
        <f>INDEX('GLB.Ts+dSST (4)'!$B$3:$M$149,MATCH(VALUE(RIGHT(A523,4)),'GLB.Ts+dSST (4)'!$A$3:$A$149,0),VALUE(LEFT(A523,FIND("/",A523)-1)))</f>
        <v>-0.28999999999999998</v>
      </c>
      <c r="C523" s="15">
        <f t="shared" si="16"/>
        <v>13.71</v>
      </c>
      <c r="D523" s="15">
        <f t="shared" si="17"/>
        <v>56.677999999999997</v>
      </c>
    </row>
    <row r="524" spans="1:4" ht="15" customHeight="1">
      <c r="A524" t="s">
        <v>587</v>
      </c>
      <c r="B524" s="15">
        <f>INDEX('GLB.Ts+dSST (4)'!$B$3:$M$149,MATCH(VALUE(RIGHT(A524,4)),'GLB.Ts+dSST (4)'!$A$3:$A$149,0),VALUE(LEFT(A524,FIND("/",A524)-1)))</f>
        <v>-0.31</v>
      </c>
      <c r="C524" s="15">
        <f t="shared" si="16"/>
        <v>13.69</v>
      </c>
      <c r="D524" s="15">
        <f t="shared" si="17"/>
        <v>56.641999999999996</v>
      </c>
    </row>
    <row r="525" spans="1:4" ht="15" customHeight="1">
      <c r="A525" t="s">
        <v>588</v>
      </c>
      <c r="B525" s="15">
        <f>INDEX('GLB.Ts+dSST (4)'!$B$3:$M$149,MATCH(VALUE(RIGHT(A525,4)),'GLB.Ts+dSST (4)'!$A$3:$A$149,0),VALUE(LEFT(A525,FIND("/",A525)-1)))</f>
        <v>-0.34</v>
      </c>
      <c r="C525" s="15">
        <f t="shared" si="16"/>
        <v>13.66</v>
      </c>
      <c r="D525" s="15">
        <f t="shared" si="17"/>
        <v>56.588000000000001</v>
      </c>
    </row>
    <row r="526" spans="1:4" ht="15" customHeight="1">
      <c r="A526" t="s">
        <v>589</v>
      </c>
      <c r="B526" s="15">
        <f>INDEX('GLB.Ts+dSST (4)'!$B$3:$M$149,MATCH(VALUE(RIGHT(A526,4)),'GLB.Ts+dSST (4)'!$A$3:$A$149,0),VALUE(LEFT(A526,FIND("/",A526)-1)))</f>
        <v>-0.31</v>
      </c>
      <c r="C526" s="15">
        <f t="shared" si="16"/>
        <v>13.69</v>
      </c>
      <c r="D526" s="15">
        <f t="shared" si="17"/>
        <v>56.641999999999996</v>
      </c>
    </row>
    <row r="527" spans="1:4" ht="15" customHeight="1">
      <c r="A527" t="s">
        <v>590</v>
      </c>
      <c r="B527" s="15">
        <f>INDEX('GLB.Ts+dSST (4)'!$B$3:$M$149,MATCH(VALUE(RIGHT(A527,4)),'GLB.Ts+dSST (4)'!$A$3:$A$149,0),VALUE(LEFT(A527,FIND("/",A527)-1)))</f>
        <v>-0.13</v>
      </c>
      <c r="C527" s="15">
        <f t="shared" si="16"/>
        <v>13.87</v>
      </c>
      <c r="D527" s="15">
        <f t="shared" si="17"/>
        <v>56.965999999999994</v>
      </c>
    </row>
    <row r="528" spans="1:4" ht="15" customHeight="1">
      <c r="A528" t="s">
        <v>591</v>
      </c>
      <c r="B528" s="15">
        <f>INDEX('GLB.Ts+dSST (4)'!$B$3:$M$149,MATCH(VALUE(RIGHT(A528,4)),'GLB.Ts+dSST (4)'!$A$3:$A$149,0),VALUE(LEFT(A528,FIND("/",A528)-1)))</f>
        <v>-0.02</v>
      </c>
      <c r="C528" s="15">
        <f t="shared" si="16"/>
        <v>13.98</v>
      </c>
      <c r="D528" s="15">
        <f t="shared" si="17"/>
        <v>57.164000000000001</v>
      </c>
    </row>
    <row r="529" spans="1:4" ht="15" customHeight="1">
      <c r="A529" t="s">
        <v>592</v>
      </c>
      <c r="B529" s="15">
        <f>INDEX('GLB.Ts+dSST (4)'!$B$3:$M$149,MATCH(VALUE(RIGHT(A529,4)),'GLB.Ts+dSST (4)'!$A$3:$A$149,0),VALUE(LEFT(A529,FIND("/",A529)-1)))</f>
        <v>-0.04</v>
      </c>
      <c r="C529" s="15">
        <f t="shared" si="16"/>
        <v>13.96</v>
      </c>
      <c r="D529" s="15">
        <f t="shared" si="17"/>
        <v>57.128</v>
      </c>
    </row>
    <row r="530" spans="1:4" ht="15" customHeight="1">
      <c r="A530" t="s">
        <v>593</v>
      </c>
      <c r="B530" s="15">
        <f>INDEX('GLB.Ts+dSST (4)'!$B$3:$M$149,MATCH(VALUE(RIGHT(A530,4)),'GLB.Ts+dSST (4)'!$A$3:$A$149,0),VALUE(LEFT(A530,FIND("/",A530)-1)))</f>
        <v>-0.22</v>
      </c>
      <c r="C530" s="15">
        <f t="shared" si="16"/>
        <v>13.78</v>
      </c>
      <c r="D530" s="15">
        <f t="shared" si="17"/>
        <v>56.804000000000002</v>
      </c>
    </row>
    <row r="531" spans="1:4" ht="15" customHeight="1">
      <c r="A531" t="s">
        <v>594</v>
      </c>
      <c r="B531" s="15">
        <f>INDEX('GLB.Ts+dSST (4)'!$B$3:$M$149,MATCH(VALUE(RIGHT(A531,4)),'GLB.Ts+dSST (4)'!$A$3:$A$149,0),VALUE(LEFT(A531,FIND("/",A531)-1)))</f>
        <v>-0.23</v>
      </c>
      <c r="C531" s="15">
        <f t="shared" si="16"/>
        <v>13.77</v>
      </c>
      <c r="D531" s="15">
        <f t="shared" si="17"/>
        <v>56.786000000000001</v>
      </c>
    </row>
    <row r="532" spans="1:4" ht="15" customHeight="1">
      <c r="A532" t="s">
        <v>595</v>
      </c>
      <c r="B532" s="15">
        <f>INDEX('GLB.Ts+dSST (4)'!$B$3:$M$149,MATCH(VALUE(RIGHT(A532,4)),'GLB.Ts+dSST (4)'!$A$3:$A$149,0),VALUE(LEFT(A532,FIND("/",A532)-1)))</f>
        <v>-0.09</v>
      </c>
      <c r="C532" s="15">
        <f t="shared" si="16"/>
        <v>13.91</v>
      </c>
      <c r="D532" s="15">
        <f t="shared" si="17"/>
        <v>57.037999999999997</v>
      </c>
    </row>
    <row r="533" spans="1:4" ht="15" customHeight="1">
      <c r="A533" t="s">
        <v>596</v>
      </c>
      <c r="B533" s="15">
        <f>INDEX('GLB.Ts+dSST (4)'!$B$3:$M$149,MATCH(VALUE(RIGHT(A533,4)),'GLB.Ts+dSST (4)'!$A$3:$A$149,0),VALUE(LEFT(A533,FIND("/",A533)-1)))</f>
        <v>-0.3</v>
      </c>
      <c r="C533" s="15">
        <f t="shared" si="16"/>
        <v>13.7</v>
      </c>
      <c r="D533" s="15">
        <f t="shared" si="17"/>
        <v>56.66</v>
      </c>
    </row>
    <row r="534" spans="1:4" ht="15" customHeight="1">
      <c r="A534" t="s">
        <v>597</v>
      </c>
      <c r="B534" s="15">
        <f>INDEX('GLB.Ts+dSST (4)'!$B$3:$M$149,MATCH(VALUE(RIGHT(A534,4)),'GLB.Ts+dSST (4)'!$A$3:$A$149,0),VALUE(LEFT(A534,FIND("/",A534)-1)))</f>
        <v>-0.18</v>
      </c>
      <c r="C534" s="15">
        <f t="shared" si="16"/>
        <v>13.82</v>
      </c>
      <c r="D534" s="15">
        <f t="shared" si="17"/>
        <v>56.876000000000005</v>
      </c>
    </row>
    <row r="535" spans="1:4" ht="15" customHeight="1">
      <c r="A535" t="s">
        <v>598</v>
      </c>
      <c r="B535" s="15">
        <f>INDEX('GLB.Ts+dSST (4)'!$B$3:$M$149,MATCH(VALUE(RIGHT(A535,4)),'GLB.Ts+dSST (4)'!$A$3:$A$149,0),VALUE(LEFT(A535,FIND("/",A535)-1)))</f>
        <v>-0.26</v>
      </c>
      <c r="C535" s="15">
        <f t="shared" si="16"/>
        <v>13.74</v>
      </c>
      <c r="D535" s="15">
        <f t="shared" si="17"/>
        <v>56.731999999999999</v>
      </c>
    </row>
    <row r="536" spans="1:4" ht="15" customHeight="1">
      <c r="A536" t="s">
        <v>599</v>
      </c>
      <c r="B536" s="15">
        <f>INDEX('GLB.Ts+dSST (4)'!$B$3:$M$149,MATCH(VALUE(RIGHT(A536,4)),'GLB.Ts+dSST (4)'!$A$3:$A$149,0),VALUE(LEFT(A536,FIND("/",A536)-1)))</f>
        <v>-0.28999999999999998</v>
      </c>
      <c r="C536" s="15">
        <f t="shared" si="16"/>
        <v>13.71</v>
      </c>
      <c r="D536" s="15">
        <f t="shared" si="17"/>
        <v>56.677999999999997</v>
      </c>
    </row>
    <row r="537" spans="1:4" ht="15" customHeight="1">
      <c r="A537" t="s">
        <v>600</v>
      </c>
      <c r="B537" s="15">
        <f>INDEX('GLB.Ts+dSST (4)'!$B$3:$M$149,MATCH(VALUE(RIGHT(A537,4)),'GLB.Ts+dSST (4)'!$A$3:$A$149,0),VALUE(LEFT(A537,FIND("/",A537)-1)))</f>
        <v>-0.36</v>
      </c>
      <c r="C537" s="15">
        <f t="shared" si="16"/>
        <v>13.64</v>
      </c>
      <c r="D537" s="15">
        <f t="shared" si="17"/>
        <v>56.552000000000007</v>
      </c>
    </row>
    <row r="538" spans="1:4" ht="15" customHeight="1">
      <c r="A538" t="s">
        <v>601</v>
      </c>
      <c r="B538" s="15">
        <f>INDEX('GLB.Ts+dSST (4)'!$B$3:$M$149,MATCH(VALUE(RIGHT(A538,4)),'GLB.Ts+dSST (4)'!$A$3:$A$149,0),VALUE(LEFT(A538,FIND("/",A538)-1)))</f>
        <v>-0.32</v>
      </c>
      <c r="C538" s="15">
        <f t="shared" si="16"/>
        <v>13.68</v>
      </c>
      <c r="D538" s="15">
        <f t="shared" si="17"/>
        <v>56.623999999999995</v>
      </c>
    </row>
    <row r="539" spans="1:4" ht="15" customHeight="1">
      <c r="A539" t="s">
        <v>602</v>
      </c>
      <c r="B539" s="15">
        <f>INDEX('GLB.Ts+dSST (4)'!$B$3:$M$149,MATCH(VALUE(RIGHT(A539,4)),'GLB.Ts+dSST (4)'!$A$3:$A$149,0),VALUE(LEFT(A539,FIND("/",A539)-1)))</f>
        <v>-0.35</v>
      </c>
      <c r="C539" s="15">
        <f t="shared" si="16"/>
        <v>13.65</v>
      </c>
      <c r="D539" s="15">
        <f t="shared" si="17"/>
        <v>56.57</v>
      </c>
    </row>
    <row r="540" spans="1:4" ht="15" customHeight="1">
      <c r="A540" t="s">
        <v>603</v>
      </c>
      <c r="B540" s="15">
        <f>INDEX('GLB.Ts+dSST (4)'!$B$3:$M$149,MATCH(VALUE(RIGHT(A540,4)),'GLB.Ts+dSST (4)'!$A$3:$A$149,0),VALUE(LEFT(A540,FIND("/",A540)-1)))</f>
        <v>-0.2</v>
      </c>
      <c r="C540" s="15">
        <f t="shared" si="16"/>
        <v>13.8</v>
      </c>
      <c r="D540" s="15">
        <f t="shared" si="17"/>
        <v>56.84</v>
      </c>
    </row>
    <row r="541" spans="1:4" ht="15" customHeight="1">
      <c r="A541" t="s">
        <v>604</v>
      </c>
      <c r="B541" s="15">
        <f>INDEX('GLB.Ts+dSST (4)'!$B$3:$M$149,MATCH(VALUE(RIGHT(A541,4)),'GLB.Ts+dSST (4)'!$A$3:$A$149,0),VALUE(LEFT(A541,FIND("/",A541)-1)))</f>
        <v>-0.43</v>
      </c>
      <c r="C541" s="15">
        <f t="shared" si="16"/>
        <v>13.57</v>
      </c>
      <c r="D541" s="15">
        <f t="shared" si="17"/>
        <v>56.426000000000002</v>
      </c>
    </row>
    <row r="542" spans="1:4" ht="15" customHeight="1">
      <c r="A542" t="s">
        <v>605</v>
      </c>
      <c r="B542" s="15">
        <f>INDEX('GLB.Ts+dSST (4)'!$B$3:$M$149,MATCH(VALUE(RIGHT(A542,4)),'GLB.Ts+dSST (4)'!$A$3:$A$149,0),VALUE(LEFT(A542,FIND("/",A542)-1)))</f>
        <v>-0.38</v>
      </c>
      <c r="C542" s="15">
        <f t="shared" si="16"/>
        <v>13.62</v>
      </c>
      <c r="D542" s="15">
        <f t="shared" si="17"/>
        <v>56.515999999999998</v>
      </c>
    </row>
    <row r="543" spans="1:4" ht="15" customHeight="1">
      <c r="A543" t="s">
        <v>606</v>
      </c>
      <c r="B543" s="15">
        <f>INDEX('GLB.Ts+dSST (4)'!$B$3:$M$149,MATCH(VALUE(RIGHT(A543,4)),'GLB.Ts+dSST (4)'!$A$3:$A$149,0),VALUE(LEFT(A543,FIND("/",A543)-1)))</f>
        <v>-0.39</v>
      </c>
      <c r="C543" s="15">
        <f t="shared" si="16"/>
        <v>13.61</v>
      </c>
      <c r="D543" s="15">
        <f t="shared" si="17"/>
        <v>56.498000000000005</v>
      </c>
    </row>
    <row r="544" spans="1:4" ht="15" customHeight="1">
      <c r="A544" t="s">
        <v>607</v>
      </c>
      <c r="B544" s="15">
        <f>INDEX('GLB.Ts+dSST (4)'!$B$3:$M$149,MATCH(VALUE(RIGHT(A544,4)),'GLB.Ts+dSST (4)'!$A$3:$A$149,0),VALUE(LEFT(A544,FIND("/",A544)-1)))</f>
        <v>-0.27</v>
      </c>
      <c r="C544" s="15">
        <f t="shared" si="16"/>
        <v>13.73</v>
      </c>
      <c r="D544" s="15">
        <f t="shared" si="17"/>
        <v>56.713999999999999</v>
      </c>
    </row>
    <row r="545" spans="1:4" ht="15" customHeight="1">
      <c r="A545" t="s">
        <v>608</v>
      </c>
      <c r="B545" s="15">
        <f>INDEX('GLB.Ts+dSST (4)'!$B$3:$M$149,MATCH(VALUE(RIGHT(A545,4)),'GLB.Ts+dSST (4)'!$A$3:$A$149,0),VALUE(LEFT(A545,FIND("/",A545)-1)))</f>
        <v>-0.26</v>
      </c>
      <c r="C545" s="15">
        <f t="shared" si="16"/>
        <v>13.74</v>
      </c>
      <c r="D545" s="15">
        <f t="shared" si="17"/>
        <v>56.731999999999999</v>
      </c>
    </row>
    <row r="546" spans="1:4" ht="15" customHeight="1">
      <c r="A546" t="s">
        <v>609</v>
      </c>
      <c r="B546" s="15">
        <f>INDEX('GLB.Ts+dSST (4)'!$B$3:$M$149,MATCH(VALUE(RIGHT(A546,4)),'GLB.Ts+dSST (4)'!$A$3:$A$149,0),VALUE(LEFT(A546,FIND("/",A546)-1)))</f>
        <v>-0.28999999999999998</v>
      </c>
      <c r="C546" s="15">
        <f t="shared" si="16"/>
        <v>13.71</v>
      </c>
      <c r="D546" s="15">
        <f t="shared" si="17"/>
        <v>56.677999999999997</v>
      </c>
    </row>
    <row r="547" spans="1:4" ht="15" customHeight="1">
      <c r="A547" t="s">
        <v>610</v>
      </c>
      <c r="B547" s="15">
        <f>INDEX('GLB.Ts+dSST (4)'!$B$3:$M$149,MATCH(VALUE(RIGHT(A547,4)),'GLB.Ts+dSST (4)'!$A$3:$A$149,0),VALUE(LEFT(A547,FIND("/",A547)-1)))</f>
        <v>-0.33</v>
      </c>
      <c r="C547" s="15">
        <f t="shared" si="16"/>
        <v>13.67</v>
      </c>
      <c r="D547" s="15">
        <f t="shared" si="17"/>
        <v>56.606000000000002</v>
      </c>
    </row>
    <row r="548" spans="1:4" ht="15" customHeight="1">
      <c r="A548" t="s">
        <v>611</v>
      </c>
      <c r="B548" s="15">
        <f>INDEX('GLB.Ts+dSST (4)'!$B$3:$M$149,MATCH(VALUE(RIGHT(A548,4)),'GLB.Ts+dSST (4)'!$A$3:$A$149,0),VALUE(LEFT(A548,FIND("/",A548)-1)))</f>
        <v>-0.27</v>
      </c>
      <c r="C548" s="15">
        <f t="shared" si="16"/>
        <v>13.73</v>
      </c>
      <c r="D548" s="15">
        <f t="shared" si="17"/>
        <v>56.713999999999999</v>
      </c>
    </row>
    <row r="549" spans="1:4" ht="15" customHeight="1">
      <c r="A549" t="s">
        <v>612</v>
      </c>
      <c r="B549" s="15">
        <f>INDEX('GLB.Ts+dSST (4)'!$B$3:$M$149,MATCH(VALUE(RIGHT(A549,4)),'GLB.Ts+dSST (4)'!$A$3:$A$149,0),VALUE(LEFT(A549,FIND("/",A549)-1)))</f>
        <v>-0.21</v>
      </c>
      <c r="C549" s="15">
        <f t="shared" si="16"/>
        <v>13.79</v>
      </c>
      <c r="D549" s="15">
        <f t="shared" si="17"/>
        <v>56.822000000000003</v>
      </c>
    </row>
    <row r="550" spans="1:4" ht="15" customHeight="1">
      <c r="A550" t="s">
        <v>613</v>
      </c>
      <c r="B550" s="15">
        <f>INDEX('GLB.Ts+dSST (4)'!$B$3:$M$149,MATCH(VALUE(RIGHT(A550,4)),'GLB.Ts+dSST (4)'!$A$3:$A$149,0),VALUE(LEFT(A550,FIND("/",A550)-1)))</f>
        <v>-0.2</v>
      </c>
      <c r="C550" s="15">
        <f t="shared" si="16"/>
        <v>13.8</v>
      </c>
      <c r="D550" s="15">
        <f t="shared" si="17"/>
        <v>56.84</v>
      </c>
    </row>
    <row r="551" spans="1:4" ht="15" customHeight="1">
      <c r="A551" t="s">
        <v>614</v>
      </c>
      <c r="B551" s="15">
        <f>INDEX('GLB.Ts+dSST (4)'!$B$3:$M$149,MATCH(VALUE(RIGHT(A551,4)),'GLB.Ts+dSST (4)'!$A$3:$A$149,0),VALUE(LEFT(A551,FIND("/",A551)-1)))</f>
        <v>-0.17</v>
      </c>
      <c r="C551" s="15">
        <f t="shared" si="16"/>
        <v>13.83</v>
      </c>
      <c r="D551" s="15">
        <f t="shared" si="17"/>
        <v>56.894000000000005</v>
      </c>
    </row>
    <row r="552" spans="1:4" ht="15" customHeight="1">
      <c r="A552" t="s">
        <v>615</v>
      </c>
      <c r="B552" s="15">
        <f>INDEX('GLB.Ts+dSST (4)'!$B$3:$M$149,MATCH(VALUE(RIGHT(A552,4)),'GLB.Ts+dSST (4)'!$A$3:$A$149,0),VALUE(LEFT(A552,FIND("/",A552)-1)))</f>
        <v>0.05</v>
      </c>
      <c r="C552" s="15">
        <f t="shared" si="16"/>
        <v>14.05</v>
      </c>
      <c r="D552" s="15">
        <f t="shared" si="17"/>
        <v>57.290000000000006</v>
      </c>
    </row>
    <row r="553" spans="1:4" ht="15" customHeight="1">
      <c r="A553" t="s">
        <v>616</v>
      </c>
      <c r="B553" s="15">
        <f>INDEX('GLB.Ts+dSST (4)'!$B$3:$M$149,MATCH(VALUE(RIGHT(A553,4)),'GLB.Ts+dSST (4)'!$A$3:$A$149,0),VALUE(LEFT(A553,FIND("/",A553)-1)))</f>
        <v>0.06</v>
      </c>
      <c r="C553" s="15">
        <f t="shared" si="16"/>
        <v>14.06</v>
      </c>
      <c r="D553" s="15">
        <f t="shared" si="17"/>
        <v>57.308</v>
      </c>
    </row>
    <row r="554" spans="1:4" ht="15" customHeight="1">
      <c r="A554" t="s">
        <v>617</v>
      </c>
      <c r="B554" s="15">
        <f>INDEX('GLB.Ts+dSST (4)'!$B$3:$M$149,MATCH(VALUE(RIGHT(A554,4)),'GLB.Ts+dSST (4)'!$A$3:$A$149,0),VALUE(LEFT(A554,FIND("/",A554)-1)))</f>
        <v>0.21</v>
      </c>
      <c r="C554" s="15">
        <f t="shared" si="16"/>
        <v>14.21</v>
      </c>
      <c r="D554" s="15">
        <f t="shared" si="17"/>
        <v>57.578000000000003</v>
      </c>
    </row>
    <row r="555" spans="1:4" ht="15" customHeight="1">
      <c r="A555" t="s">
        <v>618</v>
      </c>
      <c r="B555" s="15">
        <f>INDEX('GLB.Ts+dSST (4)'!$B$3:$M$149,MATCH(VALUE(RIGHT(A555,4)),'GLB.Ts+dSST (4)'!$A$3:$A$149,0),VALUE(LEFT(A555,FIND("/",A555)-1)))</f>
        <v>0.02</v>
      </c>
      <c r="C555" s="15">
        <f t="shared" si="16"/>
        <v>14.02</v>
      </c>
      <c r="D555" s="15">
        <f t="shared" si="17"/>
        <v>57.236000000000004</v>
      </c>
    </row>
    <row r="556" spans="1:4" ht="15" customHeight="1">
      <c r="A556" t="s">
        <v>619</v>
      </c>
      <c r="B556" s="15">
        <f>INDEX('GLB.Ts+dSST (4)'!$B$3:$M$149,MATCH(VALUE(RIGHT(A556,4)),'GLB.Ts+dSST (4)'!$A$3:$A$149,0),VALUE(LEFT(A556,FIND("/",A556)-1)))</f>
        <v>0.11</v>
      </c>
      <c r="C556" s="15">
        <f t="shared" si="16"/>
        <v>14.11</v>
      </c>
      <c r="D556" s="15">
        <f t="shared" si="17"/>
        <v>57.397999999999996</v>
      </c>
    </row>
    <row r="557" spans="1:4" ht="15" customHeight="1">
      <c r="A557" t="s">
        <v>620</v>
      </c>
      <c r="B557" s="15">
        <f>INDEX('GLB.Ts+dSST (4)'!$B$3:$M$149,MATCH(VALUE(RIGHT(A557,4)),'GLB.Ts+dSST (4)'!$A$3:$A$149,0),VALUE(LEFT(A557,FIND("/",A557)-1)))</f>
        <v>-0.13</v>
      </c>
      <c r="C557" s="15">
        <f t="shared" si="16"/>
        <v>13.87</v>
      </c>
      <c r="D557" s="15">
        <f t="shared" si="17"/>
        <v>56.965999999999994</v>
      </c>
    </row>
    <row r="558" spans="1:4" ht="15" customHeight="1">
      <c r="A558" t="s">
        <v>621</v>
      </c>
      <c r="B558" s="15">
        <f>INDEX('GLB.Ts+dSST (4)'!$B$3:$M$149,MATCH(VALUE(RIGHT(A558,4)),'GLB.Ts+dSST (4)'!$A$3:$A$149,0),VALUE(LEFT(A558,FIND("/",A558)-1)))</f>
        <v>-0.23</v>
      </c>
      <c r="C558" s="15">
        <f t="shared" si="16"/>
        <v>13.77</v>
      </c>
      <c r="D558" s="15">
        <f t="shared" si="17"/>
        <v>56.786000000000001</v>
      </c>
    </row>
    <row r="559" spans="1:4" ht="15" customHeight="1">
      <c r="A559" t="s">
        <v>622</v>
      </c>
      <c r="B559" s="15">
        <f>INDEX('GLB.Ts+dSST (4)'!$B$3:$M$149,MATCH(VALUE(RIGHT(A559,4)),'GLB.Ts+dSST (4)'!$A$3:$A$149,0),VALUE(LEFT(A559,FIND("/",A559)-1)))</f>
        <v>-0.26</v>
      </c>
      <c r="C559" s="15">
        <f t="shared" si="16"/>
        <v>13.74</v>
      </c>
      <c r="D559" s="15">
        <f t="shared" si="17"/>
        <v>56.731999999999999</v>
      </c>
    </row>
    <row r="560" spans="1:4" ht="15" customHeight="1">
      <c r="A560" t="s">
        <v>623</v>
      </c>
      <c r="B560" s="15">
        <f>INDEX('GLB.Ts+dSST (4)'!$B$3:$M$149,MATCH(VALUE(RIGHT(A560,4)),'GLB.Ts+dSST (4)'!$A$3:$A$149,0),VALUE(LEFT(A560,FIND("/",A560)-1)))</f>
        <v>-0.27</v>
      </c>
      <c r="C560" s="15">
        <f t="shared" si="16"/>
        <v>13.73</v>
      </c>
      <c r="D560" s="15">
        <f t="shared" si="17"/>
        <v>56.713999999999999</v>
      </c>
    </row>
    <row r="561" spans="1:4" ht="15" customHeight="1">
      <c r="A561" t="s">
        <v>624</v>
      </c>
      <c r="B561" s="15">
        <f>INDEX('GLB.Ts+dSST (4)'!$B$3:$M$149,MATCH(VALUE(RIGHT(A561,4)),'GLB.Ts+dSST (4)'!$A$3:$A$149,0),VALUE(LEFT(A561,FIND("/",A561)-1)))</f>
        <v>-0.13</v>
      </c>
      <c r="C561" s="15">
        <f t="shared" si="16"/>
        <v>13.87</v>
      </c>
      <c r="D561" s="15">
        <f t="shared" si="17"/>
        <v>56.965999999999994</v>
      </c>
    </row>
    <row r="562" spans="1:4" ht="15" customHeight="1">
      <c r="A562" t="s">
        <v>625</v>
      </c>
      <c r="B562" s="15">
        <f>INDEX('GLB.Ts+dSST (4)'!$B$3:$M$149,MATCH(VALUE(RIGHT(A562,4)),'GLB.Ts+dSST (4)'!$A$3:$A$149,0),VALUE(LEFT(A562,FIND("/",A562)-1)))</f>
        <v>-0.14000000000000001</v>
      </c>
      <c r="C562" s="15">
        <f t="shared" si="16"/>
        <v>13.86</v>
      </c>
      <c r="D562" s="15">
        <f t="shared" si="17"/>
        <v>56.948</v>
      </c>
    </row>
    <row r="563" spans="1:4" ht="15" customHeight="1">
      <c r="A563" t="s">
        <v>626</v>
      </c>
      <c r="B563" s="15">
        <f>INDEX('GLB.Ts+dSST (4)'!$B$3:$M$149,MATCH(VALUE(RIGHT(A563,4)),'GLB.Ts+dSST (4)'!$A$3:$A$149,0),VALUE(LEFT(A563,FIND("/",A563)-1)))</f>
        <v>-0.11</v>
      </c>
      <c r="C563" s="15">
        <f t="shared" si="16"/>
        <v>13.89</v>
      </c>
      <c r="D563" s="15">
        <f t="shared" si="17"/>
        <v>57.002000000000002</v>
      </c>
    </row>
    <row r="564" spans="1:4" ht="15" customHeight="1">
      <c r="A564" t="s">
        <v>627</v>
      </c>
      <c r="B564" s="15">
        <f>INDEX('GLB.Ts+dSST (4)'!$B$3:$M$149,MATCH(VALUE(RIGHT(A564,4)),'GLB.Ts+dSST (4)'!$A$3:$A$149,0),VALUE(LEFT(A564,FIND("/",A564)-1)))</f>
        <v>-7.0000000000000007E-2</v>
      </c>
      <c r="C564" s="15">
        <f t="shared" si="16"/>
        <v>13.93</v>
      </c>
      <c r="D564" s="15">
        <f t="shared" si="17"/>
        <v>57.073999999999998</v>
      </c>
    </row>
    <row r="565" spans="1:4" ht="15" customHeight="1">
      <c r="A565" t="s">
        <v>628</v>
      </c>
      <c r="B565" s="15">
        <f>INDEX('GLB.Ts+dSST (4)'!$B$3:$M$149,MATCH(VALUE(RIGHT(A565,4)),'GLB.Ts+dSST (4)'!$A$3:$A$149,0),VALUE(LEFT(A565,FIND("/",A565)-1)))</f>
        <v>-0.3</v>
      </c>
      <c r="C565" s="15">
        <f t="shared" si="16"/>
        <v>13.7</v>
      </c>
      <c r="D565" s="15">
        <f t="shared" si="17"/>
        <v>56.66</v>
      </c>
    </row>
    <row r="566" spans="1:4" ht="15" customHeight="1">
      <c r="A566" t="s">
        <v>629</v>
      </c>
      <c r="B566" s="15">
        <f>INDEX('GLB.Ts+dSST (4)'!$B$3:$M$149,MATCH(VALUE(RIGHT(A566,4)),'GLB.Ts+dSST (4)'!$A$3:$A$149,0),VALUE(LEFT(A566,FIND("/",A566)-1)))</f>
        <v>-0.27</v>
      </c>
      <c r="C566" s="15">
        <f t="shared" si="16"/>
        <v>13.73</v>
      </c>
      <c r="D566" s="15">
        <f t="shared" si="17"/>
        <v>56.713999999999999</v>
      </c>
    </row>
    <row r="567" spans="1:4" ht="15" customHeight="1">
      <c r="A567" t="s">
        <v>630</v>
      </c>
      <c r="B567" s="15">
        <f>INDEX('GLB.Ts+dSST (4)'!$B$3:$M$149,MATCH(VALUE(RIGHT(A567,4)),'GLB.Ts+dSST (4)'!$A$3:$A$149,0),VALUE(LEFT(A567,FIND("/",A567)-1)))</f>
        <v>-0.18</v>
      </c>
      <c r="C567" s="15">
        <f t="shared" si="16"/>
        <v>13.82</v>
      </c>
      <c r="D567" s="15">
        <f t="shared" si="17"/>
        <v>56.876000000000005</v>
      </c>
    </row>
    <row r="568" spans="1:4" ht="15" customHeight="1">
      <c r="A568" t="s">
        <v>631</v>
      </c>
      <c r="B568" s="15">
        <f>INDEX('GLB.Ts+dSST (4)'!$B$3:$M$149,MATCH(VALUE(RIGHT(A568,4)),'GLB.Ts+dSST (4)'!$A$3:$A$149,0),VALUE(LEFT(A568,FIND("/",A568)-1)))</f>
        <v>-0.39</v>
      </c>
      <c r="C568" s="15">
        <f t="shared" si="16"/>
        <v>13.61</v>
      </c>
      <c r="D568" s="15">
        <f t="shared" si="17"/>
        <v>56.498000000000005</v>
      </c>
    </row>
    <row r="569" spans="1:4" ht="15" customHeight="1">
      <c r="A569" t="s">
        <v>632</v>
      </c>
      <c r="B569" s="15">
        <f>INDEX('GLB.Ts+dSST (4)'!$B$3:$M$149,MATCH(VALUE(RIGHT(A569,4)),'GLB.Ts+dSST (4)'!$A$3:$A$149,0),VALUE(LEFT(A569,FIND("/",A569)-1)))</f>
        <v>-0.31</v>
      </c>
      <c r="C569" s="15">
        <f t="shared" si="16"/>
        <v>13.69</v>
      </c>
      <c r="D569" s="15">
        <f t="shared" si="17"/>
        <v>56.641999999999996</v>
      </c>
    </row>
    <row r="570" spans="1:4" ht="15" customHeight="1">
      <c r="A570" t="s">
        <v>633</v>
      </c>
      <c r="B570" s="15">
        <f>INDEX('GLB.Ts+dSST (4)'!$B$3:$M$149,MATCH(VALUE(RIGHT(A570,4)),'GLB.Ts+dSST (4)'!$A$3:$A$149,0),VALUE(LEFT(A570,FIND("/",A570)-1)))</f>
        <v>-0.26</v>
      </c>
      <c r="C570" s="15">
        <f t="shared" si="16"/>
        <v>13.74</v>
      </c>
      <c r="D570" s="15">
        <f t="shared" si="17"/>
        <v>56.731999999999999</v>
      </c>
    </row>
    <row r="571" spans="1:4" ht="15" customHeight="1">
      <c r="A571" t="s">
        <v>634</v>
      </c>
      <c r="B571" s="15">
        <f>INDEX('GLB.Ts+dSST (4)'!$B$3:$M$149,MATCH(VALUE(RIGHT(A571,4)),'GLB.Ts+dSST (4)'!$A$3:$A$149,0),VALUE(LEFT(A571,FIND("/",A571)-1)))</f>
        <v>-0.28000000000000003</v>
      </c>
      <c r="C571" s="15">
        <f t="shared" si="16"/>
        <v>13.72</v>
      </c>
      <c r="D571" s="15">
        <f t="shared" si="17"/>
        <v>56.695999999999998</v>
      </c>
    </row>
    <row r="572" spans="1:4" ht="15" customHeight="1">
      <c r="A572" t="s">
        <v>635</v>
      </c>
      <c r="B572" s="15">
        <f>INDEX('GLB.Ts+dSST (4)'!$B$3:$M$149,MATCH(VALUE(RIGHT(A572,4)),'GLB.Ts+dSST (4)'!$A$3:$A$149,0),VALUE(LEFT(A572,FIND("/",A572)-1)))</f>
        <v>-0.19</v>
      </c>
      <c r="C572" s="15">
        <f t="shared" si="16"/>
        <v>13.81</v>
      </c>
      <c r="D572" s="15">
        <f t="shared" si="17"/>
        <v>56.858000000000004</v>
      </c>
    </row>
    <row r="573" spans="1:4" ht="15" customHeight="1">
      <c r="A573" t="s">
        <v>636</v>
      </c>
      <c r="B573" s="15">
        <f>INDEX('GLB.Ts+dSST (4)'!$B$3:$M$149,MATCH(VALUE(RIGHT(A573,4)),'GLB.Ts+dSST (4)'!$A$3:$A$149,0),VALUE(LEFT(A573,FIND("/",A573)-1)))</f>
        <v>-0.24</v>
      </c>
      <c r="C573" s="15">
        <f t="shared" si="16"/>
        <v>13.76</v>
      </c>
      <c r="D573" s="15">
        <f t="shared" si="17"/>
        <v>56.768000000000001</v>
      </c>
    </row>
    <row r="574" spans="1:4" ht="15" customHeight="1">
      <c r="A574" t="s">
        <v>637</v>
      </c>
      <c r="B574" s="15">
        <f>INDEX('GLB.Ts+dSST (4)'!$B$3:$M$149,MATCH(VALUE(RIGHT(A574,4)),'GLB.Ts+dSST (4)'!$A$3:$A$149,0),VALUE(LEFT(A574,FIND("/",A574)-1)))</f>
        <v>-0.12</v>
      </c>
      <c r="C574" s="15">
        <f t="shared" si="16"/>
        <v>13.88</v>
      </c>
      <c r="D574" s="15">
        <f t="shared" si="17"/>
        <v>56.984000000000002</v>
      </c>
    </row>
    <row r="575" spans="1:4" ht="15" customHeight="1">
      <c r="A575" t="s">
        <v>638</v>
      </c>
      <c r="B575" s="15">
        <f>INDEX('GLB.Ts+dSST (4)'!$B$3:$M$149,MATCH(VALUE(RIGHT(A575,4)),'GLB.Ts+dSST (4)'!$A$3:$A$149,0),VALUE(LEFT(A575,FIND("/",A575)-1)))</f>
        <v>-0.01</v>
      </c>
      <c r="C575" s="15">
        <f t="shared" si="16"/>
        <v>13.99</v>
      </c>
      <c r="D575" s="15">
        <f t="shared" si="17"/>
        <v>57.182000000000002</v>
      </c>
    </row>
    <row r="576" spans="1:4" ht="15" customHeight="1">
      <c r="A576" t="s">
        <v>639</v>
      </c>
      <c r="B576" s="15">
        <f>INDEX('GLB.Ts+dSST (4)'!$B$3:$M$149,MATCH(VALUE(RIGHT(A576,4)),'GLB.Ts+dSST (4)'!$A$3:$A$149,0),VALUE(LEFT(A576,FIND("/",A576)-1)))</f>
        <v>-0.06</v>
      </c>
      <c r="C576" s="15">
        <f t="shared" si="16"/>
        <v>13.94</v>
      </c>
      <c r="D576" s="15">
        <f t="shared" si="17"/>
        <v>57.091999999999999</v>
      </c>
    </row>
    <row r="577" spans="1:4" ht="15" customHeight="1">
      <c r="A577" t="s">
        <v>640</v>
      </c>
      <c r="B577" s="15">
        <f>INDEX('GLB.Ts+dSST (4)'!$B$3:$M$149,MATCH(VALUE(RIGHT(A577,4)),'GLB.Ts+dSST (4)'!$A$3:$A$149,0),VALUE(LEFT(A577,FIND("/",A577)-1)))</f>
        <v>-0.33</v>
      </c>
      <c r="C577" s="15">
        <f t="shared" si="16"/>
        <v>13.67</v>
      </c>
      <c r="D577" s="15">
        <f t="shared" si="17"/>
        <v>56.606000000000002</v>
      </c>
    </row>
    <row r="578" spans="1:4" ht="15" customHeight="1">
      <c r="A578" t="s">
        <v>641</v>
      </c>
      <c r="B578" s="15">
        <f>INDEX('GLB.Ts+dSST (4)'!$B$3:$M$149,MATCH(VALUE(RIGHT(A578,4)),'GLB.Ts+dSST (4)'!$A$3:$A$149,0),VALUE(LEFT(A578,FIND("/",A578)-1)))</f>
        <v>-0.02</v>
      </c>
      <c r="C578" s="15">
        <f t="shared" ref="C578:C641" si="18">B578+14</f>
        <v>13.98</v>
      </c>
      <c r="D578" s="15">
        <f t="shared" ref="D578:D641" si="19">C578*(9/5)+32</f>
        <v>57.164000000000001</v>
      </c>
    </row>
    <row r="579" spans="1:4" ht="15" customHeight="1">
      <c r="A579" t="s">
        <v>642</v>
      </c>
      <c r="B579" s="15">
        <f>INDEX('GLB.Ts+dSST (4)'!$B$3:$M$149,MATCH(VALUE(RIGHT(A579,4)),'GLB.Ts+dSST (4)'!$A$3:$A$149,0),VALUE(LEFT(A579,FIND("/",A579)-1)))</f>
        <v>-0.09</v>
      </c>
      <c r="C579" s="15">
        <f t="shared" si="18"/>
        <v>13.91</v>
      </c>
      <c r="D579" s="15">
        <f t="shared" si="19"/>
        <v>57.037999999999997</v>
      </c>
    </row>
    <row r="580" spans="1:4" ht="15" customHeight="1">
      <c r="A580" t="s">
        <v>643</v>
      </c>
      <c r="B580" s="15">
        <f>INDEX('GLB.Ts+dSST (4)'!$B$3:$M$149,MATCH(VALUE(RIGHT(A580,4)),'GLB.Ts+dSST (4)'!$A$3:$A$149,0),VALUE(LEFT(A580,FIND("/",A580)-1)))</f>
        <v>-0.25</v>
      </c>
      <c r="C580" s="15">
        <f t="shared" si="18"/>
        <v>13.75</v>
      </c>
      <c r="D580" s="15">
        <f t="shared" si="19"/>
        <v>56.75</v>
      </c>
    </row>
    <row r="581" spans="1:4" ht="15" customHeight="1">
      <c r="A581" t="s">
        <v>644</v>
      </c>
      <c r="B581" s="15">
        <f>INDEX('GLB.Ts+dSST (4)'!$B$3:$M$149,MATCH(VALUE(RIGHT(A581,4)),'GLB.Ts+dSST (4)'!$A$3:$A$149,0),VALUE(LEFT(A581,FIND("/",A581)-1)))</f>
        <v>-0.28999999999999998</v>
      </c>
      <c r="C581" s="15">
        <f t="shared" si="18"/>
        <v>13.71</v>
      </c>
      <c r="D581" s="15">
        <f t="shared" si="19"/>
        <v>56.677999999999997</v>
      </c>
    </row>
    <row r="582" spans="1:4" ht="15" customHeight="1">
      <c r="A582" t="s">
        <v>645</v>
      </c>
      <c r="B582" s="15">
        <f>INDEX('GLB.Ts+dSST (4)'!$B$3:$M$149,MATCH(VALUE(RIGHT(A582,4)),'GLB.Ts+dSST (4)'!$A$3:$A$149,0),VALUE(LEFT(A582,FIND("/",A582)-1)))</f>
        <v>-0.3</v>
      </c>
      <c r="C582" s="15">
        <f t="shared" si="18"/>
        <v>13.7</v>
      </c>
      <c r="D582" s="15">
        <f t="shared" si="19"/>
        <v>56.66</v>
      </c>
    </row>
    <row r="583" spans="1:4" ht="15" customHeight="1">
      <c r="A583" t="s">
        <v>646</v>
      </c>
      <c r="B583" s="15">
        <f>INDEX('GLB.Ts+dSST (4)'!$B$3:$M$149,MATCH(VALUE(RIGHT(A583,4)),'GLB.Ts+dSST (4)'!$A$3:$A$149,0),VALUE(LEFT(A583,FIND("/",A583)-1)))</f>
        <v>-0.39</v>
      </c>
      <c r="C583" s="15">
        <f t="shared" si="18"/>
        <v>13.61</v>
      </c>
      <c r="D583" s="15">
        <f t="shared" si="19"/>
        <v>56.498000000000005</v>
      </c>
    </row>
    <row r="584" spans="1:4" ht="15" customHeight="1">
      <c r="A584" t="s">
        <v>647</v>
      </c>
      <c r="B584" s="15">
        <f>INDEX('GLB.Ts+dSST (4)'!$B$3:$M$149,MATCH(VALUE(RIGHT(A584,4)),'GLB.Ts+dSST (4)'!$A$3:$A$149,0),VALUE(LEFT(A584,FIND("/",A584)-1)))</f>
        <v>-0.2</v>
      </c>
      <c r="C584" s="15">
        <f t="shared" si="18"/>
        <v>13.8</v>
      </c>
      <c r="D584" s="15">
        <f t="shared" si="19"/>
        <v>56.84</v>
      </c>
    </row>
    <row r="585" spans="1:4" ht="15" customHeight="1">
      <c r="A585" t="s">
        <v>648</v>
      </c>
      <c r="B585" s="15">
        <f>INDEX('GLB.Ts+dSST (4)'!$B$3:$M$149,MATCH(VALUE(RIGHT(A585,4)),'GLB.Ts+dSST (4)'!$A$3:$A$149,0),VALUE(LEFT(A585,FIND("/",A585)-1)))</f>
        <v>-0.22</v>
      </c>
      <c r="C585" s="15">
        <f t="shared" si="18"/>
        <v>13.78</v>
      </c>
      <c r="D585" s="15">
        <f t="shared" si="19"/>
        <v>56.804000000000002</v>
      </c>
    </row>
    <row r="586" spans="1:4" ht="15" customHeight="1">
      <c r="A586" t="s">
        <v>649</v>
      </c>
      <c r="B586" s="15">
        <f>INDEX('GLB.Ts+dSST (4)'!$B$3:$M$149,MATCH(VALUE(RIGHT(A586,4)),'GLB.Ts+dSST (4)'!$A$3:$A$149,0),VALUE(LEFT(A586,FIND("/",A586)-1)))</f>
        <v>-0.21</v>
      </c>
      <c r="C586" s="15">
        <f t="shared" si="18"/>
        <v>13.79</v>
      </c>
      <c r="D586" s="15">
        <f t="shared" si="19"/>
        <v>56.822000000000003</v>
      </c>
    </row>
    <row r="587" spans="1:4" ht="15" customHeight="1">
      <c r="A587" t="s">
        <v>650</v>
      </c>
      <c r="B587" s="15">
        <f>INDEX('GLB.Ts+dSST (4)'!$B$3:$M$149,MATCH(VALUE(RIGHT(A587,4)),'GLB.Ts+dSST (4)'!$A$3:$A$149,0),VALUE(LEFT(A587,FIND("/",A587)-1)))</f>
        <v>-0.19</v>
      </c>
      <c r="C587" s="15">
        <f t="shared" si="18"/>
        <v>13.81</v>
      </c>
      <c r="D587" s="15">
        <f t="shared" si="19"/>
        <v>56.858000000000004</v>
      </c>
    </row>
    <row r="588" spans="1:4" ht="15" customHeight="1">
      <c r="A588" t="s">
        <v>651</v>
      </c>
      <c r="B588" s="15">
        <f>INDEX('GLB.Ts+dSST (4)'!$B$3:$M$149,MATCH(VALUE(RIGHT(A588,4)),'GLB.Ts+dSST (4)'!$A$3:$A$149,0),VALUE(LEFT(A588,FIND("/",A588)-1)))</f>
        <v>-0.1</v>
      </c>
      <c r="C588" s="15">
        <f t="shared" si="18"/>
        <v>13.9</v>
      </c>
      <c r="D588" s="15">
        <f t="shared" si="19"/>
        <v>57.019999999999996</v>
      </c>
    </row>
    <row r="589" spans="1:4" ht="15" customHeight="1">
      <c r="A589" t="s">
        <v>652</v>
      </c>
      <c r="B589" s="15">
        <f>INDEX('GLB.Ts+dSST (4)'!$B$3:$M$149,MATCH(VALUE(RIGHT(A589,4)),'GLB.Ts+dSST (4)'!$A$3:$A$149,0),VALUE(LEFT(A589,FIND("/",A589)-1)))</f>
        <v>-0.16</v>
      </c>
      <c r="C589" s="15">
        <f t="shared" si="18"/>
        <v>13.84</v>
      </c>
      <c r="D589" s="15">
        <f t="shared" si="19"/>
        <v>56.911999999999999</v>
      </c>
    </row>
    <row r="590" spans="1:4" ht="15" customHeight="1">
      <c r="A590" t="s">
        <v>653</v>
      </c>
      <c r="B590" s="15">
        <f>INDEX('GLB.Ts+dSST (4)'!$B$3:$M$149,MATCH(VALUE(RIGHT(A590,4)),'GLB.Ts+dSST (4)'!$A$3:$A$149,0),VALUE(LEFT(A590,FIND("/",A590)-1)))</f>
        <v>-0.45</v>
      </c>
      <c r="C590" s="15">
        <f t="shared" si="18"/>
        <v>13.55</v>
      </c>
      <c r="D590" s="15">
        <f t="shared" si="19"/>
        <v>56.39</v>
      </c>
    </row>
    <row r="591" spans="1:4" ht="15" customHeight="1">
      <c r="A591" t="s">
        <v>654</v>
      </c>
      <c r="B591" s="15">
        <f>INDEX('GLB.Ts+dSST (4)'!$B$3:$M$149,MATCH(VALUE(RIGHT(A591,4)),'GLB.Ts+dSST (4)'!$A$3:$A$149,0),VALUE(LEFT(A591,FIND("/",A591)-1)))</f>
        <v>-0.57999999999999996</v>
      </c>
      <c r="C591" s="15">
        <f t="shared" si="18"/>
        <v>13.42</v>
      </c>
      <c r="D591" s="15">
        <f t="shared" si="19"/>
        <v>56.155999999999999</v>
      </c>
    </row>
    <row r="592" spans="1:4" ht="15" customHeight="1">
      <c r="A592" t="s">
        <v>655</v>
      </c>
      <c r="B592" s="15">
        <f>INDEX('GLB.Ts+dSST (4)'!$B$3:$M$149,MATCH(VALUE(RIGHT(A592,4)),'GLB.Ts+dSST (4)'!$A$3:$A$149,0),VALUE(LEFT(A592,FIND("/",A592)-1)))</f>
        <v>-0.33</v>
      </c>
      <c r="C592" s="15">
        <f t="shared" si="18"/>
        <v>13.67</v>
      </c>
      <c r="D592" s="15">
        <f t="shared" si="19"/>
        <v>56.606000000000002</v>
      </c>
    </row>
    <row r="593" spans="1:4" ht="15" customHeight="1">
      <c r="A593" t="s">
        <v>656</v>
      </c>
      <c r="B593" s="15">
        <f>INDEX('GLB.Ts+dSST (4)'!$B$3:$M$149,MATCH(VALUE(RIGHT(A593,4)),'GLB.Ts+dSST (4)'!$A$3:$A$149,0),VALUE(LEFT(A593,FIND("/",A593)-1)))</f>
        <v>-0.42</v>
      </c>
      <c r="C593" s="15">
        <f t="shared" si="18"/>
        <v>13.58</v>
      </c>
      <c r="D593" s="15">
        <f t="shared" si="19"/>
        <v>56.444000000000003</v>
      </c>
    </row>
    <row r="594" spans="1:4" ht="15" customHeight="1">
      <c r="A594" t="s">
        <v>657</v>
      </c>
      <c r="B594" s="15">
        <f>INDEX('GLB.Ts+dSST (4)'!$B$3:$M$149,MATCH(VALUE(RIGHT(A594,4)),'GLB.Ts+dSST (4)'!$A$3:$A$149,0),VALUE(LEFT(A594,FIND("/",A594)-1)))</f>
        <v>-0.38</v>
      </c>
      <c r="C594" s="15">
        <f t="shared" si="18"/>
        <v>13.62</v>
      </c>
      <c r="D594" s="15">
        <f t="shared" si="19"/>
        <v>56.515999999999998</v>
      </c>
    </row>
    <row r="595" spans="1:4" ht="15" customHeight="1">
      <c r="A595" t="s">
        <v>658</v>
      </c>
      <c r="B595" s="15">
        <f>INDEX('GLB.Ts+dSST (4)'!$B$3:$M$149,MATCH(VALUE(RIGHT(A595,4)),'GLB.Ts+dSST (4)'!$A$3:$A$149,0),VALUE(LEFT(A595,FIND("/",A595)-1)))</f>
        <v>-0.43</v>
      </c>
      <c r="C595" s="15">
        <f t="shared" si="18"/>
        <v>13.57</v>
      </c>
      <c r="D595" s="15">
        <f t="shared" si="19"/>
        <v>56.426000000000002</v>
      </c>
    </row>
    <row r="596" spans="1:4" ht="15" customHeight="1">
      <c r="A596" t="s">
        <v>659</v>
      </c>
      <c r="B596" s="15">
        <f>INDEX('GLB.Ts+dSST (4)'!$B$3:$M$149,MATCH(VALUE(RIGHT(A596,4)),'GLB.Ts+dSST (4)'!$A$3:$A$149,0),VALUE(LEFT(A596,FIND("/",A596)-1)))</f>
        <v>-0.37</v>
      </c>
      <c r="C596" s="15">
        <f t="shared" si="18"/>
        <v>13.63</v>
      </c>
      <c r="D596" s="15">
        <f t="shared" si="19"/>
        <v>56.534000000000006</v>
      </c>
    </row>
    <row r="597" spans="1:4" ht="15" customHeight="1">
      <c r="A597" t="s">
        <v>660</v>
      </c>
      <c r="B597" s="15">
        <f>INDEX('GLB.Ts+dSST (4)'!$B$3:$M$149,MATCH(VALUE(RIGHT(A597,4)),'GLB.Ts+dSST (4)'!$A$3:$A$149,0),VALUE(LEFT(A597,FIND("/",A597)-1)))</f>
        <v>-0.33</v>
      </c>
      <c r="C597" s="15">
        <f t="shared" si="18"/>
        <v>13.67</v>
      </c>
      <c r="D597" s="15">
        <f t="shared" si="19"/>
        <v>56.606000000000002</v>
      </c>
    </row>
    <row r="598" spans="1:4" ht="15" customHeight="1">
      <c r="A598" t="s">
        <v>661</v>
      </c>
      <c r="B598" s="15">
        <f>INDEX('GLB.Ts+dSST (4)'!$B$3:$M$149,MATCH(VALUE(RIGHT(A598,4)),'GLB.Ts+dSST (4)'!$A$3:$A$149,0),VALUE(LEFT(A598,FIND("/",A598)-1)))</f>
        <v>-0.25</v>
      </c>
      <c r="C598" s="15">
        <f t="shared" si="18"/>
        <v>13.75</v>
      </c>
      <c r="D598" s="15">
        <f t="shared" si="19"/>
        <v>56.75</v>
      </c>
    </row>
    <row r="599" spans="1:4" ht="15" customHeight="1">
      <c r="A599" t="s">
        <v>662</v>
      </c>
      <c r="B599" s="15">
        <f>INDEX('GLB.Ts+dSST (4)'!$B$3:$M$149,MATCH(VALUE(RIGHT(A599,4)),'GLB.Ts+dSST (4)'!$A$3:$A$149,0),VALUE(LEFT(A599,FIND("/",A599)-1)))</f>
        <v>-0.14000000000000001</v>
      </c>
      <c r="C599" s="15">
        <f t="shared" si="18"/>
        <v>13.86</v>
      </c>
      <c r="D599" s="15">
        <f t="shared" si="19"/>
        <v>56.948</v>
      </c>
    </row>
    <row r="600" spans="1:4" ht="15" customHeight="1">
      <c r="A600" t="s">
        <v>663</v>
      </c>
      <c r="B600" s="15">
        <f>INDEX('GLB.Ts+dSST (4)'!$B$3:$M$149,MATCH(VALUE(RIGHT(A600,4)),'GLB.Ts+dSST (4)'!$A$3:$A$149,0),VALUE(LEFT(A600,FIND("/",A600)-1)))</f>
        <v>-0.12</v>
      </c>
      <c r="C600" s="15">
        <f t="shared" si="18"/>
        <v>13.88</v>
      </c>
      <c r="D600" s="15">
        <f t="shared" si="19"/>
        <v>56.984000000000002</v>
      </c>
    </row>
    <row r="601" spans="1:4" ht="15" customHeight="1">
      <c r="A601" t="s">
        <v>664</v>
      </c>
      <c r="B601" s="15">
        <f>INDEX('GLB.Ts+dSST (4)'!$B$3:$M$149,MATCH(VALUE(RIGHT(A601,4)),'GLB.Ts+dSST (4)'!$A$3:$A$149,0),VALUE(LEFT(A601,FIND("/",A601)-1)))</f>
        <v>-0.55000000000000004</v>
      </c>
      <c r="C601" s="15">
        <f t="shared" si="18"/>
        <v>13.45</v>
      </c>
      <c r="D601" s="15">
        <f t="shared" si="19"/>
        <v>56.21</v>
      </c>
    </row>
    <row r="602" spans="1:4" ht="15" customHeight="1">
      <c r="A602" t="s">
        <v>665</v>
      </c>
      <c r="B602" s="15">
        <f>INDEX('GLB.Ts+dSST (4)'!$B$3:$M$149,MATCH(VALUE(RIGHT(A602,4)),'GLB.Ts+dSST (4)'!$A$3:$A$149,0),VALUE(LEFT(A602,FIND("/",A602)-1)))</f>
        <v>-0.31</v>
      </c>
      <c r="C602" s="15">
        <f t="shared" si="18"/>
        <v>13.69</v>
      </c>
      <c r="D602" s="15">
        <f t="shared" si="19"/>
        <v>56.641999999999996</v>
      </c>
    </row>
    <row r="603" spans="1:4" ht="15" customHeight="1">
      <c r="A603" t="s">
        <v>666</v>
      </c>
      <c r="B603" s="15">
        <f>INDEX('GLB.Ts+dSST (4)'!$B$3:$M$149,MATCH(VALUE(RIGHT(A603,4)),'GLB.Ts+dSST (4)'!$A$3:$A$149,0),VALUE(LEFT(A603,FIND("/",A603)-1)))</f>
        <v>-0.27</v>
      </c>
      <c r="C603" s="15">
        <f t="shared" si="18"/>
        <v>13.73</v>
      </c>
      <c r="D603" s="15">
        <f t="shared" si="19"/>
        <v>56.713999999999999</v>
      </c>
    </row>
    <row r="604" spans="1:4" ht="15" customHeight="1">
      <c r="A604" t="s">
        <v>667</v>
      </c>
      <c r="B604" s="15">
        <f>INDEX('GLB.Ts+dSST (4)'!$B$3:$M$149,MATCH(VALUE(RIGHT(A604,4)),'GLB.Ts+dSST (4)'!$A$3:$A$149,0),VALUE(LEFT(A604,FIND("/",A604)-1)))</f>
        <v>-0.11</v>
      </c>
      <c r="C604" s="15">
        <f t="shared" si="18"/>
        <v>13.89</v>
      </c>
      <c r="D604" s="15">
        <f t="shared" si="19"/>
        <v>57.002000000000002</v>
      </c>
    </row>
    <row r="605" spans="1:4" ht="15" customHeight="1">
      <c r="A605" t="s">
        <v>668</v>
      </c>
      <c r="B605" s="15">
        <f>INDEX('GLB.Ts+dSST (4)'!$B$3:$M$149,MATCH(VALUE(RIGHT(A605,4)),'GLB.Ts+dSST (4)'!$A$3:$A$149,0),VALUE(LEFT(A605,FIND("/",A605)-1)))</f>
        <v>-0.25</v>
      </c>
      <c r="C605" s="15">
        <f t="shared" si="18"/>
        <v>13.75</v>
      </c>
      <c r="D605" s="15">
        <f t="shared" si="19"/>
        <v>56.75</v>
      </c>
    </row>
    <row r="606" spans="1:4" ht="15" customHeight="1">
      <c r="A606" t="s">
        <v>669</v>
      </c>
      <c r="B606" s="15">
        <f>INDEX('GLB.Ts+dSST (4)'!$B$3:$M$149,MATCH(VALUE(RIGHT(A606,4)),'GLB.Ts+dSST (4)'!$A$3:$A$149,0),VALUE(LEFT(A606,FIND("/",A606)-1)))</f>
        <v>-0.24</v>
      </c>
      <c r="C606" s="15">
        <f t="shared" si="18"/>
        <v>13.76</v>
      </c>
      <c r="D606" s="15">
        <f t="shared" si="19"/>
        <v>56.768000000000001</v>
      </c>
    </row>
    <row r="607" spans="1:4" ht="15" customHeight="1">
      <c r="A607" t="s">
        <v>670</v>
      </c>
      <c r="B607" s="15">
        <f>INDEX('GLB.Ts+dSST (4)'!$B$3:$M$149,MATCH(VALUE(RIGHT(A607,4)),'GLB.Ts+dSST (4)'!$A$3:$A$149,0),VALUE(LEFT(A607,FIND("/",A607)-1)))</f>
        <v>-0.22</v>
      </c>
      <c r="C607" s="15">
        <f t="shared" si="18"/>
        <v>13.78</v>
      </c>
      <c r="D607" s="15">
        <f t="shared" si="19"/>
        <v>56.804000000000002</v>
      </c>
    </row>
    <row r="608" spans="1:4" ht="15" customHeight="1">
      <c r="A608" t="s">
        <v>671</v>
      </c>
      <c r="B608" s="15">
        <f>INDEX('GLB.Ts+dSST (4)'!$B$3:$M$149,MATCH(VALUE(RIGHT(A608,4)),'GLB.Ts+dSST (4)'!$A$3:$A$149,0),VALUE(LEFT(A608,FIND("/",A608)-1)))</f>
        <v>-0.21</v>
      </c>
      <c r="C608" s="15">
        <f t="shared" si="18"/>
        <v>13.79</v>
      </c>
      <c r="D608" s="15">
        <f t="shared" si="19"/>
        <v>56.822000000000003</v>
      </c>
    </row>
    <row r="609" spans="1:4" ht="15" customHeight="1">
      <c r="A609" t="s">
        <v>672</v>
      </c>
      <c r="B609" s="15">
        <f>INDEX('GLB.Ts+dSST (4)'!$B$3:$M$149,MATCH(VALUE(RIGHT(A609,4)),'GLB.Ts+dSST (4)'!$A$3:$A$149,0),VALUE(LEFT(A609,FIND("/",A609)-1)))</f>
        <v>-0.15</v>
      </c>
      <c r="C609" s="15">
        <f t="shared" si="18"/>
        <v>13.85</v>
      </c>
      <c r="D609" s="15">
        <f t="shared" si="19"/>
        <v>56.93</v>
      </c>
    </row>
    <row r="610" spans="1:4" ht="15" customHeight="1">
      <c r="A610" t="s">
        <v>673</v>
      </c>
      <c r="B610" s="15">
        <f>INDEX('GLB.Ts+dSST (4)'!$B$3:$M$149,MATCH(VALUE(RIGHT(A610,4)),'GLB.Ts+dSST (4)'!$A$3:$A$149,0),VALUE(LEFT(A610,FIND("/",A610)-1)))</f>
        <v>-0.15</v>
      </c>
      <c r="C610" s="15">
        <f t="shared" si="18"/>
        <v>13.85</v>
      </c>
      <c r="D610" s="15">
        <f t="shared" si="19"/>
        <v>56.93</v>
      </c>
    </row>
    <row r="611" spans="1:4" ht="15" customHeight="1">
      <c r="A611" t="s">
        <v>674</v>
      </c>
      <c r="B611" s="15">
        <f>INDEX('GLB.Ts+dSST (4)'!$B$3:$M$149,MATCH(VALUE(RIGHT(A611,4)),'GLB.Ts+dSST (4)'!$A$3:$A$149,0),VALUE(LEFT(A611,FIND("/",A611)-1)))</f>
        <v>-0.12</v>
      </c>
      <c r="C611" s="15">
        <f t="shared" si="18"/>
        <v>13.88</v>
      </c>
      <c r="D611" s="15">
        <f t="shared" si="19"/>
        <v>56.984000000000002</v>
      </c>
    </row>
    <row r="612" spans="1:4" ht="15" customHeight="1">
      <c r="A612" t="s">
        <v>675</v>
      </c>
      <c r="B612" s="15">
        <f>INDEX('GLB.Ts+dSST (4)'!$B$3:$M$149,MATCH(VALUE(RIGHT(A612,4)),'GLB.Ts+dSST (4)'!$A$3:$A$149,0),VALUE(LEFT(A612,FIND("/",A612)-1)))</f>
        <v>0.17</v>
      </c>
      <c r="C612" s="15">
        <f t="shared" si="18"/>
        <v>14.17</v>
      </c>
      <c r="D612" s="15">
        <f t="shared" si="19"/>
        <v>57.506</v>
      </c>
    </row>
    <row r="613" spans="1:4" ht="15" customHeight="1">
      <c r="A613" t="s">
        <v>676</v>
      </c>
      <c r="B613" s="15">
        <f>INDEX('GLB.Ts+dSST (4)'!$B$3:$M$149,MATCH(VALUE(RIGHT(A613,4)),'GLB.Ts+dSST (4)'!$A$3:$A$149,0),VALUE(LEFT(A613,FIND("/",A613)-1)))</f>
        <v>-0.06</v>
      </c>
      <c r="C613" s="15">
        <f t="shared" si="18"/>
        <v>13.94</v>
      </c>
      <c r="D613" s="15">
        <f t="shared" si="19"/>
        <v>57.091999999999999</v>
      </c>
    </row>
    <row r="614" spans="1:4" ht="15" customHeight="1">
      <c r="A614" t="s">
        <v>677</v>
      </c>
      <c r="B614" s="15">
        <f>INDEX('GLB.Ts+dSST (4)'!$B$3:$M$149,MATCH(VALUE(RIGHT(A614,4)),'GLB.Ts+dSST (4)'!$A$3:$A$149,0),VALUE(LEFT(A614,FIND("/",A614)-1)))</f>
        <v>-0.11</v>
      </c>
      <c r="C614" s="15">
        <f t="shared" si="18"/>
        <v>13.89</v>
      </c>
      <c r="D614" s="15">
        <f t="shared" si="19"/>
        <v>57.002000000000002</v>
      </c>
    </row>
    <row r="615" spans="1:4" ht="15" customHeight="1">
      <c r="A615" t="s">
        <v>678</v>
      </c>
      <c r="B615" s="15">
        <f>INDEX('GLB.Ts+dSST (4)'!$B$3:$M$149,MATCH(VALUE(RIGHT(A615,4)),'GLB.Ts+dSST (4)'!$A$3:$A$149,0),VALUE(LEFT(A615,FIND("/",A615)-1)))</f>
        <v>-0.2</v>
      </c>
      <c r="C615" s="15">
        <f t="shared" si="18"/>
        <v>13.8</v>
      </c>
      <c r="D615" s="15">
        <f t="shared" si="19"/>
        <v>56.84</v>
      </c>
    </row>
    <row r="616" spans="1:4" ht="15" customHeight="1">
      <c r="A616" t="s">
        <v>679</v>
      </c>
      <c r="B616" s="15">
        <f>INDEX('GLB.Ts+dSST (4)'!$B$3:$M$149,MATCH(VALUE(RIGHT(A616,4)),'GLB.Ts+dSST (4)'!$A$3:$A$149,0),VALUE(LEFT(A616,FIND("/",A616)-1)))</f>
        <v>-0.11</v>
      </c>
      <c r="C616" s="15">
        <f t="shared" si="18"/>
        <v>13.89</v>
      </c>
      <c r="D616" s="15">
        <f t="shared" si="19"/>
        <v>57.002000000000002</v>
      </c>
    </row>
    <row r="617" spans="1:4" ht="15" customHeight="1">
      <c r="A617" t="s">
        <v>680</v>
      </c>
      <c r="B617" s="15">
        <f>INDEX('GLB.Ts+dSST (4)'!$B$3:$M$149,MATCH(VALUE(RIGHT(A617,4)),'GLB.Ts+dSST (4)'!$A$3:$A$149,0),VALUE(LEFT(A617,FIND("/",A617)-1)))</f>
        <v>-0.23</v>
      </c>
      <c r="C617" s="15">
        <f t="shared" si="18"/>
        <v>13.77</v>
      </c>
      <c r="D617" s="15">
        <f t="shared" si="19"/>
        <v>56.786000000000001</v>
      </c>
    </row>
    <row r="618" spans="1:4" ht="15" customHeight="1">
      <c r="A618" t="s">
        <v>681</v>
      </c>
      <c r="B618" s="15">
        <f>INDEX('GLB.Ts+dSST (4)'!$B$3:$M$149,MATCH(VALUE(RIGHT(A618,4)),'GLB.Ts+dSST (4)'!$A$3:$A$149,0),VALUE(LEFT(A618,FIND("/",A618)-1)))</f>
        <v>-0.2</v>
      </c>
      <c r="C618" s="15">
        <f t="shared" si="18"/>
        <v>13.8</v>
      </c>
      <c r="D618" s="15">
        <f t="shared" si="19"/>
        <v>56.84</v>
      </c>
    </row>
    <row r="619" spans="1:4" ht="15" customHeight="1">
      <c r="A619" t="s">
        <v>682</v>
      </c>
      <c r="B619" s="15">
        <f>INDEX('GLB.Ts+dSST (4)'!$B$3:$M$149,MATCH(VALUE(RIGHT(A619,4)),'GLB.Ts+dSST (4)'!$A$3:$A$149,0),VALUE(LEFT(A619,FIND("/",A619)-1)))</f>
        <v>-0.08</v>
      </c>
      <c r="C619" s="15">
        <f t="shared" si="18"/>
        <v>13.92</v>
      </c>
      <c r="D619" s="15">
        <f t="shared" si="19"/>
        <v>57.055999999999997</v>
      </c>
    </row>
    <row r="620" spans="1:4" ht="15" customHeight="1">
      <c r="A620" t="s">
        <v>683</v>
      </c>
      <c r="B620" s="15">
        <f>INDEX('GLB.Ts+dSST (4)'!$B$3:$M$149,MATCH(VALUE(RIGHT(A620,4)),'GLB.Ts+dSST (4)'!$A$3:$A$149,0),VALUE(LEFT(A620,FIND("/",A620)-1)))</f>
        <v>-0.04</v>
      </c>
      <c r="C620" s="15">
        <f t="shared" si="18"/>
        <v>13.96</v>
      </c>
      <c r="D620" s="15">
        <f t="shared" si="19"/>
        <v>57.128</v>
      </c>
    </row>
    <row r="621" spans="1:4" ht="15" customHeight="1">
      <c r="A621" t="s">
        <v>684</v>
      </c>
      <c r="B621" s="15">
        <f>INDEX('GLB.Ts+dSST (4)'!$B$3:$M$149,MATCH(VALUE(RIGHT(A621,4)),'GLB.Ts+dSST (4)'!$A$3:$A$149,0),VALUE(LEFT(A621,FIND("/",A621)-1)))</f>
        <v>-0.04</v>
      </c>
      <c r="C621" s="15">
        <f t="shared" si="18"/>
        <v>13.96</v>
      </c>
      <c r="D621" s="15">
        <f t="shared" si="19"/>
        <v>57.128</v>
      </c>
    </row>
    <row r="622" spans="1:4" ht="15" customHeight="1">
      <c r="A622" t="s">
        <v>685</v>
      </c>
      <c r="B622" s="15">
        <f>INDEX('GLB.Ts+dSST (4)'!$B$3:$M$149,MATCH(VALUE(RIGHT(A622,4)),'GLB.Ts+dSST (4)'!$A$3:$A$149,0),VALUE(LEFT(A622,FIND("/",A622)-1)))</f>
        <v>-7.0000000000000007E-2</v>
      </c>
      <c r="C622" s="15">
        <f t="shared" si="18"/>
        <v>13.93</v>
      </c>
      <c r="D622" s="15">
        <f t="shared" si="19"/>
        <v>57.073999999999998</v>
      </c>
    </row>
    <row r="623" spans="1:4" ht="15" customHeight="1">
      <c r="A623" t="s">
        <v>686</v>
      </c>
      <c r="B623" s="15">
        <f>INDEX('GLB.Ts+dSST (4)'!$B$3:$M$149,MATCH(VALUE(RIGHT(A623,4)),'GLB.Ts+dSST (4)'!$A$3:$A$149,0),VALUE(LEFT(A623,FIND("/",A623)-1)))</f>
        <v>0.06</v>
      </c>
      <c r="C623" s="15">
        <f t="shared" si="18"/>
        <v>14.06</v>
      </c>
      <c r="D623" s="15">
        <f t="shared" si="19"/>
        <v>57.308</v>
      </c>
    </row>
    <row r="624" spans="1:4" ht="15" customHeight="1">
      <c r="A624" t="s">
        <v>687</v>
      </c>
      <c r="B624" s="15">
        <f>INDEX('GLB.Ts+dSST (4)'!$B$3:$M$149,MATCH(VALUE(RIGHT(A624,4)),'GLB.Ts+dSST (4)'!$A$3:$A$149,0),VALUE(LEFT(A624,FIND("/",A624)-1)))</f>
        <v>-0.06</v>
      </c>
      <c r="C624" s="15">
        <f t="shared" si="18"/>
        <v>13.94</v>
      </c>
      <c r="D624" s="15">
        <f t="shared" si="19"/>
        <v>57.091999999999999</v>
      </c>
    </row>
    <row r="625" spans="1:4" ht="15" customHeight="1">
      <c r="A625" t="s">
        <v>688</v>
      </c>
      <c r="B625" s="15">
        <f>INDEX('GLB.Ts+dSST (4)'!$B$3:$M$149,MATCH(VALUE(RIGHT(A625,4)),'GLB.Ts+dSST (4)'!$A$3:$A$149,0),VALUE(LEFT(A625,FIND("/",A625)-1)))</f>
        <v>-0.05</v>
      </c>
      <c r="C625" s="15">
        <f t="shared" si="18"/>
        <v>13.95</v>
      </c>
      <c r="D625" s="15">
        <f t="shared" si="19"/>
        <v>57.11</v>
      </c>
    </row>
    <row r="626" spans="1:4" ht="15" customHeight="1">
      <c r="A626" t="s">
        <v>689</v>
      </c>
      <c r="B626" s="15">
        <f>INDEX('GLB.Ts+dSST (4)'!$B$3:$M$149,MATCH(VALUE(RIGHT(A626,4)),'GLB.Ts+dSST (4)'!$A$3:$A$149,0),VALUE(LEFT(A626,FIND("/",A626)-1)))</f>
        <v>0.15</v>
      </c>
      <c r="C626" s="15">
        <f t="shared" si="18"/>
        <v>14.15</v>
      </c>
      <c r="D626" s="15">
        <f t="shared" si="19"/>
        <v>57.47</v>
      </c>
    </row>
    <row r="627" spans="1:4" ht="15" customHeight="1">
      <c r="A627" t="s">
        <v>690</v>
      </c>
      <c r="B627" s="15">
        <f>INDEX('GLB.Ts+dSST (4)'!$B$3:$M$149,MATCH(VALUE(RIGHT(A627,4)),'GLB.Ts+dSST (4)'!$A$3:$A$149,0),VALUE(LEFT(A627,FIND("/",A627)-1)))</f>
        <v>-0.17</v>
      </c>
      <c r="C627" s="15">
        <f t="shared" si="18"/>
        <v>13.83</v>
      </c>
      <c r="D627" s="15">
        <f t="shared" si="19"/>
        <v>56.894000000000005</v>
      </c>
    </row>
    <row r="628" spans="1:4" ht="15" customHeight="1">
      <c r="A628" t="s">
        <v>691</v>
      </c>
      <c r="B628" s="15">
        <f>INDEX('GLB.Ts+dSST (4)'!$B$3:$M$149,MATCH(VALUE(RIGHT(A628,4)),'GLB.Ts+dSST (4)'!$A$3:$A$149,0),VALUE(LEFT(A628,FIND("/",A628)-1)))</f>
        <v>-0.18</v>
      </c>
      <c r="C628" s="15">
        <f t="shared" si="18"/>
        <v>13.82</v>
      </c>
      <c r="D628" s="15">
        <f t="shared" si="19"/>
        <v>56.876000000000005</v>
      </c>
    </row>
    <row r="629" spans="1:4" ht="15" customHeight="1">
      <c r="A629" t="s">
        <v>692</v>
      </c>
      <c r="B629" s="15">
        <f>INDEX('GLB.Ts+dSST (4)'!$B$3:$M$149,MATCH(VALUE(RIGHT(A629,4)),'GLB.Ts+dSST (4)'!$A$3:$A$149,0),VALUE(LEFT(A629,FIND("/",A629)-1)))</f>
        <v>-0.06</v>
      </c>
      <c r="C629" s="15">
        <f t="shared" si="18"/>
        <v>13.94</v>
      </c>
      <c r="D629" s="15">
        <f t="shared" si="19"/>
        <v>57.091999999999999</v>
      </c>
    </row>
    <row r="630" spans="1:4" ht="15" customHeight="1">
      <c r="A630" t="s">
        <v>693</v>
      </c>
      <c r="B630" s="15">
        <f>INDEX('GLB.Ts+dSST (4)'!$B$3:$M$149,MATCH(VALUE(RIGHT(A630,4)),'GLB.Ts+dSST (4)'!$A$3:$A$149,0),VALUE(LEFT(A630,FIND("/",A630)-1)))</f>
        <v>-0.18</v>
      </c>
      <c r="C630" s="15">
        <f t="shared" si="18"/>
        <v>13.82</v>
      </c>
      <c r="D630" s="15">
        <f t="shared" si="19"/>
        <v>56.876000000000005</v>
      </c>
    </row>
    <row r="631" spans="1:4" ht="15" customHeight="1">
      <c r="A631" t="s">
        <v>694</v>
      </c>
      <c r="B631" s="15">
        <f>INDEX('GLB.Ts+dSST (4)'!$B$3:$M$149,MATCH(VALUE(RIGHT(A631,4)),'GLB.Ts+dSST (4)'!$A$3:$A$149,0),VALUE(LEFT(A631,FIND("/",A631)-1)))</f>
        <v>-0.28999999999999998</v>
      </c>
      <c r="C631" s="15">
        <f t="shared" si="18"/>
        <v>13.71</v>
      </c>
      <c r="D631" s="15">
        <f t="shared" si="19"/>
        <v>56.677999999999997</v>
      </c>
    </row>
    <row r="632" spans="1:4" ht="15" customHeight="1">
      <c r="A632" t="s">
        <v>695</v>
      </c>
      <c r="B632" s="15">
        <f>INDEX('GLB.Ts+dSST (4)'!$B$3:$M$149,MATCH(VALUE(RIGHT(A632,4)),'GLB.Ts+dSST (4)'!$A$3:$A$149,0),VALUE(LEFT(A632,FIND("/",A632)-1)))</f>
        <v>-0.25</v>
      </c>
      <c r="C632" s="15">
        <f t="shared" si="18"/>
        <v>13.75</v>
      </c>
      <c r="D632" s="15">
        <f t="shared" si="19"/>
        <v>56.75</v>
      </c>
    </row>
    <row r="633" spans="1:4" ht="15" customHeight="1">
      <c r="A633" t="s">
        <v>696</v>
      </c>
      <c r="B633" s="15">
        <f>INDEX('GLB.Ts+dSST (4)'!$B$3:$M$149,MATCH(VALUE(RIGHT(A633,4)),'GLB.Ts+dSST (4)'!$A$3:$A$149,0),VALUE(LEFT(A633,FIND("/",A633)-1)))</f>
        <v>-0.22</v>
      </c>
      <c r="C633" s="15">
        <f t="shared" si="18"/>
        <v>13.78</v>
      </c>
      <c r="D633" s="15">
        <f t="shared" si="19"/>
        <v>56.804000000000002</v>
      </c>
    </row>
    <row r="634" spans="1:4" ht="15" customHeight="1">
      <c r="A634" t="s">
        <v>697</v>
      </c>
      <c r="B634" s="15">
        <f>INDEX('GLB.Ts+dSST (4)'!$B$3:$M$149,MATCH(VALUE(RIGHT(A634,4)),'GLB.Ts+dSST (4)'!$A$3:$A$149,0),VALUE(LEFT(A634,FIND("/",A634)-1)))</f>
        <v>-0.11</v>
      </c>
      <c r="C634" s="15">
        <f t="shared" si="18"/>
        <v>13.89</v>
      </c>
      <c r="D634" s="15">
        <f t="shared" si="19"/>
        <v>57.002000000000002</v>
      </c>
    </row>
    <row r="635" spans="1:4" ht="15" customHeight="1">
      <c r="A635" t="s">
        <v>698</v>
      </c>
      <c r="B635" s="15">
        <f>INDEX('GLB.Ts+dSST (4)'!$B$3:$M$149,MATCH(VALUE(RIGHT(A635,4)),'GLB.Ts+dSST (4)'!$A$3:$A$149,0),VALUE(LEFT(A635,FIND("/",A635)-1)))</f>
        <v>-0.09</v>
      </c>
      <c r="C635" s="15">
        <f t="shared" si="18"/>
        <v>13.91</v>
      </c>
      <c r="D635" s="15">
        <f t="shared" si="19"/>
        <v>57.037999999999997</v>
      </c>
    </row>
    <row r="636" spans="1:4" ht="15" customHeight="1">
      <c r="A636" t="s">
        <v>699</v>
      </c>
      <c r="B636" s="15">
        <f>INDEX('GLB.Ts+dSST (4)'!$B$3:$M$149,MATCH(VALUE(RIGHT(A636,4)),'GLB.Ts+dSST (4)'!$A$3:$A$149,0),VALUE(LEFT(A636,FIND("/",A636)-1)))</f>
        <v>-0.27</v>
      </c>
      <c r="C636" s="15">
        <f t="shared" si="18"/>
        <v>13.73</v>
      </c>
      <c r="D636" s="15">
        <f t="shared" si="19"/>
        <v>56.713999999999999</v>
      </c>
    </row>
    <row r="637" spans="1:4" ht="15" customHeight="1">
      <c r="A637" t="s">
        <v>700</v>
      </c>
      <c r="B637" s="15">
        <f>INDEX('GLB.Ts+dSST (4)'!$B$3:$M$149,MATCH(VALUE(RIGHT(A637,4)),'GLB.Ts+dSST (4)'!$A$3:$A$149,0),VALUE(LEFT(A637,FIND("/",A637)-1)))</f>
        <v>-0.27</v>
      </c>
      <c r="C637" s="15">
        <f t="shared" si="18"/>
        <v>13.73</v>
      </c>
      <c r="D637" s="15">
        <f t="shared" si="19"/>
        <v>56.713999999999999</v>
      </c>
    </row>
    <row r="638" spans="1:4" ht="15" customHeight="1">
      <c r="A638" t="s">
        <v>701</v>
      </c>
      <c r="B638" s="15">
        <f>INDEX('GLB.Ts+dSST (4)'!$B$3:$M$149,MATCH(VALUE(RIGHT(A638,4)),'GLB.Ts+dSST (4)'!$A$3:$A$149,0),VALUE(LEFT(A638,FIND("/",A638)-1)))</f>
        <v>-0.24</v>
      </c>
      <c r="C638" s="15">
        <f t="shared" si="18"/>
        <v>13.76</v>
      </c>
      <c r="D638" s="15">
        <f t="shared" si="19"/>
        <v>56.768000000000001</v>
      </c>
    </row>
    <row r="639" spans="1:4" ht="15" customHeight="1">
      <c r="A639" t="s">
        <v>702</v>
      </c>
      <c r="B639" s="15">
        <f>INDEX('GLB.Ts+dSST (4)'!$B$3:$M$149,MATCH(VALUE(RIGHT(A639,4)),'GLB.Ts+dSST (4)'!$A$3:$A$149,0),VALUE(LEFT(A639,FIND("/",A639)-1)))</f>
        <v>-0.3</v>
      </c>
      <c r="C639" s="15">
        <f t="shared" si="18"/>
        <v>13.7</v>
      </c>
      <c r="D639" s="15">
        <f t="shared" si="19"/>
        <v>56.66</v>
      </c>
    </row>
    <row r="640" spans="1:4" ht="15" customHeight="1">
      <c r="A640" t="s">
        <v>703</v>
      </c>
      <c r="B640" s="15">
        <f>INDEX('GLB.Ts+dSST (4)'!$B$3:$M$149,MATCH(VALUE(RIGHT(A640,4)),'GLB.Ts+dSST (4)'!$A$3:$A$149,0),VALUE(LEFT(A640,FIND("/",A640)-1)))</f>
        <v>-0.28999999999999998</v>
      </c>
      <c r="C640" s="15">
        <f t="shared" si="18"/>
        <v>13.71</v>
      </c>
      <c r="D640" s="15">
        <f t="shared" si="19"/>
        <v>56.677999999999997</v>
      </c>
    </row>
    <row r="641" spans="1:4" ht="15" customHeight="1">
      <c r="A641" t="s">
        <v>704</v>
      </c>
      <c r="B641" s="15">
        <f>INDEX('GLB.Ts+dSST (4)'!$B$3:$M$149,MATCH(VALUE(RIGHT(A641,4)),'GLB.Ts+dSST (4)'!$A$3:$A$149,0),VALUE(LEFT(A641,FIND("/",A641)-1)))</f>
        <v>-0.24</v>
      </c>
      <c r="C641" s="15">
        <f t="shared" si="18"/>
        <v>13.76</v>
      </c>
      <c r="D641" s="15">
        <f t="shared" si="19"/>
        <v>56.768000000000001</v>
      </c>
    </row>
    <row r="642" spans="1:4" ht="15" customHeight="1">
      <c r="A642" t="s">
        <v>705</v>
      </c>
      <c r="B642" s="15">
        <f>INDEX('GLB.Ts+dSST (4)'!$B$3:$M$149,MATCH(VALUE(RIGHT(A642,4)),'GLB.Ts+dSST (4)'!$A$3:$A$149,0),VALUE(LEFT(A642,FIND("/",A642)-1)))</f>
        <v>-0.28999999999999998</v>
      </c>
      <c r="C642" s="15">
        <f t="shared" ref="C642:C705" si="20">B642+14</f>
        <v>13.71</v>
      </c>
      <c r="D642" s="15">
        <f t="shared" ref="D642:D705" si="21">C642*(9/5)+32</f>
        <v>56.677999999999997</v>
      </c>
    </row>
    <row r="643" spans="1:4" ht="15" customHeight="1">
      <c r="A643" t="s">
        <v>706</v>
      </c>
      <c r="B643" s="15">
        <f>INDEX('GLB.Ts+dSST (4)'!$B$3:$M$149,MATCH(VALUE(RIGHT(A643,4)),'GLB.Ts+dSST (4)'!$A$3:$A$149,0),VALUE(LEFT(A643,FIND("/",A643)-1)))</f>
        <v>-0.34</v>
      </c>
      <c r="C643" s="15">
        <f t="shared" si="20"/>
        <v>13.66</v>
      </c>
      <c r="D643" s="15">
        <f t="shared" si="21"/>
        <v>56.588000000000001</v>
      </c>
    </row>
    <row r="644" spans="1:4" ht="15" customHeight="1">
      <c r="A644" t="s">
        <v>707</v>
      </c>
      <c r="B644" s="15">
        <f>INDEX('GLB.Ts+dSST (4)'!$B$3:$M$149,MATCH(VALUE(RIGHT(A644,4)),'GLB.Ts+dSST (4)'!$A$3:$A$149,0),VALUE(LEFT(A644,FIND("/",A644)-1)))</f>
        <v>-0.22</v>
      </c>
      <c r="C644" s="15">
        <f t="shared" si="20"/>
        <v>13.78</v>
      </c>
      <c r="D644" s="15">
        <f t="shared" si="21"/>
        <v>56.804000000000002</v>
      </c>
    </row>
    <row r="645" spans="1:4" ht="15" customHeight="1">
      <c r="A645" t="s">
        <v>708</v>
      </c>
      <c r="B645" s="15">
        <f>INDEX('GLB.Ts+dSST (4)'!$B$3:$M$149,MATCH(VALUE(RIGHT(A645,4)),'GLB.Ts+dSST (4)'!$A$3:$A$149,0),VALUE(LEFT(A645,FIND("/",A645)-1)))</f>
        <v>-0.24</v>
      </c>
      <c r="C645" s="15">
        <f t="shared" si="20"/>
        <v>13.76</v>
      </c>
      <c r="D645" s="15">
        <f t="shared" si="21"/>
        <v>56.768000000000001</v>
      </c>
    </row>
    <row r="646" spans="1:4" ht="15" customHeight="1">
      <c r="A646" t="s">
        <v>709</v>
      </c>
      <c r="B646" s="15">
        <f>INDEX('GLB.Ts+dSST (4)'!$B$3:$M$149,MATCH(VALUE(RIGHT(A646,4)),'GLB.Ts+dSST (4)'!$A$3:$A$149,0),VALUE(LEFT(A646,FIND("/",A646)-1)))</f>
        <v>-0.28999999999999998</v>
      </c>
      <c r="C646" s="15">
        <f t="shared" si="20"/>
        <v>13.71</v>
      </c>
      <c r="D646" s="15">
        <f t="shared" si="21"/>
        <v>56.677999999999997</v>
      </c>
    </row>
    <row r="647" spans="1:4" ht="15" customHeight="1">
      <c r="A647" t="s">
        <v>710</v>
      </c>
      <c r="B647" s="15">
        <f>INDEX('GLB.Ts+dSST (4)'!$B$3:$M$149,MATCH(VALUE(RIGHT(A647,4)),'GLB.Ts+dSST (4)'!$A$3:$A$149,0),VALUE(LEFT(A647,FIND("/",A647)-1)))</f>
        <v>-0.25</v>
      </c>
      <c r="C647" s="15">
        <f t="shared" si="20"/>
        <v>13.75</v>
      </c>
      <c r="D647" s="15">
        <f t="shared" si="21"/>
        <v>56.75</v>
      </c>
    </row>
    <row r="648" spans="1:4" ht="15" customHeight="1">
      <c r="A648" t="s">
        <v>711</v>
      </c>
      <c r="B648" s="15">
        <f>INDEX('GLB.Ts+dSST (4)'!$B$3:$M$149,MATCH(VALUE(RIGHT(A648,4)),'GLB.Ts+dSST (4)'!$A$3:$A$149,0),VALUE(LEFT(A648,FIND("/",A648)-1)))</f>
        <v>-0.31</v>
      </c>
      <c r="C648" s="15">
        <f t="shared" si="20"/>
        <v>13.69</v>
      </c>
      <c r="D648" s="15">
        <f t="shared" si="21"/>
        <v>56.641999999999996</v>
      </c>
    </row>
    <row r="649" spans="1:4" ht="15" customHeight="1">
      <c r="A649" t="s">
        <v>712</v>
      </c>
      <c r="B649" s="15">
        <f>INDEX('GLB.Ts+dSST (4)'!$B$3:$M$149,MATCH(VALUE(RIGHT(A649,4)),'GLB.Ts+dSST (4)'!$A$3:$A$149,0),VALUE(LEFT(A649,FIND("/",A649)-1)))</f>
        <v>-0.45</v>
      </c>
      <c r="C649" s="15">
        <f t="shared" si="20"/>
        <v>13.55</v>
      </c>
      <c r="D649" s="15">
        <f t="shared" si="21"/>
        <v>56.39</v>
      </c>
    </row>
    <row r="650" spans="1:4" ht="15" customHeight="1">
      <c r="A650" t="s">
        <v>713</v>
      </c>
      <c r="B650" s="15">
        <f>INDEX('GLB.Ts+dSST (4)'!$B$3:$M$149,MATCH(VALUE(RIGHT(A650,4)),'GLB.Ts+dSST (4)'!$A$3:$A$149,0),VALUE(LEFT(A650,FIND("/",A650)-1)))</f>
        <v>-0.21</v>
      </c>
      <c r="C650" s="15">
        <f t="shared" si="20"/>
        <v>13.79</v>
      </c>
      <c r="D650" s="15">
        <f t="shared" si="21"/>
        <v>56.822000000000003</v>
      </c>
    </row>
    <row r="651" spans="1:4" ht="15" customHeight="1">
      <c r="A651" t="s">
        <v>714</v>
      </c>
      <c r="B651" s="15">
        <f>INDEX('GLB.Ts+dSST (4)'!$B$3:$M$149,MATCH(VALUE(RIGHT(A651,4)),'GLB.Ts+dSST (4)'!$A$3:$A$149,0),VALUE(LEFT(A651,FIND("/",A651)-1)))</f>
        <v>-0.03</v>
      </c>
      <c r="C651" s="15">
        <f t="shared" si="20"/>
        <v>13.97</v>
      </c>
      <c r="D651" s="15">
        <f t="shared" si="21"/>
        <v>57.146000000000001</v>
      </c>
    </row>
    <row r="652" spans="1:4" ht="15" customHeight="1">
      <c r="A652" t="s">
        <v>715</v>
      </c>
      <c r="B652" s="15">
        <f>INDEX('GLB.Ts+dSST (4)'!$B$3:$M$149,MATCH(VALUE(RIGHT(A652,4)),'GLB.Ts+dSST (4)'!$A$3:$A$149,0),VALUE(LEFT(A652,FIND("/",A652)-1)))</f>
        <v>-0.28999999999999998</v>
      </c>
      <c r="C652" s="15">
        <f t="shared" si="20"/>
        <v>13.71</v>
      </c>
      <c r="D652" s="15">
        <f t="shared" si="21"/>
        <v>56.677999999999997</v>
      </c>
    </row>
    <row r="653" spans="1:4" ht="15" customHeight="1">
      <c r="A653" t="s">
        <v>716</v>
      </c>
      <c r="B653" s="15">
        <f>INDEX('GLB.Ts+dSST (4)'!$B$3:$M$149,MATCH(VALUE(RIGHT(A653,4)),'GLB.Ts+dSST (4)'!$A$3:$A$149,0),VALUE(LEFT(A653,FIND("/",A653)-1)))</f>
        <v>-0.31</v>
      </c>
      <c r="C653" s="15">
        <f t="shared" si="20"/>
        <v>13.69</v>
      </c>
      <c r="D653" s="15">
        <f t="shared" si="21"/>
        <v>56.641999999999996</v>
      </c>
    </row>
    <row r="654" spans="1:4" ht="15" customHeight="1">
      <c r="A654" t="s">
        <v>717</v>
      </c>
      <c r="B654" s="15">
        <f>INDEX('GLB.Ts+dSST (4)'!$B$3:$M$149,MATCH(VALUE(RIGHT(A654,4)),'GLB.Ts+dSST (4)'!$A$3:$A$149,0),VALUE(LEFT(A654,FIND("/",A654)-1)))</f>
        <v>-0.1</v>
      </c>
      <c r="C654" s="15">
        <f t="shared" si="20"/>
        <v>13.9</v>
      </c>
      <c r="D654" s="15">
        <f t="shared" si="21"/>
        <v>57.019999999999996</v>
      </c>
    </row>
    <row r="655" spans="1:4" ht="15" customHeight="1">
      <c r="A655" t="s">
        <v>718</v>
      </c>
      <c r="B655" s="15">
        <f>INDEX('GLB.Ts+dSST (4)'!$B$3:$M$149,MATCH(VALUE(RIGHT(A655,4)),'GLB.Ts+dSST (4)'!$A$3:$A$149,0),VALUE(LEFT(A655,FIND("/",A655)-1)))</f>
        <v>-0.15</v>
      </c>
      <c r="C655" s="15">
        <f t="shared" si="20"/>
        <v>13.85</v>
      </c>
      <c r="D655" s="15">
        <f t="shared" si="21"/>
        <v>56.93</v>
      </c>
    </row>
    <row r="656" spans="1:4" ht="15" customHeight="1">
      <c r="A656" t="s">
        <v>719</v>
      </c>
      <c r="B656" s="15">
        <f>INDEX('GLB.Ts+dSST (4)'!$B$3:$M$149,MATCH(VALUE(RIGHT(A656,4)),'GLB.Ts+dSST (4)'!$A$3:$A$149,0),VALUE(LEFT(A656,FIND("/",A656)-1)))</f>
        <v>-0.11</v>
      </c>
      <c r="C656" s="15">
        <f t="shared" si="20"/>
        <v>13.89</v>
      </c>
      <c r="D656" s="15">
        <f t="shared" si="21"/>
        <v>57.002000000000002</v>
      </c>
    </row>
    <row r="657" spans="1:4" ht="15" customHeight="1">
      <c r="A657" t="s">
        <v>720</v>
      </c>
      <c r="B657" s="15">
        <f>INDEX('GLB.Ts+dSST (4)'!$B$3:$M$149,MATCH(VALUE(RIGHT(A657,4)),'GLB.Ts+dSST (4)'!$A$3:$A$149,0),VALUE(LEFT(A657,FIND("/",A657)-1)))</f>
        <v>-0.12</v>
      </c>
      <c r="C657" s="15">
        <f t="shared" si="20"/>
        <v>13.88</v>
      </c>
      <c r="D657" s="15">
        <f t="shared" si="21"/>
        <v>56.984000000000002</v>
      </c>
    </row>
    <row r="658" spans="1:4" ht="15" customHeight="1">
      <c r="A658" t="s">
        <v>721</v>
      </c>
      <c r="B658" s="15">
        <f>INDEX('GLB.Ts+dSST (4)'!$B$3:$M$149,MATCH(VALUE(RIGHT(A658,4)),'GLB.Ts+dSST (4)'!$A$3:$A$149,0),VALUE(LEFT(A658,FIND("/",A658)-1)))</f>
        <v>-0.15</v>
      </c>
      <c r="C658" s="15">
        <f t="shared" si="20"/>
        <v>13.85</v>
      </c>
      <c r="D658" s="15">
        <f t="shared" si="21"/>
        <v>56.93</v>
      </c>
    </row>
    <row r="659" spans="1:4" ht="15" customHeight="1">
      <c r="A659" t="s">
        <v>722</v>
      </c>
      <c r="B659" s="15">
        <f>INDEX('GLB.Ts+dSST (4)'!$B$3:$M$149,MATCH(VALUE(RIGHT(A659,4)),'GLB.Ts+dSST (4)'!$A$3:$A$149,0),VALUE(LEFT(A659,FIND("/",A659)-1)))</f>
        <v>-7.0000000000000007E-2</v>
      </c>
      <c r="C659" s="15">
        <f t="shared" si="20"/>
        <v>13.93</v>
      </c>
      <c r="D659" s="15">
        <f t="shared" si="21"/>
        <v>57.073999999999998</v>
      </c>
    </row>
    <row r="660" spans="1:4" ht="15" customHeight="1">
      <c r="A660" t="s">
        <v>723</v>
      </c>
      <c r="B660" s="15">
        <f>INDEX('GLB.Ts+dSST (4)'!$B$3:$M$149,MATCH(VALUE(RIGHT(A660,4)),'GLB.Ts+dSST (4)'!$A$3:$A$149,0),VALUE(LEFT(A660,FIND("/",A660)-1)))</f>
        <v>0.03</v>
      </c>
      <c r="C660" s="15">
        <f t="shared" si="20"/>
        <v>14.03</v>
      </c>
      <c r="D660" s="15">
        <f t="shared" si="21"/>
        <v>57.253999999999998</v>
      </c>
    </row>
    <row r="661" spans="1:4" ht="15" customHeight="1">
      <c r="A661" t="s">
        <v>724</v>
      </c>
      <c r="B661" s="15">
        <f>INDEX('GLB.Ts+dSST (4)'!$B$3:$M$149,MATCH(VALUE(RIGHT(A661,4)),'GLB.Ts+dSST (4)'!$A$3:$A$149,0),VALUE(LEFT(A661,FIND("/",A661)-1)))</f>
        <v>-0.03</v>
      </c>
      <c r="C661" s="15">
        <f t="shared" si="20"/>
        <v>13.97</v>
      </c>
      <c r="D661" s="15">
        <f t="shared" si="21"/>
        <v>57.146000000000001</v>
      </c>
    </row>
    <row r="662" spans="1:4" ht="15" customHeight="1">
      <c r="A662" t="s">
        <v>725</v>
      </c>
      <c r="B662" s="15">
        <f>INDEX('GLB.Ts+dSST (4)'!$B$3:$M$149,MATCH(VALUE(RIGHT(A662,4)),'GLB.Ts+dSST (4)'!$A$3:$A$149,0),VALUE(LEFT(A662,FIND("/",A662)-1)))</f>
        <v>-0.34</v>
      </c>
      <c r="C662" s="15">
        <f t="shared" si="20"/>
        <v>13.66</v>
      </c>
      <c r="D662" s="15">
        <f t="shared" si="21"/>
        <v>56.588000000000001</v>
      </c>
    </row>
    <row r="663" spans="1:4" ht="15" customHeight="1">
      <c r="A663" t="s">
        <v>726</v>
      </c>
      <c r="B663" s="15">
        <f>INDEX('GLB.Ts+dSST (4)'!$B$3:$M$149,MATCH(VALUE(RIGHT(A663,4)),'GLB.Ts+dSST (4)'!$A$3:$A$149,0),VALUE(LEFT(A663,FIND("/",A663)-1)))</f>
        <v>0.14000000000000001</v>
      </c>
      <c r="C663" s="15">
        <f t="shared" si="20"/>
        <v>14.14</v>
      </c>
      <c r="D663" s="15">
        <f t="shared" si="21"/>
        <v>57.451999999999998</v>
      </c>
    </row>
    <row r="664" spans="1:4" ht="15" customHeight="1">
      <c r="A664" t="s">
        <v>727</v>
      </c>
      <c r="B664" s="15">
        <f>INDEX('GLB.Ts+dSST (4)'!$B$3:$M$149,MATCH(VALUE(RIGHT(A664,4)),'GLB.Ts+dSST (4)'!$A$3:$A$149,0),VALUE(LEFT(A664,FIND("/",A664)-1)))</f>
        <v>-0.14000000000000001</v>
      </c>
      <c r="C664" s="15">
        <f t="shared" si="20"/>
        <v>13.86</v>
      </c>
      <c r="D664" s="15">
        <f t="shared" si="21"/>
        <v>56.948</v>
      </c>
    </row>
    <row r="665" spans="1:4" ht="15" customHeight="1">
      <c r="A665" t="s">
        <v>728</v>
      </c>
      <c r="B665" s="15">
        <f>INDEX('GLB.Ts+dSST (4)'!$B$3:$M$149,MATCH(VALUE(RIGHT(A665,4)),'GLB.Ts+dSST (4)'!$A$3:$A$149,0),VALUE(LEFT(A665,FIND("/",A665)-1)))</f>
        <v>-0.38</v>
      </c>
      <c r="C665" s="15">
        <f t="shared" si="20"/>
        <v>13.62</v>
      </c>
      <c r="D665" s="15">
        <f t="shared" si="21"/>
        <v>56.515999999999998</v>
      </c>
    </row>
    <row r="666" spans="1:4" ht="15" customHeight="1">
      <c r="A666" t="s">
        <v>729</v>
      </c>
      <c r="B666" s="15">
        <f>INDEX('GLB.Ts+dSST (4)'!$B$3:$M$149,MATCH(VALUE(RIGHT(A666,4)),'GLB.Ts+dSST (4)'!$A$3:$A$149,0),VALUE(LEFT(A666,FIND("/",A666)-1)))</f>
        <v>-0.28999999999999998</v>
      </c>
      <c r="C666" s="15">
        <f t="shared" si="20"/>
        <v>13.71</v>
      </c>
      <c r="D666" s="15">
        <f t="shared" si="21"/>
        <v>56.677999999999997</v>
      </c>
    </row>
    <row r="667" spans="1:4" ht="15" customHeight="1">
      <c r="A667" t="s">
        <v>730</v>
      </c>
      <c r="B667" s="15">
        <f>INDEX('GLB.Ts+dSST (4)'!$B$3:$M$149,MATCH(VALUE(RIGHT(A667,4)),'GLB.Ts+dSST (4)'!$A$3:$A$149,0),VALUE(LEFT(A667,FIND("/",A667)-1)))</f>
        <v>-0.27</v>
      </c>
      <c r="C667" s="15">
        <f t="shared" si="20"/>
        <v>13.73</v>
      </c>
      <c r="D667" s="15">
        <f t="shared" si="21"/>
        <v>56.713999999999999</v>
      </c>
    </row>
    <row r="668" spans="1:4" ht="15" customHeight="1">
      <c r="A668" t="s">
        <v>731</v>
      </c>
      <c r="B668" s="15">
        <f>INDEX('GLB.Ts+dSST (4)'!$B$3:$M$149,MATCH(VALUE(RIGHT(A668,4)),'GLB.Ts+dSST (4)'!$A$3:$A$149,0),VALUE(LEFT(A668,FIND("/",A668)-1)))</f>
        <v>-0.22</v>
      </c>
      <c r="C668" s="15">
        <f t="shared" si="20"/>
        <v>13.78</v>
      </c>
      <c r="D668" s="15">
        <f t="shared" si="21"/>
        <v>56.804000000000002</v>
      </c>
    </row>
    <row r="669" spans="1:4" ht="15" customHeight="1">
      <c r="A669" t="s">
        <v>732</v>
      </c>
      <c r="B669" s="15">
        <f>INDEX('GLB.Ts+dSST (4)'!$B$3:$M$149,MATCH(VALUE(RIGHT(A669,4)),'GLB.Ts+dSST (4)'!$A$3:$A$149,0),VALUE(LEFT(A669,FIND("/",A669)-1)))</f>
        <v>-0.22</v>
      </c>
      <c r="C669" s="15">
        <f t="shared" si="20"/>
        <v>13.78</v>
      </c>
      <c r="D669" s="15">
        <f t="shared" si="21"/>
        <v>56.804000000000002</v>
      </c>
    </row>
    <row r="670" spans="1:4" ht="15" customHeight="1">
      <c r="A670" t="s">
        <v>733</v>
      </c>
      <c r="B670" s="15">
        <f>INDEX('GLB.Ts+dSST (4)'!$B$3:$M$149,MATCH(VALUE(RIGHT(A670,4)),'GLB.Ts+dSST (4)'!$A$3:$A$149,0),VALUE(LEFT(A670,FIND("/",A670)-1)))</f>
        <v>-0.21</v>
      </c>
      <c r="C670" s="15">
        <f t="shared" si="20"/>
        <v>13.79</v>
      </c>
      <c r="D670" s="15">
        <f t="shared" si="21"/>
        <v>56.822000000000003</v>
      </c>
    </row>
    <row r="671" spans="1:4" ht="15" customHeight="1">
      <c r="A671" t="s">
        <v>734</v>
      </c>
      <c r="B671" s="15">
        <f>INDEX('GLB.Ts+dSST (4)'!$B$3:$M$149,MATCH(VALUE(RIGHT(A671,4)),'GLB.Ts+dSST (4)'!$A$3:$A$149,0),VALUE(LEFT(A671,FIND("/",A671)-1)))</f>
        <v>-0.06</v>
      </c>
      <c r="C671" s="15">
        <f t="shared" si="20"/>
        <v>13.94</v>
      </c>
      <c r="D671" s="15">
        <f t="shared" si="21"/>
        <v>57.091999999999999</v>
      </c>
    </row>
    <row r="672" spans="1:4" ht="15" customHeight="1">
      <c r="A672" t="s">
        <v>735</v>
      </c>
      <c r="B672" s="15">
        <f>INDEX('GLB.Ts+dSST (4)'!$B$3:$M$149,MATCH(VALUE(RIGHT(A672,4)),'GLB.Ts+dSST (4)'!$A$3:$A$149,0),VALUE(LEFT(A672,FIND("/",A672)-1)))</f>
        <v>-0.26</v>
      </c>
      <c r="C672" s="15">
        <f t="shared" si="20"/>
        <v>13.74</v>
      </c>
      <c r="D672" s="15">
        <f t="shared" si="21"/>
        <v>56.731999999999999</v>
      </c>
    </row>
    <row r="673" spans="1:4" ht="15" customHeight="1">
      <c r="A673" t="s">
        <v>736</v>
      </c>
      <c r="B673" s="15">
        <f>INDEX('GLB.Ts+dSST (4)'!$B$3:$M$149,MATCH(VALUE(RIGHT(A673,4)),'GLB.Ts+dSST (4)'!$A$3:$A$149,0),VALUE(LEFT(A673,FIND("/",A673)-1)))</f>
        <v>-0.17</v>
      </c>
      <c r="C673" s="15">
        <f t="shared" si="20"/>
        <v>13.83</v>
      </c>
      <c r="D673" s="15">
        <f t="shared" si="21"/>
        <v>56.894000000000005</v>
      </c>
    </row>
    <row r="674" spans="1:4" ht="15" customHeight="1">
      <c r="A674" t="s">
        <v>737</v>
      </c>
      <c r="B674" s="15">
        <f>INDEX('GLB.Ts+dSST (4)'!$B$3:$M$149,MATCH(VALUE(RIGHT(A674,4)),'GLB.Ts+dSST (4)'!$A$3:$A$149,0),VALUE(LEFT(A674,FIND("/",A674)-1)))</f>
        <v>-0.28000000000000003</v>
      </c>
      <c r="C674" s="15">
        <f t="shared" si="20"/>
        <v>13.72</v>
      </c>
      <c r="D674" s="15">
        <f t="shared" si="21"/>
        <v>56.695999999999998</v>
      </c>
    </row>
    <row r="675" spans="1:4" ht="15" customHeight="1">
      <c r="A675" t="s">
        <v>738</v>
      </c>
      <c r="B675" s="15">
        <f>INDEX('GLB.Ts+dSST (4)'!$B$3:$M$149,MATCH(VALUE(RIGHT(A675,4)),'GLB.Ts+dSST (4)'!$A$3:$A$149,0),VALUE(LEFT(A675,FIND("/",A675)-1)))</f>
        <v>-0.38</v>
      </c>
      <c r="C675" s="15">
        <f t="shared" si="20"/>
        <v>13.62</v>
      </c>
      <c r="D675" s="15">
        <f t="shared" si="21"/>
        <v>56.515999999999998</v>
      </c>
    </row>
    <row r="676" spans="1:4" ht="15" customHeight="1">
      <c r="A676" t="s">
        <v>739</v>
      </c>
      <c r="B676" s="15">
        <f>INDEX('GLB.Ts+dSST (4)'!$B$3:$M$149,MATCH(VALUE(RIGHT(A676,4)),'GLB.Ts+dSST (4)'!$A$3:$A$149,0),VALUE(LEFT(A676,FIND("/",A676)-1)))</f>
        <v>-0.21</v>
      </c>
      <c r="C676" s="15">
        <f t="shared" si="20"/>
        <v>13.79</v>
      </c>
      <c r="D676" s="15">
        <f t="shared" si="21"/>
        <v>56.822000000000003</v>
      </c>
    </row>
    <row r="677" spans="1:4" ht="15" customHeight="1">
      <c r="A677" t="s">
        <v>740</v>
      </c>
      <c r="B677" s="15">
        <f>INDEX('GLB.Ts+dSST (4)'!$B$3:$M$149,MATCH(VALUE(RIGHT(A677,4)),'GLB.Ts+dSST (4)'!$A$3:$A$149,0),VALUE(LEFT(A677,FIND("/",A677)-1)))</f>
        <v>-0.21</v>
      </c>
      <c r="C677" s="15">
        <f t="shared" si="20"/>
        <v>13.79</v>
      </c>
      <c r="D677" s="15">
        <f t="shared" si="21"/>
        <v>56.822000000000003</v>
      </c>
    </row>
    <row r="678" spans="1:4" ht="15" customHeight="1">
      <c r="A678" t="s">
        <v>741</v>
      </c>
      <c r="B678" s="15">
        <f>INDEX('GLB.Ts+dSST (4)'!$B$3:$M$149,MATCH(VALUE(RIGHT(A678,4)),'GLB.Ts+dSST (4)'!$A$3:$A$149,0),VALUE(LEFT(A678,FIND("/",A678)-1)))</f>
        <v>-0.16</v>
      </c>
      <c r="C678" s="15">
        <f t="shared" si="20"/>
        <v>13.84</v>
      </c>
      <c r="D678" s="15">
        <f t="shared" si="21"/>
        <v>56.911999999999999</v>
      </c>
    </row>
    <row r="679" spans="1:4" ht="15" customHeight="1">
      <c r="A679" t="s">
        <v>742</v>
      </c>
      <c r="B679" s="15">
        <f>INDEX('GLB.Ts+dSST (4)'!$B$3:$M$149,MATCH(VALUE(RIGHT(A679,4)),'GLB.Ts+dSST (4)'!$A$3:$A$149,0),VALUE(LEFT(A679,FIND("/",A679)-1)))</f>
        <v>-0.22</v>
      </c>
      <c r="C679" s="15">
        <f t="shared" si="20"/>
        <v>13.78</v>
      </c>
      <c r="D679" s="15">
        <f t="shared" si="21"/>
        <v>56.804000000000002</v>
      </c>
    </row>
    <row r="680" spans="1:4" ht="15" customHeight="1">
      <c r="A680" t="s">
        <v>743</v>
      </c>
      <c r="B680" s="15">
        <f>INDEX('GLB.Ts+dSST (4)'!$B$3:$M$149,MATCH(VALUE(RIGHT(A680,4)),'GLB.Ts+dSST (4)'!$A$3:$A$149,0),VALUE(LEFT(A680,FIND("/",A680)-1)))</f>
        <v>-0.1</v>
      </c>
      <c r="C680" s="15">
        <f t="shared" si="20"/>
        <v>13.9</v>
      </c>
      <c r="D680" s="15">
        <f t="shared" si="21"/>
        <v>57.019999999999996</v>
      </c>
    </row>
    <row r="681" spans="1:4" ht="15" customHeight="1">
      <c r="A681" t="s">
        <v>744</v>
      </c>
      <c r="B681" s="15">
        <f>INDEX('GLB.Ts+dSST (4)'!$B$3:$M$149,MATCH(VALUE(RIGHT(A681,4)),'GLB.Ts+dSST (4)'!$A$3:$A$149,0),VALUE(LEFT(A681,FIND("/",A681)-1)))</f>
        <v>-0.14000000000000001</v>
      </c>
      <c r="C681" s="15">
        <f t="shared" si="20"/>
        <v>13.86</v>
      </c>
      <c r="D681" s="15">
        <f t="shared" si="21"/>
        <v>56.948</v>
      </c>
    </row>
    <row r="682" spans="1:4" ht="15" customHeight="1">
      <c r="A682" t="s">
        <v>745</v>
      </c>
      <c r="B682" s="15">
        <f>INDEX('GLB.Ts+dSST (4)'!$B$3:$M$149,MATCH(VALUE(RIGHT(A682,4)),'GLB.Ts+dSST (4)'!$A$3:$A$149,0),VALUE(LEFT(A682,FIND("/",A682)-1)))</f>
        <v>-0.09</v>
      </c>
      <c r="C682" s="15">
        <f t="shared" si="20"/>
        <v>13.91</v>
      </c>
      <c r="D682" s="15">
        <f t="shared" si="21"/>
        <v>57.037999999999997</v>
      </c>
    </row>
    <row r="683" spans="1:4" ht="15" customHeight="1">
      <c r="A683" t="s">
        <v>746</v>
      </c>
      <c r="B683" s="15">
        <f>INDEX('GLB.Ts+dSST (4)'!$B$3:$M$149,MATCH(VALUE(RIGHT(A683,4)),'GLB.Ts+dSST (4)'!$A$3:$A$149,0),VALUE(LEFT(A683,FIND("/",A683)-1)))</f>
        <v>-0.03</v>
      </c>
      <c r="C683" s="15">
        <f t="shared" si="20"/>
        <v>13.97</v>
      </c>
      <c r="D683" s="15">
        <f t="shared" si="21"/>
        <v>57.146000000000001</v>
      </c>
    </row>
    <row r="684" spans="1:4" ht="15" customHeight="1">
      <c r="A684" t="s">
        <v>747</v>
      </c>
      <c r="B684" s="15">
        <f>INDEX('GLB.Ts+dSST (4)'!$B$3:$M$149,MATCH(VALUE(RIGHT(A684,4)),'GLB.Ts+dSST (4)'!$A$3:$A$149,0),VALUE(LEFT(A684,FIND("/",A684)-1)))</f>
        <v>0.01</v>
      </c>
      <c r="C684" s="15">
        <f t="shared" si="20"/>
        <v>14.01</v>
      </c>
      <c r="D684" s="15">
        <f t="shared" si="21"/>
        <v>57.218000000000004</v>
      </c>
    </row>
    <row r="685" spans="1:4" ht="15" customHeight="1">
      <c r="A685" t="s">
        <v>748</v>
      </c>
      <c r="B685" s="15">
        <f>INDEX('GLB.Ts+dSST (4)'!$B$3:$M$149,MATCH(VALUE(RIGHT(A685,4)),'GLB.Ts+dSST (4)'!$A$3:$A$149,0),VALUE(LEFT(A685,FIND("/",A685)-1)))</f>
        <v>-0.01</v>
      </c>
      <c r="C685" s="15">
        <f t="shared" si="20"/>
        <v>13.99</v>
      </c>
      <c r="D685" s="15">
        <f t="shared" si="21"/>
        <v>57.182000000000002</v>
      </c>
    </row>
    <row r="686" spans="1:4" ht="15" customHeight="1">
      <c r="A686" t="s">
        <v>749</v>
      </c>
      <c r="B686" s="15">
        <f>INDEX('GLB.Ts+dSST (4)'!$B$3:$M$149,MATCH(VALUE(RIGHT(A686,4)),'GLB.Ts+dSST (4)'!$A$3:$A$149,0),VALUE(LEFT(A686,FIND("/",A686)-1)))</f>
        <v>-0.08</v>
      </c>
      <c r="C686" s="15">
        <f t="shared" si="20"/>
        <v>13.92</v>
      </c>
      <c r="D686" s="15">
        <f t="shared" si="21"/>
        <v>57.055999999999997</v>
      </c>
    </row>
    <row r="687" spans="1:4" ht="15" customHeight="1">
      <c r="A687" t="s">
        <v>750</v>
      </c>
      <c r="B687" s="15">
        <f>INDEX('GLB.Ts+dSST (4)'!$B$3:$M$149,MATCH(VALUE(RIGHT(A687,4)),'GLB.Ts+dSST (4)'!$A$3:$A$149,0),VALUE(LEFT(A687,FIND("/",A687)-1)))</f>
        <v>0.03</v>
      </c>
      <c r="C687" s="15">
        <f t="shared" si="20"/>
        <v>14.03</v>
      </c>
      <c r="D687" s="15">
        <f t="shared" si="21"/>
        <v>57.253999999999998</v>
      </c>
    </row>
    <row r="688" spans="1:4" ht="15" customHeight="1">
      <c r="A688" t="s">
        <v>751</v>
      </c>
      <c r="B688" s="15">
        <f>INDEX('GLB.Ts+dSST (4)'!$B$3:$M$149,MATCH(VALUE(RIGHT(A688,4)),'GLB.Ts+dSST (4)'!$A$3:$A$149,0),VALUE(LEFT(A688,FIND("/",A688)-1)))</f>
        <v>-0.21</v>
      </c>
      <c r="C688" s="15">
        <f t="shared" si="20"/>
        <v>13.79</v>
      </c>
      <c r="D688" s="15">
        <f t="shared" si="21"/>
        <v>56.822000000000003</v>
      </c>
    </row>
    <row r="689" spans="1:4" ht="15" customHeight="1">
      <c r="A689" t="s">
        <v>752</v>
      </c>
      <c r="B689" s="15">
        <f>INDEX('GLB.Ts+dSST (4)'!$B$3:$M$149,MATCH(VALUE(RIGHT(A689,4)),'GLB.Ts+dSST (4)'!$A$3:$A$149,0),VALUE(LEFT(A689,FIND("/",A689)-1)))</f>
        <v>-0.16</v>
      </c>
      <c r="C689" s="15">
        <f t="shared" si="20"/>
        <v>13.84</v>
      </c>
      <c r="D689" s="15">
        <f t="shared" si="21"/>
        <v>56.911999999999999</v>
      </c>
    </row>
    <row r="690" spans="1:4" ht="15" customHeight="1">
      <c r="A690" t="s">
        <v>753</v>
      </c>
      <c r="B690" s="15">
        <f>INDEX('GLB.Ts+dSST (4)'!$B$3:$M$149,MATCH(VALUE(RIGHT(A690,4)),'GLB.Ts+dSST (4)'!$A$3:$A$149,0),VALUE(LEFT(A690,FIND("/",A690)-1)))</f>
        <v>-0.06</v>
      </c>
      <c r="C690" s="15">
        <f t="shared" si="20"/>
        <v>13.94</v>
      </c>
      <c r="D690" s="15">
        <f t="shared" si="21"/>
        <v>57.091999999999999</v>
      </c>
    </row>
    <row r="691" spans="1:4" ht="15" customHeight="1">
      <c r="A691" t="s">
        <v>754</v>
      </c>
      <c r="B691" s="15">
        <f>INDEX('GLB.Ts+dSST (4)'!$B$3:$M$149,MATCH(VALUE(RIGHT(A691,4)),'GLB.Ts+dSST (4)'!$A$3:$A$149,0),VALUE(LEFT(A691,FIND("/",A691)-1)))</f>
        <v>-0.05</v>
      </c>
      <c r="C691" s="15">
        <f t="shared" si="20"/>
        <v>13.95</v>
      </c>
      <c r="D691" s="15">
        <f t="shared" si="21"/>
        <v>57.11</v>
      </c>
    </row>
    <row r="692" spans="1:4" ht="15" customHeight="1">
      <c r="A692" t="s">
        <v>755</v>
      </c>
      <c r="B692" s="15">
        <f>INDEX('GLB.Ts+dSST (4)'!$B$3:$M$149,MATCH(VALUE(RIGHT(A692,4)),'GLB.Ts+dSST (4)'!$A$3:$A$149,0),VALUE(LEFT(A692,FIND("/",A692)-1)))</f>
        <v>-0.04</v>
      </c>
      <c r="C692" s="15">
        <f t="shared" si="20"/>
        <v>13.96</v>
      </c>
      <c r="D692" s="15">
        <f t="shared" si="21"/>
        <v>57.128</v>
      </c>
    </row>
    <row r="693" spans="1:4" ht="15" customHeight="1">
      <c r="A693" t="s">
        <v>756</v>
      </c>
      <c r="B693" s="15">
        <f>INDEX('GLB.Ts+dSST (4)'!$B$3:$M$149,MATCH(VALUE(RIGHT(A693,4)),'GLB.Ts+dSST (4)'!$A$3:$A$149,0),VALUE(LEFT(A693,FIND("/",A693)-1)))</f>
        <v>0.01</v>
      </c>
      <c r="C693" s="15">
        <f t="shared" si="20"/>
        <v>14.01</v>
      </c>
      <c r="D693" s="15">
        <f t="shared" si="21"/>
        <v>57.218000000000004</v>
      </c>
    </row>
    <row r="694" spans="1:4" ht="15" customHeight="1">
      <c r="A694" t="s">
        <v>757</v>
      </c>
      <c r="B694" s="15">
        <f>INDEX('GLB.Ts+dSST (4)'!$B$3:$M$149,MATCH(VALUE(RIGHT(A694,4)),'GLB.Ts+dSST (4)'!$A$3:$A$149,0),VALUE(LEFT(A694,FIND("/",A694)-1)))</f>
        <v>0.09</v>
      </c>
      <c r="C694" s="15">
        <f t="shared" si="20"/>
        <v>14.09</v>
      </c>
      <c r="D694" s="15">
        <f t="shared" si="21"/>
        <v>57.362000000000002</v>
      </c>
    </row>
    <row r="695" spans="1:4" ht="15" customHeight="1">
      <c r="A695" t="s">
        <v>758</v>
      </c>
      <c r="B695" s="15">
        <f>INDEX('GLB.Ts+dSST (4)'!$B$3:$M$149,MATCH(VALUE(RIGHT(A695,4)),'GLB.Ts+dSST (4)'!$A$3:$A$149,0),VALUE(LEFT(A695,FIND("/",A695)-1)))</f>
        <v>0.08</v>
      </c>
      <c r="C695" s="15">
        <f t="shared" si="20"/>
        <v>14.08</v>
      </c>
      <c r="D695" s="15">
        <f t="shared" si="21"/>
        <v>57.344000000000001</v>
      </c>
    </row>
    <row r="696" spans="1:4" ht="15" customHeight="1">
      <c r="A696" t="s">
        <v>759</v>
      </c>
      <c r="B696" s="15">
        <f>INDEX('GLB.Ts+dSST (4)'!$B$3:$M$149,MATCH(VALUE(RIGHT(A696,4)),'GLB.Ts+dSST (4)'!$A$3:$A$149,0),VALUE(LEFT(A696,FIND("/",A696)-1)))</f>
        <v>7.0000000000000007E-2</v>
      </c>
      <c r="C696" s="15">
        <f t="shared" si="20"/>
        <v>14.07</v>
      </c>
      <c r="D696" s="15">
        <f t="shared" si="21"/>
        <v>57.326000000000001</v>
      </c>
    </row>
    <row r="697" spans="1:4" ht="15" customHeight="1">
      <c r="A697" t="s">
        <v>760</v>
      </c>
      <c r="B697" s="15">
        <f>INDEX('GLB.Ts+dSST (4)'!$B$3:$M$149,MATCH(VALUE(RIGHT(A697,4)),'GLB.Ts+dSST (4)'!$A$3:$A$149,0),VALUE(LEFT(A697,FIND("/",A697)-1)))</f>
        <v>-0.08</v>
      </c>
      <c r="C697" s="15">
        <f t="shared" si="20"/>
        <v>13.92</v>
      </c>
      <c r="D697" s="15">
        <f t="shared" si="21"/>
        <v>57.055999999999997</v>
      </c>
    </row>
    <row r="698" spans="1:4" ht="15" customHeight="1">
      <c r="A698" t="s">
        <v>761</v>
      </c>
      <c r="B698" s="15">
        <f>INDEX('GLB.Ts+dSST (4)'!$B$3:$M$149,MATCH(VALUE(RIGHT(A698,4)),'GLB.Ts+dSST (4)'!$A$3:$A$149,0),VALUE(LEFT(A698,FIND("/",A698)-1)))</f>
        <v>0.08</v>
      </c>
      <c r="C698" s="15">
        <f t="shared" si="20"/>
        <v>14.08</v>
      </c>
      <c r="D698" s="15">
        <f t="shared" si="21"/>
        <v>57.344000000000001</v>
      </c>
    </row>
    <row r="699" spans="1:4" ht="15" customHeight="1">
      <c r="A699" t="s">
        <v>762</v>
      </c>
      <c r="B699" s="15">
        <f>INDEX('GLB.Ts+dSST (4)'!$B$3:$M$149,MATCH(VALUE(RIGHT(A699,4)),'GLB.Ts+dSST (4)'!$A$3:$A$149,0),VALUE(LEFT(A699,FIND("/",A699)-1)))</f>
        <v>0.03</v>
      </c>
      <c r="C699" s="15">
        <f t="shared" si="20"/>
        <v>14.03</v>
      </c>
      <c r="D699" s="15">
        <f t="shared" si="21"/>
        <v>57.253999999999998</v>
      </c>
    </row>
    <row r="700" spans="1:4" ht="15" customHeight="1">
      <c r="A700" t="s">
        <v>763</v>
      </c>
      <c r="B700" s="15">
        <f>INDEX('GLB.Ts+dSST (4)'!$B$3:$M$149,MATCH(VALUE(RIGHT(A700,4)),'GLB.Ts+dSST (4)'!$A$3:$A$149,0),VALUE(LEFT(A700,FIND("/",A700)-1)))</f>
        <v>0.1</v>
      </c>
      <c r="C700" s="15">
        <f t="shared" si="20"/>
        <v>14.1</v>
      </c>
      <c r="D700" s="15">
        <f t="shared" si="21"/>
        <v>57.379999999999995</v>
      </c>
    </row>
    <row r="701" spans="1:4" ht="15" customHeight="1">
      <c r="A701" t="s">
        <v>764</v>
      </c>
      <c r="B701" s="15">
        <f>INDEX('GLB.Ts+dSST (4)'!$B$3:$M$149,MATCH(VALUE(RIGHT(A701,4)),'GLB.Ts+dSST (4)'!$A$3:$A$149,0),VALUE(LEFT(A701,FIND("/",A701)-1)))</f>
        <v>0.06</v>
      </c>
      <c r="C701" s="15">
        <f t="shared" si="20"/>
        <v>14.06</v>
      </c>
      <c r="D701" s="15">
        <f t="shared" si="21"/>
        <v>57.308</v>
      </c>
    </row>
    <row r="702" spans="1:4" ht="15" customHeight="1">
      <c r="A702" t="s">
        <v>765</v>
      </c>
      <c r="B702" s="15">
        <f>INDEX('GLB.Ts+dSST (4)'!$B$3:$M$149,MATCH(VALUE(RIGHT(A702,4)),'GLB.Ts+dSST (4)'!$A$3:$A$149,0),VALUE(LEFT(A702,FIND("/",A702)-1)))</f>
        <v>-0.1</v>
      </c>
      <c r="C702" s="15">
        <f t="shared" si="20"/>
        <v>13.9</v>
      </c>
      <c r="D702" s="15">
        <f t="shared" si="21"/>
        <v>57.019999999999996</v>
      </c>
    </row>
    <row r="703" spans="1:4" ht="15" customHeight="1">
      <c r="A703" t="s">
        <v>766</v>
      </c>
      <c r="B703" s="15">
        <f>INDEX('GLB.Ts+dSST (4)'!$B$3:$M$149,MATCH(VALUE(RIGHT(A703,4)),'GLB.Ts+dSST (4)'!$A$3:$A$149,0),VALUE(LEFT(A703,FIND("/",A703)-1)))</f>
        <v>-0.17</v>
      </c>
      <c r="C703" s="15">
        <f t="shared" si="20"/>
        <v>13.83</v>
      </c>
      <c r="D703" s="15">
        <f t="shared" si="21"/>
        <v>56.894000000000005</v>
      </c>
    </row>
    <row r="704" spans="1:4" ht="15" customHeight="1">
      <c r="A704" t="s">
        <v>767</v>
      </c>
      <c r="B704" s="15">
        <f>INDEX('GLB.Ts+dSST (4)'!$B$3:$M$149,MATCH(VALUE(RIGHT(A704,4)),'GLB.Ts+dSST (4)'!$A$3:$A$149,0),VALUE(LEFT(A704,FIND("/",A704)-1)))</f>
        <v>-0.1</v>
      </c>
      <c r="C704" s="15">
        <f t="shared" si="20"/>
        <v>13.9</v>
      </c>
      <c r="D704" s="15">
        <f t="shared" si="21"/>
        <v>57.019999999999996</v>
      </c>
    </row>
    <row r="705" spans="1:4" ht="15" customHeight="1">
      <c r="A705" t="s">
        <v>768</v>
      </c>
      <c r="B705" s="15">
        <f>INDEX('GLB.Ts+dSST (4)'!$B$3:$M$149,MATCH(VALUE(RIGHT(A705,4)),'GLB.Ts+dSST (4)'!$A$3:$A$149,0),VALUE(LEFT(A705,FIND("/",A705)-1)))</f>
        <v>-0.06</v>
      </c>
      <c r="C705" s="15">
        <f t="shared" si="20"/>
        <v>13.94</v>
      </c>
      <c r="D705" s="15">
        <f t="shared" si="21"/>
        <v>57.091999999999999</v>
      </c>
    </row>
    <row r="706" spans="1:4" ht="15" customHeight="1">
      <c r="A706" t="s">
        <v>769</v>
      </c>
      <c r="B706" s="15">
        <f>INDEX('GLB.Ts+dSST (4)'!$B$3:$M$149,MATCH(VALUE(RIGHT(A706,4)),'GLB.Ts+dSST (4)'!$A$3:$A$149,0),VALUE(LEFT(A706,FIND("/",A706)-1)))</f>
        <v>0.01</v>
      </c>
      <c r="C706" s="15">
        <f t="shared" ref="C706:C769" si="22">B706+14</f>
        <v>14.01</v>
      </c>
      <c r="D706" s="15">
        <f t="shared" ref="D706:D769" si="23">C706*(9/5)+32</f>
        <v>57.218000000000004</v>
      </c>
    </row>
    <row r="707" spans="1:4" ht="15" customHeight="1">
      <c r="A707" t="s">
        <v>770</v>
      </c>
      <c r="B707" s="15">
        <f>INDEX('GLB.Ts+dSST (4)'!$B$3:$M$149,MATCH(VALUE(RIGHT(A707,4)),'GLB.Ts+dSST (4)'!$A$3:$A$149,0),VALUE(LEFT(A707,FIND("/",A707)-1)))</f>
        <v>0.14000000000000001</v>
      </c>
      <c r="C707" s="15">
        <f t="shared" si="22"/>
        <v>14.14</v>
      </c>
      <c r="D707" s="15">
        <f t="shared" si="23"/>
        <v>57.451999999999998</v>
      </c>
    </row>
    <row r="708" spans="1:4" ht="15" customHeight="1">
      <c r="A708" t="s">
        <v>771</v>
      </c>
      <c r="B708" s="15">
        <f>INDEX('GLB.Ts+dSST (4)'!$B$3:$M$149,MATCH(VALUE(RIGHT(A708,4)),'GLB.Ts+dSST (4)'!$A$3:$A$149,0),VALUE(LEFT(A708,FIND("/",A708)-1)))</f>
        <v>7.0000000000000007E-2</v>
      </c>
      <c r="C708" s="15">
        <f t="shared" si="22"/>
        <v>14.07</v>
      </c>
      <c r="D708" s="15">
        <f t="shared" si="23"/>
        <v>57.326000000000001</v>
      </c>
    </row>
    <row r="709" spans="1:4" ht="15" customHeight="1">
      <c r="A709" t="s">
        <v>772</v>
      </c>
      <c r="B709" s="15">
        <f>INDEX('GLB.Ts+dSST (4)'!$B$3:$M$149,MATCH(VALUE(RIGHT(A709,4)),'GLB.Ts+dSST (4)'!$A$3:$A$149,0),VALUE(LEFT(A709,FIND("/",A709)-1)))</f>
        <v>-0.13</v>
      </c>
      <c r="C709" s="15">
        <f t="shared" si="22"/>
        <v>13.87</v>
      </c>
      <c r="D709" s="15">
        <f t="shared" si="23"/>
        <v>56.965999999999994</v>
      </c>
    </row>
    <row r="710" spans="1:4" ht="15" customHeight="1">
      <c r="A710" t="s">
        <v>773</v>
      </c>
      <c r="B710" s="15">
        <f>INDEX('GLB.Ts+dSST (4)'!$B$3:$M$149,MATCH(VALUE(RIGHT(A710,4)),'GLB.Ts+dSST (4)'!$A$3:$A$149,0),VALUE(LEFT(A710,FIND("/",A710)-1)))</f>
        <v>-0.06</v>
      </c>
      <c r="C710" s="15">
        <f t="shared" si="22"/>
        <v>13.94</v>
      </c>
      <c r="D710" s="15">
        <f t="shared" si="23"/>
        <v>57.091999999999999</v>
      </c>
    </row>
    <row r="711" spans="1:4" ht="15" customHeight="1">
      <c r="A711" t="s">
        <v>774</v>
      </c>
      <c r="B711" s="15">
        <f>INDEX('GLB.Ts+dSST (4)'!$B$3:$M$149,MATCH(VALUE(RIGHT(A711,4)),'GLB.Ts+dSST (4)'!$A$3:$A$149,0),VALUE(LEFT(A711,FIND("/",A711)-1)))</f>
        <v>-7.0000000000000007E-2</v>
      </c>
      <c r="C711" s="15">
        <f t="shared" si="22"/>
        <v>13.93</v>
      </c>
      <c r="D711" s="15">
        <f t="shared" si="23"/>
        <v>57.073999999999998</v>
      </c>
    </row>
    <row r="712" spans="1:4" ht="15" customHeight="1">
      <c r="A712" t="s">
        <v>775</v>
      </c>
      <c r="B712" s="15">
        <f>INDEX('GLB.Ts+dSST (4)'!$B$3:$M$149,MATCH(VALUE(RIGHT(A712,4)),'GLB.Ts+dSST (4)'!$A$3:$A$149,0),VALUE(LEFT(A712,FIND("/",A712)-1)))</f>
        <v>-0.18</v>
      </c>
      <c r="C712" s="15">
        <f t="shared" si="22"/>
        <v>13.82</v>
      </c>
      <c r="D712" s="15">
        <f t="shared" si="23"/>
        <v>56.876000000000005</v>
      </c>
    </row>
    <row r="713" spans="1:4" ht="15" customHeight="1">
      <c r="A713" t="s">
        <v>776</v>
      </c>
      <c r="B713" s="15">
        <f>INDEX('GLB.Ts+dSST (4)'!$B$3:$M$149,MATCH(VALUE(RIGHT(A713,4)),'GLB.Ts+dSST (4)'!$A$3:$A$149,0),VALUE(LEFT(A713,FIND("/",A713)-1)))</f>
        <v>-0.1</v>
      </c>
      <c r="C713" s="15">
        <f t="shared" si="22"/>
        <v>13.9</v>
      </c>
      <c r="D713" s="15">
        <f t="shared" si="23"/>
        <v>57.019999999999996</v>
      </c>
    </row>
    <row r="714" spans="1:4" ht="15" customHeight="1">
      <c r="A714" t="s">
        <v>777</v>
      </c>
      <c r="B714" s="15">
        <f>INDEX('GLB.Ts+dSST (4)'!$B$3:$M$149,MATCH(VALUE(RIGHT(A714,4)),'GLB.Ts+dSST (4)'!$A$3:$A$149,0),VALUE(LEFT(A714,FIND("/",A714)-1)))</f>
        <v>-0.05</v>
      </c>
      <c r="C714" s="15">
        <f t="shared" si="22"/>
        <v>13.95</v>
      </c>
      <c r="D714" s="15">
        <f t="shared" si="23"/>
        <v>57.11</v>
      </c>
    </row>
    <row r="715" spans="1:4" ht="15" customHeight="1">
      <c r="A715" t="s">
        <v>778</v>
      </c>
      <c r="B715" s="15">
        <f>INDEX('GLB.Ts+dSST (4)'!$B$3:$M$149,MATCH(VALUE(RIGHT(A715,4)),'GLB.Ts+dSST (4)'!$A$3:$A$149,0),VALUE(LEFT(A715,FIND("/",A715)-1)))</f>
        <v>-7.0000000000000007E-2</v>
      </c>
      <c r="C715" s="15">
        <f t="shared" si="22"/>
        <v>13.93</v>
      </c>
      <c r="D715" s="15">
        <f t="shared" si="23"/>
        <v>57.073999999999998</v>
      </c>
    </row>
    <row r="716" spans="1:4" ht="15" customHeight="1">
      <c r="A716" t="s">
        <v>779</v>
      </c>
      <c r="B716" s="15">
        <f>INDEX('GLB.Ts+dSST (4)'!$B$3:$M$149,MATCH(VALUE(RIGHT(A716,4)),'GLB.Ts+dSST (4)'!$A$3:$A$149,0),VALUE(LEFT(A716,FIND("/",A716)-1)))</f>
        <v>-0.06</v>
      </c>
      <c r="C716" s="15">
        <f t="shared" si="22"/>
        <v>13.94</v>
      </c>
      <c r="D716" s="15">
        <f t="shared" si="23"/>
        <v>57.091999999999999</v>
      </c>
    </row>
    <row r="717" spans="1:4" ht="15" customHeight="1">
      <c r="A717" t="s">
        <v>780</v>
      </c>
      <c r="B717" s="15">
        <f>INDEX('GLB.Ts+dSST (4)'!$B$3:$M$149,MATCH(VALUE(RIGHT(A717,4)),'GLB.Ts+dSST (4)'!$A$3:$A$149,0),VALUE(LEFT(A717,FIND("/",A717)-1)))</f>
        <v>-7.0000000000000007E-2</v>
      </c>
      <c r="C717" s="15">
        <f t="shared" si="22"/>
        <v>13.93</v>
      </c>
      <c r="D717" s="15">
        <f t="shared" si="23"/>
        <v>57.073999999999998</v>
      </c>
    </row>
    <row r="718" spans="1:4" ht="15" customHeight="1">
      <c r="A718" t="s">
        <v>781</v>
      </c>
      <c r="B718" s="15">
        <f>INDEX('GLB.Ts+dSST (4)'!$B$3:$M$149,MATCH(VALUE(RIGHT(A718,4)),'GLB.Ts+dSST (4)'!$A$3:$A$149,0),VALUE(LEFT(A718,FIND("/",A718)-1)))</f>
        <v>-0.08</v>
      </c>
      <c r="C718" s="15">
        <f t="shared" si="22"/>
        <v>13.92</v>
      </c>
      <c r="D718" s="15">
        <f t="shared" si="23"/>
        <v>57.055999999999997</v>
      </c>
    </row>
    <row r="719" spans="1:4" ht="15" customHeight="1">
      <c r="A719" t="s">
        <v>782</v>
      </c>
      <c r="B719" s="15">
        <f>INDEX('GLB.Ts+dSST (4)'!$B$3:$M$149,MATCH(VALUE(RIGHT(A719,4)),'GLB.Ts+dSST (4)'!$A$3:$A$149,0),VALUE(LEFT(A719,FIND("/",A719)-1)))</f>
        <v>-0.04</v>
      </c>
      <c r="C719" s="15">
        <f t="shared" si="22"/>
        <v>13.96</v>
      </c>
      <c r="D719" s="15">
        <f t="shared" si="23"/>
        <v>57.128</v>
      </c>
    </row>
    <row r="720" spans="1:4" ht="15" customHeight="1">
      <c r="A720" t="s">
        <v>783</v>
      </c>
      <c r="B720" s="15">
        <f>INDEX('GLB.Ts+dSST (4)'!$B$3:$M$149,MATCH(VALUE(RIGHT(A720,4)),'GLB.Ts+dSST (4)'!$A$3:$A$149,0),VALUE(LEFT(A720,FIND("/",A720)-1)))</f>
        <v>7.0000000000000007E-2</v>
      </c>
      <c r="C720" s="15">
        <f t="shared" si="22"/>
        <v>14.07</v>
      </c>
      <c r="D720" s="15">
        <f t="shared" si="23"/>
        <v>57.326000000000001</v>
      </c>
    </row>
    <row r="721" spans="1:4" ht="15" customHeight="1">
      <c r="A721" t="s">
        <v>784</v>
      </c>
      <c r="B721" s="15">
        <f>INDEX('GLB.Ts+dSST (4)'!$B$3:$M$149,MATCH(VALUE(RIGHT(A721,4)),'GLB.Ts+dSST (4)'!$A$3:$A$149,0),VALUE(LEFT(A721,FIND("/",A721)-1)))</f>
        <v>0.42</v>
      </c>
      <c r="C721" s="15">
        <f t="shared" si="22"/>
        <v>14.42</v>
      </c>
      <c r="D721" s="15">
        <f t="shared" si="23"/>
        <v>57.956000000000003</v>
      </c>
    </row>
    <row r="722" spans="1:4" ht="15" customHeight="1">
      <c r="A722" t="s">
        <v>785</v>
      </c>
      <c r="B722" s="15">
        <f>INDEX('GLB.Ts+dSST (4)'!$B$3:$M$149,MATCH(VALUE(RIGHT(A722,4)),'GLB.Ts+dSST (4)'!$A$3:$A$149,0),VALUE(LEFT(A722,FIND("/",A722)-1)))</f>
        <v>-0.01</v>
      </c>
      <c r="C722" s="15">
        <f t="shared" si="22"/>
        <v>13.99</v>
      </c>
      <c r="D722" s="15">
        <f t="shared" si="23"/>
        <v>57.182000000000002</v>
      </c>
    </row>
    <row r="723" spans="1:4" ht="15" customHeight="1">
      <c r="A723" t="s">
        <v>786</v>
      </c>
      <c r="B723" s="15">
        <f>INDEX('GLB.Ts+dSST (4)'!$B$3:$M$149,MATCH(VALUE(RIGHT(A723,4)),'GLB.Ts+dSST (4)'!$A$3:$A$149,0),VALUE(LEFT(A723,FIND("/",A723)-1)))</f>
        <v>0.08</v>
      </c>
      <c r="C723" s="15">
        <f t="shared" si="22"/>
        <v>14.08</v>
      </c>
      <c r="D723" s="15">
        <f t="shared" si="23"/>
        <v>57.344000000000001</v>
      </c>
    </row>
    <row r="724" spans="1:4" ht="15" customHeight="1">
      <c r="A724" t="s">
        <v>787</v>
      </c>
      <c r="B724" s="15">
        <f>INDEX('GLB.Ts+dSST (4)'!$B$3:$M$149,MATCH(VALUE(RIGHT(A724,4)),'GLB.Ts+dSST (4)'!$A$3:$A$149,0),VALUE(LEFT(A724,FIND("/",A724)-1)))</f>
        <v>0.09</v>
      </c>
      <c r="C724" s="15">
        <f t="shared" si="22"/>
        <v>14.09</v>
      </c>
      <c r="D724" s="15">
        <f t="shared" si="23"/>
        <v>57.362000000000002</v>
      </c>
    </row>
    <row r="725" spans="1:4" ht="15" customHeight="1">
      <c r="A725" t="s">
        <v>788</v>
      </c>
      <c r="B725" s="15">
        <f>INDEX('GLB.Ts+dSST (4)'!$B$3:$M$149,MATCH(VALUE(RIGHT(A725,4)),'GLB.Ts+dSST (4)'!$A$3:$A$149,0),VALUE(LEFT(A725,FIND("/",A725)-1)))</f>
        <v>0.17</v>
      </c>
      <c r="C725" s="15">
        <f t="shared" si="22"/>
        <v>14.17</v>
      </c>
      <c r="D725" s="15">
        <f t="shared" si="23"/>
        <v>57.506</v>
      </c>
    </row>
    <row r="726" spans="1:4" ht="15" customHeight="1">
      <c r="A726" t="s">
        <v>789</v>
      </c>
      <c r="B726" s="15">
        <f>INDEX('GLB.Ts+dSST (4)'!$B$3:$M$149,MATCH(VALUE(RIGHT(A726,4)),'GLB.Ts+dSST (4)'!$A$3:$A$149,0),VALUE(LEFT(A726,FIND("/",A726)-1)))</f>
        <v>0.11</v>
      </c>
      <c r="C726" s="15">
        <f t="shared" si="22"/>
        <v>14.11</v>
      </c>
      <c r="D726" s="15">
        <f t="shared" si="23"/>
        <v>57.397999999999996</v>
      </c>
    </row>
    <row r="727" spans="1:4" ht="15" customHeight="1">
      <c r="A727" t="s">
        <v>790</v>
      </c>
      <c r="B727" s="15">
        <f>INDEX('GLB.Ts+dSST (4)'!$B$3:$M$149,MATCH(VALUE(RIGHT(A727,4)),'GLB.Ts+dSST (4)'!$A$3:$A$149,0),VALUE(LEFT(A727,FIND("/",A727)-1)))</f>
        <v>0.11</v>
      </c>
      <c r="C727" s="15">
        <f t="shared" si="22"/>
        <v>14.11</v>
      </c>
      <c r="D727" s="15">
        <f t="shared" si="23"/>
        <v>57.397999999999996</v>
      </c>
    </row>
    <row r="728" spans="1:4" ht="15" customHeight="1">
      <c r="A728" t="s">
        <v>791</v>
      </c>
      <c r="B728" s="15">
        <f>INDEX('GLB.Ts+dSST (4)'!$B$3:$M$149,MATCH(VALUE(RIGHT(A728,4)),'GLB.Ts+dSST (4)'!$A$3:$A$149,0),VALUE(LEFT(A728,FIND("/",A728)-1)))</f>
        <v>0.12</v>
      </c>
      <c r="C728" s="15">
        <f t="shared" si="22"/>
        <v>14.12</v>
      </c>
      <c r="D728" s="15">
        <f t="shared" si="23"/>
        <v>57.415999999999997</v>
      </c>
    </row>
    <row r="729" spans="1:4" ht="15" customHeight="1">
      <c r="A729" t="s">
        <v>792</v>
      </c>
      <c r="B729" s="15">
        <f>INDEX('GLB.Ts+dSST (4)'!$B$3:$M$149,MATCH(VALUE(RIGHT(A729,4)),'GLB.Ts+dSST (4)'!$A$3:$A$149,0),VALUE(LEFT(A729,FIND("/",A729)-1)))</f>
        <v>0.06</v>
      </c>
      <c r="C729" s="15">
        <f t="shared" si="22"/>
        <v>14.06</v>
      </c>
      <c r="D729" s="15">
        <f t="shared" si="23"/>
        <v>57.308</v>
      </c>
    </row>
    <row r="730" spans="1:4" ht="15" customHeight="1">
      <c r="A730" t="s">
        <v>793</v>
      </c>
      <c r="B730" s="15">
        <f>INDEX('GLB.Ts+dSST (4)'!$B$3:$M$149,MATCH(VALUE(RIGHT(A730,4)),'GLB.Ts+dSST (4)'!$A$3:$A$149,0),VALUE(LEFT(A730,FIND("/",A730)-1)))</f>
        <v>0.15</v>
      </c>
      <c r="C730" s="15">
        <f t="shared" si="22"/>
        <v>14.15</v>
      </c>
      <c r="D730" s="15">
        <f t="shared" si="23"/>
        <v>57.47</v>
      </c>
    </row>
    <row r="731" spans="1:4" ht="15" customHeight="1">
      <c r="A731" t="s">
        <v>794</v>
      </c>
      <c r="B731" s="15">
        <f>INDEX('GLB.Ts+dSST (4)'!$B$3:$M$149,MATCH(VALUE(RIGHT(A731,4)),'GLB.Ts+dSST (4)'!$A$3:$A$149,0),VALUE(LEFT(A731,FIND("/",A731)-1)))</f>
        <v>0.11</v>
      </c>
      <c r="C731" s="15">
        <f t="shared" si="22"/>
        <v>14.11</v>
      </c>
      <c r="D731" s="15">
        <f t="shared" si="23"/>
        <v>57.397999999999996</v>
      </c>
    </row>
    <row r="732" spans="1:4" ht="15" customHeight="1">
      <c r="A732" t="s">
        <v>795</v>
      </c>
      <c r="B732" s="15">
        <f>INDEX('GLB.Ts+dSST (4)'!$B$3:$M$149,MATCH(VALUE(RIGHT(A732,4)),'GLB.Ts+dSST (4)'!$A$3:$A$149,0),VALUE(LEFT(A732,FIND("/",A732)-1)))</f>
        <v>0.16</v>
      </c>
      <c r="C732" s="15">
        <f t="shared" si="22"/>
        <v>14.16</v>
      </c>
      <c r="D732" s="15">
        <f t="shared" si="23"/>
        <v>57.488</v>
      </c>
    </row>
    <row r="733" spans="1:4" ht="15" customHeight="1">
      <c r="A733" t="s">
        <v>796</v>
      </c>
      <c r="B733" s="15">
        <f>INDEX('GLB.Ts+dSST (4)'!$B$3:$M$149,MATCH(VALUE(RIGHT(A733,4)),'GLB.Ts+dSST (4)'!$A$3:$A$149,0),VALUE(LEFT(A733,FIND("/",A733)-1)))</f>
        <v>0.31</v>
      </c>
      <c r="C733" s="15">
        <f t="shared" si="22"/>
        <v>14.31</v>
      </c>
      <c r="D733" s="15">
        <f t="shared" si="23"/>
        <v>57.758000000000003</v>
      </c>
    </row>
    <row r="734" spans="1:4" ht="15" customHeight="1">
      <c r="A734" t="s">
        <v>797</v>
      </c>
      <c r="B734" s="15">
        <f>INDEX('GLB.Ts+dSST (4)'!$B$3:$M$149,MATCH(VALUE(RIGHT(A734,4)),'GLB.Ts+dSST (4)'!$A$3:$A$149,0),VALUE(LEFT(A734,FIND("/",A734)-1)))</f>
        <v>0.17</v>
      </c>
      <c r="C734" s="15">
        <f t="shared" si="22"/>
        <v>14.17</v>
      </c>
      <c r="D734" s="15">
        <f t="shared" si="23"/>
        <v>57.506</v>
      </c>
    </row>
    <row r="735" spans="1:4" ht="15" customHeight="1">
      <c r="A735" t="s">
        <v>798</v>
      </c>
      <c r="B735" s="15">
        <f>INDEX('GLB.Ts+dSST (4)'!$B$3:$M$149,MATCH(VALUE(RIGHT(A735,4)),'GLB.Ts+dSST (4)'!$A$3:$A$149,0),VALUE(LEFT(A735,FIND("/",A735)-1)))</f>
        <v>0.3</v>
      </c>
      <c r="C735" s="15">
        <f t="shared" si="22"/>
        <v>14.3</v>
      </c>
      <c r="D735" s="15">
        <f t="shared" si="23"/>
        <v>57.74</v>
      </c>
    </row>
    <row r="736" spans="1:4" ht="15" customHeight="1">
      <c r="A736" t="s">
        <v>799</v>
      </c>
      <c r="B736" s="15">
        <f>INDEX('GLB.Ts+dSST (4)'!$B$3:$M$149,MATCH(VALUE(RIGHT(A736,4)),'GLB.Ts+dSST (4)'!$A$3:$A$149,0),VALUE(LEFT(A736,FIND("/",A736)-1)))</f>
        <v>0.1</v>
      </c>
      <c r="C736" s="15">
        <f t="shared" si="22"/>
        <v>14.1</v>
      </c>
      <c r="D736" s="15">
        <f t="shared" si="23"/>
        <v>57.379999999999995</v>
      </c>
    </row>
    <row r="737" spans="1:4" ht="15" customHeight="1">
      <c r="A737" t="s">
        <v>800</v>
      </c>
      <c r="B737" s="15">
        <f>INDEX('GLB.Ts+dSST (4)'!$B$3:$M$149,MATCH(VALUE(RIGHT(A737,4)),'GLB.Ts+dSST (4)'!$A$3:$A$149,0),VALUE(LEFT(A737,FIND("/",A737)-1)))</f>
        <v>0.16</v>
      </c>
      <c r="C737" s="15">
        <f t="shared" si="22"/>
        <v>14.16</v>
      </c>
      <c r="D737" s="15">
        <f t="shared" si="23"/>
        <v>57.488</v>
      </c>
    </row>
    <row r="738" spans="1:4" ht="15" customHeight="1">
      <c r="A738" t="s">
        <v>801</v>
      </c>
      <c r="B738" s="15">
        <f>INDEX('GLB.Ts+dSST (4)'!$B$3:$M$149,MATCH(VALUE(RIGHT(A738,4)),'GLB.Ts+dSST (4)'!$A$3:$A$149,0),VALUE(LEFT(A738,FIND("/",A738)-1)))</f>
        <v>0.16</v>
      </c>
      <c r="C738" s="15">
        <f t="shared" si="22"/>
        <v>14.16</v>
      </c>
      <c r="D738" s="15">
        <f t="shared" si="23"/>
        <v>57.488</v>
      </c>
    </row>
    <row r="739" spans="1:4" ht="15" customHeight="1">
      <c r="A739" t="s">
        <v>802</v>
      </c>
      <c r="B739" s="15">
        <f>INDEX('GLB.Ts+dSST (4)'!$B$3:$M$149,MATCH(VALUE(RIGHT(A739,4)),'GLB.Ts+dSST (4)'!$A$3:$A$149,0),VALUE(LEFT(A739,FIND("/",A739)-1)))</f>
        <v>0.12</v>
      </c>
      <c r="C739" s="15">
        <f t="shared" si="22"/>
        <v>14.12</v>
      </c>
      <c r="D739" s="15">
        <f t="shared" si="23"/>
        <v>57.415999999999997</v>
      </c>
    </row>
    <row r="740" spans="1:4" ht="15" customHeight="1">
      <c r="A740" t="s">
        <v>803</v>
      </c>
      <c r="B740" s="15">
        <f>INDEX('GLB.Ts+dSST (4)'!$B$3:$M$149,MATCH(VALUE(RIGHT(A740,4)),'GLB.Ts+dSST (4)'!$A$3:$A$149,0),VALUE(LEFT(A740,FIND("/",A740)-1)))</f>
        <v>0.21</v>
      </c>
      <c r="C740" s="15">
        <f t="shared" si="22"/>
        <v>14.21</v>
      </c>
      <c r="D740" s="15">
        <f t="shared" si="23"/>
        <v>57.578000000000003</v>
      </c>
    </row>
    <row r="741" spans="1:4" ht="15" customHeight="1">
      <c r="A741" t="s">
        <v>804</v>
      </c>
      <c r="B741" s="15">
        <f>INDEX('GLB.Ts+dSST (4)'!$B$3:$M$149,MATCH(VALUE(RIGHT(A741,4)),'GLB.Ts+dSST (4)'!$A$3:$A$149,0),VALUE(LEFT(A741,FIND("/",A741)-1)))</f>
        <v>0.14000000000000001</v>
      </c>
      <c r="C741" s="15">
        <f t="shared" si="22"/>
        <v>14.14</v>
      </c>
      <c r="D741" s="15">
        <f t="shared" si="23"/>
        <v>57.451999999999998</v>
      </c>
    </row>
    <row r="742" spans="1:4" ht="15" customHeight="1">
      <c r="A742" t="s">
        <v>805</v>
      </c>
      <c r="B742" s="15">
        <f>INDEX('GLB.Ts+dSST (4)'!$B$3:$M$149,MATCH(VALUE(RIGHT(A742,4)),'GLB.Ts+dSST (4)'!$A$3:$A$149,0),VALUE(LEFT(A742,FIND("/",A742)-1)))</f>
        <v>0.02</v>
      </c>
      <c r="C742" s="15">
        <f t="shared" si="22"/>
        <v>14.02</v>
      </c>
      <c r="D742" s="15">
        <f t="shared" si="23"/>
        <v>57.236000000000004</v>
      </c>
    </row>
    <row r="743" spans="1:4" ht="15" customHeight="1">
      <c r="A743" t="s">
        <v>806</v>
      </c>
      <c r="B743" s="15">
        <f>INDEX('GLB.Ts+dSST (4)'!$B$3:$M$149,MATCH(VALUE(RIGHT(A743,4)),'GLB.Ts+dSST (4)'!$A$3:$A$149,0),VALUE(LEFT(A743,FIND("/",A743)-1)))</f>
        <v>0.35</v>
      </c>
      <c r="C743" s="15">
        <f t="shared" si="22"/>
        <v>14.35</v>
      </c>
      <c r="D743" s="15">
        <f t="shared" si="23"/>
        <v>57.83</v>
      </c>
    </row>
    <row r="744" spans="1:4" ht="15" customHeight="1">
      <c r="A744" t="s">
        <v>807</v>
      </c>
      <c r="B744" s="15">
        <f>INDEX('GLB.Ts+dSST (4)'!$B$3:$M$149,MATCH(VALUE(RIGHT(A744,4)),'GLB.Ts+dSST (4)'!$A$3:$A$149,0),VALUE(LEFT(A744,FIND("/",A744)-1)))</f>
        <v>0.22</v>
      </c>
      <c r="C744" s="15">
        <f t="shared" si="22"/>
        <v>14.22</v>
      </c>
      <c r="D744" s="15">
        <f t="shared" si="23"/>
        <v>57.596000000000004</v>
      </c>
    </row>
    <row r="745" spans="1:4" ht="15" customHeight="1">
      <c r="A745" t="s">
        <v>808</v>
      </c>
      <c r="B745" s="15">
        <f>INDEX('GLB.Ts+dSST (4)'!$B$3:$M$149,MATCH(VALUE(RIGHT(A745,4)),'GLB.Ts+dSST (4)'!$A$3:$A$149,0),VALUE(LEFT(A745,FIND("/",A745)-1)))</f>
        <v>0.21</v>
      </c>
      <c r="C745" s="15">
        <f t="shared" si="22"/>
        <v>14.21</v>
      </c>
      <c r="D745" s="15">
        <f t="shared" si="23"/>
        <v>57.578000000000003</v>
      </c>
    </row>
    <row r="746" spans="1:4" ht="15" customHeight="1">
      <c r="A746" t="s">
        <v>809</v>
      </c>
      <c r="B746" s="15">
        <f>INDEX('GLB.Ts+dSST (4)'!$B$3:$M$149,MATCH(VALUE(RIGHT(A746,4)),'GLB.Ts+dSST (4)'!$A$3:$A$149,0),VALUE(LEFT(A746,FIND("/",A746)-1)))</f>
        <v>0.28999999999999998</v>
      </c>
      <c r="C746" s="15">
        <f t="shared" si="22"/>
        <v>14.29</v>
      </c>
      <c r="D746" s="15">
        <f t="shared" si="23"/>
        <v>57.721999999999994</v>
      </c>
    </row>
    <row r="747" spans="1:4" ht="15" customHeight="1">
      <c r="A747" t="s">
        <v>810</v>
      </c>
      <c r="B747" s="15">
        <f>INDEX('GLB.Ts+dSST (4)'!$B$3:$M$149,MATCH(VALUE(RIGHT(A747,4)),'GLB.Ts+dSST (4)'!$A$3:$A$149,0),VALUE(LEFT(A747,FIND("/",A747)-1)))</f>
        <v>0.02</v>
      </c>
      <c r="C747" s="15">
        <f t="shared" si="22"/>
        <v>14.02</v>
      </c>
      <c r="D747" s="15">
        <f t="shared" si="23"/>
        <v>57.236000000000004</v>
      </c>
    </row>
    <row r="748" spans="1:4" ht="15" customHeight="1">
      <c r="A748" t="s">
        <v>811</v>
      </c>
      <c r="B748" s="15">
        <f>INDEX('GLB.Ts+dSST (4)'!$B$3:$M$149,MATCH(VALUE(RIGHT(A748,4)),'GLB.Ts+dSST (4)'!$A$3:$A$149,0),VALUE(LEFT(A748,FIND("/",A748)-1)))</f>
        <v>0.05</v>
      </c>
      <c r="C748" s="15">
        <f t="shared" si="22"/>
        <v>14.05</v>
      </c>
      <c r="D748" s="15">
        <f t="shared" si="23"/>
        <v>57.290000000000006</v>
      </c>
    </row>
    <row r="749" spans="1:4" ht="15" customHeight="1">
      <c r="A749" t="s">
        <v>812</v>
      </c>
      <c r="B749" s="15">
        <f>INDEX('GLB.Ts+dSST (4)'!$B$3:$M$149,MATCH(VALUE(RIGHT(A749,4)),'GLB.Ts+dSST (4)'!$A$3:$A$149,0),VALUE(LEFT(A749,FIND("/",A749)-1)))</f>
        <v>0.09</v>
      </c>
      <c r="C749" s="15">
        <f t="shared" si="22"/>
        <v>14.09</v>
      </c>
      <c r="D749" s="15">
        <f t="shared" si="23"/>
        <v>57.362000000000002</v>
      </c>
    </row>
    <row r="750" spans="1:4" ht="15" customHeight="1">
      <c r="A750" t="s">
        <v>813</v>
      </c>
      <c r="B750" s="15">
        <f>INDEX('GLB.Ts+dSST (4)'!$B$3:$M$149,MATCH(VALUE(RIGHT(A750,4)),'GLB.Ts+dSST (4)'!$A$3:$A$149,0),VALUE(LEFT(A750,FIND("/",A750)-1)))</f>
        <v>0.11</v>
      </c>
      <c r="C750" s="15">
        <f t="shared" si="22"/>
        <v>14.11</v>
      </c>
      <c r="D750" s="15">
        <f t="shared" si="23"/>
        <v>57.397999999999996</v>
      </c>
    </row>
    <row r="751" spans="1:4" ht="15" customHeight="1">
      <c r="A751" t="s">
        <v>814</v>
      </c>
      <c r="B751" s="15">
        <f>INDEX('GLB.Ts+dSST (4)'!$B$3:$M$149,MATCH(VALUE(RIGHT(A751,4)),'GLB.Ts+dSST (4)'!$A$3:$A$149,0),VALUE(LEFT(A751,FIND("/",A751)-1)))</f>
        <v>0.04</v>
      </c>
      <c r="C751" s="15">
        <f t="shared" si="22"/>
        <v>14.04</v>
      </c>
      <c r="D751" s="15">
        <f t="shared" si="23"/>
        <v>57.271999999999998</v>
      </c>
    </row>
    <row r="752" spans="1:4" ht="15" customHeight="1">
      <c r="A752" t="s">
        <v>815</v>
      </c>
      <c r="B752" s="15">
        <f>INDEX('GLB.Ts+dSST (4)'!$B$3:$M$149,MATCH(VALUE(RIGHT(A752,4)),'GLB.Ts+dSST (4)'!$A$3:$A$149,0),VALUE(LEFT(A752,FIND("/",A752)-1)))</f>
        <v>0</v>
      </c>
      <c r="C752" s="15">
        <f t="shared" si="22"/>
        <v>14</v>
      </c>
      <c r="D752" s="15">
        <f t="shared" si="23"/>
        <v>57.2</v>
      </c>
    </row>
    <row r="753" spans="1:4" ht="15" customHeight="1">
      <c r="A753" t="s">
        <v>816</v>
      </c>
      <c r="B753" s="15">
        <f>INDEX('GLB.Ts+dSST (4)'!$B$3:$M$149,MATCH(VALUE(RIGHT(A753,4)),'GLB.Ts+dSST (4)'!$A$3:$A$149,0),VALUE(LEFT(A753,FIND("/",A753)-1)))</f>
        <v>-0.04</v>
      </c>
      <c r="C753" s="15">
        <f t="shared" si="22"/>
        <v>13.96</v>
      </c>
      <c r="D753" s="15">
        <f t="shared" si="23"/>
        <v>57.128</v>
      </c>
    </row>
    <row r="754" spans="1:4" ht="15" customHeight="1">
      <c r="A754" t="s">
        <v>817</v>
      </c>
      <c r="B754" s="15">
        <f>INDEX('GLB.Ts+dSST (4)'!$B$3:$M$149,MATCH(VALUE(RIGHT(A754,4)),'GLB.Ts+dSST (4)'!$A$3:$A$149,0),VALUE(LEFT(A754,FIND("/",A754)-1)))</f>
        <v>-0.03</v>
      </c>
      <c r="C754" s="15">
        <f t="shared" si="22"/>
        <v>13.97</v>
      </c>
      <c r="D754" s="15">
        <f t="shared" si="23"/>
        <v>57.146000000000001</v>
      </c>
    </row>
    <row r="755" spans="1:4" ht="15" customHeight="1">
      <c r="A755" t="s">
        <v>818</v>
      </c>
      <c r="B755" s="15">
        <f>INDEX('GLB.Ts+dSST (4)'!$B$3:$M$149,MATCH(VALUE(RIGHT(A755,4)),'GLB.Ts+dSST (4)'!$A$3:$A$149,0),VALUE(LEFT(A755,FIND("/",A755)-1)))</f>
        <v>0.01</v>
      </c>
      <c r="C755" s="15">
        <f t="shared" si="22"/>
        <v>14.01</v>
      </c>
      <c r="D755" s="15">
        <f t="shared" si="23"/>
        <v>57.218000000000004</v>
      </c>
    </row>
    <row r="756" spans="1:4" ht="15" customHeight="1">
      <c r="A756" t="s">
        <v>819</v>
      </c>
      <c r="B756" s="15">
        <f>INDEX('GLB.Ts+dSST (4)'!$B$3:$M$149,MATCH(VALUE(RIGHT(A756,4)),'GLB.Ts+dSST (4)'!$A$3:$A$149,0),VALUE(LEFT(A756,FIND("/",A756)-1)))</f>
        <v>0.09</v>
      </c>
      <c r="C756" s="15">
        <f t="shared" si="22"/>
        <v>14.09</v>
      </c>
      <c r="D756" s="15">
        <f t="shared" si="23"/>
        <v>57.362000000000002</v>
      </c>
    </row>
    <row r="757" spans="1:4" ht="15" customHeight="1">
      <c r="A757" t="s">
        <v>820</v>
      </c>
      <c r="B757" s="15">
        <f>INDEX('GLB.Ts+dSST (4)'!$B$3:$M$149,MATCH(VALUE(RIGHT(A757,4)),'GLB.Ts+dSST (4)'!$A$3:$A$149,0),VALUE(LEFT(A757,FIND("/",A757)-1)))</f>
        <v>0.11</v>
      </c>
      <c r="C757" s="15">
        <f t="shared" si="22"/>
        <v>14.11</v>
      </c>
      <c r="D757" s="15">
        <f t="shared" si="23"/>
        <v>57.397999999999996</v>
      </c>
    </row>
    <row r="758" spans="1:4" ht="15" customHeight="1">
      <c r="A758" t="s">
        <v>821</v>
      </c>
      <c r="B758" s="15">
        <f>INDEX('GLB.Ts+dSST (4)'!$B$3:$M$149,MATCH(VALUE(RIGHT(A758,4)),'GLB.Ts+dSST (4)'!$A$3:$A$149,0),VALUE(LEFT(A758,FIND("/",A758)-1)))</f>
        <v>-0.01</v>
      </c>
      <c r="C758" s="15">
        <f t="shared" si="22"/>
        <v>13.99</v>
      </c>
      <c r="D758" s="15">
        <f t="shared" si="23"/>
        <v>57.182000000000002</v>
      </c>
    </row>
    <row r="759" spans="1:4" ht="15" customHeight="1">
      <c r="A759" t="s">
        <v>822</v>
      </c>
      <c r="B759" s="15">
        <f>INDEX('GLB.Ts+dSST (4)'!$B$3:$M$149,MATCH(VALUE(RIGHT(A759,4)),'GLB.Ts+dSST (4)'!$A$3:$A$149,0),VALUE(LEFT(A759,FIND("/",A759)-1)))</f>
        <v>0.17</v>
      </c>
      <c r="C759" s="15">
        <f t="shared" si="22"/>
        <v>14.17</v>
      </c>
      <c r="D759" s="15">
        <f t="shared" si="23"/>
        <v>57.506</v>
      </c>
    </row>
    <row r="760" spans="1:4" ht="15" customHeight="1">
      <c r="A760" t="s">
        <v>823</v>
      </c>
      <c r="B760" s="15">
        <f>INDEX('GLB.Ts+dSST (4)'!$B$3:$M$149,MATCH(VALUE(RIGHT(A760,4)),'GLB.Ts+dSST (4)'!$A$3:$A$149,0),VALUE(LEFT(A760,FIND("/",A760)-1)))</f>
        <v>-0.04</v>
      </c>
      <c r="C760" s="15">
        <f t="shared" si="22"/>
        <v>13.96</v>
      </c>
      <c r="D760" s="15">
        <f t="shared" si="23"/>
        <v>57.128</v>
      </c>
    </row>
    <row r="761" spans="1:4" ht="15" customHeight="1">
      <c r="A761" t="s">
        <v>824</v>
      </c>
      <c r="B761" s="15">
        <f>INDEX('GLB.Ts+dSST (4)'!$B$3:$M$149,MATCH(VALUE(RIGHT(A761,4)),'GLB.Ts+dSST (4)'!$A$3:$A$149,0),VALUE(LEFT(A761,FIND("/",A761)-1)))</f>
        <v>0.11</v>
      </c>
      <c r="C761" s="15">
        <f t="shared" si="22"/>
        <v>14.11</v>
      </c>
      <c r="D761" s="15">
        <f t="shared" si="23"/>
        <v>57.397999999999996</v>
      </c>
    </row>
    <row r="762" spans="1:4" ht="15" customHeight="1">
      <c r="A762" t="s">
        <v>825</v>
      </c>
      <c r="B762" s="15">
        <f>INDEX('GLB.Ts+dSST (4)'!$B$3:$M$149,MATCH(VALUE(RIGHT(A762,4)),'GLB.Ts+dSST (4)'!$A$3:$A$149,0),VALUE(LEFT(A762,FIND("/",A762)-1)))</f>
        <v>0.06</v>
      </c>
      <c r="C762" s="15">
        <f t="shared" si="22"/>
        <v>14.06</v>
      </c>
      <c r="D762" s="15">
        <f t="shared" si="23"/>
        <v>57.308</v>
      </c>
    </row>
    <row r="763" spans="1:4" ht="15" customHeight="1">
      <c r="A763" t="s">
        <v>826</v>
      </c>
      <c r="B763" s="15">
        <f>INDEX('GLB.Ts+dSST (4)'!$B$3:$M$149,MATCH(VALUE(RIGHT(A763,4)),'GLB.Ts+dSST (4)'!$A$3:$A$149,0),VALUE(LEFT(A763,FIND("/",A763)-1)))</f>
        <v>-0.05</v>
      </c>
      <c r="C763" s="15">
        <f t="shared" si="22"/>
        <v>13.95</v>
      </c>
      <c r="D763" s="15">
        <f t="shared" si="23"/>
        <v>57.11</v>
      </c>
    </row>
    <row r="764" spans="1:4" ht="15" customHeight="1">
      <c r="A764" t="s">
        <v>827</v>
      </c>
      <c r="B764" s="15">
        <f>INDEX('GLB.Ts+dSST (4)'!$B$3:$M$149,MATCH(VALUE(RIGHT(A764,4)),'GLB.Ts+dSST (4)'!$A$3:$A$149,0),VALUE(LEFT(A764,FIND("/",A764)-1)))</f>
        <v>0.08</v>
      </c>
      <c r="C764" s="15">
        <f t="shared" si="22"/>
        <v>14.08</v>
      </c>
      <c r="D764" s="15">
        <f t="shared" si="23"/>
        <v>57.344000000000001</v>
      </c>
    </row>
    <row r="765" spans="1:4" ht="15" customHeight="1">
      <c r="A765" t="s">
        <v>828</v>
      </c>
      <c r="B765" s="15">
        <f>INDEX('GLB.Ts+dSST (4)'!$B$3:$M$149,MATCH(VALUE(RIGHT(A765,4)),'GLB.Ts+dSST (4)'!$A$3:$A$149,0),VALUE(LEFT(A765,FIND("/",A765)-1)))</f>
        <v>0</v>
      </c>
      <c r="C765" s="15">
        <f t="shared" si="22"/>
        <v>14</v>
      </c>
      <c r="D765" s="15">
        <f t="shared" si="23"/>
        <v>57.2</v>
      </c>
    </row>
    <row r="766" spans="1:4" ht="15" customHeight="1">
      <c r="A766" t="s">
        <v>829</v>
      </c>
      <c r="B766" s="15">
        <f>INDEX('GLB.Ts+dSST (4)'!$B$3:$M$149,MATCH(VALUE(RIGHT(A766,4)),'GLB.Ts+dSST (4)'!$A$3:$A$149,0),VALUE(LEFT(A766,FIND("/",A766)-1)))</f>
        <v>0.05</v>
      </c>
      <c r="C766" s="15">
        <f t="shared" si="22"/>
        <v>14.05</v>
      </c>
      <c r="D766" s="15">
        <f t="shared" si="23"/>
        <v>57.290000000000006</v>
      </c>
    </row>
    <row r="767" spans="1:4" ht="15" customHeight="1">
      <c r="A767" t="s">
        <v>830</v>
      </c>
      <c r="B767" s="15">
        <f>INDEX('GLB.Ts+dSST (4)'!$B$3:$M$149,MATCH(VALUE(RIGHT(A767,4)),'GLB.Ts+dSST (4)'!$A$3:$A$149,0),VALUE(LEFT(A767,FIND("/",A767)-1)))</f>
        <v>0.23</v>
      </c>
      <c r="C767" s="15">
        <f t="shared" si="22"/>
        <v>14.23</v>
      </c>
      <c r="D767" s="15">
        <f t="shared" si="23"/>
        <v>57.614000000000004</v>
      </c>
    </row>
    <row r="768" spans="1:4" ht="15" customHeight="1">
      <c r="A768" t="s">
        <v>831</v>
      </c>
      <c r="B768" s="15">
        <f>INDEX('GLB.Ts+dSST (4)'!$B$3:$M$149,MATCH(VALUE(RIGHT(A768,4)),'GLB.Ts+dSST (4)'!$A$3:$A$149,0),VALUE(LEFT(A768,FIND("/",A768)-1)))</f>
        <v>0.2</v>
      </c>
      <c r="C768" s="15">
        <f t="shared" si="22"/>
        <v>14.2</v>
      </c>
      <c r="D768" s="15">
        <f t="shared" si="23"/>
        <v>57.56</v>
      </c>
    </row>
    <row r="769" spans="1:4" ht="15" customHeight="1">
      <c r="A769" t="s">
        <v>832</v>
      </c>
      <c r="B769" s="15">
        <f>INDEX('GLB.Ts+dSST (4)'!$B$3:$M$149,MATCH(VALUE(RIGHT(A769,4)),'GLB.Ts+dSST (4)'!$A$3:$A$149,0),VALUE(LEFT(A769,FIND("/",A769)-1)))</f>
        <v>0.23</v>
      </c>
      <c r="C769" s="15">
        <f t="shared" si="22"/>
        <v>14.23</v>
      </c>
      <c r="D769" s="15">
        <f t="shared" si="23"/>
        <v>57.614000000000004</v>
      </c>
    </row>
    <row r="770" spans="1:4" ht="15" customHeight="1">
      <c r="A770" t="s">
        <v>833</v>
      </c>
      <c r="B770" s="15">
        <f>INDEX('GLB.Ts+dSST (4)'!$B$3:$M$149,MATCH(VALUE(RIGHT(A770,4)),'GLB.Ts+dSST (4)'!$A$3:$A$149,0),VALUE(LEFT(A770,FIND("/",A770)-1)))</f>
        <v>0.36</v>
      </c>
      <c r="C770" s="15">
        <f t="shared" ref="C770:C833" si="24">B770+14</f>
        <v>14.36</v>
      </c>
      <c r="D770" s="15">
        <f t="shared" ref="D770:D833" si="25">C770*(9/5)+32</f>
        <v>57.847999999999999</v>
      </c>
    </row>
    <row r="771" spans="1:4" ht="15" customHeight="1">
      <c r="A771" t="s">
        <v>834</v>
      </c>
      <c r="B771" s="15">
        <f>INDEX('GLB.Ts+dSST (4)'!$B$3:$M$149,MATCH(VALUE(RIGHT(A771,4)),'GLB.Ts+dSST (4)'!$A$3:$A$149,0),VALUE(LEFT(A771,FIND("/",A771)-1)))</f>
        <v>0.24</v>
      </c>
      <c r="C771" s="15">
        <f t="shared" si="24"/>
        <v>14.24</v>
      </c>
      <c r="D771" s="15">
        <f t="shared" si="25"/>
        <v>57.632000000000005</v>
      </c>
    </row>
    <row r="772" spans="1:4" ht="15" customHeight="1">
      <c r="A772" t="s">
        <v>835</v>
      </c>
      <c r="B772" s="15">
        <f>INDEX('GLB.Ts+dSST (4)'!$B$3:$M$149,MATCH(VALUE(RIGHT(A772,4)),'GLB.Ts+dSST (4)'!$A$3:$A$149,0),VALUE(LEFT(A772,FIND("/",A772)-1)))</f>
        <v>0.26</v>
      </c>
      <c r="C772" s="15">
        <f t="shared" si="24"/>
        <v>14.26</v>
      </c>
      <c r="D772" s="15">
        <f t="shared" si="25"/>
        <v>57.667999999999999</v>
      </c>
    </row>
    <row r="773" spans="1:4" ht="15" customHeight="1">
      <c r="A773" t="s">
        <v>836</v>
      </c>
      <c r="B773" s="15">
        <f>INDEX('GLB.Ts+dSST (4)'!$B$3:$M$149,MATCH(VALUE(RIGHT(A773,4)),'GLB.Ts+dSST (4)'!$A$3:$A$149,0),VALUE(LEFT(A773,FIND("/",A773)-1)))</f>
        <v>0.19</v>
      </c>
      <c r="C773" s="15">
        <f t="shared" si="24"/>
        <v>14.19</v>
      </c>
      <c r="D773" s="15">
        <f t="shared" si="25"/>
        <v>57.542000000000002</v>
      </c>
    </row>
    <row r="774" spans="1:4" ht="15" customHeight="1">
      <c r="A774" t="s">
        <v>837</v>
      </c>
      <c r="B774" s="15">
        <f>INDEX('GLB.Ts+dSST (4)'!$B$3:$M$149,MATCH(VALUE(RIGHT(A774,4)),'GLB.Ts+dSST (4)'!$A$3:$A$149,0),VALUE(LEFT(A774,FIND("/",A774)-1)))</f>
        <v>0.18</v>
      </c>
      <c r="C774" s="15">
        <f t="shared" si="24"/>
        <v>14.18</v>
      </c>
      <c r="D774" s="15">
        <f t="shared" si="25"/>
        <v>57.524000000000001</v>
      </c>
    </row>
    <row r="775" spans="1:4" ht="15" customHeight="1">
      <c r="A775" t="s">
        <v>838</v>
      </c>
      <c r="B775" s="15">
        <f>INDEX('GLB.Ts+dSST (4)'!$B$3:$M$149,MATCH(VALUE(RIGHT(A775,4)),'GLB.Ts+dSST (4)'!$A$3:$A$149,0),VALUE(LEFT(A775,FIND("/",A775)-1)))</f>
        <v>0.15</v>
      </c>
      <c r="C775" s="15">
        <f t="shared" si="24"/>
        <v>14.15</v>
      </c>
      <c r="D775" s="15">
        <f t="shared" si="25"/>
        <v>57.47</v>
      </c>
    </row>
    <row r="776" spans="1:4" ht="15" customHeight="1">
      <c r="A776" t="s">
        <v>839</v>
      </c>
      <c r="B776" s="15">
        <f>INDEX('GLB.Ts+dSST (4)'!$B$3:$M$149,MATCH(VALUE(RIGHT(A776,4)),'GLB.Ts+dSST (4)'!$A$3:$A$149,0),VALUE(LEFT(A776,FIND("/",A776)-1)))</f>
        <v>0.17</v>
      </c>
      <c r="C776" s="15">
        <f t="shared" si="24"/>
        <v>14.17</v>
      </c>
      <c r="D776" s="15">
        <f t="shared" si="25"/>
        <v>57.506</v>
      </c>
    </row>
    <row r="777" spans="1:4" ht="15" customHeight="1">
      <c r="A777" t="s">
        <v>840</v>
      </c>
      <c r="B777" s="15">
        <f>INDEX('GLB.Ts+dSST (4)'!$B$3:$M$149,MATCH(VALUE(RIGHT(A777,4)),'GLB.Ts+dSST (4)'!$A$3:$A$149,0),VALUE(LEFT(A777,FIND("/",A777)-1)))</f>
        <v>0.18</v>
      </c>
      <c r="C777" s="15">
        <f t="shared" si="24"/>
        <v>14.18</v>
      </c>
      <c r="D777" s="15">
        <f t="shared" si="25"/>
        <v>57.524000000000001</v>
      </c>
    </row>
    <row r="778" spans="1:4" ht="15" customHeight="1">
      <c r="A778" t="s">
        <v>841</v>
      </c>
      <c r="B778" s="15">
        <f>INDEX('GLB.Ts+dSST (4)'!$B$3:$M$149,MATCH(VALUE(RIGHT(A778,4)),'GLB.Ts+dSST (4)'!$A$3:$A$149,0),VALUE(LEFT(A778,FIND("/",A778)-1)))</f>
        <v>0.28000000000000003</v>
      </c>
      <c r="C778" s="15">
        <f t="shared" si="24"/>
        <v>14.28</v>
      </c>
      <c r="D778" s="15">
        <f t="shared" si="25"/>
        <v>57.704000000000001</v>
      </c>
    </row>
    <row r="779" spans="1:4" ht="15" customHeight="1">
      <c r="A779" t="s">
        <v>842</v>
      </c>
      <c r="B779" s="15">
        <f>INDEX('GLB.Ts+dSST (4)'!$B$3:$M$149,MATCH(VALUE(RIGHT(A779,4)),'GLB.Ts+dSST (4)'!$A$3:$A$149,0),VALUE(LEFT(A779,FIND("/",A779)-1)))</f>
        <v>0.26</v>
      </c>
      <c r="C779" s="15">
        <f t="shared" si="24"/>
        <v>14.26</v>
      </c>
      <c r="D779" s="15">
        <f t="shared" si="25"/>
        <v>57.667999999999999</v>
      </c>
    </row>
    <row r="780" spans="1:4" ht="15" customHeight="1">
      <c r="A780" t="s">
        <v>843</v>
      </c>
      <c r="B780" s="15">
        <f>INDEX('GLB.Ts+dSST (4)'!$B$3:$M$149,MATCH(VALUE(RIGHT(A780,4)),'GLB.Ts+dSST (4)'!$A$3:$A$149,0),VALUE(LEFT(A780,FIND("/",A780)-1)))</f>
        <v>0.11</v>
      </c>
      <c r="C780" s="15">
        <f t="shared" si="24"/>
        <v>14.11</v>
      </c>
      <c r="D780" s="15">
        <f t="shared" si="25"/>
        <v>57.397999999999996</v>
      </c>
    </row>
    <row r="781" spans="1:4" ht="15" customHeight="1">
      <c r="A781" t="s">
        <v>844</v>
      </c>
      <c r="B781" s="15">
        <f>INDEX('GLB.Ts+dSST (4)'!$B$3:$M$149,MATCH(VALUE(RIGHT(A781,4)),'GLB.Ts+dSST (4)'!$A$3:$A$149,0),VALUE(LEFT(A781,FIND("/",A781)-1)))</f>
        <v>0.04</v>
      </c>
      <c r="C781" s="15">
        <f t="shared" si="24"/>
        <v>14.04</v>
      </c>
      <c r="D781" s="15">
        <f t="shared" si="25"/>
        <v>57.271999999999998</v>
      </c>
    </row>
    <row r="782" spans="1:4" ht="15" customHeight="1">
      <c r="A782" t="s">
        <v>845</v>
      </c>
      <c r="B782" s="15">
        <f>INDEX('GLB.Ts+dSST (4)'!$B$3:$M$149,MATCH(VALUE(RIGHT(A782,4)),'GLB.Ts+dSST (4)'!$A$3:$A$149,0),VALUE(LEFT(A782,FIND("/",A782)-1)))</f>
        <v>0.1</v>
      </c>
      <c r="C782" s="15">
        <f t="shared" si="24"/>
        <v>14.1</v>
      </c>
      <c r="D782" s="15">
        <f t="shared" si="25"/>
        <v>57.379999999999995</v>
      </c>
    </row>
    <row r="783" spans="1:4" ht="15" customHeight="1">
      <c r="A783" t="s">
        <v>846</v>
      </c>
      <c r="B783" s="15">
        <f>INDEX('GLB.Ts+dSST (4)'!$B$3:$M$149,MATCH(VALUE(RIGHT(A783,4)),'GLB.Ts+dSST (4)'!$A$3:$A$149,0),VALUE(LEFT(A783,FIND("/",A783)-1)))</f>
        <v>0.01</v>
      </c>
      <c r="C783" s="15">
        <f t="shared" si="24"/>
        <v>14.01</v>
      </c>
      <c r="D783" s="15">
        <f t="shared" si="25"/>
        <v>57.218000000000004</v>
      </c>
    </row>
    <row r="784" spans="1:4" ht="15" customHeight="1">
      <c r="A784" t="s">
        <v>847</v>
      </c>
      <c r="B784" s="15">
        <f>INDEX('GLB.Ts+dSST (4)'!$B$3:$M$149,MATCH(VALUE(RIGHT(A784,4)),'GLB.Ts+dSST (4)'!$A$3:$A$149,0),VALUE(LEFT(A784,FIND("/",A784)-1)))</f>
        <v>0.06</v>
      </c>
      <c r="C784" s="15">
        <f t="shared" si="24"/>
        <v>14.06</v>
      </c>
      <c r="D784" s="15">
        <f t="shared" si="25"/>
        <v>57.308</v>
      </c>
    </row>
    <row r="785" spans="1:4" ht="15" customHeight="1">
      <c r="A785" t="s">
        <v>848</v>
      </c>
      <c r="B785" s="15">
        <f>INDEX('GLB.Ts+dSST (4)'!$B$3:$M$149,MATCH(VALUE(RIGHT(A785,4)),'GLB.Ts+dSST (4)'!$A$3:$A$149,0),VALUE(LEFT(A785,FIND("/",A785)-1)))</f>
        <v>0.2</v>
      </c>
      <c r="C785" s="15">
        <f t="shared" si="24"/>
        <v>14.2</v>
      </c>
      <c r="D785" s="15">
        <f t="shared" si="25"/>
        <v>57.56</v>
      </c>
    </row>
    <row r="786" spans="1:4" ht="15" customHeight="1">
      <c r="A786" t="s">
        <v>849</v>
      </c>
      <c r="B786" s="15">
        <f>INDEX('GLB.Ts+dSST (4)'!$B$3:$M$149,MATCH(VALUE(RIGHT(A786,4)),'GLB.Ts+dSST (4)'!$A$3:$A$149,0),VALUE(LEFT(A786,FIND("/",A786)-1)))</f>
        <v>0.06</v>
      </c>
      <c r="C786" s="15">
        <f t="shared" si="24"/>
        <v>14.06</v>
      </c>
      <c r="D786" s="15">
        <f t="shared" si="25"/>
        <v>57.308</v>
      </c>
    </row>
    <row r="787" spans="1:4" ht="15" customHeight="1">
      <c r="A787" t="s">
        <v>850</v>
      </c>
      <c r="B787" s="15">
        <f>INDEX('GLB.Ts+dSST (4)'!$B$3:$M$149,MATCH(VALUE(RIGHT(A787,4)),'GLB.Ts+dSST (4)'!$A$3:$A$149,0),VALUE(LEFT(A787,FIND("/",A787)-1)))</f>
        <v>0.01</v>
      </c>
      <c r="C787" s="15">
        <f t="shared" si="24"/>
        <v>14.01</v>
      </c>
      <c r="D787" s="15">
        <f t="shared" si="25"/>
        <v>57.218000000000004</v>
      </c>
    </row>
    <row r="788" spans="1:4" ht="15" customHeight="1">
      <c r="A788" t="s">
        <v>851</v>
      </c>
      <c r="B788" s="15">
        <f>INDEX('GLB.Ts+dSST (4)'!$B$3:$M$149,MATCH(VALUE(RIGHT(A788,4)),'GLB.Ts+dSST (4)'!$A$3:$A$149,0),VALUE(LEFT(A788,FIND("/",A788)-1)))</f>
        <v>0.04</v>
      </c>
      <c r="C788" s="15">
        <f t="shared" si="24"/>
        <v>14.04</v>
      </c>
      <c r="D788" s="15">
        <f t="shared" si="25"/>
        <v>57.271999999999998</v>
      </c>
    </row>
    <row r="789" spans="1:4" ht="15" customHeight="1">
      <c r="A789" t="s">
        <v>852</v>
      </c>
      <c r="B789" s="15">
        <f>INDEX('GLB.Ts+dSST (4)'!$B$3:$M$149,MATCH(VALUE(RIGHT(A789,4)),'GLB.Ts+dSST (4)'!$A$3:$A$149,0),VALUE(LEFT(A789,FIND("/",A789)-1)))</f>
        <v>0.26</v>
      </c>
      <c r="C789" s="15">
        <f t="shared" si="24"/>
        <v>14.26</v>
      </c>
      <c r="D789" s="15">
        <f t="shared" si="25"/>
        <v>57.667999999999999</v>
      </c>
    </row>
    <row r="790" spans="1:4" ht="15" customHeight="1">
      <c r="A790" t="s">
        <v>853</v>
      </c>
      <c r="B790" s="15">
        <f>INDEX('GLB.Ts+dSST (4)'!$B$3:$M$149,MATCH(VALUE(RIGHT(A790,4)),'GLB.Ts+dSST (4)'!$A$3:$A$149,0),VALUE(LEFT(A790,FIND("/",A790)-1)))</f>
        <v>0.21</v>
      </c>
      <c r="C790" s="15">
        <f t="shared" si="24"/>
        <v>14.21</v>
      </c>
      <c r="D790" s="15">
        <f t="shared" si="25"/>
        <v>57.578000000000003</v>
      </c>
    </row>
    <row r="791" spans="1:4" ht="15" customHeight="1">
      <c r="A791" t="s">
        <v>854</v>
      </c>
      <c r="B791" s="15">
        <f>INDEX('GLB.Ts+dSST (4)'!$B$3:$M$149,MATCH(VALUE(RIGHT(A791,4)),'GLB.Ts+dSST (4)'!$A$3:$A$149,0),VALUE(LEFT(A791,FIND("/",A791)-1)))</f>
        <v>0.19</v>
      </c>
      <c r="C791" s="15">
        <f t="shared" si="24"/>
        <v>14.19</v>
      </c>
      <c r="D791" s="15">
        <f t="shared" si="25"/>
        <v>57.542000000000002</v>
      </c>
    </row>
    <row r="792" spans="1:4" ht="15" customHeight="1">
      <c r="A792" t="s">
        <v>855</v>
      </c>
      <c r="B792" s="15">
        <f>INDEX('GLB.Ts+dSST (4)'!$B$3:$M$149,MATCH(VALUE(RIGHT(A792,4)),'GLB.Ts+dSST (4)'!$A$3:$A$149,0),VALUE(LEFT(A792,FIND("/",A792)-1)))</f>
        <v>7.0000000000000007E-2</v>
      </c>
      <c r="C792" s="15">
        <f t="shared" si="24"/>
        <v>14.07</v>
      </c>
      <c r="D792" s="15">
        <f t="shared" si="25"/>
        <v>57.326000000000001</v>
      </c>
    </row>
    <row r="793" spans="1:4" ht="15" customHeight="1">
      <c r="A793" t="s">
        <v>856</v>
      </c>
      <c r="B793" s="15">
        <f>INDEX('GLB.Ts+dSST (4)'!$B$3:$M$149,MATCH(VALUE(RIGHT(A793,4)),'GLB.Ts+dSST (4)'!$A$3:$A$149,0),VALUE(LEFT(A793,FIND("/",A793)-1)))</f>
        <v>-7.0000000000000007E-2</v>
      </c>
      <c r="C793" s="15">
        <f t="shared" si="24"/>
        <v>13.93</v>
      </c>
      <c r="D793" s="15">
        <f t="shared" si="25"/>
        <v>57.073999999999998</v>
      </c>
    </row>
    <row r="794" spans="1:4" ht="15" customHeight="1">
      <c r="A794" t="s">
        <v>857</v>
      </c>
      <c r="B794" s="15">
        <f>INDEX('GLB.Ts+dSST (4)'!$B$3:$M$149,MATCH(VALUE(RIGHT(A794,4)),'GLB.Ts+dSST (4)'!$A$3:$A$149,0),VALUE(LEFT(A794,FIND("/",A794)-1)))</f>
        <v>0.15</v>
      </c>
      <c r="C794" s="15">
        <f t="shared" si="24"/>
        <v>14.15</v>
      </c>
      <c r="D794" s="15">
        <f t="shared" si="25"/>
        <v>57.47</v>
      </c>
    </row>
    <row r="795" spans="1:4" ht="15" customHeight="1">
      <c r="A795" t="s">
        <v>858</v>
      </c>
      <c r="B795" s="15">
        <f>INDEX('GLB.Ts+dSST (4)'!$B$3:$M$149,MATCH(VALUE(RIGHT(A795,4)),'GLB.Ts+dSST (4)'!$A$3:$A$149,0),VALUE(LEFT(A795,FIND("/",A795)-1)))</f>
        <v>0.03</v>
      </c>
      <c r="C795" s="15">
        <f t="shared" si="24"/>
        <v>14.03</v>
      </c>
      <c r="D795" s="15">
        <f t="shared" si="25"/>
        <v>57.253999999999998</v>
      </c>
    </row>
    <row r="796" spans="1:4" ht="15" customHeight="1">
      <c r="A796" t="s">
        <v>859</v>
      </c>
      <c r="B796" s="15">
        <f>INDEX('GLB.Ts+dSST (4)'!$B$3:$M$149,MATCH(VALUE(RIGHT(A796,4)),'GLB.Ts+dSST (4)'!$A$3:$A$149,0),VALUE(LEFT(A796,FIND("/",A796)-1)))</f>
        <v>0.01</v>
      </c>
      <c r="C796" s="15">
        <f t="shared" si="24"/>
        <v>14.01</v>
      </c>
      <c r="D796" s="15">
        <f t="shared" si="25"/>
        <v>57.218000000000004</v>
      </c>
    </row>
    <row r="797" spans="1:4" ht="15" customHeight="1">
      <c r="A797" t="s">
        <v>860</v>
      </c>
      <c r="B797" s="15">
        <f>INDEX('GLB.Ts+dSST (4)'!$B$3:$M$149,MATCH(VALUE(RIGHT(A797,4)),'GLB.Ts+dSST (4)'!$A$3:$A$149,0),VALUE(LEFT(A797,FIND("/",A797)-1)))</f>
        <v>0.06</v>
      </c>
      <c r="C797" s="15">
        <f t="shared" si="24"/>
        <v>14.06</v>
      </c>
      <c r="D797" s="15">
        <f t="shared" si="25"/>
        <v>57.308</v>
      </c>
    </row>
    <row r="798" spans="1:4" ht="15" customHeight="1">
      <c r="A798" t="s">
        <v>861</v>
      </c>
      <c r="B798" s="15">
        <f>INDEX('GLB.Ts+dSST (4)'!$B$3:$M$149,MATCH(VALUE(RIGHT(A798,4)),'GLB.Ts+dSST (4)'!$A$3:$A$149,0),VALUE(LEFT(A798,FIND("/",A798)-1)))</f>
        <v>-7.0000000000000007E-2</v>
      </c>
      <c r="C798" s="15">
        <f t="shared" si="24"/>
        <v>13.93</v>
      </c>
      <c r="D798" s="15">
        <f t="shared" si="25"/>
        <v>57.073999999999998</v>
      </c>
    </row>
    <row r="799" spans="1:4" ht="15" customHeight="1">
      <c r="A799" t="s">
        <v>862</v>
      </c>
      <c r="B799" s="15">
        <f>INDEX('GLB.Ts+dSST (4)'!$B$3:$M$149,MATCH(VALUE(RIGHT(A799,4)),'GLB.Ts+dSST (4)'!$A$3:$A$149,0),VALUE(LEFT(A799,FIND("/",A799)-1)))</f>
        <v>-0.21</v>
      </c>
      <c r="C799" s="15">
        <f t="shared" si="24"/>
        <v>13.79</v>
      </c>
      <c r="D799" s="15">
        <f t="shared" si="25"/>
        <v>56.822000000000003</v>
      </c>
    </row>
    <row r="800" spans="1:4" ht="15" customHeight="1">
      <c r="A800" t="s">
        <v>863</v>
      </c>
      <c r="B800" s="15">
        <f>INDEX('GLB.Ts+dSST (4)'!$B$3:$M$149,MATCH(VALUE(RIGHT(A800,4)),'GLB.Ts+dSST (4)'!$A$3:$A$149,0),VALUE(LEFT(A800,FIND("/",A800)-1)))</f>
        <v>-0.12</v>
      </c>
      <c r="C800" s="15">
        <f t="shared" si="24"/>
        <v>13.88</v>
      </c>
      <c r="D800" s="15">
        <f t="shared" si="25"/>
        <v>56.984000000000002</v>
      </c>
    </row>
    <row r="801" spans="1:4" ht="15" customHeight="1">
      <c r="A801" t="s">
        <v>864</v>
      </c>
      <c r="B801" s="15">
        <f>INDEX('GLB.Ts+dSST (4)'!$B$3:$M$149,MATCH(VALUE(RIGHT(A801,4)),'GLB.Ts+dSST (4)'!$A$3:$A$149,0),VALUE(LEFT(A801,FIND("/",A801)-1)))</f>
        <v>-0.2</v>
      </c>
      <c r="C801" s="15">
        <f t="shared" si="24"/>
        <v>13.8</v>
      </c>
      <c r="D801" s="15">
        <f t="shared" si="25"/>
        <v>56.84</v>
      </c>
    </row>
    <row r="802" spans="1:4" ht="15" customHeight="1">
      <c r="A802" t="s">
        <v>865</v>
      </c>
      <c r="B802" s="15">
        <f>INDEX('GLB.Ts+dSST (4)'!$B$3:$M$149,MATCH(VALUE(RIGHT(A802,4)),'GLB.Ts+dSST (4)'!$A$3:$A$149,0),VALUE(LEFT(A802,FIND("/",A802)-1)))</f>
        <v>-7.0000000000000007E-2</v>
      </c>
      <c r="C802" s="15">
        <f t="shared" si="24"/>
        <v>13.93</v>
      </c>
      <c r="D802" s="15">
        <f t="shared" si="25"/>
        <v>57.073999999999998</v>
      </c>
    </row>
    <row r="803" spans="1:4" ht="15" customHeight="1">
      <c r="A803" t="s">
        <v>866</v>
      </c>
      <c r="B803" s="15">
        <f>INDEX('GLB.Ts+dSST (4)'!$B$3:$M$149,MATCH(VALUE(RIGHT(A803,4)),'GLB.Ts+dSST (4)'!$A$3:$A$149,0),VALUE(LEFT(A803,FIND("/",A803)-1)))</f>
        <v>-0.08</v>
      </c>
      <c r="C803" s="15">
        <f t="shared" si="24"/>
        <v>13.92</v>
      </c>
      <c r="D803" s="15">
        <f t="shared" si="25"/>
        <v>57.055999999999997</v>
      </c>
    </row>
    <row r="804" spans="1:4" ht="15" customHeight="1">
      <c r="A804" t="s">
        <v>867</v>
      </c>
      <c r="B804" s="15">
        <f>INDEX('GLB.Ts+dSST (4)'!$B$3:$M$149,MATCH(VALUE(RIGHT(A804,4)),'GLB.Ts+dSST (4)'!$A$3:$A$149,0),VALUE(LEFT(A804,FIND("/",A804)-1)))</f>
        <v>-0.06</v>
      </c>
      <c r="C804" s="15">
        <f t="shared" si="24"/>
        <v>13.94</v>
      </c>
      <c r="D804" s="15">
        <f t="shared" si="25"/>
        <v>57.091999999999999</v>
      </c>
    </row>
    <row r="805" spans="1:4" ht="15" customHeight="1">
      <c r="A805" t="s">
        <v>868</v>
      </c>
      <c r="B805" s="15">
        <f>INDEX('GLB.Ts+dSST (4)'!$B$3:$M$149,MATCH(VALUE(RIGHT(A805,4)),'GLB.Ts+dSST (4)'!$A$3:$A$149,0),VALUE(LEFT(A805,FIND("/",A805)-1)))</f>
        <v>-0.31</v>
      </c>
      <c r="C805" s="15">
        <f t="shared" si="24"/>
        <v>13.69</v>
      </c>
      <c r="D805" s="15">
        <f t="shared" si="25"/>
        <v>56.641999999999996</v>
      </c>
    </row>
    <row r="806" spans="1:4" ht="15" customHeight="1">
      <c r="A806" t="s">
        <v>869</v>
      </c>
      <c r="B806" s="15">
        <f>INDEX('GLB.Ts+dSST (4)'!$B$3:$M$149,MATCH(VALUE(RIGHT(A806,4)),'GLB.Ts+dSST (4)'!$A$3:$A$149,0),VALUE(LEFT(A806,FIND("/",A806)-1)))</f>
        <v>-7.0000000000000007E-2</v>
      </c>
      <c r="C806" s="15">
        <f t="shared" si="24"/>
        <v>13.93</v>
      </c>
      <c r="D806" s="15">
        <f t="shared" si="25"/>
        <v>57.073999999999998</v>
      </c>
    </row>
    <row r="807" spans="1:4" ht="15" customHeight="1">
      <c r="A807" t="s">
        <v>870</v>
      </c>
      <c r="B807" s="15">
        <f>INDEX('GLB.Ts+dSST (4)'!$B$3:$M$149,MATCH(VALUE(RIGHT(A807,4)),'GLB.Ts+dSST (4)'!$A$3:$A$149,0),VALUE(LEFT(A807,FIND("/",A807)-1)))</f>
        <v>-0.08</v>
      </c>
      <c r="C807" s="15">
        <f t="shared" si="24"/>
        <v>13.92</v>
      </c>
      <c r="D807" s="15">
        <f t="shared" si="25"/>
        <v>57.055999999999997</v>
      </c>
    </row>
    <row r="808" spans="1:4" ht="15" customHeight="1">
      <c r="A808" t="s">
        <v>871</v>
      </c>
      <c r="B808" s="15">
        <f>INDEX('GLB.Ts+dSST (4)'!$B$3:$M$149,MATCH(VALUE(RIGHT(A808,4)),'GLB.Ts+dSST (4)'!$A$3:$A$149,0),VALUE(LEFT(A808,FIND("/",A808)-1)))</f>
        <v>0.06</v>
      </c>
      <c r="C808" s="15">
        <f t="shared" si="24"/>
        <v>14.06</v>
      </c>
      <c r="D808" s="15">
        <f t="shared" si="25"/>
        <v>57.308</v>
      </c>
    </row>
    <row r="809" spans="1:4" ht="15" customHeight="1">
      <c r="A809" t="s">
        <v>872</v>
      </c>
      <c r="B809" s="15">
        <f>INDEX('GLB.Ts+dSST (4)'!$B$3:$M$149,MATCH(VALUE(RIGHT(A809,4)),'GLB.Ts+dSST (4)'!$A$3:$A$149,0),VALUE(LEFT(A809,FIND("/",A809)-1)))</f>
        <v>0.06</v>
      </c>
      <c r="C809" s="15">
        <f t="shared" si="24"/>
        <v>14.06</v>
      </c>
      <c r="D809" s="15">
        <f t="shared" si="25"/>
        <v>57.308</v>
      </c>
    </row>
    <row r="810" spans="1:4" ht="15" customHeight="1">
      <c r="A810" t="s">
        <v>873</v>
      </c>
      <c r="B810" s="15">
        <f>INDEX('GLB.Ts+dSST (4)'!$B$3:$M$149,MATCH(VALUE(RIGHT(A810,4)),'GLB.Ts+dSST (4)'!$A$3:$A$149,0),VALUE(LEFT(A810,FIND("/",A810)-1)))</f>
        <v>-0.02</v>
      </c>
      <c r="C810" s="15">
        <f t="shared" si="24"/>
        <v>13.98</v>
      </c>
      <c r="D810" s="15">
        <f t="shared" si="25"/>
        <v>57.164000000000001</v>
      </c>
    </row>
    <row r="811" spans="1:4" ht="15" customHeight="1">
      <c r="A811" t="s">
        <v>874</v>
      </c>
      <c r="B811" s="15">
        <f>INDEX('GLB.Ts+dSST (4)'!$B$3:$M$149,MATCH(VALUE(RIGHT(A811,4)),'GLB.Ts+dSST (4)'!$A$3:$A$149,0),VALUE(LEFT(A811,FIND("/",A811)-1)))</f>
        <v>-0.02</v>
      </c>
      <c r="C811" s="15">
        <f t="shared" si="24"/>
        <v>13.98</v>
      </c>
      <c r="D811" s="15">
        <f t="shared" si="25"/>
        <v>57.164000000000001</v>
      </c>
    </row>
    <row r="812" spans="1:4" ht="15" customHeight="1">
      <c r="A812" t="s">
        <v>875</v>
      </c>
      <c r="B812" s="15">
        <f>INDEX('GLB.Ts+dSST (4)'!$B$3:$M$149,MATCH(VALUE(RIGHT(A812,4)),'GLB.Ts+dSST (4)'!$A$3:$A$149,0),VALUE(LEFT(A812,FIND("/",A812)-1)))</f>
        <v>-0.04</v>
      </c>
      <c r="C812" s="15">
        <f t="shared" si="24"/>
        <v>13.96</v>
      </c>
      <c r="D812" s="15">
        <f t="shared" si="25"/>
        <v>57.128</v>
      </c>
    </row>
    <row r="813" spans="1:4" ht="15" customHeight="1">
      <c r="A813" t="s">
        <v>876</v>
      </c>
      <c r="B813" s="15">
        <f>INDEX('GLB.Ts+dSST (4)'!$B$3:$M$149,MATCH(VALUE(RIGHT(A813,4)),'GLB.Ts+dSST (4)'!$A$3:$A$149,0),VALUE(LEFT(A813,FIND("/",A813)-1)))</f>
        <v>-7.0000000000000007E-2</v>
      </c>
      <c r="C813" s="15">
        <f t="shared" si="24"/>
        <v>13.93</v>
      </c>
      <c r="D813" s="15">
        <f t="shared" si="25"/>
        <v>57.073999999999998</v>
      </c>
    </row>
    <row r="814" spans="1:4" ht="15" customHeight="1">
      <c r="A814" t="s">
        <v>877</v>
      </c>
      <c r="B814" s="15">
        <f>INDEX('GLB.Ts+dSST (4)'!$B$3:$M$149,MATCH(VALUE(RIGHT(A814,4)),'GLB.Ts+dSST (4)'!$A$3:$A$149,0),VALUE(LEFT(A814,FIND("/",A814)-1)))</f>
        <v>-0.12</v>
      </c>
      <c r="C814" s="15">
        <f t="shared" si="24"/>
        <v>13.88</v>
      </c>
      <c r="D814" s="15">
        <f t="shared" si="25"/>
        <v>56.984000000000002</v>
      </c>
    </row>
    <row r="815" spans="1:4" ht="15" customHeight="1">
      <c r="A815" t="s">
        <v>878</v>
      </c>
      <c r="B815" s="15">
        <f>INDEX('GLB.Ts+dSST (4)'!$B$3:$M$149,MATCH(VALUE(RIGHT(A815,4)),'GLB.Ts+dSST (4)'!$A$3:$A$149,0),VALUE(LEFT(A815,FIND("/",A815)-1)))</f>
        <v>7.0000000000000007E-2</v>
      </c>
      <c r="C815" s="15">
        <f t="shared" si="24"/>
        <v>14.07</v>
      </c>
      <c r="D815" s="15">
        <f t="shared" si="25"/>
        <v>57.326000000000001</v>
      </c>
    </row>
    <row r="816" spans="1:4" ht="15" customHeight="1">
      <c r="A816" t="s">
        <v>879</v>
      </c>
      <c r="B816" s="15">
        <f>INDEX('GLB.Ts+dSST (4)'!$B$3:$M$149,MATCH(VALUE(RIGHT(A816,4)),'GLB.Ts+dSST (4)'!$A$3:$A$149,0),VALUE(LEFT(A816,FIND("/",A816)-1)))</f>
        <v>0.02</v>
      </c>
      <c r="C816" s="15">
        <f t="shared" si="24"/>
        <v>14.02</v>
      </c>
      <c r="D816" s="15">
        <f t="shared" si="25"/>
        <v>57.236000000000004</v>
      </c>
    </row>
    <row r="817" spans="1:4" ht="15" customHeight="1">
      <c r="A817" t="s">
        <v>880</v>
      </c>
      <c r="B817" s="15">
        <f>INDEX('GLB.Ts+dSST (4)'!$B$3:$M$149,MATCH(VALUE(RIGHT(A817,4)),'GLB.Ts+dSST (4)'!$A$3:$A$149,0),VALUE(LEFT(A817,FIND("/",A817)-1)))</f>
        <v>-0.13</v>
      </c>
      <c r="C817" s="15">
        <f t="shared" si="24"/>
        <v>13.87</v>
      </c>
      <c r="D817" s="15">
        <f t="shared" si="25"/>
        <v>56.965999999999994</v>
      </c>
    </row>
    <row r="818" spans="1:4" ht="15" customHeight="1">
      <c r="A818" t="s">
        <v>881</v>
      </c>
      <c r="B818" s="15">
        <f>INDEX('GLB.Ts+dSST (4)'!$B$3:$M$149,MATCH(VALUE(RIGHT(A818,4)),'GLB.Ts+dSST (4)'!$A$3:$A$149,0),VALUE(LEFT(A818,FIND("/",A818)-1)))</f>
        <v>0.06</v>
      </c>
      <c r="C818" s="15">
        <f t="shared" si="24"/>
        <v>14.06</v>
      </c>
      <c r="D818" s="15">
        <f t="shared" si="25"/>
        <v>57.308</v>
      </c>
    </row>
    <row r="819" spans="1:4" ht="15" customHeight="1">
      <c r="A819" t="s">
        <v>882</v>
      </c>
      <c r="B819" s="15">
        <f>INDEX('GLB.Ts+dSST (4)'!$B$3:$M$149,MATCH(VALUE(RIGHT(A819,4)),'GLB.Ts+dSST (4)'!$A$3:$A$149,0),VALUE(LEFT(A819,FIND("/",A819)-1)))</f>
        <v>-0.15</v>
      </c>
      <c r="C819" s="15">
        <f t="shared" si="24"/>
        <v>13.85</v>
      </c>
      <c r="D819" s="15">
        <f t="shared" si="25"/>
        <v>56.93</v>
      </c>
    </row>
    <row r="820" spans="1:4" ht="15" customHeight="1">
      <c r="A820" t="s">
        <v>883</v>
      </c>
      <c r="B820" s="15">
        <f>INDEX('GLB.Ts+dSST (4)'!$B$3:$M$149,MATCH(VALUE(RIGHT(A820,4)),'GLB.Ts+dSST (4)'!$A$3:$A$149,0),VALUE(LEFT(A820,FIND("/",A820)-1)))</f>
        <v>-0.24</v>
      </c>
      <c r="C820" s="15">
        <f t="shared" si="24"/>
        <v>13.76</v>
      </c>
      <c r="D820" s="15">
        <f t="shared" si="25"/>
        <v>56.768000000000001</v>
      </c>
    </row>
    <row r="821" spans="1:4" ht="15" customHeight="1">
      <c r="A821" t="s">
        <v>884</v>
      </c>
      <c r="B821" s="15">
        <f>INDEX('GLB.Ts+dSST (4)'!$B$3:$M$149,MATCH(VALUE(RIGHT(A821,4)),'GLB.Ts+dSST (4)'!$A$3:$A$149,0),VALUE(LEFT(A821,FIND("/",A821)-1)))</f>
        <v>-0.12</v>
      </c>
      <c r="C821" s="15">
        <f t="shared" si="24"/>
        <v>13.88</v>
      </c>
      <c r="D821" s="15">
        <f t="shared" si="25"/>
        <v>56.984000000000002</v>
      </c>
    </row>
    <row r="822" spans="1:4" ht="15" customHeight="1">
      <c r="A822" t="s">
        <v>885</v>
      </c>
      <c r="B822" s="15">
        <f>INDEX('GLB.Ts+dSST (4)'!$B$3:$M$149,MATCH(VALUE(RIGHT(A822,4)),'GLB.Ts+dSST (4)'!$A$3:$A$149,0),VALUE(LEFT(A822,FIND("/",A822)-1)))</f>
        <v>-0.01</v>
      </c>
      <c r="C822" s="15">
        <f t="shared" si="24"/>
        <v>13.99</v>
      </c>
      <c r="D822" s="15">
        <f t="shared" si="25"/>
        <v>57.182000000000002</v>
      </c>
    </row>
    <row r="823" spans="1:4" ht="15" customHeight="1">
      <c r="A823" t="s">
        <v>886</v>
      </c>
      <c r="B823" s="15">
        <f>INDEX('GLB.Ts+dSST (4)'!$B$3:$M$149,MATCH(VALUE(RIGHT(A823,4)),'GLB.Ts+dSST (4)'!$A$3:$A$149,0),VALUE(LEFT(A823,FIND("/",A823)-1)))</f>
        <v>-0.05</v>
      </c>
      <c r="C823" s="15">
        <f t="shared" si="24"/>
        <v>13.95</v>
      </c>
      <c r="D823" s="15">
        <f t="shared" si="25"/>
        <v>57.11</v>
      </c>
    </row>
    <row r="824" spans="1:4" ht="15" customHeight="1">
      <c r="A824" t="s">
        <v>887</v>
      </c>
      <c r="B824" s="15">
        <f>INDEX('GLB.Ts+dSST (4)'!$B$3:$M$149,MATCH(VALUE(RIGHT(A824,4)),'GLB.Ts+dSST (4)'!$A$3:$A$149,0),VALUE(LEFT(A824,FIND("/",A824)-1)))</f>
        <v>-0.11</v>
      </c>
      <c r="C824" s="15">
        <f t="shared" si="24"/>
        <v>13.89</v>
      </c>
      <c r="D824" s="15">
        <f t="shared" si="25"/>
        <v>57.002000000000002</v>
      </c>
    </row>
    <row r="825" spans="1:4" ht="15" customHeight="1">
      <c r="A825" t="s">
        <v>888</v>
      </c>
      <c r="B825" s="15">
        <f>INDEX('GLB.Ts+dSST (4)'!$B$3:$M$149,MATCH(VALUE(RIGHT(A825,4)),'GLB.Ts+dSST (4)'!$A$3:$A$149,0),VALUE(LEFT(A825,FIND("/",A825)-1)))</f>
        <v>-0.12</v>
      </c>
      <c r="C825" s="15">
        <f t="shared" si="24"/>
        <v>13.88</v>
      </c>
      <c r="D825" s="15">
        <f t="shared" si="25"/>
        <v>56.984000000000002</v>
      </c>
    </row>
    <row r="826" spans="1:4" ht="15" customHeight="1">
      <c r="A826" t="s">
        <v>889</v>
      </c>
      <c r="B826" s="15">
        <f>INDEX('GLB.Ts+dSST (4)'!$B$3:$M$149,MATCH(VALUE(RIGHT(A826,4)),'GLB.Ts+dSST (4)'!$A$3:$A$149,0),VALUE(LEFT(A826,FIND("/",A826)-1)))</f>
        <v>-0.14000000000000001</v>
      </c>
      <c r="C826" s="15">
        <f t="shared" si="24"/>
        <v>13.86</v>
      </c>
      <c r="D826" s="15">
        <f t="shared" si="25"/>
        <v>56.948</v>
      </c>
    </row>
    <row r="827" spans="1:4" ht="15" customHeight="1">
      <c r="A827" t="s">
        <v>890</v>
      </c>
      <c r="B827" s="15">
        <f>INDEX('GLB.Ts+dSST (4)'!$B$3:$M$149,MATCH(VALUE(RIGHT(A827,4)),'GLB.Ts+dSST (4)'!$A$3:$A$149,0),VALUE(LEFT(A827,FIND("/",A827)-1)))</f>
        <v>-0.05</v>
      </c>
      <c r="C827" s="15">
        <f t="shared" si="24"/>
        <v>13.95</v>
      </c>
      <c r="D827" s="15">
        <f t="shared" si="25"/>
        <v>57.11</v>
      </c>
    </row>
    <row r="828" spans="1:4" ht="15" customHeight="1">
      <c r="A828" t="s">
        <v>891</v>
      </c>
      <c r="B828" s="15">
        <f>INDEX('GLB.Ts+dSST (4)'!$B$3:$M$149,MATCH(VALUE(RIGHT(A828,4)),'GLB.Ts+dSST (4)'!$A$3:$A$149,0),VALUE(LEFT(A828,FIND("/",A828)-1)))</f>
        <v>-0.13</v>
      </c>
      <c r="C828" s="15">
        <f t="shared" si="24"/>
        <v>13.87</v>
      </c>
      <c r="D828" s="15">
        <f t="shared" si="25"/>
        <v>56.965999999999994</v>
      </c>
    </row>
    <row r="829" spans="1:4" ht="15" customHeight="1">
      <c r="A829" t="s">
        <v>892</v>
      </c>
      <c r="B829" s="15">
        <f>INDEX('GLB.Ts+dSST (4)'!$B$3:$M$149,MATCH(VALUE(RIGHT(A829,4)),'GLB.Ts+dSST (4)'!$A$3:$A$149,0),VALUE(LEFT(A829,FIND("/",A829)-1)))</f>
        <v>-0.24</v>
      </c>
      <c r="C829" s="15">
        <f t="shared" si="24"/>
        <v>13.76</v>
      </c>
      <c r="D829" s="15">
        <f t="shared" si="25"/>
        <v>56.768000000000001</v>
      </c>
    </row>
    <row r="830" spans="1:4" ht="15" customHeight="1">
      <c r="A830" t="s">
        <v>893</v>
      </c>
      <c r="B830" s="15">
        <f>INDEX('GLB.Ts+dSST (4)'!$B$3:$M$149,MATCH(VALUE(RIGHT(A830,4)),'GLB.Ts+dSST (4)'!$A$3:$A$149,0),VALUE(LEFT(A830,FIND("/",A830)-1)))</f>
        <v>0.06</v>
      </c>
      <c r="C830" s="15">
        <f t="shared" si="24"/>
        <v>14.06</v>
      </c>
      <c r="D830" s="15">
        <f t="shared" si="25"/>
        <v>57.308</v>
      </c>
    </row>
    <row r="831" spans="1:4" ht="15" customHeight="1">
      <c r="A831" t="s">
        <v>894</v>
      </c>
      <c r="B831" s="15">
        <f>INDEX('GLB.Ts+dSST (4)'!$B$3:$M$149,MATCH(VALUE(RIGHT(A831,4)),'GLB.Ts+dSST (4)'!$A$3:$A$149,0),VALUE(LEFT(A831,FIND("/",A831)-1)))</f>
        <v>-0.14000000000000001</v>
      </c>
      <c r="C831" s="15">
        <f t="shared" si="24"/>
        <v>13.86</v>
      </c>
      <c r="D831" s="15">
        <f t="shared" si="25"/>
        <v>56.948</v>
      </c>
    </row>
    <row r="832" spans="1:4" ht="15" customHeight="1">
      <c r="A832" t="s">
        <v>895</v>
      </c>
      <c r="B832" s="15">
        <f>INDEX('GLB.Ts+dSST (4)'!$B$3:$M$149,MATCH(VALUE(RIGHT(A832,4)),'GLB.Ts+dSST (4)'!$A$3:$A$149,0),VALUE(LEFT(A832,FIND("/",A832)-1)))</f>
        <v>-0.02</v>
      </c>
      <c r="C832" s="15">
        <f t="shared" si="24"/>
        <v>13.98</v>
      </c>
      <c r="D832" s="15">
        <f t="shared" si="25"/>
        <v>57.164000000000001</v>
      </c>
    </row>
    <row r="833" spans="1:4" ht="15" customHeight="1">
      <c r="A833" t="s">
        <v>896</v>
      </c>
      <c r="B833" s="15">
        <f>INDEX('GLB.Ts+dSST (4)'!$B$3:$M$149,MATCH(VALUE(RIGHT(A833,4)),'GLB.Ts+dSST (4)'!$A$3:$A$149,0),VALUE(LEFT(A833,FIND("/",A833)-1)))</f>
        <v>-0.11</v>
      </c>
      <c r="C833" s="15">
        <f t="shared" si="24"/>
        <v>13.89</v>
      </c>
      <c r="D833" s="15">
        <f t="shared" si="25"/>
        <v>57.002000000000002</v>
      </c>
    </row>
    <row r="834" spans="1:4" ht="15" customHeight="1">
      <c r="A834" t="s">
        <v>897</v>
      </c>
      <c r="B834" s="15">
        <f>INDEX('GLB.Ts+dSST (4)'!$B$3:$M$149,MATCH(VALUE(RIGHT(A834,4)),'GLB.Ts+dSST (4)'!$A$3:$A$149,0),VALUE(LEFT(A834,FIND("/",A834)-1)))</f>
        <v>-0.1</v>
      </c>
      <c r="C834" s="15">
        <f t="shared" ref="C834:C897" si="26">B834+14</f>
        <v>13.9</v>
      </c>
      <c r="D834" s="15">
        <f t="shared" ref="D834:D897" si="27">C834*(9/5)+32</f>
        <v>57.019999999999996</v>
      </c>
    </row>
    <row r="835" spans="1:4" ht="15" customHeight="1">
      <c r="A835" t="s">
        <v>898</v>
      </c>
      <c r="B835" s="15">
        <f>INDEX('GLB.Ts+dSST (4)'!$B$3:$M$149,MATCH(VALUE(RIGHT(A835,4)),'GLB.Ts+dSST (4)'!$A$3:$A$149,0),VALUE(LEFT(A835,FIND("/",A835)-1)))</f>
        <v>-0.27</v>
      </c>
      <c r="C835" s="15">
        <f t="shared" si="26"/>
        <v>13.73</v>
      </c>
      <c r="D835" s="15">
        <f t="shared" si="27"/>
        <v>56.713999999999999</v>
      </c>
    </row>
    <row r="836" spans="1:4" ht="15" customHeight="1">
      <c r="A836" t="s">
        <v>899</v>
      </c>
      <c r="B836" s="15">
        <f>INDEX('GLB.Ts+dSST (4)'!$B$3:$M$149,MATCH(VALUE(RIGHT(A836,4)),'GLB.Ts+dSST (4)'!$A$3:$A$149,0),VALUE(LEFT(A836,FIND("/",A836)-1)))</f>
        <v>-0.13</v>
      </c>
      <c r="C836" s="15">
        <f t="shared" si="26"/>
        <v>13.87</v>
      </c>
      <c r="D836" s="15">
        <f t="shared" si="27"/>
        <v>56.965999999999994</v>
      </c>
    </row>
    <row r="837" spans="1:4" ht="15" customHeight="1">
      <c r="A837" t="s">
        <v>900</v>
      </c>
      <c r="B837" s="15">
        <f>INDEX('GLB.Ts+dSST (4)'!$B$3:$M$149,MATCH(VALUE(RIGHT(A837,4)),'GLB.Ts+dSST (4)'!$A$3:$A$149,0),VALUE(LEFT(A837,FIND("/",A837)-1)))</f>
        <v>-0.13</v>
      </c>
      <c r="C837" s="15">
        <f t="shared" si="26"/>
        <v>13.87</v>
      </c>
      <c r="D837" s="15">
        <f t="shared" si="27"/>
        <v>56.965999999999994</v>
      </c>
    </row>
    <row r="838" spans="1:4" ht="15" customHeight="1">
      <c r="A838" t="s">
        <v>901</v>
      </c>
      <c r="B838" s="15">
        <f>INDEX('GLB.Ts+dSST (4)'!$B$3:$M$149,MATCH(VALUE(RIGHT(A838,4)),'GLB.Ts+dSST (4)'!$A$3:$A$149,0),VALUE(LEFT(A838,FIND("/",A838)-1)))</f>
        <v>-0.14000000000000001</v>
      </c>
      <c r="C838" s="15">
        <f t="shared" si="26"/>
        <v>13.86</v>
      </c>
      <c r="D838" s="15">
        <f t="shared" si="27"/>
        <v>56.948</v>
      </c>
    </row>
    <row r="839" spans="1:4" ht="15" customHeight="1">
      <c r="A839" t="s">
        <v>902</v>
      </c>
      <c r="B839" s="15">
        <f>INDEX('GLB.Ts+dSST (4)'!$B$3:$M$149,MATCH(VALUE(RIGHT(A839,4)),'GLB.Ts+dSST (4)'!$A$3:$A$149,0),VALUE(LEFT(A839,FIND("/",A839)-1)))</f>
        <v>-7.0000000000000007E-2</v>
      </c>
      <c r="C839" s="15">
        <f t="shared" si="26"/>
        <v>13.93</v>
      </c>
      <c r="D839" s="15">
        <f t="shared" si="27"/>
        <v>57.073999999999998</v>
      </c>
    </row>
    <row r="840" spans="1:4" ht="15" customHeight="1">
      <c r="A840" t="s">
        <v>903</v>
      </c>
      <c r="B840" s="15">
        <f>INDEX('GLB.Ts+dSST (4)'!$B$3:$M$149,MATCH(VALUE(RIGHT(A840,4)),'GLB.Ts+dSST (4)'!$A$3:$A$149,0),VALUE(LEFT(A840,FIND("/",A840)-1)))</f>
        <v>-0.1</v>
      </c>
      <c r="C840" s="15">
        <f t="shared" si="26"/>
        <v>13.9</v>
      </c>
      <c r="D840" s="15">
        <f t="shared" si="27"/>
        <v>57.019999999999996</v>
      </c>
    </row>
    <row r="841" spans="1:4" ht="15" customHeight="1">
      <c r="A841" t="s">
        <v>904</v>
      </c>
      <c r="B841" s="15">
        <f>INDEX('GLB.Ts+dSST (4)'!$B$3:$M$149,MATCH(VALUE(RIGHT(A841,4)),'GLB.Ts+dSST (4)'!$A$3:$A$149,0),VALUE(LEFT(A841,FIND("/",A841)-1)))</f>
        <v>-0.18</v>
      </c>
      <c r="C841" s="15">
        <f t="shared" si="26"/>
        <v>13.82</v>
      </c>
      <c r="D841" s="15">
        <f t="shared" si="27"/>
        <v>56.876000000000005</v>
      </c>
    </row>
    <row r="842" spans="1:4" ht="15" customHeight="1">
      <c r="A842" t="s">
        <v>905</v>
      </c>
      <c r="B842" s="15">
        <f>INDEX('GLB.Ts+dSST (4)'!$B$3:$M$149,MATCH(VALUE(RIGHT(A842,4)),'GLB.Ts+dSST (4)'!$A$3:$A$149,0),VALUE(LEFT(A842,FIND("/",A842)-1)))</f>
        <v>-0.26</v>
      </c>
      <c r="C842" s="15">
        <f t="shared" si="26"/>
        <v>13.74</v>
      </c>
      <c r="D842" s="15">
        <f t="shared" si="27"/>
        <v>56.731999999999999</v>
      </c>
    </row>
    <row r="843" spans="1:4" ht="15" customHeight="1">
      <c r="A843" t="s">
        <v>906</v>
      </c>
      <c r="B843" s="15">
        <f>INDEX('GLB.Ts+dSST (4)'!$B$3:$M$149,MATCH(VALUE(RIGHT(A843,4)),'GLB.Ts+dSST (4)'!$A$3:$A$149,0),VALUE(LEFT(A843,FIND("/",A843)-1)))</f>
        <v>-0.27</v>
      </c>
      <c r="C843" s="15">
        <f t="shared" si="26"/>
        <v>13.73</v>
      </c>
      <c r="D843" s="15">
        <f t="shared" si="27"/>
        <v>56.713999999999999</v>
      </c>
    </row>
    <row r="844" spans="1:4" ht="15" customHeight="1">
      <c r="A844" t="s">
        <v>907</v>
      </c>
      <c r="B844" s="15">
        <f>INDEX('GLB.Ts+dSST (4)'!$B$3:$M$149,MATCH(VALUE(RIGHT(A844,4)),'GLB.Ts+dSST (4)'!$A$3:$A$149,0),VALUE(LEFT(A844,FIND("/",A844)-1)))</f>
        <v>-0.08</v>
      </c>
      <c r="C844" s="15">
        <f t="shared" si="26"/>
        <v>13.92</v>
      </c>
      <c r="D844" s="15">
        <f t="shared" si="27"/>
        <v>57.055999999999997</v>
      </c>
    </row>
    <row r="845" spans="1:4" ht="15" customHeight="1">
      <c r="A845" t="s">
        <v>908</v>
      </c>
      <c r="B845" s="15">
        <f>INDEX('GLB.Ts+dSST (4)'!$B$3:$M$149,MATCH(VALUE(RIGHT(A845,4)),'GLB.Ts+dSST (4)'!$A$3:$A$149,0),VALUE(LEFT(A845,FIND("/",A845)-1)))</f>
        <v>-0.21</v>
      </c>
      <c r="C845" s="15">
        <f t="shared" si="26"/>
        <v>13.79</v>
      </c>
      <c r="D845" s="15">
        <f t="shared" si="27"/>
        <v>56.822000000000003</v>
      </c>
    </row>
    <row r="846" spans="1:4" ht="15" customHeight="1">
      <c r="A846" t="s">
        <v>909</v>
      </c>
      <c r="B846" s="15">
        <f>INDEX('GLB.Ts+dSST (4)'!$B$3:$M$149,MATCH(VALUE(RIGHT(A846,4)),'GLB.Ts+dSST (4)'!$A$3:$A$149,0),VALUE(LEFT(A846,FIND("/",A846)-1)))</f>
        <v>-0.11</v>
      </c>
      <c r="C846" s="15">
        <f t="shared" si="26"/>
        <v>13.89</v>
      </c>
      <c r="D846" s="15">
        <f t="shared" si="27"/>
        <v>57.002000000000002</v>
      </c>
    </row>
    <row r="847" spans="1:4" ht="15" customHeight="1">
      <c r="A847" t="s">
        <v>910</v>
      </c>
      <c r="B847" s="15">
        <f>INDEX('GLB.Ts+dSST (4)'!$B$3:$M$149,MATCH(VALUE(RIGHT(A847,4)),'GLB.Ts+dSST (4)'!$A$3:$A$149,0),VALUE(LEFT(A847,FIND("/",A847)-1)))</f>
        <v>-0.05</v>
      </c>
      <c r="C847" s="15">
        <f t="shared" si="26"/>
        <v>13.95</v>
      </c>
      <c r="D847" s="15">
        <f t="shared" si="27"/>
        <v>57.11</v>
      </c>
    </row>
    <row r="848" spans="1:4" ht="15" customHeight="1">
      <c r="A848" t="s">
        <v>911</v>
      </c>
      <c r="B848" s="15">
        <f>INDEX('GLB.Ts+dSST (4)'!$B$3:$M$149,MATCH(VALUE(RIGHT(A848,4)),'GLB.Ts+dSST (4)'!$A$3:$A$149,0),VALUE(LEFT(A848,FIND("/",A848)-1)))</f>
        <v>-0.09</v>
      </c>
      <c r="C848" s="15">
        <f t="shared" si="26"/>
        <v>13.91</v>
      </c>
      <c r="D848" s="15">
        <f t="shared" si="27"/>
        <v>57.037999999999997</v>
      </c>
    </row>
    <row r="849" spans="1:4" ht="15" customHeight="1">
      <c r="A849" t="s">
        <v>912</v>
      </c>
      <c r="B849" s="15">
        <f>INDEX('GLB.Ts+dSST (4)'!$B$3:$M$149,MATCH(VALUE(RIGHT(A849,4)),'GLB.Ts+dSST (4)'!$A$3:$A$149,0),VALUE(LEFT(A849,FIND("/",A849)-1)))</f>
        <v>-0.16</v>
      </c>
      <c r="C849" s="15">
        <f t="shared" si="26"/>
        <v>13.84</v>
      </c>
      <c r="D849" s="15">
        <f t="shared" si="27"/>
        <v>56.911999999999999</v>
      </c>
    </row>
    <row r="850" spans="1:4" ht="15" customHeight="1">
      <c r="A850" t="s">
        <v>913</v>
      </c>
      <c r="B850" s="15">
        <f>INDEX('GLB.Ts+dSST (4)'!$B$3:$M$149,MATCH(VALUE(RIGHT(A850,4)),'GLB.Ts+dSST (4)'!$A$3:$A$149,0),VALUE(LEFT(A850,FIND("/",A850)-1)))</f>
        <v>-0.11</v>
      </c>
      <c r="C850" s="15">
        <f t="shared" si="26"/>
        <v>13.89</v>
      </c>
      <c r="D850" s="15">
        <f t="shared" si="27"/>
        <v>57.002000000000002</v>
      </c>
    </row>
    <row r="851" spans="1:4" ht="15" customHeight="1">
      <c r="A851" t="s">
        <v>914</v>
      </c>
      <c r="B851" s="15">
        <f>INDEX('GLB.Ts+dSST (4)'!$B$3:$M$149,MATCH(VALUE(RIGHT(A851,4)),'GLB.Ts+dSST (4)'!$A$3:$A$149,0),VALUE(LEFT(A851,FIND("/",A851)-1)))</f>
        <v>-0.2</v>
      </c>
      <c r="C851" s="15">
        <f t="shared" si="26"/>
        <v>13.8</v>
      </c>
      <c r="D851" s="15">
        <f t="shared" si="27"/>
        <v>56.84</v>
      </c>
    </row>
    <row r="852" spans="1:4" ht="15" customHeight="1">
      <c r="A852" t="s">
        <v>915</v>
      </c>
      <c r="B852" s="15">
        <f>INDEX('GLB.Ts+dSST (4)'!$B$3:$M$149,MATCH(VALUE(RIGHT(A852,4)),'GLB.Ts+dSST (4)'!$A$3:$A$149,0),VALUE(LEFT(A852,FIND("/",A852)-1)))</f>
        <v>-0.34</v>
      </c>
      <c r="C852" s="15">
        <f t="shared" si="26"/>
        <v>13.66</v>
      </c>
      <c r="D852" s="15">
        <f t="shared" si="27"/>
        <v>56.588000000000001</v>
      </c>
    </row>
    <row r="853" spans="1:4" ht="15" customHeight="1">
      <c r="A853" t="s">
        <v>916</v>
      </c>
      <c r="B853" s="15">
        <f>INDEX('GLB.Ts+dSST (4)'!$B$3:$M$149,MATCH(VALUE(RIGHT(A853,4)),'GLB.Ts+dSST (4)'!$A$3:$A$149,0),VALUE(LEFT(A853,FIND("/",A853)-1)))</f>
        <v>-0.22</v>
      </c>
      <c r="C853" s="15">
        <f t="shared" si="26"/>
        <v>13.78</v>
      </c>
      <c r="D853" s="15">
        <f t="shared" si="27"/>
        <v>56.804000000000002</v>
      </c>
    </row>
    <row r="854" spans="1:4" ht="15" customHeight="1">
      <c r="A854" t="s">
        <v>917</v>
      </c>
      <c r="B854" s="15">
        <f>INDEX('GLB.Ts+dSST (4)'!$B$3:$M$149,MATCH(VALUE(RIGHT(A854,4)),'GLB.Ts+dSST (4)'!$A$3:$A$149,0),VALUE(LEFT(A854,FIND("/",A854)-1)))</f>
        <v>-0.34</v>
      </c>
      <c r="C854" s="15">
        <f t="shared" si="26"/>
        <v>13.66</v>
      </c>
      <c r="D854" s="15">
        <f t="shared" si="27"/>
        <v>56.588000000000001</v>
      </c>
    </row>
    <row r="855" spans="1:4" ht="15" customHeight="1">
      <c r="A855" t="s">
        <v>918</v>
      </c>
      <c r="B855" s="15">
        <f>INDEX('GLB.Ts+dSST (4)'!$B$3:$M$149,MATCH(VALUE(RIGHT(A855,4)),'GLB.Ts+dSST (4)'!$A$3:$A$149,0),VALUE(LEFT(A855,FIND("/",A855)-1)))</f>
        <v>-0.41</v>
      </c>
      <c r="C855" s="15">
        <f t="shared" si="26"/>
        <v>13.59</v>
      </c>
      <c r="D855" s="15">
        <f t="shared" si="27"/>
        <v>56.462000000000003</v>
      </c>
    </row>
    <row r="856" spans="1:4" ht="15" customHeight="1">
      <c r="A856" t="s">
        <v>919</v>
      </c>
      <c r="B856" s="15">
        <f>INDEX('GLB.Ts+dSST (4)'!$B$3:$M$149,MATCH(VALUE(RIGHT(A856,4)),'GLB.Ts+dSST (4)'!$A$3:$A$149,0),VALUE(LEFT(A856,FIND("/",A856)-1)))</f>
        <v>-0.2</v>
      </c>
      <c r="C856" s="15">
        <f t="shared" si="26"/>
        <v>13.8</v>
      </c>
      <c r="D856" s="15">
        <f t="shared" si="27"/>
        <v>56.84</v>
      </c>
    </row>
    <row r="857" spans="1:4" ht="15" customHeight="1">
      <c r="A857" t="s">
        <v>920</v>
      </c>
      <c r="B857" s="15">
        <f>INDEX('GLB.Ts+dSST (4)'!$B$3:$M$149,MATCH(VALUE(RIGHT(A857,4)),'GLB.Ts+dSST (4)'!$A$3:$A$149,0),VALUE(LEFT(A857,FIND("/",A857)-1)))</f>
        <v>-0.14000000000000001</v>
      </c>
      <c r="C857" s="15">
        <f t="shared" si="26"/>
        <v>13.86</v>
      </c>
      <c r="D857" s="15">
        <f t="shared" si="27"/>
        <v>56.948</v>
      </c>
    </row>
    <row r="858" spans="1:4" ht="15" customHeight="1">
      <c r="A858" t="s">
        <v>921</v>
      </c>
      <c r="B858" s="15">
        <f>INDEX('GLB.Ts+dSST (4)'!$B$3:$M$149,MATCH(VALUE(RIGHT(A858,4)),'GLB.Ts+dSST (4)'!$A$3:$A$149,0),VALUE(LEFT(A858,FIND("/",A858)-1)))</f>
        <v>0</v>
      </c>
      <c r="C858" s="15">
        <f t="shared" si="26"/>
        <v>14</v>
      </c>
      <c r="D858" s="15">
        <f t="shared" si="27"/>
        <v>57.2</v>
      </c>
    </row>
    <row r="859" spans="1:4" ht="15" customHeight="1">
      <c r="A859" t="s">
        <v>922</v>
      </c>
      <c r="B859" s="15">
        <f>INDEX('GLB.Ts+dSST (4)'!$B$3:$M$149,MATCH(VALUE(RIGHT(A859,4)),'GLB.Ts+dSST (4)'!$A$3:$A$149,0),VALUE(LEFT(A859,FIND("/",A859)-1)))</f>
        <v>-7.0000000000000007E-2</v>
      </c>
      <c r="C859" s="15">
        <f t="shared" si="26"/>
        <v>13.93</v>
      </c>
      <c r="D859" s="15">
        <f t="shared" si="27"/>
        <v>57.073999999999998</v>
      </c>
    </row>
    <row r="860" spans="1:4" ht="15" customHeight="1">
      <c r="A860" t="s">
        <v>923</v>
      </c>
      <c r="B860" s="15">
        <f>INDEX('GLB.Ts+dSST (4)'!$B$3:$M$149,MATCH(VALUE(RIGHT(A860,4)),'GLB.Ts+dSST (4)'!$A$3:$A$149,0),VALUE(LEFT(A860,FIND("/",A860)-1)))</f>
        <v>-0.01</v>
      </c>
      <c r="C860" s="15">
        <f t="shared" si="26"/>
        <v>13.99</v>
      </c>
      <c r="D860" s="15">
        <f t="shared" si="27"/>
        <v>57.182000000000002</v>
      </c>
    </row>
    <row r="861" spans="1:4" ht="15" customHeight="1">
      <c r="A861" t="s">
        <v>924</v>
      </c>
      <c r="B861" s="15">
        <f>INDEX('GLB.Ts+dSST (4)'!$B$3:$M$149,MATCH(VALUE(RIGHT(A861,4)),'GLB.Ts+dSST (4)'!$A$3:$A$149,0),VALUE(LEFT(A861,FIND("/",A861)-1)))</f>
        <v>0.06</v>
      </c>
      <c r="C861" s="15">
        <f t="shared" si="26"/>
        <v>14.06</v>
      </c>
      <c r="D861" s="15">
        <f t="shared" si="27"/>
        <v>57.308</v>
      </c>
    </row>
    <row r="862" spans="1:4" ht="15" customHeight="1">
      <c r="A862" t="s">
        <v>925</v>
      </c>
      <c r="B862" s="15">
        <f>INDEX('GLB.Ts+dSST (4)'!$B$3:$M$149,MATCH(VALUE(RIGHT(A862,4)),'GLB.Ts+dSST (4)'!$A$3:$A$149,0),VALUE(LEFT(A862,FIND("/",A862)-1)))</f>
        <v>0.05</v>
      </c>
      <c r="C862" s="15">
        <f t="shared" si="26"/>
        <v>14.05</v>
      </c>
      <c r="D862" s="15">
        <f t="shared" si="27"/>
        <v>57.290000000000006</v>
      </c>
    </row>
    <row r="863" spans="1:4" ht="15" customHeight="1">
      <c r="A863" t="s">
        <v>926</v>
      </c>
      <c r="B863" s="15">
        <f>INDEX('GLB.Ts+dSST (4)'!$B$3:$M$149,MATCH(VALUE(RIGHT(A863,4)),'GLB.Ts+dSST (4)'!$A$3:$A$149,0),VALUE(LEFT(A863,FIND("/",A863)-1)))</f>
        <v>0.08</v>
      </c>
      <c r="C863" s="15">
        <f t="shared" si="26"/>
        <v>14.08</v>
      </c>
      <c r="D863" s="15">
        <f t="shared" si="27"/>
        <v>57.344000000000001</v>
      </c>
    </row>
    <row r="864" spans="1:4" ht="15" customHeight="1">
      <c r="A864" t="s">
        <v>927</v>
      </c>
      <c r="B864" s="15">
        <f>INDEX('GLB.Ts+dSST (4)'!$B$3:$M$149,MATCH(VALUE(RIGHT(A864,4)),'GLB.Ts+dSST (4)'!$A$3:$A$149,0),VALUE(LEFT(A864,FIND("/",A864)-1)))</f>
        <v>-0.01</v>
      </c>
      <c r="C864" s="15">
        <f t="shared" si="26"/>
        <v>13.99</v>
      </c>
      <c r="D864" s="15">
        <f t="shared" si="27"/>
        <v>57.182000000000002</v>
      </c>
    </row>
    <row r="865" spans="1:4" ht="15" customHeight="1">
      <c r="A865" t="s">
        <v>928</v>
      </c>
      <c r="B865" s="15">
        <f>INDEX('GLB.Ts+dSST (4)'!$B$3:$M$149,MATCH(VALUE(RIGHT(A865,4)),'GLB.Ts+dSST (4)'!$A$3:$A$149,0),VALUE(LEFT(A865,FIND("/",A865)-1)))</f>
        <v>0.15</v>
      </c>
      <c r="C865" s="15">
        <f t="shared" si="26"/>
        <v>14.15</v>
      </c>
      <c r="D865" s="15">
        <f t="shared" si="27"/>
        <v>57.47</v>
      </c>
    </row>
    <row r="866" spans="1:4" ht="15" customHeight="1">
      <c r="A866" t="s">
        <v>929</v>
      </c>
      <c r="B866" s="15">
        <f>INDEX('GLB.Ts+dSST (4)'!$B$3:$M$149,MATCH(VALUE(RIGHT(A866,4)),'GLB.Ts+dSST (4)'!$A$3:$A$149,0),VALUE(LEFT(A866,FIND("/",A866)-1)))</f>
        <v>0.11</v>
      </c>
      <c r="C866" s="15">
        <f t="shared" si="26"/>
        <v>14.11</v>
      </c>
      <c r="D866" s="15">
        <f t="shared" si="27"/>
        <v>57.397999999999996</v>
      </c>
    </row>
    <row r="867" spans="1:4" ht="15" customHeight="1">
      <c r="A867" t="s">
        <v>930</v>
      </c>
      <c r="B867" s="15">
        <f>INDEX('GLB.Ts+dSST (4)'!$B$3:$M$149,MATCH(VALUE(RIGHT(A867,4)),'GLB.Ts+dSST (4)'!$A$3:$A$149,0),VALUE(LEFT(A867,FIND("/",A867)-1)))</f>
        <v>0.11</v>
      </c>
      <c r="C867" s="15">
        <f t="shared" si="26"/>
        <v>14.11</v>
      </c>
      <c r="D867" s="15">
        <f t="shared" si="27"/>
        <v>57.397999999999996</v>
      </c>
    </row>
    <row r="868" spans="1:4" ht="15" customHeight="1">
      <c r="A868" t="s">
        <v>931</v>
      </c>
      <c r="B868" s="15">
        <f>INDEX('GLB.Ts+dSST (4)'!$B$3:$M$149,MATCH(VALUE(RIGHT(A868,4)),'GLB.Ts+dSST (4)'!$A$3:$A$149,0),VALUE(LEFT(A868,FIND("/",A868)-1)))</f>
        <v>-0.08</v>
      </c>
      <c r="C868" s="15">
        <f t="shared" si="26"/>
        <v>13.92</v>
      </c>
      <c r="D868" s="15">
        <f t="shared" si="27"/>
        <v>57.055999999999997</v>
      </c>
    </row>
    <row r="869" spans="1:4" ht="15" customHeight="1">
      <c r="A869" t="s">
        <v>932</v>
      </c>
      <c r="B869" s="15">
        <f>INDEX('GLB.Ts+dSST (4)'!$B$3:$M$149,MATCH(VALUE(RIGHT(A869,4)),'GLB.Ts+dSST (4)'!$A$3:$A$149,0),VALUE(LEFT(A869,FIND("/",A869)-1)))</f>
        <v>0.03</v>
      </c>
      <c r="C869" s="15">
        <f t="shared" si="26"/>
        <v>14.03</v>
      </c>
      <c r="D869" s="15">
        <f t="shared" si="27"/>
        <v>57.253999999999998</v>
      </c>
    </row>
    <row r="870" spans="1:4" ht="15" customHeight="1">
      <c r="A870" t="s">
        <v>933</v>
      </c>
      <c r="B870" s="15">
        <f>INDEX('GLB.Ts+dSST (4)'!$B$3:$M$149,MATCH(VALUE(RIGHT(A870,4)),'GLB.Ts+dSST (4)'!$A$3:$A$149,0),VALUE(LEFT(A870,FIND("/",A870)-1)))</f>
        <v>-0.03</v>
      </c>
      <c r="C870" s="15">
        <f t="shared" si="26"/>
        <v>13.97</v>
      </c>
      <c r="D870" s="15">
        <f t="shared" si="27"/>
        <v>57.146000000000001</v>
      </c>
    </row>
    <row r="871" spans="1:4" ht="15" customHeight="1">
      <c r="A871" t="s">
        <v>934</v>
      </c>
      <c r="B871" s="15">
        <f>INDEX('GLB.Ts+dSST (4)'!$B$3:$M$149,MATCH(VALUE(RIGHT(A871,4)),'GLB.Ts+dSST (4)'!$A$3:$A$149,0),VALUE(LEFT(A871,FIND("/",A871)-1)))</f>
        <v>-0.03</v>
      </c>
      <c r="C871" s="15">
        <f t="shared" si="26"/>
        <v>13.97</v>
      </c>
      <c r="D871" s="15">
        <f t="shared" si="27"/>
        <v>57.146000000000001</v>
      </c>
    </row>
    <row r="872" spans="1:4" ht="15" customHeight="1">
      <c r="A872" t="s">
        <v>935</v>
      </c>
      <c r="B872" s="15">
        <f>INDEX('GLB.Ts+dSST (4)'!$B$3:$M$149,MATCH(VALUE(RIGHT(A872,4)),'GLB.Ts+dSST (4)'!$A$3:$A$149,0),VALUE(LEFT(A872,FIND("/",A872)-1)))</f>
        <v>0.04</v>
      </c>
      <c r="C872" s="15">
        <f t="shared" si="26"/>
        <v>14.04</v>
      </c>
      <c r="D872" s="15">
        <f t="shared" si="27"/>
        <v>57.271999999999998</v>
      </c>
    </row>
    <row r="873" spans="1:4" ht="15" customHeight="1">
      <c r="A873" t="s">
        <v>936</v>
      </c>
      <c r="B873" s="15">
        <f>INDEX('GLB.Ts+dSST (4)'!$B$3:$M$149,MATCH(VALUE(RIGHT(A873,4)),'GLB.Ts+dSST (4)'!$A$3:$A$149,0),VALUE(LEFT(A873,FIND("/",A873)-1)))</f>
        <v>0.05</v>
      </c>
      <c r="C873" s="15">
        <f t="shared" si="26"/>
        <v>14.05</v>
      </c>
      <c r="D873" s="15">
        <f t="shared" si="27"/>
        <v>57.290000000000006</v>
      </c>
    </row>
    <row r="874" spans="1:4" ht="15" customHeight="1">
      <c r="A874" t="s">
        <v>937</v>
      </c>
      <c r="B874" s="15">
        <f>INDEX('GLB.Ts+dSST (4)'!$B$3:$M$149,MATCH(VALUE(RIGHT(A874,4)),'GLB.Ts+dSST (4)'!$A$3:$A$149,0),VALUE(LEFT(A874,FIND("/",A874)-1)))</f>
        <v>7.0000000000000007E-2</v>
      </c>
      <c r="C874" s="15">
        <f t="shared" si="26"/>
        <v>14.07</v>
      </c>
      <c r="D874" s="15">
        <f t="shared" si="27"/>
        <v>57.326000000000001</v>
      </c>
    </row>
    <row r="875" spans="1:4" ht="15" customHeight="1">
      <c r="A875" t="s">
        <v>938</v>
      </c>
      <c r="B875" s="15">
        <f>INDEX('GLB.Ts+dSST (4)'!$B$3:$M$149,MATCH(VALUE(RIGHT(A875,4)),'GLB.Ts+dSST (4)'!$A$3:$A$149,0),VALUE(LEFT(A875,FIND("/",A875)-1)))</f>
        <v>0</v>
      </c>
      <c r="C875" s="15">
        <f t="shared" si="26"/>
        <v>14</v>
      </c>
      <c r="D875" s="15">
        <f t="shared" si="27"/>
        <v>57.2</v>
      </c>
    </row>
    <row r="876" spans="1:4" ht="15" customHeight="1">
      <c r="A876" t="s">
        <v>939</v>
      </c>
      <c r="B876" s="15">
        <f>INDEX('GLB.Ts+dSST (4)'!$B$3:$M$149,MATCH(VALUE(RIGHT(A876,4)),'GLB.Ts+dSST (4)'!$A$3:$A$149,0),VALUE(LEFT(A876,FIND("/",A876)-1)))</f>
        <v>-0.13</v>
      </c>
      <c r="C876" s="15">
        <f t="shared" si="26"/>
        <v>13.87</v>
      </c>
      <c r="D876" s="15">
        <f t="shared" si="27"/>
        <v>56.965999999999994</v>
      </c>
    </row>
    <row r="877" spans="1:4" ht="15" customHeight="1">
      <c r="A877" t="s">
        <v>940</v>
      </c>
      <c r="B877" s="15">
        <f>INDEX('GLB.Ts+dSST (4)'!$B$3:$M$149,MATCH(VALUE(RIGHT(A877,4)),'GLB.Ts+dSST (4)'!$A$3:$A$149,0),VALUE(LEFT(A877,FIND("/",A877)-1)))</f>
        <v>-0.02</v>
      </c>
      <c r="C877" s="15">
        <f t="shared" si="26"/>
        <v>13.98</v>
      </c>
      <c r="D877" s="15">
        <f t="shared" si="27"/>
        <v>57.164000000000001</v>
      </c>
    </row>
    <row r="878" spans="1:4" ht="15" customHeight="1">
      <c r="A878" t="s">
        <v>941</v>
      </c>
      <c r="B878" s="15">
        <f>INDEX('GLB.Ts+dSST (4)'!$B$3:$M$149,MATCH(VALUE(RIGHT(A878,4)),'GLB.Ts+dSST (4)'!$A$3:$A$149,0),VALUE(LEFT(A878,FIND("/",A878)-1)))</f>
        <v>7.0000000000000007E-2</v>
      </c>
      <c r="C878" s="15">
        <f t="shared" si="26"/>
        <v>14.07</v>
      </c>
      <c r="D878" s="15">
        <f t="shared" si="27"/>
        <v>57.326000000000001</v>
      </c>
    </row>
    <row r="879" spans="1:4" ht="15" customHeight="1">
      <c r="A879" t="s">
        <v>942</v>
      </c>
      <c r="B879" s="15">
        <f>INDEX('GLB.Ts+dSST (4)'!$B$3:$M$149,MATCH(VALUE(RIGHT(A879,4)),'GLB.Ts+dSST (4)'!$A$3:$A$149,0),VALUE(LEFT(A879,FIND("/",A879)-1)))</f>
        <v>0.15</v>
      </c>
      <c r="C879" s="15">
        <f t="shared" si="26"/>
        <v>14.15</v>
      </c>
      <c r="D879" s="15">
        <f t="shared" si="27"/>
        <v>57.47</v>
      </c>
    </row>
    <row r="880" spans="1:4" ht="15" customHeight="1">
      <c r="A880" t="s">
        <v>943</v>
      </c>
      <c r="B880" s="15">
        <f>INDEX('GLB.Ts+dSST (4)'!$B$3:$M$149,MATCH(VALUE(RIGHT(A880,4)),'GLB.Ts+dSST (4)'!$A$3:$A$149,0),VALUE(LEFT(A880,FIND("/",A880)-1)))</f>
        <v>0.11</v>
      </c>
      <c r="C880" s="15">
        <f t="shared" si="26"/>
        <v>14.11</v>
      </c>
      <c r="D880" s="15">
        <f t="shared" si="27"/>
        <v>57.397999999999996</v>
      </c>
    </row>
    <row r="881" spans="1:4" ht="15" customHeight="1">
      <c r="A881" t="s">
        <v>944</v>
      </c>
      <c r="B881" s="15">
        <f>INDEX('GLB.Ts+dSST (4)'!$B$3:$M$149,MATCH(VALUE(RIGHT(A881,4)),'GLB.Ts+dSST (4)'!$A$3:$A$149,0),VALUE(LEFT(A881,FIND("/",A881)-1)))</f>
        <v>0.19</v>
      </c>
      <c r="C881" s="15">
        <f t="shared" si="26"/>
        <v>14.19</v>
      </c>
      <c r="D881" s="15">
        <f t="shared" si="27"/>
        <v>57.542000000000002</v>
      </c>
    </row>
    <row r="882" spans="1:4" ht="15" customHeight="1">
      <c r="A882" t="s">
        <v>945</v>
      </c>
      <c r="B882" s="15">
        <f>INDEX('GLB.Ts+dSST (4)'!$B$3:$M$149,MATCH(VALUE(RIGHT(A882,4)),'GLB.Ts+dSST (4)'!$A$3:$A$149,0),VALUE(LEFT(A882,FIND("/",A882)-1)))</f>
        <v>0.11</v>
      </c>
      <c r="C882" s="15">
        <f t="shared" si="26"/>
        <v>14.11</v>
      </c>
      <c r="D882" s="15">
        <f t="shared" si="27"/>
        <v>57.397999999999996</v>
      </c>
    </row>
    <row r="883" spans="1:4" ht="15" customHeight="1">
      <c r="A883" t="s">
        <v>946</v>
      </c>
      <c r="B883" s="15">
        <f>INDEX('GLB.Ts+dSST (4)'!$B$3:$M$149,MATCH(VALUE(RIGHT(A883,4)),'GLB.Ts+dSST (4)'!$A$3:$A$149,0),VALUE(LEFT(A883,FIND("/",A883)-1)))</f>
        <v>0.12</v>
      </c>
      <c r="C883" s="15">
        <f t="shared" si="26"/>
        <v>14.12</v>
      </c>
      <c r="D883" s="15">
        <f t="shared" si="27"/>
        <v>57.415999999999997</v>
      </c>
    </row>
    <row r="884" spans="1:4" ht="15" customHeight="1">
      <c r="A884" t="s">
        <v>947</v>
      </c>
      <c r="B884" s="15">
        <f>INDEX('GLB.Ts+dSST (4)'!$B$3:$M$149,MATCH(VALUE(RIGHT(A884,4)),'GLB.Ts+dSST (4)'!$A$3:$A$149,0),VALUE(LEFT(A884,FIND("/",A884)-1)))</f>
        <v>0.01</v>
      </c>
      <c r="C884" s="15">
        <f t="shared" si="26"/>
        <v>14.01</v>
      </c>
      <c r="D884" s="15">
        <f t="shared" si="27"/>
        <v>57.218000000000004</v>
      </c>
    </row>
    <row r="885" spans="1:4" ht="15" customHeight="1">
      <c r="A885" t="s">
        <v>948</v>
      </c>
      <c r="B885" s="15">
        <f>INDEX('GLB.Ts+dSST (4)'!$B$3:$M$149,MATCH(VALUE(RIGHT(A885,4)),'GLB.Ts+dSST (4)'!$A$3:$A$149,0),VALUE(LEFT(A885,FIND("/",A885)-1)))</f>
        <v>0.05</v>
      </c>
      <c r="C885" s="15">
        <f t="shared" si="26"/>
        <v>14.05</v>
      </c>
      <c r="D885" s="15">
        <f t="shared" si="27"/>
        <v>57.290000000000006</v>
      </c>
    </row>
    <row r="886" spans="1:4" ht="15" customHeight="1">
      <c r="A886" t="s">
        <v>949</v>
      </c>
      <c r="B886" s="15">
        <f>INDEX('GLB.Ts+dSST (4)'!$B$3:$M$149,MATCH(VALUE(RIGHT(A886,4)),'GLB.Ts+dSST (4)'!$A$3:$A$149,0),VALUE(LEFT(A886,FIND("/",A886)-1)))</f>
        <v>0.05</v>
      </c>
      <c r="C886" s="15">
        <f t="shared" si="26"/>
        <v>14.05</v>
      </c>
      <c r="D886" s="15">
        <f t="shared" si="27"/>
        <v>57.290000000000006</v>
      </c>
    </row>
    <row r="887" spans="1:4" ht="15" customHeight="1">
      <c r="A887" t="s">
        <v>950</v>
      </c>
      <c r="B887" s="15">
        <f>INDEX('GLB.Ts+dSST (4)'!$B$3:$M$149,MATCH(VALUE(RIGHT(A887,4)),'GLB.Ts+dSST (4)'!$A$3:$A$149,0),VALUE(LEFT(A887,FIND("/",A887)-1)))</f>
        <v>0.08</v>
      </c>
      <c r="C887" s="15">
        <f t="shared" si="26"/>
        <v>14.08</v>
      </c>
      <c r="D887" s="15">
        <f t="shared" si="27"/>
        <v>57.344000000000001</v>
      </c>
    </row>
    <row r="888" spans="1:4" ht="15" customHeight="1">
      <c r="A888" t="s">
        <v>951</v>
      </c>
      <c r="B888" s="15">
        <f>INDEX('GLB.Ts+dSST (4)'!$B$3:$M$149,MATCH(VALUE(RIGHT(A888,4)),'GLB.Ts+dSST (4)'!$A$3:$A$149,0),VALUE(LEFT(A888,FIND("/",A888)-1)))</f>
        <v>-0.03</v>
      </c>
      <c r="C888" s="15">
        <f t="shared" si="26"/>
        <v>13.97</v>
      </c>
      <c r="D888" s="15">
        <f t="shared" si="27"/>
        <v>57.146000000000001</v>
      </c>
    </row>
    <row r="889" spans="1:4" ht="15" customHeight="1">
      <c r="A889" t="s">
        <v>952</v>
      </c>
      <c r="B889" s="15">
        <f>INDEX('GLB.Ts+dSST (4)'!$B$3:$M$149,MATCH(VALUE(RIGHT(A889,4)),'GLB.Ts+dSST (4)'!$A$3:$A$149,0),VALUE(LEFT(A889,FIND("/",A889)-1)))</f>
        <v>0.05</v>
      </c>
      <c r="C889" s="15">
        <f t="shared" si="26"/>
        <v>14.05</v>
      </c>
      <c r="D889" s="15">
        <f t="shared" si="27"/>
        <v>57.290000000000006</v>
      </c>
    </row>
    <row r="890" spans="1:4" ht="15" customHeight="1">
      <c r="A890" t="s">
        <v>953</v>
      </c>
      <c r="B890" s="15">
        <f>INDEX('GLB.Ts+dSST (4)'!$B$3:$M$149,MATCH(VALUE(RIGHT(A890,4)),'GLB.Ts+dSST (4)'!$A$3:$A$149,0),VALUE(LEFT(A890,FIND("/",A890)-1)))</f>
        <v>-0.24</v>
      </c>
      <c r="C890" s="15">
        <f t="shared" si="26"/>
        <v>13.76</v>
      </c>
      <c r="D890" s="15">
        <f t="shared" si="27"/>
        <v>56.768000000000001</v>
      </c>
    </row>
    <row r="891" spans="1:4" ht="15" customHeight="1">
      <c r="A891" t="s">
        <v>954</v>
      </c>
      <c r="B891" s="15">
        <f>INDEX('GLB.Ts+dSST (4)'!$B$3:$M$149,MATCH(VALUE(RIGHT(A891,4)),'GLB.Ts+dSST (4)'!$A$3:$A$149,0),VALUE(LEFT(A891,FIND("/",A891)-1)))</f>
        <v>-0.1</v>
      </c>
      <c r="C891" s="15">
        <f t="shared" si="26"/>
        <v>13.9</v>
      </c>
      <c r="D891" s="15">
        <f t="shared" si="27"/>
        <v>57.019999999999996</v>
      </c>
    </row>
    <row r="892" spans="1:4" ht="15" customHeight="1">
      <c r="A892" t="s">
        <v>955</v>
      </c>
      <c r="B892" s="15">
        <f>INDEX('GLB.Ts+dSST (4)'!$B$3:$M$149,MATCH(VALUE(RIGHT(A892,4)),'GLB.Ts+dSST (4)'!$A$3:$A$149,0),VALUE(LEFT(A892,FIND("/",A892)-1)))</f>
        <v>-0.15</v>
      </c>
      <c r="C892" s="15">
        <f t="shared" si="26"/>
        <v>13.85</v>
      </c>
      <c r="D892" s="15">
        <f t="shared" si="27"/>
        <v>56.93</v>
      </c>
    </row>
    <row r="893" spans="1:4" ht="15" customHeight="1">
      <c r="A893" t="s">
        <v>956</v>
      </c>
      <c r="B893" s="15">
        <f>INDEX('GLB.Ts+dSST (4)'!$B$3:$M$149,MATCH(VALUE(RIGHT(A893,4)),'GLB.Ts+dSST (4)'!$A$3:$A$149,0),VALUE(LEFT(A893,FIND("/",A893)-1)))</f>
        <v>-0.14000000000000001</v>
      </c>
      <c r="C893" s="15">
        <f t="shared" si="26"/>
        <v>13.86</v>
      </c>
      <c r="D893" s="15">
        <f t="shared" si="27"/>
        <v>56.948</v>
      </c>
    </row>
    <row r="894" spans="1:4" ht="15" customHeight="1">
      <c r="A894" t="s">
        <v>957</v>
      </c>
      <c r="B894" s="15">
        <f>INDEX('GLB.Ts+dSST (4)'!$B$3:$M$149,MATCH(VALUE(RIGHT(A894,4)),'GLB.Ts+dSST (4)'!$A$3:$A$149,0),VALUE(LEFT(A894,FIND("/",A894)-1)))</f>
        <v>-0.2</v>
      </c>
      <c r="C894" s="15">
        <f t="shared" si="26"/>
        <v>13.8</v>
      </c>
      <c r="D894" s="15">
        <f t="shared" si="27"/>
        <v>56.84</v>
      </c>
    </row>
    <row r="895" spans="1:4" ht="15" customHeight="1">
      <c r="A895" t="s">
        <v>958</v>
      </c>
      <c r="B895" s="15">
        <f>INDEX('GLB.Ts+dSST (4)'!$B$3:$M$149,MATCH(VALUE(RIGHT(A895,4)),'GLB.Ts+dSST (4)'!$A$3:$A$149,0),VALUE(LEFT(A895,FIND("/",A895)-1)))</f>
        <v>-0.18</v>
      </c>
      <c r="C895" s="15">
        <f t="shared" si="26"/>
        <v>13.82</v>
      </c>
      <c r="D895" s="15">
        <f t="shared" si="27"/>
        <v>56.876000000000005</v>
      </c>
    </row>
    <row r="896" spans="1:4" ht="15" customHeight="1">
      <c r="A896" t="s">
        <v>959</v>
      </c>
      <c r="B896" s="15">
        <f>INDEX('GLB.Ts+dSST (4)'!$B$3:$M$149,MATCH(VALUE(RIGHT(A896,4)),'GLB.Ts+dSST (4)'!$A$3:$A$149,0),VALUE(LEFT(A896,FIND("/",A896)-1)))</f>
        <v>-0.19</v>
      </c>
      <c r="C896" s="15">
        <f t="shared" si="26"/>
        <v>13.81</v>
      </c>
      <c r="D896" s="15">
        <f t="shared" si="27"/>
        <v>56.858000000000004</v>
      </c>
    </row>
    <row r="897" spans="1:4" ht="15" customHeight="1">
      <c r="A897" t="s">
        <v>960</v>
      </c>
      <c r="B897" s="15">
        <f>INDEX('GLB.Ts+dSST (4)'!$B$3:$M$149,MATCH(VALUE(RIGHT(A897,4)),'GLB.Ts+dSST (4)'!$A$3:$A$149,0),VALUE(LEFT(A897,FIND("/",A897)-1)))</f>
        <v>-0.17</v>
      </c>
      <c r="C897" s="15">
        <f t="shared" si="26"/>
        <v>13.83</v>
      </c>
      <c r="D897" s="15">
        <f t="shared" si="27"/>
        <v>56.894000000000005</v>
      </c>
    </row>
    <row r="898" spans="1:4" ht="15" customHeight="1">
      <c r="A898" t="s">
        <v>961</v>
      </c>
      <c r="B898" s="15">
        <f>INDEX('GLB.Ts+dSST (4)'!$B$3:$M$149,MATCH(VALUE(RIGHT(A898,4)),'GLB.Ts+dSST (4)'!$A$3:$A$149,0),VALUE(LEFT(A898,FIND("/",A898)-1)))</f>
        <v>-0.1</v>
      </c>
      <c r="C898" s="15">
        <f t="shared" ref="C898:C961" si="28">B898+14</f>
        <v>13.9</v>
      </c>
      <c r="D898" s="15">
        <f t="shared" ref="D898:D961" si="29">C898*(9/5)+32</f>
        <v>57.019999999999996</v>
      </c>
    </row>
    <row r="899" spans="1:4" ht="15" customHeight="1">
      <c r="A899" t="s">
        <v>962</v>
      </c>
      <c r="B899" s="15">
        <f>INDEX('GLB.Ts+dSST (4)'!$B$3:$M$149,MATCH(VALUE(RIGHT(A899,4)),'GLB.Ts+dSST (4)'!$A$3:$A$149,0),VALUE(LEFT(A899,FIND("/",A899)-1)))</f>
        <v>-0.02</v>
      </c>
      <c r="C899" s="15">
        <f t="shared" si="28"/>
        <v>13.98</v>
      </c>
      <c r="D899" s="15">
        <f t="shared" si="29"/>
        <v>57.164000000000001</v>
      </c>
    </row>
    <row r="900" spans="1:4" ht="15" customHeight="1">
      <c r="A900" t="s">
        <v>963</v>
      </c>
      <c r="B900" s="15">
        <f>INDEX('GLB.Ts+dSST (4)'!$B$3:$M$149,MATCH(VALUE(RIGHT(A900,4)),'GLB.Ts+dSST (4)'!$A$3:$A$149,0),VALUE(LEFT(A900,FIND("/",A900)-1)))</f>
        <v>0.08</v>
      </c>
      <c r="C900" s="15">
        <f t="shared" si="28"/>
        <v>14.08</v>
      </c>
      <c r="D900" s="15">
        <f t="shared" si="29"/>
        <v>57.344000000000001</v>
      </c>
    </row>
    <row r="901" spans="1:4" ht="15" customHeight="1">
      <c r="A901" t="s">
        <v>964</v>
      </c>
      <c r="B901" s="15">
        <f>INDEX('GLB.Ts+dSST (4)'!$B$3:$M$149,MATCH(VALUE(RIGHT(A901,4)),'GLB.Ts+dSST (4)'!$A$3:$A$149,0),VALUE(LEFT(A901,FIND("/",A901)-1)))</f>
        <v>-0.18</v>
      </c>
      <c r="C901" s="15">
        <f t="shared" si="28"/>
        <v>13.82</v>
      </c>
      <c r="D901" s="15">
        <f t="shared" si="29"/>
        <v>56.876000000000005</v>
      </c>
    </row>
    <row r="902" spans="1:4" ht="15" customHeight="1">
      <c r="A902" t="s">
        <v>965</v>
      </c>
      <c r="B902" s="15">
        <f>INDEX('GLB.Ts+dSST (4)'!$B$3:$M$149,MATCH(VALUE(RIGHT(A902,4)),'GLB.Ts+dSST (4)'!$A$3:$A$149,0),VALUE(LEFT(A902,FIND("/",A902)-1)))</f>
        <v>0.13</v>
      </c>
      <c r="C902" s="15">
        <f t="shared" si="28"/>
        <v>14.13</v>
      </c>
      <c r="D902" s="15">
        <f t="shared" si="29"/>
        <v>57.433999999999997</v>
      </c>
    </row>
    <row r="903" spans="1:4" ht="15" customHeight="1">
      <c r="A903" t="s">
        <v>966</v>
      </c>
      <c r="B903" s="15">
        <f>INDEX('GLB.Ts+dSST (4)'!$B$3:$M$149,MATCH(VALUE(RIGHT(A903,4)),'GLB.Ts+dSST (4)'!$A$3:$A$149,0),VALUE(LEFT(A903,FIND("/",A903)-1)))</f>
        <v>-0.16</v>
      </c>
      <c r="C903" s="15">
        <f t="shared" si="28"/>
        <v>13.84</v>
      </c>
      <c r="D903" s="15">
        <f t="shared" si="29"/>
        <v>56.911999999999999</v>
      </c>
    </row>
    <row r="904" spans="1:4" ht="15" customHeight="1">
      <c r="A904" t="s">
        <v>967</v>
      </c>
      <c r="B904" s="15">
        <f>INDEX('GLB.Ts+dSST (4)'!$B$3:$M$149,MATCH(VALUE(RIGHT(A904,4)),'GLB.Ts+dSST (4)'!$A$3:$A$149,0),VALUE(LEFT(A904,FIND("/",A904)-1)))</f>
        <v>-0.32</v>
      </c>
      <c r="C904" s="15">
        <f t="shared" si="28"/>
        <v>13.68</v>
      </c>
      <c r="D904" s="15">
        <f t="shared" si="29"/>
        <v>56.623999999999995</v>
      </c>
    </row>
    <row r="905" spans="1:4" ht="15" customHeight="1">
      <c r="A905" t="s">
        <v>968</v>
      </c>
      <c r="B905" s="15">
        <f>INDEX('GLB.Ts+dSST (4)'!$B$3:$M$149,MATCH(VALUE(RIGHT(A905,4)),'GLB.Ts+dSST (4)'!$A$3:$A$149,0),VALUE(LEFT(A905,FIND("/",A905)-1)))</f>
        <v>-0.22</v>
      </c>
      <c r="C905" s="15">
        <f t="shared" si="28"/>
        <v>13.78</v>
      </c>
      <c r="D905" s="15">
        <f t="shared" si="29"/>
        <v>56.804000000000002</v>
      </c>
    </row>
    <row r="906" spans="1:4" ht="15" customHeight="1">
      <c r="A906" t="s">
        <v>969</v>
      </c>
      <c r="B906" s="15">
        <f>INDEX('GLB.Ts+dSST (4)'!$B$3:$M$149,MATCH(VALUE(RIGHT(A906,4)),'GLB.Ts+dSST (4)'!$A$3:$A$149,0),VALUE(LEFT(A906,FIND("/",A906)-1)))</f>
        <v>-0.2</v>
      </c>
      <c r="C906" s="15">
        <f t="shared" si="28"/>
        <v>13.8</v>
      </c>
      <c r="D906" s="15">
        <f t="shared" si="29"/>
        <v>56.84</v>
      </c>
    </row>
    <row r="907" spans="1:4" ht="15" customHeight="1">
      <c r="A907" t="s">
        <v>970</v>
      </c>
      <c r="B907" s="15">
        <f>INDEX('GLB.Ts+dSST (4)'!$B$3:$M$149,MATCH(VALUE(RIGHT(A907,4)),'GLB.Ts+dSST (4)'!$A$3:$A$149,0),VALUE(LEFT(A907,FIND("/",A907)-1)))</f>
        <v>-0.13</v>
      </c>
      <c r="C907" s="15">
        <f t="shared" si="28"/>
        <v>13.87</v>
      </c>
      <c r="D907" s="15">
        <f t="shared" si="29"/>
        <v>56.965999999999994</v>
      </c>
    </row>
    <row r="908" spans="1:4" ht="15" customHeight="1">
      <c r="A908" t="s">
        <v>971</v>
      </c>
      <c r="B908" s="15">
        <f>INDEX('GLB.Ts+dSST (4)'!$B$3:$M$149,MATCH(VALUE(RIGHT(A908,4)),'GLB.Ts+dSST (4)'!$A$3:$A$149,0),VALUE(LEFT(A908,FIND("/",A908)-1)))</f>
        <v>-0.11</v>
      </c>
      <c r="C908" s="15">
        <f t="shared" si="28"/>
        <v>13.89</v>
      </c>
      <c r="D908" s="15">
        <f t="shared" si="29"/>
        <v>57.002000000000002</v>
      </c>
    </row>
    <row r="909" spans="1:4" ht="15" customHeight="1">
      <c r="A909" t="s">
        <v>972</v>
      </c>
      <c r="B909" s="15">
        <f>INDEX('GLB.Ts+dSST (4)'!$B$3:$M$149,MATCH(VALUE(RIGHT(A909,4)),'GLB.Ts+dSST (4)'!$A$3:$A$149,0),VALUE(LEFT(A909,FIND("/",A909)-1)))</f>
        <v>0.02</v>
      </c>
      <c r="C909" s="15">
        <f t="shared" si="28"/>
        <v>14.02</v>
      </c>
      <c r="D909" s="15">
        <f t="shared" si="29"/>
        <v>57.236000000000004</v>
      </c>
    </row>
    <row r="910" spans="1:4" ht="15" customHeight="1">
      <c r="A910" t="s">
        <v>973</v>
      </c>
      <c r="B910" s="15">
        <f>INDEX('GLB.Ts+dSST (4)'!$B$3:$M$149,MATCH(VALUE(RIGHT(A910,4)),'GLB.Ts+dSST (4)'!$A$3:$A$149,0),VALUE(LEFT(A910,FIND("/",A910)-1)))</f>
        <v>-0.11</v>
      </c>
      <c r="C910" s="15">
        <f t="shared" si="28"/>
        <v>13.89</v>
      </c>
      <c r="D910" s="15">
        <f t="shared" si="29"/>
        <v>57.002000000000002</v>
      </c>
    </row>
    <row r="911" spans="1:4" ht="15" customHeight="1">
      <c r="A911" t="s">
        <v>974</v>
      </c>
      <c r="B911" s="15">
        <f>INDEX('GLB.Ts+dSST (4)'!$B$3:$M$149,MATCH(VALUE(RIGHT(A911,4)),'GLB.Ts+dSST (4)'!$A$3:$A$149,0),VALUE(LEFT(A911,FIND("/",A911)-1)))</f>
        <v>-0.05</v>
      </c>
      <c r="C911" s="15">
        <f t="shared" si="28"/>
        <v>13.95</v>
      </c>
      <c r="D911" s="15">
        <f t="shared" si="29"/>
        <v>57.11</v>
      </c>
    </row>
    <row r="912" spans="1:4" ht="15" customHeight="1">
      <c r="A912" t="s">
        <v>975</v>
      </c>
      <c r="B912" s="15">
        <f>INDEX('GLB.Ts+dSST (4)'!$B$3:$M$149,MATCH(VALUE(RIGHT(A912,4)),'GLB.Ts+dSST (4)'!$A$3:$A$149,0),VALUE(LEFT(A912,FIND("/",A912)-1)))</f>
        <v>-0.25</v>
      </c>
      <c r="C912" s="15">
        <f t="shared" si="28"/>
        <v>13.75</v>
      </c>
      <c r="D912" s="15">
        <f t="shared" si="29"/>
        <v>56.75</v>
      </c>
    </row>
    <row r="913" spans="1:4" ht="15" customHeight="1">
      <c r="A913" t="s">
        <v>976</v>
      </c>
      <c r="B913" s="15">
        <f>INDEX('GLB.Ts+dSST (4)'!$B$3:$M$149,MATCH(VALUE(RIGHT(A913,4)),'GLB.Ts+dSST (4)'!$A$3:$A$149,0),VALUE(LEFT(A913,FIND("/",A913)-1)))</f>
        <v>-0.28000000000000003</v>
      </c>
      <c r="C913" s="15">
        <f t="shared" si="28"/>
        <v>13.72</v>
      </c>
      <c r="D913" s="15">
        <f t="shared" si="29"/>
        <v>56.695999999999998</v>
      </c>
    </row>
    <row r="914" spans="1:4" ht="15" customHeight="1">
      <c r="A914" t="s">
        <v>977</v>
      </c>
      <c r="B914" s="15">
        <f>INDEX('GLB.Ts+dSST (4)'!$B$3:$M$149,MATCH(VALUE(RIGHT(A914,4)),'GLB.Ts+dSST (4)'!$A$3:$A$149,0),VALUE(LEFT(A914,FIND("/",A914)-1)))</f>
        <v>-0.13</v>
      </c>
      <c r="C914" s="15">
        <f t="shared" si="28"/>
        <v>13.87</v>
      </c>
      <c r="D914" s="15">
        <f t="shared" si="29"/>
        <v>56.965999999999994</v>
      </c>
    </row>
    <row r="915" spans="1:4" ht="15" customHeight="1">
      <c r="A915" t="s">
        <v>978</v>
      </c>
      <c r="B915" s="15">
        <f>INDEX('GLB.Ts+dSST (4)'!$B$3:$M$149,MATCH(VALUE(RIGHT(A915,4)),'GLB.Ts+dSST (4)'!$A$3:$A$149,0),VALUE(LEFT(A915,FIND("/",A915)-1)))</f>
        <v>-0.24</v>
      </c>
      <c r="C915" s="15">
        <f t="shared" si="28"/>
        <v>13.76</v>
      </c>
      <c r="D915" s="15">
        <f t="shared" si="29"/>
        <v>56.768000000000001</v>
      </c>
    </row>
    <row r="916" spans="1:4" ht="15" customHeight="1">
      <c r="A916" t="s">
        <v>979</v>
      </c>
      <c r="B916" s="15">
        <f>INDEX('GLB.Ts+dSST (4)'!$B$3:$M$149,MATCH(VALUE(RIGHT(A916,4)),'GLB.Ts+dSST (4)'!$A$3:$A$149,0),VALUE(LEFT(A916,FIND("/",A916)-1)))</f>
        <v>-0.21</v>
      </c>
      <c r="C916" s="15">
        <f t="shared" si="28"/>
        <v>13.79</v>
      </c>
      <c r="D916" s="15">
        <f t="shared" si="29"/>
        <v>56.822000000000003</v>
      </c>
    </row>
    <row r="917" spans="1:4" ht="15" customHeight="1">
      <c r="A917" t="s">
        <v>980</v>
      </c>
      <c r="B917" s="15">
        <f>INDEX('GLB.Ts+dSST (4)'!$B$3:$M$149,MATCH(VALUE(RIGHT(A917,4)),'GLB.Ts+dSST (4)'!$A$3:$A$149,0),VALUE(LEFT(A917,FIND("/",A917)-1)))</f>
        <v>-0.28000000000000003</v>
      </c>
      <c r="C917" s="15">
        <f t="shared" si="28"/>
        <v>13.72</v>
      </c>
      <c r="D917" s="15">
        <f t="shared" si="29"/>
        <v>56.695999999999998</v>
      </c>
    </row>
    <row r="918" spans="1:4" ht="15" customHeight="1">
      <c r="A918" t="s">
        <v>981</v>
      </c>
      <c r="B918" s="15">
        <f>INDEX('GLB.Ts+dSST (4)'!$B$3:$M$149,MATCH(VALUE(RIGHT(A918,4)),'GLB.Ts+dSST (4)'!$A$3:$A$149,0),VALUE(LEFT(A918,FIND("/",A918)-1)))</f>
        <v>-0.28999999999999998</v>
      </c>
      <c r="C918" s="15">
        <f t="shared" si="28"/>
        <v>13.71</v>
      </c>
      <c r="D918" s="15">
        <f t="shared" si="29"/>
        <v>56.677999999999997</v>
      </c>
    </row>
    <row r="919" spans="1:4" ht="15" customHeight="1">
      <c r="A919" t="s">
        <v>982</v>
      </c>
      <c r="B919" s="15">
        <f>INDEX('GLB.Ts+dSST (4)'!$B$3:$M$149,MATCH(VALUE(RIGHT(A919,4)),'GLB.Ts+dSST (4)'!$A$3:$A$149,0),VALUE(LEFT(A919,FIND("/",A919)-1)))</f>
        <v>-0.15</v>
      </c>
      <c r="C919" s="15">
        <f t="shared" si="28"/>
        <v>13.85</v>
      </c>
      <c r="D919" s="15">
        <f t="shared" si="29"/>
        <v>56.93</v>
      </c>
    </row>
    <row r="920" spans="1:4" ht="15" customHeight="1">
      <c r="A920" t="s">
        <v>983</v>
      </c>
      <c r="B920" s="15">
        <f>INDEX('GLB.Ts+dSST (4)'!$B$3:$M$149,MATCH(VALUE(RIGHT(A920,4)),'GLB.Ts+dSST (4)'!$A$3:$A$149,0),VALUE(LEFT(A920,FIND("/",A920)-1)))</f>
        <v>-0.09</v>
      </c>
      <c r="C920" s="15">
        <f t="shared" si="28"/>
        <v>13.91</v>
      </c>
      <c r="D920" s="15">
        <f t="shared" si="29"/>
        <v>57.037999999999997</v>
      </c>
    </row>
    <row r="921" spans="1:4" ht="15" customHeight="1">
      <c r="A921" t="s">
        <v>984</v>
      </c>
      <c r="B921" s="15">
        <f>INDEX('GLB.Ts+dSST (4)'!$B$3:$M$149,MATCH(VALUE(RIGHT(A921,4)),'GLB.Ts+dSST (4)'!$A$3:$A$149,0),VALUE(LEFT(A921,FIND("/",A921)-1)))</f>
        <v>-0.25</v>
      </c>
      <c r="C921" s="15">
        <f t="shared" si="28"/>
        <v>13.75</v>
      </c>
      <c r="D921" s="15">
        <f t="shared" si="29"/>
        <v>56.75</v>
      </c>
    </row>
    <row r="922" spans="1:4" ht="15" customHeight="1">
      <c r="A922" t="s">
        <v>985</v>
      </c>
      <c r="B922" s="15">
        <f>INDEX('GLB.Ts+dSST (4)'!$B$3:$M$149,MATCH(VALUE(RIGHT(A922,4)),'GLB.Ts+dSST (4)'!$A$3:$A$149,0),VALUE(LEFT(A922,FIND("/",A922)-1)))</f>
        <v>-0.19</v>
      </c>
      <c r="C922" s="15">
        <f t="shared" si="28"/>
        <v>13.81</v>
      </c>
      <c r="D922" s="15">
        <f t="shared" si="29"/>
        <v>56.858000000000004</v>
      </c>
    </row>
    <row r="923" spans="1:4" ht="15" customHeight="1">
      <c r="A923" t="s">
        <v>986</v>
      </c>
      <c r="B923" s="15">
        <f>INDEX('GLB.Ts+dSST (4)'!$B$3:$M$149,MATCH(VALUE(RIGHT(A923,4)),'GLB.Ts+dSST (4)'!$A$3:$A$149,0),VALUE(LEFT(A923,FIND("/",A923)-1)))</f>
        <v>-0.23</v>
      </c>
      <c r="C923" s="15">
        <f t="shared" si="28"/>
        <v>13.77</v>
      </c>
      <c r="D923" s="15">
        <f t="shared" si="29"/>
        <v>56.786000000000001</v>
      </c>
    </row>
    <row r="924" spans="1:4" ht="15" customHeight="1">
      <c r="A924" t="s">
        <v>987</v>
      </c>
      <c r="B924" s="15">
        <f>INDEX('GLB.Ts+dSST (4)'!$B$3:$M$149,MATCH(VALUE(RIGHT(A924,4)),'GLB.Ts+dSST (4)'!$A$3:$A$149,0),VALUE(LEFT(A924,FIND("/",A924)-1)))</f>
        <v>-0.15</v>
      </c>
      <c r="C924" s="15">
        <f t="shared" si="28"/>
        <v>13.85</v>
      </c>
      <c r="D924" s="15">
        <f t="shared" si="29"/>
        <v>56.93</v>
      </c>
    </row>
    <row r="925" spans="1:4" ht="15" customHeight="1">
      <c r="A925" t="s">
        <v>988</v>
      </c>
      <c r="B925" s="15">
        <f>INDEX('GLB.Ts+dSST (4)'!$B$3:$M$149,MATCH(VALUE(RIGHT(A925,4)),'GLB.Ts+dSST (4)'!$A$3:$A$149,0),VALUE(LEFT(A925,FIND("/",A925)-1)))</f>
        <v>-0.06</v>
      </c>
      <c r="C925" s="15">
        <f t="shared" si="28"/>
        <v>13.94</v>
      </c>
      <c r="D925" s="15">
        <f t="shared" si="29"/>
        <v>57.091999999999999</v>
      </c>
    </row>
    <row r="926" spans="1:4" ht="15" customHeight="1">
      <c r="A926" t="s">
        <v>989</v>
      </c>
      <c r="B926" s="15">
        <f>INDEX('GLB.Ts+dSST (4)'!$B$3:$M$149,MATCH(VALUE(RIGHT(A926,4)),'GLB.Ts+dSST (4)'!$A$3:$A$149,0),VALUE(LEFT(A926,FIND("/",A926)-1)))</f>
        <v>-0.09</v>
      </c>
      <c r="C926" s="15">
        <f t="shared" si="28"/>
        <v>13.91</v>
      </c>
      <c r="D926" s="15">
        <f t="shared" si="29"/>
        <v>57.037999999999997</v>
      </c>
    </row>
    <row r="927" spans="1:4" ht="15" customHeight="1">
      <c r="A927" t="s">
        <v>990</v>
      </c>
      <c r="B927" s="15">
        <f>INDEX('GLB.Ts+dSST (4)'!$B$3:$M$149,MATCH(VALUE(RIGHT(A927,4)),'GLB.Ts+dSST (4)'!$A$3:$A$149,0),VALUE(LEFT(A927,FIND("/",A927)-1)))</f>
        <v>-0.03</v>
      </c>
      <c r="C927" s="15">
        <f t="shared" si="28"/>
        <v>13.97</v>
      </c>
      <c r="D927" s="15">
        <f t="shared" si="29"/>
        <v>57.146000000000001</v>
      </c>
    </row>
    <row r="928" spans="1:4" ht="15" customHeight="1">
      <c r="A928" t="s">
        <v>991</v>
      </c>
      <c r="B928" s="15">
        <f>INDEX('GLB.Ts+dSST (4)'!$B$3:$M$149,MATCH(VALUE(RIGHT(A928,4)),'GLB.Ts+dSST (4)'!$A$3:$A$149,0),VALUE(LEFT(A928,FIND("/",A928)-1)))</f>
        <v>-0.05</v>
      </c>
      <c r="C928" s="15">
        <f t="shared" si="28"/>
        <v>13.95</v>
      </c>
      <c r="D928" s="15">
        <f t="shared" si="29"/>
        <v>57.11</v>
      </c>
    </row>
    <row r="929" spans="1:4" ht="15" customHeight="1">
      <c r="A929" t="s">
        <v>992</v>
      </c>
      <c r="B929" s="15">
        <f>INDEX('GLB.Ts+dSST (4)'!$B$3:$M$149,MATCH(VALUE(RIGHT(A929,4)),'GLB.Ts+dSST (4)'!$A$3:$A$149,0),VALUE(LEFT(A929,FIND("/",A929)-1)))</f>
        <v>0</v>
      </c>
      <c r="C929" s="15">
        <f t="shared" si="28"/>
        <v>14</v>
      </c>
      <c r="D929" s="15">
        <f t="shared" si="29"/>
        <v>57.2</v>
      </c>
    </row>
    <row r="930" spans="1:4" ht="15" customHeight="1">
      <c r="A930" t="s">
        <v>993</v>
      </c>
      <c r="B930" s="15">
        <f>INDEX('GLB.Ts+dSST (4)'!$B$3:$M$149,MATCH(VALUE(RIGHT(A930,4)),'GLB.Ts+dSST (4)'!$A$3:$A$149,0),VALUE(LEFT(A930,FIND("/",A930)-1)))</f>
        <v>0.09</v>
      </c>
      <c r="C930" s="15">
        <f t="shared" si="28"/>
        <v>14.09</v>
      </c>
      <c r="D930" s="15">
        <f t="shared" si="29"/>
        <v>57.362000000000002</v>
      </c>
    </row>
    <row r="931" spans="1:4" ht="15" customHeight="1">
      <c r="A931" t="s">
        <v>994</v>
      </c>
      <c r="B931" s="15">
        <f>INDEX('GLB.Ts+dSST (4)'!$B$3:$M$149,MATCH(VALUE(RIGHT(A931,4)),'GLB.Ts+dSST (4)'!$A$3:$A$149,0),VALUE(LEFT(A931,FIND("/",A931)-1)))</f>
        <v>0.15</v>
      </c>
      <c r="C931" s="15">
        <f t="shared" si="28"/>
        <v>14.15</v>
      </c>
      <c r="D931" s="15">
        <f t="shared" si="29"/>
        <v>57.47</v>
      </c>
    </row>
    <row r="932" spans="1:4" ht="15" customHeight="1">
      <c r="A932" t="s">
        <v>995</v>
      </c>
      <c r="B932" s="15">
        <f>INDEX('GLB.Ts+dSST (4)'!$B$3:$M$149,MATCH(VALUE(RIGHT(A932,4)),'GLB.Ts+dSST (4)'!$A$3:$A$149,0),VALUE(LEFT(A932,FIND("/",A932)-1)))</f>
        <v>0.02</v>
      </c>
      <c r="C932" s="15">
        <f t="shared" si="28"/>
        <v>14.02</v>
      </c>
      <c r="D932" s="15">
        <f t="shared" si="29"/>
        <v>57.236000000000004</v>
      </c>
    </row>
    <row r="933" spans="1:4" ht="15" customHeight="1">
      <c r="A933" t="s">
        <v>996</v>
      </c>
      <c r="B933" s="15">
        <f>INDEX('GLB.Ts+dSST (4)'!$B$3:$M$149,MATCH(VALUE(RIGHT(A933,4)),'GLB.Ts+dSST (4)'!$A$3:$A$149,0),VALUE(LEFT(A933,FIND("/",A933)-1)))</f>
        <v>0.15</v>
      </c>
      <c r="C933" s="15">
        <f t="shared" si="28"/>
        <v>14.15</v>
      </c>
      <c r="D933" s="15">
        <f t="shared" si="29"/>
        <v>57.47</v>
      </c>
    </row>
    <row r="934" spans="1:4" ht="15" customHeight="1">
      <c r="A934" t="s">
        <v>997</v>
      </c>
      <c r="B934" s="15">
        <f>INDEX('GLB.Ts+dSST (4)'!$B$3:$M$149,MATCH(VALUE(RIGHT(A934,4)),'GLB.Ts+dSST (4)'!$A$3:$A$149,0),VALUE(LEFT(A934,FIND("/",A934)-1)))</f>
        <v>0.09</v>
      </c>
      <c r="C934" s="15">
        <f t="shared" si="28"/>
        <v>14.09</v>
      </c>
      <c r="D934" s="15">
        <f t="shared" si="29"/>
        <v>57.362000000000002</v>
      </c>
    </row>
    <row r="935" spans="1:4" ht="15" customHeight="1">
      <c r="A935" t="s">
        <v>998</v>
      </c>
      <c r="B935" s="15">
        <f>INDEX('GLB.Ts+dSST (4)'!$B$3:$M$149,MATCH(VALUE(RIGHT(A935,4)),'GLB.Ts+dSST (4)'!$A$3:$A$149,0),VALUE(LEFT(A935,FIND("/",A935)-1)))</f>
        <v>0.01</v>
      </c>
      <c r="C935" s="15">
        <f t="shared" si="28"/>
        <v>14.01</v>
      </c>
      <c r="D935" s="15">
        <f t="shared" si="29"/>
        <v>57.218000000000004</v>
      </c>
    </row>
    <row r="936" spans="1:4" ht="15" customHeight="1">
      <c r="A936" t="s">
        <v>999</v>
      </c>
      <c r="B936" s="15">
        <f>INDEX('GLB.Ts+dSST (4)'!$B$3:$M$149,MATCH(VALUE(RIGHT(A936,4)),'GLB.Ts+dSST (4)'!$A$3:$A$149,0),VALUE(LEFT(A936,FIND("/",A936)-1)))</f>
        <v>0.08</v>
      </c>
      <c r="C936" s="15">
        <f t="shared" si="28"/>
        <v>14.08</v>
      </c>
      <c r="D936" s="15">
        <f t="shared" si="29"/>
        <v>57.344000000000001</v>
      </c>
    </row>
    <row r="937" spans="1:4" ht="15" customHeight="1">
      <c r="A937" t="s">
        <v>1000</v>
      </c>
      <c r="B937" s="15">
        <f>INDEX('GLB.Ts+dSST (4)'!$B$3:$M$149,MATCH(VALUE(RIGHT(A937,4)),'GLB.Ts+dSST (4)'!$A$3:$A$149,0),VALUE(LEFT(A937,FIND("/",A937)-1)))</f>
        <v>0.15</v>
      </c>
      <c r="C937" s="15">
        <f t="shared" si="28"/>
        <v>14.15</v>
      </c>
      <c r="D937" s="15">
        <f t="shared" si="29"/>
        <v>57.47</v>
      </c>
    </row>
    <row r="938" spans="1:4" ht="15" customHeight="1">
      <c r="A938" t="s">
        <v>1001</v>
      </c>
      <c r="B938" s="15">
        <f>INDEX('GLB.Ts+dSST (4)'!$B$3:$M$149,MATCH(VALUE(RIGHT(A938,4)),'GLB.Ts+dSST (4)'!$A$3:$A$149,0),VALUE(LEFT(A938,FIND("/",A938)-1)))</f>
        <v>0.39</v>
      </c>
      <c r="C938" s="15">
        <f t="shared" si="28"/>
        <v>14.39</v>
      </c>
      <c r="D938" s="15">
        <f t="shared" si="29"/>
        <v>57.902000000000001</v>
      </c>
    </row>
    <row r="939" spans="1:4" ht="15" customHeight="1">
      <c r="A939" t="s">
        <v>1002</v>
      </c>
      <c r="B939" s="15">
        <f>INDEX('GLB.Ts+dSST (4)'!$B$3:$M$149,MATCH(VALUE(RIGHT(A939,4)),'GLB.Ts+dSST (4)'!$A$3:$A$149,0),VALUE(LEFT(A939,FIND("/",A939)-1)))</f>
        <v>0.22</v>
      </c>
      <c r="C939" s="15">
        <f t="shared" si="28"/>
        <v>14.22</v>
      </c>
      <c r="D939" s="15">
        <f t="shared" si="29"/>
        <v>57.596000000000004</v>
      </c>
    </row>
    <row r="940" spans="1:4" ht="15" customHeight="1">
      <c r="A940" t="s">
        <v>1003</v>
      </c>
      <c r="B940" s="15">
        <f>INDEX('GLB.Ts+dSST (4)'!$B$3:$M$149,MATCH(VALUE(RIGHT(A940,4)),'GLB.Ts+dSST (4)'!$A$3:$A$149,0),VALUE(LEFT(A940,FIND("/",A940)-1)))</f>
        <v>0.08</v>
      </c>
      <c r="C940" s="15">
        <f t="shared" si="28"/>
        <v>14.08</v>
      </c>
      <c r="D940" s="15">
        <f t="shared" si="29"/>
        <v>57.344000000000001</v>
      </c>
    </row>
    <row r="941" spans="1:4" ht="15" customHeight="1">
      <c r="A941" t="s">
        <v>1004</v>
      </c>
      <c r="B941" s="15">
        <f>INDEX('GLB.Ts+dSST (4)'!$B$3:$M$149,MATCH(VALUE(RIGHT(A941,4)),'GLB.Ts+dSST (4)'!$A$3:$A$149,0),VALUE(LEFT(A941,FIND("/",A941)-1)))</f>
        <v>0.01</v>
      </c>
      <c r="C941" s="15">
        <f t="shared" si="28"/>
        <v>14.01</v>
      </c>
      <c r="D941" s="15">
        <f t="shared" si="29"/>
        <v>57.218000000000004</v>
      </c>
    </row>
    <row r="942" spans="1:4" ht="15" customHeight="1">
      <c r="A942" t="s">
        <v>1005</v>
      </c>
      <c r="B942" s="15">
        <f>INDEX('GLB.Ts+dSST (4)'!$B$3:$M$149,MATCH(VALUE(RIGHT(A942,4)),'GLB.Ts+dSST (4)'!$A$3:$A$149,0),VALUE(LEFT(A942,FIND("/",A942)-1)))</f>
        <v>0.06</v>
      </c>
      <c r="C942" s="15">
        <f t="shared" si="28"/>
        <v>14.06</v>
      </c>
      <c r="D942" s="15">
        <f t="shared" si="29"/>
        <v>57.308</v>
      </c>
    </row>
    <row r="943" spans="1:4" ht="15" customHeight="1">
      <c r="A943" t="s">
        <v>1006</v>
      </c>
      <c r="B943" s="15">
        <f>INDEX('GLB.Ts+dSST (4)'!$B$3:$M$149,MATCH(VALUE(RIGHT(A943,4)),'GLB.Ts+dSST (4)'!$A$3:$A$149,0),VALUE(LEFT(A943,FIND("/",A943)-1)))</f>
        <v>-0.09</v>
      </c>
      <c r="C943" s="15">
        <f t="shared" si="28"/>
        <v>13.91</v>
      </c>
      <c r="D943" s="15">
        <f t="shared" si="29"/>
        <v>57.037999999999997</v>
      </c>
    </row>
    <row r="944" spans="1:4" ht="15" customHeight="1">
      <c r="A944" t="s">
        <v>1007</v>
      </c>
      <c r="B944" s="15">
        <f>INDEX('GLB.Ts+dSST (4)'!$B$3:$M$149,MATCH(VALUE(RIGHT(A944,4)),'GLB.Ts+dSST (4)'!$A$3:$A$149,0),VALUE(LEFT(A944,FIND("/",A944)-1)))</f>
        <v>0.05</v>
      </c>
      <c r="C944" s="15">
        <f t="shared" si="28"/>
        <v>14.05</v>
      </c>
      <c r="D944" s="15">
        <f t="shared" si="29"/>
        <v>57.290000000000006</v>
      </c>
    </row>
    <row r="945" spans="1:4" ht="15" customHeight="1">
      <c r="A945" t="s">
        <v>1008</v>
      </c>
      <c r="B945" s="15">
        <f>INDEX('GLB.Ts+dSST (4)'!$B$3:$M$149,MATCH(VALUE(RIGHT(A945,4)),'GLB.Ts+dSST (4)'!$A$3:$A$149,0),VALUE(LEFT(A945,FIND("/",A945)-1)))</f>
        <v>-0.05</v>
      </c>
      <c r="C945" s="15">
        <f t="shared" si="28"/>
        <v>13.95</v>
      </c>
      <c r="D945" s="15">
        <f t="shared" si="29"/>
        <v>57.11</v>
      </c>
    </row>
    <row r="946" spans="1:4" ht="15" customHeight="1">
      <c r="A946" t="s">
        <v>1009</v>
      </c>
      <c r="B946" s="15">
        <f>INDEX('GLB.Ts+dSST (4)'!$B$3:$M$149,MATCH(VALUE(RIGHT(A946,4)),'GLB.Ts+dSST (4)'!$A$3:$A$149,0),VALUE(LEFT(A946,FIND("/",A946)-1)))</f>
        <v>-0.03</v>
      </c>
      <c r="C946" s="15">
        <f t="shared" si="28"/>
        <v>13.97</v>
      </c>
      <c r="D946" s="15">
        <f t="shared" si="29"/>
        <v>57.146000000000001</v>
      </c>
    </row>
    <row r="947" spans="1:4" ht="15" customHeight="1">
      <c r="A947" t="s">
        <v>1010</v>
      </c>
      <c r="B947" s="15">
        <f>INDEX('GLB.Ts+dSST (4)'!$B$3:$M$149,MATCH(VALUE(RIGHT(A947,4)),'GLB.Ts+dSST (4)'!$A$3:$A$149,0),VALUE(LEFT(A947,FIND("/",A947)-1)))</f>
        <v>0.04</v>
      </c>
      <c r="C947" s="15">
        <f t="shared" si="28"/>
        <v>14.04</v>
      </c>
      <c r="D947" s="15">
        <f t="shared" si="29"/>
        <v>57.271999999999998</v>
      </c>
    </row>
    <row r="948" spans="1:4" ht="15" customHeight="1">
      <c r="A948" t="s">
        <v>1011</v>
      </c>
      <c r="B948" s="15">
        <f>INDEX('GLB.Ts+dSST (4)'!$B$3:$M$149,MATCH(VALUE(RIGHT(A948,4)),'GLB.Ts+dSST (4)'!$A$3:$A$149,0),VALUE(LEFT(A948,FIND("/",A948)-1)))</f>
        <v>0.02</v>
      </c>
      <c r="C948" s="15">
        <f t="shared" si="28"/>
        <v>14.02</v>
      </c>
      <c r="D948" s="15">
        <f t="shared" si="29"/>
        <v>57.236000000000004</v>
      </c>
    </row>
    <row r="949" spans="1:4" ht="15" customHeight="1">
      <c r="A949" t="s">
        <v>1012</v>
      </c>
      <c r="B949" s="15">
        <f>INDEX('GLB.Ts+dSST (4)'!$B$3:$M$149,MATCH(VALUE(RIGHT(A949,4)),'GLB.Ts+dSST (4)'!$A$3:$A$149,0),VALUE(LEFT(A949,FIND("/",A949)-1)))</f>
        <v>0.01</v>
      </c>
      <c r="C949" s="15">
        <f t="shared" si="28"/>
        <v>14.01</v>
      </c>
      <c r="D949" s="15">
        <f t="shared" si="29"/>
        <v>57.218000000000004</v>
      </c>
    </row>
    <row r="950" spans="1:4" ht="15" customHeight="1">
      <c r="A950" t="s">
        <v>1013</v>
      </c>
      <c r="B950" s="15">
        <f>INDEX('GLB.Ts+dSST (4)'!$B$3:$M$149,MATCH(VALUE(RIGHT(A950,4)),'GLB.Ts+dSST (4)'!$A$3:$A$149,0),VALUE(LEFT(A950,FIND("/",A950)-1)))</f>
        <v>0.08</v>
      </c>
      <c r="C950" s="15">
        <f t="shared" si="28"/>
        <v>14.08</v>
      </c>
      <c r="D950" s="15">
        <f t="shared" si="29"/>
        <v>57.344000000000001</v>
      </c>
    </row>
    <row r="951" spans="1:4" ht="15" customHeight="1">
      <c r="A951" t="s">
        <v>1014</v>
      </c>
      <c r="B951" s="15">
        <f>INDEX('GLB.Ts+dSST (4)'!$B$3:$M$149,MATCH(VALUE(RIGHT(A951,4)),'GLB.Ts+dSST (4)'!$A$3:$A$149,0),VALUE(LEFT(A951,FIND("/",A951)-1)))</f>
        <v>7.0000000000000007E-2</v>
      </c>
      <c r="C951" s="15">
        <f t="shared" si="28"/>
        <v>14.07</v>
      </c>
      <c r="D951" s="15">
        <f t="shared" si="29"/>
        <v>57.326000000000001</v>
      </c>
    </row>
    <row r="952" spans="1:4" ht="15" customHeight="1">
      <c r="A952" t="s">
        <v>1015</v>
      </c>
      <c r="B952" s="15">
        <f>INDEX('GLB.Ts+dSST (4)'!$B$3:$M$149,MATCH(VALUE(RIGHT(A952,4)),'GLB.Ts+dSST (4)'!$A$3:$A$149,0),VALUE(LEFT(A952,FIND("/",A952)-1)))</f>
        <v>0.18</v>
      </c>
      <c r="C952" s="15">
        <f t="shared" si="28"/>
        <v>14.18</v>
      </c>
      <c r="D952" s="15">
        <f t="shared" si="29"/>
        <v>57.524000000000001</v>
      </c>
    </row>
    <row r="953" spans="1:4" ht="15" customHeight="1">
      <c r="A953" t="s">
        <v>1016</v>
      </c>
      <c r="B953" s="15">
        <f>INDEX('GLB.Ts+dSST (4)'!$B$3:$M$149,MATCH(VALUE(RIGHT(A953,4)),'GLB.Ts+dSST (4)'!$A$3:$A$149,0),VALUE(LEFT(A953,FIND("/",A953)-1)))</f>
        <v>0.16</v>
      </c>
      <c r="C953" s="15">
        <f t="shared" si="28"/>
        <v>14.16</v>
      </c>
      <c r="D953" s="15">
        <f t="shared" si="29"/>
        <v>57.488</v>
      </c>
    </row>
    <row r="954" spans="1:4" ht="15" customHeight="1">
      <c r="A954" t="s">
        <v>1017</v>
      </c>
      <c r="B954" s="15">
        <f>INDEX('GLB.Ts+dSST (4)'!$B$3:$M$149,MATCH(VALUE(RIGHT(A954,4)),'GLB.Ts+dSST (4)'!$A$3:$A$149,0),VALUE(LEFT(A954,FIND("/",A954)-1)))</f>
        <v>0.04</v>
      </c>
      <c r="C954" s="15">
        <f t="shared" si="28"/>
        <v>14.04</v>
      </c>
      <c r="D954" s="15">
        <f t="shared" si="29"/>
        <v>57.271999999999998</v>
      </c>
    </row>
    <row r="955" spans="1:4" ht="15" customHeight="1">
      <c r="A955" t="s">
        <v>1018</v>
      </c>
      <c r="B955" s="15">
        <f>INDEX('GLB.Ts+dSST (4)'!$B$3:$M$149,MATCH(VALUE(RIGHT(A955,4)),'GLB.Ts+dSST (4)'!$A$3:$A$149,0),VALUE(LEFT(A955,FIND("/",A955)-1)))</f>
        <v>0.03</v>
      </c>
      <c r="C955" s="15">
        <f t="shared" si="28"/>
        <v>14.03</v>
      </c>
      <c r="D955" s="15">
        <f t="shared" si="29"/>
        <v>57.253999999999998</v>
      </c>
    </row>
    <row r="956" spans="1:4" ht="15" customHeight="1">
      <c r="A956" t="s">
        <v>1019</v>
      </c>
      <c r="B956" s="15">
        <f>INDEX('GLB.Ts+dSST (4)'!$B$3:$M$149,MATCH(VALUE(RIGHT(A956,4)),'GLB.Ts+dSST (4)'!$A$3:$A$149,0),VALUE(LEFT(A956,FIND("/",A956)-1)))</f>
        <v>0.03</v>
      </c>
      <c r="C956" s="15">
        <f t="shared" si="28"/>
        <v>14.03</v>
      </c>
      <c r="D956" s="15">
        <f t="shared" si="29"/>
        <v>57.253999999999998</v>
      </c>
    </row>
    <row r="957" spans="1:4" ht="15" customHeight="1">
      <c r="A957" t="s">
        <v>1020</v>
      </c>
      <c r="B957" s="15">
        <f>INDEX('GLB.Ts+dSST (4)'!$B$3:$M$149,MATCH(VALUE(RIGHT(A957,4)),'GLB.Ts+dSST (4)'!$A$3:$A$149,0),VALUE(LEFT(A957,FIND("/",A957)-1)))</f>
        <v>-0.01</v>
      </c>
      <c r="C957" s="15">
        <f t="shared" si="28"/>
        <v>13.99</v>
      </c>
      <c r="D957" s="15">
        <f t="shared" si="29"/>
        <v>57.182000000000002</v>
      </c>
    </row>
    <row r="958" spans="1:4" ht="15" customHeight="1">
      <c r="A958" t="s">
        <v>1021</v>
      </c>
      <c r="B958" s="15">
        <f>INDEX('GLB.Ts+dSST (4)'!$B$3:$M$149,MATCH(VALUE(RIGHT(A958,4)),'GLB.Ts+dSST (4)'!$A$3:$A$149,0),VALUE(LEFT(A958,FIND("/",A958)-1)))</f>
        <v>-0.06</v>
      </c>
      <c r="C958" s="15">
        <f t="shared" si="28"/>
        <v>13.94</v>
      </c>
      <c r="D958" s="15">
        <f t="shared" si="29"/>
        <v>57.091999999999999</v>
      </c>
    </row>
    <row r="959" spans="1:4" ht="15" customHeight="1">
      <c r="A959" t="s">
        <v>1022</v>
      </c>
      <c r="B959" s="15">
        <f>INDEX('GLB.Ts+dSST (4)'!$B$3:$M$149,MATCH(VALUE(RIGHT(A959,4)),'GLB.Ts+dSST (4)'!$A$3:$A$149,0),VALUE(LEFT(A959,FIND("/",A959)-1)))</f>
        <v>-7.0000000000000007E-2</v>
      </c>
      <c r="C959" s="15">
        <f t="shared" si="28"/>
        <v>13.93</v>
      </c>
      <c r="D959" s="15">
        <f t="shared" si="29"/>
        <v>57.073999999999998</v>
      </c>
    </row>
    <row r="960" spans="1:4" ht="15" customHeight="1">
      <c r="A960" t="s">
        <v>1023</v>
      </c>
      <c r="B960" s="15">
        <f>INDEX('GLB.Ts+dSST (4)'!$B$3:$M$149,MATCH(VALUE(RIGHT(A960,4)),'GLB.Ts+dSST (4)'!$A$3:$A$149,0),VALUE(LEFT(A960,FIND("/",A960)-1)))</f>
        <v>-0.08</v>
      </c>
      <c r="C960" s="15">
        <f t="shared" si="28"/>
        <v>13.92</v>
      </c>
      <c r="D960" s="15">
        <f t="shared" si="29"/>
        <v>57.055999999999997</v>
      </c>
    </row>
    <row r="961" spans="1:4" ht="15" customHeight="1">
      <c r="A961" t="s">
        <v>1024</v>
      </c>
      <c r="B961" s="15">
        <f>INDEX('GLB.Ts+dSST (4)'!$B$3:$M$149,MATCH(VALUE(RIGHT(A961,4)),'GLB.Ts+dSST (4)'!$A$3:$A$149,0),VALUE(LEFT(A961,FIND("/",A961)-1)))</f>
        <v>0</v>
      </c>
      <c r="C961" s="15">
        <f t="shared" si="28"/>
        <v>14</v>
      </c>
      <c r="D961" s="15">
        <f t="shared" si="29"/>
        <v>57.2</v>
      </c>
    </row>
    <row r="962" spans="1:4" ht="15" customHeight="1">
      <c r="A962" t="s">
        <v>1025</v>
      </c>
      <c r="B962" s="15">
        <f>INDEX('GLB.Ts+dSST (4)'!$B$3:$M$149,MATCH(VALUE(RIGHT(A962,4)),'GLB.Ts+dSST (4)'!$A$3:$A$149,0),VALUE(LEFT(A962,FIND("/",A962)-1)))</f>
        <v>0</v>
      </c>
      <c r="C962" s="15">
        <f t="shared" ref="C962:C1025" si="30">B962+14</f>
        <v>14</v>
      </c>
      <c r="D962" s="15">
        <f t="shared" ref="D962:D1025" si="31">C962*(9/5)+32</f>
        <v>57.2</v>
      </c>
    </row>
    <row r="963" spans="1:4" ht="15" customHeight="1">
      <c r="A963" t="s">
        <v>1026</v>
      </c>
      <c r="B963" s="15">
        <f>INDEX('GLB.Ts+dSST (4)'!$B$3:$M$149,MATCH(VALUE(RIGHT(A963,4)),'GLB.Ts+dSST (4)'!$A$3:$A$149,0),VALUE(LEFT(A963,FIND("/",A963)-1)))</f>
        <v>0.13</v>
      </c>
      <c r="C963" s="15">
        <f t="shared" si="30"/>
        <v>14.13</v>
      </c>
      <c r="D963" s="15">
        <f t="shared" si="31"/>
        <v>57.433999999999997</v>
      </c>
    </row>
    <row r="964" spans="1:4" ht="15" customHeight="1">
      <c r="A964" t="s">
        <v>1027</v>
      </c>
      <c r="B964" s="15">
        <f>INDEX('GLB.Ts+dSST (4)'!$B$3:$M$149,MATCH(VALUE(RIGHT(A964,4)),'GLB.Ts+dSST (4)'!$A$3:$A$149,0),VALUE(LEFT(A964,FIND("/",A964)-1)))</f>
        <v>-0.35</v>
      </c>
      <c r="C964" s="15">
        <f t="shared" si="30"/>
        <v>13.65</v>
      </c>
      <c r="D964" s="15">
        <f t="shared" si="31"/>
        <v>56.57</v>
      </c>
    </row>
    <row r="965" spans="1:4" ht="15" customHeight="1">
      <c r="A965" t="s">
        <v>1028</v>
      </c>
      <c r="B965" s="15">
        <f>INDEX('GLB.Ts+dSST (4)'!$B$3:$M$149,MATCH(VALUE(RIGHT(A965,4)),'GLB.Ts+dSST (4)'!$A$3:$A$149,0),VALUE(LEFT(A965,FIND("/",A965)-1)))</f>
        <v>-0.15</v>
      </c>
      <c r="C965" s="15">
        <f t="shared" si="30"/>
        <v>13.85</v>
      </c>
      <c r="D965" s="15">
        <f t="shared" si="31"/>
        <v>56.93</v>
      </c>
    </row>
    <row r="966" spans="1:4" ht="15" customHeight="1">
      <c r="A966" t="s">
        <v>1029</v>
      </c>
      <c r="B966" s="15">
        <f>INDEX('GLB.Ts+dSST (4)'!$B$3:$M$149,MATCH(VALUE(RIGHT(A966,4)),'GLB.Ts+dSST (4)'!$A$3:$A$149,0),VALUE(LEFT(A966,FIND("/",A966)-1)))</f>
        <v>-0.08</v>
      </c>
      <c r="C966" s="15">
        <f t="shared" si="30"/>
        <v>13.92</v>
      </c>
      <c r="D966" s="15">
        <f t="shared" si="31"/>
        <v>57.055999999999997</v>
      </c>
    </row>
    <row r="967" spans="1:4" ht="15" customHeight="1">
      <c r="A967" t="s">
        <v>1030</v>
      </c>
      <c r="B967" s="15">
        <f>INDEX('GLB.Ts+dSST (4)'!$B$3:$M$149,MATCH(VALUE(RIGHT(A967,4)),'GLB.Ts+dSST (4)'!$A$3:$A$149,0),VALUE(LEFT(A967,FIND("/",A967)-1)))</f>
        <v>-0.04</v>
      </c>
      <c r="C967" s="15">
        <f t="shared" si="30"/>
        <v>13.96</v>
      </c>
      <c r="D967" s="15">
        <f t="shared" si="31"/>
        <v>57.128</v>
      </c>
    </row>
    <row r="968" spans="1:4" ht="15" customHeight="1">
      <c r="A968" t="s">
        <v>1031</v>
      </c>
      <c r="B968" s="15">
        <f>INDEX('GLB.Ts+dSST (4)'!$B$3:$M$149,MATCH(VALUE(RIGHT(A968,4)),'GLB.Ts+dSST (4)'!$A$3:$A$149,0),VALUE(LEFT(A968,FIND("/",A968)-1)))</f>
        <v>-0.04</v>
      </c>
      <c r="C968" s="15">
        <f t="shared" si="30"/>
        <v>13.96</v>
      </c>
      <c r="D968" s="15">
        <f t="shared" si="31"/>
        <v>57.128</v>
      </c>
    </row>
    <row r="969" spans="1:4" ht="15" customHeight="1">
      <c r="A969" t="s">
        <v>1032</v>
      </c>
      <c r="B969" s="15">
        <f>INDEX('GLB.Ts+dSST (4)'!$B$3:$M$149,MATCH(VALUE(RIGHT(A969,4)),'GLB.Ts+dSST (4)'!$A$3:$A$149,0),VALUE(LEFT(A969,FIND("/",A969)-1)))</f>
        <v>0.02</v>
      </c>
      <c r="C969" s="15">
        <f t="shared" si="30"/>
        <v>14.02</v>
      </c>
      <c r="D969" s="15">
        <f t="shared" si="31"/>
        <v>57.236000000000004</v>
      </c>
    </row>
    <row r="970" spans="1:4" ht="15" customHeight="1">
      <c r="A970" t="s">
        <v>1033</v>
      </c>
      <c r="B970" s="15">
        <f>INDEX('GLB.Ts+dSST (4)'!$B$3:$M$149,MATCH(VALUE(RIGHT(A970,4)),'GLB.Ts+dSST (4)'!$A$3:$A$149,0),VALUE(LEFT(A970,FIND("/",A970)-1)))</f>
        <v>7.0000000000000007E-2</v>
      </c>
      <c r="C970" s="15">
        <f t="shared" si="30"/>
        <v>14.07</v>
      </c>
      <c r="D970" s="15">
        <f t="shared" si="31"/>
        <v>57.326000000000001</v>
      </c>
    </row>
    <row r="971" spans="1:4" ht="15" customHeight="1">
      <c r="A971" t="s">
        <v>1034</v>
      </c>
      <c r="B971" s="15">
        <f>INDEX('GLB.Ts+dSST (4)'!$B$3:$M$149,MATCH(VALUE(RIGHT(A971,4)),'GLB.Ts+dSST (4)'!$A$3:$A$149,0),VALUE(LEFT(A971,FIND("/",A971)-1)))</f>
        <v>0.06</v>
      </c>
      <c r="C971" s="15">
        <f t="shared" si="30"/>
        <v>14.06</v>
      </c>
      <c r="D971" s="15">
        <f t="shared" si="31"/>
        <v>57.308</v>
      </c>
    </row>
    <row r="972" spans="1:4" ht="15" customHeight="1">
      <c r="A972" t="s">
        <v>1035</v>
      </c>
      <c r="B972" s="15">
        <f>INDEX('GLB.Ts+dSST (4)'!$B$3:$M$149,MATCH(VALUE(RIGHT(A972,4)),'GLB.Ts+dSST (4)'!$A$3:$A$149,0),VALUE(LEFT(A972,FIND("/",A972)-1)))</f>
        <v>-0.11</v>
      </c>
      <c r="C972" s="15">
        <f t="shared" si="30"/>
        <v>13.89</v>
      </c>
      <c r="D972" s="15">
        <f t="shared" si="31"/>
        <v>57.002000000000002</v>
      </c>
    </row>
    <row r="973" spans="1:4" ht="15" customHeight="1">
      <c r="A973" t="s">
        <v>1036</v>
      </c>
      <c r="B973" s="15">
        <f>INDEX('GLB.Ts+dSST (4)'!$B$3:$M$149,MATCH(VALUE(RIGHT(A973,4)),'GLB.Ts+dSST (4)'!$A$3:$A$149,0),VALUE(LEFT(A973,FIND("/",A973)-1)))</f>
        <v>0.19</v>
      </c>
      <c r="C973" s="15">
        <f t="shared" si="30"/>
        <v>14.19</v>
      </c>
      <c r="D973" s="15">
        <f t="shared" si="31"/>
        <v>57.542000000000002</v>
      </c>
    </row>
    <row r="974" spans="1:4" ht="15" customHeight="1">
      <c r="A974" t="s">
        <v>1037</v>
      </c>
      <c r="B974" s="15">
        <f>INDEX('GLB.Ts+dSST (4)'!$B$3:$M$149,MATCH(VALUE(RIGHT(A974,4)),'GLB.Ts+dSST (4)'!$A$3:$A$149,0),VALUE(LEFT(A974,FIND("/",A974)-1)))</f>
        <v>7.0000000000000007E-2</v>
      </c>
      <c r="C974" s="15">
        <f t="shared" si="30"/>
        <v>14.07</v>
      </c>
      <c r="D974" s="15">
        <f t="shared" si="31"/>
        <v>57.326000000000001</v>
      </c>
    </row>
    <row r="975" spans="1:4" ht="15" customHeight="1">
      <c r="A975" t="s">
        <v>1038</v>
      </c>
      <c r="B975" s="15">
        <f>INDEX('GLB.Ts+dSST (4)'!$B$3:$M$149,MATCH(VALUE(RIGHT(A975,4)),'GLB.Ts+dSST (4)'!$A$3:$A$149,0),VALUE(LEFT(A975,FIND("/",A975)-1)))</f>
        <v>0.19</v>
      </c>
      <c r="C975" s="15">
        <f t="shared" si="30"/>
        <v>14.19</v>
      </c>
      <c r="D975" s="15">
        <f t="shared" si="31"/>
        <v>57.542000000000002</v>
      </c>
    </row>
    <row r="976" spans="1:4" ht="15" customHeight="1">
      <c r="A976" t="s">
        <v>1039</v>
      </c>
      <c r="B976" s="15">
        <f>INDEX('GLB.Ts+dSST (4)'!$B$3:$M$149,MATCH(VALUE(RIGHT(A976,4)),'GLB.Ts+dSST (4)'!$A$3:$A$149,0),VALUE(LEFT(A976,FIND("/",A976)-1)))</f>
        <v>0.09</v>
      </c>
      <c r="C976" s="15">
        <f t="shared" si="30"/>
        <v>14.09</v>
      </c>
      <c r="D976" s="15">
        <f t="shared" si="31"/>
        <v>57.362000000000002</v>
      </c>
    </row>
    <row r="977" spans="1:4" ht="15" customHeight="1">
      <c r="A977" t="s">
        <v>1040</v>
      </c>
      <c r="B977" s="15">
        <f>INDEX('GLB.Ts+dSST (4)'!$B$3:$M$149,MATCH(VALUE(RIGHT(A977,4)),'GLB.Ts+dSST (4)'!$A$3:$A$149,0),VALUE(LEFT(A977,FIND("/",A977)-1)))</f>
        <v>0.13</v>
      </c>
      <c r="C977" s="15">
        <f t="shared" si="30"/>
        <v>14.13</v>
      </c>
      <c r="D977" s="15">
        <f t="shared" si="31"/>
        <v>57.433999999999997</v>
      </c>
    </row>
    <row r="978" spans="1:4" ht="15" customHeight="1">
      <c r="A978" t="s">
        <v>1041</v>
      </c>
      <c r="B978" s="15">
        <f>INDEX('GLB.Ts+dSST (4)'!$B$3:$M$149,MATCH(VALUE(RIGHT(A978,4)),'GLB.Ts+dSST (4)'!$A$3:$A$149,0),VALUE(LEFT(A978,FIND("/",A978)-1)))</f>
        <v>0.12</v>
      </c>
      <c r="C978" s="15">
        <f t="shared" si="30"/>
        <v>14.12</v>
      </c>
      <c r="D978" s="15">
        <f t="shared" si="31"/>
        <v>57.415999999999997</v>
      </c>
    </row>
    <row r="979" spans="1:4" ht="15" customHeight="1">
      <c r="A979" t="s">
        <v>1042</v>
      </c>
      <c r="B979" s="15">
        <f>INDEX('GLB.Ts+dSST (4)'!$B$3:$M$149,MATCH(VALUE(RIGHT(A979,4)),'GLB.Ts+dSST (4)'!$A$3:$A$149,0),VALUE(LEFT(A979,FIND("/",A979)-1)))</f>
        <v>0.11</v>
      </c>
      <c r="C979" s="15">
        <f t="shared" si="30"/>
        <v>14.11</v>
      </c>
      <c r="D979" s="15">
        <f t="shared" si="31"/>
        <v>57.397999999999996</v>
      </c>
    </row>
    <row r="980" spans="1:4" ht="15" customHeight="1">
      <c r="A980" t="s">
        <v>1043</v>
      </c>
      <c r="B980" s="15">
        <f>INDEX('GLB.Ts+dSST (4)'!$B$3:$M$149,MATCH(VALUE(RIGHT(A980,4)),'GLB.Ts+dSST (4)'!$A$3:$A$149,0),VALUE(LEFT(A980,FIND("/",A980)-1)))</f>
        <v>0.01</v>
      </c>
      <c r="C980" s="15">
        <f t="shared" si="30"/>
        <v>14.01</v>
      </c>
      <c r="D980" s="15">
        <f t="shared" si="31"/>
        <v>57.218000000000004</v>
      </c>
    </row>
    <row r="981" spans="1:4" ht="15" customHeight="1">
      <c r="A981" t="s">
        <v>1044</v>
      </c>
      <c r="B981" s="15">
        <f>INDEX('GLB.Ts+dSST (4)'!$B$3:$M$149,MATCH(VALUE(RIGHT(A981,4)),'GLB.Ts+dSST (4)'!$A$3:$A$149,0),VALUE(LEFT(A981,FIND("/",A981)-1)))</f>
        <v>0.01</v>
      </c>
      <c r="C981" s="15">
        <f t="shared" si="30"/>
        <v>14.01</v>
      </c>
      <c r="D981" s="15">
        <f t="shared" si="31"/>
        <v>57.218000000000004</v>
      </c>
    </row>
    <row r="982" spans="1:4" ht="15" customHeight="1">
      <c r="A982" t="s">
        <v>1045</v>
      </c>
      <c r="B982" s="15">
        <f>INDEX('GLB.Ts+dSST (4)'!$B$3:$M$149,MATCH(VALUE(RIGHT(A982,4)),'GLB.Ts+dSST (4)'!$A$3:$A$149,0),VALUE(LEFT(A982,FIND("/",A982)-1)))</f>
        <v>0.08</v>
      </c>
      <c r="C982" s="15">
        <f t="shared" si="30"/>
        <v>14.08</v>
      </c>
      <c r="D982" s="15">
        <f t="shared" si="31"/>
        <v>57.344000000000001</v>
      </c>
    </row>
    <row r="983" spans="1:4" ht="15" customHeight="1">
      <c r="A983" t="s">
        <v>1046</v>
      </c>
      <c r="B983" s="15">
        <f>INDEX('GLB.Ts+dSST (4)'!$B$3:$M$149,MATCH(VALUE(RIGHT(A983,4)),'GLB.Ts+dSST (4)'!$A$3:$A$149,0),VALUE(LEFT(A983,FIND("/",A983)-1)))</f>
        <v>0</v>
      </c>
      <c r="C983" s="15">
        <f t="shared" si="30"/>
        <v>14</v>
      </c>
      <c r="D983" s="15">
        <f t="shared" si="31"/>
        <v>57.2</v>
      </c>
    </row>
    <row r="984" spans="1:4" ht="15" customHeight="1">
      <c r="A984" t="s">
        <v>1047</v>
      </c>
      <c r="B984" s="15">
        <f>INDEX('GLB.Ts+dSST (4)'!$B$3:$M$149,MATCH(VALUE(RIGHT(A984,4)),'GLB.Ts+dSST (4)'!$A$3:$A$149,0),VALUE(LEFT(A984,FIND("/",A984)-1)))</f>
        <v>0.03</v>
      </c>
      <c r="C984" s="15">
        <f t="shared" si="30"/>
        <v>14.03</v>
      </c>
      <c r="D984" s="15">
        <f t="shared" si="31"/>
        <v>57.253999999999998</v>
      </c>
    </row>
    <row r="985" spans="1:4" ht="15" customHeight="1">
      <c r="A985" t="s">
        <v>1048</v>
      </c>
      <c r="B985" s="15">
        <f>INDEX('GLB.Ts+dSST (4)'!$B$3:$M$149,MATCH(VALUE(RIGHT(A985,4)),'GLB.Ts+dSST (4)'!$A$3:$A$149,0),VALUE(LEFT(A985,FIND("/",A985)-1)))</f>
        <v>-0.16</v>
      </c>
      <c r="C985" s="15">
        <f t="shared" si="30"/>
        <v>13.84</v>
      </c>
      <c r="D985" s="15">
        <f t="shared" si="31"/>
        <v>56.911999999999999</v>
      </c>
    </row>
    <row r="986" spans="1:4" ht="15" customHeight="1">
      <c r="A986" t="s">
        <v>1049</v>
      </c>
      <c r="B986" s="15">
        <f>INDEX('GLB.Ts+dSST (4)'!$B$3:$M$149,MATCH(VALUE(RIGHT(A986,4)),'GLB.Ts+dSST (4)'!$A$3:$A$149,0),VALUE(LEFT(A986,FIND("/",A986)-1)))</f>
        <v>0.05</v>
      </c>
      <c r="C986" s="15">
        <f t="shared" si="30"/>
        <v>14.05</v>
      </c>
      <c r="D986" s="15">
        <f t="shared" si="31"/>
        <v>57.290000000000006</v>
      </c>
    </row>
    <row r="987" spans="1:4" ht="15" customHeight="1">
      <c r="A987" t="s">
        <v>1050</v>
      </c>
      <c r="B987" s="15">
        <f>INDEX('GLB.Ts+dSST (4)'!$B$3:$M$149,MATCH(VALUE(RIGHT(A987,4)),'GLB.Ts+dSST (4)'!$A$3:$A$149,0),VALUE(LEFT(A987,FIND("/",A987)-1)))</f>
        <v>0.15</v>
      </c>
      <c r="C987" s="15">
        <f t="shared" si="30"/>
        <v>14.15</v>
      </c>
      <c r="D987" s="15">
        <f t="shared" si="31"/>
        <v>57.47</v>
      </c>
    </row>
    <row r="988" spans="1:4" ht="15" customHeight="1">
      <c r="A988" t="s">
        <v>1051</v>
      </c>
      <c r="B988" s="15">
        <f>INDEX('GLB.Ts+dSST (4)'!$B$3:$M$149,MATCH(VALUE(RIGHT(A988,4)),'GLB.Ts+dSST (4)'!$A$3:$A$149,0),VALUE(LEFT(A988,FIND("/",A988)-1)))</f>
        <v>0.1</v>
      </c>
      <c r="C988" s="15">
        <f t="shared" si="30"/>
        <v>14.1</v>
      </c>
      <c r="D988" s="15">
        <f t="shared" si="31"/>
        <v>57.379999999999995</v>
      </c>
    </row>
    <row r="989" spans="1:4" ht="15" customHeight="1">
      <c r="A989" t="s">
        <v>1052</v>
      </c>
      <c r="B989" s="15">
        <f>INDEX('GLB.Ts+dSST (4)'!$B$3:$M$149,MATCH(VALUE(RIGHT(A989,4)),'GLB.Ts+dSST (4)'!$A$3:$A$149,0),VALUE(LEFT(A989,FIND("/",A989)-1)))</f>
        <v>0.05</v>
      </c>
      <c r="C989" s="15">
        <f t="shared" si="30"/>
        <v>14.05</v>
      </c>
      <c r="D989" s="15">
        <f t="shared" si="31"/>
        <v>57.290000000000006</v>
      </c>
    </row>
    <row r="990" spans="1:4" ht="15" customHeight="1">
      <c r="A990" t="s">
        <v>1053</v>
      </c>
      <c r="B990" s="15">
        <f>INDEX('GLB.Ts+dSST (4)'!$B$3:$M$149,MATCH(VALUE(RIGHT(A990,4)),'GLB.Ts+dSST (4)'!$A$3:$A$149,0),VALUE(LEFT(A990,FIND("/",A990)-1)))</f>
        <v>-0.06</v>
      </c>
      <c r="C990" s="15">
        <f t="shared" si="30"/>
        <v>13.94</v>
      </c>
      <c r="D990" s="15">
        <f t="shared" si="31"/>
        <v>57.091999999999999</v>
      </c>
    </row>
    <row r="991" spans="1:4" ht="15" customHeight="1">
      <c r="A991" t="s">
        <v>1054</v>
      </c>
      <c r="B991" s="15">
        <f>INDEX('GLB.Ts+dSST (4)'!$B$3:$M$149,MATCH(VALUE(RIGHT(A991,4)),'GLB.Ts+dSST (4)'!$A$3:$A$149,0),VALUE(LEFT(A991,FIND("/",A991)-1)))</f>
        <v>0.03</v>
      </c>
      <c r="C991" s="15">
        <f t="shared" si="30"/>
        <v>14.03</v>
      </c>
      <c r="D991" s="15">
        <f t="shared" si="31"/>
        <v>57.253999999999998</v>
      </c>
    </row>
    <row r="992" spans="1:4" ht="15" customHeight="1">
      <c r="A992" t="s">
        <v>1055</v>
      </c>
      <c r="B992" s="15">
        <f>INDEX('GLB.Ts+dSST (4)'!$B$3:$M$149,MATCH(VALUE(RIGHT(A992,4)),'GLB.Ts+dSST (4)'!$A$3:$A$149,0),VALUE(LEFT(A992,FIND("/",A992)-1)))</f>
        <v>0.02</v>
      </c>
      <c r="C992" s="15">
        <f t="shared" si="30"/>
        <v>14.02</v>
      </c>
      <c r="D992" s="15">
        <f t="shared" si="31"/>
        <v>57.236000000000004</v>
      </c>
    </row>
    <row r="993" spans="1:4" ht="15" customHeight="1">
      <c r="A993" t="s">
        <v>1056</v>
      </c>
      <c r="B993" s="15">
        <f>INDEX('GLB.Ts+dSST (4)'!$B$3:$M$149,MATCH(VALUE(RIGHT(A993,4)),'GLB.Ts+dSST (4)'!$A$3:$A$149,0),VALUE(LEFT(A993,FIND("/",A993)-1)))</f>
        <v>-0.01</v>
      </c>
      <c r="C993" s="15">
        <f t="shared" si="30"/>
        <v>13.99</v>
      </c>
      <c r="D993" s="15">
        <f t="shared" si="31"/>
        <v>57.182000000000002</v>
      </c>
    </row>
    <row r="994" spans="1:4" ht="15" customHeight="1">
      <c r="A994" t="s">
        <v>1057</v>
      </c>
      <c r="B994" s="15">
        <f>INDEX('GLB.Ts+dSST (4)'!$B$3:$M$149,MATCH(VALUE(RIGHT(A994,4)),'GLB.Ts+dSST (4)'!$A$3:$A$149,0),VALUE(LEFT(A994,FIND("/",A994)-1)))</f>
        <v>0</v>
      </c>
      <c r="C994" s="15">
        <f t="shared" si="30"/>
        <v>14</v>
      </c>
      <c r="D994" s="15">
        <f t="shared" si="31"/>
        <v>57.2</v>
      </c>
    </row>
    <row r="995" spans="1:4" ht="15" customHeight="1">
      <c r="A995" t="s">
        <v>1058</v>
      </c>
      <c r="B995" s="15">
        <f>INDEX('GLB.Ts+dSST (4)'!$B$3:$M$149,MATCH(VALUE(RIGHT(A995,4)),'GLB.Ts+dSST (4)'!$A$3:$A$149,0),VALUE(LEFT(A995,FIND("/",A995)-1)))</f>
        <v>0.01</v>
      </c>
      <c r="C995" s="15">
        <f t="shared" si="30"/>
        <v>14.01</v>
      </c>
      <c r="D995" s="15">
        <f t="shared" si="31"/>
        <v>57.218000000000004</v>
      </c>
    </row>
    <row r="996" spans="1:4" ht="15" customHeight="1">
      <c r="A996" t="s">
        <v>1059</v>
      </c>
      <c r="B996" s="15">
        <f>INDEX('GLB.Ts+dSST (4)'!$B$3:$M$149,MATCH(VALUE(RIGHT(A996,4)),'GLB.Ts+dSST (4)'!$A$3:$A$149,0),VALUE(LEFT(A996,FIND("/",A996)-1)))</f>
        <v>0.06</v>
      </c>
      <c r="C996" s="15">
        <f t="shared" si="30"/>
        <v>14.06</v>
      </c>
      <c r="D996" s="15">
        <f t="shared" si="31"/>
        <v>57.308</v>
      </c>
    </row>
    <row r="997" spans="1:4" ht="15" customHeight="1">
      <c r="A997" t="s">
        <v>1060</v>
      </c>
      <c r="B997" s="15">
        <f>INDEX('GLB.Ts+dSST (4)'!$B$3:$M$149,MATCH(VALUE(RIGHT(A997,4)),'GLB.Ts+dSST (4)'!$A$3:$A$149,0),VALUE(LEFT(A997,FIND("/",A997)-1)))</f>
        <v>-0.03</v>
      </c>
      <c r="C997" s="15">
        <f t="shared" si="30"/>
        <v>13.97</v>
      </c>
      <c r="D997" s="15">
        <f t="shared" si="31"/>
        <v>57.146000000000001</v>
      </c>
    </row>
    <row r="998" spans="1:4" ht="15" customHeight="1">
      <c r="A998" t="s">
        <v>1061</v>
      </c>
      <c r="B998" s="15">
        <f>INDEX('GLB.Ts+dSST (4)'!$B$3:$M$149,MATCH(VALUE(RIGHT(A998,4)),'GLB.Ts+dSST (4)'!$A$3:$A$149,0),VALUE(LEFT(A998,FIND("/",A998)-1)))</f>
        <v>-0.03</v>
      </c>
      <c r="C998" s="15">
        <f t="shared" si="30"/>
        <v>13.97</v>
      </c>
      <c r="D998" s="15">
        <f t="shared" si="31"/>
        <v>57.146000000000001</v>
      </c>
    </row>
    <row r="999" spans="1:4" ht="15" customHeight="1">
      <c r="A999" t="s">
        <v>1062</v>
      </c>
      <c r="B999" s="15">
        <f>INDEX('GLB.Ts+dSST (4)'!$B$3:$M$149,MATCH(VALUE(RIGHT(A999,4)),'GLB.Ts+dSST (4)'!$A$3:$A$149,0),VALUE(LEFT(A999,FIND("/",A999)-1)))</f>
        <v>0.18</v>
      </c>
      <c r="C999" s="15">
        <f t="shared" si="30"/>
        <v>14.18</v>
      </c>
      <c r="D999" s="15">
        <f t="shared" si="31"/>
        <v>57.524000000000001</v>
      </c>
    </row>
    <row r="1000" spans="1:4" ht="15" customHeight="1">
      <c r="A1000" t="s">
        <v>1063</v>
      </c>
      <c r="B1000" s="15">
        <f>INDEX('GLB.Ts+dSST (4)'!$B$3:$M$149,MATCH(VALUE(RIGHT(A1000,4)),'GLB.Ts+dSST (4)'!$A$3:$A$149,0),VALUE(LEFT(A1000,FIND("/",A1000)-1)))</f>
        <v>-0.14000000000000001</v>
      </c>
      <c r="C1000" s="15">
        <f t="shared" si="30"/>
        <v>13.86</v>
      </c>
      <c r="D1000" s="15">
        <f t="shared" si="31"/>
        <v>56.948</v>
      </c>
    </row>
    <row r="1001" spans="1:4" ht="15" customHeight="1">
      <c r="A1001" t="s">
        <v>1064</v>
      </c>
      <c r="B1001" s="15">
        <f>INDEX('GLB.Ts+dSST (4)'!$B$3:$M$149,MATCH(VALUE(RIGHT(A1001,4)),'GLB.Ts+dSST (4)'!$A$3:$A$149,0),VALUE(LEFT(A1001,FIND("/",A1001)-1)))</f>
        <v>-7.0000000000000007E-2</v>
      </c>
      <c r="C1001" s="15">
        <f t="shared" si="30"/>
        <v>13.93</v>
      </c>
      <c r="D1001" s="15">
        <f t="shared" si="31"/>
        <v>57.073999999999998</v>
      </c>
    </row>
    <row r="1002" spans="1:4" ht="15" customHeight="1">
      <c r="A1002" t="s">
        <v>1065</v>
      </c>
      <c r="B1002" s="15">
        <f>INDEX('GLB.Ts+dSST (4)'!$B$3:$M$149,MATCH(VALUE(RIGHT(A1002,4)),'GLB.Ts+dSST (4)'!$A$3:$A$149,0),VALUE(LEFT(A1002,FIND("/",A1002)-1)))</f>
        <v>-0.06</v>
      </c>
      <c r="C1002" s="15">
        <f t="shared" si="30"/>
        <v>13.94</v>
      </c>
      <c r="D1002" s="15">
        <f t="shared" si="31"/>
        <v>57.091999999999999</v>
      </c>
    </row>
    <row r="1003" spans="1:4" ht="15" customHeight="1">
      <c r="A1003" t="s">
        <v>1066</v>
      </c>
      <c r="B1003" s="15">
        <f>INDEX('GLB.Ts+dSST (4)'!$B$3:$M$149,MATCH(VALUE(RIGHT(A1003,4)),'GLB.Ts+dSST (4)'!$A$3:$A$149,0),VALUE(LEFT(A1003,FIND("/",A1003)-1)))</f>
        <v>0.05</v>
      </c>
      <c r="C1003" s="15">
        <f t="shared" si="30"/>
        <v>14.05</v>
      </c>
      <c r="D1003" s="15">
        <f t="shared" si="31"/>
        <v>57.290000000000006</v>
      </c>
    </row>
    <row r="1004" spans="1:4" ht="15" customHeight="1">
      <c r="A1004" t="s">
        <v>1067</v>
      </c>
      <c r="B1004" s="15">
        <f>INDEX('GLB.Ts+dSST (4)'!$B$3:$M$149,MATCH(VALUE(RIGHT(A1004,4)),'GLB.Ts+dSST (4)'!$A$3:$A$149,0),VALUE(LEFT(A1004,FIND("/",A1004)-1)))</f>
        <v>0.06</v>
      </c>
      <c r="C1004" s="15">
        <f t="shared" si="30"/>
        <v>14.06</v>
      </c>
      <c r="D1004" s="15">
        <f t="shared" si="31"/>
        <v>57.308</v>
      </c>
    </row>
    <row r="1005" spans="1:4" ht="15" customHeight="1">
      <c r="A1005" t="s">
        <v>1068</v>
      </c>
      <c r="B1005" s="15">
        <f>INDEX('GLB.Ts+dSST (4)'!$B$3:$M$149,MATCH(VALUE(RIGHT(A1005,4)),'GLB.Ts+dSST (4)'!$A$3:$A$149,0),VALUE(LEFT(A1005,FIND("/",A1005)-1)))</f>
        <v>0.22</v>
      </c>
      <c r="C1005" s="15">
        <f t="shared" si="30"/>
        <v>14.22</v>
      </c>
      <c r="D1005" s="15">
        <f t="shared" si="31"/>
        <v>57.596000000000004</v>
      </c>
    </row>
    <row r="1006" spans="1:4" ht="15" customHeight="1">
      <c r="A1006" t="s">
        <v>1069</v>
      </c>
      <c r="B1006" s="15">
        <f>INDEX('GLB.Ts+dSST (4)'!$B$3:$M$149,MATCH(VALUE(RIGHT(A1006,4)),'GLB.Ts+dSST (4)'!$A$3:$A$149,0),VALUE(LEFT(A1006,FIND("/",A1006)-1)))</f>
        <v>0.17</v>
      </c>
      <c r="C1006" s="15">
        <f t="shared" si="30"/>
        <v>14.17</v>
      </c>
      <c r="D1006" s="15">
        <f t="shared" si="31"/>
        <v>57.506</v>
      </c>
    </row>
    <row r="1007" spans="1:4" ht="15" customHeight="1">
      <c r="A1007" t="s">
        <v>1070</v>
      </c>
      <c r="B1007" s="15">
        <f>INDEX('GLB.Ts+dSST (4)'!$B$3:$M$149,MATCH(VALUE(RIGHT(A1007,4)),'GLB.Ts+dSST (4)'!$A$3:$A$149,0),VALUE(LEFT(A1007,FIND("/",A1007)-1)))</f>
        <v>0.15</v>
      </c>
      <c r="C1007" s="15">
        <f t="shared" si="30"/>
        <v>14.15</v>
      </c>
      <c r="D1007" s="15">
        <f t="shared" si="31"/>
        <v>57.47</v>
      </c>
    </row>
    <row r="1008" spans="1:4" ht="15" customHeight="1">
      <c r="A1008" t="s">
        <v>1071</v>
      </c>
      <c r="B1008" s="15">
        <f>INDEX('GLB.Ts+dSST (4)'!$B$3:$M$149,MATCH(VALUE(RIGHT(A1008,4)),'GLB.Ts+dSST (4)'!$A$3:$A$149,0),VALUE(LEFT(A1008,FIND("/",A1008)-1)))</f>
        <v>0.15</v>
      </c>
      <c r="C1008" s="15">
        <f t="shared" si="30"/>
        <v>14.15</v>
      </c>
      <c r="D1008" s="15">
        <f t="shared" si="31"/>
        <v>57.47</v>
      </c>
    </row>
    <row r="1009" spans="1:4" ht="15" customHeight="1">
      <c r="A1009" t="s">
        <v>1072</v>
      </c>
      <c r="B1009" s="15">
        <f>INDEX('GLB.Ts+dSST (4)'!$B$3:$M$149,MATCH(VALUE(RIGHT(A1009,4)),'GLB.Ts+dSST (4)'!$A$3:$A$149,0),VALUE(LEFT(A1009,FIND("/",A1009)-1)))</f>
        <v>-0.03</v>
      </c>
      <c r="C1009" s="15">
        <f t="shared" si="30"/>
        <v>13.97</v>
      </c>
      <c r="D1009" s="15">
        <f t="shared" si="31"/>
        <v>57.146000000000001</v>
      </c>
    </row>
    <row r="1010" spans="1:4" ht="15" customHeight="1">
      <c r="A1010" t="s">
        <v>1073</v>
      </c>
      <c r="B1010" s="15">
        <f>INDEX('GLB.Ts+dSST (4)'!$B$3:$M$149,MATCH(VALUE(RIGHT(A1010,4)),'GLB.Ts+dSST (4)'!$A$3:$A$149,0),VALUE(LEFT(A1010,FIND("/",A1010)-1)))</f>
        <v>-0.09</v>
      </c>
      <c r="C1010" s="15">
        <f t="shared" si="30"/>
        <v>13.91</v>
      </c>
      <c r="D1010" s="15">
        <f t="shared" si="31"/>
        <v>57.037999999999997</v>
      </c>
    </row>
    <row r="1011" spans="1:4" ht="15" customHeight="1">
      <c r="A1011" t="s">
        <v>1074</v>
      </c>
      <c r="B1011" s="15">
        <f>INDEX('GLB.Ts+dSST (4)'!$B$3:$M$149,MATCH(VALUE(RIGHT(A1011,4)),'GLB.Ts+dSST (4)'!$A$3:$A$149,0),VALUE(LEFT(A1011,FIND("/",A1011)-1)))</f>
        <v>-0.1</v>
      </c>
      <c r="C1011" s="15">
        <f t="shared" si="30"/>
        <v>13.9</v>
      </c>
      <c r="D1011" s="15">
        <f t="shared" si="31"/>
        <v>57.019999999999996</v>
      </c>
    </row>
    <row r="1012" spans="1:4" ht="15" customHeight="1">
      <c r="A1012" t="s">
        <v>1075</v>
      </c>
      <c r="B1012" s="15">
        <f>INDEX('GLB.Ts+dSST (4)'!$B$3:$M$149,MATCH(VALUE(RIGHT(A1012,4)),'GLB.Ts+dSST (4)'!$A$3:$A$149,0),VALUE(LEFT(A1012,FIND("/",A1012)-1)))</f>
        <v>-0.21</v>
      </c>
      <c r="C1012" s="15">
        <f t="shared" si="30"/>
        <v>13.79</v>
      </c>
      <c r="D1012" s="15">
        <f t="shared" si="31"/>
        <v>56.822000000000003</v>
      </c>
    </row>
    <row r="1013" spans="1:4" ht="15" customHeight="1">
      <c r="A1013" t="s">
        <v>1076</v>
      </c>
      <c r="B1013" s="15">
        <f>INDEX('GLB.Ts+dSST (4)'!$B$3:$M$149,MATCH(VALUE(RIGHT(A1013,4)),'GLB.Ts+dSST (4)'!$A$3:$A$149,0),VALUE(LEFT(A1013,FIND("/",A1013)-1)))</f>
        <v>-0.32</v>
      </c>
      <c r="C1013" s="15">
        <f t="shared" si="30"/>
        <v>13.68</v>
      </c>
      <c r="D1013" s="15">
        <f t="shared" si="31"/>
        <v>56.623999999999995</v>
      </c>
    </row>
    <row r="1014" spans="1:4" ht="15" customHeight="1">
      <c r="A1014" t="s">
        <v>1077</v>
      </c>
      <c r="B1014" s="15">
        <f>INDEX('GLB.Ts+dSST (4)'!$B$3:$M$149,MATCH(VALUE(RIGHT(A1014,4)),'GLB.Ts+dSST (4)'!$A$3:$A$149,0),VALUE(LEFT(A1014,FIND("/",A1014)-1)))</f>
        <v>-0.25</v>
      </c>
      <c r="C1014" s="15">
        <f t="shared" si="30"/>
        <v>13.75</v>
      </c>
      <c r="D1014" s="15">
        <f t="shared" si="31"/>
        <v>56.75</v>
      </c>
    </row>
    <row r="1015" spans="1:4" ht="15" customHeight="1">
      <c r="A1015" t="s">
        <v>1078</v>
      </c>
      <c r="B1015" s="15">
        <f>INDEX('GLB.Ts+dSST (4)'!$B$3:$M$149,MATCH(VALUE(RIGHT(A1015,4)),'GLB.Ts+dSST (4)'!$A$3:$A$149,0),VALUE(LEFT(A1015,FIND("/",A1015)-1)))</f>
        <v>-0.04</v>
      </c>
      <c r="C1015" s="15">
        <f t="shared" si="30"/>
        <v>13.96</v>
      </c>
      <c r="D1015" s="15">
        <f t="shared" si="31"/>
        <v>57.128</v>
      </c>
    </row>
    <row r="1016" spans="1:4" ht="15" customHeight="1">
      <c r="A1016" t="s">
        <v>1079</v>
      </c>
      <c r="B1016" s="15">
        <f>INDEX('GLB.Ts+dSST (4)'!$B$3:$M$149,MATCH(VALUE(RIGHT(A1016,4)),'GLB.Ts+dSST (4)'!$A$3:$A$149,0),VALUE(LEFT(A1016,FIND("/",A1016)-1)))</f>
        <v>-0.04</v>
      </c>
      <c r="C1016" s="15">
        <f t="shared" si="30"/>
        <v>13.96</v>
      </c>
      <c r="D1016" s="15">
        <f t="shared" si="31"/>
        <v>57.128</v>
      </c>
    </row>
    <row r="1017" spans="1:4" ht="15" customHeight="1">
      <c r="A1017" t="s">
        <v>1080</v>
      </c>
      <c r="B1017" s="15">
        <f>INDEX('GLB.Ts+dSST (4)'!$B$3:$M$149,MATCH(VALUE(RIGHT(A1017,4)),'GLB.Ts+dSST (4)'!$A$3:$A$149,0),VALUE(LEFT(A1017,FIND("/",A1017)-1)))</f>
        <v>-0.22</v>
      </c>
      <c r="C1017" s="15">
        <f t="shared" si="30"/>
        <v>13.78</v>
      </c>
      <c r="D1017" s="15">
        <f t="shared" si="31"/>
        <v>56.804000000000002</v>
      </c>
    </row>
    <row r="1018" spans="1:4" ht="15" customHeight="1">
      <c r="A1018" t="s">
        <v>1081</v>
      </c>
      <c r="B1018" s="15">
        <f>INDEX('GLB.Ts+dSST (4)'!$B$3:$M$149,MATCH(VALUE(RIGHT(A1018,4)),'GLB.Ts+dSST (4)'!$A$3:$A$149,0),VALUE(LEFT(A1018,FIND("/",A1018)-1)))</f>
        <v>-0.3</v>
      </c>
      <c r="C1018" s="15">
        <f t="shared" si="30"/>
        <v>13.7</v>
      </c>
      <c r="D1018" s="15">
        <f t="shared" si="31"/>
        <v>56.66</v>
      </c>
    </row>
    <row r="1019" spans="1:4" ht="15" customHeight="1">
      <c r="A1019" t="s">
        <v>1082</v>
      </c>
      <c r="B1019" s="15">
        <f>INDEX('GLB.Ts+dSST (4)'!$B$3:$M$149,MATCH(VALUE(RIGHT(A1019,4)),'GLB.Ts+dSST (4)'!$A$3:$A$149,0),VALUE(LEFT(A1019,FIND("/",A1019)-1)))</f>
        <v>-0.31</v>
      </c>
      <c r="C1019" s="15">
        <f t="shared" si="30"/>
        <v>13.69</v>
      </c>
      <c r="D1019" s="15">
        <f t="shared" si="31"/>
        <v>56.641999999999996</v>
      </c>
    </row>
    <row r="1020" spans="1:4" ht="15" customHeight="1">
      <c r="A1020" t="s">
        <v>1083</v>
      </c>
      <c r="B1020" s="15">
        <f>INDEX('GLB.Ts+dSST (4)'!$B$3:$M$149,MATCH(VALUE(RIGHT(A1020,4)),'GLB.Ts+dSST (4)'!$A$3:$A$149,0),VALUE(LEFT(A1020,FIND("/",A1020)-1)))</f>
        <v>-0.21</v>
      </c>
      <c r="C1020" s="15">
        <f t="shared" si="30"/>
        <v>13.79</v>
      </c>
      <c r="D1020" s="15">
        <f t="shared" si="31"/>
        <v>56.822000000000003</v>
      </c>
    </row>
    <row r="1021" spans="1:4" ht="15" customHeight="1">
      <c r="A1021" t="s">
        <v>1084</v>
      </c>
      <c r="B1021" s="15">
        <f>INDEX('GLB.Ts+dSST (4)'!$B$3:$M$149,MATCH(VALUE(RIGHT(A1021,4)),'GLB.Ts+dSST (4)'!$A$3:$A$149,0),VALUE(LEFT(A1021,FIND("/",A1021)-1)))</f>
        <v>-0.3</v>
      </c>
      <c r="C1021" s="15">
        <f t="shared" si="30"/>
        <v>13.7</v>
      </c>
      <c r="D1021" s="15">
        <f t="shared" si="31"/>
        <v>56.66</v>
      </c>
    </row>
    <row r="1022" spans="1:4" ht="15" customHeight="1">
      <c r="A1022" t="s">
        <v>1085</v>
      </c>
      <c r="B1022" s="15">
        <f>INDEX('GLB.Ts+dSST (4)'!$B$3:$M$149,MATCH(VALUE(RIGHT(A1022,4)),'GLB.Ts+dSST (4)'!$A$3:$A$149,0),VALUE(LEFT(A1022,FIND("/",A1022)-1)))</f>
        <v>-0.08</v>
      </c>
      <c r="C1022" s="15">
        <f t="shared" si="30"/>
        <v>13.92</v>
      </c>
      <c r="D1022" s="15">
        <f t="shared" si="31"/>
        <v>57.055999999999997</v>
      </c>
    </row>
    <row r="1023" spans="1:4" ht="15" customHeight="1">
      <c r="A1023" t="s">
        <v>1086</v>
      </c>
      <c r="B1023" s="15">
        <f>INDEX('GLB.Ts+dSST (4)'!$B$3:$M$149,MATCH(VALUE(RIGHT(A1023,4)),'GLB.Ts+dSST (4)'!$A$3:$A$149,0),VALUE(LEFT(A1023,FIND("/",A1023)-1)))</f>
        <v>-0.17</v>
      </c>
      <c r="C1023" s="15">
        <f t="shared" si="30"/>
        <v>13.83</v>
      </c>
      <c r="D1023" s="15">
        <f t="shared" si="31"/>
        <v>56.894000000000005</v>
      </c>
    </row>
    <row r="1024" spans="1:4" ht="15" customHeight="1">
      <c r="A1024" t="s">
        <v>1087</v>
      </c>
      <c r="B1024" s="15">
        <f>INDEX('GLB.Ts+dSST (4)'!$B$3:$M$149,MATCH(VALUE(RIGHT(A1024,4)),'GLB.Ts+dSST (4)'!$A$3:$A$149,0),VALUE(LEFT(A1024,FIND("/",A1024)-1)))</f>
        <v>-0.13</v>
      </c>
      <c r="C1024" s="15">
        <f t="shared" si="30"/>
        <v>13.87</v>
      </c>
      <c r="D1024" s="15">
        <f t="shared" si="31"/>
        <v>56.965999999999994</v>
      </c>
    </row>
    <row r="1025" spans="1:4" ht="15" customHeight="1">
      <c r="A1025" t="s">
        <v>1088</v>
      </c>
      <c r="B1025" s="15">
        <f>INDEX('GLB.Ts+dSST (4)'!$B$3:$M$149,MATCH(VALUE(RIGHT(A1025,4)),'GLB.Ts+dSST (4)'!$A$3:$A$149,0),VALUE(LEFT(A1025,FIND("/",A1025)-1)))</f>
        <v>-0.19</v>
      </c>
      <c r="C1025" s="15">
        <f t="shared" si="30"/>
        <v>13.81</v>
      </c>
      <c r="D1025" s="15">
        <f t="shared" si="31"/>
        <v>56.858000000000004</v>
      </c>
    </row>
    <row r="1026" spans="1:4" ht="15" customHeight="1">
      <c r="A1026" t="s">
        <v>1089</v>
      </c>
      <c r="B1026" s="15">
        <f>INDEX('GLB.Ts+dSST (4)'!$B$3:$M$149,MATCH(VALUE(RIGHT(A1026,4)),'GLB.Ts+dSST (4)'!$A$3:$A$149,0),VALUE(LEFT(A1026,FIND("/",A1026)-1)))</f>
        <v>-0.12</v>
      </c>
      <c r="C1026" s="15">
        <f t="shared" ref="C1026:C1089" si="32">B1026+14</f>
        <v>13.88</v>
      </c>
      <c r="D1026" s="15">
        <f t="shared" ref="D1026:D1089" si="33">C1026*(9/5)+32</f>
        <v>56.984000000000002</v>
      </c>
    </row>
    <row r="1027" spans="1:4" ht="15" customHeight="1">
      <c r="A1027" t="s">
        <v>1090</v>
      </c>
      <c r="B1027" s="15">
        <f>INDEX('GLB.Ts+dSST (4)'!$B$3:$M$149,MATCH(VALUE(RIGHT(A1027,4)),'GLB.Ts+dSST (4)'!$A$3:$A$149,0),VALUE(LEFT(A1027,FIND("/",A1027)-1)))</f>
        <v>-0.08</v>
      </c>
      <c r="C1027" s="15">
        <f t="shared" si="32"/>
        <v>13.92</v>
      </c>
      <c r="D1027" s="15">
        <f t="shared" si="33"/>
        <v>57.055999999999997</v>
      </c>
    </row>
    <row r="1028" spans="1:4" ht="15" customHeight="1">
      <c r="A1028" t="s">
        <v>1091</v>
      </c>
      <c r="B1028" s="15">
        <f>INDEX('GLB.Ts+dSST (4)'!$B$3:$M$149,MATCH(VALUE(RIGHT(A1028,4)),'GLB.Ts+dSST (4)'!$A$3:$A$149,0),VALUE(LEFT(A1028,FIND("/",A1028)-1)))</f>
        <v>-0.13</v>
      </c>
      <c r="C1028" s="15">
        <f t="shared" si="32"/>
        <v>13.87</v>
      </c>
      <c r="D1028" s="15">
        <f t="shared" si="33"/>
        <v>56.965999999999994</v>
      </c>
    </row>
    <row r="1029" spans="1:4" ht="15" customHeight="1">
      <c r="A1029" t="s">
        <v>1092</v>
      </c>
      <c r="B1029" s="15">
        <f>INDEX('GLB.Ts+dSST (4)'!$B$3:$M$149,MATCH(VALUE(RIGHT(A1029,4)),'GLB.Ts+dSST (4)'!$A$3:$A$149,0),VALUE(LEFT(A1029,FIND("/",A1029)-1)))</f>
        <v>-0.04</v>
      </c>
      <c r="C1029" s="15">
        <f t="shared" si="32"/>
        <v>13.96</v>
      </c>
      <c r="D1029" s="15">
        <f t="shared" si="33"/>
        <v>57.128</v>
      </c>
    </row>
    <row r="1030" spans="1:4" ht="15" customHeight="1">
      <c r="A1030" t="s">
        <v>1093</v>
      </c>
      <c r="B1030" s="15">
        <f>INDEX('GLB.Ts+dSST (4)'!$B$3:$M$149,MATCH(VALUE(RIGHT(A1030,4)),'GLB.Ts+dSST (4)'!$A$3:$A$149,0),VALUE(LEFT(A1030,FIND("/",A1030)-1)))</f>
        <v>-0.15</v>
      </c>
      <c r="C1030" s="15">
        <f t="shared" si="32"/>
        <v>13.85</v>
      </c>
      <c r="D1030" s="15">
        <f t="shared" si="33"/>
        <v>56.93</v>
      </c>
    </row>
    <row r="1031" spans="1:4" ht="15" customHeight="1">
      <c r="A1031" t="s">
        <v>1094</v>
      </c>
      <c r="B1031" s="15">
        <f>INDEX('GLB.Ts+dSST (4)'!$B$3:$M$149,MATCH(VALUE(RIGHT(A1031,4)),'GLB.Ts+dSST (4)'!$A$3:$A$149,0),VALUE(LEFT(A1031,FIND("/",A1031)-1)))</f>
        <v>-0.05</v>
      </c>
      <c r="C1031" s="15">
        <f t="shared" si="32"/>
        <v>13.95</v>
      </c>
      <c r="D1031" s="15">
        <f t="shared" si="33"/>
        <v>57.11</v>
      </c>
    </row>
    <row r="1032" spans="1:4" ht="15" customHeight="1">
      <c r="A1032" t="s">
        <v>1095</v>
      </c>
      <c r="B1032" s="15">
        <f>INDEX('GLB.Ts+dSST (4)'!$B$3:$M$149,MATCH(VALUE(RIGHT(A1032,4)),'GLB.Ts+dSST (4)'!$A$3:$A$149,0),VALUE(LEFT(A1032,FIND("/",A1032)-1)))</f>
        <v>-0.06</v>
      </c>
      <c r="C1032" s="15">
        <f t="shared" si="32"/>
        <v>13.94</v>
      </c>
      <c r="D1032" s="15">
        <f t="shared" si="33"/>
        <v>57.091999999999999</v>
      </c>
    </row>
    <row r="1033" spans="1:4" ht="15" customHeight="1">
      <c r="A1033" t="s">
        <v>1096</v>
      </c>
      <c r="B1033" s="15">
        <f>INDEX('GLB.Ts+dSST (4)'!$B$3:$M$149,MATCH(VALUE(RIGHT(A1033,4)),'GLB.Ts+dSST (4)'!$A$3:$A$149,0),VALUE(LEFT(A1033,FIND("/",A1033)-1)))</f>
        <v>-0.08</v>
      </c>
      <c r="C1033" s="15">
        <f t="shared" si="32"/>
        <v>13.92</v>
      </c>
      <c r="D1033" s="15">
        <f t="shared" si="33"/>
        <v>57.055999999999997</v>
      </c>
    </row>
    <row r="1034" spans="1:4" ht="15" customHeight="1">
      <c r="A1034" t="s">
        <v>1097</v>
      </c>
      <c r="B1034" s="15">
        <f>INDEX('GLB.Ts+dSST (4)'!$B$3:$M$149,MATCH(VALUE(RIGHT(A1034,4)),'GLB.Ts+dSST (4)'!$A$3:$A$149,0),VALUE(LEFT(A1034,FIND("/",A1034)-1)))</f>
        <v>-0.19</v>
      </c>
      <c r="C1034" s="15">
        <f t="shared" si="32"/>
        <v>13.81</v>
      </c>
      <c r="D1034" s="15">
        <f t="shared" si="33"/>
        <v>56.858000000000004</v>
      </c>
    </row>
    <row r="1035" spans="1:4" ht="15" customHeight="1">
      <c r="A1035" t="s">
        <v>1098</v>
      </c>
      <c r="B1035" s="15">
        <f>INDEX('GLB.Ts+dSST (4)'!$B$3:$M$149,MATCH(VALUE(RIGHT(A1035,4)),'GLB.Ts+dSST (4)'!$A$3:$A$149,0),VALUE(LEFT(A1035,FIND("/",A1035)-1)))</f>
        <v>-0.04</v>
      </c>
      <c r="C1035" s="15">
        <f t="shared" si="32"/>
        <v>13.96</v>
      </c>
      <c r="D1035" s="15">
        <f t="shared" si="33"/>
        <v>57.128</v>
      </c>
    </row>
    <row r="1036" spans="1:4" ht="15" customHeight="1">
      <c r="A1036" t="s">
        <v>1099</v>
      </c>
      <c r="B1036" s="15">
        <f>INDEX('GLB.Ts+dSST (4)'!$B$3:$M$149,MATCH(VALUE(RIGHT(A1036,4)),'GLB.Ts+dSST (4)'!$A$3:$A$149,0),VALUE(LEFT(A1036,FIND("/",A1036)-1)))</f>
        <v>0.03</v>
      </c>
      <c r="C1036" s="15">
        <f t="shared" si="32"/>
        <v>14.03</v>
      </c>
      <c r="D1036" s="15">
        <f t="shared" si="33"/>
        <v>57.253999999999998</v>
      </c>
    </row>
    <row r="1037" spans="1:4" ht="15" customHeight="1">
      <c r="A1037" t="s">
        <v>1100</v>
      </c>
      <c r="B1037" s="15">
        <f>INDEX('GLB.Ts+dSST (4)'!$B$3:$M$149,MATCH(VALUE(RIGHT(A1037,4)),'GLB.Ts+dSST (4)'!$A$3:$A$149,0),VALUE(LEFT(A1037,FIND("/",A1037)-1)))</f>
        <v>-0.13</v>
      </c>
      <c r="C1037" s="15">
        <f t="shared" si="32"/>
        <v>13.87</v>
      </c>
      <c r="D1037" s="15">
        <f t="shared" si="33"/>
        <v>56.965999999999994</v>
      </c>
    </row>
    <row r="1038" spans="1:4" ht="15" customHeight="1">
      <c r="A1038" t="s">
        <v>1101</v>
      </c>
      <c r="B1038" s="15">
        <f>INDEX('GLB.Ts+dSST (4)'!$B$3:$M$149,MATCH(VALUE(RIGHT(A1038,4)),'GLB.Ts+dSST (4)'!$A$3:$A$149,0),VALUE(LEFT(A1038,FIND("/",A1038)-1)))</f>
        <v>-0.12</v>
      </c>
      <c r="C1038" s="15">
        <f t="shared" si="32"/>
        <v>13.88</v>
      </c>
      <c r="D1038" s="15">
        <f t="shared" si="33"/>
        <v>56.984000000000002</v>
      </c>
    </row>
    <row r="1039" spans="1:4" ht="15" customHeight="1">
      <c r="A1039" t="s">
        <v>1102</v>
      </c>
      <c r="B1039" s="15">
        <f>INDEX('GLB.Ts+dSST (4)'!$B$3:$M$149,MATCH(VALUE(RIGHT(A1039,4)),'GLB.Ts+dSST (4)'!$A$3:$A$149,0),VALUE(LEFT(A1039,FIND("/",A1039)-1)))</f>
        <v>0.01</v>
      </c>
      <c r="C1039" s="15">
        <f t="shared" si="32"/>
        <v>14.01</v>
      </c>
      <c r="D1039" s="15">
        <f t="shared" si="33"/>
        <v>57.218000000000004</v>
      </c>
    </row>
    <row r="1040" spans="1:4" ht="15" customHeight="1">
      <c r="A1040" t="s">
        <v>1103</v>
      </c>
      <c r="B1040" s="15">
        <f>INDEX('GLB.Ts+dSST (4)'!$B$3:$M$149,MATCH(VALUE(RIGHT(A1040,4)),'GLB.Ts+dSST (4)'!$A$3:$A$149,0),VALUE(LEFT(A1040,FIND("/",A1040)-1)))</f>
        <v>0.08</v>
      </c>
      <c r="C1040" s="15">
        <f t="shared" si="32"/>
        <v>14.08</v>
      </c>
      <c r="D1040" s="15">
        <f t="shared" si="33"/>
        <v>57.344000000000001</v>
      </c>
    </row>
    <row r="1041" spans="1:4" ht="15" customHeight="1">
      <c r="A1041" t="s">
        <v>1104</v>
      </c>
      <c r="B1041" s="15">
        <f>INDEX('GLB.Ts+dSST (4)'!$B$3:$M$149,MATCH(VALUE(RIGHT(A1041,4)),'GLB.Ts+dSST (4)'!$A$3:$A$149,0),VALUE(LEFT(A1041,FIND("/",A1041)-1)))</f>
        <v>-0.09</v>
      </c>
      <c r="C1041" s="15">
        <f t="shared" si="32"/>
        <v>13.91</v>
      </c>
      <c r="D1041" s="15">
        <f t="shared" si="33"/>
        <v>57.037999999999997</v>
      </c>
    </row>
    <row r="1042" spans="1:4" ht="15" customHeight="1">
      <c r="A1042" t="s">
        <v>1105</v>
      </c>
      <c r="B1042" s="15">
        <f>INDEX('GLB.Ts+dSST (4)'!$B$3:$M$149,MATCH(VALUE(RIGHT(A1042,4)),'GLB.Ts+dSST (4)'!$A$3:$A$149,0),VALUE(LEFT(A1042,FIND("/",A1042)-1)))</f>
        <v>-0.03</v>
      </c>
      <c r="C1042" s="15">
        <f t="shared" si="32"/>
        <v>13.97</v>
      </c>
      <c r="D1042" s="15">
        <f t="shared" si="33"/>
        <v>57.146000000000001</v>
      </c>
    </row>
    <row r="1043" spans="1:4" ht="15" customHeight="1">
      <c r="A1043" t="s">
        <v>1106</v>
      </c>
      <c r="B1043" s="15">
        <f>INDEX('GLB.Ts+dSST (4)'!$B$3:$M$149,MATCH(VALUE(RIGHT(A1043,4)),'GLB.Ts+dSST (4)'!$A$3:$A$149,0),VALUE(LEFT(A1043,FIND("/",A1043)-1)))</f>
        <v>-0.17</v>
      </c>
      <c r="C1043" s="15">
        <f t="shared" si="32"/>
        <v>13.83</v>
      </c>
      <c r="D1043" s="15">
        <f t="shared" si="33"/>
        <v>56.894000000000005</v>
      </c>
    </row>
    <row r="1044" spans="1:4" ht="15" customHeight="1">
      <c r="A1044" t="s">
        <v>1107</v>
      </c>
      <c r="B1044" s="15">
        <f>INDEX('GLB.Ts+dSST (4)'!$B$3:$M$149,MATCH(VALUE(RIGHT(A1044,4)),'GLB.Ts+dSST (4)'!$A$3:$A$149,0),VALUE(LEFT(A1044,FIND("/",A1044)-1)))</f>
        <v>-0.01</v>
      </c>
      <c r="C1044" s="15">
        <f t="shared" si="32"/>
        <v>13.99</v>
      </c>
      <c r="D1044" s="15">
        <f t="shared" si="33"/>
        <v>57.182000000000002</v>
      </c>
    </row>
    <row r="1045" spans="1:4" ht="15" customHeight="1">
      <c r="A1045" t="s">
        <v>1108</v>
      </c>
      <c r="B1045" s="15">
        <f>INDEX('GLB.Ts+dSST (4)'!$B$3:$M$149,MATCH(VALUE(RIGHT(A1045,4)),'GLB.Ts+dSST (4)'!$A$3:$A$149,0),VALUE(LEFT(A1045,FIND("/",A1045)-1)))</f>
        <v>-0.03</v>
      </c>
      <c r="C1045" s="15">
        <f t="shared" si="32"/>
        <v>13.97</v>
      </c>
      <c r="D1045" s="15">
        <f t="shared" si="33"/>
        <v>57.146000000000001</v>
      </c>
    </row>
    <row r="1046" spans="1:4" ht="15" customHeight="1">
      <c r="A1046" t="s">
        <v>1109</v>
      </c>
      <c r="B1046" s="15">
        <f>INDEX('GLB.Ts+dSST (4)'!$B$3:$M$149,MATCH(VALUE(RIGHT(A1046,4)),'GLB.Ts+dSST (4)'!$A$3:$A$149,0),VALUE(LEFT(A1046,FIND("/",A1046)-1)))</f>
        <v>-0.08</v>
      </c>
      <c r="C1046" s="15">
        <f t="shared" si="32"/>
        <v>13.92</v>
      </c>
      <c r="D1046" s="15">
        <f t="shared" si="33"/>
        <v>57.055999999999997</v>
      </c>
    </row>
    <row r="1047" spans="1:4" ht="15" customHeight="1">
      <c r="A1047" t="s">
        <v>1110</v>
      </c>
      <c r="B1047" s="15">
        <f>INDEX('GLB.Ts+dSST (4)'!$B$3:$M$149,MATCH(VALUE(RIGHT(A1047,4)),'GLB.Ts+dSST (4)'!$A$3:$A$149,0),VALUE(LEFT(A1047,FIND("/",A1047)-1)))</f>
        <v>-0.21</v>
      </c>
      <c r="C1047" s="15">
        <f t="shared" si="32"/>
        <v>13.79</v>
      </c>
      <c r="D1047" s="15">
        <f t="shared" si="33"/>
        <v>56.822000000000003</v>
      </c>
    </row>
    <row r="1048" spans="1:4" ht="15" customHeight="1">
      <c r="A1048" t="s">
        <v>1111</v>
      </c>
      <c r="B1048" s="15">
        <f>INDEX('GLB.Ts+dSST (4)'!$B$3:$M$149,MATCH(VALUE(RIGHT(A1048,4)),'GLB.Ts+dSST (4)'!$A$3:$A$149,0),VALUE(LEFT(A1048,FIND("/",A1048)-1)))</f>
        <v>0.05</v>
      </c>
      <c r="C1048" s="15">
        <f t="shared" si="32"/>
        <v>14.05</v>
      </c>
      <c r="D1048" s="15">
        <f t="shared" si="33"/>
        <v>57.290000000000006</v>
      </c>
    </row>
    <row r="1049" spans="1:4" ht="15" customHeight="1">
      <c r="A1049" t="s">
        <v>1112</v>
      </c>
      <c r="B1049" s="15">
        <f>INDEX('GLB.Ts+dSST (4)'!$B$3:$M$149,MATCH(VALUE(RIGHT(A1049,4)),'GLB.Ts+dSST (4)'!$A$3:$A$149,0),VALUE(LEFT(A1049,FIND("/",A1049)-1)))</f>
        <v>-0.05</v>
      </c>
      <c r="C1049" s="15">
        <f t="shared" si="32"/>
        <v>13.95</v>
      </c>
      <c r="D1049" s="15">
        <f t="shared" si="33"/>
        <v>57.11</v>
      </c>
    </row>
    <row r="1050" spans="1:4" ht="15" customHeight="1">
      <c r="A1050" t="s">
        <v>1113</v>
      </c>
      <c r="B1050" s="15">
        <f>INDEX('GLB.Ts+dSST (4)'!$B$3:$M$149,MATCH(VALUE(RIGHT(A1050,4)),'GLB.Ts+dSST (4)'!$A$3:$A$149,0),VALUE(LEFT(A1050,FIND("/",A1050)-1)))</f>
        <v>0.12</v>
      </c>
      <c r="C1050" s="15">
        <f t="shared" si="32"/>
        <v>14.12</v>
      </c>
      <c r="D1050" s="15">
        <f t="shared" si="33"/>
        <v>57.415999999999997</v>
      </c>
    </row>
    <row r="1051" spans="1:4" ht="15" customHeight="1">
      <c r="A1051" t="s">
        <v>1114</v>
      </c>
      <c r="B1051" s="15">
        <f>INDEX('GLB.Ts+dSST (4)'!$B$3:$M$149,MATCH(VALUE(RIGHT(A1051,4)),'GLB.Ts+dSST (4)'!$A$3:$A$149,0),VALUE(LEFT(A1051,FIND("/",A1051)-1)))</f>
        <v>-0.08</v>
      </c>
      <c r="C1051" s="15">
        <f t="shared" si="32"/>
        <v>13.92</v>
      </c>
      <c r="D1051" s="15">
        <f t="shared" si="33"/>
        <v>57.055999999999997</v>
      </c>
    </row>
    <row r="1052" spans="1:4" ht="15" customHeight="1">
      <c r="A1052" t="s">
        <v>1115</v>
      </c>
      <c r="B1052" s="15">
        <f>INDEX('GLB.Ts+dSST (4)'!$B$3:$M$149,MATCH(VALUE(RIGHT(A1052,4)),'GLB.Ts+dSST (4)'!$A$3:$A$149,0),VALUE(LEFT(A1052,FIND("/",A1052)-1)))</f>
        <v>0.02</v>
      </c>
      <c r="C1052" s="15">
        <f t="shared" si="32"/>
        <v>14.02</v>
      </c>
      <c r="D1052" s="15">
        <f t="shared" si="33"/>
        <v>57.236000000000004</v>
      </c>
    </row>
    <row r="1053" spans="1:4" ht="15" customHeight="1">
      <c r="A1053" t="s">
        <v>1116</v>
      </c>
      <c r="B1053" s="15">
        <f>INDEX('GLB.Ts+dSST (4)'!$B$3:$M$149,MATCH(VALUE(RIGHT(A1053,4)),'GLB.Ts+dSST (4)'!$A$3:$A$149,0),VALUE(LEFT(A1053,FIND("/",A1053)-1)))</f>
        <v>0.01</v>
      </c>
      <c r="C1053" s="15">
        <f t="shared" si="32"/>
        <v>14.01</v>
      </c>
      <c r="D1053" s="15">
        <f t="shared" si="33"/>
        <v>57.218000000000004</v>
      </c>
    </row>
    <row r="1054" spans="1:4" ht="15" customHeight="1">
      <c r="A1054" t="s">
        <v>1117</v>
      </c>
      <c r="B1054" s="15">
        <f>INDEX('GLB.Ts+dSST (4)'!$B$3:$M$149,MATCH(VALUE(RIGHT(A1054,4)),'GLB.Ts+dSST (4)'!$A$3:$A$149,0),VALUE(LEFT(A1054,FIND("/",A1054)-1)))</f>
        <v>-0.06</v>
      </c>
      <c r="C1054" s="15">
        <f t="shared" si="32"/>
        <v>13.94</v>
      </c>
      <c r="D1054" s="15">
        <f t="shared" si="33"/>
        <v>57.091999999999999</v>
      </c>
    </row>
    <row r="1055" spans="1:4" ht="15" customHeight="1">
      <c r="A1055" t="s">
        <v>1118</v>
      </c>
      <c r="B1055" s="15">
        <f>INDEX('GLB.Ts+dSST (4)'!$B$3:$M$149,MATCH(VALUE(RIGHT(A1055,4)),'GLB.Ts+dSST (4)'!$A$3:$A$149,0),VALUE(LEFT(A1055,FIND("/",A1055)-1)))</f>
        <v>0.09</v>
      </c>
      <c r="C1055" s="15">
        <f t="shared" si="32"/>
        <v>14.09</v>
      </c>
      <c r="D1055" s="15">
        <f t="shared" si="33"/>
        <v>57.362000000000002</v>
      </c>
    </row>
    <row r="1056" spans="1:4" ht="15" customHeight="1">
      <c r="A1056" t="s">
        <v>1119</v>
      </c>
      <c r="B1056" s="15">
        <f>INDEX('GLB.Ts+dSST (4)'!$B$3:$M$149,MATCH(VALUE(RIGHT(A1056,4)),'GLB.Ts+dSST (4)'!$A$3:$A$149,0),VALUE(LEFT(A1056,FIND("/",A1056)-1)))</f>
        <v>-0.05</v>
      </c>
      <c r="C1056" s="15">
        <f t="shared" si="32"/>
        <v>13.95</v>
      </c>
      <c r="D1056" s="15">
        <f t="shared" si="33"/>
        <v>57.11</v>
      </c>
    </row>
    <row r="1057" spans="1:4" ht="15" customHeight="1">
      <c r="A1057" t="s">
        <v>1120</v>
      </c>
      <c r="B1057" s="15">
        <f>INDEX('GLB.Ts+dSST (4)'!$B$3:$M$149,MATCH(VALUE(RIGHT(A1057,4)),'GLB.Ts+dSST (4)'!$A$3:$A$149,0),VALUE(LEFT(A1057,FIND("/",A1057)-1)))</f>
        <v>-0.05</v>
      </c>
      <c r="C1057" s="15">
        <f t="shared" si="32"/>
        <v>13.95</v>
      </c>
      <c r="D1057" s="15">
        <f t="shared" si="33"/>
        <v>57.11</v>
      </c>
    </row>
    <row r="1058" spans="1:4" ht="15" customHeight="1">
      <c r="A1058" t="s">
        <v>1121</v>
      </c>
      <c r="B1058" s="15">
        <f>INDEX('GLB.Ts+dSST (4)'!$B$3:$M$149,MATCH(VALUE(RIGHT(A1058,4)),'GLB.Ts+dSST (4)'!$A$3:$A$149,0),VALUE(LEFT(A1058,FIND("/",A1058)-1)))</f>
        <v>-0.26</v>
      </c>
      <c r="C1058" s="15">
        <f t="shared" si="32"/>
        <v>13.74</v>
      </c>
      <c r="D1058" s="15">
        <f t="shared" si="33"/>
        <v>56.731999999999999</v>
      </c>
    </row>
    <row r="1059" spans="1:4" ht="15" customHeight="1">
      <c r="A1059" t="s">
        <v>1122</v>
      </c>
      <c r="B1059" s="15">
        <f>INDEX('GLB.Ts+dSST (4)'!$B$3:$M$149,MATCH(VALUE(RIGHT(A1059,4)),'GLB.Ts+dSST (4)'!$A$3:$A$149,0),VALUE(LEFT(A1059,FIND("/",A1059)-1)))</f>
        <v>-0.14000000000000001</v>
      </c>
      <c r="C1059" s="15">
        <f t="shared" si="32"/>
        <v>13.86</v>
      </c>
      <c r="D1059" s="15">
        <f t="shared" si="33"/>
        <v>56.948</v>
      </c>
    </row>
    <row r="1060" spans="1:4" ht="15" customHeight="1">
      <c r="A1060" t="s">
        <v>1123</v>
      </c>
      <c r="B1060" s="15">
        <f>INDEX('GLB.Ts+dSST (4)'!$B$3:$M$149,MATCH(VALUE(RIGHT(A1060,4)),'GLB.Ts+dSST (4)'!$A$3:$A$149,0),VALUE(LEFT(A1060,FIND("/",A1060)-1)))</f>
        <v>0.2</v>
      </c>
      <c r="C1060" s="15">
        <f t="shared" si="32"/>
        <v>14.2</v>
      </c>
      <c r="D1060" s="15">
        <f t="shared" si="33"/>
        <v>57.56</v>
      </c>
    </row>
    <row r="1061" spans="1:4" ht="15" customHeight="1">
      <c r="A1061" t="s">
        <v>1124</v>
      </c>
      <c r="B1061" s="15">
        <f>INDEX('GLB.Ts+dSST (4)'!$B$3:$M$149,MATCH(VALUE(RIGHT(A1061,4)),'GLB.Ts+dSST (4)'!$A$3:$A$149,0),VALUE(LEFT(A1061,FIND("/",A1061)-1)))</f>
        <v>-0.06</v>
      </c>
      <c r="C1061" s="15">
        <f t="shared" si="32"/>
        <v>13.94</v>
      </c>
      <c r="D1061" s="15">
        <f t="shared" si="33"/>
        <v>57.091999999999999</v>
      </c>
    </row>
    <row r="1062" spans="1:4" ht="15" customHeight="1">
      <c r="A1062" t="s">
        <v>1125</v>
      </c>
      <c r="B1062" s="15">
        <f>INDEX('GLB.Ts+dSST (4)'!$B$3:$M$149,MATCH(VALUE(RIGHT(A1062,4)),'GLB.Ts+dSST (4)'!$A$3:$A$149,0),VALUE(LEFT(A1062,FIND("/",A1062)-1)))</f>
        <v>-0.14000000000000001</v>
      </c>
      <c r="C1062" s="15">
        <f t="shared" si="32"/>
        <v>13.86</v>
      </c>
      <c r="D1062" s="15">
        <f t="shared" si="33"/>
        <v>56.948</v>
      </c>
    </row>
    <row r="1063" spans="1:4" ht="15" customHeight="1">
      <c r="A1063" t="s">
        <v>1126</v>
      </c>
      <c r="B1063" s="15">
        <f>INDEX('GLB.Ts+dSST (4)'!$B$3:$M$149,MATCH(VALUE(RIGHT(A1063,4)),'GLB.Ts+dSST (4)'!$A$3:$A$149,0),VALUE(LEFT(A1063,FIND("/",A1063)-1)))</f>
        <v>-0.09</v>
      </c>
      <c r="C1063" s="15">
        <f t="shared" si="32"/>
        <v>13.91</v>
      </c>
      <c r="D1063" s="15">
        <f t="shared" si="33"/>
        <v>57.037999999999997</v>
      </c>
    </row>
    <row r="1064" spans="1:4" ht="15" customHeight="1">
      <c r="A1064" t="s">
        <v>1127</v>
      </c>
      <c r="B1064" s="15">
        <f>INDEX('GLB.Ts+dSST (4)'!$B$3:$M$149,MATCH(VALUE(RIGHT(A1064,4)),'GLB.Ts+dSST (4)'!$A$3:$A$149,0),VALUE(LEFT(A1064,FIND("/",A1064)-1)))</f>
        <v>-0.13</v>
      </c>
      <c r="C1064" s="15">
        <f t="shared" si="32"/>
        <v>13.87</v>
      </c>
      <c r="D1064" s="15">
        <f t="shared" si="33"/>
        <v>56.965999999999994</v>
      </c>
    </row>
    <row r="1065" spans="1:4" ht="15" customHeight="1">
      <c r="A1065" t="s">
        <v>1128</v>
      </c>
      <c r="B1065" s="15">
        <f>INDEX('GLB.Ts+dSST (4)'!$B$3:$M$149,MATCH(VALUE(RIGHT(A1065,4)),'GLB.Ts+dSST (4)'!$A$3:$A$149,0),VALUE(LEFT(A1065,FIND("/",A1065)-1)))</f>
        <v>-0.08</v>
      </c>
      <c r="C1065" s="15">
        <f t="shared" si="32"/>
        <v>13.92</v>
      </c>
      <c r="D1065" s="15">
        <f t="shared" si="33"/>
        <v>57.055999999999997</v>
      </c>
    </row>
    <row r="1066" spans="1:4" ht="15" customHeight="1">
      <c r="A1066" t="s">
        <v>1129</v>
      </c>
      <c r="B1066" s="15">
        <f>INDEX('GLB.Ts+dSST (4)'!$B$3:$M$149,MATCH(VALUE(RIGHT(A1066,4)),'GLB.Ts+dSST (4)'!$A$3:$A$149,0),VALUE(LEFT(A1066,FIND("/",A1066)-1)))</f>
        <v>-0.19</v>
      </c>
      <c r="C1066" s="15">
        <f t="shared" si="32"/>
        <v>13.81</v>
      </c>
      <c r="D1066" s="15">
        <f t="shared" si="33"/>
        <v>56.858000000000004</v>
      </c>
    </row>
    <row r="1067" spans="1:4" ht="15" customHeight="1">
      <c r="A1067" t="s">
        <v>1130</v>
      </c>
      <c r="B1067" s="15">
        <f>INDEX('GLB.Ts+dSST (4)'!$B$3:$M$149,MATCH(VALUE(RIGHT(A1067,4)),'GLB.Ts+dSST (4)'!$A$3:$A$149,0),VALUE(LEFT(A1067,FIND("/",A1067)-1)))</f>
        <v>0.09</v>
      </c>
      <c r="C1067" s="15">
        <f t="shared" si="32"/>
        <v>14.09</v>
      </c>
      <c r="D1067" s="15">
        <f t="shared" si="33"/>
        <v>57.362000000000002</v>
      </c>
    </row>
    <row r="1068" spans="1:4" ht="15" customHeight="1">
      <c r="A1068" t="s">
        <v>1131</v>
      </c>
      <c r="B1068" s="15">
        <f>INDEX('GLB.Ts+dSST (4)'!$B$3:$M$149,MATCH(VALUE(RIGHT(A1068,4)),'GLB.Ts+dSST (4)'!$A$3:$A$149,0),VALUE(LEFT(A1068,FIND("/",A1068)-1)))</f>
        <v>-0.05</v>
      </c>
      <c r="C1068" s="15">
        <f t="shared" si="32"/>
        <v>13.95</v>
      </c>
      <c r="D1068" s="15">
        <f t="shared" si="33"/>
        <v>57.11</v>
      </c>
    </row>
    <row r="1069" spans="1:4" ht="15" customHeight="1">
      <c r="A1069" t="s">
        <v>1132</v>
      </c>
      <c r="B1069" s="15">
        <f>INDEX('GLB.Ts+dSST (4)'!$B$3:$M$149,MATCH(VALUE(RIGHT(A1069,4)),'GLB.Ts+dSST (4)'!$A$3:$A$149,0),VALUE(LEFT(A1069,FIND("/",A1069)-1)))</f>
        <v>-0.14000000000000001</v>
      </c>
      <c r="C1069" s="15">
        <f t="shared" si="32"/>
        <v>13.86</v>
      </c>
      <c r="D1069" s="15">
        <f t="shared" si="33"/>
        <v>56.948</v>
      </c>
    </row>
    <row r="1070" spans="1:4" ht="15" customHeight="1">
      <c r="A1070" t="s">
        <v>1133</v>
      </c>
      <c r="B1070" s="15">
        <f>INDEX('GLB.Ts+dSST (4)'!$B$3:$M$149,MATCH(VALUE(RIGHT(A1070,4)),'GLB.Ts+dSST (4)'!$A$3:$A$149,0),VALUE(LEFT(A1070,FIND("/",A1070)-1)))</f>
        <v>-0.11</v>
      </c>
      <c r="C1070" s="15">
        <f t="shared" si="32"/>
        <v>13.89</v>
      </c>
      <c r="D1070" s="15">
        <f t="shared" si="33"/>
        <v>57.002000000000002</v>
      </c>
    </row>
    <row r="1071" spans="1:4" ht="15" customHeight="1">
      <c r="A1071" t="s">
        <v>1134</v>
      </c>
      <c r="B1071" s="15">
        <f>INDEX('GLB.Ts+dSST (4)'!$B$3:$M$149,MATCH(VALUE(RIGHT(A1071,4)),'GLB.Ts+dSST (4)'!$A$3:$A$149,0),VALUE(LEFT(A1071,FIND("/",A1071)-1)))</f>
        <v>-0.18</v>
      </c>
      <c r="C1071" s="15">
        <f t="shared" si="32"/>
        <v>13.82</v>
      </c>
      <c r="D1071" s="15">
        <f t="shared" si="33"/>
        <v>56.876000000000005</v>
      </c>
    </row>
    <row r="1072" spans="1:4" ht="15" customHeight="1">
      <c r="A1072" t="s">
        <v>1135</v>
      </c>
      <c r="B1072" s="15">
        <f>INDEX('GLB.Ts+dSST (4)'!$B$3:$M$149,MATCH(VALUE(RIGHT(A1072,4)),'GLB.Ts+dSST (4)'!$A$3:$A$149,0),VALUE(LEFT(A1072,FIND("/",A1072)-1)))</f>
        <v>0.01</v>
      </c>
      <c r="C1072" s="15">
        <f t="shared" si="32"/>
        <v>14.01</v>
      </c>
      <c r="D1072" s="15">
        <f t="shared" si="33"/>
        <v>57.218000000000004</v>
      </c>
    </row>
    <row r="1073" spans="1:4" ht="15" customHeight="1">
      <c r="A1073" t="s">
        <v>1136</v>
      </c>
      <c r="B1073" s="15">
        <f>INDEX('GLB.Ts+dSST (4)'!$B$3:$M$149,MATCH(VALUE(RIGHT(A1073,4)),'GLB.Ts+dSST (4)'!$A$3:$A$149,0),VALUE(LEFT(A1073,FIND("/",A1073)-1)))</f>
        <v>0.17</v>
      </c>
      <c r="C1073" s="15">
        <f t="shared" si="32"/>
        <v>14.17</v>
      </c>
      <c r="D1073" s="15">
        <f t="shared" si="33"/>
        <v>57.506</v>
      </c>
    </row>
    <row r="1074" spans="1:4" ht="15" customHeight="1">
      <c r="A1074" t="s">
        <v>1137</v>
      </c>
      <c r="B1074" s="15">
        <f>INDEX('GLB.Ts+dSST (4)'!$B$3:$M$149,MATCH(VALUE(RIGHT(A1074,4)),'GLB.Ts+dSST (4)'!$A$3:$A$149,0),VALUE(LEFT(A1074,FIND("/",A1074)-1)))</f>
        <v>0.18</v>
      </c>
      <c r="C1074" s="15">
        <f t="shared" si="32"/>
        <v>14.18</v>
      </c>
      <c r="D1074" s="15">
        <f t="shared" si="33"/>
        <v>57.524000000000001</v>
      </c>
    </row>
    <row r="1075" spans="1:4" ht="15" customHeight="1">
      <c r="A1075" t="s">
        <v>1138</v>
      </c>
      <c r="B1075" s="15">
        <f>INDEX('GLB.Ts+dSST (4)'!$B$3:$M$149,MATCH(VALUE(RIGHT(A1075,4)),'GLB.Ts+dSST (4)'!$A$3:$A$149,0),VALUE(LEFT(A1075,FIND("/",A1075)-1)))</f>
        <v>0.03</v>
      </c>
      <c r="C1075" s="15">
        <f t="shared" si="32"/>
        <v>14.03</v>
      </c>
      <c r="D1075" s="15">
        <f t="shared" si="33"/>
        <v>57.253999999999998</v>
      </c>
    </row>
    <row r="1076" spans="1:4" ht="15" customHeight="1">
      <c r="A1076" t="s">
        <v>1139</v>
      </c>
      <c r="B1076" s="15">
        <f>INDEX('GLB.Ts+dSST (4)'!$B$3:$M$149,MATCH(VALUE(RIGHT(A1076,4)),'GLB.Ts+dSST (4)'!$A$3:$A$149,0),VALUE(LEFT(A1076,FIND("/",A1076)-1)))</f>
        <v>-0.04</v>
      </c>
      <c r="C1076" s="15">
        <f t="shared" si="32"/>
        <v>13.96</v>
      </c>
      <c r="D1076" s="15">
        <f t="shared" si="33"/>
        <v>57.128</v>
      </c>
    </row>
    <row r="1077" spans="1:4" ht="15" customHeight="1">
      <c r="A1077" t="s">
        <v>1140</v>
      </c>
      <c r="B1077" s="15">
        <f>INDEX('GLB.Ts+dSST (4)'!$B$3:$M$149,MATCH(VALUE(RIGHT(A1077,4)),'GLB.Ts+dSST (4)'!$A$3:$A$149,0),VALUE(LEFT(A1077,FIND("/",A1077)-1)))</f>
        <v>0.04</v>
      </c>
      <c r="C1077" s="15">
        <f t="shared" si="32"/>
        <v>14.04</v>
      </c>
      <c r="D1077" s="15">
        <f t="shared" si="33"/>
        <v>57.271999999999998</v>
      </c>
    </row>
    <row r="1078" spans="1:4" ht="15" customHeight="1">
      <c r="A1078" t="s">
        <v>1141</v>
      </c>
      <c r="B1078" s="15">
        <f>INDEX('GLB.Ts+dSST (4)'!$B$3:$M$149,MATCH(VALUE(RIGHT(A1078,4)),'GLB.Ts+dSST (4)'!$A$3:$A$149,0),VALUE(LEFT(A1078,FIND("/",A1078)-1)))</f>
        <v>0.08</v>
      </c>
      <c r="C1078" s="15">
        <f t="shared" si="32"/>
        <v>14.08</v>
      </c>
      <c r="D1078" s="15">
        <f t="shared" si="33"/>
        <v>57.344000000000001</v>
      </c>
    </row>
    <row r="1079" spans="1:4" ht="15" customHeight="1">
      <c r="A1079" t="s">
        <v>1142</v>
      </c>
      <c r="B1079" s="15">
        <f>INDEX('GLB.Ts+dSST (4)'!$B$3:$M$149,MATCH(VALUE(RIGHT(A1079,4)),'GLB.Ts+dSST (4)'!$A$3:$A$149,0),VALUE(LEFT(A1079,FIND("/",A1079)-1)))</f>
        <v>0.09</v>
      </c>
      <c r="C1079" s="15">
        <f t="shared" si="32"/>
        <v>14.09</v>
      </c>
      <c r="D1079" s="15">
        <f t="shared" si="33"/>
        <v>57.362000000000002</v>
      </c>
    </row>
    <row r="1080" spans="1:4" ht="15" customHeight="1">
      <c r="A1080" t="s">
        <v>1143</v>
      </c>
      <c r="B1080" s="15">
        <f>INDEX('GLB.Ts+dSST (4)'!$B$3:$M$149,MATCH(VALUE(RIGHT(A1080,4)),'GLB.Ts+dSST (4)'!$A$3:$A$149,0),VALUE(LEFT(A1080,FIND("/",A1080)-1)))</f>
        <v>0.12</v>
      </c>
      <c r="C1080" s="15">
        <f t="shared" si="32"/>
        <v>14.12</v>
      </c>
      <c r="D1080" s="15">
        <f t="shared" si="33"/>
        <v>57.415999999999997</v>
      </c>
    </row>
    <row r="1081" spans="1:4" ht="15" customHeight="1">
      <c r="A1081" t="s">
        <v>1144</v>
      </c>
      <c r="B1081" s="15">
        <f>INDEX('GLB.Ts+dSST (4)'!$B$3:$M$149,MATCH(VALUE(RIGHT(A1081,4)),'GLB.Ts+dSST (4)'!$A$3:$A$149,0),VALUE(LEFT(A1081,FIND("/",A1081)-1)))</f>
        <v>0.24</v>
      </c>
      <c r="C1081" s="15">
        <f t="shared" si="32"/>
        <v>14.24</v>
      </c>
      <c r="D1081" s="15">
        <f t="shared" si="33"/>
        <v>57.632000000000005</v>
      </c>
    </row>
    <row r="1082" spans="1:4" ht="15" customHeight="1">
      <c r="A1082" t="s">
        <v>1145</v>
      </c>
      <c r="B1082" s="15">
        <f>INDEX('GLB.Ts+dSST (4)'!$B$3:$M$149,MATCH(VALUE(RIGHT(A1082,4)),'GLB.Ts+dSST (4)'!$A$3:$A$149,0),VALUE(LEFT(A1082,FIND("/",A1082)-1)))</f>
        <v>0.08</v>
      </c>
      <c r="C1082" s="15">
        <f t="shared" si="32"/>
        <v>14.08</v>
      </c>
      <c r="D1082" s="15">
        <f t="shared" si="33"/>
        <v>57.344000000000001</v>
      </c>
    </row>
    <row r="1083" spans="1:4" ht="15" customHeight="1">
      <c r="A1083" t="s">
        <v>1146</v>
      </c>
      <c r="B1083" s="15">
        <f>INDEX('GLB.Ts+dSST (4)'!$B$3:$M$149,MATCH(VALUE(RIGHT(A1083,4)),'GLB.Ts+dSST (4)'!$A$3:$A$149,0),VALUE(LEFT(A1083,FIND("/",A1083)-1)))</f>
        <v>0.22</v>
      </c>
      <c r="C1083" s="15">
        <f t="shared" si="32"/>
        <v>14.22</v>
      </c>
      <c r="D1083" s="15">
        <f t="shared" si="33"/>
        <v>57.596000000000004</v>
      </c>
    </row>
    <row r="1084" spans="1:4" ht="15" customHeight="1">
      <c r="A1084" t="s">
        <v>1147</v>
      </c>
      <c r="B1084" s="15">
        <f>INDEX('GLB.Ts+dSST (4)'!$B$3:$M$149,MATCH(VALUE(RIGHT(A1084,4)),'GLB.Ts+dSST (4)'!$A$3:$A$149,0),VALUE(LEFT(A1084,FIND("/",A1084)-1)))</f>
        <v>0.06</v>
      </c>
      <c r="C1084" s="15">
        <f t="shared" si="32"/>
        <v>14.06</v>
      </c>
      <c r="D1084" s="15">
        <f t="shared" si="33"/>
        <v>57.308</v>
      </c>
    </row>
    <row r="1085" spans="1:4" ht="15" customHeight="1">
      <c r="A1085" t="s">
        <v>1148</v>
      </c>
      <c r="B1085" s="15">
        <f>INDEX('GLB.Ts+dSST (4)'!$B$3:$M$149,MATCH(VALUE(RIGHT(A1085,4)),'GLB.Ts+dSST (4)'!$A$3:$A$149,0),VALUE(LEFT(A1085,FIND("/",A1085)-1)))</f>
        <v>0.05</v>
      </c>
      <c r="C1085" s="15">
        <f t="shared" si="32"/>
        <v>14.05</v>
      </c>
      <c r="D1085" s="15">
        <f t="shared" si="33"/>
        <v>57.290000000000006</v>
      </c>
    </row>
    <row r="1086" spans="1:4" ht="15" customHeight="1">
      <c r="A1086" t="s">
        <v>1149</v>
      </c>
      <c r="B1086" s="15">
        <f>INDEX('GLB.Ts+dSST (4)'!$B$3:$M$149,MATCH(VALUE(RIGHT(A1086,4)),'GLB.Ts+dSST (4)'!$A$3:$A$149,0),VALUE(LEFT(A1086,FIND("/",A1086)-1)))</f>
        <v>-0.03</v>
      </c>
      <c r="C1086" s="15">
        <f t="shared" si="32"/>
        <v>13.97</v>
      </c>
      <c r="D1086" s="15">
        <f t="shared" si="33"/>
        <v>57.146000000000001</v>
      </c>
    </row>
    <row r="1087" spans="1:4" ht="15" customHeight="1">
      <c r="A1087" t="s">
        <v>1150</v>
      </c>
      <c r="B1087" s="15">
        <f>INDEX('GLB.Ts+dSST (4)'!$B$3:$M$149,MATCH(VALUE(RIGHT(A1087,4)),'GLB.Ts+dSST (4)'!$A$3:$A$149,0),VALUE(LEFT(A1087,FIND("/",A1087)-1)))</f>
        <v>-0.02</v>
      </c>
      <c r="C1087" s="15">
        <f t="shared" si="32"/>
        <v>13.98</v>
      </c>
      <c r="D1087" s="15">
        <f t="shared" si="33"/>
        <v>57.164000000000001</v>
      </c>
    </row>
    <row r="1088" spans="1:4" ht="15" customHeight="1">
      <c r="A1088" t="s">
        <v>1151</v>
      </c>
      <c r="B1088" s="15">
        <f>INDEX('GLB.Ts+dSST (4)'!$B$3:$M$149,MATCH(VALUE(RIGHT(A1088,4)),'GLB.Ts+dSST (4)'!$A$3:$A$149,0),VALUE(LEFT(A1088,FIND("/",A1088)-1)))</f>
        <v>0.02</v>
      </c>
      <c r="C1088" s="15">
        <f t="shared" si="32"/>
        <v>14.02</v>
      </c>
      <c r="D1088" s="15">
        <f t="shared" si="33"/>
        <v>57.236000000000004</v>
      </c>
    </row>
    <row r="1089" spans="1:4" ht="15" customHeight="1">
      <c r="A1089" t="s">
        <v>1152</v>
      </c>
      <c r="B1089" s="15">
        <f>INDEX('GLB.Ts+dSST (4)'!$B$3:$M$149,MATCH(VALUE(RIGHT(A1089,4)),'GLB.Ts+dSST (4)'!$A$3:$A$149,0),VALUE(LEFT(A1089,FIND("/",A1089)-1)))</f>
        <v>-0.1</v>
      </c>
      <c r="C1089" s="15">
        <f t="shared" si="32"/>
        <v>13.9</v>
      </c>
      <c r="D1089" s="15">
        <f t="shared" si="33"/>
        <v>57.019999999999996</v>
      </c>
    </row>
    <row r="1090" spans="1:4" ht="15" customHeight="1">
      <c r="A1090" t="s">
        <v>1153</v>
      </c>
      <c r="B1090" s="15">
        <f>INDEX('GLB.Ts+dSST (4)'!$B$3:$M$149,MATCH(VALUE(RIGHT(A1090,4)),'GLB.Ts+dSST (4)'!$A$3:$A$149,0),VALUE(LEFT(A1090,FIND("/",A1090)-1)))</f>
        <v>0.12</v>
      </c>
      <c r="C1090" s="15">
        <f t="shared" ref="C1090:C1153" si="34">B1090+14</f>
        <v>14.12</v>
      </c>
      <c r="D1090" s="15">
        <f t="shared" ref="D1090:D1153" si="35">C1090*(9/5)+32</f>
        <v>57.415999999999997</v>
      </c>
    </row>
    <row r="1091" spans="1:4" ht="15" customHeight="1">
      <c r="A1091" t="s">
        <v>1154</v>
      </c>
      <c r="B1091" s="15">
        <f>INDEX('GLB.Ts+dSST (4)'!$B$3:$M$149,MATCH(VALUE(RIGHT(A1091,4)),'GLB.Ts+dSST (4)'!$A$3:$A$149,0),VALUE(LEFT(A1091,FIND("/",A1091)-1)))</f>
        <v>0.03</v>
      </c>
      <c r="C1091" s="15">
        <f t="shared" si="34"/>
        <v>14.03</v>
      </c>
      <c r="D1091" s="15">
        <f t="shared" si="35"/>
        <v>57.253999999999998</v>
      </c>
    </row>
    <row r="1092" spans="1:4" ht="15" customHeight="1">
      <c r="A1092" t="s">
        <v>1155</v>
      </c>
      <c r="B1092" s="15">
        <f>INDEX('GLB.Ts+dSST (4)'!$B$3:$M$149,MATCH(VALUE(RIGHT(A1092,4)),'GLB.Ts+dSST (4)'!$A$3:$A$149,0),VALUE(LEFT(A1092,FIND("/",A1092)-1)))</f>
        <v>0.02</v>
      </c>
      <c r="C1092" s="15">
        <f t="shared" si="34"/>
        <v>14.02</v>
      </c>
      <c r="D1092" s="15">
        <f t="shared" si="35"/>
        <v>57.236000000000004</v>
      </c>
    </row>
    <row r="1093" spans="1:4" ht="15" customHeight="1">
      <c r="A1093" t="s">
        <v>1156</v>
      </c>
      <c r="B1093" s="15">
        <f>INDEX('GLB.Ts+dSST (4)'!$B$3:$M$149,MATCH(VALUE(RIGHT(A1093,4)),'GLB.Ts+dSST (4)'!$A$3:$A$149,0),VALUE(LEFT(A1093,FIND("/",A1093)-1)))</f>
        <v>-0.12</v>
      </c>
      <c r="C1093" s="15">
        <f t="shared" si="34"/>
        <v>13.88</v>
      </c>
      <c r="D1093" s="15">
        <f t="shared" si="35"/>
        <v>56.984000000000002</v>
      </c>
    </row>
    <row r="1094" spans="1:4" ht="15" customHeight="1">
      <c r="A1094" t="s">
        <v>1157</v>
      </c>
      <c r="B1094" s="15">
        <f>INDEX('GLB.Ts+dSST (4)'!$B$3:$M$149,MATCH(VALUE(RIGHT(A1094,4)),'GLB.Ts+dSST (4)'!$A$3:$A$149,0),VALUE(LEFT(A1094,FIND("/",A1094)-1)))</f>
        <v>-0.02</v>
      </c>
      <c r="C1094" s="15">
        <f t="shared" si="34"/>
        <v>13.98</v>
      </c>
      <c r="D1094" s="15">
        <f t="shared" si="35"/>
        <v>57.164000000000001</v>
      </c>
    </row>
    <row r="1095" spans="1:4" ht="15" customHeight="1">
      <c r="A1095" t="s">
        <v>1158</v>
      </c>
      <c r="B1095" s="15">
        <f>INDEX('GLB.Ts+dSST (4)'!$B$3:$M$149,MATCH(VALUE(RIGHT(A1095,4)),'GLB.Ts+dSST (4)'!$A$3:$A$149,0),VALUE(LEFT(A1095,FIND("/",A1095)-1)))</f>
        <v>-0.15</v>
      </c>
      <c r="C1095" s="15">
        <f t="shared" si="34"/>
        <v>13.85</v>
      </c>
      <c r="D1095" s="15">
        <f t="shared" si="35"/>
        <v>56.93</v>
      </c>
    </row>
    <row r="1096" spans="1:4" ht="15" customHeight="1">
      <c r="A1096" t="s">
        <v>1159</v>
      </c>
      <c r="B1096" s="15">
        <f>INDEX('GLB.Ts+dSST (4)'!$B$3:$M$149,MATCH(VALUE(RIGHT(A1096,4)),'GLB.Ts+dSST (4)'!$A$3:$A$149,0),VALUE(LEFT(A1096,FIND("/",A1096)-1)))</f>
        <v>-0.18</v>
      </c>
      <c r="C1096" s="15">
        <f t="shared" si="34"/>
        <v>13.82</v>
      </c>
      <c r="D1096" s="15">
        <f t="shared" si="35"/>
        <v>56.876000000000005</v>
      </c>
    </row>
    <row r="1097" spans="1:4" ht="15" customHeight="1">
      <c r="A1097" t="s">
        <v>1160</v>
      </c>
      <c r="B1097" s="15">
        <f>INDEX('GLB.Ts+dSST (4)'!$B$3:$M$149,MATCH(VALUE(RIGHT(A1097,4)),'GLB.Ts+dSST (4)'!$A$3:$A$149,0),VALUE(LEFT(A1097,FIND("/",A1097)-1)))</f>
        <v>-7.0000000000000007E-2</v>
      </c>
      <c r="C1097" s="15">
        <f t="shared" si="34"/>
        <v>13.93</v>
      </c>
      <c r="D1097" s="15">
        <f t="shared" si="35"/>
        <v>57.073999999999998</v>
      </c>
    </row>
    <row r="1098" spans="1:4" ht="15" customHeight="1">
      <c r="A1098" t="s">
        <v>1161</v>
      </c>
      <c r="B1098" s="15">
        <f>INDEX('GLB.Ts+dSST (4)'!$B$3:$M$149,MATCH(VALUE(RIGHT(A1098,4)),'GLB.Ts+dSST (4)'!$A$3:$A$149,0),VALUE(LEFT(A1098,FIND("/",A1098)-1)))</f>
        <v>-0.05</v>
      </c>
      <c r="C1098" s="15">
        <f t="shared" si="34"/>
        <v>13.95</v>
      </c>
      <c r="D1098" s="15">
        <f t="shared" si="35"/>
        <v>57.11</v>
      </c>
    </row>
    <row r="1099" spans="1:4" ht="15" customHeight="1">
      <c r="A1099" t="s">
        <v>1162</v>
      </c>
      <c r="B1099" s="15">
        <f>INDEX('GLB.Ts+dSST (4)'!$B$3:$M$149,MATCH(VALUE(RIGHT(A1099,4)),'GLB.Ts+dSST (4)'!$A$3:$A$149,0),VALUE(LEFT(A1099,FIND("/",A1099)-1)))</f>
        <v>-0.16</v>
      </c>
      <c r="C1099" s="15">
        <f t="shared" si="34"/>
        <v>13.84</v>
      </c>
      <c r="D1099" s="15">
        <f t="shared" si="35"/>
        <v>56.911999999999999</v>
      </c>
    </row>
    <row r="1100" spans="1:4" ht="15" customHeight="1">
      <c r="A1100" t="s">
        <v>1163</v>
      </c>
      <c r="B1100" s="15">
        <f>INDEX('GLB.Ts+dSST (4)'!$B$3:$M$149,MATCH(VALUE(RIGHT(A1100,4)),'GLB.Ts+dSST (4)'!$A$3:$A$149,0),VALUE(LEFT(A1100,FIND("/",A1100)-1)))</f>
        <v>-7.0000000000000007E-2</v>
      </c>
      <c r="C1100" s="15">
        <f t="shared" si="34"/>
        <v>13.93</v>
      </c>
      <c r="D1100" s="15">
        <f t="shared" si="35"/>
        <v>57.073999999999998</v>
      </c>
    </row>
    <row r="1101" spans="1:4" ht="15" customHeight="1">
      <c r="A1101" t="s">
        <v>1164</v>
      </c>
      <c r="B1101" s="15">
        <f>INDEX('GLB.Ts+dSST (4)'!$B$3:$M$149,MATCH(VALUE(RIGHT(A1101,4)),'GLB.Ts+dSST (4)'!$A$3:$A$149,0),VALUE(LEFT(A1101,FIND("/",A1101)-1)))</f>
        <v>-0.01</v>
      </c>
      <c r="C1101" s="15">
        <f t="shared" si="34"/>
        <v>13.99</v>
      </c>
      <c r="D1101" s="15">
        <f t="shared" si="35"/>
        <v>57.182000000000002</v>
      </c>
    </row>
    <row r="1102" spans="1:4" ht="15" customHeight="1">
      <c r="A1102" t="s">
        <v>1165</v>
      </c>
      <c r="B1102" s="15">
        <f>INDEX('GLB.Ts+dSST (4)'!$B$3:$M$149,MATCH(VALUE(RIGHT(A1102,4)),'GLB.Ts+dSST (4)'!$A$3:$A$149,0),VALUE(LEFT(A1102,FIND("/",A1102)-1)))</f>
        <v>-0.05</v>
      </c>
      <c r="C1102" s="15">
        <f t="shared" si="34"/>
        <v>13.95</v>
      </c>
      <c r="D1102" s="15">
        <f t="shared" si="35"/>
        <v>57.11</v>
      </c>
    </row>
    <row r="1103" spans="1:4" ht="15" customHeight="1">
      <c r="A1103" t="s">
        <v>1166</v>
      </c>
      <c r="B1103" s="15">
        <f>INDEX('GLB.Ts+dSST (4)'!$B$3:$M$149,MATCH(VALUE(RIGHT(A1103,4)),'GLB.Ts+dSST (4)'!$A$3:$A$149,0),VALUE(LEFT(A1103,FIND("/",A1103)-1)))</f>
        <v>-0.04</v>
      </c>
      <c r="C1103" s="15">
        <f t="shared" si="34"/>
        <v>13.96</v>
      </c>
      <c r="D1103" s="15">
        <f t="shared" si="35"/>
        <v>57.128</v>
      </c>
    </row>
    <row r="1104" spans="1:4" ht="15" customHeight="1">
      <c r="A1104" t="s">
        <v>1167</v>
      </c>
      <c r="B1104" s="15">
        <f>INDEX('GLB.Ts+dSST (4)'!$B$3:$M$149,MATCH(VALUE(RIGHT(A1104,4)),'GLB.Ts+dSST (4)'!$A$3:$A$149,0),VALUE(LEFT(A1104,FIND("/",A1104)-1)))</f>
        <v>-7.0000000000000007E-2</v>
      </c>
      <c r="C1104" s="15">
        <f t="shared" si="34"/>
        <v>13.93</v>
      </c>
      <c r="D1104" s="15">
        <f t="shared" si="35"/>
        <v>57.073999999999998</v>
      </c>
    </row>
    <row r="1105" spans="1:4" ht="15" customHeight="1">
      <c r="A1105" t="s">
        <v>1168</v>
      </c>
      <c r="B1105" s="15">
        <f>INDEX('GLB.Ts+dSST (4)'!$B$3:$M$149,MATCH(VALUE(RIGHT(A1105,4)),'GLB.Ts+dSST (4)'!$A$3:$A$149,0),VALUE(LEFT(A1105,FIND("/",A1105)-1)))</f>
        <v>-0.08</v>
      </c>
      <c r="C1105" s="15">
        <f t="shared" si="34"/>
        <v>13.92</v>
      </c>
      <c r="D1105" s="15">
        <f t="shared" si="35"/>
        <v>57.055999999999997</v>
      </c>
    </row>
    <row r="1106" spans="1:4" ht="15" customHeight="1">
      <c r="A1106" t="s">
        <v>1169</v>
      </c>
      <c r="B1106" s="15">
        <f>INDEX('GLB.Ts+dSST (4)'!$B$3:$M$149,MATCH(VALUE(RIGHT(A1106,4)),'GLB.Ts+dSST (4)'!$A$3:$A$149,0),VALUE(LEFT(A1106,FIND("/",A1106)-1)))</f>
        <v>-0.22</v>
      </c>
      <c r="C1106" s="15">
        <f t="shared" si="34"/>
        <v>13.78</v>
      </c>
      <c r="D1106" s="15">
        <f t="shared" si="35"/>
        <v>56.804000000000002</v>
      </c>
    </row>
    <row r="1107" spans="1:4" ht="15" customHeight="1">
      <c r="A1107" t="s">
        <v>1170</v>
      </c>
      <c r="B1107" s="15">
        <f>INDEX('GLB.Ts+dSST (4)'!$B$3:$M$149,MATCH(VALUE(RIGHT(A1107,4)),'GLB.Ts+dSST (4)'!$A$3:$A$149,0),VALUE(LEFT(A1107,FIND("/",A1107)-1)))</f>
        <v>-0.18</v>
      </c>
      <c r="C1107" s="15">
        <f t="shared" si="34"/>
        <v>13.82</v>
      </c>
      <c r="D1107" s="15">
        <f t="shared" si="35"/>
        <v>56.876000000000005</v>
      </c>
    </row>
    <row r="1108" spans="1:4" ht="15" customHeight="1">
      <c r="A1108" t="s">
        <v>1171</v>
      </c>
      <c r="B1108" s="15">
        <f>INDEX('GLB.Ts+dSST (4)'!$B$3:$M$149,MATCH(VALUE(RIGHT(A1108,4)),'GLB.Ts+dSST (4)'!$A$3:$A$149,0),VALUE(LEFT(A1108,FIND("/",A1108)-1)))</f>
        <v>0.03</v>
      </c>
      <c r="C1108" s="15">
        <f t="shared" si="34"/>
        <v>14.03</v>
      </c>
      <c r="D1108" s="15">
        <f t="shared" si="35"/>
        <v>57.253999999999998</v>
      </c>
    </row>
    <row r="1109" spans="1:4" ht="15" customHeight="1">
      <c r="A1109" t="s">
        <v>1172</v>
      </c>
      <c r="B1109" s="15">
        <f>INDEX('GLB.Ts+dSST (4)'!$B$3:$M$149,MATCH(VALUE(RIGHT(A1109,4)),'GLB.Ts+dSST (4)'!$A$3:$A$149,0),VALUE(LEFT(A1109,FIND("/",A1109)-1)))</f>
        <v>0</v>
      </c>
      <c r="C1109" s="15">
        <f t="shared" si="34"/>
        <v>14</v>
      </c>
      <c r="D1109" s="15">
        <f t="shared" si="35"/>
        <v>57.2</v>
      </c>
    </row>
    <row r="1110" spans="1:4" ht="15" customHeight="1">
      <c r="A1110" t="s">
        <v>1173</v>
      </c>
      <c r="B1110" s="15">
        <f>INDEX('GLB.Ts+dSST (4)'!$B$3:$M$149,MATCH(VALUE(RIGHT(A1110,4)),'GLB.Ts+dSST (4)'!$A$3:$A$149,0),VALUE(LEFT(A1110,FIND("/",A1110)-1)))</f>
        <v>-0.03</v>
      </c>
      <c r="C1110" s="15">
        <f t="shared" si="34"/>
        <v>13.97</v>
      </c>
      <c r="D1110" s="15">
        <f t="shared" si="35"/>
        <v>57.146000000000001</v>
      </c>
    </row>
    <row r="1111" spans="1:4" ht="15" customHeight="1">
      <c r="A1111" t="s">
        <v>1174</v>
      </c>
      <c r="B1111" s="15">
        <f>INDEX('GLB.Ts+dSST (4)'!$B$3:$M$149,MATCH(VALUE(RIGHT(A1111,4)),'GLB.Ts+dSST (4)'!$A$3:$A$149,0),VALUE(LEFT(A1111,FIND("/",A1111)-1)))</f>
        <v>0.04</v>
      </c>
      <c r="C1111" s="15">
        <f t="shared" si="34"/>
        <v>14.04</v>
      </c>
      <c r="D1111" s="15">
        <f t="shared" si="35"/>
        <v>57.271999999999998</v>
      </c>
    </row>
    <row r="1112" spans="1:4" ht="15" customHeight="1">
      <c r="A1112" t="s">
        <v>1175</v>
      </c>
      <c r="B1112" s="15">
        <f>INDEX('GLB.Ts+dSST (4)'!$B$3:$M$149,MATCH(VALUE(RIGHT(A1112,4)),'GLB.Ts+dSST (4)'!$A$3:$A$149,0),VALUE(LEFT(A1112,FIND("/",A1112)-1)))</f>
        <v>0.01</v>
      </c>
      <c r="C1112" s="15">
        <f t="shared" si="34"/>
        <v>14.01</v>
      </c>
      <c r="D1112" s="15">
        <f t="shared" si="35"/>
        <v>57.218000000000004</v>
      </c>
    </row>
    <row r="1113" spans="1:4" ht="15" customHeight="1">
      <c r="A1113" t="s">
        <v>1176</v>
      </c>
      <c r="B1113" s="15">
        <f>INDEX('GLB.Ts+dSST (4)'!$B$3:$M$149,MATCH(VALUE(RIGHT(A1113,4)),'GLB.Ts+dSST (4)'!$A$3:$A$149,0),VALUE(LEFT(A1113,FIND("/",A1113)-1)))</f>
        <v>0.16</v>
      </c>
      <c r="C1113" s="15">
        <f t="shared" si="34"/>
        <v>14.16</v>
      </c>
      <c r="D1113" s="15">
        <f t="shared" si="35"/>
        <v>57.488</v>
      </c>
    </row>
    <row r="1114" spans="1:4" ht="15" customHeight="1">
      <c r="A1114" t="s">
        <v>1177</v>
      </c>
      <c r="B1114" s="15">
        <f>INDEX('GLB.Ts+dSST (4)'!$B$3:$M$149,MATCH(VALUE(RIGHT(A1114,4)),'GLB.Ts+dSST (4)'!$A$3:$A$149,0),VALUE(LEFT(A1114,FIND("/",A1114)-1)))</f>
        <v>0.02</v>
      </c>
      <c r="C1114" s="15">
        <f t="shared" si="34"/>
        <v>14.02</v>
      </c>
      <c r="D1114" s="15">
        <f t="shared" si="35"/>
        <v>57.236000000000004</v>
      </c>
    </row>
    <row r="1115" spans="1:4" ht="15" customHeight="1">
      <c r="A1115" t="s">
        <v>1178</v>
      </c>
      <c r="B1115" s="15">
        <f>INDEX('GLB.Ts+dSST (4)'!$B$3:$M$149,MATCH(VALUE(RIGHT(A1115,4)),'GLB.Ts+dSST (4)'!$A$3:$A$149,0),VALUE(LEFT(A1115,FIND("/",A1115)-1)))</f>
        <v>0.08</v>
      </c>
      <c r="C1115" s="15">
        <f t="shared" si="34"/>
        <v>14.08</v>
      </c>
      <c r="D1115" s="15">
        <f t="shared" si="35"/>
        <v>57.344000000000001</v>
      </c>
    </row>
    <row r="1116" spans="1:4" ht="15" customHeight="1">
      <c r="A1116" t="s">
        <v>1179</v>
      </c>
      <c r="B1116" s="15">
        <f>INDEX('GLB.Ts+dSST (4)'!$B$3:$M$149,MATCH(VALUE(RIGHT(A1116,4)),'GLB.Ts+dSST (4)'!$A$3:$A$149,0),VALUE(LEFT(A1116,FIND("/",A1116)-1)))</f>
        <v>0.02</v>
      </c>
      <c r="C1116" s="15">
        <f t="shared" si="34"/>
        <v>14.02</v>
      </c>
      <c r="D1116" s="15">
        <f t="shared" si="35"/>
        <v>57.236000000000004</v>
      </c>
    </row>
    <row r="1117" spans="1:4" ht="15" customHeight="1">
      <c r="A1117" t="s">
        <v>1180</v>
      </c>
      <c r="B1117" s="15">
        <f>INDEX('GLB.Ts+dSST (4)'!$B$3:$M$149,MATCH(VALUE(RIGHT(A1117,4)),'GLB.Ts+dSST (4)'!$A$3:$A$149,0),VALUE(LEFT(A1117,FIND("/",A1117)-1)))</f>
        <v>0.18</v>
      </c>
      <c r="C1117" s="15">
        <f t="shared" si="34"/>
        <v>14.18</v>
      </c>
      <c r="D1117" s="15">
        <f t="shared" si="35"/>
        <v>57.524000000000001</v>
      </c>
    </row>
    <row r="1118" spans="1:4" ht="15" customHeight="1">
      <c r="A1118" t="s">
        <v>1181</v>
      </c>
      <c r="B1118" s="15">
        <f>INDEX('GLB.Ts+dSST (4)'!$B$3:$M$149,MATCH(VALUE(RIGHT(A1118,4)),'GLB.Ts+dSST (4)'!$A$3:$A$149,0),VALUE(LEFT(A1118,FIND("/",A1118)-1)))</f>
        <v>0.28999999999999998</v>
      </c>
      <c r="C1118" s="15">
        <f t="shared" si="34"/>
        <v>14.29</v>
      </c>
      <c r="D1118" s="15">
        <f t="shared" si="35"/>
        <v>57.721999999999994</v>
      </c>
    </row>
    <row r="1119" spans="1:4" ht="15" customHeight="1">
      <c r="A1119" t="s">
        <v>1182</v>
      </c>
      <c r="B1119" s="15">
        <f>INDEX('GLB.Ts+dSST (4)'!$B$3:$M$149,MATCH(VALUE(RIGHT(A1119,4)),'GLB.Ts+dSST (4)'!$A$3:$A$149,0),VALUE(LEFT(A1119,FIND("/",A1119)-1)))</f>
        <v>0.32</v>
      </c>
      <c r="C1119" s="15">
        <f t="shared" si="34"/>
        <v>14.32</v>
      </c>
      <c r="D1119" s="15">
        <f t="shared" si="35"/>
        <v>57.775999999999996</v>
      </c>
    </row>
    <row r="1120" spans="1:4" ht="15" customHeight="1">
      <c r="A1120" t="s">
        <v>1183</v>
      </c>
      <c r="B1120" s="15">
        <f>INDEX('GLB.Ts+dSST (4)'!$B$3:$M$149,MATCH(VALUE(RIGHT(A1120,4)),'GLB.Ts+dSST (4)'!$A$3:$A$149,0),VALUE(LEFT(A1120,FIND("/",A1120)-1)))</f>
        <v>0.28999999999999998</v>
      </c>
      <c r="C1120" s="15">
        <f t="shared" si="34"/>
        <v>14.29</v>
      </c>
      <c r="D1120" s="15">
        <f t="shared" si="35"/>
        <v>57.721999999999994</v>
      </c>
    </row>
    <row r="1121" spans="1:4" ht="15" customHeight="1">
      <c r="A1121" t="s">
        <v>1184</v>
      </c>
      <c r="B1121" s="15">
        <f>INDEX('GLB.Ts+dSST (4)'!$B$3:$M$149,MATCH(VALUE(RIGHT(A1121,4)),'GLB.Ts+dSST (4)'!$A$3:$A$149,0),VALUE(LEFT(A1121,FIND("/",A1121)-1)))</f>
        <v>0.27</v>
      </c>
      <c r="C1121" s="15">
        <f t="shared" si="34"/>
        <v>14.27</v>
      </c>
      <c r="D1121" s="15">
        <f t="shared" si="35"/>
        <v>57.686</v>
      </c>
    </row>
    <row r="1122" spans="1:4" ht="15" customHeight="1">
      <c r="A1122" t="s">
        <v>1185</v>
      </c>
      <c r="B1122" s="15">
        <f>INDEX('GLB.Ts+dSST (4)'!$B$3:$M$149,MATCH(VALUE(RIGHT(A1122,4)),'GLB.Ts+dSST (4)'!$A$3:$A$149,0),VALUE(LEFT(A1122,FIND("/",A1122)-1)))</f>
        <v>0.23</v>
      </c>
      <c r="C1122" s="15">
        <f t="shared" si="34"/>
        <v>14.23</v>
      </c>
      <c r="D1122" s="15">
        <f t="shared" si="35"/>
        <v>57.614000000000004</v>
      </c>
    </row>
    <row r="1123" spans="1:4" ht="15" customHeight="1">
      <c r="A1123" t="s">
        <v>1186</v>
      </c>
      <c r="B1123" s="15">
        <f>INDEX('GLB.Ts+dSST (4)'!$B$3:$M$149,MATCH(VALUE(RIGHT(A1123,4)),'GLB.Ts+dSST (4)'!$A$3:$A$149,0),VALUE(LEFT(A1123,FIND("/",A1123)-1)))</f>
        <v>0.19</v>
      </c>
      <c r="C1123" s="15">
        <f t="shared" si="34"/>
        <v>14.19</v>
      </c>
      <c r="D1123" s="15">
        <f t="shared" si="35"/>
        <v>57.542000000000002</v>
      </c>
    </row>
    <row r="1124" spans="1:4" ht="15" customHeight="1">
      <c r="A1124" t="s">
        <v>1187</v>
      </c>
      <c r="B1124" s="15">
        <f>INDEX('GLB.Ts+dSST (4)'!$B$3:$M$149,MATCH(VALUE(RIGHT(A1124,4)),'GLB.Ts+dSST (4)'!$A$3:$A$149,0),VALUE(LEFT(A1124,FIND("/",A1124)-1)))</f>
        <v>0.13</v>
      </c>
      <c r="C1124" s="15">
        <f t="shared" si="34"/>
        <v>14.13</v>
      </c>
      <c r="D1124" s="15">
        <f t="shared" si="35"/>
        <v>57.433999999999997</v>
      </c>
    </row>
    <row r="1125" spans="1:4" ht="15" customHeight="1">
      <c r="A1125" t="s">
        <v>1188</v>
      </c>
      <c r="B1125" s="15">
        <f>INDEX('GLB.Ts+dSST (4)'!$B$3:$M$149,MATCH(VALUE(RIGHT(A1125,4)),'GLB.Ts+dSST (4)'!$A$3:$A$149,0),VALUE(LEFT(A1125,FIND("/",A1125)-1)))</f>
        <v>0.05</v>
      </c>
      <c r="C1125" s="15">
        <f t="shared" si="34"/>
        <v>14.05</v>
      </c>
      <c r="D1125" s="15">
        <f t="shared" si="35"/>
        <v>57.290000000000006</v>
      </c>
    </row>
    <row r="1126" spans="1:4" ht="15" customHeight="1">
      <c r="A1126" t="s">
        <v>1189</v>
      </c>
      <c r="B1126" s="15">
        <f>INDEX('GLB.Ts+dSST (4)'!$B$3:$M$149,MATCH(VALUE(RIGHT(A1126,4)),'GLB.Ts+dSST (4)'!$A$3:$A$149,0),VALUE(LEFT(A1126,FIND("/",A1126)-1)))</f>
        <v>0.09</v>
      </c>
      <c r="C1126" s="15">
        <f t="shared" si="34"/>
        <v>14.09</v>
      </c>
      <c r="D1126" s="15">
        <f t="shared" si="35"/>
        <v>57.362000000000002</v>
      </c>
    </row>
    <row r="1127" spans="1:4" ht="15" customHeight="1">
      <c r="A1127" t="s">
        <v>1190</v>
      </c>
      <c r="B1127" s="15">
        <f>INDEX('GLB.Ts+dSST (4)'!$B$3:$M$149,MATCH(VALUE(RIGHT(A1127,4)),'GLB.Ts+dSST (4)'!$A$3:$A$149,0),VALUE(LEFT(A1127,FIND("/",A1127)-1)))</f>
        <v>0.1</v>
      </c>
      <c r="C1127" s="15">
        <f t="shared" si="34"/>
        <v>14.1</v>
      </c>
      <c r="D1127" s="15">
        <f t="shared" si="35"/>
        <v>57.379999999999995</v>
      </c>
    </row>
    <row r="1128" spans="1:4" ht="15" customHeight="1">
      <c r="A1128" t="s">
        <v>1191</v>
      </c>
      <c r="B1128" s="15">
        <f>INDEX('GLB.Ts+dSST (4)'!$B$3:$M$149,MATCH(VALUE(RIGHT(A1128,4)),'GLB.Ts+dSST (4)'!$A$3:$A$149,0),VALUE(LEFT(A1128,FIND("/",A1128)-1)))</f>
        <v>0.04</v>
      </c>
      <c r="C1128" s="15">
        <f t="shared" si="34"/>
        <v>14.04</v>
      </c>
      <c r="D1128" s="15">
        <f t="shared" si="35"/>
        <v>57.271999999999998</v>
      </c>
    </row>
    <row r="1129" spans="1:4" ht="15" customHeight="1">
      <c r="A1129" t="s">
        <v>1192</v>
      </c>
      <c r="B1129" s="15">
        <f>INDEX('GLB.Ts+dSST (4)'!$B$3:$M$149,MATCH(VALUE(RIGHT(A1129,4)),'GLB.Ts+dSST (4)'!$A$3:$A$149,0),VALUE(LEFT(A1129,FIND("/",A1129)-1)))</f>
        <v>-7.0000000000000007E-2</v>
      </c>
      <c r="C1129" s="15">
        <f t="shared" si="34"/>
        <v>13.93</v>
      </c>
      <c r="D1129" s="15">
        <f t="shared" si="35"/>
        <v>57.073999999999998</v>
      </c>
    </row>
    <row r="1130" spans="1:4" ht="15" customHeight="1">
      <c r="A1130" t="s">
        <v>1193</v>
      </c>
      <c r="B1130" s="15">
        <f>INDEX('GLB.Ts+dSST (4)'!$B$3:$M$149,MATCH(VALUE(RIGHT(A1130,4)),'GLB.Ts+dSST (4)'!$A$3:$A$149,0),VALUE(LEFT(A1130,FIND("/",A1130)-1)))</f>
        <v>-0.1</v>
      </c>
      <c r="C1130" s="15">
        <f t="shared" si="34"/>
        <v>13.9</v>
      </c>
      <c r="D1130" s="15">
        <f t="shared" si="35"/>
        <v>57.019999999999996</v>
      </c>
    </row>
    <row r="1131" spans="1:4" ht="15" customHeight="1">
      <c r="A1131" t="s">
        <v>1194</v>
      </c>
      <c r="B1131" s="15">
        <f>INDEX('GLB.Ts+dSST (4)'!$B$3:$M$149,MATCH(VALUE(RIGHT(A1131,4)),'GLB.Ts+dSST (4)'!$A$3:$A$149,0),VALUE(LEFT(A1131,FIND("/",A1131)-1)))</f>
        <v>-0.27</v>
      </c>
      <c r="C1131" s="15">
        <f t="shared" si="34"/>
        <v>13.73</v>
      </c>
      <c r="D1131" s="15">
        <f t="shared" si="35"/>
        <v>56.713999999999999</v>
      </c>
    </row>
    <row r="1132" spans="1:4" ht="15" customHeight="1">
      <c r="A1132" t="s">
        <v>1195</v>
      </c>
      <c r="B1132" s="15">
        <f>INDEX('GLB.Ts+dSST (4)'!$B$3:$M$149,MATCH(VALUE(RIGHT(A1132,4)),'GLB.Ts+dSST (4)'!$A$3:$A$149,0),VALUE(LEFT(A1132,FIND("/",A1132)-1)))</f>
        <v>-0.05</v>
      </c>
      <c r="C1132" s="15">
        <f t="shared" si="34"/>
        <v>13.95</v>
      </c>
      <c r="D1132" s="15">
        <f t="shared" si="35"/>
        <v>57.11</v>
      </c>
    </row>
    <row r="1133" spans="1:4" ht="15" customHeight="1">
      <c r="A1133" t="s">
        <v>1196</v>
      </c>
      <c r="B1133" s="15">
        <f>INDEX('GLB.Ts+dSST (4)'!$B$3:$M$149,MATCH(VALUE(RIGHT(A1133,4)),'GLB.Ts+dSST (4)'!$A$3:$A$149,0),VALUE(LEFT(A1133,FIND("/",A1133)-1)))</f>
        <v>-0.12</v>
      </c>
      <c r="C1133" s="15">
        <f t="shared" si="34"/>
        <v>13.88</v>
      </c>
      <c r="D1133" s="15">
        <f t="shared" si="35"/>
        <v>56.984000000000002</v>
      </c>
    </row>
    <row r="1134" spans="1:4" ht="15" customHeight="1">
      <c r="A1134" t="s">
        <v>1197</v>
      </c>
      <c r="B1134" s="15">
        <f>INDEX('GLB.Ts+dSST (4)'!$B$3:$M$149,MATCH(VALUE(RIGHT(A1134,4)),'GLB.Ts+dSST (4)'!$A$3:$A$149,0),VALUE(LEFT(A1134,FIND("/",A1134)-1)))</f>
        <v>-0.04</v>
      </c>
      <c r="C1134" s="15">
        <f t="shared" si="34"/>
        <v>13.96</v>
      </c>
      <c r="D1134" s="15">
        <f t="shared" si="35"/>
        <v>57.128</v>
      </c>
    </row>
    <row r="1135" spans="1:4" ht="15" customHeight="1">
      <c r="A1135" t="s">
        <v>1198</v>
      </c>
      <c r="B1135" s="15">
        <f>INDEX('GLB.Ts+dSST (4)'!$B$3:$M$149,MATCH(VALUE(RIGHT(A1135,4)),'GLB.Ts+dSST (4)'!$A$3:$A$149,0),VALUE(LEFT(A1135,FIND("/",A1135)-1)))</f>
        <v>-0.05</v>
      </c>
      <c r="C1135" s="15">
        <f t="shared" si="34"/>
        <v>13.95</v>
      </c>
      <c r="D1135" s="15">
        <f t="shared" si="35"/>
        <v>57.11</v>
      </c>
    </row>
    <row r="1136" spans="1:4" ht="15" customHeight="1">
      <c r="A1136" t="s">
        <v>1199</v>
      </c>
      <c r="B1136" s="15">
        <f>INDEX('GLB.Ts+dSST (4)'!$B$3:$M$149,MATCH(VALUE(RIGHT(A1136,4)),'GLB.Ts+dSST (4)'!$A$3:$A$149,0),VALUE(LEFT(A1136,FIND("/",A1136)-1)))</f>
        <v>-0.03</v>
      </c>
      <c r="C1136" s="15">
        <f t="shared" si="34"/>
        <v>13.97</v>
      </c>
      <c r="D1136" s="15">
        <f t="shared" si="35"/>
        <v>57.146000000000001</v>
      </c>
    </row>
    <row r="1137" spans="1:4" ht="15" customHeight="1">
      <c r="A1137" t="s">
        <v>1200</v>
      </c>
      <c r="B1137" s="15">
        <f>INDEX('GLB.Ts+dSST (4)'!$B$3:$M$149,MATCH(VALUE(RIGHT(A1137,4)),'GLB.Ts+dSST (4)'!$A$3:$A$149,0),VALUE(LEFT(A1137,FIND("/",A1137)-1)))</f>
        <v>0.1</v>
      </c>
      <c r="C1137" s="15">
        <f t="shared" si="34"/>
        <v>14.1</v>
      </c>
      <c r="D1137" s="15">
        <f t="shared" si="35"/>
        <v>57.379999999999995</v>
      </c>
    </row>
    <row r="1138" spans="1:4" ht="15" customHeight="1">
      <c r="A1138" t="s">
        <v>1201</v>
      </c>
      <c r="B1138" s="15">
        <f>INDEX('GLB.Ts+dSST (4)'!$B$3:$M$149,MATCH(VALUE(RIGHT(A1138,4)),'GLB.Ts+dSST (4)'!$A$3:$A$149,0),VALUE(LEFT(A1138,FIND("/",A1138)-1)))</f>
        <v>-0.08</v>
      </c>
      <c r="C1138" s="15">
        <f t="shared" si="34"/>
        <v>13.92</v>
      </c>
      <c r="D1138" s="15">
        <f t="shared" si="35"/>
        <v>57.055999999999997</v>
      </c>
    </row>
    <row r="1139" spans="1:4" ht="15" customHeight="1">
      <c r="A1139" t="s">
        <v>1202</v>
      </c>
      <c r="B1139" s="15">
        <f>INDEX('GLB.Ts+dSST (4)'!$B$3:$M$149,MATCH(VALUE(RIGHT(A1139,4)),'GLB.Ts+dSST (4)'!$A$3:$A$149,0),VALUE(LEFT(A1139,FIND("/",A1139)-1)))</f>
        <v>-0.06</v>
      </c>
      <c r="C1139" s="15">
        <f t="shared" si="34"/>
        <v>13.94</v>
      </c>
      <c r="D1139" s="15">
        <f t="shared" si="35"/>
        <v>57.091999999999999</v>
      </c>
    </row>
    <row r="1140" spans="1:4" ht="15" customHeight="1">
      <c r="A1140" t="s">
        <v>1203</v>
      </c>
      <c r="B1140" s="15">
        <f>INDEX('GLB.Ts+dSST (4)'!$B$3:$M$149,MATCH(VALUE(RIGHT(A1140,4)),'GLB.Ts+dSST (4)'!$A$3:$A$149,0),VALUE(LEFT(A1140,FIND("/",A1140)-1)))</f>
        <v>-0.08</v>
      </c>
      <c r="C1140" s="15">
        <f t="shared" si="34"/>
        <v>13.92</v>
      </c>
      <c r="D1140" s="15">
        <f t="shared" si="35"/>
        <v>57.055999999999997</v>
      </c>
    </row>
    <row r="1141" spans="1:4" ht="15" customHeight="1">
      <c r="A1141" t="s">
        <v>1204</v>
      </c>
      <c r="B1141" s="15">
        <f>INDEX('GLB.Ts+dSST (4)'!$B$3:$M$149,MATCH(VALUE(RIGHT(A1141,4)),'GLB.Ts+dSST (4)'!$A$3:$A$149,0),VALUE(LEFT(A1141,FIND("/",A1141)-1)))</f>
        <v>-0.08</v>
      </c>
      <c r="C1141" s="15">
        <f t="shared" si="34"/>
        <v>13.92</v>
      </c>
      <c r="D1141" s="15">
        <f t="shared" si="35"/>
        <v>57.055999999999997</v>
      </c>
    </row>
    <row r="1142" spans="1:4" ht="15" customHeight="1">
      <c r="A1142" t="s">
        <v>1205</v>
      </c>
      <c r="B1142" s="15">
        <f>INDEX('GLB.Ts+dSST (4)'!$B$3:$M$149,MATCH(VALUE(RIGHT(A1142,4)),'GLB.Ts+dSST (4)'!$A$3:$A$149,0),VALUE(LEFT(A1142,FIND("/",A1142)-1)))</f>
        <v>0.1</v>
      </c>
      <c r="C1142" s="15">
        <f t="shared" si="34"/>
        <v>14.1</v>
      </c>
      <c r="D1142" s="15">
        <f t="shared" si="35"/>
        <v>57.379999999999995</v>
      </c>
    </row>
    <row r="1143" spans="1:4" ht="15" customHeight="1">
      <c r="A1143" t="s">
        <v>1206</v>
      </c>
      <c r="B1143" s="15">
        <f>INDEX('GLB.Ts+dSST (4)'!$B$3:$M$149,MATCH(VALUE(RIGHT(A1143,4)),'GLB.Ts+dSST (4)'!$A$3:$A$149,0),VALUE(LEFT(A1143,FIND("/",A1143)-1)))</f>
        <v>0.08</v>
      </c>
      <c r="C1143" s="15">
        <f t="shared" si="34"/>
        <v>14.08</v>
      </c>
      <c r="D1143" s="15">
        <f t="shared" si="35"/>
        <v>57.344000000000001</v>
      </c>
    </row>
    <row r="1144" spans="1:4" ht="15" customHeight="1">
      <c r="A1144" t="s">
        <v>1207</v>
      </c>
      <c r="B1144" s="15">
        <f>INDEX('GLB.Ts+dSST (4)'!$B$3:$M$149,MATCH(VALUE(RIGHT(A1144,4)),'GLB.Ts+dSST (4)'!$A$3:$A$149,0),VALUE(LEFT(A1144,FIND("/",A1144)-1)))</f>
        <v>0.12</v>
      </c>
      <c r="C1144" s="15">
        <f t="shared" si="34"/>
        <v>14.12</v>
      </c>
      <c r="D1144" s="15">
        <f t="shared" si="35"/>
        <v>57.415999999999997</v>
      </c>
    </row>
    <row r="1145" spans="1:4" ht="15" customHeight="1">
      <c r="A1145" t="s">
        <v>1208</v>
      </c>
      <c r="B1145" s="15">
        <f>INDEX('GLB.Ts+dSST (4)'!$B$3:$M$149,MATCH(VALUE(RIGHT(A1145,4)),'GLB.Ts+dSST (4)'!$A$3:$A$149,0),VALUE(LEFT(A1145,FIND("/",A1145)-1)))</f>
        <v>0.04</v>
      </c>
      <c r="C1145" s="15">
        <f t="shared" si="34"/>
        <v>14.04</v>
      </c>
      <c r="D1145" s="15">
        <f t="shared" si="35"/>
        <v>57.271999999999998</v>
      </c>
    </row>
    <row r="1146" spans="1:4" ht="15" customHeight="1">
      <c r="A1146" t="s">
        <v>1209</v>
      </c>
      <c r="B1146" s="15">
        <f>INDEX('GLB.Ts+dSST (4)'!$B$3:$M$149,MATCH(VALUE(RIGHT(A1146,4)),'GLB.Ts+dSST (4)'!$A$3:$A$149,0),VALUE(LEFT(A1146,FIND("/",A1146)-1)))</f>
        <v>0.16</v>
      </c>
      <c r="C1146" s="15">
        <f t="shared" si="34"/>
        <v>14.16</v>
      </c>
      <c r="D1146" s="15">
        <f t="shared" si="35"/>
        <v>57.488</v>
      </c>
    </row>
    <row r="1147" spans="1:4" ht="15" customHeight="1">
      <c r="A1147" t="s">
        <v>1210</v>
      </c>
      <c r="B1147" s="15">
        <f>INDEX('GLB.Ts+dSST (4)'!$B$3:$M$149,MATCH(VALUE(RIGHT(A1147,4)),'GLB.Ts+dSST (4)'!$A$3:$A$149,0),VALUE(LEFT(A1147,FIND("/",A1147)-1)))</f>
        <v>-0.01</v>
      </c>
      <c r="C1147" s="15">
        <f t="shared" si="34"/>
        <v>13.99</v>
      </c>
      <c r="D1147" s="15">
        <f t="shared" si="35"/>
        <v>57.182000000000002</v>
      </c>
    </row>
    <row r="1148" spans="1:4" ht="15" customHeight="1">
      <c r="A1148" t="s">
        <v>1211</v>
      </c>
      <c r="B1148" s="15">
        <f>INDEX('GLB.Ts+dSST (4)'!$B$3:$M$149,MATCH(VALUE(RIGHT(A1148,4)),'GLB.Ts+dSST (4)'!$A$3:$A$149,0),VALUE(LEFT(A1148,FIND("/",A1148)-1)))</f>
        <v>-0.01</v>
      </c>
      <c r="C1148" s="15">
        <f t="shared" si="34"/>
        <v>13.99</v>
      </c>
      <c r="D1148" s="15">
        <f t="shared" si="35"/>
        <v>57.182000000000002</v>
      </c>
    </row>
    <row r="1149" spans="1:4" ht="15" customHeight="1">
      <c r="A1149" t="s">
        <v>1212</v>
      </c>
      <c r="B1149" s="15">
        <f>INDEX('GLB.Ts+dSST (4)'!$B$3:$M$149,MATCH(VALUE(RIGHT(A1149,4)),'GLB.Ts+dSST (4)'!$A$3:$A$149,0),VALUE(LEFT(A1149,FIND("/",A1149)-1)))</f>
        <v>-0.17</v>
      </c>
      <c r="C1149" s="15">
        <f t="shared" si="34"/>
        <v>13.83</v>
      </c>
      <c r="D1149" s="15">
        <f t="shared" si="35"/>
        <v>56.894000000000005</v>
      </c>
    </row>
    <row r="1150" spans="1:4" ht="15" customHeight="1">
      <c r="A1150" t="s">
        <v>1213</v>
      </c>
      <c r="B1150" s="15">
        <f>INDEX('GLB.Ts+dSST (4)'!$B$3:$M$149,MATCH(VALUE(RIGHT(A1150,4)),'GLB.Ts+dSST (4)'!$A$3:$A$149,0),VALUE(LEFT(A1150,FIND("/",A1150)-1)))</f>
        <v>-0.02</v>
      </c>
      <c r="C1150" s="15">
        <f t="shared" si="34"/>
        <v>13.98</v>
      </c>
      <c r="D1150" s="15">
        <f t="shared" si="35"/>
        <v>57.164000000000001</v>
      </c>
    </row>
    <row r="1151" spans="1:4" ht="15" customHeight="1">
      <c r="A1151" t="s">
        <v>1214</v>
      </c>
      <c r="B1151" s="15">
        <f>INDEX('GLB.Ts+dSST (4)'!$B$3:$M$149,MATCH(VALUE(RIGHT(A1151,4)),'GLB.Ts+dSST (4)'!$A$3:$A$149,0),VALUE(LEFT(A1151,FIND("/",A1151)-1)))</f>
        <v>-0.11</v>
      </c>
      <c r="C1151" s="15">
        <f t="shared" si="34"/>
        <v>13.89</v>
      </c>
      <c r="D1151" s="15">
        <f t="shared" si="35"/>
        <v>57.002000000000002</v>
      </c>
    </row>
    <row r="1152" spans="1:4" ht="15" customHeight="1">
      <c r="A1152" t="s">
        <v>1215</v>
      </c>
      <c r="B1152" s="15">
        <f>INDEX('GLB.Ts+dSST (4)'!$B$3:$M$149,MATCH(VALUE(RIGHT(A1152,4)),'GLB.Ts+dSST (4)'!$A$3:$A$149,0),VALUE(LEFT(A1152,FIND("/",A1152)-1)))</f>
        <v>-0.17</v>
      </c>
      <c r="C1152" s="15">
        <f t="shared" si="34"/>
        <v>13.83</v>
      </c>
      <c r="D1152" s="15">
        <f t="shared" si="35"/>
        <v>56.894000000000005</v>
      </c>
    </row>
    <row r="1153" spans="1:4" ht="15" customHeight="1">
      <c r="A1153" t="s">
        <v>1216</v>
      </c>
      <c r="B1153" s="15">
        <f>INDEX('GLB.Ts+dSST (4)'!$B$3:$M$149,MATCH(VALUE(RIGHT(A1153,4)),'GLB.Ts+dSST (4)'!$A$3:$A$149,0),VALUE(LEFT(A1153,FIND("/",A1153)-1)))</f>
        <v>-0.17</v>
      </c>
      <c r="C1153" s="15">
        <f t="shared" si="34"/>
        <v>13.83</v>
      </c>
      <c r="D1153" s="15">
        <f t="shared" si="35"/>
        <v>56.894000000000005</v>
      </c>
    </row>
    <row r="1154" spans="1:4" ht="15" customHeight="1">
      <c r="A1154" t="s">
        <v>1217</v>
      </c>
      <c r="B1154" s="15">
        <f>INDEX('GLB.Ts+dSST (4)'!$B$3:$M$149,MATCH(VALUE(RIGHT(A1154,4)),'GLB.Ts+dSST (4)'!$A$3:$A$149,0),VALUE(LEFT(A1154,FIND("/",A1154)-1)))</f>
        <v>-0.03</v>
      </c>
      <c r="C1154" s="15">
        <f t="shared" ref="C1154:C1217" si="36">B1154+14</f>
        <v>13.97</v>
      </c>
      <c r="D1154" s="15">
        <f t="shared" ref="D1154:D1217" si="37">C1154*(9/5)+32</f>
        <v>57.146000000000001</v>
      </c>
    </row>
    <row r="1155" spans="1:4" ht="15" customHeight="1">
      <c r="A1155" t="s">
        <v>1218</v>
      </c>
      <c r="B1155" s="15">
        <f>INDEX('GLB.Ts+dSST (4)'!$B$3:$M$149,MATCH(VALUE(RIGHT(A1155,4)),'GLB.Ts+dSST (4)'!$A$3:$A$149,0),VALUE(LEFT(A1155,FIND("/",A1155)-1)))</f>
        <v>-0.06</v>
      </c>
      <c r="C1155" s="15">
        <f t="shared" si="36"/>
        <v>13.94</v>
      </c>
      <c r="D1155" s="15">
        <f t="shared" si="37"/>
        <v>57.091999999999999</v>
      </c>
    </row>
    <row r="1156" spans="1:4" ht="15" customHeight="1">
      <c r="A1156" t="s">
        <v>1219</v>
      </c>
      <c r="B1156" s="15">
        <f>INDEX('GLB.Ts+dSST (4)'!$B$3:$M$149,MATCH(VALUE(RIGHT(A1156,4)),'GLB.Ts+dSST (4)'!$A$3:$A$149,0),VALUE(LEFT(A1156,FIND("/",A1156)-1)))</f>
        <v>-0.22</v>
      </c>
      <c r="C1156" s="15">
        <f t="shared" si="36"/>
        <v>13.78</v>
      </c>
      <c r="D1156" s="15">
        <f t="shared" si="37"/>
        <v>56.804000000000002</v>
      </c>
    </row>
    <row r="1157" spans="1:4" ht="15" customHeight="1">
      <c r="A1157" t="s">
        <v>1220</v>
      </c>
      <c r="B1157" s="15">
        <f>INDEX('GLB.Ts+dSST (4)'!$B$3:$M$149,MATCH(VALUE(RIGHT(A1157,4)),'GLB.Ts+dSST (4)'!$A$3:$A$149,0),VALUE(LEFT(A1157,FIND("/",A1157)-1)))</f>
        <v>-7.0000000000000007E-2</v>
      </c>
      <c r="C1157" s="15">
        <f t="shared" si="36"/>
        <v>13.93</v>
      </c>
      <c r="D1157" s="15">
        <f t="shared" si="37"/>
        <v>57.073999999999998</v>
      </c>
    </row>
    <row r="1158" spans="1:4" ht="15" customHeight="1">
      <c r="A1158" t="s">
        <v>1221</v>
      </c>
      <c r="B1158" s="15">
        <f>INDEX('GLB.Ts+dSST (4)'!$B$3:$M$149,MATCH(VALUE(RIGHT(A1158,4)),'GLB.Ts+dSST (4)'!$A$3:$A$149,0),VALUE(LEFT(A1158,FIND("/",A1158)-1)))</f>
        <v>-0.2</v>
      </c>
      <c r="C1158" s="15">
        <f t="shared" si="36"/>
        <v>13.8</v>
      </c>
      <c r="D1158" s="15">
        <f t="shared" si="37"/>
        <v>56.84</v>
      </c>
    </row>
    <row r="1159" spans="1:4" ht="15" customHeight="1">
      <c r="A1159" t="s">
        <v>1222</v>
      </c>
      <c r="B1159" s="15">
        <f>INDEX('GLB.Ts+dSST (4)'!$B$3:$M$149,MATCH(VALUE(RIGHT(A1159,4)),'GLB.Ts+dSST (4)'!$A$3:$A$149,0),VALUE(LEFT(A1159,FIND("/",A1159)-1)))</f>
        <v>-0.12</v>
      </c>
      <c r="C1159" s="15">
        <f t="shared" si="36"/>
        <v>13.88</v>
      </c>
      <c r="D1159" s="15">
        <f t="shared" si="37"/>
        <v>56.984000000000002</v>
      </c>
    </row>
    <row r="1160" spans="1:4" ht="15" customHeight="1">
      <c r="A1160" t="s">
        <v>1223</v>
      </c>
      <c r="B1160" s="15">
        <f>INDEX('GLB.Ts+dSST (4)'!$B$3:$M$149,MATCH(VALUE(RIGHT(A1160,4)),'GLB.Ts+dSST (4)'!$A$3:$A$149,0),VALUE(LEFT(A1160,FIND("/",A1160)-1)))</f>
        <v>-0.1</v>
      </c>
      <c r="C1160" s="15">
        <f t="shared" si="36"/>
        <v>13.9</v>
      </c>
      <c r="D1160" s="15">
        <f t="shared" si="37"/>
        <v>57.019999999999996</v>
      </c>
    </row>
    <row r="1161" spans="1:4" ht="15" customHeight="1">
      <c r="A1161" t="s">
        <v>1224</v>
      </c>
      <c r="B1161" s="15">
        <f>INDEX('GLB.Ts+dSST (4)'!$B$3:$M$149,MATCH(VALUE(RIGHT(A1161,4)),'GLB.Ts+dSST (4)'!$A$3:$A$149,0),VALUE(LEFT(A1161,FIND("/",A1161)-1)))</f>
        <v>-0.12</v>
      </c>
      <c r="C1161" s="15">
        <f t="shared" si="36"/>
        <v>13.88</v>
      </c>
      <c r="D1161" s="15">
        <f t="shared" si="37"/>
        <v>56.984000000000002</v>
      </c>
    </row>
    <row r="1162" spans="1:4" ht="15" customHeight="1">
      <c r="A1162" t="s">
        <v>1225</v>
      </c>
      <c r="B1162" s="15">
        <f>INDEX('GLB.Ts+dSST (4)'!$B$3:$M$149,MATCH(VALUE(RIGHT(A1162,4)),'GLB.Ts+dSST (4)'!$A$3:$A$149,0),VALUE(LEFT(A1162,FIND("/",A1162)-1)))</f>
        <v>-0.06</v>
      </c>
      <c r="C1162" s="15">
        <f t="shared" si="36"/>
        <v>13.94</v>
      </c>
      <c r="D1162" s="15">
        <f t="shared" si="37"/>
        <v>57.091999999999999</v>
      </c>
    </row>
    <row r="1163" spans="1:4" ht="15" customHeight="1">
      <c r="A1163" t="s">
        <v>1226</v>
      </c>
      <c r="B1163" s="15">
        <f>INDEX('GLB.Ts+dSST (4)'!$B$3:$M$149,MATCH(VALUE(RIGHT(A1163,4)),'GLB.Ts+dSST (4)'!$A$3:$A$149,0),VALUE(LEFT(A1163,FIND("/",A1163)-1)))</f>
        <v>-0.24</v>
      </c>
      <c r="C1163" s="15">
        <f t="shared" si="36"/>
        <v>13.76</v>
      </c>
      <c r="D1163" s="15">
        <f t="shared" si="37"/>
        <v>56.768000000000001</v>
      </c>
    </row>
    <row r="1164" spans="1:4" ht="15" customHeight="1">
      <c r="A1164" t="s">
        <v>1227</v>
      </c>
      <c r="B1164" s="15">
        <f>INDEX('GLB.Ts+dSST (4)'!$B$3:$M$149,MATCH(VALUE(RIGHT(A1164,4)),'GLB.Ts+dSST (4)'!$A$3:$A$149,0),VALUE(LEFT(A1164,FIND("/",A1164)-1)))</f>
        <v>-0.06</v>
      </c>
      <c r="C1164" s="15">
        <f t="shared" si="36"/>
        <v>13.94</v>
      </c>
      <c r="D1164" s="15">
        <f t="shared" si="37"/>
        <v>57.091999999999999</v>
      </c>
    </row>
    <row r="1165" spans="1:4" ht="15" customHeight="1">
      <c r="A1165" t="s">
        <v>1228</v>
      </c>
      <c r="B1165" s="15">
        <f>INDEX('GLB.Ts+dSST (4)'!$B$3:$M$149,MATCH(VALUE(RIGHT(A1165,4)),'GLB.Ts+dSST (4)'!$A$3:$A$149,0),VALUE(LEFT(A1165,FIND("/",A1165)-1)))</f>
        <v>0.11</v>
      </c>
      <c r="C1165" s="15">
        <f t="shared" si="36"/>
        <v>14.11</v>
      </c>
      <c r="D1165" s="15">
        <f t="shared" si="37"/>
        <v>57.397999999999996</v>
      </c>
    </row>
    <row r="1166" spans="1:4" ht="15" customHeight="1">
      <c r="A1166" t="s">
        <v>1229</v>
      </c>
      <c r="B1166" s="15">
        <f>INDEX('GLB.Ts+dSST (4)'!$B$3:$M$149,MATCH(VALUE(RIGHT(A1166,4)),'GLB.Ts+dSST (4)'!$A$3:$A$149,0),VALUE(LEFT(A1166,FIND("/",A1166)-1)))</f>
        <v>0.19</v>
      </c>
      <c r="C1166" s="15">
        <f t="shared" si="36"/>
        <v>14.19</v>
      </c>
      <c r="D1166" s="15">
        <f t="shared" si="37"/>
        <v>57.542000000000002</v>
      </c>
    </row>
    <row r="1167" spans="1:4" ht="15" customHeight="1">
      <c r="A1167" t="s">
        <v>1230</v>
      </c>
      <c r="B1167" s="15">
        <f>INDEX('GLB.Ts+dSST (4)'!$B$3:$M$149,MATCH(VALUE(RIGHT(A1167,4)),'GLB.Ts+dSST (4)'!$A$3:$A$149,0),VALUE(LEFT(A1167,FIND("/",A1167)-1)))</f>
        <v>0.23</v>
      </c>
      <c r="C1167" s="15">
        <f t="shared" si="36"/>
        <v>14.23</v>
      </c>
      <c r="D1167" s="15">
        <f t="shared" si="37"/>
        <v>57.614000000000004</v>
      </c>
    </row>
    <row r="1168" spans="1:4" ht="15" customHeight="1">
      <c r="A1168" t="s">
        <v>1231</v>
      </c>
      <c r="B1168" s="15">
        <f>INDEX('GLB.Ts+dSST (4)'!$B$3:$M$149,MATCH(VALUE(RIGHT(A1168,4)),'GLB.Ts+dSST (4)'!$A$3:$A$149,0),VALUE(LEFT(A1168,FIND("/",A1168)-1)))</f>
        <v>0.24</v>
      </c>
      <c r="C1168" s="15">
        <f t="shared" si="36"/>
        <v>14.24</v>
      </c>
      <c r="D1168" s="15">
        <f t="shared" si="37"/>
        <v>57.632000000000005</v>
      </c>
    </row>
    <row r="1169" spans="1:4" ht="15" customHeight="1">
      <c r="A1169" t="s">
        <v>1232</v>
      </c>
      <c r="B1169" s="15">
        <f>INDEX('GLB.Ts+dSST (4)'!$B$3:$M$149,MATCH(VALUE(RIGHT(A1169,4)),'GLB.Ts+dSST (4)'!$A$3:$A$149,0),VALUE(LEFT(A1169,FIND("/",A1169)-1)))</f>
        <v>0.26</v>
      </c>
      <c r="C1169" s="15">
        <f t="shared" si="36"/>
        <v>14.26</v>
      </c>
      <c r="D1169" s="15">
        <f t="shared" si="37"/>
        <v>57.667999999999999</v>
      </c>
    </row>
    <row r="1170" spans="1:4" ht="15" customHeight="1">
      <c r="A1170" t="s">
        <v>1233</v>
      </c>
      <c r="B1170" s="15">
        <f>INDEX('GLB.Ts+dSST (4)'!$B$3:$M$149,MATCH(VALUE(RIGHT(A1170,4)),'GLB.Ts+dSST (4)'!$A$3:$A$149,0),VALUE(LEFT(A1170,FIND("/",A1170)-1)))</f>
        <v>0.33</v>
      </c>
      <c r="C1170" s="15">
        <f t="shared" si="36"/>
        <v>14.33</v>
      </c>
      <c r="D1170" s="15">
        <f t="shared" si="37"/>
        <v>57.793999999999997</v>
      </c>
    </row>
    <row r="1171" spans="1:4" ht="15" customHeight="1">
      <c r="A1171" t="s">
        <v>1234</v>
      </c>
      <c r="B1171" s="15">
        <f>INDEX('GLB.Ts+dSST (4)'!$B$3:$M$149,MATCH(VALUE(RIGHT(A1171,4)),'GLB.Ts+dSST (4)'!$A$3:$A$149,0),VALUE(LEFT(A1171,FIND("/",A1171)-1)))</f>
        <v>0.27</v>
      </c>
      <c r="C1171" s="15">
        <f t="shared" si="36"/>
        <v>14.27</v>
      </c>
      <c r="D1171" s="15">
        <f t="shared" si="37"/>
        <v>57.686</v>
      </c>
    </row>
    <row r="1172" spans="1:4" ht="15" customHeight="1">
      <c r="A1172" t="s">
        <v>1235</v>
      </c>
      <c r="B1172" s="15">
        <f>INDEX('GLB.Ts+dSST (4)'!$B$3:$M$149,MATCH(VALUE(RIGHT(A1172,4)),'GLB.Ts+dSST (4)'!$A$3:$A$149,0),VALUE(LEFT(A1172,FIND("/",A1172)-1)))</f>
        <v>0.2</v>
      </c>
      <c r="C1172" s="15">
        <f t="shared" si="36"/>
        <v>14.2</v>
      </c>
      <c r="D1172" s="15">
        <f t="shared" si="37"/>
        <v>57.56</v>
      </c>
    </row>
    <row r="1173" spans="1:4" ht="15" customHeight="1">
      <c r="A1173" t="s">
        <v>1236</v>
      </c>
      <c r="B1173" s="15">
        <f>INDEX('GLB.Ts+dSST (4)'!$B$3:$M$149,MATCH(VALUE(RIGHT(A1173,4)),'GLB.Ts+dSST (4)'!$A$3:$A$149,0),VALUE(LEFT(A1173,FIND("/",A1173)-1)))</f>
        <v>0.18</v>
      </c>
      <c r="C1173" s="15">
        <f t="shared" si="36"/>
        <v>14.18</v>
      </c>
      <c r="D1173" s="15">
        <f t="shared" si="37"/>
        <v>57.524000000000001</v>
      </c>
    </row>
    <row r="1174" spans="1:4" ht="15" customHeight="1">
      <c r="A1174" t="s">
        <v>1237</v>
      </c>
      <c r="B1174" s="15">
        <f>INDEX('GLB.Ts+dSST (4)'!$B$3:$M$149,MATCH(VALUE(RIGHT(A1174,4)),'GLB.Ts+dSST (4)'!$A$3:$A$149,0),VALUE(LEFT(A1174,FIND("/",A1174)-1)))</f>
        <v>0.02</v>
      </c>
      <c r="C1174" s="15">
        <f t="shared" si="36"/>
        <v>14.02</v>
      </c>
      <c r="D1174" s="15">
        <f t="shared" si="37"/>
        <v>57.236000000000004</v>
      </c>
    </row>
    <row r="1175" spans="1:4" ht="15" customHeight="1">
      <c r="A1175" t="s">
        <v>1238</v>
      </c>
      <c r="B1175" s="15">
        <f>INDEX('GLB.Ts+dSST (4)'!$B$3:$M$149,MATCH(VALUE(RIGHT(A1175,4)),'GLB.Ts+dSST (4)'!$A$3:$A$149,0),VALUE(LEFT(A1175,FIND("/",A1175)-1)))</f>
        <v>0.03</v>
      </c>
      <c r="C1175" s="15">
        <f t="shared" si="36"/>
        <v>14.03</v>
      </c>
      <c r="D1175" s="15">
        <f t="shared" si="37"/>
        <v>57.253999999999998</v>
      </c>
    </row>
    <row r="1176" spans="1:4" ht="15" customHeight="1">
      <c r="A1176" t="s">
        <v>1239</v>
      </c>
      <c r="B1176" s="15">
        <f>INDEX('GLB.Ts+dSST (4)'!$B$3:$M$149,MATCH(VALUE(RIGHT(A1176,4)),'GLB.Ts+dSST (4)'!$A$3:$A$149,0),VALUE(LEFT(A1176,FIND("/",A1176)-1)))</f>
        <v>0.16</v>
      </c>
      <c r="C1176" s="15">
        <f t="shared" si="36"/>
        <v>14.16</v>
      </c>
      <c r="D1176" s="15">
        <f t="shared" si="37"/>
        <v>57.488</v>
      </c>
    </row>
    <row r="1177" spans="1:4" ht="15" customHeight="1">
      <c r="A1177" t="s">
        <v>1240</v>
      </c>
      <c r="B1177" s="15">
        <f>INDEX('GLB.Ts+dSST (4)'!$B$3:$M$149,MATCH(VALUE(RIGHT(A1177,4)),'GLB.Ts+dSST (4)'!$A$3:$A$149,0),VALUE(LEFT(A1177,FIND("/",A1177)-1)))</f>
        <v>0.03</v>
      </c>
      <c r="C1177" s="15">
        <f t="shared" si="36"/>
        <v>14.03</v>
      </c>
      <c r="D1177" s="15">
        <f t="shared" si="37"/>
        <v>57.253999999999998</v>
      </c>
    </row>
    <row r="1178" spans="1:4" ht="15" customHeight="1">
      <c r="A1178" t="s">
        <v>1241</v>
      </c>
      <c r="B1178" s="15">
        <f>INDEX('GLB.Ts+dSST (4)'!$B$3:$M$149,MATCH(VALUE(RIGHT(A1178,4)),'GLB.Ts+dSST (4)'!$A$3:$A$149,0),VALUE(LEFT(A1178,FIND("/",A1178)-1)))</f>
        <v>0.06</v>
      </c>
      <c r="C1178" s="15">
        <f t="shared" si="36"/>
        <v>14.06</v>
      </c>
      <c r="D1178" s="15">
        <f t="shared" si="37"/>
        <v>57.308</v>
      </c>
    </row>
    <row r="1179" spans="1:4" ht="15" customHeight="1">
      <c r="A1179" t="s">
        <v>1242</v>
      </c>
      <c r="B1179" s="15">
        <f>INDEX('GLB.Ts+dSST (4)'!$B$3:$M$149,MATCH(VALUE(RIGHT(A1179,4)),'GLB.Ts+dSST (4)'!$A$3:$A$149,0),VALUE(LEFT(A1179,FIND("/",A1179)-1)))</f>
        <v>0.1</v>
      </c>
      <c r="C1179" s="15">
        <f t="shared" si="36"/>
        <v>14.1</v>
      </c>
      <c r="D1179" s="15">
        <f t="shared" si="37"/>
        <v>57.379999999999995</v>
      </c>
    </row>
    <row r="1180" spans="1:4" ht="15" customHeight="1">
      <c r="A1180" t="s">
        <v>1243</v>
      </c>
      <c r="B1180" s="15">
        <f>INDEX('GLB.Ts+dSST (4)'!$B$3:$M$149,MATCH(VALUE(RIGHT(A1180,4)),'GLB.Ts+dSST (4)'!$A$3:$A$149,0),VALUE(LEFT(A1180,FIND("/",A1180)-1)))</f>
        <v>0.19</v>
      </c>
      <c r="C1180" s="15">
        <f t="shared" si="36"/>
        <v>14.19</v>
      </c>
      <c r="D1180" s="15">
        <f t="shared" si="37"/>
        <v>57.542000000000002</v>
      </c>
    </row>
    <row r="1181" spans="1:4" ht="15" customHeight="1">
      <c r="A1181" t="s">
        <v>1244</v>
      </c>
      <c r="B1181" s="15">
        <f>INDEX('GLB.Ts+dSST (4)'!$B$3:$M$149,MATCH(VALUE(RIGHT(A1181,4)),'GLB.Ts+dSST (4)'!$A$3:$A$149,0),VALUE(LEFT(A1181,FIND("/",A1181)-1)))</f>
        <v>0.17</v>
      </c>
      <c r="C1181" s="15">
        <f t="shared" si="36"/>
        <v>14.17</v>
      </c>
      <c r="D1181" s="15">
        <f t="shared" si="37"/>
        <v>57.506</v>
      </c>
    </row>
    <row r="1182" spans="1:4" ht="15" customHeight="1">
      <c r="A1182" t="s">
        <v>1245</v>
      </c>
      <c r="B1182" s="15">
        <f>INDEX('GLB.Ts+dSST (4)'!$B$3:$M$149,MATCH(VALUE(RIGHT(A1182,4)),'GLB.Ts+dSST (4)'!$A$3:$A$149,0),VALUE(LEFT(A1182,FIND("/",A1182)-1)))</f>
        <v>0.09</v>
      </c>
      <c r="C1182" s="15">
        <f t="shared" si="36"/>
        <v>14.09</v>
      </c>
      <c r="D1182" s="15">
        <f t="shared" si="37"/>
        <v>57.362000000000002</v>
      </c>
    </row>
    <row r="1183" spans="1:4" ht="15" customHeight="1">
      <c r="A1183" t="s">
        <v>1246</v>
      </c>
      <c r="B1183" s="15">
        <f>INDEX('GLB.Ts+dSST (4)'!$B$3:$M$149,MATCH(VALUE(RIGHT(A1183,4)),'GLB.Ts+dSST (4)'!$A$3:$A$149,0),VALUE(LEFT(A1183,FIND("/",A1183)-1)))</f>
        <v>-0.01</v>
      </c>
      <c r="C1183" s="15">
        <f t="shared" si="36"/>
        <v>13.99</v>
      </c>
      <c r="D1183" s="15">
        <f t="shared" si="37"/>
        <v>57.182000000000002</v>
      </c>
    </row>
    <row r="1184" spans="1:4" ht="15" customHeight="1">
      <c r="A1184" t="s">
        <v>1247</v>
      </c>
      <c r="B1184" s="15">
        <f>INDEX('GLB.Ts+dSST (4)'!$B$3:$M$149,MATCH(VALUE(RIGHT(A1184,4)),'GLB.Ts+dSST (4)'!$A$3:$A$149,0),VALUE(LEFT(A1184,FIND("/",A1184)-1)))</f>
        <v>0.04</v>
      </c>
      <c r="C1184" s="15">
        <f t="shared" si="36"/>
        <v>14.04</v>
      </c>
      <c r="D1184" s="15">
        <f t="shared" si="37"/>
        <v>57.271999999999998</v>
      </c>
    </row>
    <row r="1185" spans="1:4" ht="15" customHeight="1">
      <c r="A1185" t="s">
        <v>1248</v>
      </c>
      <c r="B1185" s="15">
        <f>INDEX('GLB.Ts+dSST (4)'!$B$3:$M$149,MATCH(VALUE(RIGHT(A1185,4)),'GLB.Ts+dSST (4)'!$A$3:$A$149,0),VALUE(LEFT(A1185,FIND("/",A1185)-1)))</f>
        <v>-0.14000000000000001</v>
      </c>
      <c r="C1185" s="15">
        <f t="shared" si="36"/>
        <v>13.86</v>
      </c>
      <c r="D1185" s="15">
        <f t="shared" si="37"/>
        <v>56.948</v>
      </c>
    </row>
    <row r="1186" spans="1:4" ht="15" customHeight="1">
      <c r="A1186" t="s">
        <v>1249</v>
      </c>
      <c r="B1186" s="15">
        <f>INDEX('GLB.Ts+dSST (4)'!$B$3:$M$149,MATCH(VALUE(RIGHT(A1186,4)),'GLB.Ts+dSST (4)'!$A$3:$A$149,0),VALUE(LEFT(A1186,FIND("/",A1186)-1)))</f>
        <v>0.06</v>
      </c>
      <c r="C1186" s="15">
        <f t="shared" si="36"/>
        <v>14.06</v>
      </c>
      <c r="D1186" s="15">
        <f t="shared" si="37"/>
        <v>57.308</v>
      </c>
    </row>
    <row r="1187" spans="1:4" ht="15" customHeight="1">
      <c r="A1187" t="s">
        <v>1250</v>
      </c>
      <c r="B1187" s="15">
        <f>INDEX('GLB.Ts+dSST (4)'!$B$3:$M$149,MATCH(VALUE(RIGHT(A1187,4)),'GLB.Ts+dSST (4)'!$A$3:$A$149,0),VALUE(LEFT(A1187,FIND("/",A1187)-1)))</f>
        <v>0.03</v>
      </c>
      <c r="C1187" s="15">
        <f t="shared" si="36"/>
        <v>14.03</v>
      </c>
      <c r="D1187" s="15">
        <f t="shared" si="37"/>
        <v>57.253999999999998</v>
      </c>
    </row>
    <row r="1188" spans="1:4" ht="15" customHeight="1">
      <c r="A1188" t="s">
        <v>1251</v>
      </c>
      <c r="B1188" s="15">
        <f>INDEX('GLB.Ts+dSST (4)'!$B$3:$M$149,MATCH(VALUE(RIGHT(A1188,4)),'GLB.Ts+dSST (4)'!$A$3:$A$149,0),VALUE(LEFT(A1188,FIND("/",A1188)-1)))</f>
        <v>0.13</v>
      </c>
      <c r="C1188" s="15">
        <f t="shared" si="36"/>
        <v>14.13</v>
      </c>
      <c r="D1188" s="15">
        <f t="shared" si="37"/>
        <v>57.433999999999997</v>
      </c>
    </row>
    <row r="1189" spans="1:4" ht="15" customHeight="1">
      <c r="A1189" t="s">
        <v>1252</v>
      </c>
      <c r="B1189" s="15">
        <f>INDEX('GLB.Ts+dSST (4)'!$B$3:$M$149,MATCH(VALUE(RIGHT(A1189,4)),'GLB.Ts+dSST (4)'!$A$3:$A$149,0),VALUE(LEFT(A1189,FIND("/",A1189)-1)))</f>
        <v>0.08</v>
      </c>
      <c r="C1189" s="15">
        <f t="shared" si="36"/>
        <v>14.08</v>
      </c>
      <c r="D1189" s="15">
        <f t="shared" si="37"/>
        <v>57.344000000000001</v>
      </c>
    </row>
    <row r="1190" spans="1:4" ht="15" customHeight="1">
      <c r="A1190" t="s">
        <v>1253</v>
      </c>
      <c r="B1190" s="15">
        <f>INDEX('GLB.Ts+dSST (4)'!$B$3:$M$149,MATCH(VALUE(RIGHT(A1190,4)),'GLB.Ts+dSST (4)'!$A$3:$A$149,0),VALUE(LEFT(A1190,FIND("/",A1190)-1)))</f>
        <v>0.09</v>
      </c>
      <c r="C1190" s="15">
        <f t="shared" si="36"/>
        <v>14.09</v>
      </c>
      <c r="D1190" s="15">
        <f t="shared" si="37"/>
        <v>57.362000000000002</v>
      </c>
    </row>
    <row r="1191" spans="1:4" ht="15" customHeight="1">
      <c r="A1191" t="s">
        <v>1254</v>
      </c>
      <c r="B1191" s="15">
        <f>INDEX('GLB.Ts+dSST (4)'!$B$3:$M$149,MATCH(VALUE(RIGHT(A1191,4)),'GLB.Ts+dSST (4)'!$A$3:$A$149,0),VALUE(LEFT(A1191,FIND("/",A1191)-1)))</f>
        <v>-0.1</v>
      </c>
      <c r="C1191" s="15">
        <f t="shared" si="36"/>
        <v>13.9</v>
      </c>
      <c r="D1191" s="15">
        <f t="shared" si="37"/>
        <v>57.019999999999996</v>
      </c>
    </row>
    <row r="1192" spans="1:4" ht="15" customHeight="1">
      <c r="A1192" t="s">
        <v>1255</v>
      </c>
      <c r="B1192" s="15">
        <f>INDEX('GLB.Ts+dSST (4)'!$B$3:$M$149,MATCH(VALUE(RIGHT(A1192,4)),'GLB.Ts+dSST (4)'!$A$3:$A$149,0),VALUE(LEFT(A1192,FIND("/",A1192)-1)))</f>
        <v>0.19</v>
      </c>
      <c r="C1192" s="15">
        <f t="shared" si="36"/>
        <v>14.19</v>
      </c>
      <c r="D1192" s="15">
        <f t="shared" si="37"/>
        <v>57.542000000000002</v>
      </c>
    </row>
    <row r="1193" spans="1:4" ht="15" customHeight="1">
      <c r="A1193" t="s">
        <v>1256</v>
      </c>
      <c r="B1193" s="15">
        <f>INDEX('GLB.Ts+dSST (4)'!$B$3:$M$149,MATCH(VALUE(RIGHT(A1193,4)),'GLB.Ts+dSST (4)'!$A$3:$A$149,0),VALUE(LEFT(A1193,FIND("/",A1193)-1)))</f>
        <v>0.15</v>
      </c>
      <c r="C1193" s="15">
        <f t="shared" si="36"/>
        <v>14.15</v>
      </c>
      <c r="D1193" s="15">
        <f t="shared" si="37"/>
        <v>57.47</v>
      </c>
    </row>
    <row r="1194" spans="1:4" ht="15" customHeight="1">
      <c r="A1194" t="s">
        <v>1257</v>
      </c>
      <c r="B1194" s="15">
        <f>INDEX('GLB.Ts+dSST (4)'!$B$3:$M$149,MATCH(VALUE(RIGHT(A1194,4)),'GLB.Ts+dSST (4)'!$A$3:$A$149,0),VALUE(LEFT(A1194,FIND("/",A1194)-1)))</f>
        <v>0.03</v>
      </c>
      <c r="C1194" s="15">
        <f t="shared" si="36"/>
        <v>14.03</v>
      </c>
      <c r="D1194" s="15">
        <f t="shared" si="37"/>
        <v>57.253999999999998</v>
      </c>
    </row>
    <row r="1195" spans="1:4" ht="15" customHeight="1">
      <c r="A1195" t="s">
        <v>1258</v>
      </c>
      <c r="B1195" s="15">
        <f>INDEX('GLB.Ts+dSST (4)'!$B$3:$M$149,MATCH(VALUE(RIGHT(A1195,4)),'GLB.Ts+dSST (4)'!$A$3:$A$149,0),VALUE(LEFT(A1195,FIND("/",A1195)-1)))</f>
        <v>0.14000000000000001</v>
      </c>
      <c r="C1195" s="15">
        <f t="shared" si="36"/>
        <v>14.14</v>
      </c>
      <c r="D1195" s="15">
        <f t="shared" si="37"/>
        <v>57.451999999999998</v>
      </c>
    </row>
    <row r="1196" spans="1:4" ht="15" customHeight="1">
      <c r="A1196" t="s">
        <v>1259</v>
      </c>
      <c r="B1196" s="15">
        <f>INDEX('GLB.Ts+dSST (4)'!$B$3:$M$149,MATCH(VALUE(RIGHT(A1196,4)),'GLB.Ts+dSST (4)'!$A$3:$A$149,0),VALUE(LEFT(A1196,FIND("/",A1196)-1)))</f>
        <v>0.04</v>
      </c>
      <c r="C1196" s="15">
        <f t="shared" si="36"/>
        <v>14.04</v>
      </c>
      <c r="D1196" s="15">
        <f t="shared" si="37"/>
        <v>57.271999999999998</v>
      </c>
    </row>
    <row r="1197" spans="1:4" ht="15" customHeight="1">
      <c r="A1197" t="s">
        <v>1260</v>
      </c>
      <c r="B1197" s="15">
        <f>INDEX('GLB.Ts+dSST (4)'!$B$3:$M$149,MATCH(VALUE(RIGHT(A1197,4)),'GLB.Ts+dSST (4)'!$A$3:$A$149,0),VALUE(LEFT(A1197,FIND("/",A1197)-1)))</f>
        <v>0.17</v>
      </c>
      <c r="C1197" s="15">
        <f t="shared" si="36"/>
        <v>14.17</v>
      </c>
      <c r="D1197" s="15">
        <f t="shared" si="37"/>
        <v>57.506</v>
      </c>
    </row>
    <row r="1198" spans="1:4" ht="15" customHeight="1">
      <c r="A1198" t="s">
        <v>1261</v>
      </c>
      <c r="B1198" s="15">
        <f>INDEX('GLB.Ts+dSST (4)'!$B$3:$M$149,MATCH(VALUE(RIGHT(A1198,4)),'GLB.Ts+dSST (4)'!$A$3:$A$149,0),VALUE(LEFT(A1198,FIND("/",A1198)-1)))</f>
        <v>0.25</v>
      </c>
      <c r="C1198" s="15">
        <f t="shared" si="36"/>
        <v>14.25</v>
      </c>
      <c r="D1198" s="15">
        <f t="shared" si="37"/>
        <v>57.650000000000006</v>
      </c>
    </row>
    <row r="1199" spans="1:4" ht="15" customHeight="1">
      <c r="A1199" t="s">
        <v>1262</v>
      </c>
      <c r="B1199" s="15">
        <f>INDEX('GLB.Ts+dSST (4)'!$B$3:$M$149,MATCH(VALUE(RIGHT(A1199,4)),'GLB.Ts+dSST (4)'!$A$3:$A$149,0),VALUE(LEFT(A1199,FIND("/",A1199)-1)))</f>
        <v>0.26</v>
      </c>
      <c r="C1199" s="15">
        <f t="shared" si="36"/>
        <v>14.26</v>
      </c>
      <c r="D1199" s="15">
        <f t="shared" si="37"/>
        <v>57.667999999999999</v>
      </c>
    </row>
    <row r="1200" spans="1:4" ht="15" customHeight="1">
      <c r="A1200" t="s">
        <v>1263</v>
      </c>
      <c r="B1200" s="15">
        <f>INDEX('GLB.Ts+dSST (4)'!$B$3:$M$149,MATCH(VALUE(RIGHT(A1200,4)),'GLB.Ts+dSST (4)'!$A$3:$A$149,0),VALUE(LEFT(A1200,FIND("/",A1200)-1)))</f>
        <v>0.28000000000000003</v>
      </c>
      <c r="C1200" s="15">
        <f t="shared" si="36"/>
        <v>14.28</v>
      </c>
      <c r="D1200" s="15">
        <f t="shared" si="37"/>
        <v>57.704000000000001</v>
      </c>
    </row>
    <row r="1201" spans="1:4" ht="15" customHeight="1">
      <c r="A1201" t="s">
        <v>1264</v>
      </c>
      <c r="B1201" s="15">
        <f>INDEX('GLB.Ts+dSST (4)'!$B$3:$M$149,MATCH(VALUE(RIGHT(A1201,4)),'GLB.Ts+dSST (4)'!$A$3:$A$149,0),VALUE(LEFT(A1201,FIND("/",A1201)-1)))</f>
        <v>0.47</v>
      </c>
      <c r="C1201" s="15">
        <f t="shared" si="36"/>
        <v>14.47</v>
      </c>
      <c r="D1201" s="15">
        <f t="shared" si="37"/>
        <v>58.046000000000006</v>
      </c>
    </row>
    <row r="1202" spans="1:4" ht="15" customHeight="1">
      <c r="A1202" t="s">
        <v>1265</v>
      </c>
      <c r="B1202" s="15">
        <f>INDEX('GLB.Ts+dSST (4)'!$B$3:$M$149,MATCH(VALUE(RIGHT(A1202,4)),'GLB.Ts+dSST (4)'!$A$3:$A$149,0),VALUE(LEFT(A1202,FIND("/",A1202)-1)))</f>
        <v>0.3</v>
      </c>
      <c r="C1202" s="15">
        <f t="shared" si="36"/>
        <v>14.3</v>
      </c>
      <c r="D1202" s="15">
        <f t="shared" si="37"/>
        <v>57.74</v>
      </c>
    </row>
    <row r="1203" spans="1:4" ht="15" customHeight="1">
      <c r="A1203" t="s">
        <v>1266</v>
      </c>
      <c r="B1203" s="15">
        <f>INDEX('GLB.Ts+dSST (4)'!$B$3:$M$149,MATCH(VALUE(RIGHT(A1203,4)),'GLB.Ts+dSST (4)'!$A$3:$A$149,0),VALUE(LEFT(A1203,FIND("/",A1203)-1)))</f>
        <v>0.39</v>
      </c>
      <c r="C1203" s="15">
        <f t="shared" si="36"/>
        <v>14.39</v>
      </c>
      <c r="D1203" s="15">
        <f t="shared" si="37"/>
        <v>57.902000000000001</v>
      </c>
    </row>
    <row r="1204" spans="1:4" ht="15" customHeight="1">
      <c r="A1204" t="s">
        <v>1267</v>
      </c>
      <c r="B1204" s="15">
        <f>INDEX('GLB.Ts+dSST (4)'!$B$3:$M$149,MATCH(VALUE(RIGHT(A1204,4)),'GLB.Ts+dSST (4)'!$A$3:$A$149,0),VALUE(LEFT(A1204,FIND("/",A1204)-1)))</f>
        <v>0.28999999999999998</v>
      </c>
      <c r="C1204" s="15">
        <f t="shared" si="36"/>
        <v>14.29</v>
      </c>
      <c r="D1204" s="15">
        <f t="shared" si="37"/>
        <v>57.721999999999994</v>
      </c>
    </row>
    <row r="1205" spans="1:4" ht="15" customHeight="1">
      <c r="A1205" t="s">
        <v>1268</v>
      </c>
      <c r="B1205" s="15">
        <f>INDEX('GLB.Ts+dSST (4)'!$B$3:$M$149,MATCH(VALUE(RIGHT(A1205,4)),'GLB.Ts+dSST (4)'!$A$3:$A$149,0),VALUE(LEFT(A1205,FIND("/",A1205)-1)))</f>
        <v>0.3</v>
      </c>
      <c r="C1205" s="15">
        <f t="shared" si="36"/>
        <v>14.3</v>
      </c>
      <c r="D1205" s="15">
        <f t="shared" si="37"/>
        <v>57.74</v>
      </c>
    </row>
    <row r="1206" spans="1:4" ht="15" customHeight="1">
      <c r="A1206" t="s">
        <v>1269</v>
      </c>
      <c r="B1206" s="15">
        <f>INDEX('GLB.Ts+dSST (4)'!$B$3:$M$149,MATCH(VALUE(RIGHT(A1206,4)),'GLB.Ts+dSST (4)'!$A$3:$A$149,0),VALUE(LEFT(A1206,FIND("/",A1206)-1)))</f>
        <v>0.35</v>
      </c>
      <c r="C1206" s="15">
        <f t="shared" si="36"/>
        <v>14.35</v>
      </c>
      <c r="D1206" s="15">
        <f t="shared" si="37"/>
        <v>57.83</v>
      </c>
    </row>
    <row r="1207" spans="1:4" ht="15" customHeight="1">
      <c r="A1207" t="s">
        <v>1270</v>
      </c>
      <c r="B1207" s="15">
        <f>INDEX('GLB.Ts+dSST (4)'!$B$3:$M$149,MATCH(VALUE(RIGHT(A1207,4)),'GLB.Ts+dSST (4)'!$A$3:$A$149,0),VALUE(LEFT(A1207,FIND("/",A1207)-1)))</f>
        <v>0.2</v>
      </c>
      <c r="C1207" s="15">
        <f t="shared" si="36"/>
        <v>14.2</v>
      </c>
      <c r="D1207" s="15">
        <f t="shared" si="37"/>
        <v>57.56</v>
      </c>
    </row>
    <row r="1208" spans="1:4" ht="15" customHeight="1">
      <c r="A1208" t="s">
        <v>1271</v>
      </c>
      <c r="B1208" s="15">
        <f>INDEX('GLB.Ts+dSST (4)'!$B$3:$M$149,MATCH(VALUE(RIGHT(A1208,4)),'GLB.Ts+dSST (4)'!$A$3:$A$149,0),VALUE(LEFT(A1208,FIND("/",A1208)-1)))</f>
        <v>0.22</v>
      </c>
      <c r="C1208" s="15">
        <f t="shared" si="36"/>
        <v>14.22</v>
      </c>
      <c r="D1208" s="15">
        <f t="shared" si="37"/>
        <v>57.596000000000004</v>
      </c>
    </row>
    <row r="1209" spans="1:4" ht="15" customHeight="1">
      <c r="A1209" t="s">
        <v>1272</v>
      </c>
      <c r="B1209" s="15">
        <f>INDEX('GLB.Ts+dSST (4)'!$B$3:$M$149,MATCH(VALUE(RIGHT(A1209,4)),'GLB.Ts+dSST (4)'!$A$3:$A$149,0),VALUE(LEFT(A1209,FIND("/",A1209)-1)))</f>
        <v>0.18</v>
      </c>
      <c r="C1209" s="15">
        <f t="shared" si="36"/>
        <v>14.18</v>
      </c>
      <c r="D1209" s="15">
        <f t="shared" si="37"/>
        <v>57.524000000000001</v>
      </c>
    </row>
    <row r="1210" spans="1:4" ht="15" customHeight="1">
      <c r="A1210" t="s">
        <v>1273</v>
      </c>
      <c r="B1210" s="15">
        <f>INDEX('GLB.Ts+dSST (4)'!$B$3:$M$149,MATCH(VALUE(RIGHT(A1210,4)),'GLB.Ts+dSST (4)'!$A$3:$A$149,0),VALUE(LEFT(A1210,FIND("/",A1210)-1)))</f>
        <v>0.2</v>
      </c>
      <c r="C1210" s="15">
        <f t="shared" si="36"/>
        <v>14.2</v>
      </c>
      <c r="D1210" s="15">
        <f t="shared" si="37"/>
        <v>57.56</v>
      </c>
    </row>
    <row r="1211" spans="1:4" ht="15" customHeight="1">
      <c r="A1211" t="s">
        <v>1274</v>
      </c>
      <c r="B1211" s="15">
        <f>INDEX('GLB.Ts+dSST (4)'!$B$3:$M$149,MATCH(VALUE(RIGHT(A1211,4)),'GLB.Ts+dSST (4)'!$A$3:$A$149,0),VALUE(LEFT(A1211,FIND("/",A1211)-1)))</f>
        <v>0.13</v>
      </c>
      <c r="C1211" s="15">
        <f t="shared" si="36"/>
        <v>14.13</v>
      </c>
      <c r="D1211" s="15">
        <f t="shared" si="37"/>
        <v>57.433999999999997</v>
      </c>
    </row>
    <row r="1212" spans="1:4" ht="15" customHeight="1">
      <c r="A1212" t="s">
        <v>1275</v>
      </c>
      <c r="B1212" s="15">
        <f>INDEX('GLB.Ts+dSST (4)'!$B$3:$M$149,MATCH(VALUE(RIGHT(A1212,4)),'GLB.Ts+dSST (4)'!$A$3:$A$149,0),VALUE(LEFT(A1212,FIND("/",A1212)-1)))</f>
        <v>0.3</v>
      </c>
      <c r="C1212" s="15">
        <f t="shared" si="36"/>
        <v>14.3</v>
      </c>
      <c r="D1212" s="15">
        <f t="shared" si="37"/>
        <v>57.74</v>
      </c>
    </row>
    <row r="1213" spans="1:4" ht="15" customHeight="1">
      <c r="A1213" t="s">
        <v>1276</v>
      </c>
      <c r="B1213" s="15">
        <f>INDEX('GLB.Ts+dSST (4)'!$B$3:$M$149,MATCH(VALUE(RIGHT(A1213,4)),'GLB.Ts+dSST (4)'!$A$3:$A$149,0),VALUE(LEFT(A1213,FIND("/",A1213)-1)))</f>
        <v>0.21</v>
      </c>
      <c r="C1213" s="15">
        <f t="shared" si="36"/>
        <v>14.21</v>
      </c>
      <c r="D1213" s="15">
        <f t="shared" si="37"/>
        <v>57.578000000000003</v>
      </c>
    </row>
    <row r="1214" spans="1:4" ht="15" customHeight="1">
      <c r="A1214" t="s">
        <v>1277</v>
      </c>
      <c r="B1214" s="15">
        <f>INDEX('GLB.Ts+dSST (4)'!$B$3:$M$149,MATCH(VALUE(RIGHT(A1214,4)),'GLB.Ts+dSST (4)'!$A$3:$A$149,0),VALUE(LEFT(A1214,FIND("/",A1214)-1)))</f>
        <v>0.53</v>
      </c>
      <c r="C1214" s="15">
        <f t="shared" si="36"/>
        <v>14.53</v>
      </c>
      <c r="D1214" s="15">
        <f t="shared" si="37"/>
        <v>58.153999999999996</v>
      </c>
    </row>
    <row r="1215" spans="1:4" ht="15" customHeight="1">
      <c r="A1215" t="s">
        <v>1278</v>
      </c>
      <c r="B1215" s="15">
        <f>INDEX('GLB.Ts+dSST (4)'!$B$3:$M$149,MATCH(VALUE(RIGHT(A1215,4)),'GLB.Ts+dSST (4)'!$A$3:$A$149,0),VALUE(LEFT(A1215,FIND("/",A1215)-1)))</f>
        <v>0.42</v>
      </c>
      <c r="C1215" s="15">
        <f t="shared" si="36"/>
        <v>14.42</v>
      </c>
      <c r="D1215" s="15">
        <f t="shared" si="37"/>
        <v>57.956000000000003</v>
      </c>
    </row>
    <row r="1216" spans="1:4" ht="15" customHeight="1">
      <c r="A1216" t="s">
        <v>1279</v>
      </c>
      <c r="B1216" s="15">
        <f>INDEX('GLB.Ts+dSST (4)'!$B$3:$M$149,MATCH(VALUE(RIGHT(A1216,4)),'GLB.Ts+dSST (4)'!$A$3:$A$149,0),VALUE(LEFT(A1216,FIND("/",A1216)-1)))</f>
        <v>0.48</v>
      </c>
      <c r="C1216" s="15">
        <f t="shared" si="36"/>
        <v>14.48</v>
      </c>
      <c r="D1216" s="15">
        <f t="shared" si="37"/>
        <v>58.064</v>
      </c>
    </row>
    <row r="1217" spans="1:4" ht="15" customHeight="1">
      <c r="A1217" t="s">
        <v>1280</v>
      </c>
      <c r="B1217" s="15">
        <f>INDEX('GLB.Ts+dSST (4)'!$B$3:$M$149,MATCH(VALUE(RIGHT(A1217,4)),'GLB.Ts+dSST (4)'!$A$3:$A$149,0),VALUE(LEFT(A1217,FIND("/",A1217)-1)))</f>
        <v>0.32</v>
      </c>
      <c r="C1217" s="15">
        <f t="shared" si="36"/>
        <v>14.32</v>
      </c>
      <c r="D1217" s="15">
        <f t="shared" si="37"/>
        <v>57.775999999999996</v>
      </c>
    </row>
    <row r="1218" spans="1:4" ht="15" customHeight="1">
      <c r="A1218" t="s">
        <v>1281</v>
      </c>
      <c r="B1218" s="15">
        <f>INDEX('GLB.Ts+dSST (4)'!$B$3:$M$149,MATCH(VALUE(RIGHT(A1218,4)),'GLB.Ts+dSST (4)'!$A$3:$A$149,0),VALUE(LEFT(A1218,FIND("/",A1218)-1)))</f>
        <v>0.25</v>
      </c>
      <c r="C1218" s="15">
        <f t="shared" ref="C1218:C1281" si="38">B1218+14</f>
        <v>14.25</v>
      </c>
      <c r="D1218" s="15">
        <f t="shared" ref="D1218:D1281" si="39">C1218*(9/5)+32</f>
        <v>57.650000000000006</v>
      </c>
    </row>
    <row r="1219" spans="1:4" ht="15" customHeight="1">
      <c r="A1219" t="s">
        <v>1282</v>
      </c>
      <c r="B1219" s="15">
        <f>INDEX('GLB.Ts+dSST (4)'!$B$3:$M$149,MATCH(VALUE(RIGHT(A1219,4)),'GLB.Ts+dSST (4)'!$A$3:$A$149,0),VALUE(LEFT(A1219,FIND("/",A1219)-1)))</f>
        <v>0.28999999999999998</v>
      </c>
      <c r="C1219" s="15">
        <f t="shared" si="38"/>
        <v>14.29</v>
      </c>
      <c r="D1219" s="15">
        <f t="shared" si="39"/>
        <v>57.721999999999994</v>
      </c>
    </row>
    <row r="1220" spans="1:4" ht="15" customHeight="1">
      <c r="A1220" t="s">
        <v>1283</v>
      </c>
      <c r="B1220" s="15">
        <f>INDEX('GLB.Ts+dSST (4)'!$B$3:$M$149,MATCH(VALUE(RIGHT(A1220,4)),'GLB.Ts+dSST (4)'!$A$3:$A$149,0),VALUE(LEFT(A1220,FIND("/",A1220)-1)))</f>
        <v>0.33</v>
      </c>
      <c r="C1220" s="15">
        <f t="shared" si="38"/>
        <v>14.33</v>
      </c>
      <c r="D1220" s="15">
        <f t="shared" si="39"/>
        <v>57.793999999999997</v>
      </c>
    </row>
    <row r="1221" spans="1:4" ht="15" customHeight="1">
      <c r="A1221" t="s">
        <v>1284</v>
      </c>
      <c r="B1221" s="15">
        <f>INDEX('GLB.Ts+dSST (4)'!$B$3:$M$149,MATCH(VALUE(RIGHT(A1221,4)),'GLB.Ts+dSST (4)'!$A$3:$A$149,0),VALUE(LEFT(A1221,FIND("/",A1221)-1)))</f>
        <v>0.35</v>
      </c>
      <c r="C1221" s="15">
        <f t="shared" si="38"/>
        <v>14.35</v>
      </c>
      <c r="D1221" s="15">
        <f t="shared" si="39"/>
        <v>57.83</v>
      </c>
    </row>
    <row r="1222" spans="1:4" ht="15" customHeight="1">
      <c r="A1222" t="s">
        <v>1285</v>
      </c>
      <c r="B1222" s="15">
        <f>INDEX('GLB.Ts+dSST (4)'!$B$3:$M$149,MATCH(VALUE(RIGHT(A1222,4)),'GLB.Ts+dSST (4)'!$A$3:$A$149,0),VALUE(LEFT(A1222,FIND("/",A1222)-1)))</f>
        <v>0.15</v>
      </c>
      <c r="C1222" s="15">
        <f t="shared" si="38"/>
        <v>14.15</v>
      </c>
      <c r="D1222" s="15">
        <f t="shared" si="39"/>
        <v>57.47</v>
      </c>
    </row>
    <row r="1223" spans="1:4" ht="15" customHeight="1">
      <c r="A1223" t="s">
        <v>1286</v>
      </c>
      <c r="B1223" s="15">
        <f>INDEX('GLB.Ts+dSST (4)'!$B$3:$M$149,MATCH(VALUE(RIGHT(A1223,4)),'GLB.Ts+dSST (4)'!$A$3:$A$149,0),VALUE(LEFT(A1223,FIND("/",A1223)-1)))</f>
        <v>0.12</v>
      </c>
      <c r="C1223" s="15">
        <f t="shared" si="38"/>
        <v>14.12</v>
      </c>
      <c r="D1223" s="15">
        <f t="shared" si="39"/>
        <v>57.415999999999997</v>
      </c>
    </row>
    <row r="1224" spans="1:4" ht="15" customHeight="1">
      <c r="A1224" t="s">
        <v>1287</v>
      </c>
      <c r="B1224" s="15">
        <f>INDEX('GLB.Ts+dSST (4)'!$B$3:$M$149,MATCH(VALUE(RIGHT(A1224,4)),'GLB.Ts+dSST (4)'!$A$3:$A$149,0),VALUE(LEFT(A1224,FIND("/",A1224)-1)))</f>
        <v>0.23</v>
      </c>
      <c r="C1224" s="15">
        <f t="shared" si="38"/>
        <v>14.23</v>
      </c>
      <c r="D1224" s="15">
        <f t="shared" si="39"/>
        <v>57.614000000000004</v>
      </c>
    </row>
    <row r="1225" spans="1:4" ht="15" customHeight="1">
      <c r="A1225" t="s">
        <v>1288</v>
      </c>
      <c r="B1225" s="15">
        <f>INDEX('GLB.Ts+dSST (4)'!$B$3:$M$149,MATCH(VALUE(RIGHT(A1225,4)),'GLB.Ts+dSST (4)'!$A$3:$A$149,0),VALUE(LEFT(A1225,FIND("/",A1225)-1)))</f>
        <v>0.41</v>
      </c>
      <c r="C1225" s="15">
        <f t="shared" si="38"/>
        <v>14.41</v>
      </c>
      <c r="D1225" s="15">
        <f t="shared" si="39"/>
        <v>57.938000000000002</v>
      </c>
    </row>
    <row r="1226" spans="1:4" ht="15" customHeight="1">
      <c r="A1226" t="s">
        <v>1289</v>
      </c>
      <c r="B1226" s="15">
        <f>INDEX('GLB.Ts+dSST (4)'!$B$3:$M$149,MATCH(VALUE(RIGHT(A1226,4)),'GLB.Ts+dSST (4)'!$A$3:$A$149,0),VALUE(LEFT(A1226,FIND("/",A1226)-1)))</f>
        <v>0.05</v>
      </c>
      <c r="C1226" s="15">
        <f t="shared" si="38"/>
        <v>14.05</v>
      </c>
      <c r="D1226" s="15">
        <f t="shared" si="39"/>
        <v>57.290000000000006</v>
      </c>
    </row>
    <row r="1227" spans="1:4" ht="15" customHeight="1">
      <c r="A1227" t="s">
        <v>1290</v>
      </c>
      <c r="B1227" s="15">
        <f>INDEX('GLB.Ts+dSST (4)'!$B$3:$M$149,MATCH(VALUE(RIGHT(A1227,4)),'GLB.Ts+dSST (4)'!$A$3:$A$149,0),VALUE(LEFT(A1227,FIND("/",A1227)-1)))</f>
        <v>0.15</v>
      </c>
      <c r="C1227" s="15">
        <f t="shared" si="38"/>
        <v>14.15</v>
      </c>
      <c r="D1227" s="15">
        <f t="shared" si="39"/>
        <v>57.47</v>
      </c>
    </row>
    <row r="1228" spans="1:4" ht="15" customHeight="1">
      <c r="A1228" t="s">
        <v>1291</v>
      </c>
      <c r="B1228" s="15">
        <f>INDEX('GLB.Ts+dSST (4)'!$B$3:$M$149,MATCH(VALUE(RIGHT(A1228,4)),'GLB.Ts+dSST (4)'!$A$3:$A$149,0),VALUE(LEFT(A1228,FIND("/",A1228)-1)))</f>
        <v>0.03</v>
      </c>
      <c r="C1228" s="15">
        <f t="shared" si="38"/>
        <v>14.03</v>
      </c>
      <c r="D1228" s="15">
        <f t="shared" si="39"/>
        <v>57.253999999999998</v>
      </c>
    </row>
    <row r="1229" spans="1:4" ht="15" customHeight="1">
      <c r="A1229" t="s">
        <v>1292</v>
      </c>
      <c r="B1229" s="15">
        <f>INDEX('GLB.Ts+dSST (4)'!$B$3:$M$149,MATCH(VALUE(RIGHT(A1229,4)),'GLB.Ts+dSST (4)'!$A$3:$A$149,0),VALUE(LEFT(A1229,FIND("/",A1229)-1)))</f>
        <v>0.15</v>
      </c>
      <c r="C1229" s="15">
        <f t="shared" si="38"/>
        <v>14.15</v>
      </c>
      <c r="D1229" s="15">
        <f t="shared" si="39"/>
        <v>57.47</v>
      </c>
    </row>
    <row r="1230" spans="1:4" ht="15" customHeight="1">
      <c r="A1230" t="s">
        <v>1293</v>
      </c>
      <c r="B1230" s="15">
        <f>INDEX('GLB.Ts+dSST (4)'!$B$3:$M$149,MATCH(VALUE(RIGHT(A1230,4)),'GLB.Ts+dSST (4)'!$A$3:$A$149,0),VALUE(LEFT(A1230,FIND("/",A1230)-1)))</f>
        <v>0.18</v>
      </c>
      <c r="C1230" s="15">
        <f t="shared" si="38"/>
        <v>14.18</v>
      </c>
      <c r="D1230" s="15">
        <f t="shared" si="39"/>
        <v>57.524000000000001</v>
      </c>
    </row>
    <row r="1231" spans="1:4" ht="15" customHeight="1">
      <c r="A1231" t="s">
        <v>1294</v>
      </c>
      <c r="B1231" s="15">
        <f>INDEX('GLB.Ts+dSST (4)'!$B$3:$M$149,MATCH(VALUE(RIGHT(A1231,4)),'GLB.Ts+dSST (4)'!$A$3:$A$149,0),VALUE(LEFT(A1231,FIND("/",A1231)-1)))</f>
        <v>0.06</v>
      </c>
      <c r="C1231" s="15">
        <f t="shared" si="38"/>
        <v>14.06</v>
      </c>
      <c r="D1231" s="15">
        <f t="shared" si="39"/>
        <v>57.308</v>
      </c>
    </row>
    <row r="1232" spans="1:4" ht="15" customHeight="1">
      <c r="A1232" t="s">
        <v>1295</v>
      </c>
      <c r="B1232" s="15">
        <f>INDEX('GLB.Ts+dSST (4)'!$B$3:$M$149,MATCH(VALUE(RIGHT(A1232,4)),'GLB.Ts+dSST (4)'!$A$3:$A$149,0),VALUE(LEFT(A1232,FIND("/",A1232)-1)))</f>
        <v>0.14000000000000001</v>
      </c>
      <c r="C1232" s="15">
        <f t="shared" si="38"/>
        <v>14.14</v>
      </c>
      <c r="D1232" s="15">
        <f t="shared" si="39"/>
        <v>57.451999999999998</v>
      </c>
    </row>
    <row r="1233" spans="1:4" ht="15" customHeight="1">
      <c r="A1233" t="s">
        <v>1296</v>
      </c>
      <c r="B1233" s="15">
        <f>INDEX('GLB.Ts+dSST (4)'!$B$3:$M$149,MATCH(VALUE(RIGHT(A1233,4)),'GLB.Ts+dSST (4)'!$A$3:$A$149,0),VALUE(LEFT(A1233,FIND("/",A1233)-1)))</f>
        <v>0.03</v>
      </c>
      <c r="C1233" s="15">
        <f t="shared" si="38"/>
        <v>14.03</v>
      </c>
      <c r="D1233" s="15">
        <f t="shared" si="39"/>
        <v>57.253999999999998</v>
      </c>
    </row>
    <row r="1234" spans="1:4" ht="15" customHeight="1">
      <c r="A1234" t="s">
        <v>1297</v>
      </c>
      <c r="B1234" s="15">
        <f>INDEX('GLB.Ts+dSST (4)'!$B$3:$M$149,MATCH(VALUE(RIGHT(A1234,4)),'GLB.Ts+dSST (4)'!$A$3:$A$149,0),VALUE(LEFT(A1234,FIND("/",A1234)-1)))</f>
        <v>0.14000000000000001</v>
      </c>
      <c r="C1234" s="15">
        <f t="shared" si="38"/>
        <v>14.14</v>
      </c>
      <c r="D1234" s="15">
        <f t="shared" si="39"/>
        <v>57.451999999999998</v>
      </c>
    </row>
    <row r="1235" spans="1:4" ht="15" customHeight="1">
      <c r="A1235" t="s">
        <v>1298</v>
      </c>
      <c r="B1235" s="15">
        <f>INDEX('GLB.Ts+dSST (4)'!$B$3:$M$149,MATCH(VALUE(RIGHT(A1235,4)),'GLB.Ts+dSST (4)'!$A$3:$A$149,0),VALUE(LEFT(A1235,FIND("/",A1235)-1)))</f>
        <v>0.13</v>
      </c>
      <c r="C1235" s="15">
        <f t="shared" si="38"/>
        <v>14.13</v>
      </c>
      <c r="D1235" s="15">
        <f t="shared" si="39"/>
        <v>57.433999999999997</v>
      </c>
    </row>
    <row r="1236" spans="1:4" ht="15" customHeight="1">
      <c r="A1236" t="s">
        <v>1299</v>
      </c>
      <c r="B1236" s="15">
        <f>INDEX('GLB.Ts+dSST (4)'!$B$3:$M$149,MATCH(VALUE(RIGHT(A1236,4)),'GLB.Ts+dSST (4)'!$A$3:$A$149,0),VALUE(LEFT(A1236,FIND("/",A1236)-1)))</f>
        <v>0.18</v>
      </c>
      <c r="C1236" s="15">
        <f t="shared" si="38"/>
        <v>14.18</v>
      </c>
      <c r="D1236" s="15">
        <f t="shared" si="39"/>
        <v>57.524000000000001</v>
      </c>
    </row>
    <row r="1237" spans="1:4" ht="15" customHeight="1">
      <c r="A1237" t="s">
        <v>1300</v>
      </c>
      <c r="B1237" s="15">
        <f>INDEX('GLB.Ts+dSST (4)'!$B$3:$M$149,MATCH(VALUE(RIGHT(A1237,4)),'GLB.Ts+dSST (4)'!$A$3:$A$149,0),VALUE(LEFT(A1237,FIND("/",A1237)-1)))</f>
        <v>0.43</v>
      </c>
      <c r="C1237" s="15">
        <f t="shared" si="38"/>
        <v>14.43</v>
      </c>
      <c r="D1237" s="15">
        <f t="shared" si="39"/>
        <v>57.974000000000004</v>
      </c>
    </row>
    <row r="1238" spans="1:4" ht="15" customHeight="1">
      <c r="A1238" t="s">
        <v>1301</v>
      </c>
      <c r="B1238" s="15">
        <f>INDEX('GLB.Ts+dSST (4)'!$B$3:$M$149,MATCH(VALUE(RIGHT(A1238,4)),'GLB.Ts+dSST (4)'!$A$3:$A$149,0),VALUE(LEFT(A1238,FIND("/",A1238)-1)))</f>
        <v>0.53</v>
      </c>
      <c r="C1238" s="15">
        <f t="shared" si="38"/>
        <v>14.53</v>
      </c>
      <c r="D1238" s="15">
        <f t="shared" si="39"/>
        <v>58.153999999999996</v>
      </c>
    </row>
    <row r="1239" spans="1:4" ht="15" customHeight="1">
      <c r="A1239" t="s">
        <v>1302</v>
      </c>
      <c r="B1239" s="15">
        <f>INDEX('GLB.Ts+dSST (4)'!$B$3:$M$149,MATCH(VALUE(RIGHT(A1239,4)),'GLB.Ts+dSST (4)'!$A$3:$A$149,0),VALUE(LEFT(A1239,FIND("/",A1239)-1)))</f>
        <v>0.43</v>
      </c>
      <c r="C1239" s="15">
        <f t="shared" si="38"/>
        <v>14.43</v>
      </c>
      <c r="D1239" s="15">
        <f t="shared" si="39"/>
        <v>57.974000000000004</v>
      </c>
    </row>
    <row r="1240" spans="1:4" ht="15" customHeight="1">
      <c r="A1240" t="s">
        <v>1303</v>
      </c>
      <c r="B1240" s="15">
        <f>INDEX('GLB.Ts+dSST (4)'!$B$3:$M$149,MATCH(VALUE(RIGHT(A1240,4)),'GLB.Ts+dSST (4)'!$A$3:$A$149,0),VALUE(LEFT(A1240,FIND("/",A1240)-1)))</f>
        <v>0.42</v>
      </c>
      <c r="C1240" s="15">
        <f t="shared" si="38"/>
        <v>14.42</v>
      </c>
      <c r="D1240" s="15">
        <f t="shared" si="39"/>
        <v>57.956000000000003</v>
      </c>
    </row>
    <row r="1241" spans="1:4" ht="15" customHeight="1">
      <c r="A1241" t="s">
        <v>1304</v>
      </c>
      <c r="B1241" s="15">
        <f>INDEX('GLB.Ts+dSST (4)'!$B$3:$M$149,MATCH(VALUE(RIGHT(A1241,4)),'GLB.Ts+dSST (4)'!$A$3:$A$149,0),VALUE(LEFT(A1241,FIND("/",A1241)-1)))</f>
        <v>0.28000000000000003</v>
      </c>
      <c r="C1241" s="15">
        <f t="shared" si="38"/>
        <v>14.28</v>
      </c>
      <c r="D1241" s="15">
        <f t="shared" si="39"/>
        <v>57.704000000000001</v>
      </c>
    </row>
    <row r="1242" spans="1:4" ht="15" customHeight="1">
      <c r="A1242" t="s">
        <v>1305</v>
      </c>
      <c r="B1242" s="15">
        <f>INDEX('GLB.Ts+dSST (4)'!$B$3:$M$149,MATCH(VALUE(RIGHT(A1242,4)),'GLB.Ts+dSST (4)'!$A$3:$A$149,0),VALUE(LEFT(A1242,FIND("/",A1242)-1)))</f>
        <v>0.34</v>
      </c>
      <c r="C1242" s="15">
        <f t="shared" si="38"/>
        <v>14.34</v>
      </c>
      <c r="D1242" s="15">
        <f t="shared" si="39"/>
        <v>57.811999999999998</v>
      </c>
    </row>
    <row r="1243" spans="1:4" ht="15" customHeight="1">
      <c r="A1243" t="s">
        <v>1306</v>
      </c>
      <c r="B1243" s="15">
        <f>INDEX('GLB.Ts+dSST (4)'!$B$3:$M$149,MATCH(VALUE(RIGHT(A1243,4)),'GLB.Ts+dSST (4)'!$A$3:$A$149,0),VALUE(LEFT(A1243,FIND("/",A1243)-1)))</f>
        <v>0.23</v>
      </c>
      <c r="C1243" s="15">
        <f t="shared" si="38"/>
        <v>14.23</v>
      </c>
      <c r="D1243" s="15">
        <f t="shared" si="39"/>
        <v>57.614000000000004</v>
      </c>
    </row>
    <row r="1244" spans="1:4" ht="15" customHeight="1">
      <c r="A1244" t="s">
        <v>1307</v>
      </c>
      <c r="B1244" s="15">
        <f>INDEX('GLB.Ts+dSST (4)'!$B$3:$M$149,MATCH(VALUE(RIGHT(A1244,4)),'GLB.Ts+dSST (4)'!$A$3:$A$149,0),VALUE(LEFT(A1244,FIND("/",A1244)-1)))</f>
        <v>0.18</v>
      </c>
      <c r="C1244" s="15">
        <f t="shared" si="38"/>
        <v>14.18</v>
      </c>
      <c r="D1244" s="15">
        <f t="shared" si="39"/>
        <v>57.524000000000001</v>
      </c>
    </row>
    <row r="1245" spans="1:4" ht="15" customHeight="1">
      <c r="A1245" t="s">
        <v>1308</v>
      </c>
      <c r="B1245" s="15">
        <f>INDEX('GLB.Ts+dSST (4)'!$B$3:$M$149,MATCH(VALUE(RIGHT(A1245,4)),'GLB.Ts+dSST (4)'!$A$3:$A$149,0),VALUE(LEFT(A1245,FIND("/",A1245)-1)))</f>
        <v>0.36</v>
      </c>
      <c r="C1245" s="15">
        <f t="shared" si="38"/>
        <v>14.36</v>
      </c>
      <c r="D1245" s="15">
        <f t="shared" si="39"/>
        <v>57.847999999999999</v>
      </c>
    </row>
    <row r="1246" spans="1:4" ht="15" customHeight="1">
      <c r="A1246" t="s">
        <v>1309</v>
      </c>
      <c r="B1246" s="15">
        <f>INDEX('GLB.Ts+dSST (4)'!$B$3:$M$149,MATCH(VALUE(RIGHT(A1246,4)),'GLB.Ts+dSST (4)'!$A$3:$A$149,0),VALUE(LEFT(A1246,FIND("/",A1246)-1)))</f>
        <v>0.37</v>
      </c>
      <c r="C1246" s="15">
        <f t="shared" si="38"/>
        <v>14.37</v>
      </c>
      <c r="D1246" s="15">
        <f t="shared" si="39"/>
        <v>57.866</v>
      </c>
    </row>
    <row r="1247" spans="1:4" ht="15" customHeight="1">
      <c r="A1247" t="s">
        <v>1310</v>
      </c>
      <c r="B1247" s="15">
        <f>INDEX('GLB.Ts+dSST (4)'!$B$3:$M$149,MATCH(VALUE(RIGHT(A1247,4)),'GLB.Ts+dSST (4)'!$A$3:$A$149,0),VALUE(LEFT(A1247,FIND("/",A1247)-1)))</f>
        <v>0.17</v>
      </c>
      <c r="C1247" s="15">
        <f t="shared" si="38"/>
        <v>14.17</v>
      </c>
      <c r="D1247" s="15">
        <f t="shared" si="39"/>
        <v>57.506</v>
      </c>
    </row>
    <row r="1248" spans="1:4" ht="15" customHeight="1">
      <c r="A1248" t="s">
        <v>1311</v>
      </c>
      <c r="B1248" s="15">
        <f>INDEX('GLB.Ts+dSST (4)'!$B$3:$M$149,MATCH(VALUE(RIGHT(A1248,4)),'GLB.Ts+dSST (4)'!$A$3:$A$149,0),VALUE(LEFT(A1248,FIND("/",A1248)-1)))</f>
        <v>0.3</v>
      </c>
      <c r="C1248" s="15">
        <f t="shared" si="38"/>
        <v>14.3</v>
      </c>
      <c r="D1248" s="15">
        <f t="shared" si="39"/>
        <v>57.74</v>
      </c>
    </row>
    <row r="1249" spans="1:4" ht="15" customHeight="1">
      <c r="A1249" t="s">
        <v>1312</v>
      </c>
      <c r="B1249" s="15">
        <f>INDEX('GLB.Ts+dSST (4)'!$B$3:$M$149,MATCH(VALUE(RIGHT(A1249,4)),'GLB.Ts+dSST (4)'!$A$3:$A$149,0),VALUE(LEFT(A1249,FIND("/",A1249)-1)))</f>
        <v>0.17</v>
      </c>
      <c r="C1249" s="15">
        <f t="shared" si="38"/>
        <v>14.17</v>
      </c>
      <c r="D1249" s="15">
        <f t="shared" si="39"/>
        <v>57.506</v>
      </c>
    </row>
    <row r="1250" spans="1:4" ht="15" customHeight="1">
      <c r="A1250" t="s">
        <v>1313</v>
      </c>
      <c r="B1250" s="15">
        <f>INDEX('GLB.Ts+dSST (4)'!$B$3:$M$149,MATCH(VALUE(RIGHT(A1250,4)),'GLB.Ts+dSST (4)'!$A$3:$A$149,0),VALUE(LEFT(A1250,FIND("/",A1250)-1)))</f>
        <v>0.31</v>
      </c>
      <c r="C1250" s="15">
        <f t="shared" si="38"/>
        <v>14.31</v>
      </c>
      <c r="D1250" s="15">
        <f t="shared" si="39"/>
        <v>57.758000000000003</v>
      </c>
    </row>
    <row r="1251" spans="1:4" ht="15" customHeight="1">
      <c r="A1251" t="s">
        <v>1314</v>
      </c>
      <c r="B1251" s="15">
        <f>INDEX('GLB.Ts+dSST (4)'!$B$3:$M$149,MATCH(VALUE(RIGHT(A1251,4)),'GLB.Ts+dSST (4)'!$A$3:$A$149,0),VALUE(LEFT(A1251,FIND("/",A1251)-1)))</f>
        <v>0.14000000000000001</v>
      </c>
      <c r="C1251" s="15">
        <f t="shared" si="38"/>
        <v>14.14</v>
      </c>
      <c r="D1251" s="15">
        <f t="shared" si="39"/>
        <v>57.451999999999998</v>
      </c>
    </row>
    <row r="1252" spans="1:4" ht="15" customHeight="1">
      <c r="A1252" t="s">
        <v>1315</v>
      </c>
      <c r="B1252" s="15">
        <f>INDEX('GLB.Ts+dSST (4)'!$B$3:$M$149,MATCH(VALUE(RIGHT(A1252,4)),'GLB.Ts+dSST (4)'!$A$3:$A$149,0),VALUE(LEFT(A1252,FIND("/",A1252)-1)))</f>
        <v>0.26</v>
      </c>
      <c r="C1252" s="15">
        <f t="shared" si="38"/>
        <v>14.26</v>
      </c>
      <c r="D1252" s="15">
        <f t="shared" si="39"/>
        <v>57.667999999999999</v>
      </c>
    </row>
    <row r="1253" spans="1:4" ht="15" customHeight="1">
      <c r="A1253" t="s">
        <v>1316</v>
      </c>
      <c r="B1253" s="15">
        <f>INDEX('GLB.Ts+dSST (4)'!$B$3:$M$149,MATCH(VALUE(RIGHT(A1253,4)),'GLB.Ts+dSST (4)'!$A$3:$A$149,0),VALUE(LEFT(A1253,FIND("/",A1253)-1)))</f>
        <v>0.06</v>
      </c>
      <c r="C1253" s="15">
        <f t="shared" si="38"/>
        <v>14.06</v>
      </c>
      <c r="D1253" s="15">
        <f t="shared" si="39"/>
        <v>57.308</v>
      </c>
    </row>
    <row r="1254" spans="1:4" ht="15" customHeight="1">
      <c r="A1254" t="s">
        <v>1317</v>
      </c>
      <c r="B1254" s="15">
        <f>INDEX('GLB.Ts+dSST (4)'!$B$3:$M$149,MATCH(VALUE(RIGHT(A1254,4)),'GLB.Ts+dSST (4)'!$A$3:$A$149,0),VALUE(LEFT(A1254,FIND("/",A1254)-1)))</f>
        <v>0.33</v>
      </c>
      <c r="C1254" s="15">
        <f t="shared" si="38"/>
        <v>14.33</v>
      </c>
      <c r="D1254" s="15">
        <f t="shared" si="39"/>
        <v>57.793999999999997</v>
      </c>
    </row>
    <row r="1255" spans="1:4" ht="15" customHeight="1">
      <c r="A1255" t="s">
        <v>1318</v>
      </c>
      <c r="B1255" s="15">
        <f>INDEX('GLB.Ts+dSST (4)'!$B$3:$M$149,MATCH(VALUE(RIGHT(A1255,4)),'GLB.Ts+dSST (4)'!$A$3:$A$149,0),VALUE(LEFT(A1255,FIND("/",A1255)-1)))</f>
        <v>0.02</v>
      </c>
      <c r="C1255" s="15">
        <f t="shared" si="38"/>
        <v>14.02</v>
      </c>
      <c r="D1255" s="15">
        <f t="shared" si="39"/>
        <v>57.236000000000004</v>
      </c>
    </row>
    <row r="1256" spans="1:4" ht="15" customHeight="1">
      <c r="A1256" t="s">
        <v>1319</v>
      </c>
      <c r="B1256" s="15">
        <f>INDEX('GLB.Ts+dSST (4)'!$B$3:$M$149,MATCH(VALUE(RIGHT(A1256,4)),'GLB.Ts+dSST (4)'!$A$3:$A$149,0),VALUE(LEFT(A1256,FIND("/",A1256)-1)))</f>
        <v>0.19</v>
      </c>
      <c r="C1256" s="15">
        <f t="shared" si="38"/>
        <v>14.19</v>
      </c>
      <c r="D1256" s="15">
        <f t="shared" si="39"/>
        <v>57.542000000000002</v>
      </c>
    </row>
    <row r="1257" spans="1:4" ht="15" customHeight="1">
      <c r="A1257" t="s">
        <v>1320</v>
      </c>
      <c r="B1257" s="15">
        <f>INDEX('GLB.Ts+dSST (4)'!$B$3:$M$149,MATCH(VALUE(RIGHT(A1257,4)),'GLB.Ts+dSST (4)'!$A$3:$A$149,0),VALUE(LEFT(A1257,FIND("/",A1257)-1)))</f>
        <v>0.19</v>
      </c>
      <c r="C1257" s="15">
        <f t="shared" si="38"/>
        <v>14.19</v>
      </c>
      <c r="D1257" s="15">
        <f t="shared" si="39"/>
        <v>57.542000000000002</v>
      </c>
    </row>
    <row r="1258" spans="1:4" ht="15" customHeight="1">
      <c r="A1258" t="s">
        <v>1321</v>
      </c>
      <c r="B1258" s="15">
        <f>INDEX('GLB.Ts+dSST (4)'!$B$3:$M$149,MATCH(VALUE(RIGHT(A1258,4)),'GLB.Ts+dSST (4)'!$A$3:$A$149,0),VALUE(LEFT(A1258,FIND("/",A1258)-1)))</f>
        <v>0.21</v>
      </c>
      <c r="C1258" s="15">
        <f t="shared" si="38"/>
        <v>14.21</v>
      </c>
      <c r="D1258" s="15">
        <f t="shared" si="39"/>
        <v>57.578000000000003</v>
      </c>
    </row>
    <row r="1259" spans="1:4" ht="15" customHeight="1">
      <c r="A1259" t="s">
        <v>1322</v>
      </c>
      <c r="B1259" s="15">
        <f>INDEX('GLB.Ts+dSST (4)'!$B$3:$M$149,MATCH(VALUE(RIGHT(A1259,4)),'GLB.Ts+dSST (4)'!$A$3:$A$149,0),VALUE(LEFT(A1259,FIND("/",A1259)-1)))</f>
        <v>0.13</v>
      </c>
      <c r="C1259" s="15">
        <f t="shared" si="38"/>
        <v>14.13</v>
      </c>
      <c r="D1259" s="15">
        <f t="shared" si="39"/>
        <v>57.433999999999997</v>
      </c>
    </row>
    <row r="1260" spans="1:4" ht="15" customHeight="1">
      <c r="A1260" t="s">
        <v>1323</v>
      </c>
      <c r="B1260" s="15">
        <f>INDEX('GLB.Ts+dSST (4)'!$B$3:$M$149,MATCH(VALUE(RIGHT(A1260,4)),'GLB.Ts+dSST (4)'!$A$3:$A$149,0),VALUE(LEFT(A1260,FIND("/",A1260)-1)))</f>
        <v>0.06</v>
      </c>
      <c r="C1260" s="15">
        <f t="shared" si="38"/>
        <v>14.06</v>
      </c>
      <c r="D1260" s="15">
        <f t="shared" si="39"/>
        <v>57.308</v>
      </c>
    </row>
    <row r="1261" spans="1:4" ht="15" customHeight="1">
      <c r="A1261" t="s">
        <v>1324</v>
      </c>
      <c r="B1261" s="15">
        <f>INDEX('GLB.Ts+dSST (4)'!$B$3:$M$149,MATCH(VALUE(RIGHT(A1261,4)),'GLB.Ts+dSST (4)'!$A$3:$A$149,0),VALUE(LEFT(A1261,FIND("/",A1261)-1)))</f>
        <v>-0.04</v>
      </c>
      <c r="C1261" s="15">
        <f t="shared" si="38"/>
        <v>13.96</v>
      </c>
      <c r="D1261" s="15">
        <f t="shared" si="39"/>
        <v>57.128</v>
      </c>
    </row>
    <row r="1262" spans="1:4" ht="15" customHeight="1">
      <c r="A1262" t="s">
        <v>1325</v>
      </c>
      <c r="B1262" s="15">
        <f>INDEX('GLB.Ts+dSST (4)'!$B$3:$M$149,MATCH(VALUE(RIGHT(A1262,4)),'GLB.Ts+dSST (4)'!$A$3:$A$149,0),VALUE(LEFT(A1262,FIND("/",A1262)-1)))</f>
        <v>0.22</v>
      </c>
      <c r="C1262" s="15">
        <f t="shared" si="38"/>
        <v>14.22</v>
      </c>
      <c r="D1262" s="15">
        <f t="shared" si="39"/>
        <v>57.596000000000004</v>
      </c>
    </row>
    <row r="1263" spans="1:4" ht="15" customHeight="1">
      <c r="A1263" t="s">
        <v>1326</v>
      </c>
      <c r="B1263" s="15">
        <f>INDEX('GLB.Ts+dSST (4)'!$B$3:$M$149,MATCH(VALUE(RIGHT(A1263,4)),'GLB.Ts+dSST (4)'!$A$3:$A$149,0),VALUE(LEFT(A1263,FIND("/",A1263)-1)))</f>
        <v>-0.04</v>
      </c>
      <c r="C1263" s="15">
        <f t="shared" si="38"/>
        <v>13.96</v>
      </c>
      <c r="D1263" s="15">
        <f t="shared" si="39"/>
        <v>57.128</v>
      </c>
    </row>
    <row r="1264" spans="1:4" ht="15" customHeight="1">
      <c r="A1264" t="s">
        <v>1327</v>
      </c>
      <c r="B1264" s="15">
        <f>INDEX('GLB.Ts+dSST (4)'!$B$3:$M$149,MATCH(VALUE(RIGHT(A1264,4)),'GLB.Ts+dSST (4)'!$A$3:$A$149,0),VALUE(LEFT(A1264,FIND("/",A1264)-1)))</f>
        <v>0.17</v>
      </c>
      <c r="C1264" s="15">
        <f t="shared" si="38"/>
        <v>14.17</v>
      </c>
      <c r="D1264" s="15">
        <f t="shared" si="39"/>
        <v>57.506</v>
      </c>
    </row>
    <row r="1265" spans="1:4" ht="15" customHeight="1">
      <c r="A1265" t="s">
        <v>1328</v>
      </c>
      <c r="B1265" s="15">
        <f>INDEX('GLB.Ts+dSST (4)'!$B$3:$M$149,MATCH(VALUE(RIGHT(A1265,4)),'GLB.Ts+dSST (4)'!$A$3:$A$149,0),VALUE(LEFT(A1265,FIND("/",A1265)-1)))</f>
        <v>0.12</v>
      </c>
      <c r="C1265" s="15">
        <f t="shared" si="38"/>
        <v>14.12</v>
      </c>
      <c r="D1265" s="15">
        <f t="shared" si="39"/>
        <v>57.415999999999997</v>
      </c>
    </row>
    <row r="1266" spans="1:4" ht="15" customHeight="1">
      <c r="A1266" t="s">
        <v>1329</v>
      </c>
      <c r="B1266" s="15">
        <f>INDEX('GLB.Ts+dSST (4)'!$B$3:$M$149,MATCH(VALUE(RIGHT(A1266,4)),'GLB.Ts+dSST (4)'!$A$3:$A$149,0),VALUE(LEFT(A1266,FIND("/",A1266)-1)))</f>
        <v>0.15</v>
      </c>
      <c r="C1266" s="15">
        <f t="shared" si="38"/>
        <v>14.15</v>
      </c>
      <c r="D1266" s="15">
        <f t="shared" si="39"/>
        <v>57.47</v>
      </c>
    </row>
    <row r="1267" spans="1:4" ht="15" customHeight="1">
      <c r="A1267" t="s">
        <v>1330</v>
      </c>
      <c r="B1267" s="15">
        <f>INDEX('GLB.Ts+dSST (4)'!$B$3:$M$149,MATCH(VALUE(RIGHT(A1267,4)),'GLB.Ts+dSST (4)'!$A$3:$A$149,0),VALUE(LEFT(A1267,FIND("/",A1267)-1)))</f>
        <v>0.15</v>
      </c>
      <c r="C1267" s="15">
        <f t="shared" si="38"/>
        <v>14.15</v>
      </c>
      <c r="D1267" s="15">
        <f t="shared" si="39"/>
        <v>57.47</v>
      </c>
    </row>
    <row r="1268" spans="1:4" ht="15" customHeight="1">
      <c r="A1268" t="s">
        <v>1331</v>
      </c>
      <c r="B1268" s="15">
        <f>INDEX('GLB.Ts+dSST (4)'!$B$3:$M$149,MATCH(VALUE(RIGHT(A1268,4)),'GLB.Ts+dSST (4)'!$A$3:$A$149,0),VALUE(LEFT(A1268,FIND("/",A1268)-1)))</f>
        <v>0.04</v>
      </c>
      <c r="C1268" s="15">
        <f t="shared" si="38"/>
        <v>14.04</v>
      </c>
      <c r="D1268" s="15">
        <f t="shared" si="39"/>
        <v>57.271999999999998</v>
      </c>
    </row>
    <row r="1269" spans="1:4" ht="15" customHeight="1">
      <c r="A1269" t="s">
        <v>1332</v>
      </c>
      <c r="B1269" s="15">
        <f>INDEX('GLB.Ts+dSST (4)'!$B$3:$M$149,MATCH(VALUE(RIGHT(A1269,4)),'GLB.Ts+dSST (4)'!$A$3:$A$149,0),VALUE(LEFT(A1269,FIND("/",A1269)-1)))</f>
        <v>0.17</v>
      </c>
      <c r="C1269" s="15">
        <f t="shared" si="38"/>
        <v>14.17</v>
      </c>
      <c r="D1269" s="15">
        <f t="shared" si="39"/>
        <v>57.506</v>
      </c>
    </row>
    <row r="1270" spans="1:4" ht="15" customHeight="1">
      <c r="A1270" t="s">
        <v>1333</v>
      </c>
      <c r="B1270" s="15">
        <f>INDEX('GLB.Ts+dSST (4)'!$B$3:$M$149,MATCH(VALUE(RIGHT(A1270,4)),'GLB.Ts+dSST (4)'!$A$3:$A$149,0),VALUE(LEFT(A1270,FIND("/",A1270)-1)))</f>
        <v>0.13</v>
      </c>
      <c r="C1270" s="15">
        <f t="shared" si="38"/>
        <v>14.13</v>
      </c>
      <c r="D1270" s="15">
        <f t="shared" si="39"/>
        <v>57.433999999999997</v>
      </c>
    </row>
    <row r="1271" spans="1:4" ht="15" customHeight="1">
      <c r="A1271" t="s">
        <v>1334</v>
      </c>
      <c r="B1271" s="15">
        <f>INDEX('GLB.Ts+dSST (4)'!$B$3:$M$149,MATCH(VALUE(RIGHT(A1271,4)),'GLB.Ts+dSST (4)'!$A$3:$A$149,0),VALUE(LEFT(A1271,FIND("/",A1271)-1)))</f>
        <v>0.12</v>
      </c>
      <c r="C1271" s="15">
        <f t="shared" si="38"/>
        <v>14.12</v>
      </c>
      <c r="D1271" s="15">
        <f t="shared" si="39"/>
        <v>57.415999999999997</v>
      </c>
    </row>
    <row r="1272" spans="1:4" ht="15" customHeight="1">
      <c r="A1272" t="s">
        <v>1335</v>
      </c>
      <c r="B1272" s="15">
        <f>INDEX('GLB.Ts+dSST (4)'!$B$3:$M$149,MATCH(VALUE(RIGHT(A1272,4)),'GLB.Ts+dSST (4)'!$A$3:$A$149,0),VALUE(LEFT(A1272,FIND("/",A1272)-1)))</f>
        <v>0.05</v>
      </c>
      <c r="C1272" s="15">
        <f t="shared" si="38"/>
        <v>14.05</v>
      </c>
      <c r="D1272" s="15">
        <f t="shared" si="39"/>
        <v>57.290000000000006</v>
      </c>
    </row>
    <row r="1273" spans="1:4" ht="15" customHeight="1">
      <c r="A1273" t="s">
        <v>1336</v>
      </c>
      <c r="B1273" s="15">
        <f>INDEX('GLB.Ts+dSST (4)'!$B$3:$M$149,MATCH(VALUE(RIGHT(A1273,4)),'GLB.Ts+dSST (4)'!$A$3:$A$149,0),VALUE(LEFT(A1273,FIND("/",A1273)-1)))</f>
        <v>0.14000000000000001</v>
      </c>
      <c r="C1273" s="15">
        <f t="shared" si="38"/>
        <v>14.14</v>
      </c>
      <c r="D1273" s="15">
        <f t="shared" si="39"/>
        <v>57.451999999999998</v>
      </c>
    </row>
    <row r="1274" spans="1:4" ht="15" customHeight="1">
      <c r="A1274" t="s">
        <v>1337</v>
      </c>
      <c r="B1274" s="15">
        <f>INDEX('GLB.Ts+dSST (4)'!$B$3:$M$149,MATCH(VALUE(RIGHT(A1274,4)),'GLB.Ts+dSST (4)'!$A$3:$A$149,0),VALUE(LEFT(A1274,FIND("/",A1274)-1)))</f>
        <v>0.26</v>
      </c>
      <c r="C1274" s="15">
        <f t="shared" si="38"/>
        <v>14.26</v>
      </c>
      <c r="D1274" s="15">
        <f t="shared" si="39"/>
        <v>57.667999999999999</v>
      </c>
    </row>
    <row r="1275" spans="1:4" ht="15" customHeight="1">
      <c r="A1275" t="s">
        <v>1338</v>
      </c>
      <c r="B1275" s="15">
        <f>INDEX('GLB.Ts+dSST (4)'!$B$3:$M$149,MATCH(VALUE(RIGHT(A1275,4)),'GLB.Ts+dSST (4)'!$A$3:$A$149,0),VALUE(LEFT(A1275,FIND("/",A1275)-1)))</f>
        <v>0.37</v>
      </c>
      <c r="C1275" s="15">
        <f t="shared" si="38"/>
        <v>14.37</v>
      </c>
      <c r="D1275" s="15">
        <f t="shared" si="39"/>
        <v>57.866</v>
      </c>
    </row>
    <row r="1276" spans="1:4" ht="15" customHeight="1">
      <c r="A1276" t="s">
        <v>1339</v>
      </c>
      <c r="B1276" s="15">
        <f>INDEX('GLB.Ts+dSST (4)'!$B$3:$M$149,MATCH(VALUE(RIGHT(A1276,4)),'GLB.Ts+dSST (4)'!$A$3:$A$149,0),VALUE(LEFT(A1276,FIND("/",A1276)-1)))</f>
        <v>0.3</v>
      </c>
      <c r="C1276" s="15">
        <f t="shared" si="38"/>
        <v>14.3</v>
      </c>
      <c r="D1276" s="15">
        <f t="shared" si="39"/>
        <v>57.74</v>
      </c>
    </row>
    <row r="1277" spans="1:4" ht="15" customHeight="1">
      <c r="A1277" t="s">
        <v>1340</v>
      </c>
      <c r="B1277" s="15">
        <f>INDEX('GLB.Ts+dSST (4)'!$B$3:$M$149,MATCH(VALUE(RIGHT(A1277,4)),'GLB.Ts+dSST (4)'!$A$3:$A$149,0),VALUE(LEFT(A1277,FIND("/",A1277)-1)))</f>
        <v>0.22</v>
      </c>
      <c r="C1277" s="15">
        <f t="shared" si="38"/>
        <v>14.22</v>
      </c>
      <c r="D1277" s="15">
        <f t="shared" si="39"/>
        <v>57.596000000000004</v>
      </c>
    </row>
    <row r="1278" spans="1:4" ht="15" customHeight="1">
      <c r="A1278" t="s">
        <v>1341</v>
      </c>
      <c r="B1278" s="15">
        <f>INDEX('GLB.Ts+dSST (4)'!$B$3:$M$149,MATCH(VALUE(RIGHT(A1278,4)),'GLB.Ts+dSST (4)'!$A$3:$A$149,0),VALUE(LEFT(A1278,FIND("/",A1278)-1)))</f>
        <v>0.21</v>
      </c>
      <c r="C1278" s="15">
        <f t="shared" si="38"/>
        <v>14.21</v>
      </c>
      <c r="D1278" s="15">
        <f t="shared" si="39"/>
        <v>57.578000000000003</v>
      </c>
    </row>
    <row r="1279" spans="1:4" ht="15" customHeight="1">
      <c r="A1279" t="s">
        <v>1342</v>
      </c>
      <c r="B1279" s="15">
        <f>INDEX('GLB.Ts+dSST (4)'!$B$3:$M$149,MATCH(VALUE(RIGHT(A1279,4)),'GLB.Ts+dSST (4)'!$A$3:$A$149,0),VALUE(LEFT(A1279,FIND("/",A1279)-1)))</f>
        <v>0.12</v>
      </c>
      <c r="C1279" s="15">
        <f t="shared" si="38"/>
        <v>14.12</v>
      </c>
      <c r="D1279" s="15">
        <f t="shared" si="39"/>
        <v>57.415999999999997</v>
      </c>
    </row>
    <row r="1280" spans="1:4" ht="15" customHeight="1">
      <c r="A1280" t="s">
        <v>1343</v>
      </c>
      <c r="B1280" s="15">
        <f>INDEX('GLB.Ts+dSST (4)'!$B$3:$M$149,MATCH(VALUE(RIGHT(A1280,4)),'GLB.Ts+dSST (4)'!$A$3:$A$149,0),VALUE(LEFT(A1280,FIND("/",A1280)-1)))</f>
        <v>0.11</v>
      </c>
      <c r="C1280" s="15">
        <f t="shared" si="38"/>
        <v>14.11</v>
      </c>
      <c r="D1280" s="15">
        <f t="shared" si="39"/>
        <v>57.397999999999996</v>
      </c>
    </row>
    <row r="1281" spans="1:4" ht="15" customHeight="1">
      <c r="A1281" t="s">
        <v>1344</v>
      </c>
      <c r="B1281" s="15">
        <f>INDEX('GLB.Ts+dSST (4)'!$B$3:$M$149,MATCH(VALUE(RIGHT(A1281,4)),'GLB.Ts+dSST (4)'!$A$3:$A$149,0),VALUE(LEFT(A1281,FIND("/",A1281)-1)))</f>
        <v>0.16</v>
      </c>
      <c r="C1281" s="15">
        <f t="shared" si="38"/>
        <v>14.16</v>
      </c>
      <c r="D1281" s="15">
        <f t="shared" si="39"/>
        <v>57.488</v>
      </c>
    </row>
    <row r="1282" spans="1:4" ht="15" customHeight="1">
      <c r="A1282" t="s">
        <v>1345</v>
      </c>
      <c r="B1282" s="15">
        <f>INDEX('GLB.Ts+dSST (4)'!$B$3:$M$149,MATCH(VALUE(RIGHT(A1282,4)),'GLB.Ts+dSST (4)'!$A$3:$A$149,0),VALUE(LEFT(A1282,FIND("/",A1282)-1)))</f>
        <v>0.03</v>
      </c>
      <c r="C1282" s="15">
        <f t="shared" ref="C1282:C1345" si="40">B1282+14</f>
        <v>14.03</v>
      </c>
      <c r="D1282" s="15">
        <f t="shared" ref="D1282:D1345" si="41">C1282*(9/5)+32</f>
        <v>57.253999999999998</v>
      </c>
    </row>
    <row r="1283" spans="1:4" ht="15" customHeight="1">
      <c r="A1283" t="s">
        <v>1346</v>
      </c>
      <c r="B1283" s="15">
        <f>INDEX('GLB.Ts+dSST (4)'!$B$3:$M$149,MATCH(VALUE(RIGHT(A1283,4)),'GLB.Ts+dSST (4)'!$A$3:$A$149,0),VALUE(LEFT(A1283,FIND("/",A1283)-1)))</f>
        <v>0.15</v>
      </c>
      <c r="C1283" s="15">
        <f t="shared" si="40"/>
        <v>14.15</v>
      </c>
      <c r="D1283" s="15">
        <f t="shared" si="41"/>
        <v>57.47</v>
      </c>
    </row>
    <row r="1284" spans="1:4" ht="15" customHeight="1">
      <c r="A1284" t="s">
        <v>1347</v>
      </c>
      <c r="B1284" s="15">
        <f>INDEX('GLB.Ts+dSST (4)'!$B$3:$M$149,MATCH(VALUE(RIGHT(A1284,4)),'GLB.Ts+dSST (4)'!$A$3:$A$149,0),VALUE(LEFT(A1284,FIND("/",A1284)-1)))</f>
        <v>0.1</v>
      </c>
      <c r="C1284" s="15">
        <f t="shared" si="40"/>
        <v>14.1</v>
      </c>
      <c r="D1284" s="15">
        <f t="shared" si="41"/>
        <v>57.379999999999995</v>
      </c>
    </row>
    <row r="1285" spans="1:4" ht="15" customHeight="1">
      <c r="A1285" t="s">
        <v>1348</v>
      </c>
      <c r="B1285" s="15">
        <f>INDEX('GLB.Ts+dSST (4)'!$B$3:$M$149,MATCH(VALUE(RIGHT(A1285,4)),'GLB.Ts+dSST (4)'!$A$3:$A$149,0),VALUE(LEFT(A1285,FIND("/",A1285)-1)))</f>
        <v>0.13</v>
      </c>
      <c r="C1285" s="15">
        <f t="shared" si="40"/>
        <v>14.13</v>
      </c>
      <c r="D1285" s="15">
        <f t="shared" si="41"/>
        <v>57.433999999999997</v>
      </c>
    </row>
    <row r="1286" spans="1:4" ht="15" customHeight="1">
      <c r="A1286" t="s">
        <v>1349</v>
      </c>
      <c r="B1286" s="15">
        <f>INDEX('GLB.Ts+dSST (4)'!$B$3:$M$149,MATCH(VALUE(RIGHT(A1286,4)),'GLB.Ts+dSST (4)'!$A$3:$A$149,0),VALUE(LEFT(A1286,FIND("/",A1286)-1)))</f>
        <v>0.32</v>
      </c>
      <c r="C1286" s="15">
        <f t="shared" si="40"/>
        <v>14.32</v>
      </c>
      <c r="D1286" s="15">
        <f t="shared" si="41"/>
        <v>57.775999999999996</v>
      </c>
    </row>
    <row r="1287" spans="1:4" ht="15" customHeight="1">
      <c r="A1287" t="s">
        <v>1350</v>
      </c>
      <c r="B1287" s="15">
        <f>INDEX('GLB.Ts+dSST (4)'!$B$3:$M$149,MATCH(VALUE(RIGHT(A1287,4)),'GLB.Ts+dSST (4)'!$A$3:$A$149,0),VALUE(LEFT(A1287,FIND("/",A1287)-1)))</f>
        <v>0.43</v>
      </c>
      <c r="C1287" s="15">
        <f t="shared" si="40"/>
        <v>14.43</v>
      </c>
      <c r="D1287" s="15">
        <f t="shared" si="41"/>
        <v>57.974000000000004</v>
      </c>
    </row>
    <row r="1288" spans="1:4" ht="15" customHeight="1">
      <c r="A1288" t="s">
        <v>1351</v>
      </c>
      <c r="B1288" s="15">
        <f>INDEX('GLB.Ts+dSST (4)'!$B$3:$M$149,MATCH(VALUE(RIGHT(A1288,4)),'GLB.Ts+dSST (4)'!$A$3:$A$149,0),VALUE(LEFT(A1288,FIND("/",A1288)-1)))</f>
        <v>0.18</v>
      </c>
      <c r="C1288" s="15">
        <f t="shared" si="40"/>
        <v>14.18</v>
      </c>
      <c r="D1288" s="15">
        <f t="shared" si="41"/>
        <v>57.524000000000001</v>
      </c>
    </row>
    <row r="1289" spans="1:4" ht="15" customHeight="1">
      <c r="A1289" t="s">
        <v>1352</v>
      </c>
      <c r="B1289" s="15">
        <f>INDEX('GLB.Ts+dSST (4)'!$B$3:$M$149,MATCH(VALUE(RIGHT(A1289,4)),'GLB.Ts+dSST (4)'!$A$3:$A$149,0),VALUE(LEFT(A1289,FIND("/",A1289)-1)))</f>
        <v>0.24</v>
      </c>
      <c r="C1289" s="15">
        <f t="shared" si="40"/>
        <v>14.24</v>
      </c>
      <c r="D1289" s="15">
        <f t="shared" si="41"/>
        <v>57.632000000000005</v>
      </c>
    </row>
    <row r="1290" spans="1:4" ht="15" customHeight="1">
      <c r="A1290" t="s">
        <v>1353</v>
      </c>
      <c r="B1290" s="15">
        <f>INDEX('GLB.Ts+dSST (4)'!$B$3:$M$149,MATCH(VALUE(RIGHT(A1290,4)),'GLB.Ts+dSST (4)'!$A$3:$A$149,0),VALUE(LEFT(A1290,FIND("/",A1290)-1)))</f>
        <v>0.26</v>
      </c>
      <c r="C1290" s="15">
        <f t="shared" si="40"/>
        <v>14.26</v>
      </c>
      <c r="D1290" s="15">
        <f t="shared" si="41"/>
        <v>57.667999999999999</v>
      </c>
    </row>
    <row r="1291" spans="1:4" ht="15" customHeight="1">
      <c r="A1291" t="s">
        <v>1354</v>
      </c>
      <c r="B1291" s="15">
        <f>INDEX('GLB.Ts+dSST (4)'!$B$3:$M$149,MATCH(VALUE(RIGHT(A1291,4)),'GLB.Ts+dSST (4)'!$A$3:$A$149,0),VALUE(LEFT(A1291,FIND("/",A1291)-1)))</f>
        <v>0.35</v>
      </c>
      <c r="C1291" s="15">
        <f t="shared" si="40"/>
        <v>14.35</v>
      </c>
      <c r="D1291" s="15">
        <f t="shared" si="41"/>
        <v>57.83</v>
      </c>
    </row>
    <row r="1292" spans="1:4" ht="15" customHeight="1">
      <c r="A1292" t="s">
        <v>1355</v>
      </c>
      <c r="B1292" s="15">
        <f>INDEX('GLB.Ts+dSST (4)'!$B$3:$M$149,MATCH(VALUE(RIGHT(A1292,4)),'GLB.Ts+dSST (4)'!$A$3:$A$149,0),VALUE(LEFT(A1292,FIND("/",A1292)-1)))</f>
        <v>0.4</v>
      </c>
      <c r="C1292" s="15">
        <f t="shared" si="40"/>
        <v>14.4</v>
      </c>
      <c r="D1292" s="15">
        <f t="shared" si="41"/>
        <v>57.92</v>
      </c>
    </row>
    <row r="1293" spans="1:4" ht="15" customHeight="1">
      <c r="A1293" t="s">
        <v>1356</v>
      </c>
      <c r="B1293" s="15">
        <f>INDEX('GLB.Ts+dSST (4)'!$B$3:$M$149,MATCH(VALUE(RIGHT(A1293,4)),'GLB.Ts+dSST (4)'!$A$3:$A$149,0),VALUE(LEFT(A1293,FIND("/",A1293)-1)))</f>
        <v>0.25</v>
      </c>
      <c r="C1293" s="15">
        <f t="shared" si="40"/>
        <v>14.25</v>
      </c>
      <c r="D1293" s="15">
        <f t="shared" si="41"/>
        <v>57.650000000000006</v>
      </c>
    </row>
    <row r="1294" spans="1:4" ht="15" customHeight="1">
      <c r="A1294" t="s">
        <v>1357</v>
      </c>
      <c r="B1294" s="15">
        <f>INDEX('GLB.Ts+dSST (4)'!$B$3:$M$149,MATCH(VALUE(RIGHT(A1294,4)),'GLB.Ts+dSST (4)'!$A$3:$A$149,0),VALUE(LEFT(A1294,FIND("/",A1294)-1)))</f>
        <v>0.35</v>
      </c>
      <c r="C1294" s="15">
        <f t="shared" si="40"/>
        <v>14.35</v>
      </c>
      <c r="D1294" s="15">
        <f t="shared" si="41"/>
        <v>57.83</v>
      </c>
    </row>
    <row r="1295" spans="1:4" ht="15" customHeight="1">
      <c r="A1295" t="s">
        <v>1358</v>
      </c>
      <c r="B1295" s="15">
        <f>INDEX('GLB.Ts+dSST (4)'!$B$3:$M$149,MATCH(VALUE(RIGHT(A1295,4)),'GLB.Ts+dSST (4)'!$A$3:$A$149,0),VALUE(LEFT(A1295,FIND("/",A1295)-1)))</f>
        <v>0.33</v>
      </c>
      <c r="C1295" s="15">
        <f t="shared" si="40"/>
        <v>14.33</v>
      </c>
      <c r="D1295" s="15">
        <f t="shared" si="41"/>
        <v>57.793999999999997</v>
      </c>
    </row>
    <row r="1296" spans="1:4" ht="15" customHeight="1">
      <c r="A1296" t="s">
        <v>1359</v>
      </c>
      <c r="B1296" s="15">
        <f>INDEX('GLB.Ts+dSST (4)'!$B$3:$M$149,MATCH(VALUE(RIGHT(A1296,4)),'GLB.Ts+dSST (4)'!$A$3:$A$149,0),VALUE(LEFT(A1296,FIND("/",A1296)-1)))</f>
        <v>0.28999999999999998</v>
      </c>
      <c r="C1296" s="15">
        <f t="shared" si="40"/>
        <v>14.29</v>
      </c>
      <c r="D1296" s="15">
        <f t="shared" si="41"/>
        <v>57.721999999999994</v>
      </c>
    </row>
    <row r="1297" spans="1:4" ht="15" customHeight="1">
      <c r="A1297" t="s">
        <v>1360</v>
      </c>
      <c r="B1297" s="15">
        <f>INDEX('GLB.Ts+dSST (4)'!$B$3:$M$149,MATCH(VALUE(RIGHT(A1297,4)),'GLB.Ts+dSST (4)'!$A$3:$A$149,0),VALUE(LEFT(A1297,FIND("/",A1297)-1)))</f>
        <v>0.46</v>
      </c>
      <c r="C1297" s="15">
        <f t="shared" si="40"/>
        <v>14.46</v>
      </c>
      <c r="D1297" s="15">
        <f t="shared" si="41"/>
        <v>58.028000000000006</v>
      </c>
    </row>
    <row r="1298" spans="1:4" ht="15" customHeight="1">
      <c r="A1298" t="s">
        <v>1361</v>
      </c>
      <c r="B1298" s="15">
        <f>INDEX('GLB.Ts+dSST (4)'!$B$3:$M$149,MATCH(VALUE(RIGHT(A1298,4)),'GLB.Ts+dSST (4)'!$A$3:$A$149,0),VALUE(LEFT(A1298,FIND("/",A1298)-1)))</f>
        <v>0.56999999999999995</v>
      </c>
      <c r="C1298" s="15">
        <f t="shared" si="40"/>
        <v>14.57</v>
      </c>
      <c r="D1298" s="15">
        <f t="shared" si="41"/>
        <v>58.225999999999999</v>
      </c>
    </row>
    <row r="1299" spans="1:4" ht="15" customHeight="1">
      <c r="A1299" t="s">
        <v>1362</v>
      </c>
      <c r="B1299" s="15">
        <f>INDEX('GLB.Ts+dSST (4)'!$B$3:$M$149,MATCH(VALUE(RIGHT(A1299,4)),'GLB.Ts+dSST (4)'!$A$3:$A$149,0),VALUE(LEFT(A1299,FIND("/",A1299)-1)))</f>
        <v>0.44</v>
      </c>
      <c r="C1299" s="15">
        <f t="shared" si="40"/>
        <v>14.44</v>
      </c>
      <c r="D1299" s="15">
        <f t="shared" si="41"/>
        <v>57.992000000000004</v>
      </c>
    </row>
    <row r="1300" spans="1:4" ht="15" customHeight="1">
      <c r="A1300" t="s">
        <v>1363</v>
      </c>
      <c r="B1300" s="15">
        <f>INDEX('GLB.Ts+dSST (4)'!$B$3:$M$149,MATCH(VALUE(RIGHT(A1300,4)),'GLB.Ts+dSST (4)'!$A$3:$A$149,0),VALUE(LEFT(A1300,FIND("/",A1300)-1)))</f>
        <v>0.52</v>
      </c>
      <c r="C1300" s="15">
        <f t="shared" si="40"/>
        <v>14.52</v>
      </c>
      <c r="D1300" s="15">
        <f t="shared" si="41"/>
        <v>58.135999999999996</v>
      </c>
    </row>
    <row r="1301" spans="1:4" ht="15" customHeight="1">
      <c r="A1301" t="s">
        <v>1364</v>
      </c>
      <c r="B1301" s="15">
        <f>INDEX('GLB.Ts+dSST (4)'!$B$3:$M$149,MATCH(VALUE(RIGHT(A1301,4)),'GLB.Ts+dSST (4)'!$A$3:$A$149,0),VALUE(LEFT(A1301,FIND("/",A1301)-1)))</f>
        <v>0.43</v>
      </c>
      <c r="C1301" s="15">
        <f t="shared" si="40"/>
        <v>14.43</v>
      </c>
      <c r="D1301" s="15">
        <f t="shared" si="41"/>
        <v>57.974000000000004</v>
      </c>
    </row>
    <row r="1302" spans="1:4" ht="15" customHeight="1">
      <c r="A1302" t="s">
        <v>1365</v>
      </c>
      <c r="B1302" s="15">
        <f>INDEX('GLB.Ts+dSST (4)'!$B$3:$M$149,MATCH(VALUE(RIGHT(A1302,4)),'GLB.Ts+dSST (4)'!$A$3:$A$149,0),VALUE(LEFT(A1302,FIND("/",A1302)-1)))</f>
        <v>0.44</v>
      </c>
      <c r="C1302" s="15">
        <f t="shared" si="40"/>
        <v>14.44</v>
      </c>
      <c r="D1302" s="15">
        <f t="shared" si="41"/>
        <v>57.992000000000004</v>
      </c>
    </row>
    <row r="1303" spans="1:4" ht="15" customHeight="1">
      <c r="A1303" t="s">
        <v>1366</v>
      </c>
      <c r="B1303" s="15">
        <f>INDEX('GLB.Ts+dSST (4)'!$B$3:$M$149,MATCH(VALUE(RIGHT(A1303,4)),'GLB.Ts+dSST (4)'!$A$3:$A$149,0),VALUE(LEFT(A1303,FIND("/",A1303)-1)))</f>
        <v>0.4</v>
      </c>
      <c r="C1303" s="15">
        <f t="shared" si="40"/>
        <v>14.4</v>
      </c>
      <c r="D1303" s="15">
        <f t="shared" si="41"/>
        <v>57.92</v>
      </c>
    </row>
    <row r="1304" spans="1:4" ht="15" customHeight="1">
      <c r="A1304" t="s">
        <v>1367</v>
      </c>
      <c r="B1304" s="15">
        <f>INDEX('GLB.Ts+dSST (4)'!$B$3:$M$149,MATCH(VALUE(RIGHT(A1304,4)),'GLB.Ts+dSST (4)'!$A$3:$A$149,0),VALUE(LEFT(A1304,FIND("/",A1304)-1)))</f>
        <v>0.33</v>
      </c>
      <c r="C1304" s="15">
        <f t="shared" si="40"/>
        <v>14.33</v>
      </c>
      <c r="D1304" s="15">
        <f t="shared" si="41"/>
        <v>57.793999999999997</v>
      </c>
    </row>
    <row r="1305" spans="1:4" ht="15" customHeight="1">
      <c r="A1305" t="s">
        <v>1368</v>
      </c>
      <c r="B1305" s="15">
        <f>INDEX('GLB.Ts+dSST (4)'!$B$3:$M$149,MATCH(VALUE(RIGHT(A1305,4)),'GLB.Ts+dSST (4)'!$A$3:$A$149,0),VALUE(LEFT(A1305,FIND("/",A1305)-1)))</f>
        <v>0.39</v>
      </c>
      <c r="C1305" s="15">
        <f t="shared" si="40"/>
        <v>14.39</v>
      </c>
      <c r="D1305" s="15">
        <f t="shared" si="41"/>
        <v>57.902000000000001</v>
      </c>
    </row>
    <row r="1306" spans="1:4" ht="15" customHeight="1">
      <c r="A1306" t="s">
        <v>1369</v>
      </c>
      <c r="B1306" s="15">
        <f>INDEX('GLB.Ts+dSST (4)'!$B$3:$M$149,MATCH(VALUE(RIGHT(A1306,4)),'GLB.Ts+dSST (4)'!$A$3:$A$149,0),VALUE(LEFT(A1306,FIND("/",A1306)-1)))</f>
        <v>0.37</v>
      </c>
      <c r="C1306" s="15">
        <f t="shared" si="40"/>
        <v>14.37</v>
      </c>
      <c r="D1306" s="15">
        <f t="shared" si="41"/>
        <v>57.866</v>
      </c>
    </row>
    <row r="1307" spans="1:4" ht="15" customHeight="1">
      <c r="A1307" t="s">
        <v>1370</v>
      </c>
      <c r="B1307" s="15">
        <f>INDEX('GLB.Ts+dSST (4)'!$B$3:$M$149,MATCH(VALUE(RIGHT(A1307,4)),'GLB.Ts+dSST (4)'!$A$3:$A$149,0),VALUE(LEFT(A1307,FIND("/",A1307)-1)))</f>
        <v>0.38</v>
      </c>
      <c r="C1307" s="15">
        <f t="shared" si="40"/>
        <v>14.38</v>
      </c>
      <c r="D1307" s="15">
        <f t="shared" si="41"/>
        <v>57.884</v>
      </c>
    </row>
    <row r="1308" spans="1:4" ht="15" customHeight="1">
      <c r="A1308" t="s">
        <v>1371</v>
      </c>
      <c r="B1308" s="15">
        <f>INDEX('GLB.Ts+dSST (4)'!$B$3:$M$149,MATCH(VALUE(RIGHT(A1308,4)),'GLB.Ts+dSST (4)'!$A$3:$A$149,0),VALUE(LEFT(A1308,FIND("/",A1308)-1)))</f>
        <v>0.12</v>
      </c>
      <c r="C1308" s="15">
        <f t="shared" si="40"/>
        <v>14.12</v>
      </c>
      <c r="D1308" s="15">
        <f t="shared" si="41"/>
        <v>57.415999999999997</v>
      </c>
    </row>
    <row r="1309" spans="1:4" ht="15" customHeight="1">
      <c r="A1309" t="s">
        <v>1372</v>
      </c>
      <c r="B1309" s="15">
        <f>INDEX('GLB.Ts+dSST (4)'!$B$3:$M$149,MATCH(VALUE(RIGHT(A1309,4)),'GLB.Ts+dSST (4)'!$A$3:$A$149,0),VALUE(LEFT(A1309,FIND("/",A1309)-1)))</f>
        <v>0.28999999999999998</v>
      </c>
      <c r="C1309" s="15">
        <f t="shared" si="40"/>
        <v>14.29</v>
      </c>
      <c r="D1309" s="15">
        <f t="shared" si="41"/>
        <v>57.721999999999994</v>
      </c>
    </row>
    <row r="1310" spans="1:4" ht="15" customHeight="1">
      <c r="A1310" t="s">
        <v>1373</v>
      </c>
      <c r="B1310" s="15">
        <f>INDEX('GLB.Ts+dSST (4)'!$B$3:$M$149,MATCH(VALUE(RIGHT(A1310,4)),'GLB.Ts+dSST (4)'!$A$3:$A$149,0),VALUE(LEFT(A1310,FIND("/",A1310)-1)))</f>
        <v>0.12</v>
      </c>
      <c r="C1310" s="15">
        <f t="shared" si="40"/>
        <v>14.12</v>
      </c>
      <c r="D1310" s="15">
        <f t="shared" si="41"/>
        <v>57.415999999999997</v>
      </c>
    </row>
    <row r="1311" spans="1:4" ht="15" customHeight="1">
      <c r="A1311" t="s">
        <v>1374</v>
      </c>
      <c r="B1311" s="15">
        <f>INDEX('GLB.Ts+dSST (4)'!$B$3:$M$149,MATCH(VALUE(RIGHT(A1311,4)),'GLB.Ts+dSST (4)'!$A$3:$A$149,0),VALUE(LEFT(A1311,FIND("/",A1311)-1)))</f>
        <v>0.3</v>
      </c>
      <c r="C1311" s="15">
        <f t="shared" si="40"/>
        <v>14.3</v>
      </c>
      <c r="D1311" s="15">
        <f t="shared" si="41"/>
        <v>57.74</v>
      </c>
    </row>
    <row r="1312" spans="1:4" ht="15" customHeight="1">
      <c r="A1312" t="s">
        <v>1375</v>
      </c>
      <c r="B1312" s="15">
        <f>INDEX('GLB.Ts+dSST (4)'!$B$3:$M$149,MATCH(VALUE(RIGHT(A1312,4)),'GLB.Ts+dSST (4)'!$A$3:$A$149,0),VALUE(LEFT(A1312,FIND("/",A1312)-1)))</f>
        <v>0.36</v>
      </c>
      <c r="C1312" s="15">
        <f t="shared" si="40"/>
        <v>14.36</v>
      </c>
      <c r="D1312" s="15">
        <f t="shared" si="41"/>
        <v>57.847999999999999</v>
      </c>
    </row>
    <row r="1313" spans="1:4" ht="15" customHeight="1">
      <c r="A1313" t="s">
        <v>1376</v>
      </c>
      <c r="B1313" s="15">
        <f>INDEX('GLB.Ts+dSST (4)'!$B$3:$M$149,MATCH(VALUE(RIGHT(A1313,4)),'GLB.Ts+dSST (4)'!$A$3:$A$149,0),VALUE(LEFT(A1313,FIND("/",A1313)-1)))</f>
        <v>0.28999999999999998</v>
      </c>
      <c r="C1313" s="15">
        <f t="shared" si="40"/>
        <v>14.29</v>
      </c>
      <c r="D1313" s="15">
        <f t="shared" si="41"/>
        <v>57.721999999999994</v>
      </c>
    </row>
    <row r="1314" spans="1:4" ht="15" customHeight="1">
      <c r="A1314" t="s">
        <v>1377</v>
      </c>
      <c r="B1314" s="15">
        <f>INDEX('GLB.Ts+dSST (4)'!$B$3:$M$149,MATCH(VALUE(RIGHT(A1314,4)),'GLB.Ts+dSST (4)'!$A$3:$A$149,0),VALUE(LEFT(A1314,FIND("/",A1314)-1)))</f>
        <v>0.18</v>
      </c>
      <c r="C1314" s="15">
        <f t="shared" si="40"/>
        <v>14.18</v>
      </c>
      <c r="D1314" s="15">
        <f t="shared" si="41"/>
        <v>57.524000000000001</v>
      </c>
    </row>
    <row r="1315" spans="1:4" ht="15" customHeight="1">
      <c r="A1315" t="s">
        <v>1378</v>
      </c>
      <c r="B1315" s="15">
        <f>INDEX('GLB.Ts+dSST (4)'!$B$3:$M$149,MATCH(VALUE(RIGHT(A1315,4)),'GLB.Ts+dSST (4)'!$A$3:$A$149,0),VALUE(LEFT(A1315,FIND("/",A1315)-1)))</f>
        <v>0.15</v>
      </c>
      <c r="C1315" s="15">
        <f t="shared" si="40"/>
        <v>14.15</v>
      </c>
      <c r="D1315" s="15">
        <f t="shared" si="41"/>
        <v>57.47</v>
      </c>
    </row>
    <row r="1316" spans="1:4" ht="15" customHeight="1">
      <c r="A1316" t="s">
        <v>1379</v>
      </c>
      <c r="B1316" s="15">
        <f>INDEX('GLB.Ts+dSST (4)'!$B$3:$M$149,MATCH(VALUE(RIGHT(A1316,4)),'GLB.Ts+dSST (4)'!$A$3:$A$149,0),VALUE(LEFT(A1316,FIND("/",A1316)-1)))</f>
        <v>0.35</v>
      </c>
      <c r="C1316" s="15">
        <f t="shared" si="40"/>
        <v>14.35</v>
      </c>
      <c r="D1316" s="15">
        <f t="shared" si="41"/>
        <v>57.83</v>
      </c>
    </row>
    <row r="1317" spans="1:4" ht="15" customHeight="1">
      <c r="A1317" t="s">
        <v>1380</v>
      </c>
      <c r="B1317" s="15">
        <f>INDEX('GLB.Ts+dSST (4)'!$B$3:$M$149,MATCH(VALUE(RIGHT(A1317,4)),'GLB.Ts+dSST (4)'!$A$3:$A$149,0),VALUE(LEFT(A1317,FIND("/",A1317)-1)))</f>
        <v>0.33</v>
      </c>
      <c r="C1317" s="15">
        <f t="shared" si="40"/>
        <v>14.33</v>
      </c>
      <c r="D1317" s="15">
        <f t="shared" si="41"/>
        <v>57.793999999999997</v>
      </c>
    </row>
    <row r="1318" spans="1:4" ht="15" customHeight="1">
      <c r="A1318" t="s">
        <v>1381</v>
      </c>
      <c r="B1318" s="15">
        <f>INDEX('GLB.Ts+dSST (4)'!$B$3:$M$149,MATCH(VALUE(RIGHT(A1318,4)),'GLB.Ts+dSST (4)'!$A$3:$A$149,0),VALUE(LEFT(A1318,FIND("/",A1318)-1)))</f>
        <v>0.35</v>
      </c>
      <c r="C1318" s="15">
        <f t="shared" si="40"/>
        <v>14.35</v>
      </c>
      <c r="D1318" s="15">
        <f t="shared" si="41"/>
        <v>57.83</v>
      </c>
    </row>
    <row r="1319" spans="1:4" ht="15" customHeight="1">
      <c r="A1319" t="s">
        <v>1382</v>
      </c>
      <c r="B1319" s="15">
        <f>INDEX('GLB.Ts+dSST (4)'!$B$3:$M$149,MATCH(VALUE(RIGHT(A1319,4)),'GLB.Ts+dSST (4)'!$A$3:$A$149,0),VALUE(LEFT(A1319,FIND("/",A1319)-1)))</f>
        <v>0.28999999999999998</v>
      </c>
      <c r="C1319" s="15">
        <f t="shared" si="40"/>
        <v>14.29</v>
      </c>
      <c r="D1319" s="15">
        <f t="shared" si="41"/>
        <v>57.721999999999994</v>
      </c>
    </row>
    <row r="1320" spans="1:4" ht="15" customHeight="1">
      <c r="A1320" t="s">
        <v>1383</v>
      </c>
      <c r="B1320" s="15">
        <f>INDEX('GLB.Ts+dSST (4)'!$B$3:$M$149,MATCH(VALUE(RIGHT(A1320,4)),'GLB.Ts+dSST (4)'!$A$3:$A$149,0),VALUE(LEFT(A1320,FIND("/",A1320)-1)))</f>
        <v>0.2</v>
      </c>
      <c r="C1320" s="15">
        <f t="shared" si="40"/>
        <v>14.2</v>
      </c>
      <c r="D1320" s="15">
        <f t="shared" si="41"/>
        <v>57.56</v>
      </c>
    </row>
    <row r="1321" spans="1:4" ht="15" customHeight="1">
      <c r="A1321" t="s">
        <v>1384</v>
      </c>
      <c r="B1321" s="15">
        <f>INDEX('GLB.Ts+dSST (4)'!$B$3:$M$149,MATCH(VALUE(RIGHT(A1321,4)),'GLB.Ts+dSST (4)'!$A$3:$A$149,0),VALUE(LEFT(A1321,FIND("/",A1321)-1)))</f>
        <v>0.37</v>
      </c>
      <c r="C1321" s="15">
        <f t="shared" si="40"/>
        <v>14.37</v>
      </c>
      <c r="D1321" s="15">
        <f t="shared" si="41"/>
        <v>57.866</v>
      </c>
    </row>
    <row r="1322" spans="1:4" ht="15" customHeight="1">
      <c r="A1322" t="s">
        <v>1385</v>
      </c>
      <c r="B1322" s="15">
        <f>INDEX('GLB.Ts+dSST (4)'!$B$3:$M$149,MATCH(VALUE(RIGHT(A1322,4)),'GLB.Ts+dSST (4)'!$A$3:$A$149,0),VALUE(LEFT(A1322,FIND("/",A1322)-1)))</f>
        <v>0.42</v>
      </c>
      <c r="C1322" s="15">
        <f t="shared" si="40"/>
        <v>14.42</v>
      </c>
      <c r="D1322" s="15">
        <f t="shared" si="41"/>
        <v>57.956000000000003</v>
      </c>
    </row>
    <row r="1323" spans="1:4" ht="15" customHeight="1">
      <c r="A1323" t="s">
        <v>1386</v>
      </c>
      <c r="B1323" s="15">
        <f>INDEX('GLB.Ts+dSST (4)'!$B$3:$M$149,MATCH(VALUE(RIGHT(A1323,4)),'GLB.Ts+dSST (4)'!$A$3:$A$149,0),VALUE(LEFT(A1323,FIND("/",A1323)-1)))</f>
        <v>0.44</v>
      </c>
      <c r="C1323" s="15">
        <f t="shared" si="40"/>
        <v>14.44</v>
      </c>
      <c r="D1323" s="15">
        <f t="shared" si="41"/>
        <v>57.992000000000004</v>
      </c>
    </row>
    <row r="1324" spans="1:4" ht="15" customHeight="1">
      <c r="A1324" t="s">
        <v>1387</v>
      </c>
      <c r="B1324" s="15">
        <f>INDEX('GLB.Ts+dSST (4)'!$B$3:$M$149,MATCH(VALUE(RIGHT(A1324,4)),'GLB.Ts+dSST (4)'!$A$3:$A$149,0),VALUE(LEFT(A1324,FIND("/",A1324)-1)))</f>
        <v>0.8</v>
      </c>
      <c r="C1324" s="15">
        <f t="shared" si="40"/>
        <v>14.8</v>
      </c>
      <c r="D1324" s="15">
        <f t="shared" si="41"/>
        <v>58.64</v>
      </c>
    </row>
    <row r="1325" spans="1:4" ht="15" customHeight="1">
      <c r="A1325" t="s">
        <v>1388</v>
      </c>
      <c r="B1325" s="15">
        <f>INDEX('GLB.Ts+dSST (4)'!$B$3:$M$149,MATCH(VALUE(RIGHT(A1325,4)),'GLB.Ts+dSST (4)'!$A$3:$A$149,0),VALUE(LEFT(A1325,FIND("/",A1325)-1)))</f>
        <v>0.56000000000000005</v>
      </c>
      <c r="C1325" s="15">
        <f t="shared" si="40"/>
        <v>14.56</v>
      </c>
      <c r="D1325" s="15">
        <f t="shared" si="41"/>
        <v>58.207999999999998</v>
      </c>
    </row>
    <row r="1326" spans="1:4" ht="15" customHeight="1">
      <c r="A1326" t="s">
        <v>1389</v>
      </c>
      <c r="B1326" s="15">
        <f>INDEX('GLB.Ts+dSST (4)'!$B$3:$M$149,MATCH(VALUE(RIGHT(A1326,4)),'GLB.Ts+dSST (4)'!$A$3:$A$149,0),VALUE(LEFT(A1326,FIND("/",A1326)-1)))</f>
        <v>0.46</v>
      </c>
      <c r="C1326" s="15">
        <f t="shared" si="40"/>
        <v>14.46</v>
      </c>
      <c r="D1326" s="15">
        <f t="shared" si="41"/>
        <v>58.028000000000006</v>
      </c>
    </row>
    <row r="1327" spans="1:4" ht="15" customHeight="1">
      <c r="A1327" t="s">
        <v>1390</v>
      </c>
      <c r="B1327" s="15">
        <f>INDEX('GLB.Ts+dSST (4)'!$B$3:$M$149,MATCH(VALUE(RIGHT(A1327,4)),'GLB.Ts+dSST (4)'!$A$3:$A$149,0),VALUE(LEFT(A1327,FIND("/",A1327)-1)))</f>
        <v>0.37</v>
      </c>
      <c r="C1327" s="15">
        <f t="shared" si="40"/>
        <v>14.37</v>
      </c>
      <c r="D1327" s="15">
        <f t="shared" si="41"/>
        <v>57.866</v>
      </c>
    </row>
    <row r="1328" spans="1:4" ht="15" customHeight="1">
      <c r="A1328" t="s">
        <v>1391</v>
      </c>
      <c r="B1328" s="15">
        <f>INDEX('GLB.Ts+dSST (4)'!$B$3:$M$149,MATCH(VALUE(RIGHT(A1328,4)),'GLB.Ts+dSST (4)'!$A$3:$A$149,0),VALUE(LEFT(A1328,FIND("/",A1328)-1)))</f>
        <v>0.46</v>
      </c>
      <c r="C1328" s="15">
        <f t="shared" si="40"/>
        <v>14.46</v>
      </c>
      <c r="D1328" s="15">
        <f t="shared" si="41"/>
        <v>58.028000000000006</v>
      </c>
    </row>
    <row r="1329" spans="1:4" ht="15" customHeight="1">
      <c r="A1329" t="s">
        <v>1392</v>
      </c>
      <c r="B1329" s="15">
        <f>INDEX('GLB.Ts+dSST (4)'!$B$3:$M$149,MATCH(VALUE(RIGHT(A1329,4)),'GLB.Ts+dSST (4)'!$A$3:$A$149,0),VALUE(LEFT(A1329,FIND("/",A1329)-1)))</f>
        <v>0.34</v>
      </c>
      <c r="C1329" s="15">
        <f t="shared" si="40"/>
        <v>14.34</v>
      </c>
      <c r="D1329" s="15">
        <f t="shared" si="41"/>
        <v>57.811999999999998</v>
      </c>
    </row>
    <row r="1330" spans="1:4" ht="15" customHeight="1">
      <c r="A1330" t="s">
        <v>1393</v>
      </c>
      <c r="B1330" s="15">
        <f>INDEX('GLB.Ts+dSST (4)'!$B$3:$M$149,MATCH(VALUE(RIGHT(A1330,4)),'GLB.Ts+dSST (4)'!$A$3:$A$149,0),VALUE(LEFT(A1330,FIND("/",A1330)-1)))</f>
        <v>0.23</v>
      </c>
      <c r="C1330" s="15">
        <f t="shared" si="40"/>
        <v>14.23</v>
      </c>
      <c r="D1330" s="15">
        <f t="shared" si="41"/>
        <v>57.614000000000004</v>
      </c>
    </row>
    <row r="1331" spans="1:4" ht="15" customHeight="1">
      <c r="A1331" t="s">
        <v>1394</v>
      </c>
      <c r="B1331" s="15">
        <f>INDEX('GLB.Ts+dSST (4)'!$B$3:$M$149,MATCH(VALUE(RIGHT(A1331,4)),'GLB.Ts+dSST (4)'!$A$3:$A$149,0),VALUE(LEFT(A1331,FIND("/",A1331)-1)))</f>
        <v>0.45</v>
      </c>
      <c r="C1331" s="15">
        <f t="shared" si="40"/>
        <v>14.45</v>
      </c>
      <c r="D1331" s="15">
        <f t="shared" si="41"/>
        <v>58.01</v>
      </c>
    </row>
    <row r="1332" spans="1:4" ht="15" customHeight="1">
      <c r="A1332" t="s">
        <v>1395</v>
      </c>
      <c r="B1332" s="15">
        <f>INDEX('GLB.Ts+dSST (4)'!$B$3:$M$149,MATCH(VALUE(RIGHT(A1332,4)),'GLB.Ts+dSST (4)'!$A$3:$A$149,0),VALUE(LEFT(A1332,FIND("/",A1332)-1)))</f>
        <v>0.46</v>
      </c>
      <c r="C1332" s="15">
        <f t="shared" si="40"/>
        <v>14.46</v>
      </c>
      <c r="D1332" s="15">
        <f t="shared" si="41"/>
        <v>58.028000000000006</v>
      </c>
    </row>
    <row r="1333" spans="1:4" ht="15" customHeight="1">
      <c r="A1333" t="s">
        <v>1396</v>
      </c>
      <c r="B1333" s="15">
        <f>INDEX('GLB.Ts+dSST (4)'!$B$3:$M$149,MATCH(VALUE(RIGHT(A1333,4)),'GLB.Ts+dSST (4)'!$A$3:$A$149,0),VALUE(LEFT(A1333,FIND("/",A1333)-1)))</f>
        <v>0.4</v>
      </c>
      <c r="C1333" s="15">
        <f t="shared" si="40"/>
        <v>14.4</v>
      </c>
      <c r="D1333" s="15">
        <f t="shared" si="41"/>
        <v>57.92</v>
      </c>
    </row>
    <row r="1334" spans="1:4" ht="15" customHeight="1">
      <c r="A1334" t="s">
        <v>1397</v>
      </c>
      <c r="B1334" s="15">
        <f>INDEX('GLB.Ts+dSST (4)'!$B$3:$M$149,MATCH(VALUE(RIGHT(A1334,4)),'GLB.Ts+dSST (4)'!$A$3:$A$149,0),VALUE(LEFT(A1334,FIND("/",A1334)-1)))</f>
        <v>0.43</v>
      </c>
      <c r="C1334" s="15">
        <f t="shared" si="40"/>
        <v>14.43</v>
      </c>
      <c r="D1334" s="15">
        <f t="shared" si="41"/>
        <v>57.974000000000004</v>
      </c>
    </row>
    <row r="1335" spans="1:4" ht="15" customHeight="1">
      <c r="A1335" t="s">
        <v>1398</v>
      </c>
      <c r="B1335" s="15">
        <f>INDEX('GLB.Ts+dSST (4)'!$B$3:$M$149,MATCH(VALUE(RIGHT(A1335,4)),'GLB.Ts+dSST (4)'!$A$3:$A$149,0),VALUE(LEFT(A1335,FIND("/",A1335)-1)))</f>
        <v>0.5</v>
      </c>
      <c r="C1335" s="15">
        <f t="shared" si="40"/>
        <v>14.5</v>
      </c>
      <c r="D1335" s="15">
        <f t="shared" si="41"/>
        <v>58.1</v>
      </c>
    </row>
    <row r="1336" spans="1:4" ht="15" customHeight="1">
      <c r="A1336" t="s">
        <v>1399</v>
      </c>
      <c r="B1336" s="15">
        <f>INDEX('GLB.Ts+dSST (4)'!$B$3:$M$149,MATCH(VALUE(RIGHT(A1336,4)),'GLB.Ts+dSST (4)'!$A$3:$A$149,0),VALUE(LEFT(A1336,FIND("/",A1336)-1)))</f>
        <v>0.36</v>
      </c>
      <c r="C1336" s="15">
        <f t="shared" si="40"/>
        <v>14.36</v>
      </c>
      <c r="D1336" s="15">
        <f t="shared" si="41"/>
        <v>57.847999999999999</v>
      </c>
    </row>
    <row r="1337" spans="1:4" ht="15" customHeight="1">
      <c r="A1337" t="s">
        <v>1400</v>
      </c>
      <c r="B1337" s="15">
        <f>INDEX('GLB.Ts+dSST (4)'!$B$3:$M$149,MATCH(VALUE(RIGHT(A1337,4)),'GLB.Ts+dSST (4)'!$A$3:$A$149,0),VALUE(LEFT(A1337,FIND("/",A1337)-1)))</f>
        <v>0.51</v>
      </c>
      <c r="C1337" s="15">
        <f t="shared" si="40"/>
        <v>14.51</v>
      </c>
      <c r="D1337" s="15">
        <f t="shared" si="41"/>
        <v>58.117999999999995</v>
      </c>
    </row>
    <row r="1338" spans="1:4" ht="15" customHeight="1">
      <c r="A1338" t="s">
        <v>1401</v>
      </c>
      <c r="B1338" s="15">
        <f>INDEX('GLB.Ts+dSST (4)'!$B$3:$M$149,MATCH(VALUE(RIGHT(A1338,4)),'GLB.Ts+dSST (4)'!$A$3:$A$149,0),VALUE(LEFT(A1338,FIND("/",A1338)-1)))</f>
        <v>0.34</v>
      </c>
      <c r="C1338" s="15">
        <f t="shared" si="40"/>
        <v>14.34</v>
      </c>
      <c r="D1338" s="15">
        <f t="shared" si="41"/>
        <v>57.811999999999998</v>
      </c>
    </row>
    <row r="1339" spans="1:4" ht="15" customHeight="1">
      <c r="A1339" t="s">
        <v>1402</v>
      </c>
      <c r="B1339" s="15">
        <f>INDEX('GLB.Ts+dSST (4)'!$B$3:$M$149,MATCH(VALUE(RIGHT(A1339,4)),'GLB.Ts+dSST (4)'!$A$3:$A$149,0),VALUE(LEFT(A1339,FIND("/",A1339)-1)))</f>
        <v>0.53</v>
      </c>
      <c r="C1339" s="15">
        <f t="shared" si="40"/>
        <v>14.53</v>
      </c>
      <c r="D1339" s="15">
        <f t="shared" si="41"/>
        <v>58.153999999999996</v>
      </c>
    </row>
    <row r="1340" spans="1:4" ht="15" customHeight="1">
      <c r="A1340" t="s">
        <v>1403</v>
      </c>
      <c r="B1340" s="15">
        <f>INDEX('GLB.Ts+dSST (4)'!$B$3:$M$149,MATCH(VALUE(RIGHT(A1340,4)),'GLB.Ts+dSST (4)'!$A$3:$A$149,0),VALUE(LEFT(A1340,FIND("/",A1340)-1)))</f>
        <v>0.48</v>
      </c>
      <c r="C1340" s="15">
        <f t="shared" si="40"/>
        <v>14.48</v>
      </c>
      <c r="D1340" s="15">
        <f t="shared" si="41"/>
        <v>58.064</v>
      </c>
    </row>
    <row r="1341" spans="1:4" ht="15" customHeight="1">
      <c r="A1341" t="s">
        <v>1404</v>
      </c>
      <c r="B1341" s="15">
        <f>INDEX('GLB.Ts+dSST (4)'!$B$3:$M$149,MATCH(VALUE(RIGHT(A1341,4)),'GLB.Ts+dSST (4)'!$A$3:$A$149,0),VALUE(LEFT(A1341,FIND("/",A1341)-1)))</f>
        <v>0.39</v>
      </c>
      <c r="C1341" s="15">
        <f t="shared" si="40"/>
        <v>14.39</v>
      </c>
      <c r="D1341" s="15">
        <f t="shared" si="41"/>
        <v>57.902000000000001</v>
      </c>
    </row>
    <row r="1342" spans="1:4" ht="15" customHeight="1">
      <c r="A1342" t="s">
        <v>1405</v>
      </c>
      <c r="B1342" s="15">
        <f>INDEX('GLB.Ts+dSST (4)'!$B$3:$M$149,MATCH(VALUE(RIGHT(A1342,4)),'GLB.Ts+dSST (4)'!$A$3:$A$149,0),VALUE(LEFT(A1342,FIND("/",A1342)-1)))</f>
        <v>0.44</v>
      </c>
      <c r="C1342" s="15">
        <f t="shared" si="40"/>
        <v>14.44</v>
      </c>
      <c r="D1342" s="15">
        <f t="shared" si="41"/>
        <v>57.992000000000004</v>
      </c>
    </row>
    <row r="1343" spans="1:4" ht="15" customHeight="1">
      <c r="A1343" t="s">
        <v>1406</v>
      </c>
      <c r="B1343" s="15">
        <f>INDEX('GLB.Ts+dSST (4)'!$B$3:$M$149,MATCH(VALUE(RIGHT(A1343,4)),'GLB.Ts+dSST (4)'!$A$3:$A$149,0),VALUE(LEFT(A1343,FIND("/",A1343)-1)))</f>
        <v>0.28999999999999998</v>
      </c>
      <c r="C1343" s="15">
        <f t="shared" si="40"/>
        <v>14.29</v>
      </c>
      <c r="D1343" s="15">
        <f t="shared" si="41"/>
        <v>57.721999999999994</v>
      </c>
    </row>
    <row r="1344" spans="1:4" ht="15" customHeight="1">
      <c r="A1344" t="s">
        <v>1407</v>
      </c>
      <c r="B1344" s="15">
        <f>INDEX('GLB.Ts+dSST (4)'!$B$3:$M$149,MATCH(VALUE(RIGHT(A1344,4)),'GLB.Ts+dSST (4)'!$A$3:$A$149,0),VALUE(LEFT(A1344,FIND("/",A1344)-1)))</f>
        <v>0.3</v>
      </c>
      <c r="C1344" s="15">
        <f t="shared" si="40"/>
        <v>14.3</v>
      </c>
      <c r="D1344" s="15">
        <f t="shared" si="41"/>
        <v>57.74</v>
      </c>
    </row>
    <row r="1345" spans="1:4" ht="15" customHeight="1">
      <c r="A1345" t="s">
        <v>1408</v>
      </c>
      <c r="B1345" s="15">
        <f>INDEX('GLB.Ts+dSST (4)'!$B$3:$M$149,MATCH(VALUE(RIGHT(A1345,4)),'GLB.Ts+dSST (4)'!$A$3:$A$149,0),VALUE(LEFT(A1345,FIND("/",A1345)-1)))</f>
        <v>0.32</v>
      </c>
      <c r="C1345" s="15">
        <f t="shared" si="40"/>
        <v>14.32</v>
      </c>
      <c r="D1345" s="15">
        <f t="shared" si="41"/>
        <v>57.775999999999996</v>
      </c>
    </row>
    <row r="1346" spans="1:4" ht="15" customHeight="1">
      <c r="A1346" t="s">
        <v>1409</v>
      </c>
      <c r="B1346" s="15">
        <f>INDEX('GLB.Ts+dSST (4)'!$B$3:$M$149,MATCH(VALUE(RIGHT(A1346,4)),'GLB.Ts+dSST (4)'!$A$3:$A$149,0),VALUE(LEFT(A1346,FIND("/",A1346)-1)))</f>
        <v>0.48</v>
      </c>
      <c r="C1346" s="15">
        <f t="shared" ref="C1346:C1409" si="42">B1346+14</f>
        <v>14.48</v>
      </c>
      <c r="D1346" s="15">
        <f t="shared" ref="D1346:D1409" si="43">C1346*(9/5)+32</f>
        <v>58.064</v>
      </c>
    </row>
    <row r="1347" spans="1:4" ht="15" customHeight="1">
      <c r="A1347" t="s">
        <v>1410</v>
      </c>
      <c r="B1347" s="15">
        <f>INDEX('GLB.Ts+dSST (4)'!$B$3:$M$149,MATCH(VALUE(RIGHT(A1347,4)),'GLB.Ts+dSST (4)'!$A$3:$A$149,0),VALUE(LEFT(A1347,FIND("/",A1347)-1)))</f>
        <v>0.4</v>
      </c>
      <c r="C1347" s="15">
        <f t="shared" si="42"/>
        <v>14.4</v>
      </c>
      <c r="D1347" s="15">
        <f t="shared" si="43"/>
        <v>57.92</v>
      </c>
    </row>
    <row r="1348" spans="1:4" ht="15" customHeight="1">
      <c r="A1348" t="s">
        <v>1411</v>
      </c>
      <c r="B1348" s="15">
        <f>INDEX('GLB.Ts+dSST (4)'!$B$3:$M$149,MATCH(VALUE(RIGHT(A1348,4)),'GLB.Ts+dSST (4)'!$A$3:$A$149,0),VALUE(LEFT(A1348,FIND("/",A1348)-1)))</f>
        <v>0.48</v>
      </c>
      <c r="C1348" s="15">
        <f t="shared" si="42"/>
        <v>14.48</v>
      </c>
      <c r="D1348" s="15">
        <f t="shared" si="43"/>
        <v>58.064</v>
      </c>
    </row>
    <row r="1349" spans="1:4" ht="15" customHeight="1">
      <c r="A1349" t="s">
        <v>1412</v>
      </c>
      <c r="B1349" s="15">
        <f>INDEX('GLB.Ts+dSST (4)'!$B$3:$M$149,MATCH(VALUE(RIGHT(A1349,4)),'GLB.Ts+dSST (4)'!$A$3:$A$149,0),VALUE(LEFT(A1349,FIND("/",A1349)-1)))</f>
        <v>0.28000000000000003</v>
      </c>
      <c r="C1349" s="15">
        <f t="shared" si="42"/>
        <v>14.28</v>
      </c>
      <c r="D1349" s="15">
        <f t="shared" si="43"/>
        <v>57.704000000000001</v>
      </c>
    </row>
    <row r="1350" spans="1:4" ht="15" customHeight="1">
      <c r="A1350" t="s">
        <v>1413</v>
      </c>
      <c r="B1350" s="15">
        <f>INDEX('GLB.Ts+dSST (4)'!$B$3:$M$149,MATCH(VALUE(RIGHT(A1350,4)),'GLB.Ts+dSST (4)'!$A$3:$A$149,0),VALUE(LEFT(A1350,FIND("/",A1350)-1)))</f>
        <v>0.31</v>
      </c>
      <c r="C1350" s="15">
        <f t="shared" si="42"/>
        <v>14.31</v>
      </c>
      <c r="D1350" s="15">
        <f t="shared" si="43"/>
        <v>57.758000000000003</v>
      </c>
    </row>
    <row r="1351" spans="1:4" ht="15" customHeight="1">
      <c r="A1351" t="s">
        <v>1414</v>
      </c>
      <c r="B1351" s="15">
        <f>INDEX('GLB.Ts+dSST (4)'!$B$3:$M$149,MATCH(VALUE(RIGHT(A1351,4)),'GLB.Ts+dSST (4)'!$A$3:$A$149,0),VALUE(LEFT(A1351,FIND("/",A1351)-1)))</f>
        <v>0.26</v>
      </c>
      <c r="C1351" s="15">
        <f t="shared" si="42"/>
        <v>14.26</v>
      </c>
      <c r="D1351" s="15">
        <f t="shared" si="43"/>
        <v>57.667999999999999</v>
      </c>
    </row>
    <row r="1352" spans="1:4" ht="15" customHeight="1">
      <c r="A1352" t="s">
        <v>1415</v>
      </c>
      <c r="B1352" s="15">
        <f>INDEX('GLB.Ts+dSST (4)'!$B$3:$M$149,MATCH(VALUE(RIGHT(A1352,4)),'GLB.Ts+dSST (4)'!$A$3:$A$149,0),VALUE(LEFT(A1352,FIND("/",A1352)-1)))</f>
        <v>0.09</v>
      </c>
      <c r="C1352" s="15">
        <f t="shared" si="42"/>
        <v>14.09</v>
      </c>
      <c r="D1352" s="15">
        <f t="shared" si="43"/>
        <v>57.362000000000002</v>
      </c>
    </row>
    <row r="1353" spans="1:4" ht="15" customHeight="1">
      <c r="A1353" t="s">
        <v>1416</v>
      </c>
      <c r="B1353" s="15">
        <f>INDEX('GLB.Ts+dSST (4)'!$B$3:$M$149,MATCH(VALUE(RIGHT(A1353,4)),'GLB.Ts+dSST (4)'!$A$3:$A$149,0),VALUE(LEFT(A1353,FIND("/",A1353)-1)))</f>
        <v>0.08</v>
      </c>
      <c r="C1353" s="15">
        <f t="shared" si="42"/>
        <v>14.08</v>
      </c>
      <c r="D1353" s="15">
        <f t="shared" si="43"/>
        <v>57.344000000000001</v>
      </c>
    </row>
    <row r="1354" spans="1:4" ht="15" customHeight="1">
      <c r="A1354" t="s">
        <v>1417</v>
      </c>
      <c r="B1354" s="15">
        <f>INDEX('GLB.Ts+dSST (4)'!$B$3:$M$149,MATCH(VALUE(RIGHT(A1354,4)),'GLB.Ts+dSST (4)'!$A$3:$A$149,0),VALUE(LEFT(A1354,FIND("/",A1354)-1)))</f>
        <v>-0.01</v>
      </c>
      <c r="C1354" s="15">
        <f t="shared" si="42"/>
        <v>13.99</v>
      </c>
      <c r="D1354" s="15">
        <f t="shared" si="43"/>
        <v>57.182000000000002</v>
      </c>
    </row>
    <row r="1355" spans="1:4" ht="15" customHeight="1">
      <c r="A1355" t="s">
        <v>1418</v>
      </c>
      <c r="B1355" s="15">
        <f>INDEX('GLB.Ts+dSST (4)'!$B$3:$M$149,MATCH(VALUE(RIGHT(A1355,4)),'GLB.Ts+dSST (4)'!$A$3:$A$149,0),VALUE(LEFT(A1355,FIND("/",A1355)-1)))</f>
        <v>7.0000000000000007E-2</v>
      </c>
      <c r="C1355" s="15">
        <f t="shared" si="42"/>
        <v>14.07</v>
      </c>
      <c r="D1355" s="15">
        <f t="shared" si="43"/>
        <v>57.326000000000001</v>
      </c>
    </row>
    <row r="1356" spans="1:4" ht="15" customHeight="1">
      <c r="A1356" t="s">
        <v>1419</v>
      </c>
      <c r="B1356" s="15">
        <f>INDEX('GLB.Ts+dSST (4)'!$B$3:$M$149,MATCH(VALUE(RIGHT(A1356,4)),'GLB.Ts+dSST (4)'!$A$3:$A$149,0),VALUE(LEFT(A1356,FIND("/",A1356)-1)))</f>
        <v>0.03</v>
      </c>
      <c r="C1356" s="15">
        <f t="shared" si="42"/>
        <v>14.03</v>
      </c>
      <c r="D1356" s="15">
        <f t="shared" si="43"/>
        <v>57.253999999999998</v>
      </c>
    </row>
    <row r="1357" spans="1:4" ht="15" customHeight="1">
      <c r="A1357" t="s">
        <v>1420</v>
      </c>
      <c r="B1357" s="15">
        <f>INDEX('GLB.Ts+dSST (4)'!$B$3:$M$149,MATCH(VALUE(RIGHT(A1357,4)),'GLB.Ts+dSST (4)'!$A$3:$A$149,0),VALUE(LEFT(A1357,FIND("/",A1357)-1)))</f>
        <v>0.22</v>
      </c>
      <c r="C1357" s="15">
        <f t="shared" si="42"/>
        <v>14.22</v>
      </c>
      <c r="D1357" s="15">
        <f t="shared" si="43"/>
        <v>57.596000000000004</v>
      </c>
    </row>
    <row r="1358" spans="1:4" ht="15" customHeight="1">
      <c r="A1358" t="s">
        <v>1421</v>
      </c>
      <c r="B1358" s="15">
        <f>INDEX('GLB.Ts+dSST (4)'!$B$3:$M$149,MATCH(VALUE(RIGHT(A1358,4)),'GLB.Ts+dSST (4)'!$A$3:$A$149,0),VALUE(LEFT(A1358,FIND("/",A1358)-1)))</f>
        <v>0.35</v>
      </c>
      <c r="C1358" s="15">
        <f t="shared" si="42"/>
        <v>14.35</v>
      </c>
      <c r="D1358" s="15">
        <f t="shared" si="43"/>
        <v>57.83</v>
      </c>
    </row>
    <row r="1359" spans="1:4" ht="15" customHeight="1">
      <c r="A1359" t="s">
        <v>1422</v>
      </c>
      <c r="B1359" s="15">
        <f>INDEX('GLB.Ts+dSST (4)'!$B$3:$M$149,MATCH(VALUE(RIGHT(A1359,4)),'GLB.Ts+dSST (4)'!$A$3:$A$149,0),VALUE(LEFT(A1359,FIND("/",A1359)-1)))</f>
        <v>0.37</v>
      </c>
      <c r="C1359" s="15">
        <f t="shared" si="42"/>
        <v>14.37</v>
      </c>
      <c r="D1359" s="15">
        <f t="shared" si="43"/>
        <v>57.866</v>
      </c>
    </row>
    <row r="1360" spans="1:4" ht="15" customHeight="1">
      <c r="A1360" t="s">
        <v>1423</v>
      </c>
      <c r="B1360" s="15">
        <f>INDEX('GLB.Ts+dSST (4)'!$B$3:$M$149,MATCH(VALUE(RIGHT(A1360,4)),'GLB.Ts+dSST (4)'!$A$3:$A$149,0),VALUE(LEFT(A1360,FIND("/",A1360)-1)))</f>
        <v>0.36</v>
      </c>
      <c r="C1360" s="15">
        <f t="shared" si="42"/>
        <v>14.36</v>
      </c>
      <c r="D1360" s="15">
        <f t="shared" si="43"/>
        <v>57.847999999999999</v>
      </c>
    </row>
    <row r="1361" spans="1:4" ht="15" customHeight="1">
      <c r="A1361" t="s">
        <v>1424</v>
      </c>
      <c r="B1361" s="15">
        <f>INDEX('GLB.Ts+dSST (4)'!$B$3:$M$149,MATCH(VALUE(RIGHT(A1361,4)),'GLB.Ts+dSST (4)'!$A$3:$A$149,0),VALUE(LEFT(A1361,FIND("/",A1361)-1)))</f>
        <v>0.28000000000000003</v>
      </c>
      <c r="C1361" s="15">
        <f t="shared" si="42"/>
        <v>14.28</v>
      </c>
      <c r="D1361" s="15">
        <f t="shared" si="43"/>
        <v>57.704000000000001</v>
      </c>
    </row>
    <row r="1362" spans="1:4" ht="15" customHeight="1">
      <c r="A1362" t="s">
        <v>1425</v>
      </c>
      <c r="B1362" s="15">
        <f>INDEX('GLB.Ts+dSST (4)'!$B$3:$M$149,MATCH(VALUE(RIGHT(A1362,4)),'GLB.Ts+dSST (4)'!$A$3:$A$149,0),VALUE(LEFT(A1362,FIND("/",A1362)-1)))</f>
        <v>0.28000000000000003</v>
      </c>
      <c r="C1362" s="15">
        <f t="shared" si="42"/>
        <v>14.28</v>
      </c>
      <c r="D1362" s="15">
        <f t="shared" si="43"/>
        <v>57.704000000000001</v>
      </c>
    </row>
    <row r="1363" spans="1:4" ht="15" customHeight="1">
      <c r="A1363" t="s">
        <v>1426</v>
      </c>
      <c r="B1363" s="15">
        <f>INDEX('GLB.Ts+dSST (4)'!$B$3:$M$149,MATCH(VALUE(RIGHT(A1363,4)),'GLB.Ts+dSST (4)'!$A$3:$A$149,0),VALUE(LEFT(A1363,FIND("/",A1363)-1)))</f>
        <v>0.23</v>
      </c>
      <c r="C1363" s="15">
        <f t="shared" si="42"/>
        <v>14.23</v>
      </c>
      <c r="D1363" s="15">
        <f t="shared" si="43"/>
        <v>57.614000000000004</v>
      </c>
    </row>
    <row r="1364" spans="1:4" ht="15" customHeight="1">
      <c r="A1364" t="s">
        <v>1427</v>
      </c>
      <c r="B1364" s="15">
        <f>INDEX('GLB.Ts+dSST (4)'!$B$3:$M$149,MATCH(VALUE(RIGHT(A1364,4)),'GLB.Ts+dSST (4)'!$A$3:$A$149,0),VALUE(LEFT(A1364,FIND("/",A1364)-1)))</f>
        <v>0.25</v>
      </c>
      <c r="C1364" s="15">
        <f t="shared" si="42"/>
        <v>14.25</v>
      </c>
      <c r="D1364" s="15">
        <f t="shared" si="43"/>
        <v>57.650000000000006</v>
      </c>
    </row>
    <row r="1365" spans="1:4" ht="15" customHeight="1">
      <c r="A1365" t="s">
        <v>1428</v>
      </c>
      <c r="B1365" s="15">
        <f>INDEX('GLB.Ts+dSST (4)'!$B$3:$M$149,MATCH(VALUE(RIGHT(A1365,4)),'GLB.Ts+dSST (4)'!$A$3:$A$149,0),VALUE(LEFT(A1365,FIND("/",A1365)-1)))</f>
        <v>0.11</v>
      </c>
      <c r="C1365" s="15">
        <f t="shared" si="42"/>
        <v>14.11</v>
      </c>
      <c r="D1365" s="15">
        <f t="shared" si="43"/>
        <v>57.397999999999996</v>
      </c>
    </row>
    <row r="1366" spans="1:4" ht="15" customHeight="1">
      <c r="A1366" t="s">
        <v>1429</v>
      </c>
      <c r="B1366" s="15">
        <f>INDEX('GLB.Ts+dSST (4)'!$B$3:$M$149,MATCH(VALUE(RIGHT(A1366,4)),'GLB.Ts+dSST (4)'!$A$3:$A$149,0),VALUE(LEFT(A1366,FIND("/",A1366)-1)))</f>
        <v>0.11</v>
      </c>
      <c r="C1366" s="15">
        <f t="shared" si="42"/>
        <v>14.11</v>
      </c>
      <c r="D1366" s="15">
        <f t="shared" si="43"/>
        <v>57.397999999999996</v>
      </c>
    </row>
    <row r="1367" spans="1:4" ht="15" customHeight="1">
      <c r="A1367" t="s">
        <v>1430</v>
      </c>
      <c r="B1367" s="15">
        <f>INDEX('GLB.Ts+dSST (4)'!$B$3:$M$149,MATCH(VALUE(RIGHT(A1367,4)),'GLB.Ts+dSST (4)'!$A$3:$A$149,0),VALUE(LEFT(A1367,FIND("/",A1367)-1)))</f>
        <v>0.24</v>
      </c>
      <c r="C1367" s="15">
        <f t="shared" si="42"/>
        <v>14.24</v>
      </c>
      <c r="D1367" s="15">
        <f t="shared" si="43"/>
        <v>57.632000000000005</v>
      </c>
    </row>
    <row r="1368" spans="1:4" ht="15" customHeight="1">
      <c r="A1368" t="s">
        <v>1431</v>
      </c>
      <c r="B1368" s="15">
        <f>INDEX('GLB.Ts+dSST (4)'!$B$3:$M$149,MATCH(VALUE(RIGHT(A1368,4)),'GLB.Ts+dSST (4)'!$A$3:$A$149,0),VALUE(LEFT(A1368,FIND("/",A1368)-1)))</f>
        <v>0.04</v>
      </c>
      <c r="C1368" s="15">
        <f t="shared" si="42"/>
        <v>14.04</v>
      </c>
      <c r="D1368" s="15">
        <f t="shared" si="43"/>
        <v>57.271999999999998</v>
      </c>
    </row>
    <row r="1369" spans="1:4" ht="15" customHeight="1">
      <c r="A1369" t="s">
        <v>1432</v>
      </c>
      <c r="B1369" s="15">
        <f>INDEX('GLB.Ts+dSST (4)'!$B$3:$M$149,MATCH(VALUE(RIGHT(A1369,4)),'GLB.Ts+dSST (4)'!$A$3:$A$149,0),VALUE(LEFT(A1369,FIND("/",A1369)-1)))</f>
        <v>0.18</v>
      </c>
      <c r="C1369" s="15">
        <f t="shared" si="42"/>
        <v>14.18</v>
      </c>
      <c r="D1369" s="15">
        <f t="shared" si="43"/>
        <v>57.524000000000001</v>
      </c>
    </row>
    <row r="1370" spans="1:4" ht="15" customHeight="1">
      <c r="A1370" t="s">
        <v>1433</v>
      </c>
      <c r="B1370" s="15">
        <f>INDEX('GLB.Ts+dSST (4)'!$B$3:$M$149,MATCH(VALUE(RIGHT(A1370,4)),'GLB.Ts+dSST (4)'!$A$3:$A$149,0),VALUE(LEFT(A1370,FIND("/",A1370)-1)))</f>
        <v>0.26</v>
      </c>
      <c r="C1370" s="15">
        <f t="shared" si="42"/>
        <v>14.26</v>
      </c>
      <c r="D1370" s="15">
        <f t="shared" si="43"/>
        <v>57.667999999999999</v>
      </c>
    </row>
    <row r="1371" spans="1:4" ht="15" customHeight="1">
      <c r="A1371" t="s">
        <v>1434</v>
      </c>
      <c r="B1371" s="15">
        <f>INDEX('GLB.Ts+dSST (4)'!$B$3:$M$149,MATCH(VALUE(RIGHT(A1371,4)),'GLB.Ts+dSST (4)'!$A$3:$A$149,0),VALUE(LEFT(A1371,FIND("/",A1371)-1)))</f>
        <v>0.02</v>
      </c>
      <c r="C1371" s="15">
        <f t="shared" si="42"/>
        <v>14.02</v>
      </c>
      <c r="D1371" s="15">
        <f t="shared" si="43"/>
        <v>57.236000000000004</v>
      </c>
    </row>
    <row r="1372" spans="1:4" ht="15" customHeight="1">
      <c r="A1372" t="s">
        <v>1435</v>
      </c>
      <c r="B1372" s="15">
        <f>INDEX('GLB.Ts+dSST (4)'!$B$3:$M$149,MATCH(VALUE(RIGHT(A1372,4)),'GLB.Ts+dSST (4)'!$A$3:$A$149,0),VALUE(LEFT(A1372,FIND("/",A1372)-1)))</f>
        <v>0.28999999999999998</v>
      </c>
      <c r="C1372" s="15">
        <f t="shared" si="42"/>
        <v>14.29</v>
      </c>
      <c r="D1372" s="15">
        <f t="shared" si="43"/>
        <v>57.721999999999994</v>
      </c>
    </row>
    <row r="1373" spans="1:4" ht="15" customHeight="1">
      <c r="A1373" t="s">
        <v>1436</v>
      </c>
      <c r="B1373" s="15">
        <f>INDEX('GLB.Ts+dSST (4)'!$B$3:$M$149,MATCH(VALUE(RIGHT(A1373,4)),'GLB.Ts+dSST (4)'!$A$3:$A$149,0),VALUE(LEFT(A1373,FIND("/",A1373)-1)))</f>
        <v>0.41</v>
      </c>
      <c r="C1373" s="15">
        <f t="shared" si="42"/>
        <v>14.41</v>
      </c>
      <c r="D1373" s="15">
        <f t="shared" si="43"/>
        <v>57.938000000000002</v>
      </c>
    </row>
    <row r="1374" spans="1:4" ht="15" customHeight="1">
      <c r="A1374" t="s">
        <v>1437</v>
      </c>
      <c r="B1374" s="15">
        <f>INDEX('GLB.Ts+dSST (4)'!$B$3:$M$149,MATCH(VALUE(RIGHT(A1374,4)),'GLB.Ts+dSST (4)'!$A$3:$A$149,0),VALUE(LEFT(A1374,FIND("/",A1374)-1)))</f>
        <v>0.28000000000000003</v>
      </c>
      <c r="C1374" s="15">
        <f t="shared" si="42"/>
        <v>14.28</v>
      </c>
      <c r="D1374" s="15">
        <f t="shared" si="43"/>
        <v>57.704000000000001</v>
      </c>
    </row>
    <row r="1375" spans="1:4" ht="15" customHeight="1">
      <c r="A1375" t="s">
        <v>1438</v>
      </c>
      <c r="B1375" s="15">
        <f>INDEX('GLB.Ts+dSST (4)'!$B$3:$M$149,MATCH(VALUE(RIGHT(A1375,4)),'GLB.Ts+dSST (4)'!$A$3:$A$149,0),VALUE(LEFT(A1375,FIND("/",A1375)-1)))</f>
        <v>0.43</v>
      </c>
      <c r="C1375" s="15">
        <f t="shared" si="42"/>
        <v>14.43</v>
      </c>
      <c r="D1375" s="15">
        <f t="shared" si="43"/>
        <v>57.974000000000004</v>
      </c>
    </row>
    <row r="1376" spans="1:4" ht="15" customHeight="1">
      <c r="A1376" t="s">
        <v>1439</v>
      </c>
      <c r="B1376" s="15">
        <f>INDEX('GLB.Ts+dSST (4)'!$B$3:$M$149,MATCH(VALUE(RIGHT(A1376,4)),'GLB.Ts+dSST (4)'!$A$3:$A$149,0),VALUE(LEFT(A1376,FIND("/",A1376)-1)))</f>
        <v>0.3</v>
      </c>
      <c r="C1376" s="15">
        <f t="shared" si="42"/>
        <v>14.3</v>
      </c>
      <c r="D1376" s="15">
        <f t="shared" si="43"/>
        <v>57.74</v>
      </c>
    </row>
    <row r="1377" spans="1:4" ht="15" customHeight="1">
      <c r="A1377" t="s">
        <v>1440</v>
      </c>
      <c r="B1377" s="15">
        <f>INDEX('GLB.Ts+dSST (4)'!$B$3:$M$149,MATCH(VALUE(RIGHT(A1377,4)),'GLB.Ts+dSST (4)'!$A$3:$A$149,0),VALUE(LEFT(A1377,FIND("/",A1377)-1)))</f>
        <v>0.22</v>
      </c>
      <c r="C1377" s="15">
        <f t="shared" si="42"/>
        <v>14.22</v>
      </c>
      <c r="D1377" s="15">
        <f t="shared" si="43"/>
        <v>57.596000000000004</v>
      </c>
    </row>
    <row r="1378" spans="1:4" ht="15" customHeight="1">
      <c r="A1378" t="s">
        <v>1441</v>
      </c>
      <c r="B1378" s="15">
        <f>INDEX('GLB.Ts+dSST (4)'!$B$3:$M$149,MATCH(VALUE(RIGHT(A1378,4)),'GLB.Ts+dSST (4)'!$A$3:$A$149,0),VALUE(LEFT(A1378,FIND("/",A1378)-1)))</f>
        <v>0.31</v>
      </c>
      <c r="C1378" s="15">
        <f t="shared" si="42"/>
        <v>14.31</v>
      </c>
      <c r="D1378" s="15">
        <f t="shared" si="43"/>
        <v>57.758000000000003</v>
      </c>
    </row>
    <row r="1379" spans="1:4" ht="15" customHeight="1">
      <c r="A1379" t="s">
        <v>1442</v>
      </c>
      <c r="B1379" s="15">
        <f>INDEX('GLB.Ts+dSST (4)'!$B$3:$M$149,MATCH(VALUE(RIGHT(A1379,4)),'GLB.Ts+dSST (4)'!$A$3:$A$149,0),VALUE(LEFT(A1379,FIND("/",A1379)-1)))</f>
        <v>0.43</v>
      </c>
      <c r="C1379" s="15">
        <f t="shared" si="42"/>
        <v>14.43</v>
      </c>
      <c r="D1379" s="15">
        <f t="shared" si="43"/>
        <v>57.974000000000004</v>
      </c>
    </row>
    <row r="1380" spans="1:4" ht="15" customHeight="1">
      <c r="A1380" t="s">
        <v>1443</v>
      </c>
      <c r="B1380" s="15">
        <f>INDEX('GLB.Ts+dSST (4)'!$B$3:$M$149,MATCH(VALUE(RIGHT(A1380,4)),'GLB.Ts+dSST (4)'!$A$3:$A$149,0),VALUE(LEFT(A1380,FIND("/",A1380)-1)))</f>
        <v>0.45</v>
      </c>
      <c r="C1380" s="15">
        <f t="shared" si="42"/>
        <v>14.45</v>
      </c>
      <c r="D1380" s="15">
        <f t="shared" si="43"/>
        <v>58.01</v>
      </c>
    </row>
    <row r="1381" spans="1:4" ht="15" customHeight="1">
      <c r="A1381" t="s">
        <v>1444</v>
      </c>
      <c r="B1381" s="15">
        <f>INDEX('GLB.Ts+dSST (4)'!$B$3:$M$149,MATCH(VALUE(RIGHT(A1381,4)),'GLB.Ts+dSST (4)'!$A$3:$A$149,0),VALUE(LEFT(A1381,FIND("/",A1381)-1)))</f>
        <v>0.39</v>
      </c>
      <c r="C1381" s="15">
        <f t="shared" si="42"/>
        <v>14.39</v>
      </c>
      <c r="D1381" s="15">
        <f t="shared" si="43"/>
        <v>57.902000000000001</v>
      </c>
    </row>
    <row r="1382" spans="1:4" ht="15" customHeight="1">
      <c r="A1382" t="s">
        <v>1445</v>
      </c>
      <c r="B1382" s="15">
        <f>INDEX('GLB.Ts+dSST (4)'!$B$3:$M$149,MATCH(VALUE(RIGHT(A1382,4)),'GLB.Ts+dSST (4)'!$A$3:$A$149,0),VALUE(LEFT(A1382,FIND("/",A1382)-1)))</f>
        <v>0.53</v>
      </c>
      <c r="C1382" s="15">
        <f t="shared" si="42"/>
        <v>14.53</v>
      </c>
      <c r="D1382" s="15">
        <f t="shared" si="43"/>
        <v>58.153999999999996</v>
      </c>
    </row>
    <row r="1383" spans="1:4" ht="15" customHeight="1">
      <c r="A1383" t="s">
        <v>1446</v>
      </c>
      <c r="B1383" s="15">
        <f>INDEX('GLB.Ts+dSST (4)'!$B$3:$M$149,MATCH(VALUE(RIGHT(A1383,4)),'GLB.Ts+dSST (4)'!$A$3:$A$149,0),VALUE(LEFT(A1383,FIND("/",A1383)-1)))</f>
        <v>0.79</v>
      </c>
      <c r="C1383" s="15">
        <f t="shared" si="42"/>
        <v>14.79</v>
      </c>
      <c r="D1383" s="15">
        <f t="shared" si="43"/>
        <v>58.622</v>
      </c>
    </row>
    <row r="1384" spans="1:4" ht="15" customHeight="1">
      <c r="A1384" t="s">
        <v>1447</v>
      </c>
      <c r="B1384" s="15">
        <f>INDEX('GLB.Ts+dSST (4)'!$B$3:$M$149,MATCH(VALUE(RIGHT(A1384,4)),'GLB.Ts+dSST (4)'!$A$3:$A$149,0),VALUE(LEFT(A1384,FIND("/",A1384)-1)))</f>
        <v>0.47</v>
      </c>
      <c r="C1384" s="15">
        <f t="shared" si="42"/>
        <v>14.47</v>
      </c>
      <c r="D1384" s="15">
        <f t="shared" si="43"/>
        <v>58.046000000000006</v>
      </c>
    </row>
    <row r="1385" spans="1:4" ht="15" customHeight="1">
      <c r="A1385" t="s">
        <v>1448</v>
      </c>
      <c r="B1385" s="15">
        <f>INDEX('GLB.Ts+dSST (4)'!$B$3:$M$149,MATCH(VALUE(RIGHT(A1385,4)),'GLB.Ts+dSST (4)'!$A$3:$A$149,0),VALUE(LEFT(A1385,FIND("/",A1385)-1)))</f>
        <v>0.47</v>
      </c>
      <c r="C1385" s="15">
        <f t="shared" si="42"/>
        <v>14.47</v>
      </c>
      <c r="D1385" s="15">
        <f t="shared" si="43"/>
        <v>58.046000000000006</v>
      </c>
    </row>
    <row r="1386" spans="1:4" ht="15" customHeight="1">
      <c r="A1386" t="s">
        <v>1449</v>
      </c>
      <c r="B1386" s="15">
        <f>INDEX('GLB.Ts+dSST (4)'!$B$3:$M$149,MATCH(VALUE(RIGHT(A1386,4)),'GLB.Ts+dSST (4)'!$A$3:$A$149,0),VALUE(LEFT(A1386,FIND("/",A1386)-1)))</f>
        <v>0.27</v>
      </c>
      <c r="C1386" s="15">
        <f t="shared" si="42"/>
        <v>14.27</v>
      </c>
      <c r="D1386" s="15">
        <f t="shared" si="43"/>
        <v>57.686</v>
      </c>
    </row>
    <row r="1387" spans="1:4" ht="15" customHeight="1">
      <c r="A1387" t="s">
        <v>1450</v>
      </c>
      <c r="B1387" s="15">
        <f>INDEX('GLB.Ts+dSST (4)'!$B$3:$M$149,MATCH(VALUE(RIGHT(A1387,4)),'GLB.Ts+dSST (4)'!$A$3:$A$149,0),VALUE(LEFT(A1387,FIND("/",A1387)-1)))</f>
        <v>0.43</v>
      </c>
      <c r="C1387" s="15">
        <f t="shared" si="42"/>
        <v>14.43</v>
      </c>
      <c r="D1387" s="15">
        <f t="shared" si="43"/>
        <v>57.974000000000004</v>
      </c>
    </row>
    <row r="1388" spans="1:4" ht="15" customHeight="1">
      <c r="A1388" t="s">
        <v>1451</v>
      </c>
      <c r="B1388" s="15">
        <f>INDEX('GLB.Ts+dSST (4)'!$B$3:$M$149,MATCH(VALUE(RIGHT(A1388,4)),'GLB.Ts+dSST (4)'!$A$3:$A$149,0),VALUE(LEFT(A1388,FIND("/",A1388)-1)))</f>
        <v>0.46</v>
      </c>
      <c r="C1388" s="15">
        <f t="shared" si="42"/>
        <v>14.46</v>
      </c>
      <c r="D1388" s="15">
        <f t="shared" si="43"/>
        <v>58.028000000000006</v>
      </c>
    </row>
    <row r="1389" spans="1:4" ht="15" customHeight="1">
      <c r="A1389" t="s">
        <v>1452</v>
      </c>
      <c r="B1389" s="15">
        <f>INDEX('GLB.Ts+dSST (4)'!$B$3:$M$149,MATCH(VALUE(RIGHT(A1389,4)),'GLB.Ts+dSST (4)'!$A$3:$A$149,0),VALUE(LEFT(A1389,FIND("/",A1389)-1)))</f>
        <v>0.45</v>
      </c>
      <c r="C1389" s="15">
        <f t="shared" si="42"/>
        <v>14.45</v>
      </c>
      <c r="D1389" s="15">
        <f t="shared" si="43"/>
        <v>58.01</v>
      </c>
    </row>
    <row r="1390" spans="1:4" ht="15" customHeight="1">
      <c r="A1390" t="s">
        <v>1453</v>
      </c>
      <c r="B1390" s="15">
        <f>INDEX('GLB.Ts+dSST (4)'!$B$3:$M$149,MATCH(VALUE(RIGHT(A1390,4)),'GLB.Ts+dSST (4)'!$A$3:$A$149,0),VALUE(LEFT(A1390,FIND("/",A1390)-1)))</f>
        <v>0.33</v>
      </c>
      <c r="C1390" s="15">
        <f t="shared" si="42"/>
        <v>14.33</v>
      </c>
      <c r="D1390" s="15">
        <f t="shared" si="43"/>
        <v>57.793999999999997</v>
      </c>
    </row>
    <row r="1391" spans="1:4" ht="15" customHeight="1">
      <c r="A1391" t="s">
        <v>1454</v>
      </c>
      <c r="B1391" s="15">
        <f>INDEX('GLB.Ts+dSST (4)'!$B$3:$M$149,MATCH(VALUE(RIGHT(A1391,4)),'GLB.Ts+dSST (4)'!$A$3:$A$149,0),VALUE(LEFT(A1391,FIND("/",A1391)-1)))</f>
        <v>0.46</v>
      </c>
      <c r="C1391" s="15">
        <f t="shared" si="42"/>
        <v>14.46</v>
      </c>
      <c r="D1391" s="15">
        <f t="shared" si="43"/>
        <v>58.028000000000006</v>
      </c>
    </row>
    <row r="1392" spans="1:4" ht="15" customHeight="1">
      <c r="A1392" t="s">
        <v>1455</v>
      </c>
      <c r="B1392" s="15">
        <f>INDEX('GLB.Ts+dSST (4)'!$B$3:$M$149,MATCH(VALUE(RIGHT(A1392,4)),'GLB.Ts+dSST (4)'!$A$3:$A$149,0),VALUE(LEFT(A1392,FIND("/",A1392)-1)))</f>
        <v>0.45</v>
      </c>
      <c r="C1392" s="15">
        <f t="shared" si="42"/>
        <v>14.45</v>
      </c>
      <c r="D1392" s="15">
        <f t="shared" si="43"/>
        <v>58.01</v>
      </c>
    </row>
    <row r="1393" spans="1:4" ht="15" customHeight="1">
      <c r="A1393" t="s">
        <v>1456</v>
      </c>
      <c r="B1393" s="15">
        <f>INDEX('GLB.Ts+dSST (4)'!$B$3:$M$149,MATCH(VALUE(RIGHT(A1393,4)),'GLB.Ts+dSST (4)'!$A$3:$A$149,0),VALUE(LEFT(A1393,FIND("/",A1393)-1)))</f>
        <v>0.26</v>
      </c>
      <c r="C1393" s="15">
        <f t="shared" si="42"/>
        <v>14.26</v>
      </c>
      <c r="D1393" s="15">
        <f t="shared" si="43"/>
        <v>57.667999999999999</v>
      </c>
    </row>
    <row r="1394" spans="1:4" ht="15" customHeight="1">
      <c r="A1394" t="s">
        <v>1457</v>
      </c>
      <c r="B1394" s="15">
        <f>INDEX('GLB.Ts+dSST (4)'!$B$3:$M$149,MATCH(VALUE(RIGHT(A1394,4)),'GLB.Ts+dSST (4)'!$A$3:$A$149,0),VALUE(LEFT(A1394,FIND("/",A1394)-1)))</f>
        <v>0.24</v>
      </c>
      <c r="C1394" s="15">
        <f t="shared" si="42"/>
        <v>14.24</v>
      </c>
      <c r="D1394" s="15">
        <f t="shared" si="43"/>
        <v>57.632000000000005</v>
      </c>
    </row>
    <row r="1395" spans="1:4" ht="15" customHeight="1">
      <c r="A1395" t="s">
        <v>1458</v>
      </c>
      <c r="B1395" s="15">
        <f>INDEX('GLB.Ts+dSST (4)'!$B$3:$M$149,MATCH(VALUE(RIGHT(A1395,4)),'GLB.Ts+dSST (4)'!$A$3:$A$149,0),VALUE(LEFT(A1395,FIND("/",A1395)-1)))</f>
        <v>0.46</v>
      </c>
      <c r="C1395" s="15">
        <f t="shared" si="42"/>
        <v>14.46</v>
      </c>
      <c r="D1395" s="15">
        <f t="shared" si="43"/>
        <v>58.028000000000006</v>
      </c>
    </row>
    <row r="1396" spans="1:4" ht="15" customHeight="1">
      <c r="A1396" t="s">
        <v>1459</v>
      </c>
      <c r="B1396" s="15">
        <f>INDEX('GLB.Ts+dSST (4)'!$B$3:$M$149,MATCH(VALUE(RIGHT(A1396,4)),'GLB.Ts+dSST (4)'!$A$3:$A$149,0),VALUE(LEFT(A1396,FIND("/",A1396)-1)))</f>
        <v>0.33</v>
      </c>
      <c r="C1396" s="15">
        <f t="shared" si="42"/>
        <v>14.33</v>
      </c>
      <c r="D1396" s="15">
        <f t="shared" si="43"/>
        <v>57.793999999999997</v>
      </c>
    </row>
    <row r="1397" spans="1:4" ht="15" customHeight="1">
      <c r="A1397" t="s">
        <v>1460</v>
      </c>
      <c r="B1397" s="15">
        <f>INDEX('GLB.Ts+dSST (4)'!$B$3:$M$149,MATCH(VALUE(RIGHT(A1397,4)),'GLB.Ts+dSST (4)'!$A$3:$A$149,0),VALUE(LEFT(A1397,FIND("/",A1397)-1)))</f>
        <v>0.33</v>
      </c>
      <c r="C1397" s="15">
        <f t="shared" si="42"/>
        <v>14.33</v>
      </c>
      <c r="D1397" s="15">
        <f t="shared" si="43"/>
        <v>57.793999999999997</v>
      </c>
    </row>
    <row r="1398" spans="1:4" ht="15" customHeight="1">
      <c r="A1398" t="s">
        <v>1461</v>
      </c>
      <c r="B1398" s="15">
        <f>INDEX('GLB.Ts+dSST (4)'!$B$3:$M$149,MATCH(VALUE(RIGHT(A1398,4)),'GLB.Ts+dSST (4)'!$A$3:$A$149,0),VALUE(LEFT(A1398,FIND("/",A1398)-1)))</f>
        <v>0.27</v>
      </c>
      <c r="C1398" s="15">
        <f t="shared" si="42"/>
        <v>14.27</v>
      </c>
      <c r="D1398" s="15">
        <f t="shared" si="43"/>
        <v>57.686</v>
      </c>
    </row>
    <row r="1399" spans="1:4" ht="15" customHeight="1">
      <c r="A1399" t="s">
        <v>1462</v>
      </c>
      <c r="B1399" s="15">
        <f>INDEX('GLB.Ts+dSST (4)'!$B$3:$M$149,MATCH(VALUE(RIGHT(A1399,4)),'GLB.Ts+dSST (4)'!$A$3:$A$149,0),VALUE(LEFT(A1399,FIND("/",A1399)-1)))</f>
        <v>0.26</v>
      </c>
      <c r="C1399" s="15">
        <f t="shared" si="42"/>
        <v>14.26</v>
      </c>
      <c r="D1399" s="15">
        <f t="shared" si="43"/>
        <v>57.667999999999999</v>
      </c>
    </row>
    <row r="1400" spans="1:4" ht="15" customHeight="1">
      <c r="A1400" t="s">
        <v>1463</v>
      </c>
      <c r="B1400" s="15">
        <f>INDEX('GLB.Ts+dSST (4)'!$B$3:$M$149,MATCH(VALUE(RIGHT(A1400,4)),'GLB.Ts+dSST (4)'!$A$3:$A$149,0),VALUE(LEFT(A1400,FIND("/",A1400)-1)))</f>
        <v>0.37</v>
      </c>
      <c r="C1400" s="15">
        <f t="shared" si="42"/>
        <v>14.37</v>
      </c>
      <c r="D1400" s="15">
        <f t="shared" si="43"/>
        <v>57.866</v>
      </c>
    </row>
    <row r="1401" spans="1:4" ht="15" customHeight="1">
      <c r="A1401" t="s">
        <v>1464</v>
      </c>
      <c r="B1401" s="15">
        <f>INDEX('GLB.Ts+dSST (4)'!$B$3:$M$149,MATCH(VALUE(RIGHT(A1401,4)),'GLB.Ts+dSST (4)'!$A$3:$A$149,0),VALUE(LEFT(A1401,FIND("/",A1401)-1)))</f>
        <v>0.48</v>
      </c>
      <c r="C1401" s="15">
        <f t="shared" si="42"/>
        <v>14.48</v>
      </c>
      <c r="D1401" s="15">
        <f t="shared" si="43"/>
        <v>58.064</v>
      </c>
    </row>
    <row r="1402" spans="1:4" ht="15" customHeight="1">
      <c r="A1402" t="s">
        <v>1465</v>
      </c>
      <c r="B1402" s="15">
        <f>INDEX('GLB.Ts+dSST (4)'!$B$3:$M$149,MATCH(VALUE(RIGHT(A1402,4)),'GLB.Ts+dSST (4)'!$A$3:$A$149,0),VALUE(LEFT(A1402,FIND("/",A1402)-1)))</f>
        <v>0.26</v>
      </c>
      <c r="C1402" s="15">
        <f t="shared" si="42"/>
        <v>14.26</v>
      </c>
      <c r="D1402" s="15">
        <f t="shared" si="43"/>
        <v>57.667999999999999</v>
      </c>
    </row>
    <row r="1403" spans="1:4" ht="15" customHeight="1">
      <c r="A1403" t="s">
        <v>1466</v>
      </c>
      <c r="B1403" s="15">
        <f>INDEX('GLB.Ts+dSST (4)'!$B$3:$M$149,MATCH(VALUE(RIGHT(A1403,4)),'GLB.Ts+dSST (4)'!$A$3:$A$149,0),VALUE(LEFT(A1403,FIND("/",A1403)-1)))</f>
        <v>0.22</v>
      </c>
      <c r="C1403" s="15">
        <f t="shared" si="42"/>
        <v>14.22</v>
      </c>
      <c r="D1403" s="15">
        <f t="shared" si="43"/>
        <v>57.596000000000004</v>
      </c>
    </row>
    <row r="1404" spans="1:4" ht="15" customHeight="1">
      <c r="A1404" t="s">
        <v>1467</v>
      </c>
      <c r="B1404" s="15">
        <f>INDEX('GLB.Ts+dSST (4)'!$B$3:$M$149,MATCH(VALUE(RIGHT(A1404,4)),'GLB.Ts+dSST (4)'!$A$3:$A$149,0),VALUE(LEFT(A1404,FIND("/",A1404)-1)))</f>
        <v>0.42</v>
      </c>
      <c r="C1404" s="15">
        <f t="shared" si="42"/>
        <v>14.42</v>
      </c>
      <c r="D1404" s="15">
        <f t="shared" si="43"/>
        <v>57.956000000000003</v>
      </c>
    </row>
    <row r="1405" spans="1:4" ht="15" customHeight="1">
      <c r="A1405" t="s">
        <v>1468</v>
      </c>
      <c r="B1405" s="15">
        <f>INDEX('GLB.Ts+dSST (4)'!$B$3:$M$149,MATCH(VALUE(RIGHT(A1405,4)),'GLB.Ts+dSST (4)'!$A$3:$A$149,0),VALUE(LEFT(A1405,FIND("/",A1405)-1)))</f>
        <v>0.37</v>
      </c>
      <c r="C1405" s="15">
        <f t="shared" si="42"/>
        <v>14.37</v>
      </c>
      <c r="D1405" s="15">
        <f t="shared" si="43"/>
        <v>57.866</v>
      </c>
    </row>
    <row r="1406" spans="1:4" ht="15" customHeight="1">
      <c r="A1406" t="s">
        <v>1469</v>
      </c>
      <c r="B1406" s="15">
        <f>INDEX('GLB.Ts+dSST (4)'!$B$3:$M$149,MATCH(VALUE(RIGHT(A1406,4)),'GLB.Ts+dSST (4)'!$A$3:$A$149,0),VALUE(LEFT(A1406,FIND("/",A1406)-1)))</f>
        <v>0.32</v>
      </c>
      <c r="C1406" s="15">
        <f t="shared" si="42"/>
        <v>14.32</v>
      </c>
      <c r="D1406" s="15">
        <f t="shared" si="43"/>
        <v>57.775999999999996</v>
      </c>
    </row>
    <row r="1407" spans="1:4" ht="15" customHeight="1">
      <c r="A1407" t="s">
        <v>1470</v>
      </c>
      <c r="B1407" s="15">
        <f>INDEX('GLB.Ts+dSST (4)'!$B$3:$M$149,MATCH(VALUE(RIGHT(A1407,4)),'GLB.Ts+dSST (4)'!$A$3:$A$149,0),VALUE(LEFT(A1407,FIND("/",A1407)-1)))</f>
        <v>0.41</v>
      </c>
      <c r="C1407" s="15">
        <f t="shared" si="42"/>
        <v>14.41</v>
      </c>
      <c r="D1407" s="15">
        <f t="shared" si="43"/>
        <v>57.938000000000002</v>
      </c>
    </row>
    <row r="1408" spans="1:4" ht="15" customHeight="1">
      <c r="A1408" t="s">
        <v>1471</v>
      </c>
      <c r="B1408" s="15">
        <f>INDEX('GLB.Ts+dSST (4)'!$B$3:$M$149,MATCH(VALUE(RIGHT(A1408,4)),'GLB.Ts+dSST (4)'!$A$3:$A$149,0),VALUE(LEFT(A1408,FIND("/",A1408)-1)))</f>
        <v>0.52</v>
      </c>
      <c r="C1408" s="15">
        <f t="shared" si="42"/>
        <v>14.52</v>
      </c>
      <c r="D1408" s="15">
        <f t="shared" si="43"/>
        <v>58.135999999999996</v>
      </c>
    </row>
    <row r="1409" spans="1:4" ht="15" customHeight="1">
      <c r="A1409" t="s">
        <v>1472</v>
      </c>
      <c r="B1409" s="15">
        <f>INDEX('GLB.Ts+dSST (4)'!$B$3:$M$149,MATCH(VALUE(RIGHT(A1409,4)),'GLB.Ts+dSST (4)'!$A$3:$A$149,0),VALUE(LEFT(A1409,FIND("/",A1409)-1)))</f>
        <v>0.34</v>
      </c>
      <c r="C1409" s="15">
        <f t="shared" si="42"/>
        <v>14.34</v>
      </c>
      <c r="D1409" s="15">
        <f t="shared" si="43"/>
        <v>57.811999999999998</v>
      </c>
    </row>
    <row r="1410" spans="1:4" ht="15" customHeight="1">
      <c r="A1410" t="s">
        <v>1473</v>
      </c>
      <c r="B1410" s="15">
        <f>INDEX('GLB.Ts+dSST (4)'!$B$3:$M$149,MATCH(VALUE(RIGHT(A1410,4)),'GLB.Ts+dSST (4)'!$A$3:$A$149,0),VALUE(LEFT(A1410,FIND("/",A1410)-1)))</f>
        <v>0.35</v>
      </c>
      <c r="C1410" s="15">
        <f t="shared" ref="C1410:C1473" si="44">B1410+14</f>
        <v>14.35</v>
      </c>
      <c r="D1410" s="15">
        <f t="shared" ref="D1410:D1473" si="45">C1410*(9/5)+32</f>
        <v>57.83</v>
      </c>
    </row>
    <row r="1411" spans="1:4" ht="15" customHeight="1">
      <c r="A1411" t="s">
        <v>1474</v>
      </c>
      <c r="B1411" s="15">
        <f>INDEX('GLB.Ts+dSST (4)'!$B$3:$M$149,MATCH(VALUE(RIGHT(A1411,4)),'GLB.Ts+dSST (4)'!$A$3:$A$149,0),VALUE(LEFT(A1411,FIND("/",A1411)-1)))</f>
        <v>0.55000000000000004</v>
      </c>
      <c r="C1411" s="15">
        <f t="shared" si="44"/>
        <v>14.55</v>
      </c>
      <c r="D1411" s="15">
        <f t="shared" si="45"/>
        <v>58.19</v>
      </c>
    </row>
    <row r="1412" spans="1:4" ht="15" customHeight="1">
      <c r="A1412" t="s">
        <v>1475</v>
      </c>
      <c r="B1412" s="15">
        <f>INDEX('GLB.Ts+dSST (4)'!$B$3:$M$149,MATCH(VALUE(RIGHT(A1412,4)),'GLB.Ts+dSST (4)'!$A$3:$A$149,0),VALUE(LEFT(A1412,FIND("/",A1412)-1)))</f>
        <v>0.34</v>
      </c>
      <c r="C1412" s="15">
        <f t="shared" si="44"/>
        <v>14.34</v>
      </c>
      <c r="D1412" s="15">
        <f t="shared" si="45"/>
        <v>57.811999999999998</v>
      </c>
    </row>
    <row r="1413" spans="1:4" ht="15" customHeight="1">
      <c r="A1413" t="s">
        <v>1476</v>
      </c>
      <c r="B1413" s="15">
        <f>INDEX('GLB.Ts+dSST (4)'!$B$3:$M$149,MATCH(VALUE(RIGHT(A1413,4)),'GLB.Ts+dSST (4)'!$A$3:$A$149,0),VALUE(LEFT(A1413,FIND("/",A1413)-1)))</f>
        <v>0.41</v>
      </c>
      <c r="C1413" s="15">
        <f t="shared" si="44"/>
        <v>14.41</v>
      </c>
      <c r="D1413" s="15">
        <f t="shared" si="45"/>
        <v>57.938000000000002</v>
      </c>
    </row>
    <row r="1414" spans="1:4" ht="15" customHeight="1">
      <c r="A1414" t="s">
        <v>1477</v>
      </c>
      <c r="B1414" s="15">
        <f>INDEX('GLB.Ts+dSST (4)'!$B$3:$M$149,MATCH(VALUE(RIGHT(A1414,4)),'GLB.Ts+dSST (4)'!$A$3:$A$149,0),VALUE(LEFT(A1414,FIND("/",A1414)-1)))</f>
        <v>0.52</v>
      </c>
      <c r="C1414" s="15">
        <f t="shared" si="44"/>
        <v>14.52</v>
      </c>
      <c r="D1414" s="15">
        <f t="shared" si="45"/>
        <v>58.135999999999996</v>
      </c>
    </row>
    <row r="1415" spans="1:4" ht="15" customHeight="1">
      <c r="A1415" t="s">
        <v>1478</v>
      </c>
      <c r="B1415" s="15">
        <f>INDEX('GLB.Ts+dSST (4)'!$B$3:$M$149,MATCH(VALUE(RIGHT(A1415,4)),'GLB.Ts+dSST (4)'!$A$3:$A$149,0),VALUE(LEFT(A1415,FIND("/",A1415)-1)))</f>
        <v>0.61</v>
      </c>
      <c r="C1415" s="15">
        <f t="shared" si="44"/>
        <v>14.61</v>
      </c>
      <c r="D1415" s="15">
        <f t="shared" si="45"/>
        <v>58.298000000000002</v>
      </c>
    </row>
    <row r="1416" spans="1:4" ht="15" customHeight="1">
      <c r="A1416" t="s">
        <v>1479</v>
      </c>
      <c r="B1416" s="15">
        <f>INDEX('GLB.Ts+dSST (4)'!$B$3:$M$149,MATCH(VALUE(RIGHT(A1416,4)),'GLB.Ts+dSST (4)'!$A$3:$A$149,0),VALUE(LEFT(A1416,FIND("/",A1416)-1)))</f>
        <v>0.65</v>
      </c>
      <c r="C1416" s="15">
        <f t="shared" si="44"/>
        <v>14.65</v>
      </c>
      <c r="D1416" s="15">
        <f t="shared" si="45"/>
        <v>58.370000000000005</v>
      </c>
    </row>
    <row r="1417" spans="1:4" ht="15" customHeight="1">
      <c r="A1417" t="s">
        <v>1480</v>
      </c>
      <c r="B1417" s="15">
        <f>INDEX('GLB.Ts+dSST (4)'!$B$3:$M$149,MATCH(VALUE(RIGHT(A1417,4)),'GLB.Ts+dSST (4)'!$A$3:$A$149,0),VALUE(LEFT(A1417,FIND("/",A1417)-1)))</f>
        <v>0.59</v>
      </c>
      <c r="C1417" s="15">
        <f t="shared" si="44"/>
        <v>14.59</v>
      </c>
      <c r="D1417" s="15">
        <f t="shared" si="45"/>
        <v>58.262</v>
      </c>
    </row>
    <row r="1418" spans="1:4" ht="15" customHeight="1">
      <c r="A1418" t="s">
        <v>1481</v>
      </c>
      <c r="B1418" s="15">
        <f>INDEX('GLB.Ts+dSST (4)'!$B$3:$M$149,MATCH(VALUE(RIGHT(A1418,4)),'GLB.Ts+dSST (4)'!$A$3:$A$149,0),VALUE(LEFT(A1418,FIND("/",A1418)-1)))</f>
        <v>0.57999999999999996</v>
      </c>
      <c r="C1418" s="15">
        <f t="shared" si="44"/>
        <v>14.58</v>
      </c>
      <c r="D1418" s="15">
        <f t="shared" si="45"/>
        <v>58.244</v>
      </c>
    </row>
    <row r="1419" spans="1:4" ht="15" customHeight="1">
      <c r="A1419" t="s">
        <v>1482</v>
      </c>
      <c r="B1419" s="15">
        <f>INDEX('GLB.Ts+dSST (4)'!$B$3:$M$149,MATCH(VALUE(RIGHT(A1419,4)),'GLB.Ts+dSST (4)'!$A$3:$A$149,0),VALUE(LEFT(A1419,FIND("/",A1419)-1)))</f>
        <v>0.88</v>
      </c>
      <c r="C1419" s="15">
        <f t="shared" si="44"/>
        <v>14.88</v>
      </c>
      <c r="D1419" s="15">
        <f t="shared" si="45"/>
        <v>58.784000000000006</v>
      </c>
    </row>
    <row r="1420" spans="1:4" ht="15" customHeight="1">
      <c r="A1420" t="s">
        <v>1483</v>
      </c>
      <c r="B1420" s="15">
        <f>INDEX('GLB.Ts+dSST (4)'!$B$3:$M$149,MATCH(VALUE(RIGHT(A1420,4)),'GLB.Ts+dSST (4)'!$A$3:$A$149,0),VALUE(LEFT(A1420,FIND("/",A1420)-1)))</f>
        <v>0.63</v>
      </c>
      <c r="C1420" s="15">
        <f t="shared" si="44"/>
        <v>14.63</v>
      </c>
      <c r="D1420" s="15">
        <f t="shared" si="45"/>
        <v>58.334000000000003</v>
      </c>
    </row>
    <row r="1421" spans="1:4" ht="15" customHeight="1">
      <c r="A1421" t="s">
        <v>1484</v>
      </c>
      <c r="B1421" s="15">
        <f>INDEX('GLB.Ts+dSST (4)'!$B$3:$M$149,MATCH(VALUE(RIGHT(A1421,4)),'GLB.Ts+dSST (4)'!$A$3:$A$149,0),VALUE(LEFT(A1421,FIND("/",A1421)-1)))</f>
        <v>0.64</v>
      </c>
      <c r="C1421" s="15">
        <f t="shared" si="44"/>
        <v>14.64</v>
      </c>
      <c r="D1421" s="15">
        <f t="shared" si="45"/>
        <v>58.352000000000004</v>
      </c>
    </row>
    <row r="1422" spans="1:4" ht="15" customHeight="1">
      <c r="A1422" t="s">
        <v>1485</v>
      </c>
      <c r="B1422" s="15">
        <f>INDEX('GLB.Ts+dSST (4)'!$B$3:$M$149,MATCH(VALUE(RIGHT(A1422,4)),'GLB.Ts+dSST (4)'!$A$3:$A$149,0),VALUE(LEFT(A1422,FIND("/",A1422)-1)))</f>
        <v>0.68</v>
      </c>
      <c r="C1422" s="15">
        <f t="shared" si="44"/>
        <v>14.68</v>
      </c>
      <c r="D1422" s="15">
        <f t="shared" si="45"/>
        <v>58.423999999999999</v>
      </c>
    </row>
    <row r="1423" spans="1:4" ht="15" customHeight="1">
      <c r="A1423" t="s">
        <v>1486</v>
      </c>
      <c r="B1423" s="15">
        <f>INDEX('GLB.Ts+dSST (4)'!$B$3:$M$149,MATCH(VALUE(RIGHT(A1423,4)),'GLB.Ts+dSST (4)'!$A$3:$A$149,0),VALUE(LEFT(A1423,FIND("/",A1423)-1)))</f>
        <v>0.77</v>
      </c>
      <c r="C1423" s="15">
        <f t="shared" si="44"/>
        <v>14.77</v>
      </c>
      <c r="D1423" s="15">
        <f t="shared" si="45"/>
        <v>58.585999999999999</v>
      </c>
    </row>
    <row r="1424" spans="1:4" ht="15" customHeight="1">
      <c r="A1424" t="s">
        <v>1487</v>
      </c>
      <c r="B1424" s="15">
        <f>INDEX('GLB.Ts+dSST (4)'!$B$3:$M$149,MATCH(VALUE(RIGHT(A1424,4)),'GLB.Ts+dSST (4)'!$A$3:$A$149,0),VALUE(LEFT(A1424,FIND("/",A1424)-1)))</f>
        <v>0.66</v>
      </c>
      <c r="C1424" s="15">
        <f t="shared" si="44"/>
        <v>14.66</v>
      </c>
      <c r="D1424" s="15">
        <f t="shared" si="45"/>
        <v>58.388000000000005</v>
      </c>
    </row>
    <row r="1425" spans="1:4" ht="15" customHeight="1">
      <c r="A1425" t="s">
        <v>1488</v>
      </c>
      <c r="B1425" s="15">
        <f>INDEX('GLB.Ts+dSST (4)'!$B$3:$M$149,MATCH(VALUE(RIGHT(A1425,4)),'GLB.Ts+dSST (4)'!$A$3:$A$149,0),VALUE(LEFT(A1425,FIND("/",A1425)-1)))</f>
        <v>0.65</v>
      </c>
      <c r="C1425" s="15">
        <f t="shared" si="44"/>
        <v>14.65</v>
      </c>
      <c r="D1425" s="15">
        <f t="shared" si="45"/>
        <v>58.370000000000005</v>
      </c>
    </row>
    <row r="1426" spans="1:4" ht="15" customHeight="1">
      <c r="A1426" t="s">
        <v>1489</v>
      </c>
      <c r="B1426" s="15">
        <f>INDEX('GLB.Ts+dSST (4)'!$B$3:$M$149,MATCH(VALUE(RIGHT(A1426,4)),'GLB.Ts+dSST (4)'!$A$3:$A$149,0),VALUE(LEFT(A1426,FIND("/",A1426)-1)))</f>
        <v>0.42</v>
      </c>
      <c r="C1426" s="15">
        <f t="shared" si="44"/>
        <v>14.42</v>
      </c>
      <c r="D1426" s="15">
        <f t="shared" si="45"/>
        <v>57.956000000000003</v>
      </c>
    </row>
    <row r="1427" spans="1:4" ht="15" customHeight="1">
      <c r="A1427" t="s">
        <v>1490</v>
      </c>
      <c r="B1427" s="15">
        <f>INDEX('GLB.Ts+dSST (4)'!$B$3:$M$149,MATCH(VALUE(RIGHT(A1427,4)),'GLB.Ts+dSST (4)'!$A$3:$A$149,0),VALUE(LEFT(A1427,FIND("/",A1427)-1)))</f>
        <v>0.42</v>
      </c>
      <c r="C1427" s="15">
        <f t="shared" si="44"/>
        <v>14.42</v>
      </c>
      <c r="D1427" s="15">
        <f t="shared" si="45"/>
        <v>57.956000000000003</v>
      </c>
    </row>
    <row r="1428" spans="1:4" ht="15" customHeight="1">
      <c r="A1428" t="s">
        <v>1491</v>
      </c>
      <c r="B1428" s="15">
        <f>INDEX('GLB.Ts+dSST (4)'!$B$3:$M$149,MATCH(VALUE(RIGHT(A1428,4)),'GLB.Ts+dSST (4)'!$A$3:$A$149,0),VALUE(LEFT(A1428,FIND("/",A1428)-1)))</f>
        <v>0.43</v>
      </c>
      <c r="C1428" s="15">
        <f t="shared" si="44"/>
        <v>14.43</v>
      </c>
      <c r="D1428" s="15">
        <f t="shared" si="45"/>
        <v>57.974000000000004</v>
      </c>
    </row>
    <row r="1429" spans="1:4" ht="15" customHeight="1">
      <c r="A1429" t="s">
        <v>1492</v>
      </c>
      <c r="B1429" s="15">
        <f>INDEX('GLB.Ts+dSST (4)'!$B$3:$M$149,MATCH(VALUE(RIGHT(A1429,4)),'GLB.Ts+dSST (4)'!$A$3:$A$149,0),VALUE(LEFT(A1429,FIND("/",A1429)-1)))</f>
        <v>0.55000000000000004</v>
      </c>
      <c r="C1429" s="15">
        <f t="shared" si="44"/>
        <v>14.55</v>
      </c>
      <c r="D1429" s="15">
        <f t="shared" si="45"/>
        <v>58.19</v>
      </c>
    </row>
    <row r="1430" spans="1:4" ht="15" customHeight="1">
      <c r="A1430" t="s">
        <v>1493</v>
      </c>
      <c r="B1430" s="15">
        <f>INDEX('GLB.Ts+dSST (4)'!$B$3:$M$149,MATCH(VALUE(RIGHT(A1430,4)),'GLB.Ts+dSST (4)'!$A$3:$A$149,0),VALUE(LEFT(A1430,FIND("/",A1430)-1)))</f>
        <v>0.48</v>
      </c>
      <c r="C1430" s="15">
        <f t="shared" si="44"/>
        <v>14.48</v>
      </c>
      <c r="D1430" s="15">
        <f t="shared" si="45"/>
        <v>58.064</v>
      </c>
    </row>
    <row r="1431" spans="1:4" ht="15" customHeight="1">
      <c r="A1431" t="s">
        <v>1494</v>
      </c>
      <c r="B1431" s="15">
        <f>INDEX('GLB.Ts+dSST (4)'!$B$3:$M$149,MATCH(VALUE(RIGHT(A1431,4)),'GLB.Ts+dSST (4)'!$A$3:$A$149,0),VALUE(LEFT(A1431,FIND("/",A1431)-1)))</f>
        <v>0.64</v>
      </c>
      <c r="C1431" s="15">
        <f t="shared" si="44"/>
        <v>14.64</v>
      </c>
      <c r="D1431" s="15">
        <f t="shared" si="45"/>
        <v>58.352000000000004</v>
      </c>
    </row>
    <row r="1432" spans="1:4" ht="15" customHeight="1">
      <c r="A1432" t="s">
        <v>1495</v>
      </c>
      <c r="B1432" s="15">
        <f>INDEX('GLB.Ts+dSST (4)'!$B$3:$M$149,MATCH(VALUE(RIGHT(A1432,4)),'GLB.Ts+dSST (4)'!$A$3:$A$149,0),VALUE(LEFT(A1432,FIND("/",A1432)-1)))</f>
        <v>0.33</v>
      </c>
      <c r="C1432" s="15">
        <f t="shared" si="44"/>
        <v>14.33</v>
      </c>
      <c r="D1432" s="15">
        <f t="shared" si="45"/>
        <v>57.793999999999997</v>
      </c>
    </row>
    <row r="1433" spans="1:4" ht="15" customHeight="1">
      <c r="A1433" t="s">
        <v>1496</v>
      </c>
      <c r="B1433" s="15">
        <f>INDEX('GLB.Ts+dSST (4)'!$B$3:$M$149,MATCH(VALUE(RIGHT(A1433,4)),'GLB.Ts+dSST (4)'!$A$3:$A$149,0),VALUE(LEFT(A1433,FIND("/",A1433)-1)))</f>
        <v>0.32</v>
      </c>
      <c r="C1433" s="15">
        <f t="shared" si="44"/>
        <v>14.32</v>
      </c>
      <c r="D1433" s="15">
        <f t="shared" si="45"/>
        <v>57.775999999999996</v>
      </c>
    </row>
    <row r="1434" spans="1:4" ht="15" customHeight="1">
      <c r="A1434" t="s">
        <v>1497</v>
      </c>
      <c r="B1434" s="15">
        <f>INDEX('GLB.Ts+dSST (4)'!$B$3:$M$149,MATCH(VALUE(RIGHT(A1434,4)),'GLB.Ts+dSST (4)'!$A$3:$A$149,0),VALUE(LEFT(A1434,FIND("/",A1434)-1)))</f>
        <v>0.26</v>
      </c>
      <c r="C1434" s="15">
        <f t="shared" si="44"/>
        <v>14.26</v>
      </c>
      <c r="D1434" s="15">
        <f t="shared" si="45"/>
        <v>57.667999999999999</v>
      </c>
    </row>
    <row r="1435" spans="1:4" ht="15" customHeight="1">
      <c r="A1435" t="s">
        <v>1498</v>
      </c>
      <c r="B1435" s="15">
        <f>INDEX('GLB.Ts+dSST (4)'!$B$3:$M$149,MATCH(VALUE(RIGHT(A1435,4)),'GLB.Ts+dSST (4)'!$A$3:$A$149,0),VALUE(LEFT(A1435,FIND("/",A1435)-1)))</f>
        <v>0.36</v>
      </c>
      <c r="C1435" s="15">
        <f t="shared" si="44"/>
        <v>14.36</v>
      </c>
      <c r="D1435" s="15">
        <f t="shared" si="45"/>
        <v>57.847999999999999</v>
      </c>
    </row>
    <row r="1436" spans="1:4" ht="15" customHeight="1">
      <c r="A1436" t="s">
        <v>1499</v>
      </c>
      <c r="B1436" s="15">
        <f>INDEX('GLB.Ts+dSST (4)'!$B$3:$M$149,MATCH(VALUE(RIGHT(A1436,4)),'GLB.Ts+dSST (4)'!$A$3:$A$149,0),VALUE(LEFT(A1436,FIND("/",A1436)-1)))</f>
        <v>0.39</v>
      </c>
      <c r="C1436" s="15">
        <f t="shared" si="44"/>
        <v>14.39</v>
      </c>
      <c r="D1436" s="15">
        <f t="shared" si="45"/>
        <v>57.902000000000001</v>
      </c>
    </row>
    <row r="1437" spans="1:4" ht="15" customHeight="1">
      <c r="A1437" t="s">
        <v>1500</v>
      </c>
      <c r="B1437" s="15">
        <f>INDEX('GLB.Ts+dSST (4)'!$B$3:$M$149,MATCH(VALUE(RIGHT(A1437,4)),'GLB.Ts+dSST (4)'!$A$3:$A$149,0),VALUE(LEFT(A1437,FIND("/",A1437)-1)))</f>
        <v>0.31</v>
      </c>
      <c r="C1437" s="15">
        <f t="shared" si="44"/>
        <v>14.31</v>
      </c>
      <c r="D1437" s="15">
        <f t="shared" si="45"/>
        <v>57.758000000000003</v>
      </c>
    </row>
    <row r="1438" spans="1:4" ht="15" customHeight="1">
      <c r="A1438" t="s">
        <v>1501</v>
      </c>
      <c r="B1438" s="15">
        <f>INDEX('GLB.Ts+dSST (4)'!$B$3:$M$149,MATCH(VALUE(RIGHT(A1438,4)),'GLB.Ts+dSST (4)'!$A$3:$A$149,0),VALUE(LEFT(A1438,FIND("/",A1438)-1)))</f>
        <v>0.39</v>
      </c>
      <c r="C1438" s="15">
        <f t="shared" si="44"/>
        <v>14.39</v>
      </c>
      <c r="D1438" s="15">
        <f t="shared" si="45"/>
        <v>57.902000000000001</v>
      </c>
    </row>
    <row r="1439" spans="1:4" ht="15" customHeight="1">
      <c r="A1439" t="s">
        <v>1502</v>
      </c>
      <c r="B1439" s="15">
        <f>INDEX('GLB.Ts+dSST (4)'!$B$3:$M$149,MATCH(VALUE(RIGHT(A1439,4)),'GLB.Ts+dSST (4)'!$A$3:$A$149,0),VALUE(LEFT(A1439,FIND("/",A1439)-1)))</f>
        <v>0.34</v>
      </c>
      <c r="C1439" s="15">
        <f t="shared" si="44"/>
        <v>14.34</v>
      </c>
      <c r="D1439" s="15">
        <f t="shared" si="45"/>
        <v>57.811999999999998</v>
      </c>
    </row>
    <row r="1440" spans="1:4" ht="15" customHeight="1">
      <c r="A1440" t="s">
        <v>1503</v>
      </c>
      <c r="B1440" s="15">
        <f>INDEX('GLB.Ts+dSST (4)'!$B$3:$M$149,MATCH(VALUE(RIGHT(A1440,4)),'GLB.Ts+dSST (4)'!$A$3:$A$149,0),VALUE(LEFT(A1440,FIND("/",A1440)-1)))</f>
        <v>0.37</v>
      </c>
      <c r="C1440" s="15">
        <f t="shared" si="44"/>
        <v>14.37</v>
      </c>
      <c r="D1440" s="15">
        <f t="shared" si="45"/>
        <v>57.866</v>
      </c>
    </row>
    <row r="1441" spans="1:4" ht="15" customHeight="1">
      <c r="A1441" t="s">
        <v>1504</v>
      </c>
      <c r="B1441" s="15">
        <f>INDEX('GLB.Ts+dSST (4)'!$B$3:$M$149,MATCH(VALUE(RIGHT(A1441,4)),'GLB.Ts+dSST (4)'!$A$3:$A$149,0),VALUE(LEFT(A1441,FIND("/",A1441)-1)))</f>
        <v>0.4</v>
      </c>
      <c r="C1441" s="15">
        <f t="shared" si="44"/>
        <v>14.4</v>
      </c>
      <c r="D1441" s="15">
        <f t="shared" si="45"/>
        <v>57.92</v>
      </c>
    </row>
    <row r="1442" spans="1:4" ht="15" customHeight="1">
      <c r="A1442" t="s">
        <v>1505</v>
      </c>
      <c r="B1442" s="15">
        <f>INDEX('GLB.Ts+dSST (4)'!$B$3:$M$149,MATCH(VALUE(RIGHT(A1442,4)),'GLB.Ts+dSST (4)'!$A$3:$A$149,0),VALUE(LEFT(A1442,FIND("/",A1442)-1)))</f>
        <v>0.25</v>
      </c>
      <c r="C1442" s="15">
        <f t="shared" si="44"/>
        <v>14.25</v>
      </c>
      <c r="D1442" s="15">
        <f t="shared" si="45"/>
        <v>57.650000000000006</v>
      </c>
    </row>
    <row r="1443" spans="1:4" ht="15" customHeight="1">
      <c r="A1443" t="s">
        <v>1506</v>
      </c>
      <c r="B1443" s="15">
        <f>INDEX('GLB.Ts+dSST (4)'!$B$3:$M$149,MATCH(VALUE(RIGHT(A1443,4)),'GLB.Ts+dSST (4)'!$A$3:$A$149,0),VALUE(LEFT(A1443,FIND("/",A1443)-1)))</f>
        <v>0.56000000000000005</v>
      </c>
      <c r="C1443" s="15">
        <f t="shared" si="44"/>
        <v>14.56</v>
      </c>
      <c r="D1443" s="15">
        <f t="shared" si="45"/>
        <v>58.207999999999998</v>
      </c>
    </row>
    <row r="1444" spans="1:4" ht="15" customHeight="1">
      <c r="A1444" t="s">
        <v>1507</v>
      </c>
      <c r="B1444" s="15">
        <f>INDEX('GLB.Ts+dSST (4)'!$B$3:$M$149,MATCH(VALUE(RIGHT(A1444,4)),'GLB.Ts+dSST (4)'!$A$3:$A$149,0),VALUE(LEFT(A1444,FIND("/",A1444)-1)))</f>
        <v>0.55000000000000004</v>
      </c>
      <c r="C1444" s="15">
        <f t="shared" si="44"/>
        <v>14.55</v>
      </c>
      <c r="D1444" s="15">
        <f t="shared" si="45"/>
        <v>58.19</v>
      </c>
    </row>
    <row r="1445" spans="1:4" ht="15" customHeight="1">
      <c r="A1445" t="s">
        <v>1508</v>
      </c>
      <c r="B1445" s="15">
        <f>INDEX('GLB.Ts+dSST (4)'!$B$3:$M$149,MATCH(VALUE(RIGHT(A1445,4)),'GLB.Ts+dSST (4)'!$A$3:$A$149,0),VALUE(LEFT(A1445,FIND("/",A1445)-1)))</f>
        <v>0.56000000000000005</v>
      </c>
      <c r="C1445" s="15">
        <f t="shared" si="44"/>
        <v>14.56</v>
      </c>
      <c r="D1445" s="15">
        <f t="shared" si="45"/>
        <v>58.207999999999998</v>
      </c>
    </row>
    <row r="1446" spans="1:4" ht="15" customHeight="1">
      <c r="A1446" t="s">
        <v>1509</v>
      </c>
      <c r="B1446" s="15">
        <f>INDEX('GLB.Ts+dSST (4)'!$B$3:$M$149,MATCH(VALUE(RIGHT(A1446,4)),'GLB.Ts+dSST (4)'!$A$3:$A$149,0),VALUE(LEFT(A1446,FIND("/",A1446)-1)))</f>
        <v>0.35</v>
      </c>
      <c r="C1446" s="15">
        <f t="shared" si="44"/>
        <v>14.35</v>
      </c>
      <c r="D1446" s="15">
        <f t="shared" si="45"/>
        <v>57.83</v>
      </c>
    </row>
    <row r="1447" spans="1:4" ht="15" customHeight="1">
      <c r="A1447" t="s">
        <v>1510</v>
      </c>
      <c r="B1447" s="15">
        <f>INDEX('GLB.Ts+dSST (4)'!$B$3:$M$149,MATCH(VALUE(RIGHT(A1447,4)),'GLB.Ts+dSST (4)'!$A$3:$A$149,0),VALUE(LEFT(A1447,FIND("/",A1447)-1)))</f>
        <v>0.4</v>
      </c>
      <c r="C1447" s="15">
        <f t="shared" si="44"/>
        <v>14.4</v>
      </c>
      <c r="D1447" s="15">
        <f t="shared" si="45"/>
        <v>57.92</v>
      </c>
    </row>
    <row r="1448" spans="1:4" ht="15" customHeight="1">
      <c r="A1448" t="s">
        <v>1511</v>
      </c>
      <c r="B1448" s="15">
        <f>INDEX('GLB.Ts+dSST (4)'!$B$3:$M$149,MATCH(VALUE(RIGHT(A1448,4)),'GLB.Ts+dSST (4)'!$A$3:$A$149,0),VALUE(LEFT(A1448,FIND("/",A1448)-1)))</f>
        <v>0.39</v>
      </c>
      <c r="C1448" s="15">
        <f t="shared" si="44"/>
        <v>14.39</v>
      </c>
      <c r="D1448" s="15">
        <f t="shared" si="45"/>
        <v>57.902000000000001</v>
      </c>
    </row>
    <row r="1449" spans="1:4" ht="15" customHeight="1">
      <c r="A1449" t="s">
        <v>1512</v>
      </c>
      <c r="B1449" s="15">
        <f>INDEX('GLB.Ts+dSST (4)'!$B$3:$M$149,MATCH(VALUE(RIGHT(A1449,4)),'GLB.Ts+dSST (4)'!$A$3:$A$149,0),VALUE(LEFT(A1449,FIND("/",A1449)-1)))</f>
        <v>0.42</v>
      </c>
      <c r="C1449" s="15">
        <f t="shared" si="44"/>
        <v>14.42</v>
      </c>
      <c r="D1449" s="15">
        <f t="shared" si="45"/>
        <v>57.956000000000003</v>
      </c>
    </row>
    <row r="1450" spans="1:4" ht="15" customHeight="1">
      <c r="A1450" t="s">
        <v>1513</v>
      </c>
      <c r="B1450" s="15">
        <f>INDEX('GLB.Ts+dSST (4)'!$B$3:$M$149,MATCH(VALUE(RIGHT(A1450,4)),'GLB.Ts+dSST (4)'!$A$3:$A$149,0),VALUE(LEFT(A1450,FIND("/",A1450)-1)))</f>
        <v>0.39</v>
      </c>
      <c r="C1450" s="15">
        <f t="shared" si="44"/>
        <v>14.39</v>
      </c>
      <c r="D1450" s="15">
        <f t="shared" si="45"/>
        <v>57.902000000000001</v>
      </c>
    </row>
    <row r="1451" spans="1:4" ht="15" customHeight="1">
      <c r="A1451" t="s">
        <v>1514</v>
      </c>
      <c r="B1451" s="15">
        <f>INDEX('GLB.Ts+dSST (4)'!$B$3:$M$149,MATCH(VALUE(RIGHT(A1451,4)),'GLB.Ts+dSST (4)'!$A$3:$A$149,0),VALUE(LEFT(A1451,FIND("/",A1451)-1)))</f>
        <v>0.27</v>
      </c>
      <c r="C1451" s="15">
        <f t="shared" si="44"/>
        <v>14.27</v>
      </c>
      <c r="D1451" s="15">
        <f t="shared" si="45"/>
        <v>57.686</v>
      </c>
    </row>
    <row r="1452" spans="1:4" ht="15" customHeight="1">
      <c r="A1452" t="s">
        <v>1515</v>
      </c>
      <c r="B1452" s="15">
        <f>INDEX('GLB.Ts+dSST (4)'!$B$3:$M$149,MATCH(VALUE(RIGHT(A1452,4)),'GLB.Ts+dSST (4)'!$A$3:$A$149,0),VALUE(LEFT(A1452,FIND("/",A1452)-1)))</f>
        <v>0.3</v>
      </c>
      <c r="C1452" s="15">
        <f t="shared" si="44"/>
        <v>14.3</v>
      </c>
      <c r="D1452" s="15">
        <f t="shared" si="45"/>
        <v>57.74</v>
      </c>
    </row>
    <row r="1453" spans="1:4" ht="15" customHeight="1">
      <c r="A1453" t="s">
        <v>1516</v>
      </c>
      <c r="B1453" s="15">
        <f>INDEX('GLB.Ts+dSST (4)'!$B$3:$M$149,MATCH(VALUE(RIGHT(A1453,4)),'GLB.Ts+dSST (4)'!$A$3:$A$149,0),VALUE(LEFT(A1453,FIND("/",A1453)-1)))</f>
        <v>0.28000000000000003</v>
      </c>
      <c r="C1453" s="15">
        <f t="shared" si="44"/>
        <v>14.28</v>
      </c>
      <c r="D1453" s="15">
        <f t="shared" si="45"/>
        <v>57.704000000000001</v>
      </c>
    </row>
    <row r="1454" spans="1:4" ht="15" customHeight="1">
      <c r="A1454" t="s">
        <v>1517</v>
      </c>
      <c r="B1454" s="15">
        <f>INDEX('GLB.Ts+dSST (4)'!$B$3:$M$149,MATCH(VALUE(RIGHT(A1454,4)),'GLB.Ts+dSST (4)'!$A$3:$A$149,0),VALUE(LEFT(A1454,FIND("/",A1454)-1)))</f>
        <v>0.45</v>
      </c>
      <c r="C1454" s="15">
        <f t="shared" si="44"/>
        <v>14.45</v>
      </c>
      <c r="D1454" s="15">
        <f t="shared" si="45"/>
        <v>58.01</v>
      </c>
    </row>
    <row r="1455" spans="1:4" ht="15" customHeight="1">
      <c r="A1455" t="s">
        <v>1518</v>
      </c>
      <c r="B1455" s="15">
        <f>INDEX('GLB.Ts+dSST (4)'!$B$3:$M$149,MATCH(VALUE(RIGHT(A1455,4)),'GLB.Ts+dSST (4)'!$A$3:$A$149,0),VALUE(LEFT(A1455,FIND("/",A1455)-1)))</f>
        <v>0.44</v>
      </c>
      <c r="C1455" s="15">
        <f t="shared" si="44"/>
        <v>14.44</v>
      </c>
      <c r="D1455" s="15">
        <f t="shared" si="45"/>
        <v>57.992000000000004</v>
      </c>
    </row>
    <row r="1456" spans="1:4" ht="15" customHeight="1">
      <c r="A1456" t="s">
        <v>1519</v>
      </c>
      <c r="B1456" s="15">
        <f>INDEX('GLB.Ts+dSST (4)'!$B$3:$M$149,MATCH(VALUE(RIGHT(A1456,4)),'GLB.Ts+dSST (4)'!$A$3:$A$149,0),VALUE(LEFT(A1456,FIND("/",A1456)-1)))</f>
        <v>0.55000000000000004</v>
      </c>
      <c r="C1456" s="15">
        <f t="shared" si="44"/>
        <v>14.55</v>
      </c>
      <c r="D1456" s="15">
        <f t="shared" si="45"/>
        <v>58.19</v>
      </c>
    </row>
    <row r="1457" spans="1:4" ht="15" customHeight="1">
      <c r="A1457" t="s">
        <v>1520</v>
      </c>
      <c r="B1457" s="15">
        <f>INDEX('GLB.Ts+dSST (4)'!$B$3:$M$149,MATCH(VALUE(RIGHT(A1457,4)),'GLB.Ts+dSST (4)'!$A$3:$A$149,0),VALUE(LEFT(A1457,FIND("/",A1457)-1)))</f>
        <v>0.5</v>
      </c>
      <c r="C1457" s="15">
        <f t="shared" si="44"/>
        <v>14.5</v>
      </c>
      <c r="D1457" s="15">
        <f t="shared" si="45"/>
        <v>58.1</v>
      </c>
    </row>
    <row r="1458" spans="1:4" ht="15" customHeight="1">
      <c r="A1458" t="s">
        <v>1521</v>
      </c>
      <c r="B1458" s="15">
        <f>INDEX('GLB.Ts+dSST (4)'!$B$3:$M$149,MATCH(VALUE(RIGHT(A1458,4)),'GLB.Ts+dSST (4)'!$A$3:$A$149,0),VALUE(LEFT(A1458,FIND("/",A1458)-1)))</f>
        <v>0.56999999999999995</v>
      </c>
      <c r="C1458" s="15">
        <f t="shared" si="44"/>
        <v>14.57</v>
      </c>
      <c r="D1458" s="15">
        <f t="shared" si="45"/>
        <v>58.225999999999999</v>
      </c>
    </row>
    <row r="1459" spans="1:4" ht="15" customHeight="1">
      <c r="A1459" t="s">
        <v>1522</v>
      </c>
      <c r="B1459" s="15">
        <f>INDEX('GLB.Ts+dSST (4)'!$B$3:$M$149,MATCH(VALUE(RIGHT(A1459,4)),'GLB.Ts+dSST (4)'!$A$3:$A$149,0),VALUE(LEFT(A1459,FIND("/",A1459)-1)))</f>
        <v>0.53</v>
      </c>
      <c r="C1459" s="15">
        <f t="shared" si="44"/>
        <v>14.53</v>
      </c>
      <c r="D1459" s="15">
        <f t="shared" si="45"/>
        <v>58.153999999999996</v>
      </c>
    </row>
    <row r="1460" spans="1:4" ht="15" customHeight="1">
      <c r="A1460" t="s">
        <v>1523</v>
      </c>
      <c r="B1460" s="15">
        <f>INDEX('GLB.Ts+dSST (4)'!$B$3:$M$149,MATCH(VALUE(RIGHT(A1460,4)),'GLB.Ts+dSST (4)'!$A$3:$A$149,0),VALUE(LEFT(A1460,FIND("/",A1460)-1)))</f>
        <v>0.59</v>
      </c>
      <c r="C1460" s="15">
        <f t="shared" si="44"/>
        <v>14.59</v>
      </c>
      <c r="D1460" s="15">
        <f t="shared" si="45"/>
        <v>58.262</v>
      </c>
    </row>
    <row r="1461" spans="1:4" ht="15" customHeight="1">
      <c r="A1461" t="s">
        <v>1524</v>
      </c>
      <c r="B1461" s="15">
        <f>INDEX('GLB.Ts+dSST (4)'!$B$3:$M$149,MATCH(VALUE(RIGHT(A1461,4)),'GLB.Ts+dSST (4)'!$A$3:$A$149,0),VALUE(LEFT(A1461,FIND("/",A1461)-1)))</f>
        <v>0.48</v>
      </c>
      <c r="C1461" s="15">
        <f t="shared" si="44"/>
        <v>14.48</v>
      </c>
      <c r="D1461" s="15">
        <f t="shared" si="45"/>
        <v>58.064</v>
      </c>
    </row>
    <row r="1462" spans="1:4" ht="15" customHeight="1">
      <c r="A1462" t="s">
        <v>1525</v>
      </c>
      <c r="B1462" s="15">
        <f>INDEX('GLB.Ts+dSST (4)'!$B$3:$M$149,MATCH(VALUE(RIGHT(A1462,4)),'GLB.Ts+dSST (4)'!$A$3:$A$149,0),VALUE(LEFT(A1462,FIND("/",A1462)-1)))</f>
        <v>0.52</v>
      </c>
      <c r="C1462" s="15">
        <f t="shared" si="44"/>
        <v>14.52</v>
      </c>
      <c r="D1462" s="15">
        <f t="shared" si="45"/>
        <v>58.135999999999996</v>
      </c>
    </row>
    <row r="1463" spans="1:4" ht="15" customHeight="1">
      <c r="A1463" t="s">
        <v>1526</v>
      </c>
      <c r="B1463" s="15">
        <f>INDEX('GLB.Ts+dSST (4)'!$B$3:$M$149,MATCH(VALUE(RIGHT(A1463,4)),'GLB.Ts+dSST (4)'!$A$3:$A$149,0),VALUE(LEFT(A1463,FIND("/",A1463)-1)))</f>
        <v>0.5</v>
      </c>
      <c r="C1463" s="15">
        <f t="shared" si="44"/>
        <v>14.5</v>
      </c>
      <c r="D1463" s="15">
        <f t="shared" si="45"/>
        <v>58.1</v>
      </c>
    </row>
    <row r="1464" spans="1:4" ht="15" customHeight="1">
      <c r="A1464" t="s">
        <v>1527</v>
      </c>
      <c r="B1464" s="15">
        <f>INDEX('GLB.Ts+dSST (4)'!$B$3:$M$149,MATCH(VALUE(RIGHT(A1464,4)),'GLB.Ts+dSST (4)'!$A$3:$A$149,0),VALUE(LEFT(A1464,FIND("/",A1464)-1)))</f>
        <v>0.72</v>
      </c>
      <c r="C1464" s="15">
        <f t="shared" si="44"/>
        <v>14.72</v>
      </c>
      <c r="D1464" s="15">
        <f t="shared" si="45"/>
        <v>58.496000000000002</v>
      </c>
    </row>
    <row r="1465" spans="1:4" ht="15" customHeight="1">
      <c r="A1465" t="s">
        <v>1528</v>
      </c>
      <c r="B1465" s="15">
        <f>INDEX('GLB.Ts+dSST (4)'!$B$3:$M$149,MATCH(VALUE(RIGHT(A1465,4)),'GLB.Ts+dSST (4)'!$A$3:$A$149,0),VALUE(LEFT(A1465,FIND("/",A1465)-1)))</f>
        <v>0.55000000000000004</v>
      </c>
      <c r="C1465" s="15">
        <f t="shared" si="44"/>
        <v>14.55</v>
      </c>
      <c r="D1465" s="15">
        <f t="shared" si="45"/>
        <v>58.19</v>
      </c>
    </row>
    <row r="1466" spans="1:4" ht="15" customHeight="1">
      <c r="A1466" t="s">
        <v>1529</v>
      </c>
      <c r="B1466" s="15">
        <f>INDEX('GLB.Ts+dSST (4)'!$B$3:$M$149,MATCH(VALUE(RIGHT(A1466,4)),'GLB.Ts+dSST (4)'!$A$3:$A$149,0),VALUE(LEFT(A1466,FIND("/",A1466)-1)))</f>
        <v>0.77</v>
      </c>
      <c r="C1466" s="15">
        <f t="shared" si="44"/>
        <v>14.77</v>
      </c>
      <c r="D1466" s="15">
        <f t="shared" si="45"/>
        <v>58.585999999999999</v>
      </c>
    </row>
    <row r="1467" spans="1:4" ht="15" customHeight="1">
      <c r="A1467" t="s">
        <v>1530</v>
      </c>
      <c r="B1467" s="15">
        <f>INDEX('GLB.Ts+dSST (4)'!$B$3:$M$149,MATCH(VALUE(RIGHT(A1467,4)),'GLB.Ts+dSST (4)'!$A$3:$A$149,0),VALUE(LEFT(A1467,FIND("/",A1467)-1)))</f>
        <v>0.78</v>
      </c>
      <c r="C1467" s="15">
        <f t="shared" si="44"/>
        <v>14.78</v>
      </c>
      <c r="D1467" s="15">
        <f t="shared" si="45"/>
        <v>58.603999999999999</v>
      </c>
    </row>
    <row r="1468" spans="1:4" ht="15" customHeight="1">
      <c r="A1468" t="s">
        <v>1531</v>
      </c>
      <c r="B1468" s="15">
        <f>INDEX('GLB.Ts+dSST (4)'!$B$3:$M$149,MATCH(VALUE(RIGHT(A1468,4)),'GLB.Ts+dSST (4)'!$A$3:$A$149,0),VALUE(LEFT(A1468,FIND("/",A1468)-1)))</f>
        <v>0.88</v>
      </c>
      <c r="C1468" s="15">
        <f t="shared" si="44"/>
        <v>14.88</v>
      </c>
      <c r="D1468" s="15">
        <f t="shared" si="45"/>
        <v>58.784000000000006</v>
      </c>
    </row>
    <row r="1469" spans="1:4" ht="15" customHeight="1">
      <c r="A1469" t="s">
        <v>1532</v>
      </c>
      <c r="B1469" s="15">
        <f>INDEX('GLB.Ts+dSST (4)'!$B$3:$M$149,MATCH(VALUE(RIGHT(A1469,4)),'GLB.Ts+dSST (4)'!$A$3:$A$149,0),VALUE(LEFT(A1469,FIND("/",A1469)-1)))</f>
        <v>0.57999999999999996</v>
      </c>
      <c r="C1469" s="15">
        <f t="shared" si="44"/>
        <v>14.58</v>
      </c>
      <c r="D1469" s="15">
        <f t="shared" si="45"/>
        <v>58.244</v>
      </c>
    </row>
    <row r="1470" spans="1:4" ht="15" customHeight="1">
      <c r="A1470" t="s">
        <v>1533</v>
      </c>
      <c r="B1470" s="15">
        <f>INDEX('GLB.Ts+dSST (4)'!$B$3:$M$149,MATCH(VALUE(RIGHT(A1470,4)),'GLB.Ts+dSST (4)'!$A$3:$A$149,0),VALUE(LEFT(A1470,FIND("/",A1470)-1)))</f>
        <v>0.64</v>
      </c>
      <c r="C1470" s="15">
        <f t="shared" si="44"/>
        <v>14.64</v>
      </c>
      <c r="D1470" s="15">
        <f t="shared" si="45"/>
        <v>58.352000000000004</v>
      </c>
    </row>
    <row r="1471" spans="1:4" ht="15" customHeight="1">
      <c r="A1471" t="s">
        <v>1534</v>
      </c>
      <c r="B1471" s="15">
        <f>INDEX('GLB.Ts+dSST (4)'!$B$3:$M$149,MATCH(VALUE(RIGHT(A1471,4)),'GLB.Ts+dSST (4)'!$A$3:$A$149,0),VALUE(LEFT(A1471,FIND("/",A1471)-1)))</f>
        <v>0.53</v>
      </c>
      <c r="C1471" s="15">
        <f t="shared" si="44"/>
        <v>14.53</v>
      </c>
      <c r="D1471" s="15">
        <f t="shared" si="45"/>
        <v>58.153999999999996</v>
      </c>
    </row>
    <row r="1472" spans="1:4" ht="15" customHeight="1">
      <c r="A1472" t="s">
        <v>1535</v>
      </c>
      <c r="B1472" s="15">
        <f>INDEX('GLB.Ts+dSST (4)'!$B$3:$M$149,MATCH(VALUE(RIGHT(A1472,4)),'GLB.Ts+dSST (4)'!$A$3:$A$149,0),VALUE(LEFT(A1472,FIND("/",A1472)-1)))</f>
        <v>0.61</v>
      </c>
      <c r="C1472" s="15">
        <f t="shared" si="44"/>
        <v>14.61</v>
      </c>
      <c r="D1472" s="15">
        <f t="shared" si="45"/>
        <v>58.298000000000002</v>
      </c>
    </row>
    <row r="1473" spans="1:4" ht="15" customHeight="1">
      <c r="A1473" t="s">
        <v>1536</v>
      </c>
      <c r="B1473" s="15">
        <f>INDEX('GLB.Ts+dSST (4)'!$B$3:$M$149,MATCH(VALUE(RIGHT(A1473,4)),'GLB.Ts+dSST (4)'!$A$3:$A$149,0),VALUE(LEFT(A1473,FIND("/",A1473)-1)))</f>
        <v>0.53</v>
      </c>
      <c r="C1473" s="15">
        <f t="shared" si="44"/>
        <v>14.53</v>
      </c>
      <c r="D1473" s="15">
        <f t="shared" si="45"/>
        <v>58.153999999999996</v>
      </c>
    </row>
    <row r="1474" spans="1:4" ht="15" customHeight="1">
      <c r="A1474" t="s">
        <v>1537</v>
      </c>
      <c r="B1474" s="15">
        <f>INDEX('GLB.Ts+dSST (4)'!$B$3:$M$149,MATCH(VALUE(RIGHT(A1474,4)),'GLB.Ts+dSST (4)'!$A$3:$A$149,0),VALUE(LEFT(A1474,FIND("/",A1474)-1)))</f>
        <v>0.64</v>
      </c>
      <c r="C1474" s="15">
        <f t="shared" ref="C1474:C1537" si="46">B1474+14</f>
        <v>14.64</v>
      </c>
      <c r="D1474" s="15">
        <f t="shared" ref="D1474:D1537" si="47">C1474*(9/5)+32</f>
        <v>58.352000000000004</v>
      </c>
    </row>
    <row r="1475" spans="1:4" ht="15" customHeight="1">
      <c r="A1475" t="s">
        <v>1538</v>
      </c>
      <c r="B1475" s="15">
        <f>INDEX('GLB.Ts+dSST (4)'!$B$3:$M$149,MATCH(VALUE(RIGHT(A1475,4)),'GLB.Ts+dSST (4)'!$A$3:$A$149,0),VALUE(LEFT(A1475,FIND("/",A1475)-1)))</f>
        <v>0.54</v>
      </c>
      <c r="C1475" s="15">
        <f t="shared" si="46"/>
        <v>14.54</v>
      </c>
      <c r="D1475" s="15">
        <f t="shared" si="47"/>
        <v>58.171999999999997</v>
      </c>
    </row>
    <row r="1476" spans="1:4" ht="15" customHeight="1">
      <c r="A1476" t="s">
        <v>1539</v>
      </c>
      <c r="B1476" s="15">
        <f>INDEX('GLB.Ts+dSST (4)'!$B$3:$M$149,MATCH(VALUE(RIGHT(A1476,4)),'GLB.Ts+dSST (4)'!$A$3:$A$149,0),VALUE(LEFT(A1476,FIND("/",A1476)-1)))</f>
        <v>0.59</v>
      </c>
      <c r="C1476" s="15">
        <f t="shared" si="46"/>
        <v>14.59</v>
      </c>
      <c r="D1476" s="15">
        <f t="shared" si="47"/>
        <v>58.262</v>
      </c>
    </row>
    <row r="1477" spans="1:4" ht="15" customHeight="1">
      <c r="A1477" t="s">
        <v>1540</v>
      </c>
      <c r="B1477" s="15">
        <f>INDEX('GLB.Ts+dSST (4)'!$B$3:$M$149,MATCH(VALUE(RIGHT(A1477,4)),'GLB.Ts+dSST (4)'!$A$3:$A$149,0),VALUE(LEFT(A1477,FIND("/",A1477)-1)))</f>
        <v>0.44</v>
      </c>
      <c r="C1477" s="15">
        <f t="shared" si="46"/>
        <v>14.44</v>
      </c>
      <c r="D1477" s="15">
        <f t="shared" si="47"/>
        <v>57.992000000000004</v>
      </c>
    </row>
    <row r="1478" spans="1:4" ht="15" customHeight="1">
      <c r="A1478" t="s">
        <v>1541</v>
      </c>
      <c r="B1478" s="15">
        <f>INDEX('GLB.Ts+dSST (4)'!$B$3:$M$149,MATCH(VALUE(RIGHT(A1478,4)),'GLB.Ts+dSST (4)'!$A$3:$A$149,0),VALUE(LEFT(A1478,FIND("/",A1478)-1)))</f>
        <v>0.75</v>
      </c>
      <c r="C1478" s="15">
        <f t="shared" si="46"/>
        <v>14.75</v>
      </c>
      <c r="D1478" s="15">
        <f t="shared" si="47"/>
        <v>58.55</v>
      </c>
    </row>
    <row r="1479" spans="1:4" ht="15" customHeight="1">
      <c r="A1479" t="s">
        <v>1542</v>
      </c>
      <c r="B1479" s="15">
        <f>INDEX('GLB.Ts+dSST (4)'!$B$3:$M$149,MATCH(VALUE(RIGHT(A1479,4)),'GLB.Ts+dSST (4)'!$A$3:$A$149,0),VALUE(LEFT(A1479,FIND("/",A1479)-1)))</f>
        <v>0.57999999999999996</v>
      </c>
      <c r="C1479" s="15">
        <f t="shared" si="46"/>
        <v>14.58</v>
      </c>
      <c r="D1479" s="15">
        <f t="shared" si="47"/>
        <v>58.244</v>
      </c>
    </row>
    <row r="1480" spans="1:4" ht="15" customHeight="1">
      <c r="A1480" t="s">
        <v>1543</v>
      </c>
      <c r="B1480" s="15">
        <f>INDEX('GLB.Ts+dSST (4)'!$B$3:$M$149,MATCH(VALUE(RIGHT(A1480,4)),'GLB.Ts+dSST (4)'!$A$3:$A$149,0),VALUE(LEFT(A1480,FIND("/",A1480)-1)))</f>
        <v>0.6</v>
      </c>
      <c r="C1480" s="15">
        <f t="shared" si="46"/>
        <v>14.6</v>
      </c>
      <c r="D1480" s="15">
        <f t="shared" si="47"/>
        <v>58.28</v>
      </c>
    </row>
    <row r="1481" spans="1:4" ht="15" customHeight="1">
      <c r="A1481" t="s">
        <v>1544</v>
      </c>
      <c r="B1481" s="15">
        <f>INDEX('GLB.Ts+dSST (4)'!$B$3:$M$149,MATCH(VALUE(RIGHT(A1481,4)),'GLB.Ts+dSST (4)'!$A$3:$A$149,0),VALUE(LEFT(A1481,FIND("/",A1481)-1)))</f>
        <v>0.55000000000000004</v>
      </c>
      <c r="C1481" s="15">
        <f t="shared" si="46"/>
        <v>14.55</v>
      </c>
      <c r="D1481" s="15">
        <f t="shared" si="47"/>
        <v>58.19</v>
      </c>
    </row>
    <row r="1482" spans="1:4" ht="15" customHeight="1">
      <c r="A1482" t="s">
        <v>1545</v>
      </c>
      <c r="B1482" s="15">
        <f>INDEX('GLB.Ts+dSST (4)'!$B$3:$M$149,MATCH(VALUE(RIGHT(A1482,4)),'GLB.Ts+dSST (4)'!$A$3:$A$149,0),VALUE(LEFT(A1482,FIND("/",A1482)-1)))</f>
        <v>0.6</v>
      </c>
      <c r="C1482" s="15">
        <f t="shared" si="46"/>
        <v>14.6</v>
      </c>
      <c r="D1482" s="15">
        <f t="shared" si="47"/>
        <v>58.28</v>
      </c>
    </row>
    <row r="1483" spans="1:4" ht="15" customHeight="1">
      <c r="A1483" t="s">
        <v>1546</v>
      </c>
      <c r="B1483" s="15">
        <f>INDEX('GLB.Ts+dSST (4)'!$B$3:$M$149,MATCH(VALUE(RIGHT(A1483,4)),'GLB.Ts+dSST (4)'!$A$3:$A$149,0),VALUE(LEFT(A1483,FIND("/",A1483)-1)))</f>
        <v>0.48</v>
      </c>
      <c r="C1483" s="15">
        <f t="shared" si="46"/>
        <v>14.48</v>
      </c>
      <c r="D1483" s="15">
        <f t="shared" si="47"/>
        <v>58.064</v>
      </c>
    </row>
    <row r="1484" spans="1:4" ht="15" customHeight="1">
      <c r="A1484" t="s">
        <v>1547</v>
      </c>
      <c r="B1484" s="15">
        <f>INDEX('GLB.Ts+dSST (4)'!$B$3:$M$149,MATCH(VALUE(RIGHT(A1484,4)),'GLB.Ts+dSST (4)'!$A$3:$A$149,0),VALUE(LEFT(A1484,FIND("/",A1484)-1)))</f>
        <v>0.57999999999999996</v>
      </c>
      <c r="C1484" s="15">
        <f t="shared" si="46"/>
        <v>14.58</v>
      </c>
      <c r="D1484" s="15">
        <f t="shared" si="47"/>
        <v>58.244</v>
      </c>
    </row>
    <row r="1485" spans="1:4" ht="15" customHeight="1">
      <c r="A1485" t="s">
        <v>1548</v>
      </c>
      <c r="B1485" s="15">
        <f>INDEX('GLB.Ts+dSST (4)'!$B$3:$M$149,MATCH(VALUE(RIGHT(A1485,4)),'GLB.Ts+dSST (4)'!$A$3:$A$149,0),VALUE(LEFT(A1485,FIND("/",A1485)-1)))</f>
        <v>0.64</v>
      </c>
      <c r="C1485" s="15">
        <f t="shared" si="46"/>
        <v>14.64</v>
      </c>
      <c r="D1485" s="15">
        <f t="shared" si="47"/>
        <v>58.352000000000004</v>
      </c>
    </row>
    <row r="1486" spans="1:4" ht="15" customHeight="1">
      <c r="A1486" t="s">
        <v>1549</v>
      </c>
      <c r="B1486" s="15">
        <f>INDEX('GLB.Ts+dSST (4)'!$B$3:$M$149,MATCH(VALUE(RIGHT(A1486,4)),'GLB.Ts+dSST (4)'!$A$3:$A$149,0),VALUE(LEFT(A1486,FIND("/",A1486)-1)))</f>
        <v>0.62</v>
      </c>
      <c r="C1486" s="15">
        <f t="shared" si="46"/>
        <v>14.62</v>
      </c>
      <c r="D1486" s="15">
        <f t="shared" si="47"/>
        <v>58.316000000000003</v>
      </c>
    </row>
    <row r="1487" spans="1:4" ht="15" customHeight="1">
      <c r="A1487" t="s">
        <v>1550</v>
      </c>
      <c r="B1487" s="15">
        <f>INDEX('GLB.Ts+dSST (4)'!$B$3:$M$149,MATCH(VALUE(RIGHT(A1487,4)),'GLB.Ts+dSST (4)'!$A$3:$A$149,0),VALUE(LEFT(A1487,FIND("/",A1487)-1)))</f>
        <v>0.72</v>
      </c>
      <c r="C1487" s="15">
        <f t="shared" si="46"/>
        <v>14.72</v>
      </c>
      <c r="D1487" s="15">
        <f t="shared" si="47"/>
        <v>58.496000000000002</v>
      </c>
    </row>
    <row r="1488" spans="1:4" ht="15" customHeight="1">
      <c r="A1488" t="s">
        <v>1551</v>
      </c>
      <c r="B1488" s="15">
        <f>INDEX('GLB.Ts+dSST (4)'!$B$3:$M$149,MATCH(VALUE(RIGHT(A1488,4)),'GLB.Ts+dSST (4)'!$A$3:$A$149,0),VALUE(LEFT(A1488,FIND("/",A1488)-1)))</f>
        <v>0.53</v>
      </c>
      <c r="C1488" s="15">
        <f t="shared" si="46"/>
        <v>14.53</v>
      </c>
      <c r="D1488" s="15">
        <f t="shared" si="47"/>
        <v>58.153999999999996</v>
      </c>
    </row>
    <row r="1489" spans="1:4" ht="15" customHeight="1">
      <c r="A1489" t="s">
        <v>1552</v>
      </c>
      <c r="B1489" s="15">
        <f>INDEX('GLB.Ts+dSST (4)'!$B$3:$M$149,MATCH(VALUE(RIGHT(A1489,4)),'GLB.Ts+dSST (4)'!$A$3:$A$149,0),VALUE(LEFT(A1489,FIND("/",A1489)-1)))</f>
        <v>0.75</v>
      </c>
      <c r="C1489" s="15">
        <f t="shared" si="46"/>
        <v>14.75</v>
      </c>
      <c r="D1489" s="15">
        <f t="shared" si="47"/>
        <v>58.55</v>
      </c>
    </row>
    <row r="1490" spans="1:4" ht="15" customHeight="1">
      <c r="A1490" t="s">
        <v>1553</v>
      </c>
      <c r="B1490" s="15">
        <f>INDEX('GLB.Ts+dSST (4)'!$B$3:$M$149,MATCH(VALUE(RIGHT(A1490,4)),'GLB.Ts+dSST (4)'!$A$3:$A$149,0),VALUE(LEFT(A1490,FIND("/",A1490)-1)))</f>
        <v>0.57999999999999996</v>
      </c>
      <c r="C1490" s="15">
        <f t="shared" si="46"/>
        <v>14.58</v>
      </c>
      <c r="D1490" s="15">
        <f t="shared" si="47"/>
        <v>58.244</v>
      </c>
    </row>
    <row r="1491" spans="1:4" ht="15" customHeight="1">
      <c r="A1491" t="s">
        <v>1554</v>
      </c>
      <c r="B1491" s="15">
        <f>INDEX('GLB.Ts+dSST (4)'!$B$3:$M$149,MATCH(VALUE(RIGHT(A1491,4)),'GLB.Ts+dSST (4)'!$A$3:$A$149,0),VALUE(LEFT(A1491,FIND("/",A1491)-1)))</f>
        <v>0.72</v>
      </c>
      <c r="C1491" s="15">
        <f t="shared" si="46"/>
        <v>14.72</v>
      </c>
      <c r="D1491" s="15">
        <f t="shared" si="47"/>
        <v>58.496000000000002</v>
      </c>
    </row>
    <row r="1492" spans="1:4" ht="15" customHeight="1">
      <c r="A1492" t="s">
        <v>1555</v>
      </c>
      <c r="B1492" s="15">
        <f>INDEX('GLB.Ts+dSST (4)'!$B$3:$M$149,MATCH(VALUE(RIGHT(A1492,4)),'GLB.Ts+dSST (4)'!$A$3:$A$149,0),VALUE(LEFT(A1492,FIND("/",A1492)-1)))</f>
        <v>0.63</v>
      </c>
      <c r="C1492" s="15">
        <f t="shared" si="46"/>
        <v>14.63</v>
      </c>
      <c r="D1492" s="15">
        <f t="shared" si="47"/>
        <v>58.334000000000003</v>
      </c>
    </row>
    <row r="1493" spans="1:4" ht="15" customHeight="1">
      <c r="A1493" t="s">
        <v>1556</v>
      </c>
      <c r="B1493" s="15">
        <f>INDEX('GLB.Ts+dSST (4)'!$B$3:$M$149,MATCH(VALUE(RIGHT(A1493,4)),'GLB.Ts+dSST (4)'!$A$3:$A$149,0),VALUE(LEFT(A1493,FIND("/",A1493)-1)))</f>
        <v>0.61</v>
      </c>
      <c r="C1493" s="15">
        <f t="shared" si="46"/>
        <v>14.61</v>
      </c>
      <c r="D1493" s="15">
        <f t="shared" si="47"/>
        <v>58.298000000000002</v>
      </c>
    </row>
    <row r="1494" spans="1:4" ht="15" customHeight="1">
      <c r="A1494" t="s">
        <v>1557</v>
      </c>
      <c r="B1494" s="15">
        <f>INDEX('GLB.Ts+dSST (4)'!$B$3:$M$149,MATCH(VALUE(RIGHT(A1494,4)),'GLB.Ts+dSST (4)'!$A$3:$A$149,0),VALUE(LEFT(A1494,FIND("/",A1494)-1)))</f>
        <v>0.37</v>
      </c>
      <c r="C1494" s="15">
        <f t="shared" si="46"/>
        <v>14.37</v>
      </c>
      <c r="D1494" s="15">
        <f t="shared" si="47"/>
        <v>57.866</v>
      </c>
    </row>
    <row r="1495" spans="1:4" ht="15" customHeight="1">
      <c r="A1495" t="s">
        <v>1558</v>
      </c>
      <c r="B1495" s="15">
        <f>INDEX('GLB.Ts+dSST (4)'!$B$3:$M$149,MATCH(VALUE(RIGHT(A1495,4)),'GLB.Ts+dSST (4)'!$A$3:$A$149,0),VALUE(LEFT(A1495,FIND("/",A1495)-1)))</f>
        <v>0.44</v>
      </c>
      <c r="C1495" s="15">
        <f t="shared" si="46"/>
        <v>14.44</v>
      </c>
      <c r="D1495" s="15">
        <f t="shared" si="47"/>
        <v>57.992000000000004</v>
      </c>
    </row>
    <row r="1496" spans="1:4" ht="15" customHeight="1">
      <c r="A1496" t="s">
        <v>1559</v>
      </c>
      <c r="B1496" s="15">
        <f>INDEX('GLB.Ts+dSST (4)'!$B$3:$M$149,MATCH(VALUE(RIGHT(A1496,4)),'GLB.Ts+dSST (4)'!$A$3:$A$149,0),VALUE(LEFT(A1496,FIND("/",A1496)-1)))</f>
        <v>0.26</v>
      </c>
      <c r="C1496" s="15">
        <f t="shared" si="46"/>
        <v>14.26</v>
      </c>
      <c r="D1496" s="15">
        <f t="shared" si="47"/>
        <v>57.667999999999999</v>
      </c>
    </row>
    <row r="1497" spans="1:4" ht="15" customHeight="1">
      <c r="A1497" t="s">
        <v>1560</v>
      </c>
      <c r="B1497" s="15">
        <f>INDEX('GLB.Ts+dSST (4)'!$B$3:$M$149,MATCH(VALUE(RIGHT(A1497,4)),'GLB.Ts+dSST (4)'!$A$3:$A$149,0),VALUE(LEFT(A1497,FIND("/",A1497)-1)))</f>
        <v>0.45</v>
      </c>
      <c r="C1497" s="15">
        <f t="shared" si="46"/>
        <v>14.45</v>
      </c>
      <c r="D1497" s="15">
        <f t="shared" si="47"/>
        <v>58.01</v>
      </c>
    </row>
    <row r="1498" spans="1:4" ht="15" customHeight="1">
      <c r="A1498" t="s">
        <v>1561</v>
      </c>
      <c r="B1498" s="15">
        <f>INDEX('GLB.Ts+dSST (4)'!$B$3:$M$149,MATCH(VALUE(RIGHT(A1498,4)),'GLB.Ts+dSST (4)'!$A$3:$A$149,0),VALUE(LEFT(A1498,FIND("/",A1498)-1)))</f>
        <v>0.5</v>
      </c>
      <c r="C1498" s="15">
        <f t="shared" si="46"/>
        <v>14.5</v>
      </c>
      <c r="D1498" s="15">
        <f t="shared" si="47"/>
        <v>58.1</v>
      </c>
    </row>
    <row r="1499" spans="1:4" ht="15" customHeight="1">
      <c r="A1499" t="s">
        <v>1562</v>
      </c>
      <c r="B1499" s="15">
        <f>INDEX('GLB.Ts+dSST (4)'!$B$3:$M$149,MATCH(VALUE(RIGHT(A1499,4)),'GLB.Ts+dSST (4)'!$A$3:$A$149,0),VALUE(LEFT(A1499,FIND("/",A1499)-1)))</f>
        <v>0.61</v>
      </c>
      <c r="C1499" s="15">
        <f t="shared" si="46"/>
        <v>14.61</v>
      </c>
      <c r="D1499" s="15">
        <f t="shared" si="47"/>
        <v>58.298000000000002</v>
      </c>
    </row>
    <row r="1500" spans="1:4" ht="15" customHeight="1">
      <c r="A1500" t="s">
        <v>1563</v>
      </c>
      <c r="B1500" s="15">
        <f>INDEX('GLB.Ts+dSST (4)'!$B$3:$M$149,MATCH(VALUE(RIGHT(A1500,4)),'GLB.Ts+dSST (4)'!$A$3:$A$149,0),VALUE(LEFT(A1500,FIND("/",A1500)-1)))</f>
        <v>0.73</v>
      </c>
      <c r="C1500" s="15">
        <f t="shared" si="46"/>
        <v>14.73</v>
      </c>
      <c r="D1500" s="15">
        <f t="shared" si="47"/>
        <v>58.514000000000003</v>
      </c>
    </row>
    <row r="1501" spans="1:4" ht="15" customHeight="1">
      <c r="A1501" t="s">
        <v>1564</v>
      </c>
      <c r="B1501" s="15">
        <f>INDEX('GLB.Ts+dSST (4)'!$B$3:$M$149,MATCH(VALUE(RIGHT(A1501,4)),'GLB.Ts+dSST (4)'!$A$3:$A$149,0),VALUE(LEFT(A1501,FIND("/",A1501)-1)))</f>
        <v>0.51</v>
      </c>
      <c r="C1501" s="15">
        <f t="shared" si="46"/>
        <v>14.51</v>
      </c>
      <c r="D1501" s="15">
        <f t="shared" si="47"/>
        <v>58.117999999999995</v>
      </c>
    </row>
    <row r="1502" spans="1:4" ht="15" customHeight="1">
      <c r="A1502" t="s">
        <v>1565</v>
      </c>
      <c r="B1502" s="15">
        <f>INDEX('GLB.Ts+dSST (4)'!$B$3:$M$149,MATCH(VALUE(RIGHT(A1502,4)),'GLB.Ts+dSST (4)'!$A$3:$A$149,0),VALUE(LEFT(A1502,FIND("/",A1502)-1)))</f>
        <v>0.75</v>
      </c>
      <c r="C1502" s="15">
        <f t="shared" si="46"/>
        <v>14.75</v>
      </c>
      <c r="D1502" s="15">
        <f t="shared" si="47"/>
        <v>58.55</v>
      </c>
    </row>
    <row r="1503" spans="1:4" ht="15" customHeight="1">
      <c r="A1503" t="s">
        <v>1566</v>
      </c>
      <c r="B1503" s="15">
        <f>INDEX('GLB.Ts+dSST (4)'!$B$3:$M$149,MATCH(VALUE(RIGHT(A1503,4)),'GLB.Ts+dSST (4)'!$A$3:$A$149,0),VALUE(LEFT(A1503,FIND("/",A1503)-1)))</f>
        <v>0.6</v>
      </c>
      <c r="C1503" s="15">
        <f t="shared" si="46"/>
        <v>14.6</v>
      </c>
      <c r="D1503" s="15">
        <f t="shared" si="47"/>
        <v>58.28</v>
      </c>
    </row>
    <row r="1504" spans="1:4" ht="15" customHeight="1">
      <c r="A1504" t="s">
        <v>1567</v>
      </c>
      <c r="B1504" s="15">
        <f>INDEX('GLB.Ts+dSST (4)'!$B$3:$M$149,MATCH(VALUE(RIGHT(A1504,4)),'GLB.Ts+dSST (4)'!$A$3:$A$149,0),VALUE(LEFT(A1504,FIND("/",A1504)-1)))</f>
        <v>0.74</v>
      </c>
      <c r="C1504" s="15">
        <f t="shared" si="46"/>
        <v>14.74</v>
      </c>
      <c r="D1504" s="15">
        <f t="shared" si="47"/>
        <v>58.531999999999996</v>
      </c>
    </row>
    <row r="1505" spans="1:4" ht="15" customHeight="1">
      <c r="A1505" t="s">
        <v>1568</v>
      </c>
      <c r="B1505" s="15">
        <f>INDEX('GLB.Ts+dSST (4)'!$B$3:$M$149,MATCH(VALUE(RIGHT(A1505,4)),'GLB.Ts+dSST (4)'!$A$3:$A$149,0),VALUE(LEFT(A1505,FIND("/",A1505)-1)))</f>
        <v>0.67</v>
      </c>
      <c r="C1505" s="15">
        <f t="shared" si="46"/>
        <v>14.67</v>
      </c>
      <c r="D1505" s="15">
        <f t="shared" si="47"/>
        <v>58.405999999999999</v>
      </c>
    </row>
    <row r="1506" spans="1:4" ht="15" customHeight="1">
      <c r="A1506" t="s">
        <v>1569</v>
      </c>
      <c r="B1506" s="15">
        <f>INDEX('GLB.Ts+dSST (4)'!$B$3:$M$149,MATCH(VALUE(RIGHT(A1506,4)),'GLB.Ts+dSST (4)'!$A$3:$A$149,0),VALUE(LEFT(A1506,FIND("/",A1506)-1)))</f>
        <v>0.63</v>
      </c>
      <c r="C1506" s="15">
        <f t="shared" si="46"/>
        <v>14.63</v>
      </c>
      <c r="D1506" s="15">
        <f t="shared" si="47"/>
        <v>58.334000000000003</v>
      </c>
    </row>
    <row r="1507" spans="1:4" ht="15" customHeight="1">
      <c r="A1507" t="s">
        <v>1570</v>
      </c>
      <c r="B1507" s="15">
        <f>INDEX('GLB.Ts+dSST (4)'!$B$3:$M$149,MATCH(VALUE(RIGHT(A1507,4)),'GLB.Ts+dSST (4)'!$A$3:$A$149,0),VALUE(LEFT(A1507,FIND("/",A1507)-1)))</f>
        <v>0.65</v>
      </c>
      <c r="C1507" s="15">
        <f t="shared" si="46"/>
        <v>14.65</v>
      </c>
      <c r="D1507" s="15">
        <f t="shared" si="47"/>
        <v>58.370000000000005</v>
      </c>
    </row>
    <row r="1508" spans="1:4" ht="15" customHeight="1">
      <c r="A1508" t="s">
        <v>1571</v>
      </c>
      <c r="B1508" s="15">
        <f>INDEX('GLB.Ts+dSST (4)'!$B$3:$M$149,MATCH(VALUE(RIGHT(A1508,4)),'GLB.Ts+dSST (4)'!$A$3:$A$149,0),VALUE(LEFT(A1508,FIND("/",A1508)-1)))</f>
        <v>0.61</v>
      </c>
      <c r="C1508" s="15">
        <f t="shared" si="46"/>
        <v>14.61</v>
      </c>
      <c r="D1508" s="15">
        <f t="shared" si="47"/>
        <v>58.298000000000002</v>
      </c>
    </row>
    <row r="1509" spans="1:4" ht="15" customHeight="1">
      <c r="A1509" t="s">
        <v>1572</v>
      </c>
      <c r="B1509" s="15">
        <f>INDEX('GLB.Ts+dSST (4)'!$B$3:$M$149,MATCH(VALUE(RIGHT(A1509,4)),'GLB.Ts+dSST (4)'!$A$3:$A$149,0),VALUE(LEFT(A1509,FIND("/",A1509)-1)))</f>
        <v>0.6</v>
      </c>
      <c r="C1509" s="15">
        <f t="shared" si="46"/>
        <v>14.6</v>
      </c>
      <c r="D1509" s="15">
        <f t="shared" si="47"/>
        <v>58.28</v>
      </c>
    </row>
    <row r="1510" spans="1:4" ht="15" customHeight="1">
      <c r="A1510" t="s">
        <v>1573</v>
      </c>
      <c r="B1510" s="15">
        <f>INDEX('GLB.Ts+dSST (4)'!$B$3:$M$149,MATCH(VALUE(RIGHT(A1510,4)),'GLB.Ts+dSST (4)'!$A$3:$A$149,0),VALUE(LEFT(A1510,FIND("/",A1510)-1)))</f>
        <v>0.72</v>
      </c>
      <c r="C1510" s="15">
        <f t="shared" si="46"/>
        <v>14.72</v>
      </c>
      <c r="D1510" s="15">
        <f t="shared" si="47"/>
        <v>58.496000000000002</v>
      </c>
    </row>
    <row r="1511" spans="1:4" ht="15" customHeight="1">
      <c r="A1511" t="s">
        <v>1574</v>
      </c>
      <c r="B1511" s="15">
        <f>INDEX('GLB.Ts+dSST (4)'!$B$3:$M$149,MATCH(VALUE(RIGHT(A1511,4)),'GLB.Ts+dSST (4)'!$A$3:$A$149,0),VALUE(LEFT(A1511,FIND("/",A1511)-1)))</f>
        <v>0.76</v>
      </c>
      <c r="C1511" s="15">
        <f t="shared" si="46"/>
        <v>14.76</v>
      </c>
      <c r="D1511" s="15">
        <f t="shared" si="47"/>
        <v>58.567999999999998</v>
      </c>
    </row>
    <row r="1512" spans="1:4" ht="15" customHeight="1">
      <c r="A1512" t="s">
        <v>1575</v>
      </c>
      <c r="B1512" s="15">
        <f>INDEX('GLB.Ts+dSST (4)'!$B$3:$M$149,MATCH(VALUE(RIGHT(A1512,4)),'GLB.Ts+dSST (4)'!$A$3:$A$149,0),VALUE(LEFT(A1512,FIND("/",A1512)-1)))</f>
        <v>0.74</v>
      </c>
      <c r="C1512" s="15">
        <f t="shared" si="46"/>
        <v>14.74</v>
      </c>
      <c r="D1512" s="15">
        <f t="shared" si="47"/>
        <v>58.531999999999996</v>
      </c>
    </row>
    <row r="1513" spans="1:4" ht="15" customHeight="1">
      <c r="A1513" t="s">
        <v>1576</v>
      </c>
      <c r="B1513" s="15">
        <f>INDEX('GLB.Ts+dSST (4)'!$B$3:$M$149,MATCH(VALUE(RIGHT(A1513,4)),'GLB.Ts+dSST (4)'!$A$3:$A$149,0),VALUE(LEFT(A1513,FIND("/",A1513)-1)))</f>
        <v>0.68</v>
      </c>
      <c r="C1513" s="15">
        <f t="shared" si="46"/>
        <v>14.68</v>
      </c>
      <c r="D1513" s="15">
        <f t="shared" si="47"/>
        <v>58.423999999999999</v>
      </c>
    </row>
    <row r="1514" spans="1:4" ht="15" customHeight="1">
      <c r="A1514" t="s">
        <v>1577</v>
      </c>
      <c r="B1514" s="15">
        <f>INDEX('GLB.Ts+dSST (4)'!$B$3:$M$149,MATCH(VALUE(RIGHT(A1514,4)),'GLB.Ts+dSST (4)'!$A$3:$A$149,0),VALUE(LEFT(A1514,FIND("/",A1514)-1)))</f>
        <v>0.56000000000000005</v>
      </c>
      <c r="C1514" s="15">
        <f t="shared" si="46"/>
        <v>14.56</v>
      </c>
      <c r="D1514" s="15">
        <f t="shared" si="47"/>
        <v>58.207999999999998</v>
      </c>
    </row>
    <row r="1515" spans="1:4" ht="15" customHeight="1">
      <c r="A1515" t="s">
        <v>1578</v>
      </c>
      <c r="B1515" s="15">
        <f>INDEX('GLB.Ts+dSST (4)'!$B$3:$M$149,MATCH(VALUE(RIGHT(A1515,4)),'GLB.Ts+dSST (4)'!$A$3:$A$149,0),VALUE(LEFT(A1515,FIND("/",A1515)-1)))</f>
        <v>0.74</v>
      </c>
      <c r="C1515" s="15">
        <f t="shared" si="46"/>
        <v>14.74</v>
      </c>
      <c r="D1515" s="15">
        <f t="shared" si="47"/>
        <v>58.531999999999996</v>
      </c>
    </row>
    <row r="1516" spans="1:4" ht="15" customHeight="1">
      <c r="A1516" t="s">
        <v>1579</v>
      </c>
      <c r="B1516" s="15">
        <f>INDEX('GLB.Ts+dSST (4)'!$B$3:$M$149,MATCH(VALUE(RIGHT(A1516,4)),'GLB.Ts+dSST (4)'!$A$3:$A$149,0),VALUE(LEFT(A1516,FIND("/",A1516)-1)))</f>
        <v>0.63</v>
      </c>
      <c r="C1516" s="15">
        <f t="shared" si="46"/>
        <v>14.63</v>
      </c>
      <c r="D1516" s="15">
        <f t="shared" si="47"/>
        <v>58.334000000000003</v>
      </c>
    </row>
    <row r="1517" spans="1:4" ht="15" customHeight="1">
      <c r="A1517" t="s">
        <v>1580</v>
      </c>
      <c r="B1517" s="15">
        <f>INDEX('GLB.Ts+dSST (4)'!$B$3:$M$149,MATCH(VALUE(RIGHT(A1517,4)),'GLB.Ts+dSST (4)'!$A$3:$A$149,0),VALUE(LEFT(A1517,FIND("/",A1517)-1)))</f>
        <v>0.47</v>
      </c>
      <c r="C1517" s="15">
        <f t="shared" si="46"/>
        <v>14.47</v>
      </c>
      <c r="D1517" s="15">
        <f t="shared" si="47"/>
        <v>58.046000000000006</v>
      </c>
    </row>
    <row r="1518" spans="1:4" ht="15" customHeight="1">
      <c r="A1518" t="s">
        <v>1581</v>
      </c>
      <c r="B1518" s="15">
        <f>INDEX('GLB.Ts+dSST (4)'!$B$3:$M$149,MATCH(VALUE(RIGHT(A1518,4)),'GLB.Ts+dSST (4)'!$A$3:$A$149,0),VALUE(LEFT(A1518,FIND("/",A1518)-1)))</f>
        <v>0.48</v>
      </c>
      <c r="C1518" s="15">
        <f t="shared" si="46"/>
        <v>14.48</v>
      </c>
      <c r="D1518" s="15">
        <f t="shared" si="47"/>
        <v>58.064</v>
      </c>
    </row>
    <row r="1519" spans="1:4" ht="15" customHeight="1">
      <c r="A1519" t="s">
        <v>1582</v>
      </c>
      <c r="B1519" s="15">
        <f>INDEX('GLB.Ts+dSST (4)'!$B$3:$M$149,MATCH(VALUE(RIGHT(A1519,4)),'GLB.Ts+dSST (4)'!$A$3:$A$149,0),VALUE(LEFT(A1519,FIND("/",A1519)-1)))</f>
        <v>0.67</v>
      </c>
      <c r="C1519" s="15">
        <f t="shared" si="46"/>
        <v>14.67</v>
      </c>
      <c r="D1519" s="15">
        <f t="shared" si="47"/>
        <v>58.405999999999999</v>
      </c>
    </row>
    <row r="1520" spans="1:4" ht="15" customHeight="1">
      <c r="A1520" t="s">
        <v>1583</v>
      </c>
      <c r="B1520" s="15">
        <f>INDEX('GLB.Ts+dSST (4)'!$B$3:$M$149,MATCH(VALUE(RIGHT(A1520,4)),'GLB.Ts+dSST (4)'!$A$3:$A$149,0),VALUE(LEFT(A1520,FIND("/",A1520)-1)))</f>
        <v>0.54</v>
      </c>
      <c r="C1520" s="15">
        <f t="shared" si="46"/>
        <v>14.54</v>
      </c>
      <c r="D1520" s="15">
        <f t="shared" si="47"/>
        <v>58.171999999999997</v>
      </c>
    </row>
    <row r="1521" spans="1:4" ht="15" customHeight="1">
      <c r="A1521" t="s">
        <v>1584</v>
      </c>
      <c r="B1521" s="15">
        <f>INDEX('GLB.Ts+dSST (4)'!$B$3:$M$149,MATCH(VALUE(RIGHT(A1521,4)),'GLB.Ts+dSST (4)'!$A$3:$A$149,0),VALUE(LEFT(A1521,FIND("/",A1521)-1)))</f>
        <v>0.71</v>
      </c>
      <c r="C1521" s="15">
        <f t="shared" si="46"/>
        <v>14.71</v>
      </c>
      <c r="D1521" s="15">
        <f t="shared" si="47"/>
        <v>58.478000000000002</v>
      </c>
    </row>
    <row r="1522" spans="1:4" ht="15" customHeight="1">
      <c r="A1522" t="s">
        <v>1585</v>
      </c>
      <c r="B1522" s="15">
        <f>INDEX('GLB.Ts+dSST (4)'!$B$3:$M$149,MATCH(VALUE(RIGHT(A1522,4)),'GLB.Ts+dSST (4)'!$A$3:$A$149,0),VALUE(LEFT(A1522,FIND("/",A1522)-1)))</f>
        <v>0.66</v>
      </c>
      <c r="C1522" s="15">
        <f t="shared" si="46"/>
        <v>14.66</v>
      </c>
      <c r="D1522" s="15">
        <f t="shared" si="47"/>
        <v>58.388000000000005</v>
      </c>
    </row>
    <row r="1523" spans="1:4" ht="15" customHeight="1">
      <c r="A1523" t="s">
        <v>1586</v>
      </c>
      <c r="B1523" s="15">
        <f>INDEX('GLB.Ts+dSST (4)'!$B$3:$M$149,MATCH(VALUE(RIGHT(A1523,4)),'GLB.Ts+dSST (4)'!$A$3:$A$149,0),VALUE(LEFT(A1523,FIND("/",A1523)-1)))</f>
        <v>0.71</v>
      </c>
      <c r="C1523" s="15">
        <f t="shared" si="46"/>
        <v>14.71</v>
      </c>
      <c r="D1523" s="15">
        <f t="shared" si="47"/>
        <v>58.478000000000002</v>
      </c>
    </row>
    <row r="1524" spans="1:4" ht="15" customHeight="1">
      <c r="A1524" t="s">
        <v>1587</v>
      </c>
      <c r="B1524" s="15">
        <f>INDEX('GLB.Ts+dSST (4)'!$B$3:$M$149,MATCH(VALUE(RIGHT(A1524,4)),'GLB.Ts+dSST (4)'!$A$3:$A$149,0),VALUE(LEFT(A1524,FIND("/",A1524)-1)))</f>
        <v>0.73</v>
      </c>
      <c r="C1524" s="15">
        <f t="shared" si="46"/>
        <v>14.73</v>
      </c>
      <c r="D1524" s="15">
        <f t="shared" si="47"/>
        <v>58.514000000000003</v>
      </c>
    </row>
    <row r="1525" spans="1:4" ht="15" customHeight="1">
      <c r="A1525" t="s">
        <v>1588</v>
      </c>
      <c r="B1525" s="15">
        <f>INDEX('GLB.Ts+dSST (4)'!$B$3:$M$149,MATCH(VALUE(RIGHT(A1525,4)),'GLB.Ts+dSST (4)'!$A$3:$A$149,0),VALUE(LEFT(A1525,FIND("/",A1525)-1)))</f>
        <v>0.79</v>
      </c>
      <c r="C1525" s="15">
        <f t="shared" si="46"/>
        <v>14.79</v>
      </c>
      <c r="D1525" s="15">
        <f t="shared" si="47"/>
        <v>58.622</v>
      </c>
    </row>
    <row r="1526" spans="1:4" ht="15" customHeight="1">
      <c r="A1526" t="s">
        <v>1589</v>
      </c>
      <c r="B1526" s="15">
        <f>INDEX('GLB.Ts+dSST (4)'!$B$3:$M$149,MATCH(VALUE(RIGHT(A1526,4)),'GLB.Ts+dSST (4)'!$A$3:$A$149,0),VALUE(LEFT(A1526,FIND("/",A1526)-1)))</f>
        <v>1.01</v>
      </c>
      <c r="C1526" s="15">
        <f t="shared" si="46"/>
        <v>15.01</v>
      </c>
      <c r="D1526" s="15">
        <f t="shared" si="47"/>
        <v>59.018000000000001</v>
      </c>
    </row>
    <row r="1527" spans="1:4" ht="15" customHeight="1">
      <c r="A1527" t="s">
        <v>1590</v>
      </c>
      <c r="B1527" s="15">
        <f>INDEX('GLB.Ts+dSST (4)'!$B$3:$M$149,MATCH(VALUE(RIGHT(A1527,4)),'GLB.Ts+dSST (4)'!$A$3:$A$149,0),VALUE(LEFT(A1527,FIND("/",A1527)-1)))</f>
        <v>0.7</v>
      </c>
      <c r="C1527" s="15">
        <f t="shared" si="46"/>
        <v>14.7</v>
      </c>
      <c r="D1527" s="15">
        <f t="shared" si="47"/>
        <v>58.46</v>
      </c>
    </row>
    <row r="1528" spans="1:4" ht="15" customHeight="1">
      <c r="A1528" t="s">
        <v>1591</v>
      </c>
      <c r="B1528" s="15">
        <f>INDEX('GLB.Ts+dSST (4)'!$B$3:$M$149,MATCH(VALUE(RIGHT(A1528,4)),'GLB.Ts+dSST (4)'!$A$3:$A$149,0),VALUE(LEFT(A1528,FIND("/",A1528)-1)))</f>
        <v>0.71</v>
      </c>
      <c r="C1528" s="15">
        <f t="shared" si="46"/>
        <v>14.71</v>
      </c>
      <c r="D1528" s="15">
        <f t="shared" si="47"/>
        <v>58.478000000000002</v>
      </c>
    </row>
    <row r="1529" spans="1:4" ht="15" customHeight="1">
      <c r="A1529" t="s">
        <v>1592</v>
      </c>
      <c r="B1529" s="15">
        <f>INDEX('GLB.Ts+dSST (4)'!$B$3:$M$149,MATCH(VALUE(RIGHT(A1529,4)),'GLB.Ts+dSST (4)'!$A$3:$A$149,0),VALUE(LEFT(A1529,FIND("/",A1529)-1)))</f>
        <v>0.77</v>
      </c>
      <c r="C1529" s="15">
        <f t="shared" si="46"/>
        <v>14.77</v>
      </c>
      <c r="D1529" s="15">
        <f t="shared" si="47"/>
        <v>58.585999999999999</v>
      </c>
    </row>
    <row r="1530" spans="1:4" ht="15" customHeight="1">
      <c r="A1530" t="s">
        <v>1593</v>
      </c>
      <c r="B1530" s="15">
        <f>INDEX('GLB.Ts+dSST (4)'!$B$3:$M$149,MATCH(VALUE(RIGHT(A1530,4)),'GLB.Ts+dSST (4)'!$A$3:$A$149,0),VALUE(LEFT(A1530,FIND("/",A1530)-1)))</f>
        <v>0.69</v>
      </c>
      <c r="C1530" s="15">
        <f t="shared" si="46"/>
        <v>14.69</v>
      </c>
      <c r="D1530" s="15">
        <f t="shared" si="47"/>
        <v>58.442</v>
      </c>
    </row>
    <row r="1531" spans="1:4" ht="15" customHeight="1">
      <c r="A1531" t="s">
        <v>1594</v>
      </c>
      <c r="B1531" s="15">
        <f>INDEX('GLB.Ts+dSST (4)'!$B$3:$M$149,MATCH(VALUE(RIGHT(A1531,4)),'GLB.Ts+dSST (4)'!$A$3:$A$149,0),VALUE(LEFT(A1531,FIND("/",A1531)-1)))</f>
        <v>0.61</v>
      </c>
      <c r="C1531" s="15">
        <f t="shared" si="46"/>
        <v>14.61</v>
      </c>
      <c r="D1531" s="15">
        <f t="shared" si="47"/>
        <v>58.298000000000002</v>
      </c>
    </row>
    <row r="1532" spans="1:4" ht="15" customHeight="1">
      <c r="A1532" t="s">
        <v>1595</v>
      </c>
      <c r="B1532" s="15">
        <f>INDEX('GLB.Ts+dSST (4)'!$B$3:$M$149,MATCH(VALUE(RIGHT(A1532,4)),'GLB.Ts+dSST (4)'!$A$3:$A$149,0),VALUE(LEFT(A1532,FIND("/",A1532)-1)))</f>
        <v>0.6</v>
      </c>
      <c r="C1532" s="15">
        <f t="shared" si="46"/>
        <v>14.6</v>
      </c>
      <c r="D1532" s="15">
        <f t="shared" si="47"/>
        <v>58.28</v>
      </c>
    </row>
    <row r="1533" spans="1:4" ht="15" customHeight="1">
      <c r="A1533" t="s">
        <v>1596</v>
      </c>
      <c r="B1533" s="15">
        <f>INDEX('GLB.Ts+dSST (4)'!$B$3:$M$149,MATCH(VALUE(RIGHT(A1533,4)),'GLB.Ts+dSST (4)'!$A$3:$A$149,0),VALUE(LEFT(A1533,FIND("/",A1533)-1)))</f>
        <v>0.6</v>
      </c>
      <c r="C1533" s="15">
        <f t="shared" si="46"/>
        <v>14.6</v>
      </c>
      <c r="D1533" s="15">
        <f t="shared" si="47"/>
        <v>58.28</v>
      </c>
    </row>
    <row r="1534" spans="1:4" ht="15" customHeight="1">
      <c r="A1534" t="s">
        <v>1597</v>
      </c>
      <c r="B1534" s="15">
        <f>INDEX('GLB.Ts+dSST (4)'!$B$3:$M$149,MATCH(VALUE(RIGHT(A1534,4)),'GLB.Ts+dSST (4)'!$A$3:$A$149,0),VALUE(LEFT(A1534,FIND("/",A1534)-1)))</f>
        <v>0.6</v>
      </c>
      <c r="C1534" s="15">
        <f t="shared" si="46"/>
        <v>14.6</v>
      </c>
      <c r="D1534" s="15">
        <f t="shared" si="47"/>
        <v>58.28</v>
      </c>
    </row>
    <row r="1535" spans="1:4" ht="15" customHeight="1">
      <c r="A1535" t="s">
        <v>1598</v>
      </c>
      <c r="B1535" s="15">
        <f>INDEX('GLB.Ts+dSST (4)'!$B$3:$M$149,MATCH(VALUE(RIGHT(A1535,4)),'GLB.Ts+dSST (4)'!$A$3:$A$149,0),VALUE(LEFT(A1535,FIND("/",A1535)-1)))</f>
        <v>0.59</v>
      </c>
      <c r="C1535" s="15">
        <f t="shared" si="46"/>
        <v>14.59</v>
      </c>
      <c r="D1535" s="15">
        <f t="shared" si="47"/>
        <v>58.262</v>
      </c>
    </row>
    <row r="1536" spans="1:4" ht="15" customHeight="1">
      <c r="A1536" t="s">
        <v>1599</v>
      </c>
      <c r="B1536" s="15">
        <f>INDEX('GLB.Ts+dSST (4)'!$B$3:$M$149,MATCH(VALUE(RIGHT(A1536,4)),'GLB.Ts+dSST (4)'!$A$3:$A$149,0),VALUE(LEFT(A1536,FIND("/",A1536)-1)))</f>
        <v>0.59</v>
      </c>
      <c r="C1536" s="15">
        <f t="shared" si="46"/>
        <v>14.59</v>
      </c>
      <c r="D1536" s="15">
        <f t="shared" si="47"/>
        <v>58.262</v>
      </c>
    </row>
    <row r="1537" spans="1:4" ht="15" customHeight="1">
      <c r="A1537" t="s">
        <v>1600</v>
      </c>
      <c r="B1537" s="15">
        <f>INDEX('GLB.Ts+dSST (4)'!$B$3:$M$149,MATCH(VALUE(RIGHT(A1537,4)),'GLB.Ts+dSST (4)'!$A$3:$A$149,0),VALUE(LEFT(A1537,FIND("/",A1537)-1)))</f>
        <v>0.5</v>
      </c>
      <c r="C1537" s="15">
        <f t="shared" si="46"/>
        <v>14.5</v>
      </c>
      <c r="D1537" s="15">
        <f t="shared" si="47"/>
        <v>58.1</v>
      </c>
    </row>
    <row r="1538" spans="1:4" ht="15" customHeight="1">
      <c r="A1538" t="s">
        <v>1601</v>
      </c>
      <c r="B1538" s="15">
        <f>INDEX('GLB.Ts+dSST (4)'!$B$3:$M$149,MATCH(VALUE(RIGHT(A1538,4)),'GLB.Ts+dSST (4)'!$A$3:$A$149,0),VALUE(LEFT(A1538,FIND("/",A1538)-1)))</f>
        <v>0.3</v>
      </c>
      <c r="C1538" s="15">
        <f t="shared" ref="C1538:C1601" si="48">B1538+14</f>
        <v>14.3</v>
      </c>
      <c r="D1538" s="15">
        <f t="shared" ref="D1538:D1601" si="49">C1538*(9/5)+32</f>
        <v>57.74</v>
      </c>
    </row>
    <row r="1539" spans="1:4" ht="15" customHeight="1">
      <c r="A1539" t="s">
        <v>1602</v>
      </c>
      <c r="B1539" s="15">
        <f>INDEX('GLB.Ts+dSST (4)'!$B$3:$M$149,MATCH(VALUE(RIGHT(A1539,4)),'GLB.Ts+dSST (4)'!$A$3:$A$149,0),VALUE(LEFT(A1539,FIND("/",A1539)-1)))</f>
        <v>0.38</v>
      </c>
      <c r="C1539" s="15">
        <f t="shared" si="48"/>
        <v>14.38</v>
      </c>
      <c r="D1539" s="15">
        <f t="shared" si="49"/>
        <v>57.884</v>
      </c>
    </row>
    <row r="1540" spans="1:4" ht="15" customHeight="1">
      <c r="A1540" t="s">
        <v>1603</v>
      </c>
      <c r="B1540" s="15">
        <f>INDEX('GLB.Ts+dSST (4)'!$B$3:$M$149,MATCH(VALUE(RIGHT(A1540,4)),'GLB.Ts+dSST (4)'!$A$3:$A$149,0),VALUE(LEFT(A1540,FIND("/",A1540)-1)))</f>
        <v>0.75</v>
      </c>
      <c r="C1540" s="15">
        <f t="shared" si="48"/>
        <v>14.75</v>
      </c>
      <c r="D1540" s="15">
        <f t="shared" si="49"/>
        <v>58.55</v>
      </c>
    </row>
    <row r="1541" spans="1:4" ht="15" customHeight="1">
      <c r="A1541" t="s">
        <v>1604</v>
      </c>
      <c r="B1541" s="15">
        <f>INDEX('GLB.Ts+dSST (4)'!$B$3:$M$149,MATCH(VALUE(RIGHT(A1541,4)),'GLB.Ts+dSST (4)'!$A$3:$A$149,0),VALUE(LEFT(A1541,FIND("/",A1541)-1)))</f>
        <v>0.54</v>
      </c>
      <c r="C1541" s="15">
        <f t="shared" si="48"/>
        <v>14.54</v>
      </c>
      <c r="D1541" s="15">
        <f t="shared" si="49"/>
        <v>58.171999999999997</v>
      </c>
    </row>
    <row r="1542" spans="1:4" ht="15" customHeight="1">
      <c r="A1542" t="s">
        <v>1605</v>
      </c>
      <c r="B1542" s="15">
        <f>INDEX('GLB.Ts+dSST (4)'!$B$3:$M$149,MATCH(VALUE(RIGHT(A1542,4)),'GLB.Ts+dSST (4)'!$A$3:$A$149,0),VALUE(LEFT(A1542,FIND("/",A1542)-1)))</f>
        <v>0.5</v>
      </c>
      <c r="C1542" s="15">
        <f t="shared" si="48"/>
        <v>14.5</v>
      </c>
      <c r="D1542" s="15">
        <f t="shared" si="49"/>
        <v>58.1</v>
      </c>
    </row>
    <row r="1543" spans="1:4" ht="15" customHeight="1">
      <c r="A1543" t="s">
        <v>1606</v>
      </c>
      <c r="B1543" s="15">
        <f>INDEX('GLB.Ts+dSST (4)'!$B$3:$M$149,MATCH(VALUE(RIGHT(A1543,4)),'GLB.Ts+dSST (4)'!$A$3:$A$149,0),VALUE(LEFT(A1543,FIND("/",A1543)-1)))</f>
        <v>0.5</v>
      </c>
      <c r="C1543" s="15">
        <f t="shared" si="48"/>
        <v>14.5</v>
      </c>
      <c r="D1543" s="15">
        <f t="shared" si="49"/>
        <v>58.1</v>
      </c>
    </row>
    <row r="1544" spans="1:4" ht="15" customHeight="1">
      <c r="A1544" t="s">
        <v>1607</v>
      </c>
      <c r="B1544" s="15">
        <f>INDEX('GLB.Ts+dSST (4)'!$B$3:$M$149,MATCH(VALUE(RIGHT(A1544,4)),'GLB.Ts+dSST (4)'!$A$3:$A$149,0),VALUE(LEFT(A1544,FIND("/",A1544)-1)))</f>
        <v>0.6</v>
      </c>
      <c r="C1544" s="15">
        <f t="shared" si="48"/>
        <v>14.6</v>
      </c>
      <c r="D1544" s="15">
        <f t="shared" si="49"/>
        <v>58.28</v>
      </c>
    </row>
    <row r="1545" spans="1:4" ht="15" customHeight="1">
      <c r="A1545" t="s">
        <v>1608</v>
      </c>
      <c r="B1545" s="15">
        <f>INDEX('GLB.Ts+dSST (4)'!$B$3:$M$149,MATCH(VALUE(RIGHT(A1545,4)),'GLB.Ts+dSST (4)'!$A$3:$A$149,0),VALUE(LEFT(A1545,FIND("/",A1545)-1)))</f>
        <v>0.45</v>
      </c>
      <c r="C1545" s="15">
        <f t="shared" si="48"/>
        <v>14.45</v>
      </c>
      <c r="D1545" s="15">
        <f t="shared" si="49"/>
        <v>58.01</v>
      </c>
    </row>
    <row r="1546" spans="1:4" ht="15" customHeight="1">
      <c r="A1546" t="s">
        <v>1609</v>
      </c>
      <c r="B1546" s="15">
        <f>INDEX('GLB.Ts+dSST (4)'!$B$3:$M$149,MATCH(VALUE(RIGHT(A1546,4)),'GLB.Ts+dSST (4)'!$A$3:$A$149,0),VALUE(LEFT(A1546,FIND("/",A1546)-1)))</f>
        <v>0.6</v>
      </c>
      <c r="C1546" s="15">
        <f t="shared" si="48"/>
        <v>14.6</v>
      </c>
      <c r="D1546" s="15">
        <f t="shared" si="49"/>
        <v>58.28</v>
      </c>
    </row>
    <row r="1547" spans="1:4" ht="15" customHeight="1">
      <c r="A1547" t="s">
        <v>1610</v>
      </c>
      <c r="B1547" s="15">
        <f>INDEX('GLB.Ts+dSST (4)'!$B$3:$M$149,MATCH(VALUE(RIGHT(A1547,4)),'GLB.Ts+dSST (4)'!$A$3:$A$149,0),VALUE(LEFT(A1547,FIND("/",A1547)-1)))</f>
        <v>0.67</v>
      </c>
      <c r="C1547" s="15">
        <f t="shared" si="48"/>
        <v>14.67</v>
      </c>
      <c r="D1547" s="15">
        <f t="shared" si="49"/>
        <v>58.405999999999999</v>
      </c>
    </row>
    <row r="1548" spans="1:4" ht="15" customHeight="1">
      <c r="A1548" t="s">
        <v>1611</v>
      </c>
      <c r="B1548" s="15">
        <f>INDEX('GLB.Ts+dSST (4)'!$B$3:$M$149,MATCH(VALUE(RIGHT(A1548,4)),'GLB.Ts+dSST (4)'!$A$3:$A$149,0),VALUE(LEFT(A1548,FIND("/",A1548)-1)))</f>
        <v>0.69</v>
      </c>
      <c r="C1548" s="15">
        <f t="shared" si="48"/>
        <v>14.69</v>
      </c>
      <c r="D1548" s="15">
        <f t="shared" si="49"/>
        <v>58.442</v>
      </c>
    </row>
    <row r="1549" spans="1:4" ht="15" customHeight="1">
      <c r="A1549" t="s">
        <v>1612</v>
      </c>
      <c r="B1549" s="15">
        <f>INDEX('GLB.Ts+dSST (4)'!$B$3:$M$149,MATCH(VALUE(RIGHT(A1549,4)),'GLB.Ts+dSST (4)'!$A$3:$A$149,0),VALUE(LEFT(A1549,FIND("/",A1549)-1)))</f>
        <v>0.54</v>
      </c>
      <c r="C1549" s="15">
        <f t="shared" si="48"/>
        <v>14.54</v>
      </c>
      <c r="D1549" s="15">
        <f t="shared" si="49"/>
        <v>58.171999999999997</v>
      </c>
    </row>
    <row r="1550" spans="1:4" ht="15" customHeight="1">
      <c r="A1550" t="s">
        <v>1613</v>
      </c>
      <c r="B1550" s="15">
        <f>INDEX('GLB.Ts+dSST (4)'!$B$3:$M$149,MATCH(VALUE(RIGHT(A1550,4)),'GLB.Ts+dSST (4)'!$A$3:$A$149,0),VALUE(LEFT(A1550,FIND("/",A1550)-1)))</f>
        <v>0.65</v>
      </c>
      <c r="C1550" s="15">
        <f t="shared" si="48"/>
        <v>14.65</v>
      </c>
      <c r="D1550" s="15">
        <f t="shared" si="49"/>
        <v>58.370000000000005</v>
      </c>
    </row>
    <row r="1551" spans="1:4" ht="15" customHeight="1">
      <c r="A1551" t="s">
        <v>1614</v>
      </c>
      <c r="B1551" s="15">
        <f>INDEX('GLB.Ts+dSST (4)'!$B$3:$M$149,MATCH(VALUE(RIGHT(A1551,4)),'GLB.Ts+dSST (4)'!$A$3:$A$149,0),VALUE(LEFT(A1551,FIND("/",A1551)-1)))</f>
        <v>0.53</v>
      </c>
      <c r="C1551" s="15">
        <f t="shared" si="48"/>
        <v>14.53</v>
      </c>
      <c r="D1551" s="15">
        <f t="shared" si="49"/>
        <v>58.153999999999996</v>
      </c>
    </row>
    <row r="1552" spans="1:4" ht="15" customHeight="1">
      <c r="A1552" t="s">
        <v>1615</v>
      </c>
      <c r="B1552" s="15">
        <f>INDEX('GLB.Ts+dSST (4)'!$B$3:$M$149,MATCH(VALUE(RIGHT(A1552,4)),'GLB.Ts+dSST (4)'!$A$3:$A$149,0),VALUE(LEFT(A1552,FIND("/",A1552)-1)))</f>
        <v>0.53</v>
      </c>
      <c r="C1552" s="15">
        <f t="shared" si="48"/>
        <v>14.53</v>
      </c>
      <c r="D1552" s="15">
        <f t="shared" si="49"/>
        <v>58.153999999999996</v>
      </c>
    </row>
    <row r="1553" spans="1:4" ht="15" customHeight="1">
      <c r="A1553" t="s">
        <v>1616</v>
      </c>
      <c r="B1553" s="15">
        <f>INDEX('GLB.Ts+dSST (4)'!$B$3:$M$149,MATCH(VALUE(RIGHT(A1553,4)),'GLB.Ts+dSST (4)'!$A$3:$A$149,0),VALUE(LEFT(A1553,FIND("/",A1553)-1)))</f>
        <v>0.61</v>
      </c>
      <c r="C1553" s="15">
        <f t="shared" si="48"/>
        <v>14.61</v>
      </c>
      <c r="D1553" s="15">
        <f t="shared" si="49"/>
        <v>58.298000000000002</v>
      </c>
    </row>
    <row r="1554" spans="1:4" ht="15" customHeight="1">
      <c r="A1554" t="s">
        <v>1617</v>
      </c>
      <c r="B1554" s="15">
        <f>INDEX('GLB.Ts+dSST (4)'!$B$3:$M$149,MATCH(VALUE(RIGHT(A1554,4)),'GLB.Ts+dSST (4)'!$A$3:$A$149,0),VALUE(LEFT(A1554,FIND("/",A1554)-1)))</f>
        <v>0.65</v>
      </c>
      <c r="C1554" s="15">
        <f t="shared" si="48"/>
        <v>14.65</v>
      </c>
      <c r="D1554" s="15">
        <f t="shared" si="49"/>
        <v>58.370000000000005</v>
      </c>
    </row>
    <row r="1555" spans="1:4" ht="15" customHeight="1">
      <c r="A1555" t="s">
        <v>1618</v>
      </c>
      <c r="B1555" s="15">
        <f>INDEX('GLB.Ts+dSST (4)'!$B$3:$M$149,MATCH(VALUE(RIGHT(A1555,4)),'GLB.Ts+dSST (4)'!$A$3:$A$149,0),VALUE(LEFT(A1555,FIND("/",A1555)-1)))</f>
        <v>0.63</v>
      </c>
      <c r="C1555" s="15">
        <f t="shared" si="48"/>
        <v>14.63</v>
      </c>
      <c r="D1555" s="15">
        <f t="shared" si="49"/>
        <v>58.334000000000003</v>
      </c>
    </row>
    <row r="1556" spans="1:4" ht="15" customHeight="1">
      <c r="A1556" t="s">
        <v>1619</v>
      </c>
      <c r="B1556" s="15">
        <f>INDEX('GLB.Ts+dSST (4)'!$B$3:$M$149,MATCH(VALUE(RIGHT(A1556,4)),'GLB.Ts+dSST (4)'!$A$3:$A$149,0),VALUE(LEFT(A1556,FIND("/",A1556)-1)))</f>
        <v>0.74</v>
      </c>
      <c r="C1556" s="15">
        <f t="shared" si="48"/>
        <v>14.74</v>
      </c>
      <c r="D1556" s="15">
        <f t="shared" si="49"/>
        <v>58.531999999999996</v>
      </c>
    </row>
    <row r="1557" spans="1:4" ht="15" customHeight="1">
      <c r="A1557" t="s">
        <v>1620</v>
      </c>
      <c r="B1557" s="15">
        <f>INDEX('GLB.Ts+dSST (4)'!$B$3:$M$149,MATCH(VALUE(RIGHT(A1557,4)),'GLB.Ts+dSST (4)'!$A$3:$A$149,0),VALUE(LEFT(A1557,FIND("/",A1557)-1)))</f>
        <v>0.69</v>
      </c>
      <c r="C1557" s="15">
        <f t="shared" si="48"/>
        <v>14.69</v>
      </c>
      <c r="D1557" s="15">
        <f t="shared" si="49"/>
        <v>58.442</v>
      </c>
    </row>
    <row r="1558" spans="1:4" ht="15" customHeight="1">
      <c r="A1558" t="s">
        <v>1621</v>
      </c>
      <c r="B1558" s="15">
        <f>INDEX('GLB.Ts+dSST (4)'!$B$3:$M$149,MATCH(VALUE(RIGHT(A1558,4)),'GLB.Ts+dSST (4)'!$A$3:$A$149,0),VALUE(LEFT(A1558,FIND("/",A1558)-1)))</f>
        <v>0.72</v>
      </c>
      <c r="C1558" s="15">
        <f t="shared" si="48"/>
        <v>14.72</v>
      </c>
      <c r="D1558" s="15">
        <f t="shared" si="49"/>
        <v>58.496000000000002</v>
      </c>
    </row>
    <row r="1559" spans="1:4" ht="15" customHeight="1">
      <c r="A1559" t="s">
        <v>1622</v>
      </c>
      <c r="B1559" s="15">
        <f>INDEX('GLB.Ts+dSST (4)'!$B$3:$M$149,MATCH(VALUE(RIGHT(A1559,4)),'GLB.Ts+dSST (4)'!$A$3:$A$149,0),VALUE(LEFT(A1559,FIND("/",A1559)-1)))</f>
        <v>0.65</v>
      </c>
      <c r="C1559" s="15">
        <f t="shared" si="48"/>
        <v>14.65</v>
      </c>
      <c r="D1559" s="15">
        <f t="shared" si="49"/>
        <v>58.370000000000005</v>
      </c>
    </row>
    <row r="1560" spans="1:4" ht="15" customHeight="1">
      <c r="A1560" t="s">
        <v>1623</v>
      </c>
      <c r="B1560" s="15">
        <f>INDEX('GLB.Ts+dSST (4)'!$B$3:$M$149,MATCH(VALUE(RIGHT(A1560,4)),'GLB.Ts+dSST (4)'!$A$3:$A$149,0),VALUE(LEFT(A1560,FIND("/",A1560)-1)))</f>
        <v>0.8</v>
      </c>
      <c r="C1560" s="15">
        <f t="shared" si="48"/>
        <v>14.8</v>
      </c>
      <c r="D1560" s="15">
        <f t="shared" si="49"/>
        <v>58.64</v>
      </c>
    </row>
    <row r="1561" spans="1:4" ht="15" customHeight="1">
      <c r="A1561" t="s">
        <v>1624</v>
      </c>
      <c r="B1561" s="15">
        <f>INDEX('GLB.Ts+dSST (4)'!$B$3:$M$149,MATCH(VALUE(RIGHT(A1561,4)),'GLB.Ts+dSST (4)'!$A$3:$A$149,0),VALUE(LEFT(A1561,FIND("/",A1561)-1)))</f>
        <v>0.67</v>
      </c>
      <c r="C1561" s="15">
        <f t="shared" si="48"/>
        <v>14.67</v>
      </c>
      <c r="D1561" s="15">
        <f t="shared" si="49"/>
        <v>58.405999999999999</v>
      </c>
    </row>
    <row r="1562" spans="1:4" ht="15" customHeight="1">
      <c r="A1562" t="s">
        <v>1625</v>
      </c>
      <c r="B1562" s="15">
        <f>INDEX('GLB.Ts+dSST (4)'!$B$3:$M$149,MATCH(VALUE(RIGHT(A1562,4)),'GLB.Ts+dSST (4)'!$A$3:$A$149,0),VALUE(LEFT(A1562,FIND("/",A1562)-1)))</f>
        <v>0.75</v>
      </c>
      <c r="C1562" s="15">
        <f t="shared" si="48"/>
        <v>14.75</v>
      </c>
      <c r="D1562" s="15">
        <f t="shared" si="49"/>
        <v>58.55</v>
      </c>
    </row>
    <row r="1563" spans="1:4" ht="15" customHeight="1">
      <c r="A1563" t="s">
        <v>1626</v>
      </c>
      <c r="B1563" s="15">
        <f>INDEX('GLB.Ts+dSST (4)'!$B$3:$M$149,MATCH(VALUE(RIGHT(A1563,4)),'GLB.Ts+dSST (4)'!$A$3:$A$149,0),VALUE(LEFT(A1563,FIND("/",A1563)-1)))</f>
        <v>0.84</v>
      </c>
      <c r="C1563" s="15">
        <f t="shared" si="48"/>
        <v>14.84</v>
      </c>
      <c r="D1563" s="15">
        <f t="shared" si="49"/>
        <v>58.712000000000003</v>
      </c>
    </row>
    <row r="1564" spans="1:4" ht="15" customHeight="1">
      <c r="A1564" t="s">
        <v>1627</v>
      </c>
      <c r="B1564" s="15">
        <f>INDEX('GLB.Ts+dSST (4)'!$B$3:$M$149,MATCH(VALUE(RIGHT(A1564,4)),'GLB.Ts+dSST (4)'!$A$3:$A$149,0),VALUE(LEFT(A1564,FIND("/",A1564)-1)))</f>
        <v>0.92</v>
      </c>
      <c r="C1564" s="15">
        <f t="shared" si="48"/>
        <v>14.92</v>
      </c>
      <c r="D1564" s="15">
        <f t="shared" si="49"/>
        <v>58.856000000000002</v>
      </c>
    </row>
    <row r="1565" spans="1:4" ht="15" customHeight="1">
      <c r="A1565" t="s">
        <v>1628</v>
      </c>
      <c r="B1565" s="15">
        <f>INDEX('GLB.Ts+dSST (4)'!$B$3:$M$149,MATCH(VALUE(RIGHT(A1565,4)),'GLB.Ts+dSST (4)'!$A$3:$A$149,0),VALUE(LEFT(A1565,FIND("/",A1565)-1)))</f>
        <v>0.85</v>
      </c>
      <c r="C1565" s="15">
        <f t="shared" si="48"/>
        <v>14.85</v>
      </c>
      <c r="D1565" s="15">
        <f t="shared" si="49"/>
        <v>58.730000000000004</v>
      </c>
    </row>
    <row r="1566" spans="1:4" ht="15" customHeight="1">
      <c r="A1566" t="s">
        <v>1629</v>
      </c>
      <c r="B1566" s="15">
        <f>INDEX('GLB.Ts+dSST (4)'!$B$3:$M$149,MATCH(VALUE(RIGHT(A1566,4)),'GLB.Ts+dSST (4)'!$A$3:$A$149,0),VALUE(LEFT(A1566,FIND("/",A1566)-1)))</f>
        <v>0.75</v>
      </c>
      <c r="C1566" s="15">
        <f t="shared" si="48"/>
        <v>14.75</v>
      </c>
      <c r="D1566" s="15">
        <f t="shared" si="49"/>
        <v>58.55</v>
      </c>
    </row>
    <row r="1567" spans="1:4" ht="15" customHeight="1">
      <c r="A1567" t="s">
        <v>1630</v>
      </c>
      <c r="B1567" s="15">
        <f>INDEX('GLB.Ts+dSST (4)'!$B$3:$M$149,MATCH(VALUE(RIGHT(A1567,4)),'GLB.Ts+dSST (4)'!$A$3:$A$149,0),VALUE(LEFT(A1567,FIND("/",A1567)-1)))</f>
        <v>0.68</v>
      </c>
      <c r="C1567" s="15">
        <f t="shared" si="48"/>
        <v>14.68</v>
      </c>
      <c r="D1567" s="15">
        <f t="shared" si="49"/>
        <v>58.423999999999999</v>
      </c>
    </row>
    <row r="1568" spans="1:4" ht="15" customHeight="1">
      <c r="A1568" t="s">
        <v>1631</v>
      </c>
      <c r="B1568" s="15">
        <f>INDEX('GLB.Ts+dSST (4)'!$B$3:$M$149,MATCH(VALUE(RIGHT(A1568,4)),'GLB.Ts+dSST (4)'!$A$3:$A$149,0),VALUE(LEFT(A1568,FIND("/",A1568)-1)))</f>
        <v>0.63</v>
      </c>
      <c r="C1568" s="15">
        <f t="shared" si="48"/>
        <v>14.63</v>
      </c>
      <c r="D1568" s="15">
        <f t="shared" si="49"/>
        <v>58.334000000000003</v>
      </c>
    </row>
    <row r="1569" spans="1:4" ht="15" customHeight="1">
      <c r="A1569" t="s">
        <v>1632</v>
      </c>
      <c r="B1569" s="15">
        <f>INDEX('GLB.Ts+dSST (4)'!$B$3:$M$149,MATCH(VALUE(RIGHT(A1569,4)),'GLB.Ts+dSST (4)'!$A$3:$A$149,0),VALUE(LEFT(A1569,FIND("/",A1569)-1)))</f>
        <v>0.67</v>
      </c>
      <c r="C1569" s="15">
        <f t="shared" si="48"/>
        <v>14.67</v>
      </c>
      <c r="D1569" s="15">
        <f t="shared" si="49"/>
        <v>58.405999999999999</v>
      </c>
    </row>
    <row r="1570" spans="1:4" ht="15" customHeight="1">
      <c r="A1570" t="s">
        <v>1633</v>
      </c>
      <c r="B1570" s="15">
        <f>INDEX('GLB.Ts+dSST (4)'!$B$3:$M$149,MATCH(VALUE(RIGHT(A1570,4)),'GLB.Ts+dSST (4)'!$A$3:$A$149,0),VALUE(LEFT(A1570,FIND("/",A1570)-1)))</f>
        <v>0.63</v>
      </c>
      <c r="C1570" s="15">
        <f t="shared" si="48"/>
        <v>14.63</v>
      </c>
      <c r="D1570" s="15">
        <f t="shared" si="49"/>
        <v>58.334000000000003</v>
      </c>
    </row>
    <row r="1571" spans="1:4" ht="15" customHeight="1">
      <c r="A1571" t="s">
        <v>1634</v>
      </c>
      <c r="B1571" s="15">
        <f>INDEX('GLB.Ts+dSST (4)'!$B$3:$M$149,MATCH(VALUE(RIGHT(A1571,4)),'GLB.Ts+dSST (4)'!$A$3:$A$149,0),VALUE(LEFT(A1571,FIND("/",A1571)-1)))</f>
        <v>0.71</v>
      </c>
      <c r="C1571" s="15">
        <f t="shared" si="48"/>
        <v>14.71</v>
      </c>
      <c r="D1571" s="15">
        <f t="shared" si="49"/>
        <v>58.478000000000002</v>
      </c>
    </row>
    <row r="1572" spans="1:4" ht="15" customHeight="1">
      <c r="A1572" t="s">
        <v>1635</v>
      </c>
      <c r="B1572" s="15">
        <f>INDEX('GLB.Ts+dSST (4)'!$B$3:$M$149,MATCH(VALUE(RIGHT(A1572,4)),'GLB.Ts+dSST (4)'!$A$3:$A$149,0),VALUE(LEFT(A1572,FIND("/",A1572)-1)))</f>
        <v>0.81</v>
      </c>
      <c r="C1572" s="15">
        <f t="shared" si="48"/>
        <v>14.81</v>
      </c>
      <c r="D1572" s="15">
        <f t="shared" si="49"/>
        <v>58.658000000000001</v>
      </c>
    </row>
    <row r="1573" spans="1:4" ht="15" customHeight="1">
      <c r="A1573" t="s">
        <v>1636</v>
      </c>
      <c r="B1573" s="15">
        <f>INDEX('GLB.Ts+dSST (4)'!$B$3:$M$149,MATCH(VALUE(RIGHT(A1573,4)),'GLB.Ts+dSST (4)'!$A$3:$A$149,0),VALUE(LEFT(A1573,FIND("/",A1573)-1)))</f>
        <v>0.45</v>
      </c>
      <c r="C1573" s="15">
        <f t="shared" si="48"/>
        <v>14.45</v>
      </c>
      <c r="D1573" s="15">
        <f t="shared" si="49"/>
        <v>58.01</v>
      </c>
    </row>
    <row r="1574" spans="1:4" ht="15" customHeight="1">
      <c r="A1574" t="s">
        <v>1637</v>
      </c>
      <c r="B1574" s="15">
        <f>INDEX('GLB.Ts+dSST (4)'!$B$3:$M$149,MATCH(VALUE(RIGHT(A1574,4)),'GLB.Ts+dSST (4)'!$A$3:$A$149,0),VALUE(LEFT(A1574,FIND("/",A1574)-1)))</f>
        <v>0.52</v>
      </c>
      <c r="C1574" s="15">
        <f t="shared" si="48"/>
        <v>14.52</v>
      </c>
      <c r="D1574" s="15">
        <f t="shared" si="49"/>
        <v>58.135999999999996</v>
      </c>
    </row>
    <row r="1575" spans="1:4" ht="15" customHeight="1">
      <c r="A1575" t="s">
        <v>1638</v>
      </c>
      <c r="B1575" s="15">
        <f>INDEX('GLB.Ts+dSST (4)'!$B$3:$M$149,MATCH(VALUE(RIGHT(A1575,4)),'GLB.Ts+dSST (4)'!$A$3:$A$149,0),VALUE(LEFT(A1575,FIND("/",A1575)-1)))</f>
        <v>0.47</v>
      </c>
      <c r="C1575" s="15">
        <f t="shared" si="48"/>
        <v>14.47</v>
      </c>
      <c r="D1575" s="15">
        <f t="shared" si="49"/>
        <v>58.046000000000006</v>
      </c>
    </row>
    <row r="1576" spans="1:4" ht="15" customHeight="1">
      <c r="A1576" t="s">
        <v>1639</v>
      </c>
      <c r="B1576" s="15">
        <f>INDEX('GLB.Ts+dSST (4)'!$B$3:$M$149,MATCH(VALUE(RIGHT(A1576,4)),'GLB.Ts+dSST (4)'!$A$3:$A$149,0),VALUE(LEFT(A1576,FIND("/",A1576)-1)))</f>
        <v>0.65</v>
      </c>
      <c r="C1576" s="15">
        <f t="shared" si="48"/>
        <v>14.65</v>
      </c>
      <c r="D1576" s="15">
        <f t="shared" si="49"/>
        <v>58.370000000000005</v>
      </c>
    </row>
    <row r="1577" spans="1:4" ht="15" customHeight="1">
      <c r="A1577" t="s">
        <v>1640</v>
      </c>
      <c r="B1577" s="15">
        <f>INDEX('GLB.Ts+dSST (4)'!$B$3:$M$149,MATCH(VALUE(RIGHT(A1577,4)),'GLB.Ts+dSST (4)'!$A$3:$A$149,0),VALUE(LEFT(A1577,FIND("/",A1577)-1)))</f>
        <v>0.64</v>
      </c>
      <c r="C1577" s="15">
        <f t="shared" si="48"/>
        <v>14.64</v>
      </c>
      <c r="D1577" s="15">
        <f t="shared" si="49"/>
        <v>58.352000000000004</v>
      </c>
    </row>
    <row r="1578" spans="1:4" ht="15" customHeight="1">
      <c r="A1578" t="s">
        <v>1641</v>
      </c>
      <c r="B1578" s="15">
        <f>INDEX('GLB.Ts+dSST (4)'!$B$3:$M$149,MATCH(VALUE(RIGHT(A1578,4)),'GLB.Ts+dSST (4)'!$A$3:$A$149,0),VALUE(LEFT(A1578,FIND("/",A1578)-1)))</f>
        <v>0.53</v>
      </c>
      <c r="C1578" s="15">
        <f t="shared" si="48"/>
        <v>14.53</v>
      </c>
      <c r="D1578" s="15">
        <f t="shared" si="49"/>
        <v>58.153999999999996</v>
      </c>
    </row>
    <row r="1579" spans="1:4" ht="15" customHeight="1">
      <c r="A1579" t="s">
        <v>1642</v>
      </c>
      <c r="B1579" s="15">
        <f>INDEX('GLB.Ts+dSST (4)'!$B$3:$M$149,MATCH(VALUE(RIGHT(A1579,4)),'GLB.Ts+dSST (4)'!$A$3:$A$149,0),VALUE(LEFT(A1579,FIND("/",A1579)-1)))</f>
        <v>0.62</v>
      </c>
      <c r="C1579" s="15">
        <f t="shared" si="48"/>
        <v>14.62</v>
      </c>
      <c r="D1579" s="15">
        <f t="shared" si="49"/>
        <v>58.316000000000003</v>
      </c>
    </row>
    <row r="1580" spans="1:4" ht="15" customHeight="1">
      <c r="A1580" t="s">
        <v>1643</v>
      </c>
      <c r="B1580" s="15">
        <f>INDEX('GLB.Ts+dSST (4)'!$B$3:$M$149,MATCH(VALUE(RIGHT(A1580,4)),'GLB.Ts+dSST (4)'!$A$3:$A$149,0),VALUE(LEFT(A1580,FIND("/",A1580)-1)))</f>
        <v>0.71</v>
      </c>
      <c r="C1580" s="15">
        <f t="shared" si="48"/>
        <v>14.71</v>
      </c>
      <c r="D1580" s="15">
        <f t="shared" si="49"/>
        <v>58.478000000000002</v>
      </c>
    </row>
    <row r="1581" spans="1:4" ht="15" customHeight="1">
      <c r="A1581" t="s">
        <v>1644</v>
      </c>
      <c r="B1581" s="15">
        <f>INDEX('GLB.Ts+dSST (4)'!$B$3:$M$149,MATCH(VALUE(RIGHT(A1581,4)),'GLB.Ts+dSST (4)'!$A$3:$A$149,0),VALUE(LEFT(A1581,FIND("/",A1581)-1)))</f>
        <v>0.74</v>
      </c>
      <c r="C1581" s="15">
        <f t="shared" si="48"/>
        <v>14.74</v>
      </c>
      <c r="D1581" s="15">
        <f t="shared" si="49"/>
        <v>58.531999999999996</v>
      </c>
    </row>
    <row r="1582" spans="1:4" ht="15" customHeight="1">
      <c r="A1582" t="s">
        <v>1645</v>
      </c>
      <c r="B1582" s="15">
        <f>INDEX('GLB.Ts+dSST (4)'!$B$3:$M$149,MATCH(VALUE(RIGHT(A1582,4)),'GLB.Ts+dSST (4)'!$A$3:$A$149,0),VALUE(LEFT(A1582,FIND("/",A1582)-1)))</f>
        <v>0.56000000000000005</v>
      </c>
      <c r="C1582" s="15">
        <f t="shared" si="48"/>
        <v>14.56</v>
      </c>
      <c r="D1582" s="15">
        <f t="shared" si="49"/>
        <v>58.207999999999998</v>
      </c>
    </row>
    <row r="1583" spans="1:4" ht="15" customHeight="1">
      <c r="A1583" t="s">
        <v>1646</v>
      </c>
      <c r="B1583" s="15">
        <f>INDEX('GLB.Ts+dSST (4)'!$B$3:$M$149,MATCH(VALUE(RIGHT(A1583,4)),'GLB.Ts+dSST (4)'!$A$3:$A$149,0),VALUE(LEFT(A1583,FIND("/",A1583)-1)))</f>
        <v>0.65</v>
      </c>
      <c r="C1583" s="15">
        <f t="shared" si="48"/>
        <v>14.65</v>
      </c>
      <c r="D1583" s="15">
        <f t="shared" si="49"/>
        <v>58.370000000000005</v>
      </c>
    </row>
    <row r="1584" spans="1:4" ht="15" customHeight="1">
      <c r="A1584" t="s">
        <v>1647</v>
      </c>
      <c r="B1584" s="15">
        <f>INDEX('GLB.Ts+dSST (4)'!$B$3:$M$149,MATCH(VALUE(RIGHT(A1584,4)),'GLB.Ts+dSST (4)'!$A$3:$A$149,0),VALUE(LEFT(A1584,FIND("/",A1584)-1)))</f>
        <v>0.6</v>
      </c>
      <c r="C1584" s="15">
        <f t="shared" si="48"/>
        <v>14.6</v>
      </c>
      <c r="D1584" s="15">
        <f t="shared" si="49"/>
        <v>58.28</v>
      </c>
    </row>
    <row r="1585" spans="1:4" ht="15" customHeight="1">
      <c r="A1585" t="s">
        <v>1648</v>
      </c>
      <c r="B1585" s="15">
        <f>INDEX('GLB.Ts+dSST (4)'!$B$3:$M$149,MATCH(VALUE(RIGHT(A1585,4)),'GLB.Ts+dSST (4)'!$A$3:$A$149,0),VALUE(LEFT(A1585,FIND("/",A1585)-1)))</f>
        <v>0.6</v>
      </c>
      <c r="C1585" s="15">
        <f t="shared" si="48"/>
        <v>14.6</v>
      </c>
      <c r="D1585" s="15">
        <f t="shared" si="49"/>
        <v>58.28</v>
      </c>
    </row>
    <row r="1586" spans="1:4" ht="15" customHeight="1">
      <c r="A1586" t="s">
        <v>1649</v>
      </c>
      <c r="B1586" s="15">
        <f>INDEX('GLB.Ts+dSST (4)'!$B$3:$M$149,MATCH(VALUE(RIGHT(A1586,4)),'GLB.Ts+dSST (4)'!$A$3:$A$149,0),VALUE(LEFT(A1586,FIND("/",A1586)-1)))</f>
        <v>0.47</v>
      </c>
      <c r="C1586" s="15">
        <f t="shared" si="48"/>
        <v>14.47</v>
      </c>
      <c r="D1586" s="15">
        <f t="shared" si="49"/>
        <v>58.046000000000006</v>
      </c>
    </row>
    <row r="1587" spans="1:4" ht="15" customHeight="1">
      <c r="A1587" t="s">
        <v>1650</v>
      </c>
      <c r="B1587" s="15">
        <f>INDEX('GLB.Ts+dSST (4)'!$B$3:$M$149,MATCH(VALUE(RIGHT(A1587,4)),'GLB.Ts+dSST (4)'!$A$3:$A$149,0),VALUE(LEFT(A1587,FIND("/",A1587)-1)))</f>
        <v>0.48</v>
      </c>
      <c r="C1587" s="15">
        <f t="shared" si="48"/>
        <v>14.48</v>
      </c>
      <c r="D1587" s="15">
        <f t="shared" si="49"/>
        <v>58.064</v>
      </c>
    </row>
    <row r="1588" spans="1:4" ht="15" customHeight="1">
      <c r="A1588" t="s">
        <v>1651</v>
      </c>
      <c r="B1588" s="15">
        <f>INDEX('GLB.Ts+dSST (4)'!$B$3:$M$149,MATCH(VALUE(RIGHT(A1588,4)),'GLB.Ts+dSST (4)'!$A$3:$A$149,0),VALUE(LEFT(A1588,FIND("/",A1588)-1)))</f>
        <v>0.56999999999999995</v>
      </c>
      <c r="C1588" s="15">
        <f t="shared" si="48"/>
        <v>14.57</v>
      </c>
      <c r="D1588" s="15">
        <f t="shared" si="49"/>
        <v>58.225999999999999</v>
      </c>
    </row>
    <row r="1589" spans="1:4" ht="15" customHeight="1">
      <c r="A1589" t="s">
        <v>1652</v>
      </c>
      <c r="B1589" s="15">
        <f>INDEX('GLB.Ts+dSST (4)'!$B$3:$M$149,MATCH(VALUE(RIGHT(A1589,4)),'GLB.Ts+dSST (4)'!$A$3:$A$149,0),VALUE(LEFT(A1589,FIND("/",A1589)-1)))</f>
        <v>0.73</v>
      </c>
      <c r="C1589" s="15">
        <f t="shared" si="48"/>
        <v>14.73</v>
      </c>
      <c r="D1589" s="15">
        <f t="shared" si="49"/>
        <v>58.514000000000003</v>
      </c>
    </row>
    <row r="1590" spans="1:4" ht="15" customHeight="1">
      <c r="A1590" t="s">
        <v>1653</v>
      </c>
      <c r="B1590" s="15">
        <f>INDEX('GLB.Ts+dSST (4)'!$B$3:$M$149,MATCH(VALUE(RIGHT(A1590,4)),'GLB.Ts+dSST (4)'!$A$3:$A$149,0),VALUE(LEFT(A1590,FIND("/",A1590)-1)))</f>
        <v>0.78</v>
      </c>
      <c r="C1590" s="15">
        <f t="shared" si="48"/>
        <v>14.78</v>
      </c>
      <c r="D1590" s="15">
        <f t="shared" si="49"/>
        <v>58.603999999999999</v>
      </c>
    </row>
    <row r="1591" spans="1:4" ht="15" customHeight="1">
      <c r="A1591" t="s">
        <v>1654</v>
      </c>
      <c r="B1591" s="15">
        <f>INDEX('GLB.Ts+dSST (4)'!$B$3:$M$149,MATCH(VALUE(RIGHT(A1591,4)),'GLB.Ts+dSST (4)'!$A$3:$A$149,0),VALUE(LEFT(A1591,FIND("/",A1591)-1)))</f>
        <v>0.65</v>
      </c>
      <c r="C1591" s="15">
        <f t="shared" si="48"/>
        <v>14.65</v>
      </c>
      <c r="D1591" s="15">
        <f t="shared" si="49"/>
        <v>58.370000000000005</v>
      </c>
    </row>
    <row r="1592" spans="1:4" ht="15" customHeight="1">
      <c r="A1592" t="s">
        <v>1655</v>
      </c>
      <c r="B1592" s="15">
        <f>INDEX('GLB.Ts+dSST (4)'!$B$3:$M$149,MATCH(VALUE(RIGHT(A1592,4)),'GLB.Ts+dSST (4)'!$A$3:$A$149,0),VALUE(LEFT(A1592,FIND("/",A1592)-1)))</f>
        <v>0.59</v>
      </c>
      <c r="C1592" s="15">
        <f t="shared" si="48"/>
        <v>14.59</v>
      </c>
      <c r="D1592" s="15">
        <f t="shared" si="49"/>
        <v>58.262</v>
      </c>
    </row>
    <row r="1593" spans="1:4" ht="15" customHeight="1">
      <c r="A1593" t="s">
        <v>1656</v>
      </c>
      <c r="B1593" s="15">
        <f>INDEX('GLB.Ts+dSST (4)'!$B$3:$M$149,MATCH(VALUE(RIGHT(A1593,4)),'GLB.Ts+dSST (4)'!$A$3:$A$149,0),VALUE(LEFT(A1593,FIND("/",A1593)-1)))</f>
        <v>0.66</v>
      </c>
      <c r="C1593" s="15">
        <f t="shared" si="48"/>
        <v>14.66</v>
      </c>
      <c r="D1593" s="15">
        <f t="shared" si="49"/>
        <v>58.388000000000005</v>
      </c>
    </row>
    <row r="1594" spans="1:4" ht="15" customHeight="1">
      <c r="A1594" t="s">
        <v>1657</v>
      </c>
      <c r="B1594" s="15">
        <f>INDEX('GLB.Ts+dSST (4)'!$B$3:$M$149,MATCH(VALUE(RIGHT(A1594,4)),'GLB.Ts+dSST (4)'!$A$3:$A$149,0),VALUE(LEFT(A1594,FIND("/",A1594)-1)))</f>
        <v>0.72</v>
      </c>
      <c r="C1594" s="15">
        <f t="shared" si="48"/>
        <v>14.72</v>
      </c>
      <c r="D1594" s="15">
        <f t="shared" si="49"/>
        <v>58.496000000000002</v>
      </c>
    </row>
    <row r="1595" spans="1:4" ht="15" customHeight="1">
      <c r="A1595" t="s">
        <v>1658</v>
      </c>
      <c r="B1595" s="15">
        <f>INDEX('GLB.Ts+dSST (4)'!$B$3:$M$149,MATCH(VALUE(RIGHT(A1595,4)),'GLB.Ts+dSST (4)'!$A$3:$A$149,0),VALUE(LEFT(A1595,FIND("/",A1595)-1)))</f>
        <v>0.8</v>
      </c>
      <c r="C1595" s="15">
        <f t="shared" si="48"/>
        <v>14.8</v>
      </c>
      <c r="D1595" s="15">
        <f t="shared" si="49"/>
        <v>58.64</v>
      </c>
    </row>
    <row r="1596" spans="1:4" ht="15" customHeight="1">
      <c r="A1596" t="s">
        <v>1659</v>
      </c>
      <c r="B1596" s="15">
        <f>INDEX('GLB.Ts+dSST (4)'!$B$3:$M$149,MATCH(VALUE(RIGHT(A1596,4)),'GLB.Ts+dSST (4)'!$A$3:$A$149,0),VALUE(LEFT(A1596,FIND("/",A1596)-1)))</f>
        <v>0.78</v>
      </c>
      <c r="C1596" s="15">
        <f t="shared" si="48"/>
        <v>14.78</v>
      </c>
      <c r="D1596" s="15">
        <f t="shared" si="49"/>
        <v>58.603999999999999</v>
      </c>
    </row>
    <row r="1597" spans="1:4" ht="15" customHeight="1">
      <c r="A1597" t="s">
        <v>1660</v>
      </c>
      <c r="B1597" s="15">
        <f>INDEX('GLB.Ts+dSST (4)'!$B$3:$M$149,MATCH(VALUE(RIGHT(A1597,4)),'GLB.Ts+dSST (4)'!$A$3:$A$149,0),VALUE(LEFT(A1597,FIND("/",A1597)-1)))</f>
        <v>0.53</v>
      </c>
      <c r="C1597" s="15">
        <f t="shared" si="48"/>
        <v>14.53</v>
      </c>
      <c r="D1597" s="15">
        <f t="shared" si="49"/>
        <v>58.153999999999996</v>
      </c>
    </row>
    <row r="1598" spans="1:4" ht="15" customHeight="1">
      <c r="A1598" t="s">
        <v>1661</v>
      </c>
      <c r="B1598" s="15">
        <f>INDEX('GLB.Ts+dSST (4)'!$B$3:$M$149,MATCH(VALUE(RIGHT(A1598,4)),'GLB.Ts+dSST (4)'!$A$3:$A$149,0),VALUE(LEFT(A1598,FIND("/",A1598)-1)))</f>
        <v>0.71</v>
      </c>
      <c r="C1598" s="15">
        <f t="shared" si="48"/>
        <v>14.71</v>
      </c>
      <c r="D1598" s="15">
        <f t="shared" si="49"/>
        <v>58.478000000000002</v>
      </c>
    </row>
    <row r="1599" spans="1:4" ht="15" customHeight="1">
      <c r="A1599" t="s">
        <v>1662</v>
      </c>
      <c r="B1599" s="15">
        <f>INDEX('GLB.Ts+dSST (4)'!$B$3:$M$149,MATCH(VALUE(RIGHT(A1599,4)),'GLB.Ts+dSST (4)'!$A$3:$A$149,0),VALUE(LEFT(A1599,FIND("/",A1599)-1)))</f>
        <v>0.62</v>
      </c>
      <c r="C1599" s="15">
        <f t="shared" si="48"/>
        <v>14.62</v>
      </c>
      <c r="D1599" s="15">
        <f t="shared" si="49"/>
        <v>58.316000000000003</v>
      </c>
    </row>
    <row r="1600" spans="1:4" ht="15" customHeight="1">
      <c r="A1600" t="s">
        <v>1663</v>
      </c>
      <c r="B1600" s="15">
        <f>INDEX('GLB.Ts+dSST (4)'!$B$3:$M$149,MATCH(VALUE(RIGHT(A1600,4)),'GLB.Ts+dSST (4)'!$A$3:$A$149,0),VALUE(LEFT(A1600,FIND("/",A1600)-1)))</f>
        <v>0.67</v>
      </c>
      <c r="C1600" s="15">
        <f t="shared" si="48"/>
        <v>14.67</v>
      </c>
      <c r="D1600" s="15">
        <f t="shared" si="49"/>
        <v>58.405999999999999</v>
      </c>
    </row>
    <row r="1601" spans="1:4" ht="15" customHeight="1">
      <c r="A1601" t="s">
        <v>1664</v>
      </c>
      <c r="B1601" s="15">
        <f>INDEX('GLB.Ts+dSST (4)'!$B$3:$M$149,MATCH(VALUE(RIGHT(A1601,4)),'GLB.Ts+dSST (4)'!$A$3:$A$149,0),VALUE(LEFT(A1601,FIND("/",A1601)-1)))</f>
        <v>0.53</v>
      </c>
      <c r="C1601" s="15">
        <f t="shared" si="48"/>
        <v>14.53</v>
      </c>
      <c r="D1601" s="15">
        <f t="shared" si="49"/>
        <v>58.153999999999996</v>
      </c>
    </row>
    <row r="1602" spans="1:4" ht="15" customHeight="1">
      <c r="A1602" t="s">
        <v>1665</v>
      </c>
      <c r="B1602" s="15">
        <f>INDEX('GLB.Ts+dSST (4)'!$B$3:$M$149,MATCH(VALUE(RIGHT(A1602,4)),'GLB.Ts+dSST (4)'!$A$3:$A$149,0),VALUE(LEFT(A1602,FIND("/",A1602)-1)))</f>
        <v>0.6</v>
      </c>
      <c r="C1602" s="15">
        <f t="shared" ref="C1602:C1665" si="50">B1602+14</f>
        <v>14.6</v>
      </c>
      <c r="D1602" s="15">
        <f t="shared" ref="D1602:D1665" si="51">C1602*(9/5)+32</f>
        <v>58.28</v>
      </c>
    </row>
    <row r="1603" spans="1:4" ht="15" customHeight="1">
      <c r="A1603" t="s">
        <v>1666</v>
      </c>
      <c r="B1603" s="15">
        <f>INDEX('GLB.Ts+dSST (4)'!$B$3:$M$149,MATCH(VALUE(RIGHT(A1603,4)),'GLB.Ts+dSST (4)'!$A$3:$A$149,0),VALUE(LEFT(A1603,FIND("/",A1603)-1)))</f>
        <v>0.7</v>
      </c>
      <c r="C1603" s="15">
        <f t="shared" si="50"/>
        <v>14.7</v>
      </c>
      <c r="D1603" s="15">
        <f t="shared" si="51"/>
        <v>58.46</v>
      </c>
    </row>
    <row r="1604" spans="1:4" ht="15" customHeight="1">
      <c r="A1604" t="s">
        <v>1667</v>
      </c>
      <c r="B1604" s="15">
        <f>INDEX('GLB.Ts+dSST (4)'!$B$3:$M$149,MATCH(VALUE(RIGHT(A1604,4)),'GLB.Ts+dSST (4)'!$A$3:$A$149,0),VALUE(LEFT(A1604,FIND("/",A1604)-1)))</f>
        <v>0.6</v>
      </c>
      <c r="C1604" s="15">
        <f t="shared" si="50"/>
        <v>14.6</v>
      </c>
      <c r="D1604" s="15">
        <f t="shared" si="51"/>
        <v>58.28</v>
      </c>
    </row>
    <row r="1605" spans="1:4" ht="15" customHeight="1">
      <c r="A1605" t="s">
        <v>1668</v>
      </c>
      <c r="B1605" s="15">
        <f>INDEX('GLB.Ts+dSST (4)'!$B$3:$M$149,MATCH(VALUE(RIGHT(A1605,4)),'GLB.Ts+dSST (4)'!$A$3:$A$149,0),VALUE(LEFT(A1605,FIND("/",A1605)-1)))</f>
        <v>0.7</v>
      </c>
      <c r="C1605" s="15">
        <f t="shared" si="50"/>
        <v>14.7</v>
      </c>
      <c r="D1605" s="15">
        <f t="shared" si="51"/>
        <v>58.46</v>
      </c>
    </row>
    <row r="1606" spans="1:4" ht="15" customHeight="1">
      <c r="A1606" t="s">
        <v>1669</v>
      </c>
      <c r="B1606" s="15">
        <f>INDEX('GLB.Ts+dSST (4)'!$B$3:$M$149,MATCH(VALUE(RIGHT(A1606,4)),'GLB.Ts+dSST (4)'!$A$3:$A$149,0),VALUE(LEFT(A1606,FIND("/",A1606)-1)))</f>
        <v>0.77</v>
      </c>
      <c r="C1606" s="15">
        <f t="shared" si="50"/>
        <v>14.77</v>
      </c>
      <c r="D1606" s="15">
        <f t="shared" si="51"/>
        <v>58.585999999999999</v>
      </c>
    </row>
    <row r="1607" spans="1:4" ht="15" customHeight="1">
      <c r="A1607" t="s">
        <v>1670</v>
      </c>
      <c r="B1607" s="15">
        <f>INDEX('GLB.Ts+dSST (4)'!$B$3:$M$149,MATCH(VALUE(RIGHT(A1607,4)),'GLB.Ts+dSST (4)'!$A$3:$A$149,0),VALUE(LEFT(A1607,FIND("/",A1607)-1)))</f>
        <v>0.69</v>
      </c>
      <c r="C1607" s="15">
        <f t="shared" si="50"/>
        <v>14.69</v>
      </c>
      <c r="D1607" s="15">
        <f t="shared" si="51"/>
        <v>58.442</v>
      </c>
    </row>
    <row r="1608" spans="1:4" ht="15" customHeight="1">
      <c r="A1608" t="s">
        <v>1671</v>
      </c>
      <c r="B1608" s="15">
        <f>INDEX('GLB.Ts+dSST (4)'!$B$3:$M$149,MATCH(VALUE(RIGHT(A1608,4)),'GLB.Ts+dSST (4)'!$A$3:$A$149,0),VALUE(LEFT(A1608,FIND("/",A1608)-1)))</f>
        <v>0.83</v>
      </c>
      <c r="C1608" s="15">
        <f t="shared" si="50"/>
        <v>14.83</v>
      </c>
      <c r="D1608" s="15">
        <f t="shared" si="51"/>
        <v>58.694000000000003</v>
      </c>
    </row>
    <row r="1609" spans="1:4" ht="15" customHeight="1">
      <c r="A1609" t="s">
        <v>1672</v>
      </c>
      <c r="B1609" s="15">
        <f>INDEX('GLB.Ts+dSST (4)'!$B$3:$M$149,MATCH(VALUE(RIGHT(A1609,4)),'GLB.Ts+dSST (4)'!$A$3:$A$149,0),VALUE(LEFT(A1609,FIND("/",A1609)-1)))</f>
        <v>0.7</v>
      </c>
      <c r="C1609" s="15">
        <f t="shared" si="50"/>
        <v>14.7</v>
      </c>
      <c r="D1609" s="15">
        <f t="shared" si="51"/>
        <v>58.46</v>
      </c>
    </row>
    <row r="1610" spans="1:4" ht="15" customHeight="1">
      <c r="A1610" t="s">
        <v>1673</v>
      </c>
      <c r="B1610" s="15">
        <f>INDEX('GLB.Ts+dSST (4)'!$B$3:$M$149,MATCH(VALUE(RIGHT(A1610,4)),'GLB.Ts+dSST (4)'!$A$3:$A$149,0),VALUE(LEFT(A1610,FIND("/",A1610)-1)))</f>
        <v>0.76</v>
      </c>
      <c r="C1610" s="15">
        <f t="shared" si="50"/>
        <v>14.76</v>
      </c>
      <c r="D1610" s="15">
        <f t="shared" si="51"/>
        <v>58.567999999999998</v>
      </c>
    </row>
    <row r="1611" spans="1:4" ht="15" customHeight="1">
      <c r="A1611" t="s">
        <v>1674</v>
      </c>
      <c r="B1611" s="15">
        <f>INDEX('GLB.Ts+dSST (4)'!$B$3:$M$149,MATCH(VALUE(RIGHT(A1611,4)),'GLB.Ts+dSST (4)'!$A$3:$A$149,0),VALUE(LEFT(A1611,FIND("/",A1611)-1)))</f>
        <v>0.55000000000000004</v>
      </c>
      <c r="C1611" s="15">
        <f t="shared" si="50"/>
        <v>14.55</v>
      </c>
      <c r="D1611" s="15">
        <f t="shared" si="51"/>
        <v>58.19</v>
      </c>
    </row>
    <row r="1612" spans="1:4" ht="15" customHeight="1">
      <c r="A1612" t="s">
        <v>1675</v>
      </c>
      <c r="B1612" s="15">
        <f>INDEX('GLB.Ts+dSST (4)'!$B$3:$M$149,MATCH(VALUE(RIGHT(A1612,4)),'GLB.Ts+dSST (4)'!$A$3:$A$149,0),VALUE(LEFT(A1612,FIND("/",A1612)-1)))</f>
        <v>0.78</v>
      </c>
      <c r="C1612" s="15">
        <f t="shared" si="50"/>
        <v>14.78</v>
      </c>
      <c r="D1612" s="15">
        <f t="shared" si="51"/>
        <v>58.603999999999999</v>
      </c>
    </row>
    <row r="1613" spans="1:4" ht="15" customHeight="1">
      <c r="A1613" t="s">
        <v>1676</v>
      </c>
      <c r="B1613" s="15">
        <f>INDEX('GLB.Ts+dSST (4)'!$B$3:$M$149,MATCH(VALUE(RIGHT(A1613,4)),'GLB.Ts+dSST (4)'!$A$3:$A$149,0),VALUE(LEFT(A1613,FIND("/",A1613)-1)))</f>
        <v>0.81</v>
      </c>
      <c r="C1613" s="15">
        <f t="shared" si="50"/>
        <v>14.81</v>
      </c>
      <c r="D1613" s="15">
        <f t="shared" si="51"/>
        <v>58.658000000000001</v>
      </c>
    </row>
    <row r="1614" spans="1:4" ht="15" customHeight="1">
      <c r="A1614" t="s">
        <v>1677</v>
      </c>
      <c r="B1614" s="15">
        <f>INDEX('GLB.Ts+dSST (4)'!$B$3:$M$149,MATCH(VALUE(RIGHT(A1614,4)),'GLB.Ts+dSST (4)'!$A$3:$A$149,0),VALUE(LEFT(A1614,FIND("/",A1614)-1)))</f>
        <v>0.87</v>
      </c>
      <c r="C1614" s="15">
        <f t="shared" si="50"/>
        <v>14.87</v>
      </c>
      <c r="D1614" s="15">
        <f t="shared" si="51"/>
        <v>58.765999999999998</v>
      </c>
    </row>
    <row r="1615" spans="1:4" ht="15" customHeight="1">
      <c r="A1615" t="s">
        <v>1678</v>
      </c>
      <c r="B1615" s="15">
        <f>INDEX('GLB.Ts+dSST (4)'!$B$3:$M$149,MATCH(VALUE(RIGHT(A1615,4)),'GLB.Ts+dSST (4)'!$A$3:$A$149,0),VALUE(LEFT(A1615,FIND("/",A1615)-1)))</f>
        <v>0.67</v>
      </c>
      <c r="C1615" s="15">
        <f t="shared" si="50"/>
        <v>14.67</v>
      </c>
      <c r="D1615" s="15">
        <f t="shared" si="51"/>
        <v>58.405999999999999</v>
      </c>
    </row>
    <row r="1616" spans="1:4" ht="15" customHeight="1">
      <c r="A1616" t="s">
        <v>1679</v>
      </c>
      <c r="B1616" s="15">
        <f>INDEX('GLB.Ts+dSST (4)'!$B$3:$M$149,MATCH(VALUE(RIGHT(A1616,4)),'GLB.Ts+dSST (4)'!$A$3:$A$149,0),VALUE(LEFT(A1616,FIND("/",A1616)-1)))</f>
        <v>0.57999999999999996</v>
      </c>
      <c r="C1616" s="15">
        <f t="shared" si="50"/>
        <v>14.58</v>
      </c>
      <c r="D1616" s="15">
        <f t="shared" si="51"/>
        <v>58.244</v>
      </c>
    </row>
    <row r="1617" spans="1:4" ht="15" customHeight="1">
      <c r="A1617" t="s">
        <v>1680</v>
      </c>
      <c r="B1617" s="15">
        <f>INDEX('GLB.Ts+dSST (4)'!$B$3:$M$149,MATCH(VALUE(RIGHT(A1617,4)),'GLB.Ts+dSST (4)'!$A$3:$A$149,0),VALUE(LEFT(A1617,FIND("/",A1617)-1)))</f>
        <v>0.83</v>
      </c>
      <c r="C1617" s="15">
        <f t="shared" si="50"/>
        <v>14.83</v>
      </c>
      <c r="D1617" s="15">
        <f t="shared" si="51"/>
        <v>58.694000000000003</v>
      </c>
    </row>
    <row r="1618" spans="1:4" ht="15" customHeight="1">
      <c r="A1618" t="s">
        <v>1681</v>
      </c>
      <c r="B1618" s="15">
        <f>INDEX('GLB.Ts+dSST (4)'!$B$3:$M$149,MATCH(VALUE(RIGHT(A1618,4)),'GLB.Ts+dSST (4)'!$A$3:$A$149,0),VALUE(LEFT(A1618,FIND("/",A1618)-1)))</f>
        <v>0.88</v>
      </c>
      <c r="C1618" s="15">
        <f t="shared" si="50"/>
        <v>14.88</v>
      </c>
      <c r="D1618" s="15">
        <f t="shared" si="51"/>
        <v>58.784000000000006</v>
      </c>
    </row>
    <row r="1619" spans="1:4" ht="15" customHeight="1">
      <c r="A1619" t="s">
        <v>1682</v>
      </c>
      <c r="B1619" s="15">
        <f>INDEX('GLB.Ts+dSST (4)'!$B$3:$M$149,MATCH(VALUE(RIGHT(A1619,4)),'GLB.Ts+dSST (4)'!$A$3:$A$149,0),VALUE(LEFT(A1619,FIND("/",A1619)-1)))</f>
        <v>0.8</v>
      </c>
      <c r="C1619" s="15">
        <f t="shared" si="50"/>
        <v>14.8</v>
      </c>
      <c r="D1619" s="15">
        <f t="shared" si="51"/>
        <v>58.64</v>
      </c>
    </row>
    <row r="1620" spans="1:4" ht="15" customHeight="1">
      <c r="A1620" t="s">
        <v>1683</v>
      </c>
      <c r="B1620" s="15">
        <f>INDEX('GLB.Ts+dSST (4)'!$B$3:$M$149,MATCH(VALUE(RIGHT(A1620,4)),'GLB.Ts+dSST (4)'!$A$3:$A$149,0),VALUE(LEFT(A1620,FIND("/",A1620)-1)))</f>
        <v>0.67</v>
      </c>
      <c r="C1620" s="15">
        <f t="shared" si="50"/>
        <v>14.67</v>
      </c>
      <c r="D1620" s="15">
        <f t="shared" si="51"/>
        <v>58.405999999999999</v>
      </c>
    </row>
    <row r="1621" spans="1:4" ht="15" customHeight="1">
      <c r="A1621" t="s">
        <v>1684</v>
      </c>
      <c r="B1621" s="15">
        <f>INDEX('GLB.Ts+dSST (4)'!$B$3:$M$149,MATCH(VALUE(RIGHT(A1621,4)),'GLB.Ts+dSST (4)'!$A$3:$A$149,0),VALUE(LEFT(A1621,FIND("/",A1621)-1)))</f>
        <v>0.79</v>
      </c>
      <c r="C1621" s="15">
        <f t="shared" si="50"/>
        <v>14.79</v>
      </c>
      <c r="D1621" s="15">
        <f t="shared" si="51"/>
        <v>58.622</v>
      </c>
    </row>
    <row r="1622" spans="1:4" ht="15" customHeight="1">
      <c r="A1622" t="s">
        <v>1685</v>
      </c>
      <c r="B1622" s="15">
        <f>INDEX('GLB.Ts+dSST (4)'!$B$3:$M$149,MATCH(VALUE(RIGHT(A1622,4)),'GLB.Ts+dSST (4)'!$A$3:$A$149,0),VALUE(LEFT(A1622,FIND("/",A1622)-1)))</f>
        <v>0.86</v>
      </c>
      <c r="C1622" s="15">
        <f t="shared" si="50"/>
        <v>14.86</v>
      </c>
      <c r="D1622" s="15">
        <f t="shared" si="51"/>
        <v>58.748000000000005</v>
      </c>
    </row>
    <row r="1623" spans="1:4" ht="15" customHeight="1">
      <c r="A1623" t="s">
        <v>1686</v>
      </c>
      <c r="B1623" s="15">
        <f>INDEX('GLB.Ts+dSST (4)'!$B$3:$M$149,MATCH(VALUE(RIGHT(A1623,4)),'GLB.Ts+dSST (4)'!$A$3:$A$149,0),VALUE(LEFT(A1623,FIND("/",A1623)-1)))</f>
        <v>0.91</v>
      </c>
      <c r="C1623" s="15">
        <f t="shared" si="50"/>
        <v>14.91</v>
      </c>
      <c r="D1623" s="15">
        <f t="shared" si="51"/>
        <v>58.838000000000001</v>
      </c>
    </row>
    <row r="1624" spans="1:4" ht="15" customHeight="1">
      <c r="A1624" t="s">
        <v>1687</v>
      </c>
      <c r="B1624" s="15">
        <f>INDEX('GLB.Ts+dSST (4)'!$B$3:$M$149,MATCH(VALUE(RIGHT(A1624,4)),'GLB.Ts+dSST (4)'!$A$3:$A$149,0),VALUE(LEFT(A1624,FIND("/",A1624)-1)))</f>
        <v>0.96</v>
      </c>
      <c r="C1624" s="15">
        <f t="shared" si="50"/>
        <v>14.96</v>
      </c>
      <c r="D1624" s="15">
        <f t="shared" si="51"/>
        <v>58.927999999999997</v>
      </c>
    </row>
    <row r="1625" spans="1:4" ht="15" customHeight="1">
      <c r="A1625" t="s">
        <v>1688</v>
      </c>
      <c r="B1625" s="15">
        <f>INDEX('GLB.Ts+dSST (4)'!$B$3:$M$149,MATCH(VALUE(RIGHT(A1625,4)),'GLB.Ts+dSST (4)'!$A$3:$A$149,0),VALUE(LEFT(A1625,FIND("/",A1625)-1)))</f>
        <v>0.75</v>
      </c>
      <c r="C1625" s="15">
        <f t="shared" si="50"/>
        <v>14.75</v>
      </c>
      <c r="D1625" s="15">
        <f t="shared" si="51"/>
        <v>58.55</v>
      </c>
    </row>
    <row r="1626" spans="1:4" ht="15" customHeight="1">
      <c r="A1626" t="s">
        <v>1689</v>
      </c>
      <c r="B1626" s="15">
        <f>INDEX('GLB.Ts+dSST (4)'!$B$3:$M$149,MATCH(VALUE(RIGHT(A1626,4)),'GLB.Ts+dSST (4)'!$A$3:$A$149,0),VALUE(LEFT(A1626,FIND("/",A1626)-1)))</f>
        <v>0.8</v>
      </c>
      <c r="C1626" s="15">
        <f t="shared" si="50"/>
        <v>14.8</v>
      </c>
      <c r="D1626" s="15">
        <f t="shared" si="51"/>
        <v>58.64</v>
      </c>
    </row>
    <row r="1627" spans="1:4" ht="15" customHeight="1">
      <c r="A1627" t="s">
        <v>1690</v>
      </c>
      <c r="B1627" s="15">
        <f>INDEX('GLB.Ts+dSST (4)'!$B$3:$M$149,MATCH(VALUE(RIGHT(A1627,4)),'GLB.Ts+dSST (4)'!$A$3:$A$149,0),VALUE(LEFT(A1627,FIND("/",A1627)-1)))</f>
        <v>0.82</v>
      </c>
      <c r="C1627" s="15">
        <f t="shared" si="50"/>
        <v>14.82</v>
      </c>
      <c r="D1627" s="15">
        <f t="shared" si="51"/>
        <v>58.676000000000002</v>
      </c>
    </row>
    <row r="1628" spans="1:4" ht="15" customHeight="1">
      <c r="A1628" t="s">
        <v>1691</v>
      </c>
      <c r="B1628" s="15">
        <f>INDEX('GLB.Ts+dSST (4)'!$B$3:$M$149,MATCH(VALUE(RIGHT(A1628,4)),'GLB.Ts+dSST (4)'!$A$3:$A$149,0),VALUE(LEFT(A1628,FIND("/",A1628)-1)))</f>
        <v>0.73</v>
      </c>
      <c r="C1628" s="15">
        <f t="shared" si="50"/>
        <v>14.73</v>
      </c>
      <c r="D1628" s="15">
        <f t="shared" si="51"/>
        <v>58.514000000000003</v>
      </c>
    </row>
    <row r="1629" spans="1:4" ht="15" customHeight="1">
      <c r="A1629" t="s">
        <v>1692</v>
      </c>
      <c r="B1629" s="15">
        <f>INDEX('GLB.Ts+dSST (4)'!$B$3:$M$149,MATCH(VALUE(RIGHT(A1629,4)),'GLB.Ts+dSST (4)'!$A$3:$A$149,0),VALUE(LEFT(A1629,FIND("/",A1629)-1)))</f>
        <v>0.8</v>
      </c>
      <c r="C1629" s="15">
        <f t="shared" si="50"/>
        <v>14.8</v>
      </c>
      <c r="D1629" s="15">
        <f t="shared" si="51"/>
        <v>58.64</v>
      </c>
    </row>
    <row r="1630" spans="1:4" ht="15" customHeight="1">
      <c r="A1630" t="s">
        <v>1693</v>
      </c>
      <c r="B1630" s="15">
        <f>INDEX('GLB.Ts+dSST (4)'!$B$3:$M$149,MATCH(VALUE(RIGHT(A1630,4)),'GLB.Ts+dSST (4)'!$A$3:$A$149,0),VALUE(LEFT(A1630,FIND("/",A1630)-1)))</f>
        <v>0.84</v>
      </c>
      <c r="C1630" s="15">
        <f t="shared" si="50"/>
        <v>14.84</v>
      </c>
      <c r="D1630" s="15">
        <f t="shared" si="51"/>
        <v>58.712000000000003</v>
      </c>
    </row>
    <row r="1631" spans="1:4" ht="15" customHeight="1">
      <c r="A1631" t="s">
        <v>1694</v>
      </c>
      <c r="B1631" s="15">
        <f>INDEX('GLB.Ts+dSST (4)'!$B$3:$M$149,MATCH(VALUE(RIGHT(A1631,4)),'GLB.Ts+dSST (4)'!$A$3:$A$149,0),VALUE(LEFT(A1631,FIND("/",A1631)-1)))</f>
        <v>1.08</v>
      </c>
      <c r="C1631" s="15">
        <f t="shared" si="50"/>
        <v>15.08</v>
      </c>
      <c r="D1631" s="15">
        <f t="shared" si="51"/>
        <v>59.144000000000005</v>
      </c>
    </row>
    <row r="1632" spans="1:4" ht="15" customHeight="1">
      <c r="A1632" t="s">
        <v>1695</v>
      </c>
      <c r="B1632" s="15">
        <f>INDEX('GLB.Ts+dSST (4)'!$B$3:$M$149,MATCH(VALUE(RIGHT(A1632,4)),'GLB.Ts+dSST (4)'!$A$3:$A$149,0),VALUE(LEFT(A1632,FIND("/",A1632)-1)))</f>
        <v>1.06</v>
      </c>
      <c r="C1632" s="15">
        <f t="shared" si="50"/>
        <v>15.06</v>
      </c>
      <c r="D1632" s="15">
        <f t="shared" si="51"/>
        <v>59.108000000000004</v>
      </c>
    </row>
    <row r="1633" spans="1:4" ht="15" customHeight="1">
      <c r="A1633" t="s">
        <v>1696</v>
      </c>
      <c r="B1633" s="15">
        <f>INDEX('GLB.Ts+dSST (4)'!$B$3:$M$149,MATCH(VALUE(RIGHT(A1633,4)),'GLB.Ts+dSST (4)'!$A$3:$A$149,0),VALUE(LEFT(A1633,FIND("/",A1633)-1)))</f>
        <v>1.17</v>
      </c>
      <c r="C1633" s="15">
        <f t="shared" si="50"/>
        <v>15.17</v>
      </c>
      <c r="D1633" s="15">
        <f t="shared" si="51"/>
        <v>59.305999999999997</v>
      </c>
    </row>
    <row r="1634" spans="1:4" ht="15" customHeight="1">
      <c r="A1634" t="s">
        <v>1697</v>
      </c>
      <c r="B1634" s="15">
        <f>INDEX('GLB.Ts+dSST (4)'!$B$3:$M$149,MATCH(VALUE(RIGHT(A1634,4)),'GLB.Ts+dSST (4)'!$A$3:$A$149,0),VALUE(LEFT(A1634,FIND("/",A1634)-1)))</f>
        <v>1.18</v>
      </c>
      <c r="C1634" s="15">
        <f t="shared" si="50"/>
        <v>15.18</v>
      </c>
      <c r="D1634" s="15">
        <f t="shared" si="51"/>
        <v>59.323999999999998</v>
      </c>
    </row>
    <row r="1635" spans="1:4" ht="15" customHeight="1">
      <c r="A1635" t="s">
        <v>1698</v>
      </c>
      <c r="B1635" s="15">
        <f>INDEX('GLB.Ts+dSST (4)'!$B$3:$M$149,MATCH(VALUE(RIGHT(A1635,4)),'GLB.Ts+dSST (4)'!$A$3:$A$149,0),VALUE(LEFT(A1635,FIND("/",A1635)-1)))</f>
        <v>1.37</v>
      </c>
      <c r="C1635" s="15">
        <f t="shared" si="50"/>
        <v>15.370000000000001</v>
      </c>
      <c r="D1635" s="15">
        <f t="shared" si="51"/>
        <v>59.666000000000004</v>
      </c>
    </row>
    <row r="1636" spans="1:4" ht="15" customHeight="1">
      <c r="A1636" t="s">
        <v>1699</v>
      </c>
      <c r="B1636" s="15">
        <f>INDEX('GLB.Ts+dSST (4)'!$B$3:$M$149,MATCH(VALUE(RIGHT(A1636,4)),'GLB.Ts+dSST (4)'!$A$3:$A$149,0),VALUE(LEFT(A1636,FIND("/",A1636)-1)))</f>
        <v>1.35</v>
      </c>
      <c r="C1636" s="15">
        <f t="shared" si="50"/>
        <v>15.35</v>
      </c>
      <c r="D1636" s="15">
        <f t="shared" si="51"/>
        <v>59.629999999999995</v>
      </c>
    </row>
    <row r="1637" spans="1:4" ht="15" customHeight="1">
      <c r="A1637" t="s">
        <v>1700</v>
      </c>
      <c r="B1637" s="15">
        <f>INDEX('GLB.Ts+dSST (4)'!$B$3:$M$149,MATCH(VALUE(RIGHT(A1637,4)),'GLB.Ts+dSST (4)'!$A$3:$A$149,0),VALUE(LEFT(A1637,FIND("/",A1637)-1)))</f>
        <v>1.0900000000000001</v>
      </c>
      <c r="C1637" s="15">
        <f t="shared" si="50"/>
        <v>15.09</v>
      </c>
      <c r="D1637" s="15">
        <f t="shared" si="51"/>
        <v>59.161999999999999</v>
      </c>
    </row>
    <row r="1638" spans="1:4" ht="15" customHeight="1">
      <c r="A1638" t="s">
        <v>1701</v>
      </c>
      <c r="B1638" s="15">
        <f>INDEX('GLB.Ts+dSST (4)'!$B$3:$M$149,MATCH(VALUE(RIGHT(A1638,4)),'GLB.Ts+dSST (4)'!$A$3:$A$149,0),VALUE(LEFT(A1638,FIND("/",A1638)-1)))</f>
        <v>0.96</v>
      </c>
      <c r="C1638" s="15">
        <f t="shared" si="50"/>
        <v>14.96</v>
      </c>
      <c r="D1638" s="15">
        <f t="shared" si="51"/>
        <v>58.927999999999997</v>
      </c>
    </row>
    <row r="1639" spans="1:4" ht="15" customHeight="1">
      <c r="A1639" t="s">
        <v>1702</v>
      </c>
      <c r="B1639" s="15">
        <f>INDEX('GLB.Ts+dSST (4)'!$B$3:$M$149,MATCH(VALUE(RIGHT(A1639,4)),'GLB.Ts+dSST (4)'!$A$3:$A$149,0),VALUE(LEFT(A1639,FIND("/",A1639)-1)))</f>
        <v>0.81</v>
      </c>
      <c r="C1639" s="15">
        <f t="shared" si="50"/>
        <v>14.81</v>
      </c>
      <c r="D1639" s="15">
        <f t="shared" si="51"/>
        <v>58.658000000000001</v>
      </c>
    </row>
    <row r="1640" spans="1:4" ht="15" customHeight="1">
      <c r="A1640" t="s">
        <v>1703</v>
      </c>
      <c r="B1640" s="15">
        <f>INDEX('GLB.Ts+dSST (4)'!$B$3:$M$149,MATCH(VALUE(RIGHT(A1640,4)),'GLB.Ts+dSST (4)'!$A$3:$A$149,0),VALUE(LEFT(A1640,FIND("/",A1640)-1)))</f>
        <v>0.84</v>
      </c>
      <c r="C1640" s="15">
        <f t="shared" si="50"/>
        <v>14.84</v>
      </c>
      <c r="D1640" s="15">
        <f t="shared" si="51"/>
        <v>58.712000000000003</v>
      </c>
    </row>
    <row r="1641" spans="1:4" ht="15" customHeight="1">
      <c r="A1641" t="s">
        <v>1704</v>
      </c>
      <c r="B1641" s="15">
        <f>INDEX('GLB.Ts+dSST (4)'!$B$3:$M$149,MATCH(VALUE(RIGHT(A1641,4)),'GLB.Ts+dSST (4)'!$A$3:$A$149,0),VALUE(LEFT(A1641,FIND("/",A1641)-1)))</f>
        <v>1.01</v>
      </c>
      <c r="C1641" s="15">
        <f t="shared" si="50"/>
        <v>15.01</v>
      </c>
      <c r="D1641" s="15">
        <f t="shared" si="51"/>
        <v>59.018000000000001</v>
      </c>
    </row>
    <row r="1642" spans="1:4" ht="15" customHeight="1">
      <c r="A1642" t="s">
        <v>1705</v>
      </c>
      <c r="B1642" s="15">
        <f>INDEX('GLB.Ts+dSST (4)'!$B$3:$M$149,MATCH(VALUE(RIGHT(A1642,4)),'GLB.Ts+dSST (4)'!$A$3:$A$149,0),VALUE(LEFT(A1642,FIND("/",A1642)-1)))</f>
        <v>0.9</v>
      </c>
      <c r="C1642" s="15">
        <f t="shared" si="50"/>
        <v>14.9</v>
      </c>
      <c r="D1642" s="15">
        <f t="shared" si="51"/>
        <v>58.82</v>
      </c>
    </row>
    <row r="1643" spans="1:4" ht="15" customHeight="1">
      <c r="A1643" t="s">
        <v>1706</v>
      </c>
      <c r="B1643" s="15">
        <f>INDEX('GLB.Ts+dSST (4)'!$B$3:$M$149,MATCH(VALUE(RIGHT(A1643,4)),'GLB.Ts+dSST (4)'!$A$3:$A$149,0),VALUE(LEFT(A1643,FIND("/",A1643)-1)))</f>
        <v>0.87</v>
      </c>
      <c r="C1643" s="15">
        <f t="shared" si="50"/>
        <v>14.87</v>
      </c>
      <c r="D1643" s="15">
        <f t="shared" si="51"/>
        <v>58.765999999999998</v>
      </c>
    </row>
    <row r="1644" spans="1:4" ht="15" customHeight="1">
      <c r="A1644" t="s">
        <v>1707</v>
      </c>
      <c r="B1644" s="15">
        <f>INDEX('GLB.Ts+dSST (4)'!$B$3:$M$149,MATCH(VALUE(RIGHT(A1644,4)),'GLB.Ts+dSST (4)'!$A$3:$A$149,0),VALUE(LEFT(A1644,FIND("/",A1644)-1)))</f>
        <v>0.91</v>
      </c>
      <c r="C1644" s="15">
        <f t="shared" si="50"/>
        <v>14.91</v>
      </c>
      <c r="D1644" s="15">
        <f t="shared" si="51"/>
        <v>58.838000000000001</v>
      </c>
    </row>
    <row r="1645" spans="1:4" ht="15" customHeight="1">
      <c r="A1645" t="s">
        <v>1708</v>
      </c>
      <c r="B1645" s="15">
        <f>INDEX('GLB.Ts+dSST (4)'!$B$3:$M$149,MATCH(VALUE(RIGHT(A1645,4)),'GLB.Ts+dSST (4)'!$A$3:$A$149,0),VALUE(LEFT(A1645,FIND("/",A1645)-1)))</f>
        <v>0.86</v>
      </c>
      <c r="C1645" s="15">
        <f t="shared" si="50"/>
        <v>14.86</v>
      </c>
      <c r="D1645" s="15">
        <f t="shared" si="51"/>
        <v>58.748000000000005</v>
      </c>
    </row>
    <row r="1646" spans="1:4" ht="15" customHeight="1">
      <c r="A1646" t="s">
        <v>1709</v>
      </c>
      <c r="B1646" s="15">
        <f>INDEX('GLB.Ts+dSST (4)'!$B$3:$M$149,MATCH(VALUE(RIGHT(A1646,4)),'GLB.Ts+dSST (4)'!$A$3:$A$149,0),VALUE(LEFT(A1646,FIND("/",A1646)-1)))</f>
        <v>1.02</v>
      </c>
      <c r="C1646" s="15">
        <f t="shared" si="50"/>
        <v>15.02</v>
      </c>
      <c r="D1646" s="15">
        <f t="shared" si="51"/>
        <v>59.036000000000001</v>
      </c>
    </row>
    <row r="1647" spans="1:4" ht="15" customHeight="1">
      <c r="A1647" t="s">
        <v>1710</v>
      </c>
      <c r="B1647" s="15">
        <f>INDEX('GLB.Ts+dSST (4)'!$B$3:$M$149,MATCH(VALUE(RIGHT(A1647,4)),'GLB.Ts+dSST (4)'!$A$3:$A$149,0),VALUE(LEFT(A1647,FIND("/",A1647)-1)))</f>
        <v>1.1299999999999999</v>
      </c>
      <c r="C1647" s="15">
        <f t="shared" si="50"/>
        <v>15.129999999999999</v>
      </c>
      <c r="D1647" s="15">
        <f t="shared" si="51"/>
        <v>59.233999999999995</v>
      </c>
    </row>
    <row r="1648" spans="1:4" ht="15" customHeight="1">
      <c r="A1648" t="s">
        <v>1711</v>
      </c>
      <c r="B1648" s="15">
        <f>INDEX('GLB.Ts+dSST (4)'!$B$3:$M$149,MATCH(VALUE(RIGHT(A1648,4)),'GLB.Ts+dSST (4)'!$A$3:$A$149,0),VALUE(LEFT(A1648,FIND("/",A1648)-1)))</f>
        <v>1.1599999999999999</v>
      </c>
      <c r="C1648" s="15">
        <f t="shared" si="50"/>
        <v>15.16</v>
      </c>
      <c r="D1648" s="15">
        <f t="shared" si="51"/>
        <v>59.287999999999997</v>
      </c>
    </row>
    <row r="1649" spans="1:4" ht="15" customHeight="1">
      <c r="A1649" t="s">
        <v>1712</v>
      </c>
      <c r="B1649" s="15">
        <f>INDEX('GLB.Ts+dSST (4)'!$B$3:$M$149,MATCH(VALUE(RIGHT(A1649,4)),'GLB.Ts+dSST (4)'!$A$3:$A$149,0),VALUE(LEFT(A1649,FIND("/",A1649)-1)))</f>
        <v>0.94</v>
      </c>
      <c r="C1649" s="15">
        <f t="shared" si="50"/>
        <v>14.94</v>
      </c>
      <c r="D1649" s="15">
        <f t="shared" si="51"/>
        <v>58.891999999999996</v>
      </c>
    </row>
    <row r="1650" spans="1:4" ht="15" customHeight="1">
      <c r="A1650" t="s">
        <v>1713</v>
      </c>
      <c r="B1650" s="15">
        <f>INDEX('GLB.Ts+dSST (4)'!$B$3:$M$149,MATCH(VALUE(RIGHT(A1650,4)),'GLB.Ts+dSST (4)'!$A$3:$A$149,0),VALUE(LEFT(A1650,FIND("/",A1650)-1)))</f>
        <v>0.91</v>
      </c>
      <c r="C1650" s="15">
        <f t="shared" si="50"/>
        <v>14.91</v>
      </c>
      <c r="D1650" s="15">
        <f t="shared" si="51"/>
        <v>58.838000000000001</v>
      </c>
    </row>
    <row r="1651" spans="1:4" ht="15" customHeight="1">
      <c r="A1651" t="s">
        <v>1714</v>
      </c>
      <c r="B1651" s="15">
        <f>INDEX('GLB.Ts+dSST (4)'!$B$3:$M$149,MATCH(VALUE(RIGHT(A1651,4)),'GLB.Ts+dSST (4)'!$A$3:$A$149,0),VALUE(LEFT(A1651,FIND("/",A1651)-1)))</f>
        <v>0.71</v>
      </c>
      <c r="C1651" s="15">
        <f t="shared" si="50"/>
        <v>14.71</v>
      </c>
      <c r="D1651" s="15">
        <f t="shared" si="51"/>
        <v>58.478000000000002</v>
      </c>
    </row>
    <row r="1652" spans="1:4" ht="15" customHeight="1">
      <c r="A1652" t="s">
        <v>1715</v>
      </c>
      <c r="B1652" s="15">
        <f>INDEX('GLB.Ts+dSST (4)'!$B$3:$M$149,MATCH(VALUE(RIGHT(A1652,4)),'GLB.Ts+dSST (4)'!$A$3:$A$149,0),VALUE(LEFT(A1652,FIND("/",A1652)-1)))</f>
        <v>0.82</v>
      </c>
      <c r="C1652" s="15">
        <f t="shared" si="50"/>
        <v>14.82</v>
      </c>
      <c r="D1652" s="15">
        <f t="shared" si="51"/>
        <v>58.676000000000002</v>
      </c>
    </row>
    <row r="1653" spans="1:4" ht="15" customHeight="1">
      <c r="A1653" t="s">
        <v>1716</v>
      </c>
      <c r="B1653" s="15">
        <f>INDEX('GLB.Ts+dSST (4)'!$B$3:$M$149,MATCH(VALUE(RIGHT(A1653,4)),'GLB.Ts+dSST (4)'!$A$3:$A$149,0),VALUE(LEFT(A1653,FIND("/",A1653)-1)))</f>
        <v>0.87</v>
      </c>
      <c r="C1653" s="15">
        <f t="shared" si="50"/>
        <v>14.87</v>
      </c>
      <c r="D1653" s="15">
        <f t="shared" si="51"/>
        <v>58.765999999999998</v>
      </c>
    </row>
    <row r="1654" spans="1:4" ht="15" customHeight="1">
      <c r="A1654" t="s">
        <v>1717</v>
      </c>
      <c r="B1654" s="15">
        <f>INDEX('GLB.Ts+dSST (4)'!$B$3:$M$149,MATCH(VALUE(RIGHT(A1654,4)),'GLB.Ts+dSST (4)'!$A$3:$A$149,0),VALUE(LEFT(A1654,FIND("/",A1654)-1)))</f>
        <v>0.74</v>
      </c>
      <c r="C1654" s="15">
        <f t="shared" si="50"/>
        <v>14.74</v>
      </c>
      <c r="D1654" s="15">
        <f t="shared" si="51"/>
        <v>58.531999999999996</v>
      </c>
    </row>
    <row r="1655" spans="1:4" ht="15" customHeight="1">
      <c r="A1655" t="s">
        <v>1718</v>
      </c>
      <c r="B1655" s="15">
        <f>INDEX('GLB.Ts+dSST (4)'!$B$3:$M$149,MATCH(VALUE(RIGHT(A1655,4)),'GLB.Ts+dSST (4)'!$A$3:$A$149,0),VALUE(LEFT(A1655,FIND("/",A1655)-1)))</f>
        <v>0.88</v>
      </c>
      <c r="C1655" s="15">
        <f t="shared" si="50"/>
        <v>14.88</v>
      </c>
      <c r="D1655" s="15">
        <f t="shared" si="51"/>
        <v>58.784000000000006</v>
      </c>
    </row>
    <row r="1656" spans="1:4" ht="15" customHeight="1">
      <c r="A1656" t="s">
        <v>1719</v>
      </c>
      <c r="B1656" s="15">
        <f>INDEX('GLB.Ts+dSST (4)'!$B$3:$M$149,MATCH(VALUE(RIGHT(A1656,4)),'GLB.Ts+dSST (4)'!$A$3:$A$149,0),VALUE(LEFT(A1656,FIND("/",A1656)-1)))</f>
        <v>0.87</v>
      </c>
      <c r="C1656" s="15">
        <f t="shared" si="50"/>
        <v>14.87</v>
      </c>
      <c r="D1656" s="15">
        <f t="shared" si="51"/>
        <v>58.765999999999998</v>
      </c>
    </row>
    <row r="1657" spans="1:4" ht="15" customHeight="1">
      <c r="A1657" t="s">
        <v>1720</v>
      </c>
      <c r="B1657" s="15">
        <f>INDEX('GLB.Ts+dSST (4)'!$B$3:$M$149,MATCH(VALUE(RIGHT(A1657,4)),'GLB.Ts+dSST (4)'!$A$3:$A$149,0),VALUE(LEFT(A1657,FIND("/",A1657)-1)))</f>
        <v>0.93</v>
      </c>
      <c r="C1657" s="15">
        <f t="shared" si="50"/>
        <v>14.93</v>
      </c>
      <c r="D1657" s="15">
        <f t="shared" si="51"/>
        <v>58.873999999999995</v>
      </c>
    </row>
    <row r="1658" spans="1:4" ht="15" customHeight="1">
      <c r="A1658" t="s">
        <v>1721</v>
      </c>
      <c r="B1658" s="15">
        <f>INDEX('GLB.Ts+dSST (4)'!$B$3:$M$149,MATCH(VALUE(RIGHT(A1658,4)),'GLB.Ts+dSST (4)'!$A$3:$A$149,0),VALUE(LEFT(A1658,FIND("/",A1658)-1)))</f>
        <v>0.82</v>
      </c>
      <c r="C1658" s="15">
        <f t="shared" si="50"/>
        <v>14.82</v>
      </c>
      <c r="D1658" s="15">
        <f t="shared" si="51"/>
        <v>58.676000000000002</v>
      </c>
    </row>
    <row r="1659" spans="1:4" ht="15" customHeight="1">
      <c r="A1659" t="s">
        <v>1722</v>
      </c>
      <c r="B1659" s="15">
        <f>INDEX('GLB.Ts+dSST (4)'!$B$3:$M$149,MATCH(VALUE(RIGHT(A1659,4)),'GLB.Ts+dSST (4)'!$A$3:$A$149,0),VALUE(LEFT(A1659,FIND("/",A1659)-1)))</f>
        <v>0.85</v>
      </c>
      <c r="C1659" s="15">
        <f t="shared" si="50"/>
        <v>14.85</v>
      </c>
      <c r="D1659" s="15">
        <f t="shared" si="51"/>
        <v>58.730000000000004</v>
      </c>
    </row>
    <row r="1660" spans="1:4" ht="15" customHeight="1">
      <c r="A1660" t="s">
        <v>1723</v>
      </c>
      <c r="B1660" s="15">
        <f>INDEX('GLB.Ts+dSST (4)'!$B$3:$M$149,MATCH(VALUE(RIGHT(A1660,4)),'GLB.Ts+dSST (4)'!$A$3:$A$149,0),VALUE(LEFT(A1660,FIND("/",A1660)-1)))</f>
        <v>0.88</v>
      </c>
      <c r="C1660" s="15">
        <f t="shared" si="50"/>
        <v>14.88</v>
      </c>
      <c r="D1660" s="15">
        <f t="shared" si="51"/>
        <v>58.784000000000006</v>
      </c>
    </row>
    <row r="1661" spans="1:4" ht="15" customHeight="1">
      <c r="A1661" t="s">
        <v>1724</v>
      </c>
      <c r="B1661" s="15">
        <f>INDEX('GLB.Ts+dSST (4)'!$B$3:$M$149,MATCH(VALUE(RIGHT(A1661,4)),'GLB.Ts+dSST (4)'!$A$3:$A$149,0),VALUE(LEFT(A1661,FIND("/",A1661)-1)))</f>
        <v>0.88</v>
      </c>
      <c r="C1661" s="15">
        <f t="shared" si="50"/>
        <v>14.88</v>
      </c>
      <c r="D1661" s="15">
        <f t="shared" si="51"/>
        <v>58.784000000000006</v>
      </c>
    </row>
    <row r="1662" spans="1:4" ht="15" customHeight="1">
      <c r="A1662" t="s">
        <v>1725</v>
      </c>
      <c r="B1662" s="15">
        <f>INDEX('GLB.Ts+dSST (4)'!$B$3:$M$149,MATCH(VALUE(RIGHT(A1662,4)),'GLB.Ts+dSST (4)'!$A$3:$A$149,0),VALUE(LEFT(A1662,FIND("/",A1662)-1)))</f>
        <v>0.81</v>
      </c>
      <c r="C1662" s="15">
        <f t="shared" si="50"/>
        <v>14.81</v>
      </c>
      <c r="D1662" s="15">
        <f t="shared" si="51"/>
        <v>58.658000000000001</v>
      </c>
    </row>
    <row r="1663" spans="1:4" ht="15" customHeight="1">
      <c r="A1663" t="s">
        <v>1726</v>
      </c>
      <c r="B1663" s="15">
        <f>INDEX('GLB.Ts+dSST (4)'!$B$3:$M$149,MATCH(VALUE(RIGHT(A1663,4)),'GLB.Ts+dSST (4)'!$A$3:$A$149,0),VALUE(LEFT(A1663,FIND("/",A1663)-1)))</f>
        <v>0.77</v>
      </c>
      <c r="C1663" s="15">
        <f t="shared" si="50"/>
        <v>14.77</v>
      </c>
      <c r="D1663" s="15">
        <f t="shared" si="51"/>
        <v>58.585999999999999</v>
      </c>
    </row>
    <row r="1664" spans="1:4" ht="15" customHeight="1">
      <c r="A1664" t="s">
        <v>1727</v>
      </c>
      <c r="B1664" s="15">
        <f>INDEX('GLB.Ts+dSST (4)'!$B$3:$M$149,MATCH(VALUE(RIGHT(A1664,4)),'GLB.Ts+dSST (4)'!$A$3:$A$149,0),VALUE(LEFT(A1664,FIND("/",A1664)-1)))</f>
        <v>0.84</v>
      </c>
      <c r="C1664" s="15">
        <f t="shared" si="50"/>
        <v>14.84</v>
      </c>
      <c r="D1664" s="15">
        <f t="shared" si="51"/>
        <v>58.712000000000003</v>
      </c>
    </row>
    <row r="1665" spans="1:4" ht="15" customHeight="1">
      <c r="A1665" t="s">
        <v>1728</v>
      </c>
      <c r="B1665" s="15">
        <f>INDEX('GLB.Ts+dSST (4)'!$B$3:$M$149,MATCH(VALUE(RIGHT(A1665,4)),'GLB.Ts+dSST (4)'!$A$3:$A$149,0),VALUE(LEFT(A1665,FIND("/",A1665)-1)))</f>
        <v>0.78</v>
      </c>
      <c r="C1665" s="15">
        <f t="shared" si="50"/>
        <v>14.78</v>
      </c>
      <c r="D1665" s="15">
        <f t="shared" si="51"/>
        <v>58.603999999999999</v>
      </c>
    </row>
    <row r="1666" spans="1:4" ht="15" customHeight="1">
      <c r="A1666" t="s">
        <v>1729</v>
      </c>
      <c r="B1666" s="15">
        <f>INDEX('GLB.Ts+dSST (4)'!$B$3:$M$149,MATCH(VALUE(RIGHT(A1666,4)),'GLB.Ts+dSST (4)'!$A$3:$A$149,0),VALUE(LEFT(A1666,FIND("/",A1666)-1)))</f>
        <v>0.8</v>
      </c>
      <c r="C1666" s="15">
        <f t="shared" ref="C1666:C1729" si="52">B1666+14</f>
        <v>14.8</v>
      </c>
      <c r="D1666" s="15">
        <f t="shared" ref="D1666:D1729" si="53">C1666*(9/5)+32</f>
        <v>58.64</v>
      </c>
    </row>
    <row r="1667" spans="1:4" ht="15" customHeight="1">
      <c r="A1667" t="s">
        <v>1730</v>
      </c>
      <c r="B1667" s="15">
        <f>INDEX('GLB.Ts+dSST (4)'!$B$3:$M$149,MATCH(VALUE(RIGHT(A1667,4)),'GLB.Ts+dSST (4)'!$A$3:$A$149,0),VALUE(LEFT(A1667,FIND("/",A1667)-1)))</f>
        <v>1.02</v>
      </c>
      <c r="C1667" s="15">
        <f t="shared" si="52"/>
        <v>15.02</v>
      </c>
      <c r="D1667" s="15">
        <f t="shared" si="53"/>
        <v>59.036000000000001</v>
      </c>
    </row>
    <row r="1668" spans="1:4" ht="15" customHeight="1">
      <c r="A1668" t="s">
        <v>1731</v>
      </c>
      <c r="B1668" s="15">
        <f>INDEX('GLB.Ts+dSST (4)'!$B$3:$M$149,MATCH(VALUE(RIGHT(A1668,4)),'GLB.Ts+dSST (4)'!$A$3:$A$149,0),VALUE(LEFT(A1668,FIND("/",A1668)-1)))</f>
        <v>0.83</v>
      </c>
      <c r="C1668" s="15">
        <f t="shared" si="52"/>
        <v>14.83</v>
      </c>
      <c r="D1668" s="15">
        <f t="shared" si="53"/>
        <v>58.694000000000003</v>
      </c>
    </row>
    <row r="1669" spans="1:4" ht="15" customHeight="1">
      <c r="A1669" t="s">
        <v>1732</v>
      </c>
      <c r="B1669" s="15">
        <f>INDEX('GLB.Ts+dSST (4)'!$B$3:$M$149,MATCH(VALUE(RIGHT(A1669,4)),'GLB.Ts+dSST (4)'!$A$3:$A$149,0),VALUE(LEFT(A1669,FIND("/",A1669)-1)))</f>
        <v>0.93</v>
      </c>
      <c r="C1669" s="15">
        <f t="shared" si="52"/>
        <v>14.93</v>
      </c>
      <c r="D1669" s="15">
        <f t="shared" si="53"/>
        <v>58.873999999999995</v>
      </c>
    </row>
    <row r="1670" spans="1:4" ht="15" customHeight="1">
      <c r="A1670" t="s">
        <v>1733</v>
      </c>
      <c r="B1670" s="15">
        <f>INDEX('GLB.Ts+dSST (4)'!$B$3:$M$149,MATCH(VALUE(RIGHT(A1670,4)),'GLB.Ts+dSST (4)'!$A$3:$A$149,0),VALUE(LEFT(A1670,FIND("/",A1670)-1)))</f>
        <v>0.93</v>
      </c>
      <c r="C1670" s="15">
        <f t="shared" si="52"/>
        <v>14.93</v>
      </c>
      <c r="D1670" s="15">
        <f t="shared" si="53"/>
        <v>58.873999999999995</v>
      </c>
    </row>
    <row r="1671" spans="1:4" ht="15" customHeight="1">
      <c r="A1671" t="s">
        <v>1734</v>
      </c>
      <c r="B1671" s="15">
        <f>INDEX('GLB.Ts+dSST (4)'!$B$3:$M$149,MATCH(VALUE(RIGHT(A1671,4)),'GLB.Ts+dSST (4)'!$A$3:$A$149,0),VALUE(LEFT(A1671,FIND("/",A1671)-1)))</f>
        <v>0.96</v>
      </c>
      <c r="C1671" s="15">
        <f t="shared" si="52"/>
        <v>14.96</v>
      </c>
      <c r="D1671" s="15">
        <f t="shared" si="53"/>
        <v>58.927999999999997</v>
      </c>
    </row>
    <row r="1672" spans="1:4" ht="15" customHeight="1">
      <c r="A1672" t="s">
        <v>1735</v>
      </c>
      <c r="B1672" s="15">
        <f>INDEX('GLB.Ts+dSST (4)'!$B$3:$M$149,MATCH(VALUE(RIGHT(A1672,4)),'GLB.Ts+dSST (4)'!$A$3:$A$149,0),VALUE(LEFT(A1672,FIND("/",A1672)-1)))</f>
        <v>1.17</v>
      </c>
      <c r="C1672" s="15">
        <f t="shared" si="52"/>
        <v>15.17</v>
      </c>
      <c r="D1672" s="15">
        <f t="shared" si="53"/>
        <v>59.305999999999997</v>
      </c>
    </row>
    <row r="1673" spans="1:4" ht="15" customHeight="1">
      <c r="A1673" t="s">
        <v>1736</v>
      </c>
      <c r="B1673" s="15">
        <f>INDEX('GLB.Ts+dSST (4)'!$B$3:$M$149,MATCH(VALUE(RIGHT(A1673,4)),'GLB.Ts+dSST (4)'!$A$3:$A$149,0),VALUE(LEFT(A1673,FIND("/",A1673)-1)))</f>
        <v>1.01</v>
      </c>
      <c r="C1673" s="15">
        <f t="shared" si="52"/>
        <v>15.01</v>
      </c>
      <c r="D1673" s="15">
        <f t="shared" si="53"/>
        <v>59.018000000000001</v>
      </c>
    </row>
    <row r="1674" spans="1:4" ht="15" customHeight="1">
      <c r="A1674" t="s">
        <v>1737</v>
      </c>
      <c r="B1674" s="15">
        <f>INDEX('GLB.Ts+dSST (4)'!$B$3:$M$149,MATCH(VALUE(RIGHT(A1674,4)),'GLB.Ts+dSST (4)'!$A$3:$A$149,0),VALUE(LEFT(A1674,FIND("/",A1674)-1)))</f>
        <v>0.86</v>
      </c>
      <c r="C1674" s="15">
        <f t="shared" si="52"/>
        <v>14.86</v>
      </c>
      <c r="D1674" s="15">
        <f t="shared" si="53"/>
        <v>58.748000000000005</v>
      </c>
    </row>
    <row r="1675" spans="1:4" ht="15" customHeight="1">
      <c r="A1675" t="s">
        <v>1738</v>
      </c>
      <c r="B1675" s="15">
        <f>INDEX('GLB.Ts+dSST (4)'!$B$3:$M$149,MATCH(VALUE(RIGHT(A1675,4)),'GLB.Ts+dSST (4)'!$A$3:$A$149,0),VALUE(LEFT(A1675,FIND("/",A1675)-1)))</f>
        <v>0.9</v>
      </c>
      <c r="C1675" s="15">
        <f t="shared" si="52"/>
        <v>14.9</v>
      </c>
      <c r="D1675" s="15">
        <f t="shared" si="53"/>
        <v>58.82</v>
      </c>
    </row>
    <row r="1676" spans="1:4" ht="15" customHeight="1">
      <c r="A1676" t="s">
        <v>1739</v>
      </c>
      <c r="B1676" s="15">
        <f>INDEX('GLB.Ts+dSST (4)'!$B$3:$M$149,MATCH(VALUE(RIGHT(A1676,4)),'GLB.Ts+dSST (4)'!$A$3:$A$149,0),VALUE(LEFT(A1676,FIND("/",A1676)-1)))</f>
        <v>0.94</v>
      </c>
      <c r="C1676" s="15">
        <f t="shared" si="52"/>
        <v>14.94</v>
      </c>
      <c r="D1676" s="15">
        <f t="shared" si="53"/>
        <v>58.891999999999996</v>
      </c>
    </row>
    <row r="1677" spans="1:4" ht="15" customHeight="1">
      <c r="A1677" t="s">
        <v>1740</v>
      </c>
      <c r="B1677" s="15">
        <f>INDEX('GLB.Ts+dSST (4)'!$B$3:$M$149,MATCH(VALUE(RIGHT(A1677,4)),'GLB.Ts+dSST (4)'!$A$3:$A$149,0),VALUE(LEFT(A1677,FIND("/",A1677)-1)))</f>
        <v>0.95</v>
      </c>
      <c r="C1677" s="15">
        <f t="shared" si="52"/>
        <v>14.95</v>
      </c>
      <c r="D1677" s="15">
        <f t="shared" si="53"/>
        <v>58.91</v>
      </c>
    </row>
    <row r="1678" spans="1:4" ht="15" customHeight="1">
      <c r="A1678" t="s">
        <v>1741</v>
      </c>
      <c r="B1678" s="15">
        <f>INDEX('GLB.Ts+dSST (4)'!$B$3:$M$149,MATCH(VALUE(RIGHT(A1678,4)),'GLB.Ts+dSST (4)'!$A$3:$A$149,0),VALUE(LEFT(A1678,FIND("/",A1678)-1)))</f>
        <v>0.93</v>
      </c>
      <c r="C1678" s="15">
        <f t="shared" si="52"/>
        <v>14.93</v>
      </c>
      <c r="D1678" s="15">
        <f t="shared" si="53"/>
        <v>58.873999999999995</v>
      </c>
    </row>
    <row r="1679" spans="1:4" ht="15" customHeight="1">
      <c r="A1679" t="s">
        <v>1742</v>
      </c>
      <c r="B1679" s="15">
        <f>INDEX('GLB.Ts+dSST (4)'!$B$3:$M$149,MATCH(VALUE(RIGHT(A1679,4)),'GLB.Ts+dSST (4)'!$A$3:$A$149,0),VALUE(LEFT(A1679,FIND("/",A1679)-1)))</f>
        <v>1</v>
      </c>
      <c r="C1679" s="15">
        <f t="shared" si="52"/>
        <v>15</v>
      </c>
      <c r="D1679" s="15">
        <f t="shared" si="53"/>
        <v>59</v>
      </c>
    </row>
    <row r="1680" spans="1:4" ht="15" customHeight="1">
      <c r="A1680" t="s">
        <v>1743</v>
      </c>
      <c r="B1680" s="15">
        <f>INDEX('GLB.Ts+dSST (4)'!$B$3:$M$149,MATCH(VALUE(RIGHT(A1680,4)),'GLB.Ts+dSST (4)'!$A$3:$A$149,0),VALUE(LEFT(A1680,FIND("/",A1680)-1)))</f>
        <v>0.99</v>
      </c>
      <c r="C1680" s="15">
        <f t="shared" si="52"/>
        <v>14.99</v>
      </c>
      <c r="D1680" s="15">
        <f t="shared" si="53"/>
        <v>58.981999999999999</v>
      </c>
    </row>
    <row r="1681" spans="1:4" ht="15" customHeight="1">
      <c r="A1681" t="s">
        <v>1744</v>
      </c>
      <c r="B1681" s="15">
        <f>INDEX('GLB.Ts+dSST (4)'!$B$3:$M$149,MATCH(VALUE(RIGHT(A1681,4)),'GLB.Ts+dSST (4)'!$A$3:$A$149,0),VALUE(LEFT(A1681,FIND("/",A1681)-1)))</f>
        <v>1.1200000000000001</v>
      </c>
      <c r="C1681" s="15">
        <f t="shared" si="52"/>
        <v>15.120000000000001</v>
      </c>
      <c r="D1681" s="15">
        <f t="shared" si="53"/>
        <v>59.216000000000001</v>
      </c>
    </row>
    <row r="1682" spans="1:4" ht="15" customHeight="1">
      <c r="A1682" t="s">
        <v>1745</v>
      </c>
      <c r="B1682" s="15">
        <f>INDEX('GLB.Ts+dSST (4)'!$B$3:$M$149,MATCH(VALUE(RIGHT(A1682,4)),'GLB.Ts+dSST (4)'!$A$3:$A$149,0),VALUE(LEFT(A1682,FIND("/",A1682)-1)))</f>
        <v>1.18</v>
      </c>
      <c r="C1682" s="15">
        <f t="shared" si="52"/>
        <v>15.18</v>
      </c>
      <c r="D1682" s="15">
        <f t="shared" si="53"/>
        <v>59.323999999999998</v>
      </c>
    </row>
    <row r="1683" spans="1:4" ht="15" customHeight="1">
      <c r="A1683" t="s">
        <v>1746</v>
      </c>
      <c r="B1683" s="15">
        <f>INDEX('GLB.Ts+dSST (4)'!$B$3:$M$149,MATCH(VALUE(RIGHT(A1683,4)),'GLB.Ts+dSST (4)'!$A$3:$A$149,0),VALUE(LEFT(A1683,FIND("/",A1683)-1)))</f>
        <v>1.24</v>
      </c>
      <c r="C1683" s="15">
        <f t="shared" si="52"/>
        <v>15.24</v>
      </c>
      <c r="D1683" s="15">
        <f t="shared" si="53"/>
        <v>59.432000000000002</v>
      </c>
    </row>
    <row r="1684" spans="1:4" ht="15" customHeight="1">
      <c r="A1684" t="s">
        <v>1747</v>
      </c>
      <c r="B1684" s="15">
        <f>INDEX('GLB.Ts+dSST (4)'!$B$3:$M$149,MATCH(VALUE(RIGHT(A1684,4)),'GLB.Ts+dSST (4)'!$A$3:$A$149,0),VALUE(LEFT(A1684,FIND("/",A1684)-1)))</f>
        <v>1.18</v>
      </c>
      <c r="C1684" s="15">
        <f t="shared" si="52"/>
        <v>15.18</v>
      </c>
      <c r="D1684" s="15">
        <f t="shared" si="53"/>
        <v>59.323999999999998</v>
      </c>
    </row>
    <row r="1685" spans="1:4" ht="15" customHeight="1">
      <c r="A1685" t="s">
        <v>1748</v>
      </c>
      <c r="B1685" s="15">
        <f>INDEX('GLB.Ts+dSST (4)'!$B$3:$M$149,MATCH(VALUE(RIGHT(A1685,4)),'GLB.Ts+dSST (4)'!$A$3:$A$149,0),VALUE(LEFT(A1685,FIND("/",A1685)-1)))</f>
        <v>1.1200000000000001</v>
      </c>
      <c r="C1685" s="15">
        <f t="shared" si="52"/>
        <v>15.120000000000001</v>
      </c>
      <c r="D1685" s="15">
        <f t="shared" si="53"/>
        <v>59.216000000000001</v>
      </c>
    </row>
    <row r="1686" spans="1:4" ht="15" customHeight="1">
      <c r="A1686" t="s">
        <v>1749</v>
      </c>
      <c r="B1686" s="15">
        <f>INDEX('GLB.Ts+dSST (4)'!$B$3:$M$149,MATCH(VALUE(RIGHT(A1686,4)),'GLB.Ts+dSST (4)'!$A$3:$A$149,0),VALUE(LEFT(A1686,FIND("/",A1686)-1)))</f>
        <v>0.99</v>
      </c>
      <c r="C1686" s="15">
        <f t="shared" si="52"/>
        <v>14.99</v>
      </c>
      <c r="D1686" s="15">
        <f t="shared" si="53"/>
        <v>58.981999999999999</v>
      </c>
    </row>
    <row r="1687" spans="1:4" ht="15" customHeight="1">
      <c r="A1687" t="s">
        <v>1750</v>
      </c>
      <c r="B1687" s="15">
        <f>INDEX('GLB.Ts+dSST (4)'!$B$3:$M$149,MATCH(VALUE(RIGHT(A1687,4)),'GLB.Ts+dSST (4)'!$A$3:$A$149,0),VALUE(LEFT(A1687,FIND("/",A1687)-1)))</f>
        <v>0.91</v>
      </c>
      <c r="C1687" s="15">
        <f t="shared" si="52"/>
        <v>14.91</v>
      </c>
      <c r="D1687" s="15">
        <f t="shared" si="53"/>
        <v>58.838000000000001</v>
      </c>
    </row>
    <row r="1688" spans="1:4" ht="15" customHeight="1">
      <c r="A1688" t="s">
        <v>1751</v>
      </c>
      <c r="B1688" s="15">
        <f>INDEX('GLB.Ts+dSST (4)'!$B$3:$M$149,MATCH(VALUE(RIGHT(A1688,4)),'GLB.Ts+dSST (4)'!$A$3:$A$149,0),VALUE(LEFT(A1688,FIND("/",A1688)-1)))</f>
        <v>0.89</v>
      </c>
      <c r="C1688" s="15">
        <f t="shared" si="52"/>
        <v>14.89</v>
      </c>
      <c r="D1688" s="15">
        <f t="shared" si="53"/>
        <v>58.802000000000007</v>
      </c>
    </row>
    <row r="1689" spans="1:4" ht="15" customHeight="1">
      <c r="A1689" t="s">
        <v>1752</v>
      </c>
      <c r="B1689" s="15">
        <f>INDEX('GLB.Ts+dSST (4)'!$B$3:$M$149,MATCH(VALUE(RIGHT(A1689,4)),'GLB.Ts+dSST (4)'!$A$3:$A$149,0),VALUE(LEFT(A1689,FIND("/",A1689)-1)))</f>
        <v>0.86</v>
      </c>
      <c r="C1689" s="15">
        <f t="shared" si="52"/>
        <v>14.86</v>
      </c>
      <c r="D1689" s="15">
        <f t="shared" si="53"/>
        <v>58.748000000000005</v>
      </c>
    </row>
    <row r="1690" spans="1:4" ht="15" customHeight="1">
      <c r="A1690" t="s">
        <v>1753</v>
      </c>
      <c r="B1690" s="15">
        <f>INDEX('GLB.Ts+dSST (4)'!$B$3:$M$149,MATCH(VALUE(RIGHT(A1690,4)),'GLB.Ts+dSST (4)'!$A$3:$A$149,0),VALUE(LEFT(A1690,FIND("/",A1690)-1)))</f>
        <v>0.96</v>
      </c>
      <c r="C1690" s="15">
        <f t="shared" si="52"/>
        <v>14.96</v>
      </c>
      <c r="D1690" s="15">
        <f t="shared" si="53"/>
        <v>58.927999999999997</v>
      </c>
    </row>
    <row r="1691" spans="1:4" ht="15" customHeight="1">
      <c r="A1691" t="s">
        <v>1754</v>
      </c>
      <c r="B1691" s="15">
        <f>INDEX('GLB.Ts+dSST (4)'!$B$3:$M$149,MATCH(VALUE(RIGHT(A1691,4)),'GLB.Ts+dSST (4)'!$A$3:$A$149,0),VALUE(LEFT(A1691,FIND("/",A1691)-1)))</f>
        <v>0.87</v>
      </c>
      <c r="C1691" s="15">
        <f t="shared" si="52"/>
        <v>14.87</v>
      </c>
      <c r="D1691" s="15">
        <f t="shared" si="53"/>
        <v>58.765999999999998</v>
      </c>
    </row>
    <row r="1692" spans="1:4" ht="15" customHeight="1">
      <c r="A1692" t="s">
        <v>1755</v>
      </c>
      <c r="B1692" s="15">
        <f>INDEX('GLB.Ts+dSST (4)'!$B$3:$M$149,MATCH(VALUE(RIGHT(A1692,4)),'GLB.Ts+dSST (4)'!$A$3:$A$149,0),VALUE(LEFT(A1692,FIND("/",A1692)-1)))</f>
        <v>1.0900000000000001</v>
      </c>
      <c r="C1692" s="15">
        <f t="shared" si="52"/>
        <v>15.09</v>
      </c>
      <c r="D1692" s="15">
        <f t="shared" si="53"/>
        <v>59.161999999999999</v>
      </c>
    </row>
    <row r="1693" spans="1:4" ht="15" customHeight="1">
      <c r="A1693" t="s">
        <v>1756</v>
      </c>
      <c r="B1693" s="15">
        <f>INDEX('GLB.Ts+dSST (4)'!$B$3:$M$149,MATCH(VALUE(RIGHT(A1693,4)),'GLB.Ts+dSST (4)'!$A$3:$A$149,0),VALUE(LEFT(A1693,FIND("/",A1693)-1)))</f>
        <v>0.8</v>
      </c>
      <c r="C1693" s="15">
        <f t="shared" si="52"/>
        <v>14.8</v>
      </c>
      <c r="D1693" s="15">
        <f t="shared" si="53"/>
        <v>58.64</v>
      </c>
    </row>
    <row r="1694" spans="1:4" ht="15" customHeight="1">
      <c r="A1694" t="s">
        <v>1757</v>
      </c>
      <c r="B1694" s="15">
        <f>INDEX('GLB.Ts+dSST (4)'!$B$3:$M$149,MATCH(VALUE(RIGHT(A1694,4)),'GLB.Ts+dSST (4)'!$A$3:$A$149,0),VALUE(LEFT(A1694,FIND("/",A1694)-1)))</f>
        <v>0.82</v>
      </c>
      <c r="C1694" s="15">
        <f t="shared" si="52"/>
        <v>14.82</v>
      </c>
      <c r="D1694" s="15">
        <f t="shared" si="53"/>
        <v>58.676000000000002</v>
      </c>
    </row>
    <row r="1695" spans="1:4" ht="15" customHeight="1">
      <c r="A1695" t="s">
        <v>1758</v>
      </c>
      <c r="B1695" s="15">
        <f>INDEX('GLB.Ts+dSST (4)'!$B$3:$M$149,MATCH(VALUE(RIGHT(A1695,4)),'GLB.Ts+dSST (4)'!$A$3:$A$149,0),VALUE(LEFT(A1695,FIND("/",A1695)-1)))</f>
        <v>0.64</v>
      </c>
      <c r="C1695" s="15">
        <f t="shared" si="52"/>
        <v>14.64</v>
      </c>
      <c r="D1695" s="15">
        <f t="shared" si="53"/>
        <v>58.352000000000004</v>
      </c>
    </row>
    <row r="1696" spans="1:4" ht="15" customHeight="1">
      <c r="A1696" t="s">
        <v>1759</v>
      </c>
      <c r="B1696" s="15">
        <f>INDEX('GLB.Ts+dSST (4)'!$B$3:$M$149,MATCH(VALUE(RIGHT(A1696,4)),'GLB.Ts+dSST (4)'!$A$3:$A$149,0),VALUE(LEFT(A1696,FIND("/",A1696)-1)))</f>
        <v>0.89</v>
      </c>
      <c r="C1696" s="15">
        <f t="shared" si="52"/>
        <v>14.89</v>
      </c>
      <c r="D1696" s="15">
        <f t="shared" si="53"/>
        <v>58.802000000000007</v>
      </c>
    </row>
    <row r="1697" spans="1:4" ht="15" customHeight="1">
      <c r="A1697" t="s">
        <v>1760</v>
      </c>
      <c r="B1697" s="15">
        <f>INDEX('GLB.Ts+dSST (4)'!$B$3:$M$149,MATCH(VALUE(RIGHT(A1697,4)),'GLB.Ts+dSST (4)'!$A$3:$A$149,0),VALUE(LEFT(A1697,FIND("/",A1697)-1)))</f>
        <v>0.76</v>
      </c>
      <c r="C1697" s="15">
        <f t="shared" si="52"/>
        <v>14.76</v>
      </c>
      <c r="D1697" s="15">
        <f t="shared" si="53"/>
        <v>58.567999999999998</v>
      </c>
    </row>
    <row r="1698" spans="1:4" ht="15" customHeight="1">
      <c r="A1698" t="s">
        <v>1761</v>
      </c>
      <c r="B1698" s="15">
        <f>INDEX('GLB.Ts+dSST (4)'!$B$3:$M$149,MATCH(VALUE(RIGHT(A1698,4)),'GLB.Ts+dSST (4)'!$A$3:$A$149,0),VALUE(LEFT(A1698,FIND("/",A1698)-1)))</f>
        <v>0.79</v>
      </c>
      <c r="C1698" s="15">
        <f t="shared" si="52"/>
        <v>14.79</v>
      </c>
      <c r="D1698" s="15">
        <f t="shared" si="53"/>
        <v>58.622</v>
      </c>
    </row>
    <row r="1699" spans="1:4" ht="15" customHeight="1">
      <c r="A1699" t="s">
        <v>1762</v>
      </c>
      <c r="B1699" s="15">
        <f>INDEX('GLB.Ts+dSST (4)'!$B$3:$M$149,MATCH(VALUE(RIGHT(A1699,4)),'GLB.Ts+dSST (4)'!$A$3:$A$149,0),VALUE(LEFT(A1699,FIND("/",A1699)-1)))</f>
        <v>0.85</v>
      </c>
      <c r="C1699" s="15">
        <f t="shared" si="52"/>
        <v>14.85</v>
      </c>
      <c r="D1699" s="15">
        <f t="shared" si="53"/>
        <v>58.730000000000004</v>
      </c>
    </row>
    <row r="1700" spans="1:4" ht="15" customHeight="1">
      <c r="A1700" t="s">
        <v>1763</v>
      </c>
      <c r="B1700" s="15">
        <f>INDEX('GLB.Ts+dSST (4)'!$B$3:$M$149,MATCH(VALUE(RIGHT(A1700,4)),'GLB.Ts+dSST (4)'!$A$3:$A$149,0),VALUE(LEFT(A1700,FIND("/",A1700)-1)))</f>
        <v>0.92</v>
      </c>
      <c r="C1700" s="15">
        <f t="shared" si="52"/>
        <v>14.92</v>
      </c>
      <c r="D1700" s="15">
        <f t="shared" si="53"/>
        <v>58.856000000000002</v>
      </c>
    </row>
    <row r="1701" spans="1:4" ht="15" customHeight="1">
      <c r="A1701" t="s">
        <v>1764</v>
      </c>
      <c r="B1701" s="15">
        <f>INDEX('GLB.Ts+dSST (4)'!$B$3:$M$149,MATCH(VALUE(RIGHT(A1701,4)),'GLB.Ts+dSST (4)'!$A$3:$A$149,0),VALUE(LEFT(A1701,FIND("/",A1701)-1)))</f>
        <v>0.81</v>
      </c>
      <c r="C1701" s="15">
        <f t="shared" si="52"/>
        <v>14.81</v>
      </c>
      <c r="D1701" s="15">
        <f t="shared" si="53"/>
        <v>58.658000000000001</v>
      </c>
    </row>
    <row r="1702" spans="1:4" ht="15" customHeight="1">
      <c r="A1702" t="s">
        <v>1765</v>
      </c>
      <c r="B1702" s="15">
        <f>INDEX('GLB.Ts+dSST (4)'!$B$3:$M$149,MATCH(VALUE(RIGHT(A1702,4)),'GLB.Ts+dSST (4)'!$A$3:$A$149,0),VALUE(LEFT(A1702,FIND("/",A1702)-1)))</f>
        <v>0.92</v>
      </c>
      <c r="C1702" s="15">
        <f t="shared" si="52"/>
        <v>14.92</v>
      </c>
      <c r="D1702" s="15">
        <f t="shared" si="53"/>
        <v>58.856000000000002</v>
      </c>
    </row>
    <row r="1703" spans="1:4" ht="15" customHeight="1">
      <c r="A1703" t="s">
        <v>1766</v>
      </c>
      <c r="B1703" s="15">
        <f>INDEX('GLB.Ts+dSST (4)'!$B$3:$M$149,MATCH(VALUE(RIGHT(A1703,4)),'GLB.Ts+dSST (4)'!$A$3:$A$149,0),VALUE(LEFT(A1703,FIND("/",A1703)-1)))</f>
        <v>0.98</v>
      </c>
      <c r="C1703" s="15">
        <f t="shared" si="52"/>
        <v>14.98</v>
      </c>
      <c r="D1703" s="15">
        <f t="shared" si="53"/>
        <v>58.963999999999999</v>
      </c>
    </row>
    <row r="1704" spans="1:4" ht="15" customHeight="1">
      <c r="A1704" t="s">
        <v>1767</v>
      </c>
      <c r="B1704" s="15">
        <f>INDEX('GLB.Ts+dSST (4)'!$B$3:$M$149,MATCH(VALUE(RIGHT(A1704,4)),'GLB.Ts+dSST (4)'!$A$3:$A$149,0),VALUE(LEFT(A1704,FIND("/",A1704)-1)))</f>
        <v>0.93</v>
      </c>
      <c r="C1704" s="15">
        <f t="shared" si="52"/>
        <v>14.93</v>
      </c>
      <c r="D1704" s="15">
        <f t="shared" si="53"/>
        <v>58.873999999999995</v>
      </c>
    </row>
    <row r="1705" spans="1:4" ht="15" customHeight="1">
      <c r="A1705" t="s">
        <v>1768</v>
      </c>
      <c r="B1705" s="15">
        <f>INDEX('GLB.Ts+dSST (4)'!$B$3:$M$149,MATCH(VALUE(RIGHT(A1705,4)),'GLB.Ts+dSST (4)'!$A$3:$A$149,0),VALUE(LEFT(A1705,FIND("/",A1705)-1)))</f>
        <v>0.88</v>
      </c>
      <c r="C1705" s="15">
        <f t="shared" si="52"/>
        <v>14.88</v>
      </c>
      <c r="D1705" s="15">
        <f t="shared" si="53"/>
        <v>58.784000000000006</v>
      </c>
    </row>
    <row r="1706" spans="1:4" ht="15" customHeight="1">
      <c r="A1706" t="s">
        <v>1769</v>
      </c>
      <c r="B1706" s="15">
        <f>INDEX('GLB.Ts+dSST (4)'!$B$3:$M$149,MATCH(VALUE(RIGHT(A1706,4)),'GLB.Ts+dSST (4)'!$A$3:$A$149,0),VALUE(LEFT(A1706,FIND("/",A1706)-1)))</f>
        <v>0.91</v>
      </c>
      <c r="C1706" s="15">
        <f t="shared" si="52"/>
        <v>14.91</v>
      </c>
      <c r="D1706" s="15">
        <f t="shared" si="53"/>
        <v>58.838000000000001</v>
      </c>
    </row>
    <row r="1707" spans="1:4" ht="15" customHeight="1">
      <c r="A1707" t="s">
        <v>1770</v>
      </c>
      <c r="B1707" s="15">
        <f>INDEX('GLB.Ts+dSST (4)'!$B$3:$M$149,MATCH(VALUE(RIGHT(A1707,4)),'GLB.Ts+dSST (4)'!$A$3:$A$149,0),VALUE(LEFT(A1707,FIND("/",A1707)-1)))</f>
        <v>0.89</v>
      </c>
      <c r="C1707" s="15">
        <f t="shared" si="52"/>
        <v>14.89</v>
      </c>
      <c r="D1707" s="15">
        <f t="shared" si="53"/>
        <v>58.802000000000007</v>
      </c>
    </row>
    <row r="1708" spans="1:4" ht="15" customHeight="1">
      <c r="A1708" t="s">
        <v>1771</v>
      </c>
      <c r="B1708" s="15">
        <f>INDEX('GLB.Ts+dSST (4)'!$B$3:$M$149,MATCH(VALUE(RIGHT(A1708,4)),'GLB.Ts+dSST (4)'!$A$3:$A$149,0),VALUE(LEFT(A1708,FIND("/",A1708)-1)))</f>
        <v>1.05</v>
      </c>
      <c r="C1708" s="15">
        <f t="shared" si="52"/>
        <v>15.05</v>
      </c>
      <c r="D1708" s="15">
        <f t="shared" si="53"/>
        <v>59.09</v>
      </c>
    </row>
    <row r="1709" spans="1:4" ht="15" customHeight="1">
      <c r="A1709" t="s">
        <v>1772</v>
      </c>
      <c r="B1709" s="15">
        <f>INDEX('GLB.Ts+dSST (4)'!$B$3:$M$149,MATCH(VALUE(RIGHT(A1709,4)),'GLB.Ts+dSST (4)'!$A$3:$A$149,0),VALUE(LEFT(A1709,FIND("/",A1709)-1)))</f>
        <v>0.83</v>
      </c>
      <c r="C1709" s="15">
        <f t="shared" si="52"/>
        <v>14.83</v>
      </c>
      <c r="D1709" s="15">
        <f t="shared" si="53"/>
        <v>58.694000000000003</v>
      </c>
    </row>
    <row r="1710" spans="1:4" ht="15" customHeight="1">
      <c r="A1710" t="s">
        <v>1773</v>
      </c>
      <c r="B1710" s="15">
        <f>INDEX('GLB.Ts+dSST (4)'!$B$3:$M$149,MATCH(VALUE(RIGHT(A1710,4)),'GLB.Ts+dSST (4)'!$A$3:$A$149,0),VALUE(LEFT(A1710,FIND("/",A1710)-1)))</f>
        <v>0.84</v>
      </c>
      <c r="C1710" s="15">
        <f t="shared" si="52"/>
        <v>14.84</v>
      </c>
      <c r="D1710" s="15">
        <f t="shared" si="53"/>
        <v>58.712000000000003</v>
      </c>
    </row>
    <row r="1711" spans="1:4" ht="15" customHeight="1">
      <c r="A1711" t="s">
        <v>1774</v>
      </c>
      <c r="B1711" s="15">
        <f>INDEX('GLB.Ts+dSST (4)'!$B$3:$M$149,MATCH(VALUE(RIGHT(A1711,4)),'GLB.Ts+dSST (4)'!$A$3:$A$149,0),VALUE(LEFT(A1711,FIND("/",A1711)-1)))</f>
        <v>0.93</v>
      </c>
      <c r="C1711" s="15">
        <f t="shared" si="52"/>
        <v>14.93</v>
      </c>
      <c r="D1711" s="15">
        <f t="shared" si="53"/>
        <v>58.873999999999995</v>
      </c>
    </row>
    <row r="1712" spans="1:4" ht="15" customHeight="1">
      <c r="A1712" t="s">
        <v>1775</v>
      </c>
      <c r="B1712" s="15">
        <f>INDEX('GLB.Ts+dSST (4)'!$B$3:$M$149,MATCH(VALUE(RIGHT(A1712,4)),'GLB.Ts+dSST (4)'!$A$3:$A$149,0),VALUE(LEFT(A1712,FIND("/",A1712)-1)))</f>
        <v>0.94</v>
      </c>
      <c r="C1712" s="15">
        <f t="shared" si="52"/>
        <v>14.94</v>
      </c>
      <c r="D1712" s="15">
        <f t="shared" si="53"/>
        <v>58.891999999999996</v>
      </c>
    </row>
    <row r="1713" spans="1:4" ht="15" customHeight="1">
      <c r="A1713" t="s">
        <v>1776</v>
      </c>
      <c r="B1713" s="15">
        <f>INDEX('GLB.Ts+dSST (4)'!$B$3:$M$149,MATCH(VALUE(RIGHT(A1713,4)),'GLB.Ts+dSST (4)'!$A$3:$A$149,0),VALUE(LEFT(A1713,FIND("/",A1713)-1)))</f>
        <v>0.94</v>
      </c>
      <c r="C1713" s="15">
        <f t="shared" si="52"/>
        <v>14.94</v>
      </c>
      <c r="D1713" s="15">
        <f t="shared" si="53"/>
        <v>58.891999999999996</v>
      </c>
    </row>
    <row r="1714" spans="1:4" ht="15" customHeight="1">
      <c r="A1714" t="s">
        <v>1777</v>
      </c>
      <c r="B1714" s="15">
        <f>INDEX('GLB.Ts+dSST (4)'!$B$3:$M$149,MATCH(VALUE(RIGHT(A1714,4)),'GLB.Ts+dSST (4)'!$A$3:$A$149,0),VALUE(LEFT(A1714,FIND("/",A1714)-1)))</f>
        <v>0.88</v>
      </c>
      <c r="C1714" s="15">
        <f t="shared" si="52"/>
        <v>14.88</v>
      </c>
      <c r="D1714" s="15">
        <f t="shared" si="53"/>
        <v>58.784000000000006</v>
      </c>
    </row>
    <row r="1715" spans="1:4" ht="15" customHeight="1">
      <c r="A1715" t="s">
        <v>1778</v>
      </c>
      <c r="B1715" s="15">
        <f>INDEX('GLB.Ts+dSST (4)'!$B$3:$M$149,MATCH(VALUE(RIGHT(A1715,4)),'GLB.Ts+dSST (4)'!$A$3:$A$149,0),VALUE(LEFT(A1715,FIND("/",A1715)-1)))</f>
        <v>0.97</v>
      </c>
      <c r="C1715" s="15">
        <f t="shared" si="52"/>
        <v>14.97</v>
      </c>
      <c r="D1715" s="15">
        <f t="shared" si="53"/>
        <v>58.945999999999998</v>
      </c>
    </row>
    <row r="1716" spans="1:4" ht="15" customHeight="1">
      <c r="A1716" t="s">
        <v>1779</v>
      </c>
      <c r="B1716" s="15">
        <f>INDEX('GLB.Ts+dSST (4)'!$B$3:$M$149,MATCH(VALUE(RIGHT(A1716,4)),'GLB.Ts+dSST (4)'!$A$3:$A$149,0),VALUE(LEFT(A1716,FIND("/",A1716)-1)))</f>
        <v>0.73</v>
      </c>
      <c r="C1716" s="15">
        <f t="shared" si="52"/>
        <v>14.73</v>
      </c>
      <c r="D1716" s="15">
        <f t="shared" si="53"/>
        <v>58.514000000000003</v>
      </c>
    </row>
    <row r="1717" spans="1:4" ht="15" customHeight="1">
      <c r="A1717" t="s">
        <v>1780</v>
      </c>
      <c r="B1717" s="15">
        <f>INDEX('GLB.Ts+dSST (4)'!$B$3:$M$149,MATCH(VALUE(RIGHT(A1717,4)),'GLB.Ts+dSST (4)'!$A$3:$A$149,0),VALUE(LEFT(A1717,FIND("/",A1717)-1)))</f>
        <v>0.8</v>
      </c>
      <c r="C1717" s="15">
        <f t="shared" si="52"/>
        <v>14.8</v>
      </c>
      <c r="D1717" s="15">
        <f t="shared" si="53"/>
        <v>58.64</v>
      </c>
    </row>
    <row r="1718" spans="1:4" ht="15" customHeight="1">
      <c r="A1718" t="s">
        <v>1781</v>
      </c>
      <c r="B1718" s="15">
        <f>INDEX('GLB.Ts+dSST (4)'!$B$3:$M$149,MATCH(VALUE(RIGHT(A1718,4)),'GLB.Ts+dSST (4)'!$A$3:$A$149,0),VALUE(LEFT(A1718,FIND("/",A1718)-1)))</f>
        <v>0.88</v>
      </c>
      <c r="C1718" s="15">
        <f t="shared" si="52"/>
        <v>14.88</v>
      </c>
      <c r="D1718" s="15">
        <f t="shared" si="53"/>
        <v>58.784000000000006</v>
      </c>
    </row>
    <row r="1719" spans="1:4" ht="15" customHeight="1">
      <c r="A1719" t="s">
        <v>1782</v>
      </c>
      <c r="B1719" s="15">
        <f>INDEX('GLB.Ts+dSST (4)'!$B$3:$M$149,MATCH(VALUE(RIGHT(A1719,4)),'GLB.Ts+dSST (4)'!$A$3:$A$149,0),VALUE(LEFT(A1719,FIND("/",A1719)-1)))</f>
        <v>0.97</v>
      </c>
      <c r="C1719" s="15">
        <f t="shared" si="52"/>
        <v>14.97</v>
      </c>
      <c r="D1719" s="15">
        <f t="shared" si="53"/>
        <v>58.945999999999998</v>
      </c>
    </row>
    <row r="1720" spans="1:4" ht="15" customHeight="1">
      <c r="A1720" t="s">
        <v>1783</v>
      </c>
      <c r="B1720" s="15">
        <f>INDEX('GLB.Ts+dSST (4)'!$B$3:$M$149,MATCH(VALUE(RIGHT(A1720,4)),'GLB.Ts+dSST (4)'!$A$3:$A$149,0),VALUE(LEFT(A1720,FIND("/",A1720)-1)))</f>
        <v>1.23</v>
      </c>
      <c r="C1720" s="15">
        <f t="shared" si="52"/>
        <v>15.23</v>
      </c>
      <c r="D1720" s="15">
        <f t="shared" si="53"/>
        <v>59.414000000000001</v>
      </c>
    </row>
    <row r="1721" spans="1:4" ht="15" customHeight="1">
      <c r="A1721" t="s">
        <v>1784</v>
      </c>
      <c r="B1721" s="15">
        <f>INDEX('GLB.Ts+dSST (4)'!$B$3:$M$149,MATCH(VALUE(RIGHT(A1721,4)),'GLB.Ts+dSST (4)'!$A$3:$A$149,0),VALUE(LEFT(A1721,FIND("/",A1721)-1)))</f>
        <v>0.99</v>
      </c>
      <c r="C1721" s="15">
        <f t="shared" si="52"/>
        <v>14.99</v>
      </c>
      <c r="D1721" s="15">
        <f t="shared" si="53"/>
        <v>58.981999999999999</v>
      </c>
    </row>
    <row r="1722" spans="1:4" ht="15" customHeight="1">
      <c r="A1722" t="s">
        <v>1785</v>
      </c>
      <c r="B1722" s="15">
        <f>INDEX('GLB.Ts+dSST (4)'!$B$3:$M$149,MATCH(VALUE(RIGHT(A1722,4)),'GLB.Ts+dSST (4)'!$A$3:$A$149,0),VALUE(LEFT(A1722,FIND("/",A1722)-1)))</f>
        <v>0.94</v>
      </c>
      <c r="C1722" s="15">
        <f t="shared" si="52"/>
        <v>14.94</v>
      </c>
      <c r="D1722" s="15">
        <f t="shared" si="53"/>
        <v>58.891999999999996</v>
      </c>
    </row>
    <row r="1723" spans="1:4" ht="15" customHeight="1">
      <c r="A1723" t="s">
        <v>1786</v>
      </c>
      <c r="B1723" s="15">
        <f>INDEX('GLB.Ts+dSST (4)'!$B$3:$M$149,MATCH(VALUE(RIGHT(A1723,4)),'GLB.Ts+dSST (4)'!$A$3:$A$149,0),VALUE(LEFT(A1723,FIND("/",A1723)-1)))</f>
        <v>1.0900000000000001</v>
      </c>
      <c r="C1723" s="15">
        <f t="shared" si="52"/>
        <v>15.09</v>
      </c>
      <c r="D1723" s="15">
        <f t="shared" si="53"/>
        <v>59.161999999999999</v>
      </c>
    </row>
    <row r="1724" spans="1:4" ht="15" customHeight="1">
      <c r="A1724" t="s">
        <v>1787</v>
      </c>
      <c r="B1724" s="15">
        <f>INDEX('GLB.Ts+dSST (4)'!$B$3:$M$149,MATCH(VALUE(RIGHT(A1724,4)),'GLB.Ts+dSST (4)'!$A$3:$A$149,0),VALUE(LEFT(A1724,FIND("/",A1724)-1)))</f>
        <v>1.19</v>
      </c>
      <c r="C1724" s="15">
        <f t="shared" si="52"/>
        <v>15.19</v>
      </c>
      <c r="D1724" s="15">
        <f t="shared" si="53"/>
        <v>59.341999999999999</v>
      </c>
    </row>
    <row r="1725" spans="1:4" ht="15" customHeight="1">
      <c r="A1725" t="s">
        <v>1788</v>
      </c>
      <c r="B1725" s="15">
        <f>INDEX('GLB.Ts+dSST (4)'!$B$3:$M$149,MATCH(VALUE(RIGHT(A1725,4)),'GLB.Ts+dSST (4)'!$A$3:$A$149,0),VALUE(LEFT(A1725,FIND("/",A1725)-1)))</f>
        <v>1.19</v>
      </c>
      <c r="C1725" s="15">
        <f t="shared" si="52"/>
        <v>15.19</v>
      </c>
      <c r="D1725" s="15">
        <f t="shared" si="53"/>
        <v>59.341999999999999</v>
      </c>
    </row>
    <row r="1726" spans="1:4" ht="15" customHeight="1">
      <c r="A1726" t="s">
        <v>1789</v>
      </c>
      <c r="B1726" s="15">
        <f>INDEX('GLB.Ts+dSST (4)'!$B$3:$M$149,MATCH(VALUE(RIGHT(A1726,4)),'GLB.Ts+dSST (4)'!$A$3:$A$149,0),VALUE(LEFT(A1726,FIND("/",A1726)-1)))</f>
        <v>1.48</v>
      </c>
      <c r="C1726" s="15">
        <f t="shared" si="52"/>
        <v>15.48</v>
      </c>
      <c r="D1726" s="15">
        <f t="shared" si="53"/>
        <v>59.864000000000004</v>
      </c>
    </row>
    <row r="1727" spans="1:4" ht="15" customHeight="1">
      <c r="A1727" t="s">
        <v>1790</v>
      </c>
      <c r="B1727" s="15">
        <f>INDEX('GLB.Ts+dSST (4)'!$B$3:$M$149,MATCH(VALUE(RIGHT(A1727,4)),'GLB.Ts+dSST (4)'!$A$3:$A$149,0),VALUE(LEFT(A1727,FIND("/",A1727)-1)))</f>
        <v>1.35</v>
      </c>
      <c r="C1727" s="15">
        <f t="shared" si="52"/>
        <v>15.35</v>
      </c>
      <c r="D1727" s="15">
        <f t="shared" si="53"/>
        <v>59.629999999999995</v>
      </c>
    </row>
    <row r="1728" spans="1:4" ht="15" customHeight="1">
      <c r="A1728" t="s">
        <v>1791</v>
      </c>
      <c r="B1728" s="15">
        <f>INDEX('GLB.Ts+dSST (4)'!$B$3:$M$149,MATCH(VALUE(RIGHT(A1728,4)),'GLB.Ts+dSST (4)'!$A$3:$A$149,0),VALUE(LEFT(A1728,FIND("/",A1728)-1)))</f>
        <v>1.4</v>
      </c>
      <c r="C1728" s="15">
        <f t="shared" si="52"/>
        <v>15.4</v>
      </c>
      <c r="D1728" s="15">
        <f t="shared" si="53"/>
        <v>59.72</v>
      </c>
    </row>
    <row r="1729" spans="1:4" ht="15" customHeight="1">
      <c r="A1729" t="s">
        <v>1792</v>
      </c>
      <c r="B1729" s="15">
        <f>INDEX('GLB.Ts+dSST (4)'!$B$3:$M$149,MATCH(VALUE(RIGHT(A1729,4)),'GLB.Ts+dSST (4)'!$A$3:$A$149,0),VALUE(LEFT(A1729,FIND("/",A1729)-1)))</f>
        <v>1.36</v>
      </c>
      <c r="C1729" s="15">
        <f t="shared" si="52"/>
        <v>15.36</v>
      </c>
      <c r="D1729" s="15">
        <f t="shared" si="53"/>
        <v>59.647999999999996</v>
      </c>
    </row>
    <row r="1730" spans="1:4" ht="15" customHeight="1">
      <c r="A1730" t="s">
        <v>1793</v>
      </c>
      <c r="B1730" s="15">
        <f>INDEX('GLB.Ts+dSST (4)'!$B$3:$M$149,MATCH(VALUE(RIGHT(A1730,4)),'GLB.Ts+dSST (4)'!$A$3:$A$149,0),VALUE(LEFT(A1730,FIND("/",A1730)-1)))</f>
        <v>1.25</v>
      </c>
      <c r="C1730" s="15">
        <f t="shared" ref="C1730:C1761" si="54">B1730+14</f>
        <v>15.25</v>
      </c>
      <c r="D1730" s="15">
        <f t="shared" ref="D1730:D1761" si="55">C1730*(9/5)+32</f>
        <v>59.45</v>
      </c>
    </row>
    <row r="1731" spans="1:4" ht="15" customHeight="1">
      <c r="A1731" t="s">
        <v>1794</v>
      </c>
      <c r="B1731" s="15">
        <f>INDEX('GLB.Ts+dSST (4)'!$B$3:$M$149,MATCH(VALUE(RIGHT(A1731,4)),'GLB.Ts+dSST (4)'!$A$3:$A$149,0),VALUE(LEFT(A1731,FIND("/",A1731)-1)))</f>
        <v>1.44</v>
      </c>
      <c r="C1731" s="15">
        <f t="shared" si="54"/>
        <v>15.44</v>
      </c>
      <c r="D1731" s="15">
        <f t="shared" si="55"/>
        <v>59.792000000000002</v>
      </c>
    </row>
    <row r="1732" spans="1:4" ht="15" customHeight="1">
      <c r="A1732" t="s">
        <v>1795</v>
      </c>
      <c r="B1732" s="15">
        <f>INDEX('GLB.Ts+dSST (4)'!$B$3:$M$149,MATCH(VALUE(RIGHT(A1732,4)),'GLB.Ts+dSST (4)'!$A$3:$A$149,0),VALUE(LEFT(A1732,FIND("/",A1732)-1)))</f>
        <v>1.4</v>
      </c>
      <c r="C1732" s="15">
        <f t="shared" si="54"/>
        <v>15.4</v>
      </c>
      <c r="D1732" s="15">
        <f t="shared" si="55"/>
        <v>59.72</v>
      </c>
    </row>
    <row r="1733" spans="1:4" ht="15" customHeight="1">
      <c r="A1733" t="s">
        <v>1796</v>
      </c>
      <c r="B1733" s="15">
        <f>INDEX('GLB.Ts+dSST (4)'!$B$3:$M$149,MATCH(VALUE(RIGHT(A1733,4)),'GLB.Ts+dSST (4)'!$A$3:$A$149,0),VALUE(LEFT(A1733,FIND("/",A1733)-1)))</f>
        <v>1.32</v>
      </c>
      <c r="C1733" s="15">
        <f t="shared" si="54"/>
        <v>15.32</v>
      </c>
      <c r="D1733" s="15">
        <f t="shared" si="55"/>
        <v>59.576000000000001</v>
      </c>
    </row>
    <row r="1734" spans="1:4" ht="15" customHeight="1">
      <c r="A1734" t="s">
        <v>1797</v>
      </c>
      <c r="B1734" s="15">
        <f>INDEX('GLB.Ts+dSST (4)'!$B$3:$M$149,MATCH(VALUE(RIGHT(A1734,4)),'GLB.Ts+dSST (4)'!$A$3:$A$149,0),VALUE(LEFT(A1734,FIND("/",A1734)-1)))</f>
        <v>1.1599999999999999</v>
      </c>
      <c r="C1734" s="15">
        <f t="shared" si="54"/>
        <v>15.16</v>
      </c>
      <c r="D1734" s="15">
        <f t="shared" si="55"/>
        <v>59.287999999999997</v>
      </c>
    </row>
    <row r="1735" spans="1:4" ht="15" customHeight="1">
      <c r="A1735" t="s">
        <v>1798</v>
      </c>
      <c r="B1735" s="15">
        <f>INDEX('GLB.Ts+dSST (4)'!$B$3:$M$149,MATCH(VALUE(RIGHT(A1735,4)),'GLB.Ts+dSST (4)'!$A$3:$A$149,0),VALUE(LEFT(A1735,FIND("/",A1735)-1)))</f>
        <v>1.23</v>
      </c>
      <c r="C1735" s="15">
        <f t="shared" si="54"/>
        <v>15.23</v>
      </c>
      <c r="D1735" s="15">
        <f t="shared" si="55"/>
        <v>59.414000000000001</v>
      </c>
    </row>
    <row r="1736" spans="1:4" ht="15" customHeight="1">
      <c r="A1736" t="s">
        <v>1799</v>
      </c>
      <c r="B1736" s="15">
        <f>INDEX('GLB.Ts+dSST (4)'!$B$3:$M$149,MATCH(VALUE(RIGHT(A1736,4)),'GLB.Ts+dSST (4)'!$A$3:$A$149,0),VALUE(LEFT(A1736,FIND("/",A1736)-1)))</f>
        <v>1.2</v>
      </c>
      <c r="C1736" s="15">
        <f t="shared" si="54"/>
        <v>15.2</v>
      </c>
      <c r="D1736" s="15">
        <f t="shared" si="55"/>
        <v>59.36</v>
      </c>
    </row>
    <row r="1737" spans="1:4" ht="15" customHeight="1">
      <c r="A1737" t="s">
        <v>1800</v>
      </c>
      <c r="B1737" s="15">
        <f>INDEX('GLB.Ts+dSST (4)'!$B$3:$M$149,MATCH(VALUE(RIGHT(A1737,4)),'GLB.Ts+dSST (4)'!$A$3:$A$149,0),VALUE(LEFT(A1737,FIND("/",A1737)-1)))</f>
        <v>1.3</v>
      </c>
      <c r="C1737" s="15">
        <f t="shared" si="54"/>
        <v>15.3</v>
      </c>
      <c r="D1737" s="15">
        <f t="shared" si="55"/>
        <v>59.540000000000006</v>
      </c>
    </row>
    <row r="1738" spans="1:4" ht="15" customHeight="1">
      <c r="A1738" t="s">
        <v>1801</v>
      </c>
      <c r="B1738" s="15">
        <f>INDEX('GLB.Ts+dSST (4)'!$B$3:$M$149,MATCH(VALUE(RIGHT(A1738,4)),'GLB.Ts+dSST (4)'!$A$3:$A$149,0),VALUE(LEFT(A1738,FIND("/",A1738)-1)))</f>
        <v>1.21</v>
      </c>
      <c r="C1738" s="15">
        <f t="shared" si="54"/>
        <v>15.21</v>
      </c>
      <c r="D1738" s="15">
        <f t="shared" si="55"/>
        <v>59.378</v>
      </c>
    </row>
    <row r="1739" spans="1:4" ht="15" customHeight="1">
      <c r="A1739" t="s">
        <v>1802</v>
      </c>
      <c r="B1739" s="15">
        <f>INDEX('GLB.Ts+dSST (4)'!$B$3:$M$149,MATCH(VALUE(RIGHT(A1739,4)),'GLB.Ts+dSST (4)'!$A$3:$A$149,0),VALUE(LEFT(A1739,FIND("/",A1739)-1)))</f>
        <v>1.35</v>
      </c>
      <c r="C1739" s="15">
        <f t="shared" si="54"/>
        <v>15.35</v>
      </c>
      <c r="D1739" s="15">
        <f t="shared" si="55"/>
        <v>59.629999999999995</v>
      </c>
    </row>
    <row r="1740" spans="1:4" ht="15" customHeight="1">
      <c r="A1740" t="s">
        <v>1803</v>
      </c>
      <c r="B1740" s="15">
        <f>INDEX('GLB.Ts+dSST (4)'!$B$3:$M$149,MATCH(VALUE(RIGHT(A1740,4)),'GLB.Ts+dSST (4)'!$A$3:$A$149,0),VALUE(LEFT(A1740,FIND("/",A1740)-1)))</f>
        <v>1.3</v>
      </c>
      <c r="C1740" s="15">
        <f t="shared" si="54"/>
        <v>15.3</v>
      </c>
      <c r="D1740" s="15">
        <f t="shared" si="55"/>
        <v>59.540000000000006</v>
      </c>
    </row>
    <row r="1741" spans="1:4" ht="15" customHeight="1">
      <c r="A1741" t="s">
        <v>1804</v>
      </c>
      <c r="B1741" s="15">
        <f>INDEX('GLB.Ts+dSST (4)'!$B$3:$M$149,MATCH(VALUE(RIGHT(A1741,4)),'GLB.Ts+dSST (4)'!$A$3:$A$149,0),VALUE(LEFT(A1741,FIND("/",A1741)-1)))</f>
        <v>1.27</v>
      </c>
      <c r="C1741" s="15">
        <f t="shared" si="54"/>
        <v>15.27</v>
      </c>
      <c r="D1741" s="15">
        <f t="shared" si="55"/>
        <v>59.486000000000004</v>
      </c>
    </row>
    <row r="1742" spans="1:4" ht="15" customHeight="1">
      <c r="A1742" t="s">
        <v>1805</v>
      </c>
      <c r="B1742" s="15">
        <f>INDEX('GLB.Ts+dSST (4)'!$B$3:$M$149,MATCH(VALUE(RIGHT(A1742,4)),'GLB.Ts+dSST (4)'!$A$3:$A$149,0),VALUE(LEFT(A1742,FIND("/",A1742)-1)))</f>
        <v>1.38</v>
      </c>
      <c r="C1742" s="15">
        <f t="shared" si="54"/>
        <v>15.379999999999999</v>
      </c>
      <c r="D1742" s="15">
        <f t="shared" si="55"/>
        <v>59.683999999999997</v>
      </c>
    </row>
    <row r="1743" spans="1:4" ht="15" customHeight="1">
      <c r="A1743" t="s">
        <v>1806</v>
      </c>
      <c r="B1743" s="15">
        <f>INDEX('GLB.Ts+dSST (4)'!$B$3:$M$149,MATCH(VALUE(RIGHT(A1743,4)),'GLB.Ts+dSST (4)'!$A$3:$A$149,0),VALUE(LEFT(A1743,FIND("/",A1743)-1)))</f>
        <v>1.26</v>
      </c>
      <c r="C1743" s="15">
        <f t="shared" si="54"/>
        <v>15.26</v>
      </c>
      <c r="D1743" s="15">
        <f t="shared" si="55"/>
        <v>59.468000000000004</v>
      </c>
    </row>
    <row r="1744" spans="1:4" ht="15" customHeight="1">
      <c r="A1744" t="s">
        <v>1807</v>
      </c>
      <c r="B1744" s="15">
        <f>INDEX('GLB.Ts+dSST (4)'!$B$3:$M$149,MATCH(VALUE(RIGHT(A1744,4)),'GLB.Ts+dSST (4)'!$A$3:$A$149,0),VALUE(LEFT(A1744,FIND("/",A1744)-1)))</f>
        <v>1.37</v>
      </c>
      <c r="C1744" s="15">
        <f t="shared" si="54"/>
        <v>15.370000000000001</v>
      </c>
      <c r="D1744" s="15">
        <f t="shared" si="55"/>
        <v>59.666000000000004</v>
      </c>
    </row>
    <row r="1745" spans="1:4" ht="15" customHeight="1">
      <c r="A1745" t="s">
        <v>1808</v>
      </c>
      <c r="B1745" s="15">
        <f>INDEX('GLB.Ts+dSST (4)'!$B$3:$M$149,MATCH(VALUE(RIGHT(A1745,4)),'GLB.Ts+dSST (4)'!$A$3:$A$149,0),VALUE(LEFT(A1745,FIND("/",A1745)-1)))</f>
        <v>1.25</v>
      </c>
      <c r="C1745" s="15">
        <f t="shared" si="54"/>
        <v>15.25</v>
      </c>
      <c r="D1745" s="15">
        <f t="shared" si="55"/>
        <v>59.45</v>
      </c>
    </row>
    <row r="1746" spans="1:4" ht="15" customHeight="1">
      <c r="A1746" t="s">
        <v>1809</v>
      </c>
      <c r="B1746" s="15">
        <f>INDEX('GLB.Ts+dSST (4)'!$B$3:$M$149,MATCH(VALUE(RIGHT(A1746,4)),'GLB.Ts+dSST (4)'!$A$3:$A$149,0),VALUE(LEFT(A1746,FIND("/",A1746)-1)))</f>
        <v>1.08</v>
      </c>
      <c r="C1746" s="15">
        <f t="shared" si="54"/>
        <v>15.08</v>
      </c>
      <c r="D1746" s="15">
        <f t="shared" si="55"/>
        <v>59.144000000000005</v>
      </c>
    </row>
    <row r="1747" spans="1:4" ht="15" customHeight="1">
      <c r="A1747" t="s">
        <v>1810</v>
      </c>
      <c r="B1747" s="15">
        <f>INDEX('GLB.Ts+dSST (4)'!$B$3:$M$149,MATCH(VALUE(RIGHT(A1747,4)),'GLB.Ts+dSST (4)'!$A$3:$A$149,0),VALUE(LEFT(A1747,FIND("/",A1747)-1)))</f>
        <v>1.07</v>
      </c>
      <c r="C1747" s="15">
        <f t="shared" si="54"/>
        <v>15.07</v>
      </c>
      <c r="D1747" s="15">
        <f t="shared" si="55"/>
        <v>59.126000000000005</v>
      </c>
    </row>
    <row r="1748" spans="1:4" ht="15" customHeight="1">
      <c r="A1748" t="s">
        <v>1811</v>
      </c>
      <c r="B1748" s="15">
        <f>INDEX('GLB.Ts+dSST (4)'!$B$3:$M$149,MATCH(VALUE(RIGHT(A1748,4)),'GLB.Ts+dSST (4)'!$A$3:$A$149,0),VALUE(LEFT(A1748,FIND("/",A1748)-1)))</f>
        <v>1.02</v>
      </c>
      <c r="C1748" s="15">
        <f t="shared" si="54"/>
        <v>15.02</v>
      </c>
      <c r="D1748" s="15">
        <f t="shared" si="55"/>
        <v>59.036000000000001</v>
      </c>
    </row>
    <row r="1749" spans="1:4" ht="15" customHeight="1">
      <c r="A1749" t="s">
        <v>1812</v>
      </c>
      <c r="B1749" s="15">
        <f>INDEX('GLB.Ts+dSST (4)'!$B$3:$M$149,MATCH(VALUE(RIGHT(A1749,4)),'GLB.Ts+dSST (4)'!$A$3:$A$149,0),VALUE(LEFT(A1749,FIND("/",A1749)-1)))</f>
        <v>1.18</v>
      </c>
      <c r="C1749" s="15">
        <f t="shared" si="54"/>
        <v>15.18</v>
      </c>
      <c r="D1749" s="15">
        <f t="shared" si="55"/>
        <v>59.323999999999998</v>
      </c>
    </row>
    <row r="1750" spans="1:4" ht="15" customHeight="1">
      <c r="A1750" t="s">
        <v>1813</v>
      </c>
      <c r="B1750" s="15">
        <f>INDEX('GLB.Ts+dSST (4)'!$B$3:$M$149,MATCH(VALUE(RIGHT(A1750,4)),'GLB.Ts+dSST (4)'!$A$3:$A$149,0),VALUE(LEFT(A1750,FIND("/",A1750)-1)))</f>
        <v>1.25</v>
      </c>
      <c r="C1750" s="15">
        <f t="shared" si="54"/>
        <v>15.25</v>
      </c>
      <c r="D1750" s="15">
        <f t="shared" si="55"/>
        <v>59.45</v>
      </c>
    </row>
    <row r="1751" spans="1:4" ht="15" customHeight="1">
      <c r="A1751" t="s">
        <v>1814</v>
      </c>
      <c r="B1751" s="15">
        <f>INDEX('GLB.Ts+dSST (4)'!$B$3:$M$149,MATCH(VALUE(RIGHT(A1751,4)),'GLB.Ts+dSST (4)'!$A$3:$A$149,0),VALUE(LEFT(A1751,FIND("/",A1751)-1)))</f>
        <v>1.19</v>
      </c>
      <c r="C1751" s="15">
        <f t="shared" si="54"/>
        <v>15.19</v>
      </c>
      <c r="D1751" s="15">
        <f t="shared" si="55"/>
        <v>59.341999999999999</v>
      </c>
    </row>
    <row r="1752" spans="1:4" ht="15" customHeight="1">
      <c r="A1752" t="s">
        <v>1815</v>
      </c>
      <c r="B1752" s="15">
        <f>INDEX('GLB.Ts+dSST (4)'!$B$3:$M$149,MATCH(VALUE(RIGHT(A1752,4)),'GLB.Ts+dSST (4)'!$A$3:$A$149,0),VALUE(LEFT(A1752,FIND("/",A1752)-1)))</f>
        <v>1.21</v>
      </c>
      <c r="C1752" s="15">
        <f t="shared" si="54"/>
        <v>15.21</v>
      </c>
      <c r="D1752" s="15">
        <f t="shared" si="55"/>
        <v>59.378</v>
      </c>
    </row>
    <row r="1753" spans="1:4" ht="15" customHeight="1">
      <c r="A1753" t="s">
        <v>1816</v>
      </c>
      <c r="B1753" s="15">
        <f>INDEX('GLB.Ts+dSST (4)'!$B$3:$M$149,MATCH(VALUE(RIGHT(A1753,4)),'GLB.Ts+dSST (4)'!$A$3:$A$149,0),VALUE(LEFT(A1753,FIND("/",A1753)-1)))</f>
        <v>1.06</v>
      </c>
      <c r="C1753" s="15">
        <f t="shared" si="54"/>
        <v>15.06</v>
      </c>
      <c r="D1753" s="15">
        <f t="shared" si="55"/>
        <v>59.108000000000004</v>
      </c>
    </row>
    <row r="1754" spans="1:4" ht="15" customHeight="1">
      <c r="A1754" t="s">
        <v>1817</v>
      </c>
      <c r="B1754" s="15">
        <f>INDEX('GLB.Ts+dSST (4)'!$B$3:$M$149,MATCH(VALUE(RIGHT(A1754,4)),'GLB.Ts+dSST (4)'!$A$3:$A$149,0),VALUE(LEFT(A1754,FIND("/",A1754)-1)))</f>
        <v>1.0900000000000001</v>
      </c>
      <c r="C1754" s="15">
        <f t="shared" si="54"/>
        <v>15.09</v>
      </c>
      <c r="D1754" s="15">
        <f t="shared" si="55"/>
        <v>59.161999999999999</v>
      </c>
    </row>
    <row r="1755" spans="1:4" ht="15" customHeight="1">
      <c r="A1755" t="s">
        <v>1818</v>
      </c>
      <c r="B1755" s="15">
        <f>INDEX('GLB.Ts+dSST (4)'!$B$3:$M$149,MATCH(VALUE(RIGHT(A1755,4)),'GLB.Ts+dSST (4)'!$A$3:$A$149,0),VALUE(LEFT(A1755,FIND("/",A1755)-1)))</f>
        <v>1.25</v>
      </c>
      <c r="C1755" s="15">
        <f t="shared" si="54"/>
        <v>15.25</v>
      </c>
      <c r="D1755" s="15">
        <f t="shared" si="55"/>
        <v>59.45</v>
      </c>
    </row>
    <row r="1756" spans="1:4" ht="15" customHeight="1">
      <c r="A1756" t="s">
        <v>1819</v>
      </c>
      <c r="B1756" s="15">
        <f>INDEX('GLB.Ts+dSST (4)'!$B$3:$M$149,MATCH(VALUE(RIGHT(A1756,4)),'GLB.Ts+dSST (4)'!$A$3:$A$149,0),VALUE(LEFT(A1756,FIND("/",A1756)-1)))</f>
        <v>1.32</v>
      </c>
      <c r="C1756" s="15">
        <f t="shared" si="54"/>
        <v>15.32</v>
      </c>
      <c r="D1756" s="15">
        <f t="shared" si="55"/>
        <v>59.576000000000001</v>
      </c>
    </row>
    <row r="1757" spans="1:4" ht="15" customHeight="1">
      <c r="A1757" t="s">
        <v>1820</v>
      </c>
      <c r="B1757" s="15">
        <f>INDEX('GLB.Ts+dSST (4)'!$B$3:$M$149,MATCH(VALUE(RIGHT(A1757,4)),'GLB.Ts+dSST (4)'!$A$3:$A$149,0),VALUE(LEFT(A1757,FIND("/",A1757)-1)))</f>
        <v>1.17</v>
      </c>
      <c r="C1757" s="15">
        <f t="shared" si="54"/>
        <v>15.17</v>
      </c>
      <c r="D1757" s="15">
        <f t="shared" si="55"/>
        <v>59.305999999999997</v>
      </c>
    </row>
    <row r="1758" spans="1:4" ht="15" customHeight="1">
      <c r="A1758" t="s">
        <v>1821</v>
      </c>
      <c r="B1758" s="15">
        <f>INDEX('GLB.Ts+dSST (4)'!$B$3:$M$149,MATCH(VALUE(RIGHT(A1758,4)),'GLB.Ts+dSST (4)'!$A$3:$A$149,0),VALUE(LEFT(A1758,FIND("/",A1758)-1)))</f>
        <v>1.1299999999999999</v>
      </c>
      <c r="C1758" s="15">
        <f t="shared" si="54"/>
        <v>15.129999999999999</v>
      </c>
      <c r="D1758" s="15">
        <f t="shared" si="55"/>
        <v>59.233999999999995</v>
      </c>
    </row>
    <row r="1759" spans="1:4" ht="15" customHeight="1">
      <c r="A1759" t="s">
        <v>1822</v>
      </c>
      <c r="B1759" s="15">
        <f>INDEX('GLB.Ts+dSST (4)'!$B$3:$M$149,MATCH(VALUE(RIGHT(A1759,4)),'GLB.Ts+dSST (4)'!$A$3:$A$149,0),VALUE(LEFT(A1759,FIND("/",A1759)-1)))</f>
        <v>1.18</v>
      </c>
      <c r="C1759" s="15">
        <f t="shared" si="54"/>
        <v>15.18</v>
      </c>
      <c r="D1759" s="15">
        <f t="shared" si="55"/>
        <v>59.323999999999998</v>
      </c>
    </row>
    <row r="1760" spans="1:4" ht="15" customHeight="1">
      <c r="A1760" t="s">
        <v>1823</v>
      </c>
      <c r="B1760" s="15">
        <f>INDEX('GLB.Ts+dSST (4)'!$B$3:$M$149,MATCH(VALUE(RIGHT(A1760,4)),'GLB.Ts+dSST (4)'!$A$3:$A$149,0),VALUE(LEFT(A1760,FIND("/",A1760)-1)))</f>
        <v>1.25</v>
      </c>
      <c r="C1760" s="15">
        <f t="shared" si="54"/>
        <v>15.25</v>
      </c>
      <c r="D1760" s="15">
        <f t="shared" si="55"/>
        <v>59.45</v>
      </c>
    </row>
    <row r="1761" spans="1:4" ht="15" customHeight="1">
      <c r="A1761" t="s">
        <v>1824</v>
      </c>
      <c r="B1761" s="15">
        <f>INDEX('GLB.Ts+dSST (4)'!$B$3:$M$149,MATCH(VALUE(RIGHT(A1761,4)),'GLB.Ts+dSST (4)'!$A$3:$A$149,0),VALUE(LEFT(A1761,FIND("/",A1761)-1)))</f>
        <v>1.4</v>
      </c>
      <c r="C1761" s="15">
        <f t="shared" si="54"/>
        <v>15.4</v>
      </c>
      <c r="D1761" s="15">
        <f t="shared" si="55"/>
        <v>59.72</v>
      </c>
    </row>
    <row r="1762" spans="1:4" ht="15" customHeight="1">
      <c r="A1762" t="s">
        <v>1825</v>
      </c>
      <c r="B1762" s="15" t="str">
        <f>INDEX('GLB.Ts+dSST (4)'!$B$3:$M$149,MATCH(VALUE(RIGHT(A1762,4)),'GLB.Ts+dSST (4)'!$A$3:$A$149,0),VALUE(LEFT(A1762,FIND("/",A1762)-1)))</f>
        <v>***</v>
      </c>
      <c r="C1762" t="str">
        <f>IF(ISNUMBER(B1762),B1762+14,"")</f>
        <v/>
      </c>
      <c r="D1762" t="str">
        <f>IF(ISNUMBER(C1762),C1762*(9/5)+32,"")</f>
        <v/>
      </c>
    </row>
    <row r="1763" spans="1:4" ht="15" customHeight="1">
      <c r="A1763" t="s">
        <v>1826</v>
      </c>
      <c r="B1763" s="15" t="str">
        <f>INDEX('GLB.Ts+dSST (4)'!$B$3:$M$149,MATCH(VALUE(RIGHT(A1763,4)),'GLB.Ts+dSST (4)'!$A$3:$A$149,0),VALUE(LEFT(A1763,FIND("/",A1763)-1)))</f>
        <v>***</v>
      </c>
      <c r="C1763" t="str">
        <f>IF(ISNUMBER(B1763),B1763+14,"")</f>
        <v/>
      </c>
      <c r="D1763" t="str">
        <f>IF(ISNUMBER(C1763),C1763*(9/5)+32,"")</f>
        <v/>
      </c>
    </row>
    <row r="1764" spans="1:4" ht="15" customHeight="1">
      <c r="A1764" t="s">
        <v>1827</v>
      </c>
      <c r="B1764" s="15" t="str">
        <f>INDEX('GLB.Ts+dSST (4)'!$B$3:$M$149,MATCH(VALUE(RIGHT(A1764,4)),'GLB.Ts+dSST (4)'!$A$3:$A$149,0),VALUE(LEFT(A1764,FIND("/",A1764)-1)))</f>
        <v>***</v>
      </c>
      <c r="C1764" t="str">
        <f>IF(ISNUMBER(B1764),B1764+14,"")</f>
        <v/>
      </c>
      <c r="D1764" t="str">
        <f>IF(ISNUMBER(C1764),C1764*(9/5)+32,"")</f>
        <v/>
      </c>
    </row>
    <row r="1765" spans="1:4" ht="15" customHeight="1">
      <c r="A1765" t="s">
        <v>1828</v>
      </c>
      <c r="B1765" s="15" t="str">
        <f>INDEX('GLB.Ts+dSST (4)'!$B$3:$M$149,MATCH(VALUE(RIGHT(A1765,4)),'GLB.Ts+dSST (4)'!$A$3:$A$149,0),VALUE(LEFT(A1765,FIND("/",A1765)-1)))</f>
        <v>***</v>
      </c>
      <c r="C1765" t="str">
        <f>IF(ISNUMBER(B1765),B1765+14,"")</f>
        <v/>
      </c>
      <c r="D1765" t="str">
        <f>IF(ISNUMBER(C1765),C1765*(9/5)+32,"")</f>
        <v/>
      </c>
    </row>
  </sheetData>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09378-6716-46CB-BFBA-69511738D236}">
  <dimension ref="A1:C1765"/>
  <sheetViews>
    <sheetView zoomScaleNormal="100" workbookViewId="0">
      <selection activeCell="S1240" sqref="S1240"/>
    </sheetView>
  </sheetViews>
  <sheetFormatPr defaultColWidth="8.5703125" defaultRowHeight="15"/>
  <sheetData>
    <row r="1" spans="1:2" ht="15" customHeight="1">
      <c r="A1" t="s">
        <v>63</v>
      </c>
      <c r="B1" s="16" t="s">
        <v>1829</v>
      </c>
    </row>
    <row r="2" spans="1:2" ht="15" customHeight="1">
      <c r="A2" t="s">
        <v>65</v>
      </c>
      <c r="B2" s="15">
        <f>'Temp Dev, C, F'!D2</f>
        <v>56.858000000000004</v>
      </c>
    </row>
    <row r="3" spans="1:2" ht="15" customHeight="1">
      <c r="A3" t="s">
        <v>66</v>
      </c>
      <c r="B3" s="15">
        <f>'Temp Dev, C, F'!D3</f>
        <v>56.731999999999999</v>
      </c>
    </row>
    <row r="4" spans="1:2" ht="15" customHeight="1">
      <c r="A4" t="s">
        <v>67</v>
      </c>
      <c r="B4" s="15">
        <f>'Temp Dev, C, F'!D4</f>
        <v>57.019999999999996</v>
      </c>
    </row>
    <row r="5" spans="1:2" ht="15" customHeight="1">
      <c r="A5" t="s">
        <v>68</v>
      </c>
      <c r="B5" s="15">
        <f>'Temp Dev, C, F'!D5</f>
        <v>56.894000000000005</v>
      </c>
    </row>
    <row r="6" spans="1:2" ht="15" customHeight="1">
      <c r="A6" t="s">
        <v>69</v>
      </c>
      <c r="B6" s="15">
        <f>'Temp Dev, C, F'!D6</f>
        <v>57.002000000000002</v>
      </c>
    </row>
    <row r="7" spans="1:2" ht="15" customHeight="1">
      <c r="A7" t="s">
        <v>70</v>
      </c>
      <c r="B7" s="15">
        <f>'Temp Dev, C, F'!D7</f>
        <v>56.804000000000002</v>
      </c>
    </row>
    <row r="8" spans="1:2" ht="15" customHeight="1">
      <c r="A8" t="s">
        <v>71</v>
      </c>
      <c r="B8" s="15">
        <f>'Temp Dev, C, F'!D8</f>
        <v>56.858000000000004</v>
      </c>
    </row>
    <row r="9" spans="1:2" ht="15" customHeight="1">
      <c r="A9" t="s">
        <v>72</v>
      </c>
      <c r="B9" s="15">
        <f>'Temp Dev, C, F'!D9</f>
        <v>57.002000000000002</v>
      </c>
    </row>
    <row r="10" spans="1:2" ht="15" customHeight="1">
      <c r="A10" t="s">
        <v>73</v>
      </c>
      <c r="B10" s="15">
        <f>'Temp Dev, C, F'!D10</f>
        <v>56.93</v>
      </c>
    </row>
    <row r="11" spans="1:2" ht="15" customHeight="1">
      <c r="A11" t="s">
        <v>74</v>
      </c>
      <c r="B11" s="15">
        <f>'Temp Dev, C, F'!D11</f>
        <v>56.768000000000001</v>
      </c>
    </row>
    <row r="12" spans="1:2" ht="15" customHeight="1">
      <c r="A12" t="s">
        <v>75</v>
      </c>
      <c r="B12" s="15">
        <f>'Temp Dev, C, F'!D12</f>
        <v>56.786000000000001</v>
      </c>
    </row>
    <row r="13" spans="1:2" ht="15" customHeight="1">
      <c r="A13" t="s">
        <v>76</v>
      </c>
      <c r="B13" s="15">
        <f>'Temp Dev, C, F'!D13</f>
        <v>56.876000000000005</v>
      </c>
    </row>
    <row r="14" spans="1:2" ht="15" customHeight="1">
      <c r="A14" t="s">
        <v>77</v>
      </c>
      <c r="B14" s="15">
        <f>'Temp Dev, C, F'!D14</f>
        <v>56.84</v>
      </c>
    </row>
    <row r="15" spans="1:2" ht="15" customHeight="1">
      <c r="A15" t="s">
        <v>78</v>
      </c>
      <c r="B15" s="15">
        <f>'Temp Dev, C, F'!D15</f>
        <v>56.93</v>
      </c>
    </row>
    <row r="16" spans="1:2" ht="15" customHeight="1">
      <c r="A16" t="s">
        <v>79</v>
      </c>
      <c r="B16" s="15">
        <f>'Temp Dev, C, F'!D16</f>
        <v>57.253999999999998</v>
      </c>
    </row>
    <row r="17" spans="1:2" ht="15" customHeight="1">
      <c r="A17" t="s">
        <v>80</v>
      </c>
      <c r="B17" s="15">
        <f>'Temp Dev, C, F'!D17</f>
        <v>57.290000000000006</v>
      </c>
    </row>
    <row r="18" spans="1:2" ht="15" customHeight="1">
      <c r="A18" t="s">
        <v>81</v>
      </c>
      <c r="B18" s="15">
        <f>'Temp Dev, C, F'!D18</f>
        <v>57.290000000000006</v>
      </c>
    </row>
    <row r="19" spans="1:2" ht="15" customHeight="1">
      <c r="A19" t="s">
        <v>82</v>
      </c>
      <c r="B19" s="15">
        <f>'Temp Dev, C, F'!D19</f>
        <v>56.858000000000004</v>
      </c>
    </row>
    <row r="20" spans="1:2" ht="15" customHeight="1">
      <c r="A20" t="s">
        <v>83</v>
      </c>
      <c r="B20" s="15">
        <f>'Temp Dev, C, F'!D20</f>
        <v>57.2</v>
      </c>
    </row>
    <row r="21" spans="1:2" ht="15" customHeight="1">
      <c r="A21" t="s">
        <v>84</v>
      </c>
      <c r="B21" s="15">
        <f>'Temp Dev, C, F'!D21</f>
        <v>57.128</v>
      </c>
    </row>
    <row r="22" spans="1:2" ht="15" customHeight="1">
      <c r="A22" t="s">
        <v>85</v>
      </c>
      <c r="B22" s="15">
        <f>'Temp Dev, C, F'!D22</f>
        <v>56.911999999999999</v>
      </c>
    </row>
    <row r="23" spans="1:2" ht="15" customHeight="1">
      <c r="A23" t="s">
        <v>86</v>
      </c>
      <c r="B23" s="15">
        <f>'Temp Dev, C, F'!D23</f>
        <v>56.804000000000002</v>
      </c>
    </row>
    <row r="24" spans="1:2" ht="15" customHeight="1">
      <c r="A24" t="s">
        <v>87</v>
      </c>
      <c r="B24" s="15">
        <f>'Temp Dev, C, F'!D24</f>
        <v>56.858000000000004</v>
      </c>
    </row>
    <row r="25" spans="1:2" ht="15" customHeight="1">
      <c r="A25" t="s">
        <v>88</v>
      </c>
      <c r="B25" s="15">
        <f>'Temp Dev, C, F'!D25</f>
        <v>57.055999999999997</v>
      </c>
    </row>
    <row r="26" spans="1:2" ht="15" customHeight="1">
      <c r="A26" t="s">
        <v>89</v>
      </c>
      <c r="B26" s="15">
        <f>'Temp Dev, C, F'!D26</f>
        <v>57.488</v>
      </c>
    </row>
    <row r="27" spans="1:2" ht="15" customHeight="1">
      <c r="A27" t="s">
        <v>90</v>
      </c>
      <c r="B27" s="15">
        <f>'Temp Dev, C, F'!D27</f>
        <v>57.433999999999997</v>
      </c>
    </row>
    <row r="28" spans="1:2" ht="15" customHeight="1">
      <c r="A28" t="s">
        <v>91</v>
      </c>
      <c r="B28" s="15">
        <f>'Temp Dev, C, F'!D28</f>
        <v>57.271999999999998</v>
      </c>
    </row>
    <row r="29" spans="1:2" ht="15" customHeight="1">
      <c r="A29" t="s">
        <v>92</v>
      </c>
      <c r="B29" s="15">
        <f>'Temp Dev, C, F'!D29</f>
        <v>56.911999999999999</v>
      </c>
    </row>
    <row r="30" spans="1:2" ht="15" customHeight="1">
      <c r="A30" t="s">
        <v>93</v>
      </c>
      <c r="B30" s="15">
        <f>'Temp Dev, C, F'!D30</f>
        <v>56.948</v>
      </c>
    </row>
    <row r="31" spans="1:2" ht="15" customHeight="1">
      <c r="A31" t="s">
        <v>94</v>
      </c>
      <c r="B31" s="15">
        <f>'Temp Dev, C, F'!D31</f>
        <v>56.786000000000001</v>
      </c>
    </row>
    <row r="32" spans="1:2" ht="15" customHeight="1">
      <c r="A32" t="s">
        <v>95</v>
      </c>
      <c r="B32" s="15">
        <f>'Temp Dev, C, F'!D32</f>
        <v>56.894000000000005</v>
      </c>
    </row>
    <row r="33" spans="1:2" ht="15" customHeight="1">
      <c r="A33" t="s">
        <v>96</v>
      </c>
      <c r="B33" s="15">
        <f>'Temp Dev, C, F'!D33</f>
        <v>57.055999999999997</v>
      </c>
    </row>
    <row r="34" spans="1:2" ht="15" customHeight="1">
      <c r="A34" t="s">
        <v>97</v>
      </c>
      <c r="B34" s="15">
        <f>'Temp Dev, C, F'!D34</f>
        <v>56.93</v>
      </c>
    </row>
    <row r="35" spans="1:2" ht="15" customHeight="1">
      <c r="A35" t="s">
        <v>98</v>
      </c>
      <c r="B35" s="15">
        <f>'Temp Dev, C, F'!D35</f>
        <v>56.768000000000001</v>
      </c>
    </row>
    <row r="36" spans="1:2" ht="15" customHeight="1">
      <c r="A36" t="s">
        <v>99</v>
      </c>
      <c r="B36" s="15">
        <f>'Temp Dev, C, F'!D36</f>
        <v>56.894000000000005</v>
      </c>
    </row>
    <row r="37" spans="1:2" ht="15" customHeight="1">
      <c r="A37" t="s">
        <v>100</v>
      </c>
      <c r="B37" s="15">
        <f>'Temp Dev, C, F'!D37</f>
        <v>56.534000000000006</v>
      </c>
    </row>
    <row r="38" spans="1:2" ht="15" customHeight="1">
      <c r="A38" t="s">
        <v>101</v>
      </c>
      <c r="B38" s="15">
        <f>'Temp Dev, C, F'!D38</f>
        <v>56.66</v>
      </c>
    </row>
    <row r="39" spans="1:2" ht="15" customHeight="1">
      <c r="A39" t="s">
        <v>102</v>
      </c>
      <c r="B39" s="15">
        <f>'Temp Dev, C, F'!D39</f>
        <v>56.534000000000006</v>
      </c>
    </row>
    <row r="40" spans="1:2" ht="15" customHeight="1">
      <c r="A40" t="s">
        <v>103</v>
      </c>
      <c r="B40" s="15">
        <f>'Temp Dev, C, F'!D40</f>
        <v>56.965999999999994</v>
      </c>
    </row>
    <row r="41" spans="1:2" ht="15" customHeight="1">
      <c r="A41" t="s">
        <v>104</v>
      </c>
      <c r="B41" s="15">
        <f>'Temp Dev, C, F'!D41</f>
        <v>56.858000000000004</v>
      </c>
    </row>
    <row r="42" spans="1:2" ht="15" customHeight="1">
      <c r="A42" t="s">
        <v>105</v>
      </c>
      <c r="B42" s="15">
        <f>'Temp Dev, C, F'!D42</f>
        <v>56.876000000000005</v>
      </c>
    </row>
    <row r="43" spans="1:2" ht="15" customHeight="1">
      <c r="A43" t="s">
        <v>106</v>
      </c>
      <c r="B43" s="15">
        <f>'Temp Dev, C, F'!D43</f>
        <v>57.073999999999998</v>
      </c>
    </row>
    <row r="44" spans="1:2" ht="15" customHeight="1">
      <c r="A44" t="s">
        <v>107</v>
      </c>
      <c r="B44" s="15">
        <f>'Temp Dev, C, F'!D44</f>
        <v>57.055999999999997</v>
      </c>
    </row>
    <row r="45" spans="1:2" ht="15" customHeight="1">
      <c r="A45" t="s">
        <v>108</v>
      </c>
      <c r="B45" s="15">
        <f>'Temp Dev, C, F'!D45</f>
        <v>56.948</v>
      </c>
    </row>
    <row r="46" spans="1:2" ht="15" customHeight="1">
      <c r="A46" t="s">
        <v>109</v>
      </c>
      <c r="B46" s="15">
        <f>'Temp Dev, C, F'!D46</f>
        <v>56.804000000000002</v>
      </c>
    </row>
    <row r="47" spans="1:2" ht="15" customHeight="1">
      <c r="A47" t="s">
        <v>110</v>
      </c>
      <c r="B47" s="15">
        <f>'Temp Dev, C, F'!D47</f>
        <v>57.002000000000002</v>
      </c>
    </row>
    <row r="48" spans="1:2" ht="15" customHeight="1">
      <c r="A48" t="s">
        <v>111</v>
      </c>
      <c r="B48" s="15">
        <f>'Temp Dev, C, F'!D48</f>
        <v>56.75</v>
      </c>
    </row>
    <row r="49" spans="1:2" ht="15" customHeight="1">
      <c r="A49" t="s">
        <v>112</v>
      </c>
      <c r="B49" s="15">
        <f>'Temp Dev, C, F'!D49</f>
        <v>56.984000000000002</v>
      </c>
    </row>
    <row r="50" spans="1:2" ht="15" customHeight="1">
      <c r="A50" t="s">
        <v>113</v>
      </c>
      <c r="B50" s="15">
        <f>'Temp Dev, C, F'!D50</f>
        <v>56.965999999999994</v>
      </c>
    </row>
    <row r="51" spans="1:2" ht="15" customHeight="1">
      <c r="A51" t="s">
        <v>114</v>
      </c>
      <c r="B51" s="15">
        <f>'Temp Dev, C, F'!D51</f>
        <v>57.055999999999997</v>
      </c>
    </row>
    <row r="52" spans="1:2" ht="15" customHeight="1">
      <c r="A52" t="s">
        <v>115</v>
      </c>
      <c r="B52" s="15">
        <f>'Temp Dev, C, F'!D52</f>
        <v>56.552000000000007</v>
      </c>
    </row>
    <row r="53" spans="1:2" ht="15" customHeight="1">
      <c r="A53" t="s">
        <v>116</v>
      </c>
      <c r="B53" s="15">
        <f>'Temp Dev, C, F'!D53</f>
        <v>56.480000000000004</v>
      </c>
    </row>
    <row r="54" spans="1:2" ht="15" customHeight="1">
      <c r="A54" t="s">
        <v>117</v>
      </c>
      <c r="B54" s="15">
        <f>'Temp Dev, C, F'!D54</f>
        <v>56.588000000000001</v>
      </c>
    </row>
    <row r="55" spans="1:2" ht="15" customHeight="1">
      <c r="A55" t="s">
        <v>118</v>
      </c>
      <c r="B55" s="15">
        <f>'Temp Dev, C, F'!D55</f>
        <v>56.57</v>
      </c>
    </row>
    <row r="56" spans="1:2" ht="15" customHeight="1">
      <c r="A56" t="s">
        <v>119</v>
      </c>
      <c r="B56" s="15">
        <f>'Temp Dev, C, F'!D56</f>
        <v>56.641999999999996</v>
      </c>
    </row>
    <row r="57" spans="1:2" ht="15" customHeight="1">
      <c r="A57" t="s">
        <v>120</v>
      </c>
      <c r="B57" s="15">
        <f>'Temp Dev, C, F'!D57</f>
        <v>56.695999999999998</v>
      </c>
    </row>
    <row r="58" spans="1:2" ht="15" customHeight="1">
      <c r="A58" t="s">
        <v>121</v>
      </c>
      <c r="B58" s="15">
        <f>'Temp Dev, C, F'!D58</f>
        <v>56.713999999999999</v>
      </c>
    </row>
    <row r="59" spans="1:2" ht="15" customHeight="1">
      <c r="A59" t="s">
        <v>122</v>
      </c>
      <c r="B59" s="15">
        <f>'Temp Dev, C, F'!D59</f>
        <v>56.75</v>
      </c>
    </row>
    <row r="60" spans="1:2" ht="15" customHeight="1">
      <c r="A60" t="s">
        <v>123</v>
      </c>
      <c r="B60" s="15">
        <f>'Temp Dev, C, F'!D60</f>
        <v>56.588000000000001</v>
      </c>
    </row>
    <row r="61" spans="1:2" ht="15" customHeight="1">
      <c r="A61" t="s">
        <v>124</v>
      </c>
      <c r="B61" s="15">
        <f>'Temp Dev, C, F'!D61</f>
        <v>56.641999999999996</v>
      </c>
    </row>
    <row r="62" spans="1:2" ht="15" customHeight="1">
      <c r="A62" t="s">
        <v>125</v>
      </c>
      <c r="B62" s="15">
        <f>'Temp Dev, C, F'!D62</f>
        <v>56.138000000000005</v>
      </c>
    </row>
    <row r="63" spans="1:2" ht="15" customHeight="1">
      <c r="A63" t="s">
        <v>126</v>
      </c>
      <c r="B63" s="15">
        <f>'Temp Dev, C, F'!D63</f>
        <v>56.588000000000001</v>
      </c>
    </row>
    <row r="64" spans="1:2" ht="15" customHeight="1">
      <c r="A64" t="s">
        <v>127</v>
      </c>
      <c r="B64" s="15">
        <f>'Temp Dev, C, F'!D64</f>
        <v>56.713999999999999</v>
      </c>
    </row>
    <row r="65" spans="1:2" ht="15" customHeight="1">
      <c r="A65" t="s">
        <v>128</v>
      </c>
      <c r="B65" s="15">
        <f>'Temp Dev, C, F'!D65</f>
        <v>56.444000000000003</v>
      </c>
    </row>
    <row r="66" spans="1:2" ht="15" customHeight="1">
      <c r="A66" t="s">
        <v>129</v>
      </c>
      <c r="B66" s="15">
        <f>'Temp Dev, C, F'!D66</f>
        <v>56.372</v>
      </c>
    </row>
    <row r="67" spans="1:2" ht="15" customHeight="1">
      <c r="A67" t="s">
        <v>130</v>
      </c>
      <c r="B67" s="15">
        <f>'Temp Dev, C, F'!D67</f>
        <v>56.408000000000001</v>
      </c>
    </row>
    <row r="68" spans="1:2" ht="15" customHeight="1">
      <c r="A68" t="s">
        <v>131</v>
      </c>
      <c r="B68" s="15">
        <f>'Temp Dev, C, F'!D68</f>
        <v>56.588000000000001</v>
      </c>
    </row>
    <row r="69" spans="1:2" ht="15" customHeight="1">
      <c r="A69" t="s">
        <v>132</v>
      </c>
      <c r="B69" s="15">
        <f>'Temp Dev, C, F'!D69</f>
        <v>56.623999999999995</v>
      </c>
    </row>
    <row r="70" spans="1:2" ht="15" customHeight="1">
      <c r="A70" t="s">
        <v>133</v>
      </c>
      <c r="B70" s="15">
        <f>'Temp Dev, C, F'!D70</f>
        <v>56.677999999999997</v>
      </c>
    </row>
    <row r="71" spans="1:2" ht="15" customHeight="1">
      <c r="A71" t="s">
        <v>134</v>
      </c>
      <c r="B71" s="15">
        <f>'Temp Dev, C, F'!D71</f>
        <v>56.768000000000001</v>
      </c>
    </row>
    <row r="72" spans="1:2" ht="15" customHeight="1">
      <c r="A72" t="s">
        <v>135</v>
      </c>
      <c r="B72" s="15">
        <f>'Temp Dev, C, F'!D72</f>
        <v>56.75</v>
      </c>
    </row>
    <row r="73" spans="1:2" ht="15" customHeight="1">
      <c r="A73" t="s">
        <v>136</v>
      </c>
      <c r="B73" s="15">
        <f>'Temp Dev, C, F'!D73</f>
        <v>57.002000000000002</v>
      </c>
    </row>
    <row r="74" spans="1:2" ht="15" customHeight="1">
      <c r="A74" t="s">
        <v>137</v>
      </c>
      <c r="B74" s="15">
        <f>'Temp Dev, C, F'!D74</f>
        <v>56.39</v>
      </c>
    </row>
    <row r="75" spans="1:2" ht="15" customHeight="1">
      <c r="A75" t="s">
        <v>138</v>
      </c>
      <c r="B75" s="15">
        <f>'Temp Dev, C, F'!D75</f>
        <v>56.281999999999996</v>
      </c>
    </row>
    <row r="76" spans="1:2" ht="15" customHeight="1">
      <c r="A76" t="s">
        <v>139</v>
      </c>
      <c r="B76" s="15">
        <f>'Temp Dev, C, F'!D76</f>
        <v>56.408000000000001</v>
      </c>
    </row>
    <row r="77" spans="1:2" ht="15" customHeight="1">
      <c r="A77" t="s">
        <v>140</v>
      </c>
      <c r="B77" s="15">
        <f>'Temp Dev, C, F'!D77</f>
        <v>56.677999999999997</v>
      </c>
    </row>
    <row r="78" spans="1:2" ht="15" customHeight="1">
      <c r="A78" t="s">
        <v>141</v>
      </c>
      <c r="B78" s="15">
        <f>'Temp Dev, C, F'!D78</f>
        <v>56.75</v>
      </c>
    </row>
    <row r="79" spans="1:2" ht="15" customHeight="1">
      <c r="A79" t="s">
        <v>142</v>
      </c>
      <c r="B79" s="15">
        <f>'Temp Dev, C, F'!D79</f>
        <v>56.57</v>
      </c>
    </row>
    <row r="80" spans="1:2" ht="15" customHeight="1">
      <c r="A80" t="s">
        <v>143</v>
      </c>
      <c r="B80" s="15">
        <f>'Temp Dev, C, F'!D80</f>
        <v>56.876000000000005</v>
      </c>
    </row>
    <row r="81" spans="1:2" ht="15" customHeight="1">
      <c r="A81" t="s">
        <v>144</v>
      </c>
      <c r="B81" s="15">
        <f>'Temp Dev, C, F'!D81</f>
        <v>56.641999999999996</v>
      </c>
    </row>
    <row r="82" spans="1:2" ht="15" customHeight="1">
      <c r="A82" t="s">
        <v>145</v>
      </c>
      <c r="B82" s="15">
        <f>'Temp Dev, C, F'!D82</f>
        <v>56.768000000000001</v>
      </c>
    </row>
    <row r="83" spans="1:2" ht="15" customHeight="1">
      <c r="A83" t="s">
        <v>146</v>
      </c>
      <c r="B83" s="15">
        <f>'Temp Dev, C, F'!D83</f>
        <v>56.695999999999998</v>
      </c>
    </row>
    <row r="84" spans="1:2" ht="15" customHeight="1">
      <c r="A84" t="s">
        <v>147</v>
      </c>
      <c r="B84" s="15">
        <f>'Temp Dev, C, F'!D84</f>
        <v>56.695999999999998</v>
      </c>
    </row>
    <row r="85" spans="1:2" ht="15" customHeight="1">
      <c r="A85" t="s">
        <v>148</v>
      </c>
      <c r="B85" s="15">
        <f>'Temp Dev, C, F'!D85</f>
        <v>56.731999999999999</v>
      </c>
    </row>
    <row r="86" spans="1:2" ht="15" customHeight="1">
      <c r="A86" t="s">
        <v>149</v>
      </c>
      <c r="B86" s="15">
        <f>'Temp Dev, C, F'!D86</f>
        <v>55.903999999999996</v>
      </c>
    </row>
    <row r="87" spans="1:2" ht="15" customHeight="1">
      <c r="A87" t="s">
        <v>150</v>
      </c>
      <c r="B87" s="15">
        <f>'Temp Dev, C, F'!D87</f>
        <v>56.173999999999999</v>
      </c>
    </row>
    <row r="88" spans="1:2" ht="15" customHeight="1">
      <c r="A88" t="s">
        <v>151</v>
      </c>
      <c r="B88" s="15">
        <f>'Temp Dev, C, F'!D88</f>
        <v>56.552000000000007</v>
      </c>
    </row>
    <row r="89" spans="1:2" ht="15" customHeight="1">
      <c r="A89" t="s">
        <v>152</v>
      </c>
      <c r="B89" s="15">
        <f>'Temp Dev, C, F'!D89</f>
        <v>56.57</v>
      </c>
    </row>
    <row r="90" spans="1:2" ht="15" customHeight="1">
      <c r="A90" t="s">
        <v>153</v>
      </c>
      <c r="B90" s="15">
        <f>'Temp Dev, C, F'!D90</f>
        <v>56.641999999999996</v>
      </c>
    </row>
    <row r="91" spans="1:2" ht="15" customHeight="1">
      <c r="A91" t="s">
        <v>154</v>
      </c>
      <c r="B91" s="15">
        <f>'Temp Dev, C, F'!D91</f>
        <v>56.75</v>
      </c>
    </row>
    <row r="92" spans="1:2" ht="15" customHeight="1">
      <c r="A92" t="s">
        <v>155</v>
      </c>
      <c r="B92" s="15">
        <f>'Temp Dev, C, F'!D92</f>
        <v>56.731999999999999</v>
      </c>
    </row>
    <row r="93" spans="1:2" ht="15" customHeight="1">
      <c r="A93" t="s">
        <v>156</v>
      </c>
      <c r="B93" s="15">
        <f>'Temp Dev, C, F'!D93</f>
        <v>56.552000000000007</v>
      </c>
    </row>
    <row r="94" spans="1:2" ht="15" customHeight="1">
      <c r="A94" t="s">
        <v>157</v>
      </c>
      <c r="B94" s="15">
        <f>'Temp Dev, C, F'!D94</f>
        <v>56.731999999999999</v>
      </c>
    </row>
    <row r="95" spans="1:2" ht="15" customHeight="1">
      <c r="A95" t="s">
        <v>158</v>
      </c>
      <c r="B95" s="15">
        <f>'Temp Dev, C, F'!D95</f>
        <v>56.552000000000007</v>
      </c>
    </row>
    <row r="96" spans="1:2" ht="15" customHeight="1">
      <c r="A96" t="s">
        <v>159</v>
      </c>
      <c r="B96" s="15">
        <f>'Temp Dev, C, F'!D96</f>
        <v>56.731999999999999</v>
      </c>
    </row>
    <row r="97" spans="1:2" ht="15" customHeight="1">
      <c r="A97" t="s">
        <v>160</v>
      </c>
      <c r="B97" s="15">
        <f>'Temp Dev, C, F'!D97</f>
        <v>56.588000000000001</v>
      </c>
    </row>
    <row r="98" spans="1:2" ht="15" customHeight="1">
      <c r="A98" t="s">
        <v>161</v>
      </c>
      <c r="B98" s="15">
        <f>'Temp Dev, C, F'!D98</f>
        <v>56.588000000000001</v>
      </c>
    </row>
    <row r="99" spans="1:2" ht="15" customHeight="1">
      <c r="A99" t="s">
        <v>162</v>
      </c>
      <c r="B99" s="15">
        <f>'Temp Dev, C, F'!D99</f>
        <v>56.534000000000006</v>
      </c>
    </row>
    <row r="100" spans="1:2" ht="15" customHeight="1">
      <c r="A100" t="s">
        <v>163</v>
      </c>
      <c r="B100" s="15">
        <f>'Temp Dev, C, F'!D100</f>
        <v>56.444000000000003</v>
      </c>
    </row>
    <row r="101" spans="1:2" ht="15" customHeight="1">
      <c r="A101" t="s">
        <v>164</v>
      </c>
      <c r="B101" s="15">
        <f>'Temp Dev, C, F'!D101</f>
        <v>56.822000000000003</v>
      </c>
    </row>
    <row r="102" spans="1:2" ht="15" customHeight="1">
      <c r="A102" t="s">
        <v>165</v>
      </c>
      <c r="B102" s="15">
        <f>'Temp Dev, C, F'!D102</f>
        <v>56.786000000000001</v>
      </c>
    </row>
    <row r="103" spans="1:2" ht="15" customHeight="1">
      <c r="A103" t="s">
        <v>166</v>
      </c>
      <c r="B103" s="15">
        <f>'Temp Dev, C, F'!D103</f>
        <v>56.876000000000005</v>
      </c>
    </row>
    <row r="104" spans="1:2" ht="15" customHeight="1">
      <c r="A104" t="s">
        <v>167</v>
      </c>
      <c r="B104" s="15">
        <f>'Temp Dev, C, F'!D104</f>
        <v>57.002000000000002</v>
      </c>
    </row>
    <row r="105" spans="1:2" ht="15" customHeight="1">
      <c r="A105" t="s">
        <v>168</v>
      </c>
      <c r="B105" s="15">
        <f>'Temp Dev, C, F'!D105</f>
        <v>56.911999999999999</v>
      </c>
    </row>
    <row r="106" spans="1:2" ht="15" customHeight="1">
      <c r="A106" t="s">
        <v>169</v>
      </c>
      <c r="B106" s="15">
        <f>'Temp Dev, C, F'!D106</f>
        <v>56.984000000000002</v>
      </c>
    </row>
    <row r="107" spans="1:2" ht="15" customHeight="1">
      <c r="A107" t="s">
        <v>170</v>
      </c>
      <c r="B107" s="15">
        <f>'Temp Dev, C, F'!D107</f>
        <v>57.218000000000004</v>
      </c>
    </row>
    <row r="108" spans="1:2" ht="15" customHeight="1">
      <c r="A108" t="s">
        <v>171</v>
      </c>
      <c r="B108" s="15">
        <f>'Temp Dev, C, F'!D108</f>
        <v>57.236000000000004</v>
      </c>
    </row>
    <row r="109" spans="1:2" ht="15" customHeight="1">
      <c r="A109" t="s">
        <v>172</v>
      </c>
      <c r="B109" s="15">
        <f>'Temp Dev, C, F'!D109</f>
        <v>57.11</v>
      </c>
    </row>
    <row r="110" spans="1:2" ht="15" customHeight="1">
      <c r="A110" t="s">
        <v>173</v>
      </c>
      <c r="B110" s="15">
        <f>'Temp Dev, C, F'!D110</f>
        <v>57.019999999999996</v>
      </c>
    </row>
    <row r="111" spans="1:2" ht="15" customHeight="1">
      <c r="A111" t="s">
        <v>174</v>
      </c>
      <c r="B111" s="15">
        <f>'Temp Dev, C, F'!D111</f>
        <v>57.488</v>
      </c>
    </row>
    <row r="112" spans="1:2" ht="15" customHeight="1">
      <c r="A112" t="s">
        <v>175</v>
      </c>
      <c r="B112" s="15">
        <f>'Temp Dev, C, F'!D112</f>
        <v>57.290000000000006</v>
      </c>
    </row>
    <row r="113" spans="1:2" ht="15" customHeight="1">
      <c r="A113" t="s">
        <v>176</v>
      </c>
      <c r="B113" s="15">
        <f>'Temp Dev, C, F'!D113</f>
        <v>57.344000000000001</v>
      </c>
    </row>
    <row r="114" spans="1:2" ht="15" customHeight="1">
      <c r="A114" t="s">
        <v>177</v>
      </c>
      <c r="B114" s="15">
        <f>'Temp Dev, C, F'!D114</f>
        <v>57.164000000000001</v>
      </c>
    </row>
    <row r="115" spans="1:2" ht="15" customHeight="1">
      <c r="A115" t="s">
        <v>178</v>
      </c>
      <c r="B115" s="15">
        <f>'Temp Dev, C, F'!D115</f>
        <v>57.002000000000002</v>
      </c>
    </row>
    <row r="116" spans="1:2" ht="15" customHeight="1">
      <c r="A116" t="s">
        <v>179</v>
      </c>
      <c r="B116" s="15">
        <f>'Temp Dev, C, F'!D116</f>
        <v>57.055999999999997</v>
      </c>
    </row>
    <row r="117" spans="1:2" ht="15" customHeight="1">
      <c r="A117" t="s">
        <v>180</v>
      </c>
      <c r="B117" s="15">
        <f>'Temp Dev, C, F'!D117</f>
        <v>56.822000000000003</v>
      </c>
    </row>
    <row r="118" spans="1:2" ht="15" customHeight="1">
      <c r="A118" t="s">
        <v>181</v>
      </c>
      <c r="B118" s="15">
        <f>'Temp Dev, C, F'!D118</f>
        <v>56.768000000000001</v>
      </c>
    </row>
    <row r="119" spans="1:2" ht="15" customHeight="1">
      <c r="A119" t="s">
        <v>182</v>
      </c>
      <c r="B119" s="15">
        <f>'Temp Dev, C, F'!D119</f>
        <v>56.731999999999999</v>
      </c>
    </row>
    <row r="120" spans="1:2" ht="15" customHeight="1">
      <c r="A120" t="s">
        <v>183</v>
      </c>
      <c r="B120" s="15">
        <f>'Temp Dev, C, F'!D120</f>
        <v>56.588000000000001</v>
      </c>
    </row>
    <row r="121" spans="1:2" ht="15" customHeight="1">
      <c r="A121" t="s">
        <v>184</v>
      </c>
      <c r="B121" s="15">
        <f>'Temp Dev, C, F'!D121</f>
        <v>56.677999999999997</v>
      </c>
    </row>
    <row r="122" spans="1:2" ht="15" customHeight="1">
      <c r="A122" t="s">
        <v>185</v>
      </c>
      <c r="B122" s="15">
        <f>'Temp Dev, C, F'!D122</f>
        <v>56.426000000000002</v>
      </c>
    </row>
    <row r="123" spans="1:2" ht="15" customHeight="1">
      <c r="A123" t="s">
        <v>186</v>
      </c>
      <c r="B123" s="15">
        <f>'Temp Dev, C, F'!D123</f>
        <v>56.372</v>
      </c>
    </row>
    <row r="124" spans="1:2" ht="15" customHeight="1">
      <c r="A124" t="s">
        <v>187</v>
      </c>
      <c r="B124" s="15">
        <f>'Temp Dev, C, F'!D124</f>
        <v>56.462000000000003</v>
      </c>
    </row>
    <row r="125" spans="1:2" ht="15" customHeight="1">
      <c r="A125" t="s">
        <v>188</v>
      </c>
      <c r="B125" s="15">
        <f>'Temp Dev, C, F'!D125</f>
        <v>56.66</v>
      </c>
    </row>
    <row r="126" spans="1:2" ht="15" customHeight="1">
      <c r="A126" t="s">
        <v>189</v>
      </c>
      <c r="B126" s="15">
        <f>'Temp Dev, C, F'!D126</f>
        <v>56.480000000000004</v>
      </c>
    </row>
    <row r="127" spans="1:2" ht="15" customHeight="1">
      <c r="A127" t="s">
        <v>190</v>
      </c>
      <c r="B127" s="15">
        <f>'Temp Dev, C, F'!D127</f>
        <v>56.75</v>
      </c>
    </row>
    <row r="128" spans="1:2" ht="15" customHeight="1">
      <c r="A128" t="s">
        <v>191</v>
      </c>
      <c r="B128" s="15">
        <f>'Temp Dev, C, F'!D128</f>
        <v>56.677999999999997</v>
      </c>
    </row>
    <row r="129" spans="1:2" ht="15" customHeight="1">
      <c r="A129" t="s">
        <v>192</v>
      </c>
      <c r="B129" s="15">
        <f>'Temp Dev, C, F'!D129</f>
        <v>56.480000000000004</v>
      </c>
    </row>
    <row r="130" spans="1:2" ht="15" customHeight="1">
      <c r="A130" t="s">
        <v>193</v>
      </c>
      <c r="B130" s="15">
        <f>'Temp Dev, C, F'!D130</f>
        <v>56.534000000000006</v>
      </c>
    </row>
    <row r="131" spans="1:2" ht="15" customHeight="1">
      <c r="A131" t="s">
        <v>194</v>
      </c>
      <c r="B131" s="15">
        <f>'Temp Dev, C, F'!D131</f>
        <v>56.731999999999999</v>
      </c>
    </row>
    <row r="132" spans="1:2" ht="15" customHeight="1">
      <c r="A132" t="s">
        <v>195</v>
      </c>
      <c r="B132" s="15">
        <f>'Temp Dev, C, F'!D132</f>
        <v>56.39</v>
      </c>
    </row>
    <row r="133" spans="1:2" ht="15" customHeight="1">
      <c r="A133" t="s">
        <v>196</v>
      </c>
      <c r="B133" s="15">
        <f>'Temp Dev, C, F'!D133</f>
        <v>56.623999999999995</v>
      </c>
    </row>
    <row r="134" spans="1:2" ht="15" customHeight="1">
      <c r="A134" t="s">
        <v>197</v>
      </c>
      <c r="B134" s="15">
        <f>'Temp Dev, C, F'!D134</f>
        <v>56.588000000000001</v>
      </c>
    </row>
    <row r="135" spans="1:2" ht="15" customHeight="1">
      <c r="A135" t="s">
        <v>198</v>
      </c>
      <c r="B135" s="15">
        <f>'Temp Dev, C, F'!D135</f>
        <v>56.353999999999999</v>
      </c>
    </row>
    <row r="136" spans="1:2" ht="15" customHeight="1">
      <c r="A136" t="s">
        <v>199</v>
      </c>
      <c r="B136" s="15">
        <f>'Temp Dev, C, F'!D136</f>
        <v>56.876000000000005</v>
      </c>
    </row>
    <row r="137" spans="1:2" ht="15" customHeight="1">
      <c r="A137" t="s">
        <v>200</v>
      </c>
      <c r="B137" s="15">
        <f>'Temp Dev, C, F'!D137</f>
        <v>56.695999999999998</v>
      </c>
    </row>
    <row r="138" spans="1:2" ht="15" customHeight="1">
      <c r="A138" t="s">
        <v>201</v>
      </c>
      <c r="B138" s="15">
        <f>'Temp Dev, C, F'!D138</f>
        <v>56.894000000000005</v>
      </c>
    </row>
    <row r="139" spans="1:2" ht="15" customHeight="1">
      <c r="A139" t="s">
        <v>202</v>
      </c>
      <c r="B139" s="15">
        <f>'Temp Dev, C, F'!D139</f>
        <v>56.822000000000003</v>
      </c>
    </row>
    <row r="140" spans="1:2" ht="15" customHeight="1">
      <c r="A140" t="s">
        <v>203</v>
      </c>
      <c r="B140" s="15">
        <f>'Temp Dev, C, F'!D140</f>
        <v>56.876000000000005</v>
      </c>
    </row>
    <row r="141" spans="1:2" ht="15" customHeight="1">
      <c r="A141" t="s">
        <v>204</v>
      </c>
      <c r="B141" s="15">
        <f>'Temp Dev, C, F'!D141</f>
        <v>56.876000000000005</v>
      </c>
    </row>
    <row r="142" spans="1:2" ht="15" customHeight="1">
      <c r="A142" t="s">
        <v>205</v>
      </c>
      <c r="B142" s="15">
        <f>'Temp Dev, C, F'!D142</f>
        <v>56.911999999999999</v>
      </c>
    </row>
    <row r="143" spans="1:2" ht="15" customHeight="1">
      <c r="A143" t="s">
        <v>206</v>
      </c>
      <c r="B143" s="15">
        <f>'Temp Dev, C, F'!D143</f>
        <v>56.804000000000002</v>
      </c>
    </row>
    <row r="144" spans="1:2" ht="15" customHeight="1">
      <c r="A144" t="s">
        <v>207</v>
      </c>
      <c r="B144" s="15">
        <f>'Temp Dev, C, F'!D144</f>
        <v>56.623999999999995</v>
      </c>
    </row>
    <row r="145" spans="1:2" ht="15" customHeight="1">
      <c r="A145" t="s">
        <v>208</v>
      </c>
      <c r="B145" s="15">
        <f>'Temp Dev, C, F'!D145</f>
        <v>57.128</v>
      </c>
    </row>
    <row r="146" spans="1:2" ht="15" customHeight="1">
      <c r="A146" t="s">
        <v>209</v>
      </c>
      <c r="B146" s="15">
        <f>'Temp Dev, C, F'!D146</f>
        <v>56.66</v>
      </c>
    </row>
    <row r="147" spans="1:2" ht="15" customHeight="1">
      <c r="A147" t="s">
        <v>210</v>
      </c>
      <c r="B147" s="15">
        <f>'Temp Dev, C, F'!D147</f>
        <v>56.984000000000002</v>
      </c>
    </row>
    <row r="148" spans="1:2" ht="15" customHeight="1">
      <c r="A148" t="s">
        <v>211</v>
      </c>
      <c r="B148" s="15">
        <f>'Temp Dev, C, F'!D148</f>
        <v>56.480000000000004</v>
      </c>
    </row>
    <row r="149" spans="1:2" ht="15" customHeight="1">
      <c r="A149" t="s">
        <v>212</v>
      </c>
      <c r="B149" s="15">
        <f>'Temp Dev, C, F'!D149</f>
        <v>56.588000000000001</v>
      </c>
    </row>
    <row r="150" spans="1:2" ht="15" customHeight="1">
      <c r="A150" t="s">
        <v>213</v>
      </c>
      <c r="B150" s="15">
        <f>'Temp Dev, C, F'!D150</f>
        <v>56.786000000000001</v>
      </c>
    </row>
    <row r="151" spans="1:2" ht="15" customHeight="1">
      <c r="A151" t="s">
        <v>214</v>
      </c>
      <c r="B151" s="15">
        <f>'Temp Dev, C, F'!D151</f>
        <v>56.804000000000002</v>
      </c>
    </row>
    <row r="152" spans="1:2" ht="15" customHeight="1">
      <c r="A152" t="s">
        <v>215</v>
      </c>
      <c r="B152" s="15">
        <f>'Temp Dev, C, F'!D152</f>
        <v>56.623999999999995</v>
      </c>
    </row>
    <row r="153" spans="1:2" ht="15" customHeight="1">
      <c r="A153" t="s">
        <v>216</v>
      </c>
      <c r="B153" s="15">
        <f>'Temp Dev, C, F'!D153</f>
        <v>56.713999999999999</v>
      </c>
    </row>
    <row r="154" spans="1:2" ht="15" customHeight="1">
      <c r="A154" t="s">
        <v>217</v>
      </c>
      <c r="B154" s="15">
        <f>'Temp Dev, C, F'!D154</f>
        <v>56.894000000000005</v>
      </c>
    </row>
    <row r="155" spans="1:2" ht="15" customHeight="1">
      <c r="A155" t="s">
        <v>218</v>
      </c>
      <c r="B155" s="15">
        <f>'Temp Dev, C, F'!D155</f>
        <v>56.948</v>
      </c>
    </row>
    <row r="156" spans="1:2" ht="15" customHeight="1">
      <c r="A156" t="s">
        <v>219</v>
      </c>
      <c r="B156" s="15">
        <f>'Temp Dev, C, F'!D156</f>
        <v>56.426000000000002</v>
      </c>
    </row>
    <row r="157" spans="1:2" ht="15" customHeight="1">
      <c r="A157" t="s">
        <v>220</v>
      </c>
      <c r="B157" s="15">
        <f>'Temp Dev, C, F'!D157</f>
        <v>56.480000000000004</v>
      </c>
    </row>
    <row r="158" spans="1:2" ht="15" customHeight="1">
      <c r="A158" t="s">
        <v>221</v>
      </c>
      <c r="B158" s="15">
        <f>'Temp Dev, C, F'!D158</f>
        <v>55.742000000000004</v>
      </c>
    </row>
    <row r="159" spans="1:2" ht="15" customHeight="1">
      <c r="A159" t="s">
        <v>222</v>
      </c>
      <c r="B159" s="15">
        <f>'Temp Dev, C, F'!D159</f>
        <v>56.173999999999999</v>
      </c>
    </row>
    <row r="160" spans="1:2" ht="15" customHeight="1">
      <c r="A160" t="s">
        <v>223</v>
      </c>
      <c r="B160" s="15">
        <f>'Temp Dev, C, F'!D160</f>
        <v>56.786000000000001</v>
      </c>
    </row>
    <row r="161" spans="1:2" ht="15" customHeight="1">
      <c r="A161" t="s">
        <v>224</v>
      </c>
      <c r="B161" s="15">
        <f>'Temp Dev, C, F'!D161</f>
        <v>56.695999999999998</v>
      </c>
    </row>
    <row r="162" spans="1:2" ht="15" customHeight="1">
      <c r="A162" t="s">
        <v>225</v>
      </c>
      <c r="B162" s="15">
        <f>'Temp Dev, C, F'!D162</f>
        <v>56.588000000000001</v>
      </c>
    </row>
    <row r="163" spans="1:2" ht="15" customHeight="1">
      <c r="A163" t="s">
        <v>226</v>
      </c>
      <c r="B163" s="15">
        <f>'Temp Dev, C, F'!D163</f>
        <v>56.731999999999999</v>
      </c>
    </row>
    <row r="164" spans="1:2" ht="15" customHeight="1">
      <c r="A164" t="s">
        <v>227</v>
      </c>
      <c r="B164" s="15">
        <f>'Temp Dev, C, F'!D164</f>
        <v>56.948</v>
      </c>
    </row>
    <row r="165" spans="1:2" ht="15" customHeight="1">
      <c r="A165" t="s">
        <v>228</v>
      </c>
      <c r="B165" s="15">
        <f>'Temp Dev, C, F'!D165</f>
        <v>56.75</v>
      </c>
    </row>
    <row r="166" spans="1:2" ht="15" customHeight="1">
      <c r="A166" t="s">
        <v>229</v>
      </c>
      <c r="B166" s="15">
        <f>'Temp Dev, C, F'!D166</f>
        <v>56.804000000000002</v>
      </c>
    </row>
    <row r="167" spans="1:2" ht="15" customHeight="1">
      <c r="A167" t="s">
        <v>230</v>
      </c>
      <c r="B167" s="15">
        <f>'Temp Dev, C, F'!D167</f>
        <v>56.876000000000005</v>
      </c>
    </row>
    <row r="168" spans="1:2" ht="15" customHeight="1">
      <c r="A168" t="s">
        <v>231</v>
      </c>
      <c r="B168" s="15">
        <f>'Temp Dev, C, F'!D168</f>
        <v>56.858000000000004</v>
      </c>
    </row>
    <row r="169" spans="1:2" ht="15" customHeight="1">
      <c r="A169" t="s">
        <v>232</v>
      </c>
      <c r="B169" s="15">
        <f>'Temp Dev, C, F'!D169</f>
        <v>56.623999999999995</v>
      </c>
    </row>
    <row r="170" spans="1:2" ht="15" customHeight="1">
      <c r="A170" t="s">
        <v>233</v>
      </c>
      <c r="B170" s="15">
        <f>'Temp Dev, C, F'!D170</f>
        <v>56.246000000000002</v>
      </c>
    </row>
    <row r="171" spans="1:2" ht="15" customHeight="1">
      <c r="A171" t="s">
        <v>234</v>
      </c>
      <c r="B171" s="15">
        <f>'Temp Dev, C, F'!D171</f>
        <v>56.66</v>
      </c>
    </row>
    <row r="172" spans="1:2" ht="15" customHeight="1">
      <c r="A172" t="s">
        <v>235</v>
      </c>
      <c r="B172" s="15">
        <f>'Temp Dev, C, F'!D172</f>
        <v>56.768000000000001</v>
      </c>
    </row>
    <row r="173" spans="1:2" ht="15" customHeight="1">
      <c r="A173" t="s">
        <v>236</v>
      </c>
      <c r="B173" s="15">
        <f>'Temp Dev, C, F'!D173</f>
        <v>56.39</v>
      </c>
    </row>
    <row r="174" spans="1:2" ht="15" customHeight="1">
      <c r="A174" t="s">
        <v>237</v>
      </c>
      <c r="B174" s="15">
        <f>'Temp Dev, C, F'!D174</f>
        <v>56.623999999999995</v>
      </c>
    </row>
    <row r="175" spans="1:2" ht="15" customHeight="1">
      <c r="A175" t="s">
        <v>238</v>
      </c>
      <c r="B175" s="15">
        <f>'Temp Dev, C, F'!D175</f>
        <v>56.462000000000003</v>
      </c>
    </row>
    <row r="176" spans="1:2" ht="15" customHeight="1">
      <c r="A176" t="s">
        <v>239</v>
      </c>
      <c r="B176" s="15">
        <f>'Temp Dev, C, F'!D176</f>
        <v>56.768000000000001</v>
      </c>
    </row>
    <row r="177" spans="1:2" ht="15" customHeight="1">
      <c r="A177" t="s">
        <v>240</v>
      </c>
      <c r="B177" s="15">
        <f>'Temp Dev, C, F'!D177</f>
        <v>56.768000000000001</v>
      </c>
    </row>
    <row r="178" spans="1:2" ht="15" customHeight="1">
      <c r="A178" t="s">
        <v>241</v>
      </c>
      <c r="B178" s="15">
        <f>'Temp Dev, C, F'!D178</f>
        <v>56.695999999999998</v>
      </c>
    </row>
    <row r="179" spans="1:2" ht="15" customHeight="1">
      <c r="A179" t="s">
        <v>242</v>
      </c>
      <c r="B179" s="15">
        <f>'Temp Dev, C, F'!D179</f>
        <v>56.786000000000001</v>
      </c>
    </row>
    <row r="180" spans="1:2" ht="15" customHeight="1">
      <c r="A180" t="s">
        <v>243</v>
      </c>
      <c r="B180" s="15">
        <f>'Temp Dev, C, F'!D180</f>
        <v>56.731999999999999</v>
      </c>
    </row>
    <row r="181" spans="1:2" ht="15" customHeight="1">
      <c r="A181" t="s">
        <v>244</v>
      </c>
      <c r="B181" s="15">
        <f>'Temp Dev, C, F'!D181</f>
        <v>56.822000000000003</v>
      </c>
    </row>
    <row r="182" spans="1:2" ht="15" customHeight="1">
      <c r="A182" t="s">
        <v>245</v>
      </c>
      <c r="B182" s="15">
        <f>'Temp Dev, C, F'!D182</f>
        <v>56.462000000000003</v>
      </c>
    </row>
    <row r="183" spans="1:2" ht="15" customHeight="1">
      <c r="A183" t="s">
        <v>246</v>
      </c>
      <c r="B183" s="15">
        <f>'Temp Dev, C, F'!D183</f>
        <v>56.426000000000002</v>
      </c>
    </row>
    <row r="184" spans="1:2" ht="15" customHeight="1">
      <c r="A184" t="s">
        <v>247</v>
      </c>
      <c r="B184" s="15">
        <f>'Temp Dev, C, F'!D184</f>
        <v>56.606000000000002</v>
      </c>
    </row>
    <row r="185" spans="1:2" ht="15" customHeight="1">
      <c r="A185" t="s">
        <v>248</v>
      </c>
      <c r="B185" s="15">
        <f>'Temp Dev, C, F'!D185</f>
        <v>56.804000000000002</v>
      </c>
    </row>
    <row r="186" spans="1:2" ht="15" customHeight="1">
      <c r="A186" t="s">
        <v>249</v>
      </c>
      <c r="B186" s="15">
        <f>'Temp Dev, C, F'!D186</f>
        <v>56.713999999999999</v>
      </c>
    </row>
    <row r="187" spans="1:2" ht="15" customHeight="1">
      <c r="A187" t="s">
        <v>250</v>
      </c>
      <c r="B187" s="15">
        <f>'Temp Dev, C, F'!D187</f>
        <v>56.822000000000003</v>
      </c>
    </row>
    <row r="188" spans="1:2" ht="15" customHeight="1">
      <c r="A188" t="s">
        <v>251</v>
      </c>
      <c r="B188" s="15">
        <f>'Temp Dev, C, F'!D188</f>
        <v>56.894000000000005</v>
      </c>
    </row>
    <row r="189" spans="1:2" ht="15" customHeight="1">
      <c r="A189" t="s">
        <v>252</v>
      </c>
      <c r="B189" s="15">
        <f>'Temp Dev, C, F'!D189</f>
        <v>56.894000000000005</v>
      </c>
    </row>
    <row r="190" spans="1:2" ht="15" customHeight="1">
      <c r="A190" t="s">
        <v>253</v>
      </c>
      <c r="B190" s="15">
        <f>'Temp Dev, C, F'!D190</f>
        <v>56.984000000000002</v>
      </c>
    </row>
    <row r="191" spans="1:2" ht="15" customHeight="1">
      <c r="A191" t="s">
        <v>254</v>
      </c>
      <c r="B191" s="15">
        <f>'Temp Dev, C, F'!D191</f>
        <v>57.002000000000002</v>
      </c>
    </row>
    <row r="192" spans="1:2" ht="15" customHeight="1">
      <c r="A192" t="s">
        <v>255</v>
      </c>
      <c r="B192" s="15">
        <f>'Temp Dev, C, F'!D192</f>
        <v>56.894000000000005</v>
      </c>
    </row>
    <row r="193" spans="1:2" ht="15" customHeight="1">
      <c r="A193" t="s">
        <v>256</v>
      </c>
      <c r="B193" s="15">
        <f>'Temp Dev, C, F'!D193</f>
        <v>56.93</v>
      </c>
    </row>
    <row r="194" spans="1:2" ht="15" customHeight="1">
      <c r="A194" t="s">
        <v>257</v>
      </c>
      <c r="B194" s="15">
        <f>'Temp Dev, C, F'!D194</f>
        <v>56.786000000000001</v>
      </c>
    </row>
    <row r="195" spans="1:2" ht="15" customHeight="1">
      <c r="A195" t="s">
        <v>258</v>
      </c>
      <c r="B195" s="15">
        <f>'Temp Dev, C, F'!D195</f>
        <v>56.965999999999994</v>
      </c>
    </row>
    <row r="196" spans="1:2" ht="15" customHeight="1">
      <c r="A196" t="s">
        <v>259</v>
      </c>
      <c r="B196" s="15">
        <f>'Temp Dev, C, F'!D196</f>
        <v>56.713999999999999</v>
      </c>
    </row>
    <row r="197" spans="1:2" ht="15" customHeight="1">
      <c r="A197" t="s">
        <v>260</v>
      </c>
      <c r="B197" s="15">
        <f>'Temp Dev, C, F'!D197</f>
        <v>56.641999999999996</v>
      </c>
    </row>
    <row r="198" spans="1:2" ht="15" customHeight="1">
      <c r="A198" t="s">
        <v>261</v>
      </c>
      <c r="B198" s="15">
        <f>'Temp Dev, C, F'!D198</f>
        <v>56.911999999999999</v>
      </c>
    </row>
    <row r="199" spans="1:2" ht="15" customHeight="1">
      <c r="A199" t="s">
        <v>262</v>
      </c>
      <c r="B199" s="15">
        <f>'Temp Dev, C, F'!D199</f>
        <v>56.984000000000002</v>
      </c>
    </row>
    <row r="200" spans="1:2" ht="15" customHeight="1">
      <c r="A200" t="s">
        <v>263</v>
      </c>
      <c r="B200" s="15">
        <f>'Temp Dev, C, F'!D200</f>
        <v>57.146000000000001</v>
      </c>
    </row>
    <row r="201" spans="1:2" ht="15" customHeight="1">
      <c r="A201" t="s">
        <v>264</v>
      </c>
      <c r="B201" s="15">
        <f>'Temp Dev, C, F'!D201</f>
        <v>57.091999999999999</v>
      </c>
    </row>
    <row r="202" spans="1:2" ht="15" customHeight="1">
      <c r="A202" t="s">
        <v>265</v>
      </c>
      <c r="B202" s="15">
        <f>'Temp Dev, C, F'!D202</f>
        <v>57.055999999999997</v>
      </c>
    </row>
    <row r="203" spans="1:2" ht="15" customHeight="1">
      <c r="A203" t="s">
        <v>266</v>
      </c>
      <c r="B203" s="15">
        <f>'Temp Dev, C, F'!D203</f>
        <v>57.308</v>
      </c>
    </row>
    <row r="204" spans="1:2" ht="15" customHeight="1">
      <c r="A204" t="s">
        <v>267</v>
      </c>
      <c r="B204" s="15">
        <f>'Temp Dev, C, F'!D204</f>
        <v>57.11</v>
      </c>
    </row>
    <row r="205" spans="1:2" ht="15" customHeight="1">
      <c r="A205" t="s">
        <v>268</v>
      </c>
      <c r="B205" s="15">
        <f>'Temp Dev, C, F'!D205</f>
        <v>57.11</v>
      </c>
    </row>
    <row r="206" spans="1:2" ht="15" customHeight="1">
      <c r="A206" t="s">
        <v>269</v>
      </c>
      <c r="B206" s="15">
        <f>'Temp Dev, C, F'!D206</f>
        <v>56.911999999999999</v>
      </c>
    </row>
    <row r="207" spans="1:2" ht="15" customHeight="1">
      <c r="A207" t="s">
        <v>270</v>
      </c>
      <c r="B207" s="15">
        <f>'Temp Dev, C, F'!D207</f>
        <v>56.894000000000005</v>
      </c>
    </row>
    <row r="208" spans="1:2" ht="15" customHeight="1">
      <c r="A208" t="s">
        <v>271</v>
      </c>
      <c r="B208" s="15">
        <f>'Temp Dev, C, F'!D208</f>
        <v>56.948</v>
      </c>
    </row>
    <row r="209" spans="1:2" ht="15" customHeight="1">
      <c r="A209" t="s">
        <v>272</v>
      </c>
      <c r="B209" s="15">
        <f>'Temp Dev, C, F'!D209</f>
        <v>57.146000000000001</v>
      </c>
    </row>
    <row r="210" spans="1:2" ht="15" customHeight="1">
      <c r="A210" t="s">
        <v>273</v>
      </c>
      <c r="B210" s="15">
        <f>'Temp Dev, C, F'!D210</f>
        <v>57.164000000000001</v>
      </c>
    </row>
    <row r="211" spans="1:2" ht="15" customHeight="1">
      <c r="A211" t="s">
        <v>274</v>
      </c>
      <c r="B211" s="15">
        <f>'Temp Dev, C, F'!D211</f>
        <v>56.984000000000002</v>
      </c>
    </row>
    <row r="212" spans="1:2" ht="15" customHeight="1">
      <c r="A212" t="s">
        <v>275</v>
      </c>
      <c r="B212" s="15">
        <f>'Temp Dev, C, F'!D212</f>
        <v>57.146000000000001</v>
      </c>
    </row>
    <row r="213" spans="1:2" ht="15" customHeight="1">
      <c r="A213" t="s">
        <v>276</v>
      </c>
      <c r="B213" s="15">
        <f>'Temp Dev, C, F'!D213</f>
        <v>57.019999999999996</v>
      </c>
    </row>
    <row r="214" spans="1:2" ht="15" customHeight="1">
      <c r="A214" t="s">
        <v>277</v>
      </c>
      <c r="B214" s="15">
        <f>'Temp Dev, C, F'!D214</f>
        <v>57.037999999999997</v>
      </c>
    </row>
    <row r="215" spans="1:2" ht="15" customHeight="1">
      <c r="A215" t="s">
        <v>278</v>
      </c>
      <c r="B215" s="15">
        <f>'Temp Dev, C, F'!D215</f>
        <v>56.965999999999994</v>
      </c>
    </row>
    <row r="216" spans="1:2" ht="15" customHeight="1">
      <c r="A216" t="s">
        <v>279</v>
      </c>
      <c r="B216" s="15">
        <f>'Temp Dev, C, F'!D216</f>
        <v>56.858000000000004</v>
      </c>
    </row>
    <row r="217" spans="1:2" ht="15" customHeight="1">
      <c r="A217" t="s">
        <v>280</v>
      </c>
      <c r="B217" s="15">
        <f>'Temp Dev, C, F'!D217</f>
        <v>56.822000000000003</v>
      </c>
    </row>
    <row r="218" spans="1:2" ht="15" customHeight="1">
      <c r="A218" t="s">
        <v>281</v>
      </c>
      <c r="B218" s="15">
        <f>'Temp Dev, C, F'!D218</f>
        <v>57.146000000000001</v>
      </c>
    </row>
    <row r="219" spans="1:2" ht="15" customHeight="1">
      <c r="A219" t="s">
        <v>282</v>
      </c>
      <c r="B219" s="15">
        <f>'Temp Dev, C, F'!D219</f>
        <v>56.641999999999996</v>
      </c>
    </row>
    <row r="220" spans="1:2" ht="15" customHeight="1">
      <c r="A220" t="s">
        <v>283</v>
      </c>
      <c r="B220" s="15">
        <f>'Temp Dev, C, F'!D220</f>
        <v>56.264000000000003</v>
      </c>
    </row>
    <row r="221" spans="1:2" ht="15" customHeight="1">
      <c r="A221" t="s">
        <v>284</v>
      </c>
      <c r="B221" s="15">
        <f>'Temp Dev, C, F'!D221</f>
        <v>56.641999999999996</v>
      </c>
    </row>
    <row r="222" spans="1:2" ht="15" customHeight="1">
      <c r="A222" t="s">
        <v>285</v>
      </c>
      <c r="B222" s="15">
        <f>'Temp Dev, C, F'!D222</f>
        <v>56.641999999999996</v>
      </c>
    </row>
    <row r="223" spans="1:2" ht="15" customHeight="1">
      <c r="A223" t="s">
        <v>286</v>
      </c>
      <c r="B223" s="15">
        <f>'Temp Dev, C, F'!D223</f>
        <v>56.84</v>
      </c>
    </row>
    <row r="224" spans="1:2" ht="15" customHeight="1">
      <c r="A224" t="s">
        <v>287</v>
      </c>
      <c r="B224" s="15">
        <f>'Temp Dev, C, F'!D224</f>
        <v>56.786000000000001</v>
      </c>
    </row>
    <row r="225" spans="1:2" ht="15" customHeight="1">
      <c r="A225" t="s">
        <v>288</v>
      </c>
      <c r="B225" s="15">
        <f>'Temp Dev, C, F'!D225</f>
        <v>56.713999999999999</v>
      </c>
    </row>
    <row r="226" spans="1:2" ht="15" customHeight="1">
      <c r="A226" t="s">
        <v>289</v>
      </c>
      <c r="B226" s="15">
        <f>'Temp Dev, C, F'!D226</f>
        <v>56.804000000000002</v>
      </c>
    </row>
    <row r="227" spans="1:2" ht="15" customHeight="1">
      <c r="A227" t="s">
        <v>290</v>
      </c>
      <c r="B227" s="15">
        <f>'Temp Dev, C, F'!D227</f>
        <v>56.57</v>
      </c>
    </row>
    <row r="228" spans="1:2" ht="15" customHeight="1">
      <c r="A228" t="s">
        <v>291</v>
      </c>
      <c r="B228" s="15">
        <f>'Temp Dev, C, F'!D228</f>
        <v>56.498000000000005</v>
      </c>
    </row>
    <row r="229" spans="1:2" ht="15" customHeight="1">
      <c r="A229" t="s">
        <v>292</v>
      </c>
      <c r="B229" s="15">
        <f>'Temp Dev, C, F'!D229</f>
        <v>56.768000000000001</v>
      </c>
    </row>
    <row r="230" spans="1:2" ht="15" customHeight="1">
      <c r="A230" t="s">
        <v>293</v>
      </c>
      <c r="B230" s="15">
        <f>'Temp Dev, C, F'!D230</f>
        <v>56.894000000000005</v>
      </c>
    </row>
    <row r="231" spans="1:2" ht="15" customHeight="1">
      <c r="A231" t="s">
        <v>294</v>
      </c>
      <c r="B231" s="15">
        <f>'Temp Dev, C, F'!D231</f>
        <v>56.498000000000005</v>
      </c>
    </row>
    <row r="232" spans="1:2" ht="15" customHeight="1">
      <c r="A232" t="s">
        <v>295</v>
      </c>
      <c r="B232" s="15">
        <f>'Temp Dev, C, F'!D232</f>
        <v>56.534000000000006</v>
      </c>
    </row>
    <row r="233" spans="1:2" ht="15" customHeight="1">
      <c r="A233" t="s">
        <v>296</v>
      </c>
      <c r="B233" s="15">
        <f>'Temp Dev, C, F'!D233</f>
        <v>56.822000000000003</v>
      </c>
    </row>
    <row r="234" spans="1:2" ht="15" customHeight="1">
      <c r="A234" t="s">
        <v>297</v>
      </c>
      <c r="B234" s="15">
        <f>'Temp Dev, C, F'!D234</f>
        <v>56.786000000000001</v>
      </c>
    </row>
    <row r="235" spans="1:2" ht="15" customHeight="1">
      <c r="A235" t="s">
        <v>298</v>
      </c>
      <c r="B235" s="15">
        <f>'Temp Dev, C, F'!D235</f>
        <v>56.623999999999995</v>
      </c>
    </row>
    <row r="236" spans="1:2" ht="15" customHeight="1">
      <c r="A236" t="s">
        <v>299</v>
      </c>
      <c r="B236" s="15">
        <f>'Temp Dev, C, F'!D236</f>
        <v>56.911999999999999</v>
      </c>
    </row>
    <row r="237" spans="1:2" ht="15" customHeight="1">
      <c r="A237" t="s">
        <v>300</v>
      </c>
      <c r="B237" s="15">
        <f>'Temp Dev, C, F'!D237</f>
        <v>57.037999999999997</v>
      </c>
    </row>
    <row r="238" spans="1:2" ht="15" customHeight="1">
      <c r="A238" t="s">
        <v>301</v>
      </c>
      <c r="B238" s="15">
        <f>'Temp Dev, C, F'!D238</f>
        <v>57.11</v>
      </c>
    </row>
    <row r="239" spans="1:2" ht="15" customHeight="1">
      <c r="A239" t="s">
        <v>302</v>
      </c>
      <c r="B239" s="15">
        <f>'Temp Dev, C, F'!D239</f>
        <v>57.128</v>
      </c>
    </row>
    <row r="240" spans="1:2" ht="15" customHeight="1">
      <c r="A240" t="s">
        <v>303</v>
      </c>
      <c r="B240" s="15">
        <f>'Temp Dev, C, F'!D240</f>
        <v>57.415999999999997</v>
      </c>
    </row>
    <row r="241" spans="1:2" ht="15" customHeight="1">
      <c r="A241" t="s">
        <v>304</v>
      </c>
      <c r="B241" s="15">
        <f>'Temp Dev, C, F'!D241</f>
        <v>56.713999999999999</v>
      </c>
    </row>
    <row r="242" spans="1:2" ht="15" customHeight="1">
      <c r="A242" t="s">
        <v>305</v>
      </c>
      <c r="B242" s="15">
        <f>'Temp Dev, C, F'!D242</f>
        <v>56.534000000000006</v>
      </c>
    </row>
    <row r="243" spans="1:2" ht="15" customHeight="1">
      <c r="A243" t="s">
        <v>306</v>
      </c>
      <c r="B243" s="15">
        <f>'Temp Dev, C, F'!D243</f>
        <v>57.091999999999999</v>
      </c>
    </row>
    <row r="244" spans="1:2" ht="15" customHeight="1">
      <c r="A244" t="s">
        <v>307</v>
      </c>
      <c r="B244" s="15">
        <f>'Temp Dev, C, F'!D244</f>
        <v>57.2</v>
      </c>
    </row>
    <row r="245" spans="1:2" ht="15" customHeight="1">
      <c r="A245" t="s">
        <v>308</v>
      </c>
      <c r="B245" s="15">
        <f>'Temp Dev, C, F'!D245</f>
        <v>57.019999999999996</v>
      </c>
    </row>
    <row r="246" spans="1:2" ht="15" customHeight="1">
      <c r="A246" t="s">
        <v>309</v>
      </c>
      <c r="B246" s="15">
        <f>'Temp Dev, C, F'!D246</f>
        <v>57.037999999999997</v>
      </c>
    </row>
    <row r="247" spans="1:2" ht="15" customHeight="1">
      <c r="A247" t="s">
        <v>310</v>
      </c>
      <c r="B247" s="15">
        <f>'Temp Dev, C, F'!D247</f>
        <v>57.019999999999996</v>
      </c>
    </row>
    <row r="248" spans="1:2" ht="15" customHeight="1">
      <c r="A248" t="s">
        <v>311</v>
      </c>
      <c r="B248" s="15">
        <f>'Temp Dev, C, F'!D248</f>
        <v>56.965999999999994</v>
      </c>
    </row>
    <row r="249" spans="1:2" ht="15" customHeight="1">
      <c r="A249" t="s">
        <v>312</v>
      </c>
      <c r="B249" s="15">
        <f>'Temp Dev, C, F'!D249</f>
        <v>57.037999999999997</v>
      </c>
    </row>
    <row r="250" spans="1:2" ht="15" customHeight="1">
      <c r="A250" t="s">
        <v>313</v>
      </c>
      <c r="B250" s="15">
        <f>'Temp Dev, C, F'!D250</f>
        <v>57.091999999999999</v>
      </c>
    </row>
    <row r="251" spans="1:2" ht="15" customHeight="1">
      <c r="A251" t="s">
        <v>314</v>
      </c>
      <c r="B251" s="15">
        <f>'Temp Dev, C, F'!D251</f>
        <v>57.362000000000002</v>
      </c>
    </row>
    <row r="252" spans="1:2" ht="15" customHeight="1">
      <c r="A252" t="s">
        <v>315</v>
      </c>
      <c r="B252" s="15">
        <f>'Temp Dev, C, F'!D252</f>
        <v>57.073999999999998</v>
      </c>
    </row>
    <row r="253" spans="1:2" ht="15" customHeight="1">
      <c r="A253" t="s">
        <v>316</v>
      </c>
      <c r="B253" s="15">
        <f>'Temp Dev, C, F'!D253</f>
        <v>57.073999999999998</v>
      </c>
    </row>
    <row r="254" spans="1:2" ht="15" customHeight="1">
      <c r="A254" t="s">
        <v>317</v>
      </c>
      <c r="B254" s="15">
        <f>'Temp Dev, C, F'!D254</f>
        <v>56.804000000000002</v>
      </c>
    </row>
    <row r="255" spans="1:2" ht="15" customHeight="1">
      <c r="A255" t="s">
        <v>318</v>
      </c>
      <c r="B255" s="15">
        <f>'Temp Dev, C, F'!D255</f>
        <v>57.002000000000002</v>
      </c>
    </row>
    <row r="256" spans="1:2" ht="15" customHeight="1">
      <c r="A256" t="s">
        <v>319</v>
      </c>
      <c r="B256" s="15">
        <f>'Temp Dev, C, F'!D256</f>
        <v>57.308</v>
      </c>
    </row>
    <row r="257" spans="1:2" ht="15" customHeight="1">
      <c r="A257" t="s">
        <v>320</v>
      </c>
      <c r="B257" s="15">
        <f>'Temp Dev, C, F'!D257</f>
        <v>57.146000000000001</v>
      </c>
    </row>
    <row r="258" spans="1:2" ht="15" customHeight="1">
      <c r="A258" t="s">
        <v>321</v>
      </c>
      <c r="B258" s="15">
        <f>'Temp Dev, C, F'!D258</f>
        <v>56.93</v>
      </c>
    </row>
    <row r="259" spans="1:2" ht="15" customHeight="1">
      <c r="A259" t="s">
        <v>322</v>
      </c>
      <c r="B259" s="15">
        <f>'Temp Dev, C, F'!D259</f>
        <v>56.984000000000002</v>
      </c>
    </row>
    <row r="260" spans="1:2" ht="15" customHeight="1">
      <c r="A260" t="s">
        <v>323</v>
      </c>
      <c r="B260" s="15">
        <f>'Temp Dev, C, F'!D260</f>
        <v>56.93</v>
      </c>
    </row>
    <row r="261" spans="1:2" ht="15" customHeight="1">
      <c r="A261" t="s">
        <v>324</v>
      </c>
      <c r="B261" s="15">
        <f>'Temp Dev, C, F'!D261</f>
        <v>56.84</v>
      </c>
    </row>
    <row r="262" spans="1:2" ht="15" customHeight="1">
      <c r="A262" t="s">
        <v>325</v>
      </c>
      <c r="B262" s="15">
        <f>'Temp Dev, C, F'!D262</f>
        <v>56.786000000000001</v>
      </c>
    </row>
    <row r="263" spans="1:2" ht="15" customHeight="1">
      <c r="A263" t="s">
        <v>326</v>
      </c>
      <c r="B263" s="15">
        <f>'Temp Dev, C, F'!D263</f>
        <v>56.677999999999997</v>
      </c>
    </row>
    <row r="264" spans="1:2" ht="15" customHeight="1">
      <c r="A264" t="s">
        <v>327</v>
      </c>
      <c r="B264" s="15">
        <f>'Temp Dev, C, F'!D264</f>
        <v>56.894000000000005</v>
      </c>
    </row>
    <row r="265" spans="1:2" ht="15" customHeight="1">
      <c r="A265" t="s">
        <v>328</v>
      </c>
      <c r="B265" s="15">
        <f>'Temp Dev, C, F'!D265</f>
        <v>56.695999999999998</v>
      </c>
    </row>
    <row r="266" spans="1:2" ht="15" customHeight="1">
      <c r="A266" t="s">
        <v>329</v>
      </c>
      <c r="B266" s="15">
        <f>'Temp Dev, C, F'!D266</f>
        <v>56.894000000000005</v>
      </c>
    </row>
    <row r="267" spans="1:2" ht="15" customHeight="1">
      <c r="A267" t="s">
        <v>330</v>
      </c>
      <c r="B267" s="15">
        <f>'Temp Dev, C, F'!D267</f>
        <v>57.037999999999997</v>
      </c>
    </row>
    <row r="268" spans="1:2" ht="15" customHeight="1">
      <c r="A268" t="s">
        <v>331</v>
      </c>
      <c r="B268" s="15">
        <f>'Temp Dev, C, F'!D268</f>
        <v>56.695999999999998</v>
      </c>
    </row>
    <row r="269" spans="1:2" ht="15" customHeight="1">
      <c r="A269" t="s">
        <v>332</v>
      </c>
      <c r="B269" s="15">
        <f>'Temp Dev, C, F'!D269</f>
        <v>56.695999999999998</v>
      </c>
    </row>
    <row r="270" spans="1:2" ht="15" customHeight="1">
      <c r="A270" t="s">
        <v>333</v>
      </c>
      <c r="B270" s="15">
        <f>'Temp Dev, C, F'!D270</f>
        <v>56.606000000000002</v>
      </c>
    </row>
    <row r="271" spans="1:2" ht="15" customHeight="1">
      <c r="A271" t="s">
        <v>334</v>
      </c>
      <c r="B271" s="15">
        <f>'Temp Dev, C, F'!D271</f>
        <v>56.623999999999995</v>
      </c>
    </row>
    <row r="272" spans="1:2" ht="15" customHeight="1">
      <c r="A272" t="s">
        <v>335</v>
      </c>
      <c r="B272" s="15">
        <f>'Temp Dev, C, F'!D272</f>
        <v>56.695999999999998</v>
      </c>
    </row>
    <row r="273" spans="1:2" ht="15" customHeight="1">
      <c r="A273" t="s">
        <v>336</v>
      </c>
      <c r="B273" s="15">
        <f>'Temp Dev, C, F'!D273</f>
        <v>56.66</v>
      </c>
    </row>
    <row r="274" spans="1:2" ht="15" customHeight="1">
      <c r="A274" t="s">
        <v>337</v>
      </c>
      <c r="B274" s="15">
        <f>'Temp Dev, C, F'!D274</f>
        <v>56.677999999999997</v>
      </c>
    </row>
    <row r="275" spans="1:2" ht="15" customHeight="1">
      <c r="A275" t="s">
        <v>338</v>
      </c>
      <c r="B275" s="15">
        <f>'Temp Dev, C, F'!D275</f>
        <v>56.66</v>
      </c>
    </row>
    <row r="276" spans="1:2" ht="15" customHeight="1">
      <c r="A276" t="s">
        <v>339</v>
      </c>
      <c r="B276" s="15">
        <f>'Temp Dev, C, F'!D276</f>
        <v>56.534000000000006</v>
      </c>
    </row>
    <row r="277" spans="1:2" ht="15" customHeight="1">
      <c r="A277" t="s">
        <v>340</v>
      </c>
      <c r="B277" s="15">
        <f>'Temp Dev, C, F'!D277</f>
        <v>56.426000000000002</v>
      </c>
    </row>
    <row r="278" spans="1:2" ht="15" customHeight="1">
      <c r="A278" t="s">
        <v>341</v>
      </c>
      <c r="B278" s="15">
        <f>'Temp Dev, C, F'!D278</f>
        <v>56.75</v>
      </c>
    </row>
    <row r="279" spans="1:2" ht="15" customHeight="1">
      <c r="A279" t="s">
        <v>342</v>
      </c>
      <c r="B279" s="15">
        <f>'Temp Dev, C, F'!D279</f>
        <v>57.073999999999998</v>
      </c>
    </row>
    <row r="280" spans="1:2" ht="15" customHeight="1">
      <c r="A280" t="s">
        <v>343</v>
      </c>
      <c r="B280" s="15">
        <f>'Temp Dev, C, F'!D280</f>
        <v>56.768000000000001</v>
      </c>
    </row>
    <row r="281" spans="1:2" ht="15" customHeight="1">
      <c r="A281" t="s">
        <v>344</v>
      </c>
      <c r="B281" s="15">
        <f>'Temp Dev, C, F'!D281</f>
        <v>56.444000000000003</v>
      </c>
    </row>
    <row r="282" spans="1:2" ht="15" customHeight="1">
      <c r="A282" t="s">
        <v>345</v>
      </c>
      <c r="B282" s="15">
        <f>'Temp Dev, C, F'!D282</f>
        <v>56.480000000000004</v>
      </c>
    </row>
    <row r="283" spans="1:2" ht="15" customHeight="1">
      <c r="A283" t="s">
        <v>346</v>
      </c>
      <c r="B283" s="15">
        <f>'Temp Dev, C, F'!D283</f>
        <v>56.426000000000002</v>
      </c>
    </row>
    <row r="284" spans="1:2" ht="15" customHeight="1">
      <c r="A284" t="s">
        <v>347</v>
      </c>
      <c r="B284" s="15">
        <f>'Temp Dev, C, F'!D284</f>
        <v>56.57</v>
      </c>
    </row>
    <row r="285" spans="1:2" ht="15" customHeight="1">
      <c r="A285" t="s">
        <v>348</v>
      </c>
      <c r="B285" s="15">
        <f>'Temp Dev, C, F'!D285</f>
        <v>56.39</v>
      </c>
    </row>
    <row r="286" spans="1:2" ht="15" customHeight="1">
      <c r="A286" t="s">
        <v>349</v>
      </c>
      <c r="B286" s="15">
        <f>'Temp Dev, C, F'!D286</f>
        <v>56.317999999999998</v>
      </c>
    </row>
    <row r="287" spans="1:2" ht="15" customHeight="1">
      <c r="A287" t="s">
        <v>350</v>
      </c>
      <c r="B287" s="15">
        <f>'Temp Dev, C, F'!D287</f>
        <v>56.353999999999999</v>
      </c>
    </row>
    <row r="288" spans="1:2" ht="15" customHeight="1">
      <c r="A288" t="s">
        <v>351</v>
      </c>
      <c r="B288" s="15">
        <f>'Temp Dev, C, F'!D288</f>
        <v>56.444000000000003</v>
      </c>
    </row>
    <row r="289" spans="1:2" ht="15" customHeight="1">
      <c r="A289" t="s">
        <v>352</v>
      </c>
      <c r="B289" s="15">
        <f>'Temp Dev, C, F'!D289</f>
        <v>56.264000000000003</v>
      </c>
    </row>
    <row r="290" spans="1:2" ht="15" customHeight="1">
      <c r="A290" t="s">
        <v>353</v>
      </c>
      <c r="B290" s="15">
        <f>'Temp Dev, C, F'!D290</f>
        <v>56.048000000000002</v>
      </c>
    </row>
    <row r="291" spans="1:2" ht="15" customHeight="1">
      <c r="A291" t="s">
        <v>354</v>
      </c>
      <c r="B291" s="15">
        <f>'Temp Dev, C, F'!D291</f>
        <v>56.138000000000005</v>
      </c>
    </row>
    <row r="292" spans="1:2" ht="15" customHeight="1">
      <c r="A292" t="s">
        <v>355</v>
      </c>
      <c r="B292" s="15">
        <f>'Temp Dev, C, F'!D292</f>
        <v>56.264000000000003</v>
      </c>
    </row>
    <row r="293" spans="1:2" ht="15" customHeight="1">
      <c r="A293" t="s">
        <v>356</v>
      </c>
      <c r="B293" s="15">
        <f>'Temp Dev, C, F'!D293</f>
        <v>56.281999999999996</v>
      </c>
    </row>
    <row r="294" spans="1:2" ht="15" customHeight="1">
      <c r="A294" t="s">
        <v>357</v>
      </c>
      <c r="B294" s="15">
        <f>'Temp Dev, C, F'!D294</f>
        <v>56.264000000000003</v>
      </c>
    </row>
    <row r="295" spans="1:2" ht="15" customHeight="1">
      <c r="A295" t="s">
        <v>358</v>
      </c>
      <c r="B295" s="15">
        <f>'Temp Dev, C, F'!D295</f>
        <v>56.317999999999998</v>
      </c>
    </row>
    <row r="296" spans="1:2" ht="15" customHeight="1">
      <c r="A296" t="s">
        <v>359</v>
      </c>
      <c r="B296" s="15">
        <f>'Temp Dev, C, F'!D296</f>
        <v>56.264000000000003</v>
      </c>
    </row>
    <row r="297" spans="1:2" ht="15" customHeight="1">
      <c r="A297" t="s">
        <v>360</v>
      </c>
      <c r="B297" s="15">
        <f>'Temp Dev, C, F'!D297</f>
        <v>56.3</v>
      </c>
    </row>
    <row r="298" spans="1:2" ht="15" customHeight="1">
      <c r="A298" t="s">
        <v>361</v>
      </c>
      <c r="B298" s="15">
        <f>'Temp Dev, C, F'!D298</f>
        <v>56.192</v>
      </c>
    </row>
    <row r="299" spans="1:2" ht="15" customHeight="1">
      <c r="A299" t="s">
        <v>362</v>
      </c>
      <c r="B299" s="15">
        <f>'Temp Dev, C, F'!D299</f>
        <v>56.480000000000004</v>
      </c>
    </row>
    <row r="300" spans="1:2" ht="15" customHeight="1">
      <c r="A300" t="s">
        <v>363</v>
      </c>
      <c r="B300" s="15">
        <f>'Temp Dev, C, F'!D300</f>
        <v>56.858000000000004</v>
      </c>
    </row>
    <row r="301" spans="1:2" ht="15" customHeight="1">
      <c r="A301" t="s">
        <v>364</v>
      </c>
      <c r="B301" s="15">
        <f>'Temp Dev, C, F'!D301</f>
        <v>56.588000000000001</v>
      </c>
    </row>
    <row r="302" spans="1:2" ht="15" customHeight="1">
      <c r="A302" t="s">
        <v>365</v>
      </c>
      <c r="B302" s="15">
        <f>'Temp Dev, C, F'!D302</f>
        <v>56.552000000000007</v>
      </c>
    </row>
    <row r="303" spans="1:2" ht="15" customHeight="1">
      <c r="A303" t="s">
        <v>366</v>
      </c>
      <c r="B303" s="15">
        <f>'Temp Dev, C, F'!D303</f>
        <v>56.120000000000005</v>
      </c>
    </row>
    <row r="304" spans="1:2" ht="15" customHeight="1">
      <c r="A304" t="s">
        <v>367</v>
      </c>
      <c r="B304" s="15">
        <f>'Temp Dev, C, F'!D304</f>
        <v>56.804000000000002</v>
      </c>
    </row>
    <row r="305" spans="1:2" ht="15" customHeight="1">
      <c r="A305" t="s">
        <v>368</v>
      </c>
      <c r="B305" s="15">
        <f>'Temp Dev, C, F'!D305</f>
        <v>56.588000000000001</v>
      </c>
    </row>
    <row r="306" spans="1:2" ht="15" customHeight="1">
      <c r="A306" t="s">
        <v>369</v>
      </c>
      <c r="B306" s="15">
        <f>'Temp Dev, C, F'!D306</f>
        <v>56.66</v>
      </c>
    </row>
    <row r="307" spans="1:2" ht="15" customHeight="1">
      <c r="A307" t="s">
        <v>370</v>
      </c>
      <c r="B307" s="15">
        <f>'Temp Dev, C, F'!D307</f>
        <v>56.677999999999997</v>
      </c>
    </row>
    <row r="308" spans="1:2" ht="15" customHeight="1">
      <c r="A308" t="s">
        <v>371</v>
      </c>
      <c r="B308" s="15">
        <f>'Temp Dev, C, F'!D308</f>
        <v>56.713999999999999</v>
      </c>
    </row>
    <row r="309" spans="1:2" ht="15" customHeight="1">
      <c r="A309" t="s">
        <v>372</v>
      </c>
      <c r="B309" s="15">
        <f>'Temp Dev, C, F'!D309</f>
        <v>56.84</v>
      </c>
    </row>
    <row r="310" spans="1:2" ht="15" customHeight="1">
      <c r="A310" t="s">
        <v>373</v>
      </c>
      <c r="B310" s="15">
        <f>'Temp Dev, C, F'!D310</f>
        <v>56.858000000000004</v>
      </c>
    </row>
    <row r="311" spans="1:2" ht="15" customHeight="1">
      <c r="A311" t="s">
        <v>374</v>
      </c>
      <c r="B311" s="15">
        <f>'Temp Dev, C, F'!D311</f>
        <v>56.75</v>
      </c>
    </row>
    <row r="312" spans="1:2" ht="15" customHeight="1">
      <c r="A312" t="s">
        <v>375</v>
      </c>
      <c r="B312" s="15">
        <f>'Temp Dev, C, F'!D312</f>
        <v>57.055999999999997</v>
      </c>
    </row>
    <row r="313" spans="1:2" ht="15" customHeight="1">
      <c r="A313" t="s">
        <v>376</v>
      </c>
      <c r="B313" s="15">
        <f>'Temp Dev, C, F'!D313</f>
        <v>56.948</v>
      </c>
    </row>
    <row r="314" spans="1:2" ht="15" customHeight="1">
      <c r="A314" t="s">
        <v>377</v>
      </c>
      <c r="B314" s="15">
        <f>'Temp Dev, C, F'!D314</f>
        <v>56.677999999999997</v>
      </c>
    </row>
    <row r="315" spans="1:2" ht="15" customHeight="1">
      <c r="A315" t="s">
        <v>378</v>
      </c>
      <c r="B315" s="15">
        <f>'Temp Dev, C, F'!D315</f>
        <v>56.66</v>
      </c>
    </row>
    <row r="316" spans="1:2" ht="15" customHeight="1">
      <c r="A316" t="s">
        <v>379</v>
      </c>
      <c r="B316" s="15">
        <f>'Temp Dev, C, F'!D316</f>
        <v>56.858000000000004</v>
      </c>
    </row>
    <row r="317" spans="1:2" ht="15" customHeight="1">
      <c r="A317" t="s">
        <v>380</v>
      </c>
      <c r="B317" s="15">
        <f>'Temp Dev, C, F'!D317</f>
        <v>57.091999999999999</v>
      </c>
    </row>
    <row r="318" spans="1:2" ht="15" customHeight="1">
      <c r="A318" t="s">
        <v>381</v>
      </c>
      <c r="B318" s="15">
        <f>'Temp Dev, C, F'!D318</f>
        <v>56.731999999999999</v>
      </c>
    </row>
    <row r="319" spans="1:2" ht="15" customHeight="1">
      <c r="A319" t="s">
        <v>382</v>
      </c>
      <c r="B319" s="15">
        <f>'Temp Dev, C, F'!D319</f>
        <v>56.84</v>
      </c>
    </row>
    <row r="320" spans="1:2" ht="15" customHeight="1">
      <c r="A320" t="s">
        <v>383</v>
      </c>
      <c r="B320" s="15">
        <f>'Temp Dev, C, F'!D320</f>
        <v>56.786000000000001</v>
      </c>
    </row>
    <row r="321" spans="1:2" ht="15" customHeight="1">
      <c r="A321" t="s">
        <v>384</v>
      </c>
      <c r="B321" s="15">
        <f>'Temp Dev, C, F'!D321</f>
        <v>56.84</v>
      </c>
    </row>
    <row r="322" spans="1:2" ht="15" customHeight="1">
      <c r="A322" t="s">
        <v>385</v>
      </c>
      <c r="B322" s="15">
        <f>'Temp Dev, C, F'!D322</f>
        <v>56.695999999999998</v>
      </c>
    </row>
    <row r="323" spans="1:2" ht="15" customHeight="1">
      <c r="A323" t="s">
        <v>386</v>
      </c>
      <c r="B323" s="15">
        <f>'Temp Dev, C, F'!D323</f>
        <v>56.84</v>
      </c>
    </row>
    <row r="324" spans="1:2" ht="15" customHeight="1">
      <c r="A324" t="s">
        <v>387</v>
      </c>
      <c r="B324" s="15">
        <f>'Temp Dev, C, F'!D324</f>
        <v>56.515999999999998</v>
      </c>
    </row>
    <row r="325" spans="1:2" ht="15" customHeight="1">
      <c r="A325" t="s">
        <v>388</v>
      </c>
      <c r="B325" s="15">
        <f>'Temp Dev, C, F'!D325</f>
        <v>56.93</v>
      </c>
    </row>
    <row r="326" spans="1:2" ht="15" customHeight="1">
      <c r="A326" t="s">
        <v>389</v>
      </c>
      <c r="B326" s="15">
        <f>'Temp Dev, C, F'!D326</f>
        <v>56.426000000000002</v>
      </c>
    </row>
    <row r="327" spans="1:2" ht="15" customHeight="1">
      <c r="A327" t="s">
        <v>390</v>
      </c>
      <c r="B327" s="15">
        <f>'Temp Dev, C, F'!D327</f>
        <v>56.281999999999996</v>
      </c>
    </row>
    <row r="328" spans="1:2" ht="15" customHeight="1">
      <c r="A328" t="s">
        <v>391</v>
      </c>
      <c r="B328" s="15">
        <f>'Temp Dev, C, F'!D328</f>
        <v>56.713999999999999</v>
      </c>
    </row>
    <row r="329" spans="1:2" ht="15" customHeight="1">
      <c r="A329" t="s">
        <v>392</v>
      </c>
      <c r="B329" s="15">
        <f>'Temp Dev, C, F'!D329</f>
        <v>56.534000000000006</v>
      </c>
    </row>
    <row r="330" spans="1:2" ht="15" customHeight="1">
      <c r="A330" t="s">
        <v>393</v>
      </c>
      <c r="B330" s="15">
        <f>'Temp Dev, C, F'!D330</f>
        <v>56.372</v>
      </c>
    </row>
    <row r="331" spans="1:2" ht="15" customHeight="1">
      <c r="A331" t="s">
        <v>394</v>
      </c>
      <c r="B331" s="15">
        <f>'Temp Dev, C, F'!D331</f>
        <v>56.444000000000003</v>
      </c>
    </row>
    <row r="332" spans="1:2" ht="15" customHeight="1">
      <c r="A332" t="s">
        <v>395</v>
      </c>
      <c r="B332" s="15">
        <f>'Temp Dev, C, F'!D332</f>
        <v>56.57</v>
      </c>
    </row>
    <row r="333" spans="1:2" ht="15" customHeight="1">
      <c r="A333" t="s">
        <v>396</v>
      </c>
      <c r="B333" s="15">
        <f>'Temp Dev, C, F'!D333</f>
        <v>56.57</v>
      </c>
    </row>
    <row r="334" spans="1:2" ht="15" customHeight="1">
      <c r="A334" t="s">
        <v>397</v>
      </c>
      <c r="B334" s="15">
        <f>'Temp Dev, C, F'!D334</f>
        <v>56.588000000000001</v>
      </c>
    </row>
    <row r="335" spans="1:2" ht="15" customHeight="1">
      <c r="A335" t="s">
        <v>398</v>
      </c>
      <c r="B335" s="15">
        <f>'Temp Dev, C, F'!D335</f>
        <v>56.786000000000001</v>
      </c>
    </row>
    <row r="336" spans="1:2" ht="15" customHeight="1">
      <c r="A336" t="s">
        <v>399</v>
      </c>
      <c r="B336" s="15">
        <f>'Temp Dev, C, F'!D336</f>
        <v>56.353999999999999</v>
      </c>
    </row>
    <row r="337" spans="1:2" ht="15" customHeight="1">
      <c r="A337" t="s">
        <v>400</v>
      </c>
      <c r="B337" s="15">
        <f>'Temp Dev, C, F'!D337</f>
        <v>56.353999999999999</v>
      </c>
    </row>
    <row r="338" spans="1:2" ht="15" customHeight="1">
      <c r="A338" t="s">
        <v>401</v>
      </c>
      <c r="B338" s="15">
        <f>'Temp Dev, C, F'!D338</f>
        <v>56.39</v>
      </c>
    </row>
    <row r="339" spans="1:2" ht="15" customHeight="1">
      <c r="A339" t="s">
        <v>402</v>
      </c>
      <c r="B339" s="15">
        <f>'Temp Dev, C, F'!D339</f>
        <v>56.606000000000002</v>
      </c>
    </row>
    <row r="340" spans="1:2" ht="15" customHeight="1">
      <c r="A340" t="s">
        <v>403</v>
      </c>
      <c r="B340" s="15">
        <f>'Temp Dev, C, F'!D340</f>
        <v>56.192</v>
      </c>
    </row>
    <row r="341" spans="1:2" ht="15" customHeight="1">
      <c r="A341" t="s">
        <v>404</v>
      </c>
      <c r="B341" s="15">
        <f>'Temp Dev, C, F'!D341</f>
        <v>56.39</v>
      </c>
    </row>
    <row r="342" spans="1:2" ht="15" customHeight="1">
      <c r="A342" t="s">
        <v>405</v>
      </c>
      <c r="B342" s="15">
        <f>'Temp Dev, C, F'!D342</f>
        <v>56.515999999999998</v>
      </c>
    </row>
    <row r="343" spans="1:2" ht="15" customHeight="1">
      <c r="A343" t="s">
        <v>406</v>
      </c>
      <c r="B343" s="15">
        <f>'Temp Dev, C, F'!D343</f>
        <v>56.498000000000005</v>
      </c>
    </row>
    <row r="344" spans="1:2" ht="15" customHeight="1">
      <c r="A344" t="s">
        <v>407</v>
      </c>
      <c r="B344" s="15">
        <f>'Temp Dev, C, F'!D344</f>
        <v>56.552000000000007</v>
      </c>
    </row>
    <row r="345" spans="1:2" ht="15" customHeight="1">
      <c r="A345" t="s">
        <v>408</v>
      </c>
      <c r="B345" s="15">
        <f>'Temp Dev, C, F'!D345</f>
        <v>56.353999999999999</v>
      </c>
    </row>
    <row r="346" spans="1:2" ht="15" customHeight="1">
      <c r="A346" t="s">
        <v>409</v>
      </c>
      <c r="B346" s="15">
        <f>'Temp Dev, C, F'!D346</f>
        <v>56.552000000000007</v>
      </c>
    </row>
    <row r="347" spans="1:2" ht="15" customHeight="1">
      <c r="A347" t="s">
        <v>410</v>
      </c>
      <c r="B347" s="15">
        <f>'Temp Dev, C, F'!D347</f>
        <v>56.408000000000001</v>
      </c>
    </row>
    <row r="348" spans="1:2" ht="15" customHeight="1">
      <c r="A348" t="s">
        <v>411</v>
      </c>
      <c r="B348" s="15">
        <f>'Temp Dev, C, F'!D348</f>
        <v>56.264000000000003</v>
      </c>
    </row>
    <row r="349" spans="1:2" ht="15" customHeight="1">
      <c r="A349" t="s">
        <v>412</v>
      </c>
      <c r="B349" s="15">
        <f>'Temp Dev, C, F'!D349</f>
        <v>56.3</v>
      </c>
    </row>
    <row r="350" spans="1:2" ht="15" customHeight="1">
      <c r="A350" t="s">
        <v>413</v>
      </c>
      <c r="B350" s="15">
        <f>'Temp Dev, C, F'!D350</f>
        <v>55.867999999999995</v>
      </c>
    </row>
    <row r="351" spans="1:2" ht="15" customHeight="1">
      <c r="A351" t="s">
        <v>414</v>
      </c>
      <c r="B351" s="15">
        <f>'Temp Dev, C, F'!D351</f>
        <v>56.353999999999999</v>
      </c>
    </row>
    <row r="352" spans="1:2" ht="15" customHeight="1">
      <c r="A352" t="s">
        <v>415</v>
      </c>
      <c r="B352" s="15">
        <f>'Temp Dev, C, F'!D352</f>
        <v>56.21</v>
      </c>
    </row>
    <row r="353" spans="1:2" ht="15" customHeight="1">
      <c r="A353" t="s">
        <v>416</v>
      </c>
      <c r="B353" s="15">
        <f>'Temp Dev, C, F'!D353</f>
        <v>56.120000000000005</v>
      </c>
    </row>
    <row r="354" spans="1:2" ht="15" customHeight="1">
      <c r="A354" t="s">
        <v>417</v>
      </c>
      <c r="B354" s="15">
        <f>'Temp Dev, C, F'!D354</f>
        <v>56.21</v>
      </c>
    </row>
    <row r="355" spans="1:2" ht="15" customHeight="1">
      <c r="A355" t="s">
        <v>418</v>
      </c>
      <c r="B355" s="15">
        <f>'Temp Dev, C, F'!D355</f>
        <v>56.264000000000003</v>
      </c>
    </row>
    <row r="356" spans="1:2" ht="15" customHeight="1">
      <c r="A356" t="s">
        <v>419</v>
      </c>
      <c r="B356" s="15">
        <f>'Temp Dev, C, F'!D356</f>
        <v>56.372</v>
      </c>
    </row>
    <row r="357" spans="1:2" ht="15" customHeight="1">
      <c r="A357" t="s">
        <v>420</v>
      </c>
      <c r="B357" s="15">
        <f>'Temp Dev, C, F'!D357</f>
        <v>56.588000000000001</v>
      </c>
    </row>
    <row r="358" spans="1:2" ht="15" customHeight="1">
      <c r="A358" t="s">
        <v>421</v>
      </c>
      <c r="B358" s="15">
        <f>'Temp Dev, C, F'!D358</f>
        <v>56.498000000000005</v>
      </c>
    </row>
    <row r="359" spans="1:2" ht="15" customHeight="1">
      <c r="A359" t="s">
        <v>422</v>
      </c>
      <c r="B359" s="15">
        <f>'Temp Dev, C, F'!D359</f>
        <v>56.480000000000004</v>
      </c>
    </row>
    <row r="360" spans="1:2" ht="15" customHeight="1">
      <c r="A360" t="s">
        <v>423</v>
      </c>
      <c r="B360" s="15">
        <f>'Temp Dev, C, F'!D360</f>
        <v>56.606000000000002</v>
      </c>
    </row>
    <row r="361" spans="1:2" ht="15" customHeight="1">
      <c r="A361" t="s">
        <v>424</v>
      </c>
      <c r="B361" s="15">
        <f>'Temp Dev, C, F'!D361</f>
        <v>56.173999999999999</v>
      </c>
    </row>
    <row r="362" spans="1:2" ht="15" customHeight="1">
      <c r="A362" t="s">
        <v>425</v>
      </c>
      <c r="B362" s="15">
        <f>'Temp Dev, C, F'!D362</f>
        <v>56.426000000000002</v>
      </c>
    </row>
    <row r="363" spans="1:2" ht="15" customHeight="1">
      <c r="A363" t="s">
        <v>426</v>
      </c>
      <c r="B363" s="15">
        <f>'Temp Dev, C, F'!D363</f>
        <v>56.444000000000003</v>
      </c>
    </row>
    <row r="364" spans="1:2" ht="15" customHeight="1">
      <c r="A364" t="s">
        <v>427</v>
      </c>
      <c r="B364" s="15">
        <f>'Temp Dev, C, F'!D364</f>
        <v>56.281999999999996</v>
      </c>
    </row>
    <row r="365" spans="1:2" ht="15" customHeight="1">
      <c r="A365" t="s">
        <v>428</v>
      </c>
      <c r="B365" s="15">
        <f>'Temp Dev, C, F'!D365</f>
        <v>56.426000000000002</v>
      </c>
    </row>
    <row r="366" spans="1:2" ht="15" customHeight="1">
      <c r="A366" t="s">
        <v>429</v>
      </c>
      <c r="B366" s="15">
        <f>'Temp Dev, C, F'!D366</f>
        <v>56.57</v>
      </c>
    </row>
    <row r="367" spans="1:2" ht="15" customHeight="1">
      <c r="A367" t="s">
        <v>430</v>
      </c>
      <c r="B367" s="15">
        <f>'Temp Dev, C, F'!D367</f>
        <v>56.480000000000004</v>
      </c>
    </row>
    <row r="368" spans="1:2" ht="15" customHeight="1">
      <c r="A368" t="s">
        <v>431</v>
      </c>
      <c r="B368" s="15">
        <f>'Temp Dev, C, F'!D368</f>
        <v>56.57</v>
      </c>
    </row>
    <row r="369" spans="1:2" ht="15" customHeight="1">
      <c r="A369" t="s">
        <v>432</v>
      </c>
      <c r="B369" s="15">
        <f>'Temp Dev, C, F'!D369</f>
        <v>56.534000000000006</v>
      </c>
    </row>
    <row r="370" spans="1:2" ht="15" customHeight="1">
      <c r="A370" t="s">
        <v>433</v>
      </c>
      <c r="B370" s="15">
        <f>'Temp Dev, C, F'!D370</f>
        <v>56.498000000000005</v>
      </c>
    </row>
    <row r="371" spans="1:2" ht="15" customHeight="1">
      <c r="A371" t="s">
        <v>434</v>
      </c>
      <c r="B371" s="15">
        <f>'Temp Dev, C, F'!D371</f>
        <v>56.462000000000003</v>
      </c>
    </row>
    <row r="372" spans="1:2" ht="15" customHeight="1">
      <c r="A372" t="s">
        <v>435</v>
      </c>
      <c r="B372" s="15">
        <f>'Temp Dev, C, F'!D372</f>
        <v>56.155999999999999</v>
      </c>
    </row>
    <row r="373" spans="1:2" ht="15" customHeight="1">
      <c r="A373" t="s">
        <v>436</v>
      </c>
      <c r="B373" s="15">
        <f>'Temp Dev, C, F'!D373</f>
        <v>55.975999999999999</v>
      </c>
    </row>
    <row r="374" spans="1:2" ht="15" customHeight="1">
      <c r="A374" t="s">
        <v>437</v>
      </c>
      <c r="B374" s="15">
        <f>'Temp Dev, C, F'!D374</f>
        <v>56.066000000000003</v>
      </c>
    </row>
    <row r="375" spans="1:2" ht="15" customHeight="1">
      <c r="A375" t="s">
        <v>438</v>
      </c>
      <c r="B375" s="15">
        <f>'Temp Dev, C, F'!D375</f>
        <v>56.138000000000005</v>
      </c>
    </row>
    <row r="376" spans="1:2" ht="15" customHeight="1">
      <c r="A376" t="s">
        <v>439</v>
      </c>
      <c r="B376" s="15">
        <f>'Temp Dev, C, F'!D376</f>
        <v>56.102000000000004</v>
      </c>
    </row>
    <row r="377" spans="1:2" ht="15" customHeight="1">
      <c r="A377" t="s">
        <v>440</v>
      </c>
      <c r="B377" s="15">
        <f>'Temp Dev, C, F'!D377</f>
        <v>56.21</v>
      </c>
    </row>
    <row r="378" spans="1:2" ht="15" customHeight="1">
      <c r="A378" t="s">
        <v>441</v>
      </c>
      <c r="B378" s="15">
        <f>'Temp Dev, C, F'!D378</f>
        <v>56.264000000000003</v>
      </c>
    </row>
    <row r="379" spans="1:2" ht="15" customHeight="1">
      <c r="A379" t="s">
        <v>442</v>
      </c>
      <c r="B379" s="15">
        <f>'Temp Dev, C, F'!D379</f>
        <v>56.281999999999996</v>
      </c>
    </row>
    <row r="380" spans="1:2" ht="15" customHeight="1">
      <c r="A380" t="s">
        <v>443</v>
      </c>
      <c r="B380" s="15">
        <f>'Temp Dev, C, F'!D380</f>
        <v>56.426000000000002</v>
      </c>
    </row>
    <row r="381" spans="1:2" ht="15" customHeight="1">
      <c r="A381" t="s">
        <v>444</v>
      </c>
      <c r="B381" s="15">
        <f>'Temp Dev, C, F'!D381</f>
        <v>56.408000000000001</v>
      </c>
    </row>
    <row r="382" spans="1:2" ht="15" customHeight="1">
      <c r="A382" t="s">
        <v>445</v>
      </c>
      <c r="B382" s="15">
        <f>'Temp Dev, C, F'!D382</f>
        <v>56.462000000000003</v>
      </c>
    </row>
    <row r="383" spans="1:2" ht="15" customHeight="1">
      <c r="A383" t="s">
        <v>446</v>
      </c>
      <c r="B383" s="15">
        <f>'Temp Dev, C, F'!D383</f>
        <v>56.713999999999999</v>
      </c>
    </row>
    <row r="384" spans="1:2" ht="15" customHeight="1">
      <c r="A384" t="s">
        <v>447</v>
      </c>
      <c r="B384" s="15">
        <f>'Temp Dev, C, F'!D384</f>
        <v>56.804000000000002</v>
      </c>
    </row>
    <row r="385" spans="1:2" ht="15" customHeight="1">
      <c r="A385" t="s">
        <v>448</v>
      </c>
      <c r="B385" s="15">
        <f>'Temp Dev, C, F'!D385</f>
        <v>56.786000000000001</v>
      </c>
    </row>
    <row r="386" spans="1:2" ht="15" customHeight="1">
      <c r="A386" t="s">
        <v>449</v>
      </c>
      <c r="B386" s="15">
        <f>'Temp Dev, C, F'!D386</f>
        <v>56.695999999999998</v>
      </c>
    </row>
    <row r="387" spans="1:2" ht="15" customHeight="1">
      <c r="A387" t="s">
        <v>450</v>
      </c>
      <c r="B387" s="15">
        <f>'Temp Dev, C, F'!D387</f>
        <v>56.894000000000005</v>
      </c>
    </row>
    <row r="388" spans="1:2" ht="15" customHeight="1">
      <c r="A388" t="s">
        <v>451</v>
      </c>
      <c r="B388" s="15">
        <f>'Temp Dev, C, F'!D388</f>
        <v>56.480000000000004</v>
      </c>
    </row>
    <row r="389" spans="1:2" ht="15" customHeight="1">
      <c r="A389" t="s">
        <v>452</v>
      </c>
      <c r="B389" s="15">
        <f>'Temp Dev, C, F'!D389</f>
        <v>56.858000000000004</v>
      </c>
    </row>
    <row r="390" spans="1:2" ht="15" customHeight="1">
      <c r="A390" t="s">
        <v>453</v>
      </c>
      <c r="B390" s="15">
        <f>'Temp Dev, C, F'!D390</f>
        <v>56.804000000000002</v>
      </c>
    </row>
    <row r="391" spans="1:2" ht="15" customHeight="1">
      <c r="A391" t="s">
        <v>454</v>
      </c>
      <c r="B391" s="15">
        <f>'Temp Dev, C, F'!D391</f>
        <v>56.75</v>
      </c>
    </row>
    <row r="392" spans="1:2" ht="15" customHeight="1">
      <c r="A392" t="s">
        <v>455</v>
      </c>
      <c r="B392" s="15">
        <f>'Temp Dev, C, F'!D392</f>
        <v>56.426000000000002</v>
      </c>
    </row>
    <row r="393" spans="1:2" ht="15" customHeight="1">
      <c r="A393" t="s">
        <v>456</v>
      </c>
      <c r="B393" s="15">
        <f>'Temp Dev, C, F'!D393</f>
        <v>56.21</v>
      </c>
    </row>
    <row r="394" spans="1:2" ht="15" customHeight="1">
      <c r="A394" t="s">
        <v>457</v>
      </c>
      <c r="B394" s="15">
        <f>'Temp Dev, C, F'!D394</f>
        <v>56.155999999999999</v>
      </c>
    </row>
    <row r="395" spans="1:2" ht="15" customHeight="1">
      <c r="A395" t="s">
        <v>458</v>
      </c>
      <c r="B395" s="15">
        <f>'Temp Dev, C, F'!D395</f>
        <v>56.138000000000005</v>
      </c>
    </row>
    <row r="396" spans="1:2" ht="15" customHeight="1">
      <c r="A396" t="s">
        <v>459</v>
      </c>
      <c r="B396" s="15">
        <f>'Temp Dev, C, F'!D396</f>
        <v>56.480000000000004</v>
      </c>
    </row>
    <row r="397" spans="1:2" ht="15" customHeight="1">
      <c r="A397" t="s">
        <v>460</v>
      </c>
      <c r="B397" s="15">
        <f>'Temp Dev, C, F'!D397</f>
        <v>56.408000000000001</v>
      </c>
    </row>
    <row r="398" spans="1:2" ht="15" customHeight="1">
      <c r="A398" t="s">
        <v>461</v>
      </c>
      <c r="B398" s="15">
        <f>'Temp Dev, C, F'!D398</f>
        <v>56.444000000000003</v>
      </c>
    </row>
    <row r="399" spans="1:2" ht="15" customHeight="1">
      <c r="A399" t="s">
        <v>462</v>
      </c>
      <c r="B399" s="15">
        <f>'Temp Dev, C, F'!D399</f>
        <v>56.353999999999999</v>
      </c>
    </row>
    <row r="400" spans="1:2" ht="15" customHeight="1">
      <c r="A400" t="s">
        <v>463</v>
      </c>
      <c r="B400" s="15">
        <f>'Temp Dev, C, F'!D400</f>
        <v>56.408000000000001</v>
      </c>
    </row>
    <row r="401" spans="1:2" ht="15" customHeight="1">
      <c r="A401" t="s">
        <v>464</v>
      </c>
      <c r="B401" s="15">
        <f>'Temp Dev, C, F'!D401</f>
        <v>56.462000000000003</v>
      </c>
    </row>
    <row r="402" spans="1:2" ht="15" customHeight="1">
      <c r="A402" t="s">
        <v>465</v>
      </c>
      <c r="B402" s="15">
        <f>'Temp Dev, C, F'!D402</f>
        <v>56.39</v>
      </c>
    </row>
    <row r="403" spans="1:2" ht="15" customHeight="1">
      <c r="A403" t="s">
        <v>466</v>
      </c>
      <c r="B403" s="15">
        <f>'Temp Dev, C, F'!D403</f>
        <v>56.372</v>
      </c>
    </row>
    <row r="404" spans="1:2" ht="15" customHeight="1">
      <c r="A404" t="s">
        <v>467</v>
      </c>
      <c r="B404" s="15">
        <f>'Temp Dev, C, F'!D404</f>
        <v>56.534000000000006</v>
      </c>
    </row>
    <row r="405" spans="1:2" ht="15" customHeight="1">
      <c r="A405" t="s">
        <v>468</v>
      </c>
      <c r="B405" s="15">
        <f>'Temp Dev, C, F'!D405</f>
        <v>56.588000000000001</v>
      </c>
    </row>
    <row r="406" spans="1:2" ht="15" customHeight="1">
      <c r="A406" t="s">
        <v>469</v>
      </c>
      <c r="B406" s="15">
        <f>'Temp Dev, C, F'!D406</f>
        <v>56.57</v>
      </c>
    </row>
    <row r="407" spans="1:2" ht="15" customHeight="1">
      <c r="A407" t="s">
        <v>470</v>
      </c>
      <c r="B407" s="15">
        <f>'Temp Dev, C, F'!D407</f>
        <v>56.606000000000002</v>
      </c>
    </row>
    <row r="408" spans="1:2" ht="15" customHeight="1">
      <c r="A408" t="s">
        <v>471</v>
      </c>
      <c r="B408" s="15">
        <f>'Temp Dev, C, F'!D408</f>
        <v>56.822000000000003</v>
      </c>
    </row>
    <row r="409" spans="1:2" ht="15" customHeight="1">
      <c r="A409" t="s">
        <v>472</v>
      </c>
      <c r="B409" s="15">
        <f>'Temp Dev, C, F'!D409</f>
        <v>57.128</v>
      </c>
    </row>
    <row r="410" spans="1:2" ht="15" customHeight="1">
      <c r="A410" t="s">
        <v>473</v>
      </c>
      <c r="B410" s="15">
        <f>'Temp Dev, C, F'!D410</f>
        <v>57.236000000000004</v>
      </c>
    </row>
    <row r="411" spans="1:2" ht="15" customHeight="1">
      <c r="A411" t="s">
        <v>474</v>
      </c>
      <c r="B411" s="15">
        <f>'Temp Dev, C, F'!D411</f>
        <v>57.002000000000002</v>
      </c>
    </row>
    <row r="412" spans="1:2" ht="15" customHeight="1">
      <c r="A412" t="s">
        <v>475</v>
      </c>
      <c r="B412" s="15">
        <f>'Temp Dev, C, F'!D412</f>
        <v>56.731999999999999</v>
      </c>
    </row>
    <row r="413" spans="1:2" ht="15" customHeight="1">
      <c r="A413" t="s">
        <v>476</v>
      </c>
      <c r="B413" s="15">
        <f>'Temp Dev, C, F'!D413</f>
        <v>56.641999999999996</v>
      </c>
    </row>
    <row r="414" spans="1:2" ht="15" customHeight="1">
      <c r="A414" t="s">
        <v>477</v>
      </c>
      <c r="B414" s="15">
        <f>'Temp Dev, C, F'!D414</f>
        <v>56.804000000000002</v>
      </c>
    </row>
    <row r="415" spans="1:2" ht="15" customHeight="1">
      <c r="A415" t="s">
        <v>478</v>
      </c>
      <c r="B415" s="15">
        <f>'Temp Dev, C, F'!D415</f>
        <v>56.731999999999999</v>
      </c>
    </row>
    <row r="416" spans="1:2" ht="15" customHeight="1">
      <c r="A416" t="s">
        <v>479</v>
      </c>
      <c r="B416" s="15">
        <f>'Temp Dev, C, F'!D416</f>
        <v>56.75</v>
      </c>
    </row>
    <row r="417" spans="1:2" ht="15" customHeight="1">
      <c r="A417" t="s">
        <v>480</v>
      </c>
      <c r="B417" s="15">
        <f>'Temp Dev, C, F'!D417</f>
        <v>56.894000000000005</v>
      </c>
    </row>
    <row r="418" spans="1:2" ht="15" customHeight="1">
      <c r="A418" t="s">
        <v>481</v>
      </c>
      <c r="B418" s="15">
        <f>'Temp Dev, C, F'!D418</f>
        <v>56.876000000000005</v>
      </c>
    </row>
    <row r="419" spans="1:2" ht="15" customHeight="1">
      <c r="A419" t="s">
        <v>482</v>
      </c>
      <c r="B419" s="15">
        <f>'Temp Dev, C, F'!D419</f>
        <v>57.128</v>
      </c>
    </row>
    <row r="420" spans="1:2" ht="15" customHeight="1">
      <c r="A420" t="s">
        <v>483</v>
      </c>
      <c r="B420" s="15">
        <f>'Temp Dev, C, F'!D420</f>
        <v>56.894000000000005</v>
      </c>
    </row>
    <row r="421" spans="1:2" ht="15" customHeight="1">
      <c r="A421" t="s">
        <v>484</v>
      </c>
      <c r="B421" s="15">
        <f>'Temp Dev, C, F'!D421</f>
        <v>57.11</v>
      </c>
    </row>
    <row r="422" spans="1:2" ht="15" customHeight="1">
      <c r="A422" t="s">
        <v>485</v>
      </c>
      <c r="B422" s="15">
        <f>'Temp Dev, C, F'!D422</f>
        <v>56.804000000000002</v>
      </c>
    </row>
    <row r="423" spans="1:2" ht="15" customHeight="1">
      <c r="A423" t="s">
        <v>486</v>
      </c>
      <c r="B423" s="15">
        <f>'Temp Dev, C, F'!D423</f>
        <v>57.128</v>
      </c>
    </row>
    <row r="424" spans="1:2" ht="15" customHeight="1">
      <c r="A424" t="s">
        <v>487</v>
      </c>
      <c r="B424" s="15">
        <f>'Temp Dev, C, F'!D424</f>
        <v>57.002000000000002</v>
      </c>
    </row>
    <row r="425" spans="1:2" ht="15" customHeight="1">
      <c r="A425" t="s">
        <v>488</v>
      </c>
      <c r="B425" s="15">
        <f>'Temp Dev, C, F'!D425</f>
        <v>57.308</v>
      </c>
    </row>
    <row r="426" spans="1:2" ht="15" customHeight="1">
      <c r="A426" t="s">
        <v>489</v>
      </c>
      <c r="B426" s="15">
        <f>'Temp Dev, C, F'!D426</f>
        <v>57.091999999999999</v>
      </c>
    </row>
    <row r="427" spans="1:2" ht="15" customHeight="1">
      <c r="A427" t="s">
        <v>490</v>
      </c>
      <c r="B427" s="15">
        <f>'Temp Dev, C, F'!D427</f>
        <v>56.786000000000001</v>
      </c>
    </row>
    <row r="428" spans="1:2" ht="15" customHeight="1">
      <c r="A428" t="s">
        <v>491</v>
      </c>
      <c r="B428" s="15">
        <f>'Temp Dev, C, F'!D428</f>
        <v>56.965999999999994</v>
      </c>
    </row>
    <row r="429" spans="1:2" ht="15" customHeight="1">
      <c r="A429" t="s">
        <v>492</v>
      </c>
      <c r="B429" s="15">
        <f>'Temp Dev, C, F'!D429</f>
        <v>56.786000000000001</v>
      </c>
    </row>
    <row r="430" spans="1:2" ht="15" customHeight="1">
      <c r="A430" t="s">
        <v>493</v>
      </c>
      <c r="B430" s="15">
        <f>'Temp Dev, C, F'!D430</f>
        <v>56.822000000000003</v>
      </c>
    </row>
    <row r="431" spans="1:2" ht="15" customHeight="1">
      <c r="A431" t="s">
        <v>494</v>
      </c>
      <c r="B431" s="15">
        <f>'Temp Dev, C, F'!D431</f>
        <v>56.75</v>
      </c>
    </row>
    <row r="432" spans="1:2" ht="15" customHeight="1">
      <c r="A432" t="s">
        <v>495</v>
      </c>
      <c r="B432" s="15">
        <f>'Temp Dev, C, F'!D432</f>
        <v>56.948</v>
      </c>
    </row>
    <row r="433" spans="1:2" ht="15" customHeight="1">
      <c r="A433" t="s">
        <v>496</v>
      </c>
      <c r="B433" s="15">
        <f>'Temp Dev, C, F'!D433</f>
        <v>56.804000000000002</v>
      </c>
    </row>
    <row r="434" spans="1:2" ht="15" customHeight="1">
      <c r="A434" t="s">
        <v>497</v>
      </c>
      <c r="B434" s="15">
        <f>'Temp Dev, C, F'!D434</f>
        <v>56.948</v>
      </c>
    </row>
    <row r="435" spans="1:2" ht="15" customHeight="1">
      <c r="A435" t="s">
        <v>498</v>
      </c>
      <c r="B435" s="15">
        <f>'Temp Dev, C, F'!D435</f>
        <v>56.93</v>
      </c>
    </row>
    <row r="436" spans="1:2" ht="15" customHeight="1">
      <c r="A436" t="s">
        <v>499</v>
      </c>
      <c r="B436" s="15">
        <f>'Temp Dev, C, F'!D436</f>
        <v>56.677999999999997</v>
      </c>
    </row>
    <row r="437" spans="1:2" ht="15" customHeight="1">
      <c r="A437" t="s">
        <v>500</v>
      </c>
      <c r="B437" s="15">
        <f>'Temp Dev, C, F'!D437</f>
        <v>56.641999999999996</v>
      </c>
    </row>
    <row r="438" spans="1:2" ht="15" customHeight="1">
      <c r="A438" t="s">
        <v>501</v>
      </c>
      <c r="B438" s="15">
        <f>'Temp Dev, C, F'!D438</f>
        <v>56.552000000000007</v>
      </c>
    </row>
    <row r="439" spans="1:2" ht="15" customHeight="1">
      <c r="A439" t="s">
        <v>502</v>
      </c>
      <c r="B439" s="15">
        <f>'Temp Dev, C, F'!D439</f>
        <v>56.3</v>
      </c>
    </row>
    <row r="440" spans="1:2" ht="15" customHeight="1">
      <c r="A440" t="s">
        <v>503</v>
      </c>
      <c r="B440" s="15">
        <f>'Temp Dev, C, F'!D440</f>
        <v>56.534000000000006</v>
      </c>
    </row>
    <row r="441" spans="1:2" ht="15" customHeight="1">
      <c r="A441" t="s">
        <v>504</v>
      </c>
      <c r="B441" s="15">
        <f>'Temp Dev, C, F'!D441</f>
        <v>56.695999999999998</v>
      </c>
    </row>
    <row r="442" spans="1:2" ht="15" customHeight="1">
      <c r="A442" t="s">
        <v>505</v>
      </c>
      <c r="B442" s="15">
        <f>'Temp Dev, C, F'!D442</f>
        <v>56.552000000000007</v>
      </c>
    </row>
    <row r="443" spans="1:2" ht="15" customHeight="1">
      <c r="A443" t="s">
        <v>506</v>
      </c>
      <c r="B443" s="15">
        <f>'Temp Dev, C, F'!D443</f>
        <v>56.606000000000002</v>
      </c>
    </row>
    <row r="444" spans="1:2" ht="15" customHeight="1">
      <c r="A444" t="s">
        <v>507</v>
      </c>
      <c r="B444" s="15">
        <f>'Temp Dev, C, F'!D444</f>
        <v>56.353999999999999</v>
      </c>
    </row>
    <row r="445" spans="1:2" ht="15" customHeight="1">
      <c r="A445" t="s">
        <v>508</v>
      </c>
      <c r="B445" s="15">
        <f>'Temp Dev, C, F'!D445</f>
        <v>55.724000000000004</v>
      </c>
    </row>
    <row r="446" spans="1:2" ht="15" customHeight="1">
      <c r="A446" t="s">
        <v>509</v>
      </c>
      <c r="B446" s="15">
        <f>'Temp Dev, C, F'!D446</f>
        <v>56.173999999999999</v>
      </c>
    </row>
    <row r="447" spans="1:2" ht="15" customHeight="1">
      <c r="A447" t="s">
        <v>510</v>
      </c>
      <c r="B447" s="15">
        <f>'Temp Dev, C, F'!D447</f>
        <v>56.066000000000003</v>
      </c>
    </row>
    <row r="448" spans="1:2" ht="15" customHeight="1">
      <c r="A448" t="s">
        <v>511</v>
      </c>
      <c r="B448" s="15">
        <f>'Temp Dev, C, F'!D448</f>
        <v>56.066000000000003</v>
      </c>
    </row>
    <row r="449" spans="1:2" ht="15" customHeight="1">
      <c r="A449" t="s">
        <v>512</v>
      </c>
      <c r="B449" s="15">
        <f>'Temp Dev, C, F'!D449</f>
        <v>56.21</v>
      </c>
    </row>
    <row r="450" spans="1:2" ht="15" customHeight="1">
      <c r="A450" t="s">
        <v>513</v>
      </c>
      <c r="B450" s="15">
        <f>'Temp Dev, C, F'!D450</f>
        <v>56.192</v>
      </c>
    </row>
    <row r="451" spans="1:2" ht="15" customHeight="1">
      <c r="A451" t="s">
        <v>514</v>
      </c>
      <c r="B451" s="15">
        <f>'Temp Dev, C, F'!D451</f>
        <v>56.408000000000001</v>
      </c>
    </row>
    <row r="452" spans="1:2" ht="15" customHeight="1">
      <c r="A452" t="s">
        <v>515</v>
      </c>
      <c r="B452" s="15">
        <f>'Temp Dev, C, F'!D452</f>
        <v>56.731999999999999</v>
      </c>
    </row>
    <row r="453" spans="1:2" ht="15" customHeight="1">
      <c r="A453" t="s">
        <v>516</v>
      </c>
      <c r="B453" s="15">
        <f>'Temp Dev, C, F'!D453</f>
        <v>56.786000000000001</v>
      </c>
    </row>
    <row r="454" spans="1:2" ht="15" customHeight="1">
      <c r="A454" t="s">
        <v>517</v>
      </c>
      <c r="B454" s="15">
        <f>'Temp Dev, C, F'!D454</f>
        <v>56.786000000000001</v>
      </c>
    </row>
    <row r="455" spans="1:2" ht="15" customHeight="1">
      <c r="A455" t="s">
        <v>518</v>
      </c>
      <c r="B455" s="15">
        <f>'Temp Dev, C, F'!D455</f>
        <v>56.39</v>
      </c>
    </row>
    <row r="456" spans="1:2" ht="15" customHeight="1">
      <c r="A456" t="s">
        <v>519</v>
      </c>
      <c r="B456" s="15">
        <f>'Temp Dev, C, F'!D456</f>
        <v>56.588000000000001</v>
      </c>
    </row>
    <row r="457" spans="1:2" ht="15" customHeight="1">
      <c r="A457" t="s">
        <v>520</v>
      </c>
      <c r="B457" s="15">
        <f>'Temp Dev, C, F'!D457</f>
        <v>55.975999999999999</v>
      </c>
    </row>
    <row r="458" spans="1:2" ht="15" customHeight="1">
      <c r="A458" t="s">
        <v>521</v>
      </c>
      <c r="B458" s="15">
        <f>'Temp Dev, C, F'!D458</f>
        <v>56.335999999999999</v>
      </c>
    </row>
    <row r="459" spans="1:2" ht="15" customHeight="1">
      <c r="A459" t="s">
        <v>522</v>
      </c>
      <c r="B459" s="15">
        <f>'Temp Dev, C, F'!D459</f>
        <v>56.57</v>
      </c>
    </row>
    <row r="460" spans="1:2" ht="15" customHeight="1">
      <c r="A460" t="s">
        <v>523</v>
      </c>
      <c r="B460" s="15">
        <f>'Temp Dev, C, F'!D460</f>
        <v>56.731999999999999</v>
      </c>
    </row>
    <row r="461" spans="1:2" ht="15" customHeight="1">
      <c r="A461" t="s">
        <v>524</v>
      </c>
      <c r="B461" s="15">
        <f>'Temp Dev, C, F'!D461</f>
        <v>56.39</v>
      </c>
    </row>
    <row r="462" spans="1:2" ht="15" customHeight="1">
      <c r="A462" t="s">
        <v>525</v>
      </c>
      <c r="B462" s="15">
        <f>'Temp Dev, C, F'!D462</f>
        <v>56.426000000000002</v>
      </c>
    </row>
    <row r="463" spans="1:2" ht="15" customHeight="1">
      <c r="A463" t="s">
        <v>526</v>
      </c>
      <c r="B463" s="15">
        <f>'Temp Dev, C, F'!D463</f>
        <v>56.534000000000006</v>
      </c>
    </row>
    <row r="464" spans="1:2" ht="15" customHeight="1">
      <c r="A464" t="s">
        <v>527</v>
      </c>
      <c r="B464" s="15">
        <f>'Temp Dev, C, F'!D464</f>
        <v>56.623999999999995</v>
      </c>
    </row>
    <row r="465" spans="1:2" ht="15" customHeight="1">
      <c r="A465" t="s">
        <v>528</v>
      </c>
      <c r="B465" s="15">
        <f>'Temp Dev, C, F'!D465</f>
        <v>56.623999999999995</v>
      </c>
    </row>
    <row r="466" spans="1:2" ht="15" customHeight="1">
      <c r="A466" t="s">
        <v>529</v>
      </c>
      <c r="B466" s="15">
        <f>'Temp Dev, C, F'!D466</f>
        <v>56.894000000000005</v>
      </c>
    </row>
    <row r="467" spans="1:2" ht="15" customHeight="1">
      <c r="A467" t="s">
        <v>530</v>
      </c>
      <c r="B467" s="15">
        <f>'Temp Dev, C, F'!D467</f>
        <v>57.091999999999999</v>
      </c>
    </row>
    <row r="468" spans="1:2" ht="15" customHeight="1">
      <c r="A468" t="s">
        <v>531</v>
      </c>
      <c r="B468" s="15">
        <f>'Temp Dev, C, F'!D468</f>
        <v>56.984000000000002</v>
      </c>
    </row>
    <row r="469" spans="1:2" ht="15" customHeight="1">
      <c r="A469" t="s">
        <v>532</v>
      </c>
      <c r="B469" s="15">
        <f>'Temp Dev, C, F'!D469</f>
        <v>56.66</v>
      </c>
    </row>
    <row r="470" spans="1:2" ht="15" customHeight="1">
      <c r="A470" t="s">
        <v>533</v>
      </c>
      <c r="B470" s="15">
        <f>'Temp Dev, C, F'!D470</f>
        <v>56.84</v>
      </c>
    </row>
    <row r="471" spans="1:2" ht="15" customHeight="1">
      <c r="A471" t="s">
        <v>534</v>
      </c>
      <c r="B471" s="15">
        <f>'Temp Dev, C, F'!D471</f>
        <v>56.768000000000001</v>
      </c>
    </row>
    <row r="472" spans="1:2" ht="15" customHeight="1">
      <c r="A472" t="s">
        <v>535</v>
      </c>
      <c r="B472" s="15">
        <f>'Temp Dev, C, F'!D472</f>
        <v>56.822000000000003</v>
      </c>
    </row>
    <row r="473" spans="1:2" ht="15" customHeight="1">
      <c r="A473" t="s">
        <v>536</v>
      </c>
      <c r="B473" s="15">
        <f>'Temp Dev, C, F'!D473</f>
        <v>56.965999999999994</v>
      </c>
    </row>
    <row r="474" spans="1:2" ht="15" customHeight="1">
      <c r="A474" t="s">
        <v>537</v>
      </c>
      <c r="B474" s="15">
        <f>'Temp Dev, C, F'!D474</f>
        <v>56.695999999999998</v>
      </c>
    </row>
    <row r="475" spans="1:2" ht="15" customHeight="1">
      <c r="A475" t="s">
        <v>538</v>
      </c>
      <c r="B475" s="15">
        <f>'Temp Dev, C, F'!D475</f>
        <v>56.552000000000007</v>
      </c>
    </row>
    <row r="476" spans="1:2" ht="15" customHeight="1">
      <c r="A476" t="s">
        <v>539</v>
      </c>
      <c r="B476" s="15">
        <f>'Temp Dev, C, F'!D476</f>
        <v>56.677999999999997</v>
      </c>
    </row>
    <row r="477" spans="1:2" ht="15" customHeight="1">
      <c r="A477" t="s">
        <v>540</v>
      </c>
      <c r="B477" s="15">
        <f>'Temp Dev, C, F'!D477</f>
        <v>56.606000000000002</v>
      </c>
    </row>
    <row r="478" spans="1:2" ht="15" customHeight="1">
      <c r="A478" t="s">
        <v>541</v>
      </c>
      <c r="B478" s="15">
        <f>'Temp Dev, C, F'!D478</f>
        <v>56.75</v>
      </c>
    </row>
    <row r="479" spans="1:2" ht="15" customHeight="1">
      <c r="A479" t="s">
        <v>542</v>
      </c>
      <c r="B479" s="15">
        <f>'Temp Dev, C, F'!D479</f>
        <v>56.84</v>
      </c>
    </row>
    <row r="480" spans="1:2" ht="15" customHeight="1">
      <c r="A480" t="s">
        <v>543</v>
      </c>
      <c r="B480" s="15">
        <f>'Temp Dev, C, F'!D480</f>
        <v>56.444000000000003</v>
      </c>
    </row>
    <row r="481" spans="1:2" ht="15" customHeight="1">
      <c r="A481" t="s">
        <v>544</v>
      </c>
      <c r="B481" s="15">
        <f>'Temp Dev, C, F'!D481</f>
        <v>56.426000000000002</v>
      </c>
    </row>
    <row r="482" spans="1:2" ht="15" customHeight="1">
      <c r="A482" t="s">
        <v>545</v>
      </c>
      <c r="B482" s="15">
        <f>'Temp Dev, C, F'!D482</f>
        <v>56.731999999999999</v>
      </c>
    </row>
    <row r="483" spans="1:2" ht="15" customHeight="1">
      <c r="A483" t="s">
        <v>546</v>
      </c>
      <c r="B483" s="15">
        <f>'Temp Dev, C, F'!D483</f>
        <v>56.713999999999999</v>
      </c>
    </row>
    <row r="484" spans="1:2" ht="15" customHeight="1">
      <c r="A484" t="s">
        <v>547</v>
      </c>
      <c r="B484" s="15">
        <f>'Temp Dev, C, F'!D484</f>
        <v>56.984000000000002</v>
      </c>
    </row>
    <row r="485" spans="1:2" ht="15" customHeight="1">
      <c r="A485" t="s">
        <v>548</v>
      </c>
      <c r="B485" s="15">
        <f>'Temp Dev, C, F'!D485</f>
        <v>56.75</v>
      </c>
    </row>
    <row r="486" spans="1:2" ht="15" customHeight="1">
      <c r="A486" t="s">
        <v>549</v>
      </c>
      <c r="B486" s="15">
        <f>'Temp Dev, C, F'!D486</f>
        <v>56.713999999999999</v>
      </c>
    </row>
    <row r="487" spans="1:2" ht="15" customHeight="1">
      <c r="A487" t="s">
        <v>550</v>
      </c>
      <c r="B487" s="15">
        <f>'Temp Dev, C, F'!D487</f>
        <v>56.552000000000007</v>
      </c>
    </row>
    <row r="488" spans="1:2" ht="15" customHeight="1">
      <c r="A488" t="s">
        <v>551</v>
      </c>
      <c r="B488" s="15">
        <f>'Temp Dev, C, F'!D488</f>
        <v>56.641999999999996</v>
      </c>
    </row>
    <row r="489" spans="1:2" ht="15" customHeight="1">
      <c r="A489" t="s">
        <v>552</v>
      </c>
      <c r="B489" s="15">
        <f>'Temp Dev, C, F'!D489</f>
        <v>56.731999999999999</v>
      </c>
    </row>
    <row r="490" spans="1:2" ht="15" customHeight="1">
      <c r="A490" t="s">
        <v>553</v>
      </c>
      <c r="B490" s="15">
        <f>'Temp Dev, C, F'!D490</f>
        <v>56.804000000000002</v>
      </c>
    </row>
    <row r="491" spans="1:2" ht="15" customHeight="1">
      <c r="A491" t="s">
        <v>554</v>
      </c>
      <c r="B491" s="15">
        <f>'Temp Dev, C, F'!D491</f>
        <v>56.713999999999999</v>
      </c>
    </row>
    <row r="492" spans="1:2" ht="15" customHeight="1">
      <c r="A492" t="s">
        <v>555</v>
      </c>
      <c r="B492" s="15">
        <f>'Temp Dev, C, F'!D492</f>
        <v>56.695999999999998</v>
      </c>
    </row>
    <row r="493" spans="1:2" ht="15" customHeight="1">
      <c r="A493" t="s">
        <v>556</v>
      </c>
      <c r="B493" s="15">
        <f>'Temp Dev, C, F'!D493</f>
        <v>56.353999999999999</v>
      </c>
    </row>
    <row r="494" spans="1:2" ht="15" customHeight="1">
      <c r="A494" t="s">
        <v>557</v>
      </c>
      <c r="B494" s="15">
        <f>'Temp Dev, C, F'!D494</f>
        <v>57.11</v>
      </c>
    </row>
    <row r="495" spans="1:2" ht="15" customHeight="1">
      <c r="A495" t="s">
        <v>558</v>
      </c>
      <c r="B495" s="15">
        <f>'Temp Dev, C, F'!D495</f>
        <v>56.876000000000005</v>
      </c>
    </row>
    <row r="496" spans="1:2" ht="15" customHeight="1">
      <c r="A496" t="s">
        <v>559</v>
      </c>
      <c r="B496" s="15">
        <f>'Temp Dev, C, F'!D496</f>
        <v>56.786000000000001</v>
      </c>
    </row>
    <row r="497" spans="1:2" ht="15" customHeight="1">
      <c r="A497" t="s">
        <v>560</v>
      </c>
      <c r="B497" s="15">
        <f>'Temp Dev, C, F'!D497</f>
        <v>56.66</v>
      </c>
    </row>
    <row r="498" spans="1:2" ht="15" customHeight="1">
      <c r="A498" t="s">
        <v>561</v>
      </c>
      <c r="B498" s="15">
        <f>'Temp Dev, C, F'!D498</f>
        <v>56.66</v>
      </c>
    </row>
    <row r="499" spans="1:2" ht="15" customHeight="1">
      <c r="A499" t="s">
        <v>562</v>
      </c>
      <c r="B499" s="15">
        <f>'Temp Dev, C, F'!D499</f>
        <v>56.713999999999999</v>
      </c>
    </row>
    <row r="500" spans="1:2" ht="15" customHeight="1">
      <c r="A500" t="s">
        <v>563</v>
      </c>
      <c r="B500" s="15">
        <f>'Temp Dev, C, F'!D500</f>
        <v>56.93</v>
      </c>
    </row>
    <row r="501" spans="1:2" ht="15" customHeight="1">
      <c r="A501" t="s">
        <v>564</v>
      </c>
      <c r="B501" s="15">
        <f>'Temp Dev, C, F'!D501</f>
        <v>56.713999999999999</v>
      </c>
    </row>
    <row r="502" spans="1:2" ht="15" customHeight="1">
      <c r="A502" t="s">
        <v>565</v>
      </c>
      <c r="B502" s="15">
        <f>'Temp Dev, C, F'!D502</f>
        <v>56.858000000000004</v>
      </c>
    </row>
    <row r="503" spans="1:2" ht="15" customHeight="1">
      <c r="A503" t="s">
        <v>566</v>
      </c>
      <c r="B503" s="15">
        <f>'Temp Dev, C, F'!D503</f>
        <v>57.146000000000001</v>
      </c>
    </row>
    <row r="504" spans="1:2" ht="15" customHeight="1">
      <c r="A504" t="s">
        <v>567</v>
      </c>
      <c r="B504" s="15">
        <f>'Temp Dev, C, F'!D504</f>
        <v>56.93</v>
      </c>
    </row>
    <row r="505" spans="1:2" ht="15" customHeight="1">
      <c r="A505" t="s">
        <v>568</v>
      </c>
      <c r="B505" s="15">
        <f>'Temp Dev, C, F'!D505</f>
        <v>56.876000000000005</v>
      </c>
    </row>
    <row r="506" spans="1:2" ht="15" customHeight="1">
      <c r="A506" t="s">
        <v>569</v>
      </c>
      <c r="B506" s="15">
        <f>'Temp Dev, C, F'!D506</f>
        <v>56.588000000000001</v>
      </c>
    </row>
    <row r="507" spans="1:2" ht="15" customHeight="1">
      <c r="A507" t="s">
        <v>570</v>
      </c>
      <c r="B507" s="15">
        <f>'Temp Dev, C, F'!D507</f>
        <v>56.39</v>
      </c>
    </row>
    <row r="508" spans="1:2" ht="15" customHeight="1">
      <c r="A508" t="s">
        <v>571</v>
      </c>
      <c r="B508" s="15">
        <f>'Temp Dev, C, F'!D508</f>
        <v>56.93</v>
      </c>
    </row>
    <row r="509" spans="1:2" ht="15" customHeight="1">
      <c r="A509" t="s">
        <v>572</v>
      </c>
      <c r="B509" s="15">
        <f>'Temp Dev, C, F'!D509</f>
        <v>56.786000000000001</v>
      </c>
    </row>
    <row r="510" spans="1:2" ht="15" customHeight="1">
      <c r="A510" t="s">
        <v>573</v>
      </c>
      <c r="B510" s="15">
        <f>'Temp Dev, C, F'!D510</f>
        <v>56.606000000000002</v>
      </c>
    </row>
    <row r="511" spans="1:2" ht="15" customHeight="1">
      <c r="A511" t="s">
        <v>574</v>
      </c>
      <c r="B511" s="15">
        <f>'Temp Dev, C, F'!D511</f>
        <v>56.641999999999996</v>
      </c>
    </row>
    <row r="512" spans="1:2" ht="15" customHeight="1">
      <c r="A512" t="s">
        <v>575</v>
      </c>
      <c r="B512" s="15">
        <f>'Temp Dev, C, F'!D512</f>
        <v>56.713999999999999</v>
      </c>
    </row>
    <row r="513" spans="1:2" ht="15" customHeight="1">
      <c r="A513" t="s">
        <v>576</v>
      </c>
      <c r="B513" s="15">
        <f>'Temp Dev, C, F'!D513</f>
        <v>56.606000000000002</v>
      </c>
    </row>
    <row r="514" spans="1:2" ht="15" customHeight="1">
      <c r="A514" t="s">
        <v>577</v>
      </c>
      <c r="B514" s="15">
        <f>'Temp Dev, C, F'!D514</f>
        <v>56.57</v>
      </c>
    </row>
    <row r="515" spans="1:2" ht="15" customHeight="1">
      <c r="A515" t="s">
        <v>578</v>
      </c>
      <c r="B515" s="15">
        <f>'Temp Dev, C, F'!D515</f>
        <v>56.641999999999996</v>
      </c>
    </row>
    <row r="516" spans="1:2" ht="15" customHeight="1">
      <c r="A516" t="s">
        <v>579</v>
      </c>
      <c r="B516" s="15">
        <f>'Temp Dev, C, F'!D516</f>
        <v>56.948</v>
      </c>
    </row>
    <row r="517" spans="1:2" ht="15" customHeight="1">
      <c r="A517" t="s">
        <v>580</v>
      </c>
      <c r="B517" s="15">
        <f>'Temp Dev, C, F'!D517</f>
        <v>56.84</v>
      </c>
    </row>
    <row r="518" spans="1:2" ht="15" customHeight="1">
      <c r="A518" t="s">
        <v>581</v>
      </c>
      <c r="B518" s="15">
        <f>'Temp Dev, C, F'!D518</f>
        <v>56.713999999999999</v>
      </c>
    </row>
    <row r="519" spans="1:2" ht="15" customHeight="1">
      <c r="A519" t="s">
        <v>582</v>
      </c>
      <c r="B519" s="15">
        <f>'Temp Dev, C, F'!D519</f>
        <v>56.498000000000005</v>
      </c>
    </row>
    <row r="520" spans="1:2" ht="15" customHeight="1">
      <c r="A520" t="s">
        <v>583</v>
      </c>
      <c r="B520" s="15">
        <f>'Temp Dev, C, F'!D520</f>
        <v>56.588000000000001</v>
      </c>
    </row>
    <row r="521" spans="1:2" ht="15" customHeight="1">
      <c r="A521" t="s">
        <v>584</v>
      </c>
      <c r="B521" s="15">
        <f>'Temp Dev, C, F'!D521</f>
        <v>56.462000000000003</v>
      </c>
    </row>
    <row r="522" spans="1:2" ht="15" customHeight="1">
      <c r="A522" t="s">
        <v>585</v>
      </c>
      <c r="B522" s="15">
        <f>'Temp Dev, C, F'!D522</f>
        <v>56.588000000000001</v>
      </c>
    </row>
    <row r="523" spans="1:2" ht="15" customHeight="1">
      <c r="A523" t="s">
        <v>586</v>
      </c>
      <c r="B523" s="15">
        <f>'Temp Dev, C, F'!D523</f>
        <v>56.677999999999997</v>
      </c>
    </row>
    <row r="524" spans="1:2" ht="15" customHeight="1">
      <c r="A524" t="s">
        <v>587</v>
      </c>
      <c r="B524" s="15">
        <f>'Temp Dev, C, F'!D524</f>
        <v>56.641999999999996</v>
      </c>
    </row>
    <row r="525" spans="1:2" ht="15" customHeight="1">
      <c r="A525" t="s">
        <v>588</v>
      </c>
      <c r="B525" s="15">
        <f>'Temp Dev, C, F'!D525</f>
        <v>56.588000000000001</v>
      </c>
    </row>
    <row r="526" spans="1:2" ht="15" customHeight="1">
      <c r="A526" t="s">
        <v>589</v>
      </c>
      <c r="B526" s="15">
        <f>'Temp Dev, C, F'!D526</f>
        <v>56.641999999999996</v>
      </c>
    </row>
    <row r="527" spans="1:2" ht="15" customHeight="1">
      <c r="A527" t="s">
        <v>590</v>
      </c>
      <c r="B527" s="15">
        <f>'Temp Dev, C, F'!D527</f>
        <v>56.965999999999994</v>
      </c>
    </row>
    <row r="528" spans="1:2" ht="15" customHeight="1">
      <c r="A528" t="s">
        <v>591</v>
      </c>
      <c r="B528" s="15">
        <f>'Temp Dev, C, F'!D528</f>
        <v>57.164000000000001</v>
      </c>
    </row>
    <row r="529" spans="1:2" ht="15" customHeight="1">
      <c r="A529" t="s">
        <v>592</v>
      </c>
      <c r="B529" s="15">
        <f>'Temp Dev, C, F'!D529</f>
        <v>57.128</v>
      </c>
    </row>
    <row r="530" spans="1:2" ht="15" customHeight="1">
      <c r="A530" t="s">
        <v>593</v>
      </c>
      <c r="B530" s="15">
        <f>'Temp Dev, C, F'!D530</f>
        <v>56.804000000000002</v>
      </c>
    </row>
    <row r="531" spans="1:2" ht="15" customHeight="1">
      <c r="A531" t="s">
        <v>594</v>
      </c>
      <c r="B531" s="15">
        <f>'Temp Dev, C, F'!D531</f>
        <v>56.786000000000001</v>
      </c>
    </row>
    <row r="532" spans="1:2" ht="15" customHeight="1">
      <c r="A532" t="s">
        <v>595</v>
      </c>
      <c r="B532" s="15">
        <f>'Temp Dev, C, F'!D532</f>
        <v>57.037999999999997</v>
      </c>
    </row>
    <row r="533" spans="1:2" ht="15" customHeight="1">
      <c r="A533" t="s">
        <v>596</v>
      </c>
      <c r="B533" s="15">
        <f>'Temp Dev, C, F'!D533</f>
        <v>56.66</v>
      </c>
    </row>
    <row r="534" spans="1:2" ht="15" customHeight="1">
      <c r="A534" t="s">
        <v>597</v>
      </c>
      <c r="B534" s="15">
        <f>'Temp Dev, C, F'!D534</f>
        <v>56.876000000000005</v>
      </c>
    </row>
    <row r="535" spans="1:2" ht="15" customHeight="1">
      <c r="A535" t="s">
        <v>598</v>
      </c>
      <c r="B535" s="15">
        <f>'Temp Dev, C, F'!D535</f>
        <v>56.731999999999999</v>
      </c>
    </row>
    <row r="536" spans="1:2" ht="15" customHeight="1">
      <c r="A536" t="s">
        <v>599</v>
      </c>
      <c r="B536" s="15">
        <f>'Temp Dev, C, F'!D536</f>
        <v>56.677999999999997</v>
      </c>
    </row>
    <row r="537" spans="1:2" ht="15" customHeight="1">
      <c r="A537" t="s">
        <v>600</v>
      </c>
      <c r="B537" s="15">
        <f>'Temp Dev, C, F'!D537</f>
        <v>56.552000000000007</v>
      </c>
    </row>
    <row r="538" spans="1:2" ht="15" customHeight="1">
      <c r="A538" t="s">
        <v>601</v>
      </c>
      <c r="B538" s="15">
        <f>'Temp Dev, C, F'!D538</f>
        <v>56.623999999999995</v>
      </c>
    </row>
    <row r="539" spans="1:2" ht="15" customHeight="1">
      <c r="A539" t="s">
        <v>602</v>
      </c>
      <c r="B539" s="15">
        <f>'Temp Dev, C, F'!D539</f>
        <v>56.57</v>
      </c>
    </row>
    <row r="540" spans="1:2" ht="15" customHeight="1">
      <c r="A540" t="s">
        <v>603</v>
      </c>
      <c r="B540" s="15">
        <f>'Temp Dev, C, F'!D540</f>
        <v>56.84</v>
      </c>
    </row>
    <row r="541" spans="1:2" ht="15" customHeight="1">
      <c r="A541" t="s">
        <v>604</v>
      </c>
      <c r="B541" s="15">
        <f>'Temp Dev, C, F'!D541</f>
        <v>56.426000000000002</v>
      </c>
    </row>
    <row r="542" spans="1:2" ht="15" customHeight="1">
      <c r="A542" t="s">
        <v>605</v>
      </c>
      <c r="B542" s="15">
        <f>'Temp Dev, C, F'!D542</f>
        <v>56.515999999999998</v>
      </c>
    </row>
    <row r="543" spans="1:2" ht="15" customHeight="1">
      <c r="A543" t="s">
        <v>606</v>
      </c>
      <c r="B543" s="15">
        <f>'Temp Dev, C, F'!D543</f>
        <v>56.498000000000005</v>
      </c>
    </row>
    <row r="544" spans="1:2" ht="15" customHeight="1">
      <c r="A544" t="s">
        <v>607</v>
      </c>
      <c r="B544" s="15">
        <f>'Temp Dev, C, F'!D544</f>
        <v>56.713999999999999</v>
      </c>
    </row>
    <row r="545" spans="1:2" ht="15" customHeight="1">
      <c r="A545" t="s">
        <v>608</v>
      </c>
      <c r="B545" s="15">
        <f>'Temp Dev, C, F'!D545</f>
        <v>56.731999999999999</v>
      </c>
    </row>
    <row r="546" spans="1:2" ht="15" customHeight="1">
      <c r="A546" t="s">
        <v>609</v>
      </c>
      <c r="B546" s="15">
        <f>'Temp Dev, C, F'!D546</f>
        <v>56.677999999999997</v>
      </c>
    </row>
    <row r="547" spans="1:2" ht="15" customHeight="1">
      <c r="A547" t="s">
        <v>610</v>
      </c>
      <c r="B547" s="15">
        <f>'Temp Dev, C, F'!D547</f>
        <v>56.606000000000002</v>
      </c>
    </row>
    <row r="548" spans="1:2" ht="15" customHeight="1">
      <c r="A548" t="s">
        <v>611</v>
      </c>
      <c r="B548" s="15">
        <f>'Temp Dev, C, F'!D548</f>
        <v>56.713999999999999</v>
      </c>
    </row>
    <row r="549" spans="1:2" ht="15" customHeight="1">
      <c r="A549" t="s">
        <v>612</v>
      </c>
      <c r="B549" s="15">
        <f>'Temp Dev, C, F'!D549</f>
        <v>56.822000000000003</v>
      </c>
    </row>
    <row r="550" spans="1:2" ht="15" customHeight="1">
      <c r="A550" t="s">
        <v>613</v>
      </c>
      <c r="B550" s="15">
        <f>'Temp Dev, C, F'!D550</f>
        <v>56.84</v>
      </c>
    </row>
    <row r="551" spans="1:2" ht="15" customHeight="1">
      <c r="A551" t="s">
        <v>614</v>
      </c>
      <c r="B551" s="15">
        <f>'Temp Dev, C, F'!D551</f>
        <v>56.894000000000005</v>
      </c>
    </row>
    <row r="552" spans="1:2" ht="15" customHeight="1">
      <c r="A552" t="s">
        <v>615</v>
      </c>
      <c r="B552" s="15">
        <f>'Temp Dev, C, F'!D552</f>
        <v>57.290000000000006</v>
      </c>
    </row>
    <row r="553" spans="1:2" ht="15" customHeight="1">
      <c r="A553" t="s">
        <v>616</v>
      </c>
      <c r="B553" s="15">
        <f>'Temp Dev, C, F'!D553</f>
        <v>57.308</v>
      </c>
    </row>
    <row r="554" spans="1:2" ht="15" customHeight="1">
      <c r="A554" t="s">
        <v>617</v>
      </c>
      <c r="B554" s="15">
        <f>'Temp Dev, C, F'!D554</f>
        <v>57.578000000000003</v>
      </c>
    </row>
    <row r="555" spans="1:2" ht="15" customHeight="1">
      <c r="A555" t="s">
        <v>618</v>
      </c>
      <c r="B555" s="15">
        <f>'Temp Dev, C, F'!D555</f>
        <v>57.236000000000004</v>
      </c>
    </row>
    <row r="556" spans="1:2" ht="15" customHeight="1">
      <c r="A556" t="s">
        <v>619</v>
      </c>
      <c r="B556" s="15">
        <f>'Temp Dev, C, F'!D556</f>
        <v>57.397999999999996</v>
      </c>
    </row>
    <row r="557" spans="1:2" ht="15" customHeight="1">
      <c r="A557" t="s">
        <v>620</v>
      </c>
      <c r="B557" s="15">
        <f>'Temp Dev, C, F'!D557</f>
        <v>56.965999999999994</v>
      </c>
    </row>
    <row r="558" spans="1:2" ht="15" customHeight="1">
      <c r="A558" t="s">
        <v>621</v>
      </c>
      <c r="B558" s="15">
        <f>'Temp Dev, C, F'!D558</f>
        <v>56.786000000000001</v>
      </c>
    </row>
    <row r="559" spans="1:2" ht="15" customHeight="1">
      <c r="A559" t="s">
        <v>622</v>
      </c>
      <c r="B559" s="15">
        <f>'Temp Dev, C, F'!D559</f>
        <v>56.731999999999999</v>
      </c>
    </row>
    <row r="560" spans="1:2" ht="15" customHeight="1">
      <c r="A560" t="s">
        <v>623</v>
      </c>
      <c r="B560" s="15">
        <f>'Temp Dev, C, F'!D560</f>
        <v>56.713999999999999</v>
      </c>
    </row>
    <row r="561" spans="1:2" ht="15" customHeight="1">
      <c r="A561" t="s">
        <v>624</v>
      </c>
      <c r="B561" s="15">
        <f>'Temp Dev, C, F'!D561</f>
        <v>56.965999999999994</v>
      </c>
    </row>
    <row r="562" spans="1:2" ht="15" customHeight="1">
      <c r="A562" t="s">
        <v>625</v>
      </c>
      <c r="B562" s="15">
        <f>'Temp Dev, C, F'!D562</f>
        <v>56.948</v>
      </c>
    </row>
    <row r="563" spans="1:2" ht="15" customHeight="1">
      <c r="A563" t="s">
        <v>626</v>
      </c>
      <c r="B563" s="15">
        <f>'Temp Dev, C, F'!D563</f>
        <v>57.002000000000002</v>
      </c>
    </row>
    <row r="564" spans="1:2" ht="15" customHeight="1">
      <c r="A564" t="s">
        <v>627</v>
      </c>
      <c r="B564" s="15">
        <f>'Temp Dev, C, F'!D564</f>
        <v>57.073999999999998</v>
      </c>
    </row>
    <row r="565" spans="1:2" ht="15" customHeight="1">
      <c r="A565" t="s">
        <v>628</v>
      </c>
      <c r="B565" s="15">
        <f>'Temp Dev, C, F'!D565</f>
        <v>56.66</v>
      </c>
    </row>
    <row r="566" spans="1:2" ht="15" customHeight="1">
      <c r="A566" t="s">
        <v>629</v>
      </c>
      <c r="B566" s="15">
        <f>'Temp Dev, C, F'!D566</f>
        <v>56.713999999999999</v>
      </c>
    </row>
    <row r="567" spans="1:2" ht="15" customHeight="1">
      <c r="A567" t="s">
        <v>630</v>
      </c>
      <c r="B567" s="15">
        <f>'Temp Dev, C, F'!D567</f>
        <v>56.876000000000005</v>
      </c>
    </row>
    <row r="568" spans="1:2" ht="15" customHeight="1">
      <c r="A568" t="s">
        <v>631</v>
      </c>
      <c r="B568" s="15">
        <f>'Temp Dev, C, F'!D568</f>
        <v>56.498000000000005</v>
      </c>
    </row>
    <row r="569" spans="1:2" ht="15" customHeight="1">
      <c r="A569" t="s">
        <v>632</v>
      </c>
      <c r="B569" s="15">
        <f>'Temp Dev, C, F'!D569</f>
        <v>56.641999999999996</v>
      </c>
    </row>
    <row r="570" spans="1:2" ht="15" customHeight="1">
      <c r="A570" t="s">
        <v>633</v>
      </c>
      <c r="B570" s="15">
        <f>'Temp Dev, C, F'!D570</f>
        <v>56.731999999999999</v>
      </c>
    </row>
    <row r="571" spans="1:2" ht="15" customHeight="1">
      <c r="A571" t="s">
        <v>634</v>
      </c>
      <c r="B571" s="15">
        <f>'Temp Dev, C, F'!D571</f>
        <v>56.695999999999998</v>
      </c>
    </row>
    <row r="572" spans="1:2" ht="15" customHeight="1">
      <c r="A572" t="s">
        <v>635</v>
      </c>
      <c r="B572" s="15">
        <f>'Temp Dev, C, F'!D572</f>
        <v>56.858000000000004</v>
      </c>
    </row>
    <row r="573" spans="1:2" ht="15" customHeight="1">
      <c r="A573" t="s">
        <v>636</v>
      </c>
      <c r="B573" s="15">
        <f>'Temp Dev, C, F'!D573</f>
        <v>56.768000000000001</v>
      </c>
    </row>
    <row r="574" spans="1:2" ht="15" customHeight="1">
      <c r="A574" t="s">
        <v>637</v>
      </c>
      <c r="B574" s="15">
        <f>'Temp Dev, C, F'!D574</f>
        <v>56.984000000000002</v>
      </c>
    </row>
    <row r="575" spans="1:2" ht="15" customHeight="1">
      <c r="A575" t="s">
        <v>638</v>
      </c>
      <c r="B575" s="15">
        <f>'Temp Dev, C, F'!D575</f>
        <v>57.182000000000002</v>
      </c>
    </row>
    <row r="576" spans="1:2" ht="15" customHeight="1">
      <c r="A576" t="s">
        <v>639</v>
      </c>
      <c r="B576" s="15">
        <f>'Temp Dev, C, F'!D576</f>
        <v>57.091999999999999</v>
      </c>
    </row>
    <row r="577" spans="1:2" ht="15" customHeight="1">
      <c r="A577" t="s">
        <v>640</v>
      </c>
      <c r="B577" s="15">
        <f>'Temp Dev, C, F'!D577</f>
        <v>56.606000000000002</v>
      </c>
    </row>
    <row r="578" spans="1:2" ht="15" customHeight="1">
      <c r="A578" t="s">
        <v>641</v>
      </c>
      <c r="B578" s="15">
        <f>'Temp Dev, C, F'!D578</f>
        <v>57.164000000000001</v>
      </c>
    </row>
    <row r="579" spans="1:2" ht="15" customHeight="1">
      <c r="A579" t="s">
        <v>642</v>
      </c>
      <c r="B579" s="15">
        <f>'Temp Dev, C, F'!D579</f>
        <v>57.037999999999997</v>
      </c>
    </row>
    <row r="580" spans="1:2" ht="15" customHeight="1">
      <c r="A580" t="s">
        <v>643</v>
      </c>
      <c r="B580" s="15">
        <f>'Temp Dev, C, F'!D580</f>
        <v>56.75</v>
      </c>
    </row>
    <row r="581" spans="1:2" ht="15" customHeight="1">
      <c r="A581" t="s">
        <v>644</v>
      </c>
      <c r="B581" s="15">
        <f>'Temp Dev, C, F'!D581</f>
        <v>56.677999999999997</v>
      </c>
    </row>
    <row r="582" spans="1:2" ht="15" customHeight="1">
      <c r="A582" t="s">
        <v>645</v>
      </c>
      <c r="B582" s="15">
        <f>'Temp Dev, C, F'!D582</f>
        <v>56.66</v>
      </c>
    </row>
    <row r="583" spans="1:2" ht="15" customHeight="1">
      <c r="A583" t="s">
        <v>646</v>
      </c>
      <c r="B583" s="15">
        <f>'Temp Dev, C, F'!D583</f>
        <v>56.498000000000005</v>
      </c>
    </row>
    <row r="584" spans="1:2" ht="15" customHeight="1">
      <c r="A584" t="s">
        <v>647</v>
      </c>
      <c r="B584" s="15">
        <f>'Temp Dev, C, F'!D584</f>
        <v>56.84</v>
      </c>
    </row>
    <row r="585" spans="1:2" ht="15" customHeight="1">
      <c r="A585" t="s">
        <v>648</v>
      </c>
      <c r="B585" s="15">
        <f>'Temp Dev, C, F'!D585</f>
        <v>56.804000000000002</v>
      </c>
    </row>
    <row r="586" spans="1:2" ht="15" customHeight="1">
      <c r="A586" t="s">
        <v>649</v>
      </c>
      <c r="B586" s="15">
        <f>'Temp Dev, C, F'!D586</f>
        <v>56.822000000000003</v>
      </c>
    </row>
    <row r="587" spans="1:2" ht="15" customHeight="1">
      <c r="A587" t="s">
        <v>650</v>
      </c>
      <c r="B587" s="15">
        <f>'Temp Dev, C, F'!D587</f>
        <v>56.858000000000004</v>
      </c>
    </row>
    <row r="588" spans="1:2" ht="15" customHeight="1">
      <c r="A588" t="s">
        <v>651</v>
      </c>
      <c r="B588" s="15">
        <f>'Temp Dev, C, F'!D588</f>
        <v>57.019999999999996</v>
      </c>
    </row>
    <row r="589" spans="1:2" ht="15" customHeight="1">
      <c r="A589" t="s">
        <v>652</v>
      </c>
      <c r="B589" s="15">
        <f>'Temp Dev, C, F'!D589</f>
        <v>56.911999999999999</v>
      </c>
    </row>
    <row r="590" spans="1:2" ht="15" customHeight="1">
      <c r="A590" t="s">
        <v>653</v>
      </c>
      <c r="B590" s="15">
        <f>'Temp Dev, C, F'!D590</f>
        <v>56.39</v>
      </c>
    </row>
    <row r="591" spans="1:2" ht="15" customHeight="1">
      <c r="A591" t="s">
        <v>654</v>
      </c>
      <c r="B591" s="15">
        <f>'Temp Dev, C, F'!D591</f>
        <v>56.155999999999999</v>
      </c>
    </row>
    <row r="592" spans="1:2" ht="15" customHeight="1">
      <c r="A592" t="s">
        <v>655</v>
      </c>
      <c r="B592" s="15">
        <f>'Temp Dev, C, F'!D592</f>
        <v>56.606000000000002</v>
      </c>
    </row>
    <row r="593" spans="1:2" ht="15" customHeight="1">
      <c r="A593" t="s">
        <v>656</v>
      </c>
      <c r="B593" s="15">
        <f>'Temp Dev, C, F'!D593</f>
        <v>56.444000000000003</v>
      </c>
    </row>
    <row r="594" spans="1:2" ht="15" customHeight="1">
      <c r="A594" t="s">
        <v>657</v>
      </c>
      <c r="B594" s="15">
        <f>'Temp Dev, C, F'!D594</f>
        <v>56.515999999999998</v>
      </c>
    </row>
    <row r="595" spans="1:2" ht="15" customHeight="1">
      <c r="A595" t="s">
        <v>658</v>
      </c>
      <c r="B595" s="15">
        <f>'Temp Dev, C, F'!D595</f>
        <v>56.426000000000002</v>
      </c>
    </row>
    <row r="596" spans="1:2" ht="15" customHeight="1">
      <c r="A596" t="s">
        <v>659</v>
      </c>
      <c r="B596" s="15">
        <f>'Temp Dev, C, F'!D596</f>
        <v>56.534000000000006</v>
      </c>
    </row>
    <row r="597" spans="1:2" ht="15" customHeight="1">
      <c r="A597" t="s">
        <v>660</v>
      </c>
      <c r="B597" s="15">
        <f>'Temp Dev, C, F'!D597</f>
        <v>56.606000000000002</v>
      </c>
    </row>
    <row r="598" spans="1:2" ht="15" customHeight="1">
      <c r="A598" t="s">
        <v>661</v>
      </c>
      <c r="B598" s="15">
        <f>'Temp Dev, C, F'!D598</f>
        <v>56.75</v>
      </c>
    </row>
    <row r="599" spans="1:2" ht="15" customHeight="1">
      <c r="A599" t="s">
        <v>662</v>
      </c>
      <c r="B599" s="15">
        <f>'Temp Dev, C, F'!D599</f>
        <v>56.948</v>
      </c>
    </row>
    <row r="600" spans="1:2" ht="15" customHeight="1">
      <c r="A600" t="s">
        <v>663</v>
      </c>
      <c r="B600" s="15">
        <f>'Temp Dev, C, F'!D600</f>
        <v>56.984000000000002</v>
      </c>
    </row>
    <row r="601" spans="1:2" ht="15" customHeight="1">
      <c r="A601" t="s">
        <v>664</v>
      </c>
      <c r="B601" s="15">
        <f>'Temp Dev, C, F'!D601</f>
        <v>56.21</v>
      </c>
    </row>
    <row r="602" spans="1:2" ht="15" customHeight="1">
      <c r="A602" t="s">
        <v>665</v>
      </c>
      <c r="B602" s="15">
        <f>'Temp Dev, C, F'!D602</f>
        <v>56.641999999999996</v>
      </c>
    </row>
    <row r="603" spans="1:2" ht="15" customHeight="1">
      <c r="A603" t="s">
        <v>666</v>
      </c>
      <c r="B603" s="15">
        <f>'Temp Dev, C, F'!D603</f>
        <v>56.713999999999999</v>
      </c>
    </row>
    <row r="604" spans="1:2" ht="15" customHeight="1">
      <c r="A604" t="s">
        <v>667</v>
      </c>
      <c r="B604" s="15">
        <f>'Temp Dev, C, F'!D604</f>
        <v>57.002000000000002</v>
      </c>
    </row>
    <row r="605" spans="1:2" ht="15" customHeight="1">
      <c r="A605" t="s">
        <v>668</v>
      </c>
      <c r="B605" s="15">
        <f>'Temp Dev, C, F'!D605</f>
        <v>56.75</v>
      </c>
    </row>
    <row r="606" spans="1:2" ht="15" customHeight="1">
      <c r="A606" t="s">
        <v>669</v>
      </c>
      <c r="B606" s="15">
        <f>'Temp Dev, C, F'!D606</f>
        <v>56.768000000000001</v>
      </c>
    </row>
    <row r="607" spans="1:2" ht="15" customHeight="1">
      <c r="A607" t="s">
        <v>670</v>
      </c>
      <c r="B607" s="15">
        <f>'Temp Dev, C, F'!D607</f>
        <v>56.804000000000002</v>
      </c>
    </row>
    <row r="608" spans="1:2" ht="15" customHeight="1">
      <c r="A608" t="s">
        <v>671</v>
      </c>
      <c r="B608" s="15">
        <f>'Temp Dev, C, F'!D608</f>
        <v>56.822000000000003</v>
      </c>
    </row>
    <row r="609" spans="1:2" ht="15" customHeight="1">
      <c r="A609" t="s">
        <v>672</v>
      </c>
      <c r="B609" s="15">
        <f>'Temp Dev, C, F'!D609</f>
        <v>56.93</v>
      </c>
    </row>
    <row r="610" spans="1:2" ht="15" customHeight="1">
      <c r="A610" t="s">
        <v>673</v>
      </c>
      <c r="B610" s="15">
        <f>'Temp Dev, C, F'!D610</f>
        <v>56.93</v>
      </c>
    </row>
    <row r="611" spans="1:2" ht="15" customHeight="1">
      <c r="A611" t="s">
        <v>674</v>
      </c>
      <c r="B611" s="15">
        <f>'Temp Dev, C, F'!D611</f>
        <v>56.984000000000002</v>
      </c>
    </row>
    <row r="612" spans="1:2" ht="15" customHeight="1">
      <c r="A612" t="s">
        <v>675</v>
      </c>
      <c r="B612" s="15">
        <f>'Temp Dev, C, F'!D612</f>
        <v>57.506</v>
      </c>
    </row>
    <row r="613" spans="1:2" ht="15" customHeight="1">
      <c r="A613" t="s">
        <v>676</v>
      </c>
      <c r="B613" s="15">
        <f>'Temp Dev, C, F'!D613</f>
        <v>57.091999999999999</v>
      </c>
    </row>
    <row r="614" spans="1:2" ht="15" customHeight="1">
      <c r="A614" t="s">
        <v>677</v>
      </c>
      <c r="B614" s="15">
        <f>'Temp Dev, C, F'!D614</f>
        <v>57.002000000000002</v>
      </c>
    </row>
    <row r="615" spans="1:2" ht="15" customHeight="1">
      <c r="A615" t="s">
        <v>678</v>
      </c>
      <c r="B615" s="15">
        <f>'Temp Dev, C, F'!D615</f>
        <v>56.84</v>
      </c>
    </row>
    <row r="616" spans="1:2" ht="15" customHeight="1">
      <c r="A616" t="s">
        <v>679</v>
      </c>
      <c r="B616" s="15">
        <f>'Temp Dev, C, F'!D616</f>
        <v>57.002000000000002</v>
      </c>
    </row>
    <row r="617" spans="1:2" ht="15" customHeight="1">
      <c r="A617" t="s">
        <v>680</v>
      </c>
      <c r="B617" s="15">
        <f>'Temp Dev, C, F'!D617</f>
        <v>56.786000000000001</v>
      </c>
    </row>
    <row r="618" spans="1:2" ht="15" customHeight="1">
      <c r="A618" t="s">
        <v>681</v>
      </c>
      <c r="B618" s="15">
        <f>'Temp Dev, C, F'!D618</f>
        <v>56.84</v>
      </c>
    </row>
    <row r="619" spans="1:2" ht="15" customHeight="1">
      <c r="A619" t="s">
        <v>682</v>
      </c>
      <c r="B619" s="15">
        <f>'Temp Dev, C, F'!D619</f>
        <v>57.055999999999997</v>
      </c>
    </row>
    <row r="620" spans="1:2" ht="15" customHeight="1">
      <c r="A620" t="s">
        <v>683</v>
      </c>
      <c r="B620" s="15">
        <f>'Temp Dev, C, F'!D620</f>
        <v>57.128</v>
      </c>
    </row>
    <row r="621" spans="1:2" ht="15" customHeight="1">
      <c r="A621" t="s">
        <v>684</v>
      </c>
      <c r="B621" s="15">
        <f>'Temp Dev, C, F'!D621</f>
        <v>57.128</v>
      </c>
    </row>
    <row r="622" spans="1:2" ht="15" customHeight="1">
      <c r="A622" t="s">
        <v>685</v>
      </c>
      <c r="B622" s="15">
        <f>'Temp Dev, C, F'!D622</f>
        <v>57.073999999999998</v>
      </c>
    </row>
    <row r="623" spans="1:2" ht="15" customHeight="1">
      <c r="A623" t="s">
        <v>686</v>
      </c>
      <c r="B623" s="15">
        <f>'Temp Dev, C, F'!D623</f>
        <v>57.308</v>
      </c>
    </row>
    <row r="624" spans="1:2" ht="15" customHeight="1">
      <c r="A624" t="s">
        <v>687</v>
      </c>
      <c r="B624" s="15">
        <f>'Temp Dev, C, F'!D624</f>
        <v>57.091999999999999</v>
      </c>
    </row>
    <row r="625" spans="1:2" ht="15" customHeight="1">
      <c r="A625" t="s">
        <v>688</v>
      </c>
      <c r="B625" s="15">
        <f>'Temp Dev, C, F'!D625</f>
        <v>57.11</v>
      </c>
    </row>
    <row r="626" spans="1:2" ht="15" customHeight="1">
      <c r="A626" t="s">
        <v>689</v>
      </c>
      <c r="B626" s="15">
        <f>'Temp Dev, C, F'!D626</f>
        <v>57.47</v>
      </c>
    </row>
    <row r="627" spans="1:2" ht="15" customHeight="1">
      <c r="A627" t="s">
        <v>690</v>
      </c>
      <c r="B627" s="15">
        <f>'Temp Dev, C, F'!D627</f>
        <v>56.894000000000005</v>
      </c>
    </row>
    <row r="628" spans="1:2" ht="15" customHeight="1">
      <c r="A628" t="s">
        <v>691</v>
      </c>
      <c r="B628" s="15">
        <f>'Temp Dev, C, F'!D628</f>
        <v>56.876000000000005</v>
      </c>
    </row>
    <row r="629" spans="1:2" ht="15" customHeight="1">
      <c r="A629" t="s">
        <v>692</v>
      </c>
      <c r="B629" s="15">
        <f>'Temp Dev, C, F'!D629</f>
        <v>57.091999999999999</v>
      </c>
    </row>
    <row r="630" spans="1:2" ht="15" customHeight="1">
      <c r="A630" t="s">
        <v>693</v>
      </c>
      <c r="B630" s="15">
        <f>'Temp Dev, C, F'!D630</f>
        <v>56.876000000000005</v>
      </c>
    </row>
    <row r="631" spans="1:2" ht="15" customHeight="1">
      <c r="A631" t="s">
        <v>694</v>
      </c>
      <c r="B631" s="15">
        <f>'Temp Dev, C, F'!D631</f>
        <v>56.677999999999997</v>
      </c>
    </row>
    <row r="632" spans="1:2" ht="15" customHeight="1">
      <c r="A632" t="s">
        <v>695</v>
      </c>
      <c r="B632" s="15">
        <f>'Temp Dev, C, F'!D632</f>
        <v>56.75</v>
      </c>
    </row>
    <row r="633" spans="1:2" ht="15" customHeight="1">
      <c r="A633" t="s">
        <v>696</v>
      </c>
      <c r="B633" s="15">
        <f>'Temp Dev, C, F'!D633</f>
        <v>56.804000000000002</v>
      </c>
    </row>
    <row r="634" spans="1:2" ht="15" customHeight="1">
      <c r="A634" t="s">
        <v>697</v>
      </c>
      <c r="B634" s="15">
        <f>'Temp Dev, C, F'!D634</f>
        <v>57.002000000000002</v>
      </c>
    </row>
    <row r="635" spans="1:2" ht="15" customHeight="1">
      <c r="A635" t="s">
        <v>698</v>
      </c>
      <c r="B635" s="15">
        <f>'Temp Dev, C, F'!D635</f>
        <v>57.037999999999997</v>
      </c>
    </row>
    <row r="636" spans="1:2" ht="15" customHeight="1">
      <c r="A636" t="s">
        <v>699</v>
      </c>
      <c r="B636" s="15">
        <f>'Temp Dev, C, F'!D636</f>
        <v>56.713999999999999</v>
      </c>
    </row>
    <row r="637" spans="1:2" ht="15" customHeight="1">
      <c r="A637" t="s">
        <v>700</v>
      </c>
      <c r="B637" s="15">
        <f>'Temp Dev, C, F'!D637</f>
        <v>56.713999999999999</v>
      </c>
    </row>
    <row r="638" spans="1:2" ht="15" customHeight="1">
      <c r="A638" t="s">
        <v>701</v>
      </c>
      <c r="B638" s="15">
        <f>'Temp Dev, C, F'!D638</f>
        <v>56.768000000000001</v>
      </c>
    </row>
    <row r="639" spans="1:2" ht="15" customHeight="1">
      <c r="A639" t="s">
        <v>702</v>
      </c>
      <c r="B639" s="15">
        <f>'Temp Dev, C, F'!D639</f>
        <v>56.66</v>
      </c>
    </row>
    <row r="640" spans="1:2" ht="15" customHeight="1">
      <c r="A640" t="s">
        <v>703</v>
      </c>
      <c r="B640" s="15">
        <f>'Temp Dev, C, F'!D640</f>
        <v>56.677999999999997</v>
      </c>
    </row>
    <row r="641" spans="1:2" ht="15" customHeight="1">
      <c r="A641" t="s">
        <v>704</v>
      </c>
      <c r="B641" s="15">
        <f>'Temp Dev, C, F'!D641</f>
        <v>56.768000000000001</v>
      </c>
    </row>
    <row r="642" spans="1:2" ht="15" customHeight="1">
      <c r="A642" t="s">
        <v>705</v>
      </c>
      <c r="B642" s="15">
        <f>'Temp Dev, C, F'!D642</f>
        <v>56.677999999999997</v>
      </c>
    </row>
    <row r="643" spans="1:2" ht="15" customHeight="1">
      <c r="A643" t="s">
        <v>706</v>
      </c>
      <c r="B643" s="15">
        <f>'Temp Dev, C, F'!D643</f>
        <v>56.588000000000001</v>
      </c>
    </row>
    <row r="644" spans="1:2" ht="15" customHeight="1">
      <c r="A644" t="s">
        <v>707</v>
      </c>
      <c r="B644" s="15">
        <f>'Temp Dev, C, F'!D644</f>
        <v>56.804000000000002</v>
      </c>
    </row>
    <row r="645" spans="1:2" ht="15" customHeight="1">
      <c r="A645" t="s">
        <v>708</v>
      </c>
      <c r="B645" s="15">
        <f>'Temp Dev, C, F'!D645</f>
        <v>56.768000000000001</v>
      </c>
    </row>
    <row r="646" spans="1:2" ht="15" customHeight="1">
      <c r="A646" t="s">
        <v>709</v>
      </c>
      <c r="B646" s="15">
        <f>'Temp Dev, C, F'!D646</f>
        <v>56.677999999999997</v>
      </c>
    </row>
    <row r="647" spans="1:2" ht="15" customHeight="1">
      <c r="A647" t="s">
        <v>710</v>
      </c>
      <c r="B647" s="15">
        <f>'Temp Dev, C, F'!D647</f>
        <v>56.75</v>
      </c>
    </row>
    <row r="648" spans="1:2" ht="15" customHeight="1">
      <c r="A648" t="s">
        <v>711</v>
      </c>
      <c r="B648" s="15">
        <f>'Temp Dev, C, F'!D648</f>
        <v>56.641999999999996</v>
      </c>
    </row>
    <row r="649" spans="1:2" ht="15" customHeight="1">
      <c r="A649" t="s">
        <v>712</v>
      </c>
      <c r="B649" s="15">
        <f>'Temp Dev, C, F'!D649</f>
        <v>56.39</v>
      </c>
    </row>
    <row r="650" spans="1:2" ht="15" customHeight="1">
      <c r="A650" t="s">
        <v>713</v>
      </c>
      <c r="B650" s="15">
        <f>'Temp Dev, C, F'!D650</f>
        <v>56.822000000000003</v>
      </c>
    </row>
    <row r="651" spans="1:2" ht="15" customHeight="1">
      <c r="A651" t="s">
        <v>714</v>
      </c>
      <c r="B651" s="15">
        <f>'Temp Dev, C, F'!D651</f>
        <v>57.146000000000001</v>
      </c>
    </row>
    <row r="652" spans="1:2" ht="15" customHeight="1">
      <c r="A652" t="s">
        <v>715</v>
      </c>
      <c r="B652" s="15">
        <f>'Temp Dev, C, F'!D652</f>
        <v>56.677999999999997</v>
      </c>
    </row>
    <row r="653" spans="1:2" ht="15" customHeight="1">
      <c r="A653" t="s">
        <v>716</v>
      </c>
      <c r="B653" s="15">
        <f>'Temp Dev, C, F'!D653</f>
        <v>56.641999999999996</v>
      </c>
    </row>
    <row r="654" spans="1:2" ht="15" customHeight="1">
      <c r="A654" t="s">
        <v>717</v>
      </c>
      <c r="B654" s="15">
        <f>'Temp Dev, C, F'!D654</f>
        <v>57.019999999999996</v>
      </c>
    </row>
    <row r="655" spans="1:2" ht="15" customHeight="1">
      <c r="A655" t="s">
        <v>718</v>
      </c>
      <c r="B655" s="15">
        <f>'Temp Dev, C, F'!D655</f>
        <v>56.93</v>
      </c>
    </row>
    <row r="656" spans="1:2" ht="15" customHeight="1">
      <c r="A656" t="s">
        <v>719</v>
      </c>
      <c r="B656" s="15">
        <f>'Temp Dev, C, F'!D656</f>
        <v>57.002000000000002</v>
      </c>
    </row>
    <row r="657" spans="1:2" ht="15" customHeight="1">
      <c r="A657" t="s">
        <v>720</v>
      </c>
      <c r="B657" s="15">
        <f>'Temp Dev, C, F'!D657</f>
        <v>56.984000000000002</v>
      </c>
    </row>
    <row r="658" spans="1:2" ht="15" customHeight="1">
      <c r="A658" t="s">
        <v>721</v>
      </c>
      <c r="B658" s="15">
        <f>'Temp Dev, C, F'!D658</f>
        <v>56.93</v>
      </c>
    </row>
    <row r="659" spans="1:2" ht="15" customHeight="1">
      <c r="A659" t="s">
        <v>722</v>
      </c>
      <c r="B659" s="15">
        <f>'Temp Dev, C, F'!D659</f>
        <v>57.073999999999998</v>
      </c>
    </row>
    <row r="660" spans="1:2" ht="15" customHeight="1">
      <c r="A660" t="s">
        <v>723</v>
      </c>
      <c r="B660" s="15">
        <f>'Temp Dev, C, F'!D660</f>
        <v>57.253999999999998</v>
      </c>
    </row>
    <row r="661" spans="1:2" ht="15" customHeight="1">
      <c r="A661" t="s">
        <v>724</v>
      </c>
      <c r="B661" s="15">
        <f>'Temp Dev, C, F'!D661</f>
        <v>57.146000000000001</v>
      </c>
    </row>
    <row r="662" spans="1:2" ht="15" customHeight="1">
      <c r="A662" t="s">
        <v>725</v>
      </c>
      <c r="B662" s="15">
        <f>'Temp Dev, C, F'!D662</f>
        <v>56.588000000000001</v>
      </c>
    </row>
    <row r="663" spans="1:2" ht="15" customHeight="1">
      <c r="A663" t="s">
        <v>726</v>
      </c>
      <c r="B663" s="15">
        <f>'Temp Dev, C, F'!D663</f>
        <v>57.451999999999998</v>
      </c>
    </row>
    <row r="664" spans="1:2" ht="15" customHeight="1">
      <c r="A664" t="s">
        <v>727</v>
      </c>
      <c r="B664" s="15">
        <f>'Temp Dev, C, F'!D664</f>
        <v>56.948</v>
      </c>
    </row>
    <row r="665" spans="1:2" ht="15" customHeight="1">
      <c r="A665" t="s">
        <v>728</v>
      </c>
      <c r="B665" s="15">
        <f>'Temp Dev, C, F'!D665</f>
        <v>56.515999999999998</v>
      </c>
    </row>
    <row r="666" spans="1:2" ht="15" customHeight="1">
      <c r="A666" t="s">
        <v>729</v>
      </c>
      <c r="B666" s="15">
        <f>'Temp Dev, C, F'!D666</f>
        <v>56.677999999999997</v>
      </c>
    </row>
    <row r="667" spans="1:2" ht="15" customHeight="1">
      <c r="A667" t="s">
        <v>730</v>
      </c>
      <c r="B667" s="15">
        <f>'Temp Dev, C, F'!D667</f>
        <v>56.713999999999999</v>
      </c>
    </row>
    <row r="668" spans="1:2" ht="15" customHeight="1">
      <c r="A668" t="s">
        <v>731</v>
      </c>
      <c r="B668" s="15">
        <f>'Temp Dev, C, F'!D668</f>
        <v>56.804000000000002</v>
      </c>
    </row>
    <row r="669" spans="1:2" ht="15" customHeight="1">
      <c r="A669" t="s">
        <v>732</v>
      </c>
      <c r="B669" s="15">
        <f>'Temp Dev, C, F'!D669</f>
        <v>56.804000000000002</v>
      </c>
    </row>
    <row r="670" spans="1:2" ht="15" customHeight="1">
      <c r="A670" t="s">
        <v>733</v>
      </c>
      <c r="B670" s="15">
        <f>'Temp Dev, C, F'!D670</f>
        <v>56.822000000000003</v>
      </c>
    </row>
    <row r="671" spans="1:2" ht="15" customHeight="1">
      <c r="A671" t="s">
        <v>734</v>
      </c>
      <c r="B671" s="15">
        <f>'Temp Dev, C, F'!D671</f>
        <v>57.091999999999999</v>
      </c>
    </row>
    <row r="672" spans="1:2" ht="15" customHeight="1">
      <c r="A672" t="s">
        <v>735</v>
      </c>
      <c r="B672" s="15">
        <f>'Temp Dev, C, F'!D672</f>
        <v>56.731999999999999</v>
      </c>
    </row>
    <row r="673" spans="1:2" ht="15" customHeight="1">
      <c r="A673" t="s">
        <v>736</v>
      </c>
      <c r="B673" s="15">
        <f>'Temp Dev, C, F'!D673</f>
        <v>56.894000000000005</v>
      </c>
    </row>
    <row r="674" spans="1:2" ht="15" customHeight="1">
      <c r="A674" t="s">
        <v>737</v>
      </c>
      <c r="B674" s="15">
        <f>'Temp Dev, C, F'!D674</f>
        <v>56.695999999999998</v>
      </c>
    </row>
    <row r="675" spans="1:2" ht="15" customHeight="1">
      <c r="A675" t="s">
        <v>738</v>
      </c>
      <c r="B675" s="15">
        <f>'Temp Dev, C, F'!D675</f>
        <v>56.515999999999998</v>
      </c>
    </row>
    <row r="676" spans="1:2" ht="15" customHeight="1">
      <c r="A676" t="s">
        <v>739</v>
      </c>
      <c r="B676" s="15">
        <f>'Temp Dev, C, F'!D676</f>
        <v>56.822000000000003</v>
      </c>
    </row>
    <row r="677" spans="1:2" ht="15" customHeight="1">
      <c r="A677" t="s">
        <v>740</v>
      </c>
      <c r="B677" s="15">
        <f>'Temp Dev, C, F'!D677</f>
        <v>56.822000000000003</v>
      </c>
    </row>
    <row r="678" spans="1:2" ht="15" customHeight="1">
      <c r="A678" t="s">
        <v>741</v>
      </c>
      <c r="B678" s="15">
        <f>'Temp Dev, C, F'!D678</f>
        <v>56.911999999999999</v>
      </c>
    </row>
    <row r="679" spans="1:2" ht="15" customHeight="1">
      <c r="A679" t="s">
        <v>742</v>
      </c>
      <c r="B679" s="15">
        <f>'Temp Dev, C, F'!D679</f>
        <v>56.804000000000002</v>
      </c>
    </row>
    <row r="680" spans="1:2" ht="15" customHeight="1">
      <c r="A680" t="s">
        <v>743</v>
      </c>
      <c r="B680" s="15">
        <f>'Temp Dev, C, F'!D680</f>
        <v>57.019999999999996</v>
      </c>
    </row>
    <row r="681" spans="1:2" ht="15" customHeight="1">
      <c r="A681" t="s">
        <v>744</v>
      </c>
      <c r="B681" s="15">
        <f>'Temp Dev, C, F'!D681</f>
        <v>56.948</v>
      </c>
    </row>
    <row r="682" spans="1:2" ht="15" customHeight="1">
      <c r="A682" t="s">
        <v>745</v>
      </c>
      <c r="B682" s="15">
        <f>'Temp Dev, C, F'!D682</f>
        <v>57.037999999999997</v>
      </c>
    </row>
    <row r="683" spans="1:2" ht="15" customHeight="1">
      <c r="A683" t="s">
        <v>746</v>
      </c>
      <c r="B683" s="15">
        <f>'Temp Dev, C, F'!D683</f>
        <v>57.146000000000001</v>
      </c>
    </row>
    <row r="684" spans="1:2" ht="15" customHeight="1">
      <c r="A684" t="s">
        <v>747</v>
      </c>
      <c r="B684" s="15">
        <f>'Temp Dev, C, F'!D684</f>
        <v>57.218000000000004</v>
      </c>
    </row>
    <row r="685" spans="1:2" ht="15" customHeight="1">
      <c r="A685" t="s">
        <v>748</v>
      </c>
      <c r="B685" s="15">
        <f>'Temp Dev, C, F'!D685</f>
        <v>57.182000000000002</v>
      </c>
    </row>
    <row r="686" spans="1:2" ht="15" customHeight="1">
      <c r="A686" t="s">
        <v>749</v>
      </c>
      <c r="B686" s="15">
        <f>'Temp Dev, C, F'!D686</f>
        <v>57.055999999999997</v>
      </c>
    </row>
    <row r="687" spans="1:2" ht="15" customHeight="1">
      <c r="A687" t="s">
        <v>750</v>
      </c>
      <c r="B687" s="15">
        <f>'Temp Dev, C, F'!D687</f>
        <v>57.253999999999998</v>
      </c>
    </row>
    <row r="688" spans="1:2" ht="15" customHeight="1">
      <c r="A688" t="s">
        <v>751</v>
      </c>
      <c r="B688" s="15">
        <f>'Temp Dev, C, F'!D688</f>
        <v>56.822000000000003</v>
      </c>
    </row>
    <row r="689" spans="1:2" ht="15" customHeight="1">
      <c r="A689" t="s">
        <v>752</v>
      </c>
      <c r="B689" s="15">
        <f>'Temp Dev, C, F'!D689</f>
        <v>56.911999999999999</v>
      </c>
    </row>
    <row r="690" spans="1:2" ht="15" customHeight="1">
      <c r="A690" t="s">
        <v>753</v>
      </c>
      <c r="B690" s="15">
        <f>'Temp Dev, C, F'!D690</f>
        <v>57.091999999999999</v>
      </c>
    </row>
    <row r="691" spans="1:2" ht="15" customHeight="1">
      <c r="A691" t="s">
        <v>754</v>
      </c>
      <c r="B691" s="15">
        <f>'Temp Dev, C, F'!D691</f>
        <v>57.11</v>
      </c>
    </row>
    <row r="692" spans="1:2" ht="15" customHeight="1">
      <c r="A692" t="s">
        <v>755</v>
      </c>
      <c r="B692" s="15">
        <f>'Temp Dev, C, F'!D692</f>
        <v>57.128</v>
      </c>
    </row>
    <row r="693" spans="1:2" ht="15" customHeight="1">
      <c r="A693" t="s">
        <v>756</v>
      </c>
      <c r="B693" s="15">
        <f>'Temp Dev, C, F'!D693</f>
        <v>57.218000000000004</v>
      </c>
    </row>
    <row r="694" spans="1:2" ht="15" customHeight="1">
      <c r="A694" t="s">
        <v>757</v>
      </c>
      <c r="B694" s="15">
        <f>'Temp Dev, C, F'!D694</f>
        <v>57.362000000000002</v>
      </c>
    </row>
    <row r="695" spans="1:2" ht="15" customHeight="1">
      <c r="A695" t="s">
        <v>758</v>
      </c>
      <c r="B695" s="15">
        <f>'Temp Dev, C, F'!D695</f>
        <v>57.344000000000001</v>
      </c>
    </row>
    <row r="696" spans="1:2" ht="15" customHeight="1">
      <c r="A696" t="s">
        <v>759</v>
      </c>
      <c r="B696" s="15">
        <f>'Temp Dev, C, F'!D696</f>
        <v>57.326000000000001</v>
      </c>
    </row>
    <row r="697" spans="1:2" ht="15" customHeight="1">
      <c r="A697" t="s">
        <v>760</v>
      </c>
      <c r="B697" s="15">
        <f>'Temp Dev, C, F'!D697</f>
        <v>57.055999999999997</v>
      </c>
    </row>
    <row r="698" spans="1:2" ht="15" customHeight="1">
      <c r="A698" t="s">
        <v>761</v>
      </c>
      <c r="B698" s="15">
        <f>'Temp Dev, C, F'!D698</f>
        <v>57.344000000000001</v>
      </c>
    </row>
    <row r="699" spans="1:2" ht="15" customHeight="1">
      <c r="A699" t="s">
        <v>762</v>
      </c>
      <c r="B699" s="15">
        <f>'Temp Dev, C, F'!D699</f>
        <v>57.253999999999998</v>
      </c>
    </row>
    <row r="700" spans="1:2" ht="15" customHeight="1">
      <c r="A700" t="s">
        <v>763</v>
      </c>
      <c r="B700" s="15">
        <f>'Temp Dev, C, F'!D700</f>
        <v>57.379999999999995</v>
      </c>
    </row>
    <row r="701" spans="1:2" ht="15" customHeight="1">
      <c r="A701" t="s">
        <v>764</v>
      </c>
      <c r="B701" s="15">
        <f>'Temp Dev, C, F'!D701</f>
        <v>57.308</v>
      </c>
    </row>
    <row r="702" spans="1:2" ht="15" customHeight="1">
      <c r="A702" t="s">
        <v>765</v>
      </c>
      <c r="B702" s="15">
        <f>'Temp Dev, C, F'!D702</f>
        <v>57.019999999999996</v>
      </c>
    </row>
    <row r="703" spans="1:2" ht="15" customHeight="1">
      <c r="A703" t="s">
        <v>766</v>
      </c>
      <c r="B703" s="15">
        <f>'Temp Dev, C, F'!D703</f>
        <v>56.894000000000005</v>
      </c>
    </row>
    <row r="704" spans="1:2" ht="15" customHeight="1">
      <c r="A704" t="s">
        <v>767</v>
      </c>
      <c r="B704" s="15">
        <f>'Temp Dev, C, F'!D704</f>
        <v>57.019999999999996</v>
      </c>
    </row>
    <row r="705" spans="1:2" ht="15" customHeight="1">
      <c r="A705" t="s">
        <v>768</v>
      </c>
      <c r="B705" s="15">
        <f>'Temp Dev, C, F'!D705</f>
        <v>57.091999999999999</v>
      </c>
    </row>
    <row r="706" spans="1:2" ht="15" customHeight="1">
      <c r="A706" t="s">
        <v>769</v>
      </c>
      <c r="B706" s="15">
        <f>'Temp Dev, C, F'!D706</f>
        <v>57.218000000000004</v>
      </c>
    </row>
    <row r="707" spans="1:2" ht="15" customHeight="1">
      <c r="A707" t="s">
        <v>770</v>
      </c>
      <c r="B707" s="15">
        <f>'Temp Dev, C, F'!D707</f>
        <v>57.451999999999998</v>
      </c>
    </row>
    <row r="708" spans="1:2" ht="15" customHeight="1">
      <c r="A708" t="s">
        <v>771</v>
      </c>
      <c r="B708" s="15">
        <f>'Temp Dev, C, F'!D708</f>
        <v>57.326000000000001</v>
      </c>
    </row>
    <row r="709" spans="1:2" ht="15" customHeight="1">
      <c r="A709" t="s">
        <v>772</v>
      </c>
      <c r="B709" s="15">
        <f>'Temp Dev, C, F'!D709</f>
        <v>56.965999999999994</v>
      </c>
    </row>
    <row r="710" spans="1:2" ht="15" customHeight="1">
      <c r="A710" t="s">
        <v>773</v>
      </c>
      <c r="B710" s="15">
        <f>'Temp Dev, C, F'!D710</f>
        <v>57.091999999999999</v>
      </c>
    </row>
    <row r="711" spans="1:2" ht="15" customHeight="1">
      <c r="A711" t="s">
        <v>774</v>
      </c>
      <c r="B711" s="15">
        <f>'Temp Dev, C, F'!D711</f>
        <v>57.073999999999998</v>
      </c>
    </row>
    <row r="712" spans="1:2" ht="15" customHeight="1">
      <c r="A712" t="s">
        <v>775</v>
      </c>
      <c r="B712" s="15">
        <f>'Temp Dev, C, F'!D712</f>
        <v>56.876000000000005</v>
      </c>
    </row>
    <row r="713" spans="1:2" ht="15" customHeight="1">
      <c r="A713" t="s">
        <v>776</v>
      </c>
      <c r="B713" s="15">
        <f>'Temp Dev, C, F'!D713</f>
        <v>57.019999999999996</v>
      </c>
    </row>
    <row r="714" spans="1:2" ht="15" customHeight="1">
      <c r="A714" t="s">
        <v>777</v>
      </c>
      <c r="B714" s="15">
        <f>'Temp Dev, C, F'!D714</f>
        <v>57.11</v>
      </c>
    </row>
    <row r="715" spans="1:2" ht="15" customHeight="1">
      <c r="A715" t="s">
        <v>778</v>
      </c>
      <c r="B715" s="15">
        <f>'Temp Dev, C, F'!D715</f>
        <v>57.073999999999998</v>
      </c>
    </row>
    <row r="716" spans="1:2" ht="15" customHeight="1">
      <c r="A716" t="s">
        <v>779</v>
      </c>
      <c r="B716" s="15">
        <f>'Temp Dev, C, F'!D716</f>
        <v>57.091999999999999</v>
      </c>
    </row>
    <row r="717" spans="1:2" ht="15" customHeight="1">
      <c r="A717" t="s">
        <v>780</v>
      </c>
      <c r="B717" s="15">
        <f>'Temp Dev, C, F'!D717</f>
        <v>57.073999999999998</v>
      </c>
    </row>
    <row r="718" spans="1:2" ht="15" customHeight="1">
      <c r="A718" t="s">
        <v>781</v>
      </c>
      <c r="B718" s="15">
        <f>'Temp Dev, C, F'!D718</f>
        <v>57.055999999999997</v>
      </c>
    </row>
    <row r="719" spans="1:2" ht="15" customHeight="1">
      <c r="A719" t="s">
        <v>782</v>
      </c>
      <c r="B719" s="15">
        <f>'Temp Dev, C, F'!D719</f>
        <v>57.128</v>
      </c>
    </row>
    <row r="720" spans="1:2" ht="15" customHeight="1">
      <c r="A720" t="s">
        <v>783</v>
      </c>
      <c r="B720" s="15">
        <f>'Temp Dev, C, F'!D720</f>
        <v>57.326000000000001</v>
      </c>
    </row>
    <row r="721" spans="1:2" ht="15" customHeight="1">
      <c r="A721" t="s">
        <v>784</v>
      </c>
      <c r="B721" s="15">
        <f>'Temp Dev, C, F'!D721</f>
        <v>57.956000000000003</v>
      </c>
    </row>
    <row r="722" spans="1:2" ht="15" customHeight="1">
      <c r="A722" t="s">
        <v>785</v>
      </c>
      <c r="B722" s="15">
        <f>'Temp Dev, C, F'!D722</f>
        <v>57.182000000000002</v>
      </c>
    </row>
    <row r="723" spans="1:2" ht="15" customHeight="1">
      <c r="A723" t="s">
        <v>786</v>
      </c>
      <c r="B723" s="15">
        <f>'Temp Dev, C, F'!D723</f>
        <v>57.344000000000001</v>
      </c>
    </row>
    <row r="724" spans="1:2" ht="15" customHeight="1">
      <c r="A724" t="s">
        <v>787</v>
      </c>
      <c r="B724" s="15">
        <f>'Temp Dev, C, F'!D724</f>
        <v>57.362000000000002</v>
      </c>
    </row>
    <row r="725" spans="1:2" ht="15" customHeight="1">
      <c r="A725" t="s">
        <v>788</v>
      </c>
      <c r="B725" s="15">
        <f>'Temp Dev, C, F'!D725</f>
        <v>57.506</v>
      </c>
    </row>
    <row r="726" spans="1:2" ht="15" customHeight="1">
      <c r="A726" t="s">
        <v>789</v>
      </c>
      <c r="B726" s="15">
        <f>'Temp Dev, C, F'!D726</f>
        <v>57.397999999999996</v>
      </c>
    </row>
    <row r="727" spans="1:2" ht="15" customHeight="1">
      <c r="A727" t="s">
        <v>790</v>
      </c>
      <c r="B727" s="15">
        <f>'Temp Dev, C, F'!D727</f>
        <v>57.397999999999996</v>
      </c>
    </row>
    <row r="728" spans="1:2" ht="15" customHeight="1">
      <c r="A728" t="s">
        <v>791</v>
      </c>
      <c r="B728" s="15">
        <f>'Temp Dev, C, F'!D728</f>
        <v>57.415999999999997</v>
      </c>
    </row>
    <row r="729" spans="1:2" ht="15" customHeight="1">
      <c r="A729" t="s">
        <v>792</v>
      </c>
      <c r="B729" s="15">
        <f>'Temp Dev, C, F'!D729</f>
        <v>57.308</v>
      </c>
    </row>
    <row r="730" spans="1:2" ht="15" customHeight="1">
      <c r="A730" t="s">
        <v>793</v>
      </c>
      <c r="B730" s="15">
        <f>'Temp Dev, C, F'!D730</f>
        <v>57.47</v>
      </c>
    </row>
    <row r="731" spans="1:2" ht="15" customHeight="1">
      <c r="A731" t="s">
        <v>794</v>
      </c>
      <c r="B731" s="15">
        <f>'Temp Dev, C, F'!D731</f>
        <v>57.397999999999996</v>
      </c>
    </row>
    <row r="732" spans="1:2" ht="15" customHeight="1">
      <c r="A732" t="s">
        <v>795</v>
      </c>
      <c r="B732" s="15">
        <f>'Temp Dev, C, F'!D732</f>
        <v>57.488</v>
      </c>
    </row>
    <row r="733" spans="1:2" ht="15" customHeight="1">
      <c r="A733" t="s">
        <v>796</v>
      </c>
      <c r="B733" s="15">
        <f>'Temp Dev, C, F'!D733</f>
        <v>57.758000000000003</v>
      </c>
    </row>
    <row r="734" spans="1:2" ht="15" customHeight="1">
      <c r="A734" t="s">
        <v>797</v>
      </c>
      <c r="B734" s="15">
        <f>'Temp Dev, C, F'!D734</f>
        <v>57.506</v>
      </c>
    </row>
    <row r="735" spans="1:2" ht="15" customHeight="1">
      <c r="A735" t="s">
        <v>798</v>
      </c>
      <c r="B735" s="15">
        <f>'Temp Dev, C, F'!D735</f>
        <v>57.74</v>
      </c>
    </row>
    <row r="736" spans="1:2" ht="15" customHeight="1">
      <c r="A736" t="s">
        <v>799</v>
      </c>
      <c r="B736" s="15">
        <f>'Temp Dev, C, F'!D736</f>
        <v>57.379999999999995</v>
      </c>
    </row>
    <row r="737" spans="1:2" ht="15" customHeight="1">
      <c r="A737" t="s">
        <v>800</v>
      </c>
      <c r="B737" s="15">
        <f>'Temp Dev, C, F'!D737</f>
        <v>57.488</v>
      </c>
    </row>
    <row r="738" spans="1:2" ht="15" customHeight="1">
      <c r="A738" t="s">
        <v>801</v>
      </c>
      <c r="B738" s="15">
        <f>'Temp Dev, C, F'!D738</f>
        <v>57.488</v>
      </c>
    </row>
    <row r="739" spans="1:2" ht="15" customHeight="1">
      <c r="A739" t="s">
        <v>802</v>
      </c>
      <c r="B739" s="15">
        <f>'Temp Dev, C, F'!D739</f>
        <v>57.415999999999997</v>
      </c>
    </row>
    <row r="740" spans="1:2" ht="15" customHeight="1">
      <c r="A740" t="s">
        <v>803</v>
      </c>
      <c r="B740" s="15">
        <f>'Temp Dev, C, F'!D740</f>
        <v>57.578000000000003</v>
      </c>
    </row>
    <row r="741" spans="1:2" ht="15" customHeight="1">
      <c r="A741" t="s">
        <v>804</v>
      </c>
      <c r="B741" s="15">
        <f>'Temp Dev, C, F'!D741</f>
        <v>57.451999999999998</v>
      </c>
    </row>
    <row r="742" spans="1:2" ht="15" customHeight="1">
      <c r="A742" t="s">
        <v>805</v>
      </c>
      <c r="B742" s="15">
        <f>'Temp Dev, C, F'!D742</f>
        <v>57.236000000000004</v>
      </c>
    </row>
    <row r="743" spans="1:2" ht="15" customHeight="1">
      <c r="A743" t="s">
        <v>806</v>
      </c>
      <c r="B743" s="15">
        <f>'Temp Dev, C, F'!D743</f>
        <v>57.83</v>
      </c>
    </row>
    <row r="744" spans="1:2" ht="15" customHeight="1">
      <c r="A744" t="s">
        <v>807</v>
      </c>
      <c r="B744" s="15">
        <f>'Temp Dev, C, F'!D744</f>
        <v>57.596000000000004</v>
      </c>
    </row>
    <row r="745" spans="1:2" ht="15" customHeight="1">
      <c r="A745" t="s">
        <v>808</v>
      </c>
      <c r="B745" s="15">
        <f>'Temp Dev, C, F'!D745</f>
        <v>57.578000000000003</v>
      </c>
    </row>
    <row r="746" spans="1:2" ht="15" customHeight="1">
      <c r="A746" t="s">
        <v>809</v>
      </c>
      <c r="B746" s="15">
        <f>'Temp Dev, C, F'!D746</f>
        <v>57.721999999999994</v>
      </c>
    </row>
    <row r="747" spans="1:2" ht="15" customHeight="1">
      <c r="A747" t="s">
        <v>810</v>
      </c>
      <c r="B747" s="15">
        <f>'Temp Dev, C, F'!D747</f>
        <v>57.236000000000004</v>
      </c>
    </row>
    <row r="748" spans="1:2" ht="15" customHeight="1">
      <c r="A748" t="s">
        <v>811</v>
      </c>
      <c r="B748" s="15">
        <f>'Temp Dev, C, F'!D748</f>
        <v>57.290000000000006</v>
      </c>
    </row>
    <row r="749" spans="1:2" ht="15" customHeight="1">
      <c r="A749" t="s">
        <v>812</v>
      </c>
      <c r="B749" s="15">
        <f>'Temp Dev, C, F'!D749</f>
        <v>57.362000000000002</v>
      </c>
    </row>
    <row r="750" spans="1:2" ht="15" customHeight="1">
      <c r="A750" t="s">
        <v>813</v>
      </c>
      <c r="B750" s="15">
        <f>'Temp Dev, C, F'!D750</f>
        <v>57.397999999999996</v>
      </c>
    </row>
    <row r="751" spans="1:2" ht="15" customHeight="1">
      <c r="A751" t="s">
        <v>814</v>
      </c>
      <c r="B751" s="15">
        <f>'Temp Dev, C, F'!D751</f>
        <v>57.271999999999998</v>
      </c>
    </row>
    <row r="752" spans="1:2" ht="15" customHeight="1">
      <c r="A752" t="s">
        <v>815</v>
      </c>
      <c r="B752" s="15">
        <f>'Temp Dev, C, F'!D752</f>
        <v>57.2</v>
      </c>
    </row>
    <row r="753" spans="1:2" ht="15" customHeight="1">
      <c r="A753" t="s">
        <v>816</v>
      </c>
      <c r="B753" s="15">
        <f>'Temp Dev, C, F'!D753</f>
        <v>57.128</v>
      </c>
    </row>
    <row r="754" spans="1:2" ht="15" customHeight="1">
      <c r="A754" t="s">
        <v>817</v>
      </c>
      <c r="B754" s="15">
        <f>'Temp Dev, C, F'!D754</f>
        <v>57.146000000000001</v>
      </c>
    </row>
    <row r="755" spans="1:2" ht="15" customHeight="1">
      <c r="A755" t="s">
        <v>818</v>
      </c>
      <c r="B755" s="15">
        <f>'Temp Dev, C, F'!D755</f>
        <v>57.218000000000004</v>
      </c>
    </row>
    <row r="756" spans="1:2" ht="15" customHeight="1">
      <c r="A756" t="s">
        <v>819</v>
      </c>
      <c r="B756" s="15">
        <f>'Temp Dev, C, F'!D756</f>
        <v>57.362000000000002</v>
      </c>
    </row>
    <row r="757" spans="1:2" ht="15" customHeight="1">
      <c r="A757" t="s">
        <v>820</v>
      </c>
      <c r="B757" s="15">
        <f>'Temp Dev, C, F'!D757</f>
        <v>57.397999999999996</v>
      </c>
    </row>
    <row r="758" spans="1:2" ht="15" customHeight="1">
      <c r="A758" t="s">
        <v>821</v>
      </c>
      <c r="B758" s="15">
        <f>'Temp Dev, C, F'!D758</f>
        <v>57.182000000000002</v>
      </c>
    </row>
    <row r="759" spans="1:2" ht="15" customHeight="1">
      <c r="A759" t="s">
        <v>822</v>
      </c>
      <c r="B759" s="15">
        <f>'Temp Dev, C, F'!D759</f>
        <v>57.506</v>
      </c>
    </row>
    <row r="760" spans="1:2" ht="15" customHeight="1">
      <c r="A760" t="s">
        <v>823</v>
      </c>
      <c r="B760" s="15">
        <f>'Temp Dev, C, F'!D760</f>
        <v>57.128</v>
      </c>
    </row>
    <row r="761" spans="1:2" ht="15" customHeight="1">
      <c r="A761" t="s">
        <v>824</v>
      </c>
      <c r="B761" s="15">
        <f>'Temp Dev, C, F'!D761</f>
        <v>57.397999999999996</v>
      </c>
    </row>
    <row r="762" spans="1:2" ht="15" customHeight="1">
      <c r="A762" t="s">
        <v>825</v>
      </c>
      <c r="B762" s="15">
        <f>'Temp Dev, C, F'!D762</f>
        <v>57.308</v>
      </c>
    </row>
    <row r="763" spans="1:2" ht="15" customHeight="1">
      <c r="A763" t="s">
        <v>826</v>
      </c>
      <c r="B763" s="15">
        <f>'Temp Dev, C, F'!D763</f>
        <v>57.11</v>
      </c>
    </row>
    <row r="764" spans="1:2" ht="15" customHeight="1">
      <c r="A764" t="s">
        <v>827</v>
      </c>
      <c r="B764" s="15">
        <f>'Temp Dev, C, F'!D764</f>
        <v>57.344000000000001</v>
      </c>
    </row>
    <row r="765" spans="1:2" ht="15" customHeight="1">
      <c r="A765" t="s">
        <v>828</v>
      </c>
      <c r="B765" s="15">
        <f>'Temp Dev, C, F'!D765</f>
        <v>57.2</v>
      </c>
    </row>
    <row r="766" spans="1:2" ht="15" customHeight="1">
      <c r="A766" t="s">
        <v>829</v>
      </c>
      <c r="B766" s="15">
        <f>'Temp Dev, C, F'!D766</f>
        <v>57.290000000000006</v>
      </c>
    </row>
    <row r="767" spans="1:2" ht="15" customHeight="1">
      <c r="A767" t="s">
        <v>830</v>
      </c>
      <c r="B767" s="15">
        <f>'Temp Dev, C, F'!D767</f>
        <v>57.614000000000004</v>
      </c>
    </row>
    <row r="768" spans="1:2" ht="15" customHeight="1">
      <c r="A768" t="s">
        <v>831</v>
      </c>
      <c r="B768" s="15">
        <f>'Temp Dev, C, F'!D768</f>
        <v>57.56</v>
      </c>
    </row>
    <row r="769" spans="1:2" ht="15" customHeight="1">
      <c r="A769" t="s">
        <v>832</v>
      </c>
      <c r="B769" s="15">
        <f>'Temp Dev, C, F'!D769</f>
        <v>57.614000000000004</v>
      </c>
    </row>
    <row r="770" spans="1:2" ht="15" customHeight="1">
      <c r="A770" t="s">
        <v>833</v>
      </c>
      <c r="B770" s="15">
        <f>'Temp Dev, C, F'!D770</f>
        <v>57.847999999999999</v>
      </c>
    </row>
    <row r="771" spans="1:2" ht="15" customHeight="1">
      <c r="A771" t="s">
        <v>834</v>
      </c>
      <c r="B771" s="15">
        <f>'Temp Dev, C, F'!D771</f>
        <v>57.632000000000005</v>
      </c>
    </row>
    <row r="772" spans="1:2" ht="15" customHeight="1">
      <c r="A772" t="s">
        <v>835</v>
      </c>
      <c r="B772" s="15">
        <f>'Temp Dev, C, F'!D772</f>
        <v>57.667999999999999</v>
      </c>
    </row>
    <row r="773" spans="1:2" ht="15" customHeight="1">
      <c r="A773" t="s">
        <v>836</v>
      </c>
      <c r="B773" s="15">
        <f>'Temp Dev, C, F'!D773</f>
        <v>57.542000000000002</v>
      </c>
    </row>
    <row r="774" spans="1:2" ht="15" customHeight="1">
      <c r="A774" t="s">
        <v>837</v>
      </c>
      <c r="B774" s="15">
        <f>'Temp Dev, C, F'!D774</f>
        <v>57.524000000000001</v>
      </c>
    </row>
    <row r="775" spans="1:2" ht="15" customHeight="1">
      <c r="A775" t="s">
        <v>838</v>
      </c>
      <c r="B775" s="15">
        <f>'Temp Dev, C, F'!D775</f>
        <v>57.47</v>
      </c>
    </row>
    <row r="776" spans="1:2" ht="15" customHeight="1">
      <c r="A776" t="s">
        <v>839</v>
      </c>
      <c r="B776" s="15">
        <f>'Temp Dev, C, F'!D776</f>
        <v>57.506</v>
      </c>
    </row>
    <row r="777" spans="1:2" ht="15" customHeight="1">
      <c r="A777" t="s">
        <v>840</v>
      </c>
      <c r="B777" s="15">
        <f>'Temp Dev, C, F'!D777</f>
        <v>57.524000000000001</v>
      </c>
    </row>
    <row r="778" spans="1:2" ht="15" customHeight="1">
      <c r="A778" t="s">
        <v>841</v>
      </c>
      <c r="B778" s="15">
        <f>'Temp Dev, C, F'!D778</f>
        <v>57.704000000000001</v>
      </c>
    </row>
    <row r="779" spans="1:2" ht="15" customHeight="1">
      <c r="A779" t="s">
        <v>842</v>
      </c>
      <c r="B779" s="15">
        <f>'Temp Dev, C, F'!D779</f>
        <v>57.667999999999999</v>
      </c>
    </row>
    <row r="780" spans="1:2" ht="15" customHeight="1">
      <c r="A780" t="s">
        <v>843</v>
      </c>
      <c r="B780" s="15">
        <f>'Temp Dev, C, F'!D780</f>
        <v>57.397999999999996</v>
      </c>
    </row>
    <row r="781" spans="1:2" ht="15" customHeight="1">
      <c r="A781" t="s">
        <v>844</v>
      </c>
      <c r="B781" s="15">
        <f>'Temp Dev, C, F'!D781</f>
        <v>57.271999999999998</v>
      </c>
    </row>
    <row r="782" spans="1:2" ht="15" customHeight="1">
      <c r="A782" t="s">
        <v>845</v>
      </c>
      <c r="B782" s="15">
        <f>'Temp Dev, C, F'!D782</f>
        <v>57.379999999999995</v>
      </c>
    </row>
    <row r="783" spans="1:2" ht="15" customHeight="1">
      <c r="A783" t="s">
        <v>846</v>
      </c>
      <c r="B783" s="15">
        <f>'Temp Dev, C, F'!D783</f>
        <v>57.218000000000004</v>
      </c>
    </row>
    <row r="784" spans="1:2" ht="15" customHeight="1">
      <c r="A784" t="s">
        <v>847</v>
      </c>
      <c r="B784" s="15">
        <f>'Temp Dev, C, F'!D784</f>
        <v>57.308</v>
      </c>
    </row>
    <row r="785" spans="1:2" ht="15" customHeight="1">
      <c r="A785" t="s">
        <v>848</v>
      </c>
      <c r="B785" s="15">
        <f>'Temp Dev, C, F'!D785</f>
        <v>57.56</v>
      </c>
    </row>
    <row r="786" spans="1:2" ht="15" customHeight="1">
      <c r="A786" t="s">
        <v>849</v>
      </c>
      <c r="B786" s="15">
        <f>'Temp Dev, C, F'!D786</f>
        <v>57.308</v>
      </c>
    </row>
    <row r="787" spans="1:2" ht="15" customHeight="1">
      <c r="A787" t="s">
        <v>850</v>
      </c>
      <c r="B787" s="15">
        <f>'Temp Dev, C, F'!D787</f>
        <v>57.218000000000004</v>
      </c>
    </row>
    <row r="788" spans="1:2" ht="15" customHeight="1">
      <c r="A788" t="s">
        <v>851</v>
      </c>
      <c r="B788" s="15">
        <f>'Temp Dev, C, F'!D788</f>
        <v>57.271999999999998</v>
      </c>
    </row>
    <row r="789" spans="1:2" ht="15" customHeight="1">
      <c r="A789" t="s">
        <v>852</v>
      </c>
      <c r="B789" s="15">
        <f>'Temp Dev, C, F'!D789</f>
        <v>57.667999999999999</v>
      </c>
    </row>
    <row r="790" spans="1:2" ht="15" customHeight="1">
      <c r="A790" t="s">
        <v>853</v>
      </c>
      <c r="B790" s="15">
        <f>'Temp Dev, C, F'!D790</f>
        <v>57.578000000000003</v>
      </c>
    </row>
    <row r="791" spans="1:2" ht="15" customHeight="1">
      <c r="A791" t="s">
        <v>854</v>
      </c>
      <c r="B791" s="15">
        <f>'Temp Dev, C, F'!D791</f>
        <v>57.542000000000002</v>
      </c>
    </row>
    <row r="792" spans="1:2" ht="15" customHeight="1">
      <c r="A792" t="s">
        <v>855</v>
      </c>
      <c r="B792" s="15">
        <f>'Temp Dev, C, F'!D792</f>
        <v>57.326000000000001</v>
      </c>
    </row>
    <row r="793" spans="1:2" ht="15" customHeight="1">
      <c r="A793" t="s">
        <v>856</v>
      </c>
      <c r="B793" s="15">
        <f>'Temp Dev, C, F'!D793</f>
        <v>57.073999999999998</v>
      </c>
    </row>
    <row r="794" spans="1:2" ht="15" customHeight="1">
      <c r="A794" t="s">
        <v>857</v>
      </c>
      <c r="B794" s="15">
        <f>'Temp Dev, C, F'!D794</f>
        <v>57.47</v>
      </c>
    </row>
    <row r="795" spans="1:2" ht="15" customHeight="1">
      <c r="A795" t="s">
        <v>858</v>
      </c>
      <c r="B795" s="15">
        <f>'Temp Dev, C, F'!D795</f>
        <v>57.253999999999998</v>
      </c>
    </row>
    <row r="796" spans="1:2" ht="15" customHeight="1">
      <c r="A796" t="s">
        <v>859</v>
      </c>
      <c r="B796" s="15">
        <f>'Temp Dev, C, F'!D796</f>
        <v>57.218000000000004</v>
      </c>
    </row>
    <row r="797" spans="1:2" ht="15" customHeight="1">
      <c r="A797" t="s">
        <v>860</v>
      </c>
      <c r="B797" s="15">
        <f>'Temp Dev, C, F'!D797</f>
        <v>57.308</v>
      </c>
    </row>
    <row r="798" spans="1:2" ht="15" customHeight="1">
      <c r="A798" t="s">
        <v>861</v>
      </c>
      <c r="B798" s="15">
        <f>'Temp Dev, C, F'!D798</f>
        <v>57.073999999999998</v>
      </c>
    </row>
    <row r="799" spans="1:2" ht="15" customHeight="1">
      <c r="A799" t="s">
        <v>862</v>
      </c>
      <c r="B799" s="15">
        <f>'Temp Dev, C, F'!D799</f>
        <v>56.822000000000003</v>
      </c>
    </row>
    <row r="800" spans="1:2" ht="15" customHeight="1">
      <c r="A800" t="s">
        <v>863</v>
      </c>
      <c r="B800" s="15">
        <f>'Temp Dev, C, F'!D800</f>
        <v>56.984000000000002</v>
      </c>
    </row>
    <row r="801" spans="1:2" ht="15" customHeight="1">
      <c r="A801" t="s">
        <v>864</v>
      </c>
      <c r="B801" s="15">
        <f>'Temp Dev, C, F'!D801</f>
        <v>56.84</v>
      </c>
    </row>
    <row r="802" spans="1:2" ht="15" customHeight="1">
      <c r="A802" t="s">
        <v>865</v>
      </c>
      <c r="B802" s="15">
        <f>'Temp Dev, C, F'!D802</f>
        <v>57.073999999999998</v>
      </c>
    </row>
    <row r="803" spans="1:2" ht="15" customHeight="1">
      <c r="A803" t="s">
        <v>866</v>
      </c>
      <c r="B803" s="15">
        <f>'Temp Dev, C, F'!D803</f>
        <v>57.055999999999997</v>
      </c>
    </row>
    <row r="804" spans="1:2" ht="15" customHeight="1">
      <c r="A804" t="s">
        <v>867</v>
      </c>
      <c r="B804" s="15">
        <f>'Temp Dev, C, F'!D804</f>
        <v>57.091999999999999</v>
      </c>
    </row>
    <row r="805" spans="1:2" ht="15" customHeight="1">
      <c r="A805" t="s">
        <v>868</v>
      </c>
      <c r="B805" s="15">
        <f>'Temp Dev, C, F'!D805</f>
        <v>56.641999999999996</v>
      </c>
    </row>
    <row r="806" spans="1:2" ht="15" customHeight="1">
      <c r="A806" t="s">
        <v>869</v>
      </c>
      <c r="B806" s="15">
        <f>'Temp Dev, C, F'!D806</f>
        <v>57.073999999999998</v>
      </c>
    </row>
    <row r="807" spans="1:2" ht="15" customHeight="1">
      <c r="A807" t="s">
        <v>870</v>
      </c>
      <c r="B807" s="15">
        <f>'Temp Dev, C, F'!D807</f>
        <v>57.055999999999997</v>
      </c>
    </row>
    <row r="808" spans="1:2" ht="15" customHeight="1">
      <c r="A808" t="s">
        <v>871</v>
      </c>
      <c r="B808" s="15">
        <f>'Temp Dev, C, F'!D808</f>
        <v>57.308</v>
      </c>
    </row>
    <row r="809" spans="1:2" ht="15" customHeight="1">
      <c r="A809" t="s">
        <v>872</v>
      </c>
      <c r="B809" s="15">
        <f>'Temp Dev, C, F'!D809</f>
        <v>57.308</v>
      </c>
    </row>
    <row r="810" spans="1:2" ht="15" customHeight="1">
      <c r="A810" t="s">
        <v>873</v>
      </c>
      <c r="B810" s="15">
        <f>'Temp Dev, C, F'!D810</f>
        <v>57.164000000000001</v>
      </c>
    </row>
    <row r="811" spans="1:2" ht="15" customHeight="1">
      <c r="A811" t="s">
        <v>874</v>
      </c>
      <c r="B811" s="15">
        <f>'Temp Dev, C, F'!D811</f>
        <v>57.164000000000001</v>
      </c>
    </row>
    <row r="812" spans="1:2" ht="15" customHeight="1">
      <c r="A812" t="s">
        <v>875</v>
      </c>
      <c r="B812" s="15">
        <f>'Temp Dev, C, F'!D812</f>
        <v>57.128</v>
      </c>
    </row>
    <row r="813" spans="1:2" ht="15" customHeight="1">
      <c r="A813" t="s">
        <v>876</v>
      </c>
      <c r="B813" s="15">
        <f>'Temp Dev, C, F'!D813</f>
        <v>57.073999999999998</v>
      </c>
    </row>
    <row r="814" spans="1:2" ht="15" customHeight="1">
      <c r="A814" t="s">
        <v>877</v>
      </c>
      <c r="B814" s="15">
        <f>'Temp Dev, C, F'!D814</f>
        <v>56.984000000000002</v>
      </c>
    </row>
    <row r="815" spans="1:2" ht="15" customHeight="1">
      <c r="A815" t="s">
        <v>878</v>
      </c>
      <c r="B815" s="15">
        <f>'Temp Dev, C, F'!D815</f>
        <v>57.326000000000001</v>
      </c>
    </row>
    <row r="816" spans="1:2" ht="15" customHeight="1">
      <c r="A816" t="s">
        <v>879</v>
      </c>
      <c r="B816" s="15">
        <f>'Temp Dev, C, F'!D816</f>
        <v>57.236000000000004</v>
      </c>
    </row>
    <row r="817" spans="1:2" ht="15" customHeight="1">
      <c r="A817" t="s">
        <v>880</v>
      </c>
      <c r="B817" s="15">
        <f>'Temp Dev, C, F'!D817</f>
        <v>56.965999999999994</v>
      </c>
    </row>
    <row r="818" spans="1:2" ht="15" customHeight="1">
      <c r="A818" t="s">
        <v>881</v>
      </c>
      <c r="B818" s="15">
        <f>'Temp Dev, C, F'!D818</f>
        <v>57.308</v>
      </c>
    </row>
    <row r="819" spans="1:2" ht="15" customHeight="1">
      <c r="A819" t="s">
        <v>882</v>
      </c>
      <c r="B819" s="15">
        <f>'Temp Dev, C, F'!D819</f>
        <v>56.93</v>
      </c>
    </row>
    <row r="820" spans="1:2" ht="15" customHeight="1">
      <c r="A820" t="s">
        <v>883</v>
      </c>
      <c r="B820" s="15">
        <f>'Temp Dev, C, F'!D820</f>
        <v>56.768000000000001</v>
      </c>
    </row>
    <row r="821" spans="1:2" ht="15" customHeight="1">
      <c r="A821" t="s">
        <v>884</v>
      </c>
      <c r="B821" s="15">
        <f>'Temp Dev, C, F'!D821</f>
        <v>56.984000000000002</v>
      </c>
    </row>
    <row r="822" spans="1:2" ht="15" customHeight="1">
      <c r="A822" t="s">
        <v>885</v>
      </c>
      <c r="B822" s="15">
        <f>'Temp Dev, C, F'!D822</f>
        <v>57.182000000000002</v>
      </c>
    </row>
    <row r="823" spans="1:2" ht="15" customHeight="1">
      <c r="A823" t="s">
        <v>886</v>
      </c>
      <c r="B823" s="15">
        <f>'Temp Dev, C, F'!D823</f>
        <v>57.11</v>
      </c>
    </row>
    <row r="824" spans="1:2" ht="15" customHeight="1">
      <c r="A824" t="s">
        <v>887</v>
      </c>
      <c r="B824" s="15">
        <f>'Temp Dev, C, F'!D824</f>
        <v>57.002000000000002</v>
      </c>
    </row>
    <row r="825" spans="1:2" ht="15" customHeight="1">
      <c r="A825" t="s">
        <v>888</v>
      </c>
      <c r="B825" s="15">
        <f>'Temp Dev, C, F'!D825</f>
        <v>56.984000000000002</v>
      </c>
    </row>
    <row r="826" spans="1:2" ht="15" customHeight="1">
      <c r="A826" t="s">
        <v>889</v>
      </c>
      <c r="B826" s="15">
        <f>'Temp Dev, C, F'!D826</f>
        <v>56.948</v>
      </c>
    </row>
    <row r="827" spans="1:2" ht="15" customHeight="1">
      <c r="A827" t="s">
        <v>890</v>
      </c>
      <c r="B827" s="15">
        <f>'Temp Dev, C, F'!D827</f>
        <v>57.11</v>
      </c>
    </row>
    <row r="828" spans="1:2" ht="15" customHeight="1">
      <c r="A828" t="s">
        <v>891</v>
      </c>
      <c r="B828" s="15">
        <f>'Temp Dev, C, F'!D828</f>
        <v>56.965999999999994</v>
      </c>
    </row>
    <row r="829" spans="1:2" ht="15" customHeight="1">
      <c r="A829" t="s">
        <v>892</v>
      </c>
      <c r="B829" s="15">
        <f>'Temp Dev, C, F'!D829</f>
        <v>56.768000000000001</v>
      </c>
    </row>
    <row r="830" spans="1:2" ht="15" customHeight="1">
      <c r="A830" t="s">
        <v>893</v>
      </c>
      <c r="B830" s="15">
        <f>'Temp Dev, C, F'!D830</f>
        <v>57.308</v>
      </c>
    </row>
    <row r="831" spans="1:2" ht="15" customHeight="1">
      <c r="A831" t="s">
        <v>894</v>
      </c>
      <c r="B831" s="15">
        <f>'Temp Dev, C, F'!D831</f>
        <v>56.948</v>
      </c>
    </row>
    <row r="832" spans="1:2" ht="15" customHeight="1">
      <c r="A832" t="s">
        <v>895</v>
      </c>
      <c r="B832" s="15">
        <f>'Temp Dev, C, F'!D832</f>
        <v>57.164000000000001</v>
      </c>
    </row>
    <row r="833" spans="1:2" ht="15" customHeight="1">
      <c r="A833" t="s">
        <v>896</v>
      </c>
      <c r="B833" s="15">
        <f>'Temp Dev, C, F'!D833</f>
        <v>57.002000000000002</v>
      </c>
    </row>
    <row r="834" spans="1:2" ht="15" customHeight="1">
      <c r="A834" t="s">
        <v>897</v>
      </c>
      <c r="B834" s="15">
        <f>'Temp Dev, C, F'!D834</f>
        <v>57.019999999999996</v>
      </c>
    </row>
    <row r="835" spans="1:2" ht="15" customHeight="1">
      <c r="A835" t="s">
        <v>898</v>
      </c>
      <c r="B835" s="15">
        <f>'Temp Dev, C, F'!D835</f>
        <v>56.713999999999999</v>
      </c>
    </row>
    <row r="836" spans="1:2" ht="15" customHeight="1">
      <c r="A836" t="s">
        <v>899</v>
      </c>
      <c r="B836" s="15">
        <f>'Temp Dev, C, F'!D836</f>
        <v>56.965999999999994</v>
      </c>
    </row>
    <row r="837" spans="1:2" ht="15" customHeight="1">
      <c r="A837" t="s">
        <v>900</v>
      </c>
      <c r="B837" s="15">
        <f>'Temp Dev, C, F'!D837</f>
        <v>56.965999999999994</v>
      </c>
    </row>
    <row r="838" spans="1:2" ht="15" customHeight="1">
      <c r="A838" t="s">
        <v>901</v>
      </c>
      <c r="B838" s="15">
        <f>'Temp Dev, C, F'!D838</f>
        <v>56.948</v>
      </c>
    </row>
    <row r="839" spans="1:2" ht="15" customHeight="1">
      <c r="A839" t="s">
        <v>902</v>
      </c>
      <c r="B839" s="15">
        <f>'Temp Dev, C, F'!D839</f>
        <v>57.073999999999998</v>
      </c>
    </row>
    <row r="840" spans="1:2" ht="15" customHeight="1">
      <c r="A840" t="s">
        <v>903</v>
      </c>
      <c r="B840" s="15">
        <f>'Temp Dev, C, F'!D840</f>
        <v>57.019999999999996</v>
      </c>
    </row>
    <row r="841" spans="1:2" ht="15" customHeight="1">
      <c r="A841" t="s">
        <v>904</v>
      </c>
      <c r="B841" s="15">
        <f>'Temp Dev, C, F'!D841</f>
        <v>56.876000000000005</v>
      </c>
    </row>
    <row r="842" spans="1:2" ht="15" customHeight="1">
      <c r="A842" t="s">
        <v>905</v>
      </c>
      <c r="B842" s="15">
        <f>'Temp Dev, C, F'!D842</f>
        <v>56.731999999999999</v>
      </c>
    </row>
    <row r="843" spans="1:2" ht="15" customHeight="1">
      <c r="A843" t="s">
        <v>906</v>
      </c>
      <c r="B843" s="15">
        <f>'Temp Dev, C, F'!D843</f>
        <v>56.713999999999999</v>
      </c>
    </row>
    <row r="844" spans="1:2" ht="15" customHeight="1">
      <c r="A844" t="s">
        <v>907</v>
      </c>
      <c r="B844" s="15">
        <f>'Temp Dev, C, F'!D844</f>
        <v>57.055999999999997</v>
      </c>
    </row>
    <row r="845" spans="1:2" ht="15" customHeight="1">
      <c r="A845" t="s">
        <v>908</v>
      </c>
      <c r="B845" s="15">
        <f>'Temp Dev, C, F'!D845</f>
        <v>56.822000000000003</v>
      </c>
    </row>
    <row r="846" spans="1:2" ht="15" customHeight="1">
      <c r="A846" t="s">
        <v>909</v>
      </c>
      <c r="B846" s="15">
        <f>'Temp Dev, C, F'!D846</f>
        <v>57.002000000000002</v>
      </c>
    </row>
    <row r="847" spans="1:2" ht="15" customHeight="1">
      <c r="A847" t="s">
        <v>910</v>
      </c>
      <c r="B847" s="15">
        <f>'Temp Dev, C, F'!D847</f>
        <v>57.11</v>
      </c>
    </row>
    <row r="848" spans="1:2" ht="15" customHeight="1">
      <c r="A848" t="s">
        <v>911</v>
      </c>
      <c r="B848" s="15">
        <f>'Temp Dev, C, F'!D848</f>
        <v>57.037999999999997</v>
      </c>
    </row>
    <row r="849" spans="1:2" ht="15" customHeight="1">
      <c r="A849" t="s">
        <v>912</v>
      </c>
      <c r="B849" s="15">
        <f>'Temp Dev, C, F'!D849</f>
        <v>56.911999999999999</v>
      </c>
    </row>
    <row r="850" spans="1:2" ht="15" customHeight="1">
      <c r="A850" t="s">
        <v>913</v>
      </c>
      <c r="B850" s="15">
        <f>'Temp Dev, C, F'!D850</f>
        <v>57.002000000000002</v>
      </c>
    </row>
    <row r="851" spans="1:2" ht="15" customHeight="1">
      <c r="A851" t="s">
        <v>914</v>
      </c>
      <c r="B851" s="15">
        <f>'Temp Dev, C, F'!D851</f>
        <v>56.84</v>
      </c>
    </row>
    <row r="852" spans="1:2" ht="15" customHeight="1">
      <c r="A852" t="s">
        <v>915</v>
      </c>
      <c r="B852" s="15">
        <f>'Temp Dev, C, F'!D852</f>
        <v>56.588000000000001</v>
      </c>
    </row>
    <row r="853" spans="1:2" ht="15" customHeight="1">
      <c r="A853" t="s">
        <v>916</v>
      </c>
      <c r="B853" s="15">
        <f>'Temp Dev, C, F'!D853</f>
        <v>56.804000000000002</v>
      </c>
    </row>
    <row r="854" spans="1:2" ht="15" customHeight="1">
      <c r="A854" t="s">
        <v>917</v>
      </c>
      <c r="B854" s="15">
        <f>'Temp Dev, C, F'!D854</f>
        <v>56.588000000000001</v>
      </c>
    </row>
    <row r="855" spans="1:2" ht="15" customHeight="1">
      <c r="A855" t="s">
        <v>918</v>
      </c>
      <c r="B855" s="15">
        <f>'Temp Dev, C, F'!D855</f>
        <v>56.462000000000003</v>
      </c>
    </row>
    <row r="856" spans="1:2" ht="15" customHeight="1">
      <c r="A856" t="s">
        <v>919</v>
      </c>
      <c r="B856" s="15">
        <f>'Temp Dev, C, F'!D856</f>
        <v>56.84</v>
      </c>
    </row>
    <row r="857" spans="1:2" ht="15" customHeight="1">
      <c r="A857" t="s">
        <v>920</v>
      </c>
      <c r="B857" s="15">
        <f>'Temp Dev, C, F'!D857</f>
        <v>56.948</v>
      </c>
    </row>
    <row r="858" spans="1:2" ht="15" customHeight="1">
      <c r="A858" t="s">
        <v>921</v>
      </c>
      <c r="B858" s="15">
        <f>'Temp Dev, C, F'!D858</f>
        <v>57.2</v>
      </c>
    </row>
    <row r="859" spans="1:2" ht="15" customHeight="1">
      <c r="A859" t="s">
        <v>922</v>
      </c>
      <c r="B859" s="15">
        <f>'Temp Dev, C, F'!D859</f>
        <v>57.073999999999998</v>
      </c>
    </row>
    <row r="860" spans="1:2" ht="15" customHeight="1">
      <c r="A860" t="s">
        <v>923</v>
      </c>
      <c r="B860" s="15">
        <f>'Temp Dev, C, F'!D860</f>
        <v>57.182000000000002</v>
      </c>
    </row>
    <row r="861" spans="1:2" ht="15" customHeight="1">
      <c r="A861" t="s">
        <v>924</v>
      </c>
      <c r="B861" s="15">
        <f>'Temp Dev, C, F'!D861</f>
        <v>57.308</v>
      </c>
    </row>
    <row r="862" spans="1:2" ht="15" customHeight="1">
      <c r="A862" t="s">
        <v>925</v>
      </c>
      <c r="B862" s="15">
        <f>'Temp Dev, C, F'!D862</f>
        <v>57.290000000000006</v>
      </c>
    </row>
    <row r="863" spans="1:2" ht="15" customHeight="1">
      <c r="A863" t="s">
        <v>926</v>
      </c>
      <c r="B863" s="15">
        <f>'Temp Dev, C, F'!D863</f>
        <v>57.344000000000001</v>
      </c>
    </row>
    <row r="864" spans="1:2" ht="15" customHeight="1">
      <c r="A864" t="s">
        <v>927</v>
      </c>
      <c r="B864" s="15">
        <f>'Temp Dev, C, F'!D864</f>
        <v>57.182000000000002</v>
      </c>
    </row>
    <row r="865" spans="1:2" ht="15" customHeight="1">
      <c r="A865" t="s">
        <v>928</v>
      </c>
      <c r="B865" s="15">
        <f>'Temp Dev, C, F'!D865</f>
        <v>57.47</v>
      </c>
    </row>
    <row r="866" spans="1:2" ht="15" customHeight="1">
      <c r="A866" t="s">
        <v>929</v>
      </c>
      <c r="B866" s="15">
        <f>'Temp Dev, C, F'!D866</f>
        <v>57.397999999999996</v>
      </c>
    </row>
    <row r="867" spans="1:2" ht="15" customHeight="1">
      <c r="A867" t="s">
        <v>930</v>
      </c>
      <c r="B867" s="15">
        <f>'Temp Dev, C, F'!D867</f>
        <v>57.397999999999996</v>
      </c>
    </row>
    <row r="868" spans="1:2" ht="15" customHeight="1">
      <c r="A868" t="s">
        <v>931</v>
      </c>
      <c r="B868" s="15">
        <f>'Temp Dev, C, F'!D868</f>
        <v>57.055999999999997</v>
      </c>
    </row>
    <row r="869" spans="1:2" ht="15" customHeight="1">
      <c r="A869" t="s">
        <v>932</v>
      </c>
      <c r="B869" s="15">
        <f>'Temp Dev, C, F'!D869</f>
        <v>57.253999999999998</v>
      </c>
    </row>
    <row r="870" spans="1:2" ht="15" customHeight="1">
      <c r="A870" t="s">
        <v>933</v>
      </c>
      <c r="B870" s="15">
        <f>'Temp Dev, C, F'!D870</f>
        <v>57.146000000000001</v>
      </c>
    </row>
    <row r="871" spans="1:2" ht="15" customHeight="1">
      <c r="A871" t="s">
        <v>934</v>
      </c>
      <c r="B871" s="15">
        <f>'Temp Dev, C, F'!D871</f>
        <v>57.146000000000001</v>
      </c>
    </row>
    <row r="872" spans="1:2" ht="15" customHeight="1">
      <c r="A872" t="s">
        <v>935</v>
      </c>
      <c r="B872" s="15">
        <f>'Temp Dev, C, F'!D872</f>
        <v>57.271999999999998</v>
      </c>
    </row>
    <row r="873" spans="1:2" ht="15" customHeight="1">
      <c r="A873" t="s">
        <v>936</v>
      </c>
      <c r="B873" s="15">
        <f>'Temp Dev, C, F'!D873</f>
        <v>57.290000000000006</v>
      </c>
    </row>
    <row r="874" spans="1:2" ht="15" customHeight="1">
      <c r="A874" t="s">
        <v>937</v>
      </c>
      <c r="B874" s="15">
        <f>'Temp Dev, C, F'!D874</f>
        <v>57.326000000000001</v>
      </c>
    </row>
    <row r="875" spans="1:2" ht="15" customHeight="1">
      <c r="A875" t="s">
        <v>938</v>
      </c>
      <c r="B875" s="15">
        <f>'Temp Dev, C, F'!D875</f>
        <v>57.2</v>
      </c>
    </row>
    <row r="876" spans="1:2" ht="15" customHeight="1">
      <c r="A876" t="s">
        <v>939</v>
      </c>
      <c r="B876" s="15">
        <f>'Temp Dev, C, F'!D876</f>
        <v>56.965999999999994</v>
      </c>
    </row>
    <row r="877" spans="1:2" ht="15" customHeight="1">
      <c r="A877" t="s">
        <v>940</v>
      </c>
      <c r="B877" s="15">
        <f>'Temp Dev, C, F'!D877</f>
        <v>57.164000000000001</v>
      </c>
    </row>
    <row r="878" spans="1:2" ht="15" customHeight="1">
      <c r="A878" t="s">
        <v>941</v>
      </c>
      <c r="B878" s="15">
        <f>'Temp Dev, C, F'!D878</f>
        <v>57.326000000000001</v>
      </c>
    </row>
    <row r="879" spans="1:2" ht="15" customHeight="1">
      <c r="A879" t="s">
        <v>942</v>
      </c>
      <c r="B879" s="15">
        <f>'Temp Dev, C, F'!D879</f>
        <v>57.47</v>
      </c>
    </row>
    <row r="880" spans="1:2" ht="15" customHeight="1">
      <c r="A880" t="s">
        <v>943</v>
      </c>
      <c r="B880" s="15">
        <f>'Temp Dev, C, F'!D880</f>
        <v>57.397999999999996</v>
      </c>
    </row>
    <row r="881" spans="1:2" ht="15" customHeight="1">
      <c r="A881" t="s">
        <v>944</v>
      </c>
      <c r="B881" s="15">
        <f>'Temp Dev, C, F'!D881</f>
        <v>57.542000000000002</v>
      </c>
    </row>
    <row r="882" spans="1:2" ht="15" customHeight="1">
      <c r="A882" t="s">
        <v>945</v>
      </c>
      <c r="B882" s="15">
        <f>'Temp Dev, C, F'!D882</f>
        <v>57.397999999999996</v>
      </c>
    </row>
    <row r="883" spans="1:2" ht="15" customHeight="1">
      <c r="A883" t="s">
        <v>946</v>
      </c>
      <c r="B883" s="15">
        <f>'Temp Dev, C, F'!D883</f>
        <v>57.415999999999997</v>
      </c>
    </row>
    <row r="884" spans="1:2" ht="15" customHeight="1">
      <c r="A884" t="s">
        <v>947</v>
      </c>
      <c r="B884" s="15">
        <f>'Temp Dev, C, F'!D884</f>
        <v>57.218000000000004</v>
      </c>
    </row>
    <row r="885" spans="1:2" ht="15" customHeight="1">
      <c r="A885" t="s">
        <v>948</v>
      </c>
      <c r="B885" s="15">
        <f>'Temp Dev, C, F'!D885</f>
        <v>57.290000000000006</v>
      </c>
    </row>
    <row r="886" spans="1:2" ht="15" customHeight="1">
      <c r="A886" t="s">
        <v>949</v>
      </c>
      <c r="B886" s="15">
        <f>'Temp Dev, C, F'!D886</f>
        <v>57.290000000000006</v>
      </c>
    </row>
    <row r="887" spans="1:2" ht="15" customHeight="1">
      <c r="A887" t="s">
        <v>950</v>
      </c>
      <c r="B887" s="15">
        <f>'Temp Dev, C, F'!D887</f>
        <v>57.344000000000001</v>
      </c>
    </row>
    <row r="888" spans="1:2" ht="15" customHeight="1">
      <c r="A888" t="s">
        <v>951</v>
      </c>
      <c r="B888" s="15">
        <f>'Temp Dev, C, F'!D888</f>
        <v>57.146000000000001</v>
      </c>
    </row>
    <row r="889" spans="1:2" ht="15" customHeight="1">
      <c r="A889" t="s">
        <v>952</v>
      </c>
      <c r="B889" s="15">
        <f>'Temp Dev, C, F'!D889</f>
        <v>57.290000000000006</v>
      </c>
    </row>
    <row r="890" spans="1:2" ht="15" customHeight="1">
      <c r="A890" t="s">
        <v>953</v>
      </c>
      <c r="B890" s="15">
        <f>'Temp Dev, C, F'!D890</f>
        <v>56.768000000000001</v>
      </c>
    </row>
    <row r="891" spans="1:2" ht="15" customHeight="1">
      <c r="A891" t="s">
        <v>954</v>
      </c>
      <c r="B891" s="15">
        <f>'Temp Dev, C, F'!D891</f>
        <v>57.019999999999996</v>
      </c>
    </row>
    <row r="892" spans="1:2" ht="15" customHeight="1">
      <c r="A892" t="s">
        <v>955</v>
      </c>
      <c r="B892" s="15">
        <f>'Temp Dev, C, F'!D892</f>
        <v>56.93</v>
      </c>
    </row>
    <row r="893" spans="1:2" ht="15" customHeight="1">
      <c r="A893" t="s">
        <v>956</v>
      </c>
      <c r="B893" s="15">
        <f>'Temp Dev, C, F'!D893</f>
        <v>56.948</v>
      </c>
    </row>
    <row r="894" spans="1:2" ht="15" customHeight="1">
      <c r="A894" t="s">
        <v>957</v>
      </c>
      <c r="B894" s="15">
        <f>'Temp Dev, C, F'!D894</f>
        <v>56.84</v>
      </c>
    </row>
    <row r="895" spans="1:2" ht="15" customHeight="1">
      <c r="A895" t="s">
        <v>958</v>
      </c>
      <c r="B895" s="15">
        <f>'Temp Dev, C, F'!D895</f>
        <v>56.876000000000005</v>
      </c>
    </row>
    <row r="896" spans="1:2" ht="15" customHeight="1">
      <c r="A896" t="s">
        <v>959</v>
      </c>
      <c r="B896" s="15">
        <f>'Temp Dev, C, F'!D896</f>
        <v>56.858000000000004</v>
      </c>
    </row>
    <row r="897" spans="1:2" ht="15" customHeight="1">
      <c r="A897" t="s">
        <v>960</v>
      </c>
      <c r="B897" s="15">
        <f>'Temp Dev, C, F'!D897</f>
        <v>56.894000000000005</v>
      </c>
    </row>
    <row r="898" spans="1:2" ht="15" customHeight="1">
      <c r="A898" t="s">
        <v>961</v>
      </c>
      <c r="B898" s="15">
        <f>'Temp Dev, C, F'!D898</f>
        <v>57.019999999999996</v>
      </c>
    </row>
    <row r="899" spans="1:2" ht="15" customHeight="1">
      <c r="A899" t="s">
        <v>962</v>
      </c>
      <c r="B899" s="15">
        <f>'Temp Dev, C, F'!D899</f>
        <v>57.164000000000001</v>
      </c>
    </row>
    <row r="900" spans="1:2" ht="15" customHeight="1">
      <c r="A900" t="s">
        <v>963</v>
      </c>
      <c r="B900" s="15">
        <f>'Temp Dev, C, F'!D900</f>
        <v>57.344000000000001</v>
      </c>
    </row>
    <row r="901" spans="1:2" ht="15" customHeight="1">
      <c r="A901" t="s">
        <v>964</v>
      </c>
      <c r="B901" s="15">
        <f>'Temp Dev, C, F'!D901</f>
        <v>56.876000000000005</v>
      </c>
    </row>
    <row r="902" spans="1:2" ht="15" customHeight="1">
      <c r="A902" t="s">
        <v>965</v>
      </c>
      <c r="B902" s="15">
        <f>'Temp Dev, C, F'!D902</f>
        <v>57.433999999999997</v>
      </c>
    </row>
    <row r="903" spans="1:2" ht="15" customHeight="1">
      <c r="A903" t="s">
        <v>966</v>
      </c>
      <c r="B903" s="15">
        <f>'Temp Dev, C, F'!D903</f>
        <v>56.911999999999999</v>
      </c>
    </row>
    <row r="904" spans="1:2" ht="15" customHeight="1">
      <c r="A904" t="s">
        <v>967</v>
      </c>
      <c r="B904" s="15">
        <f>'Temp Dev, C, F'!D904</f>
        <v>56.623999999999995</v>
      </c>
    </row>
    <row r="905" spans="1:2" ht="15" customHeight="1">
      <c r="A905" t="s">
        <v>968</v>
      </c>
      <c r="B905" s="15">
        <f>'Temp Dev, C, F'!D905</f>
        <v>56.804000000000002</v>
      </c>
    </row>
    <row r="906" spans="1:2" ht="15" customHeight="1">
      <c r="A906" t="s">
        <v>969</v>
      </c>
      <c r="B906" s="15">
        <f>'Temp Dev, C, F'!D906</f>
        <v>56.84</v>
      </c>
    </row>
    <row r="907" spans="1:2" ht="15" customHeight="1">
      <c r="A907" t="s">
        <v>970</v>
      </c>
      <c r="B907" s="15">
        <f>'Temp Dev, C, F'!D907</f>
        <v>56.965999999999994</v>
      </c>
    </row>
    <row r="908" spans="1:2" ht="15" customHeight="1">
      <c r="A908" t="s">
        <v>971</v>
      </c>
      <c r="B908" s="15">
        <f>'Temp Dev, C, F'!D908</f>
        <v>57.002000000000002</v>
      </c>
    </row>
    <row r="909" spans="1:2" ht="15" customHeight="1">
      <c r="A909" t="s">
        <v>972</v>
      </c>
      <c r="B909" s="15">
        <f>'Temp Dev, C, F'!D909</f>
        <v>57.236000000000004</v>
      </c>
    </row>
    <row r="910" spans="1:2" ht="15" customHeight="1">
      <c r="A910" t="s">
        <v>973</v>
      </c>
      <c r="B910" s="15">
        <f>'Temp Dev, C, F'!D910</f>
        <v>57.002000000000002</v>
      </c>
    </row>
    <row r="911" spans="1:2" ht="15" customHeight="1">
      <c r="A911" t="s">
        <v>974</v>
      </c>
      <c r="B911" s="15">
        <f>'Temp Dev, C, F'!D911</f>
        <v>57.11</v>
      </c>
    </row>
    <row r="912" spans="1:2" ht="15" customHeight="1">
      <c r="A912" t="s">
        <v>975</v>
      </c>
      <c r="B912" s="15">
        <f>'Temp Dev, C, F'!D912</f>
        <v>56.75</v>
      </c>
    </row>
    <row r="913" spans="1:2" ht="15" customHeight="1">
      <c r="A913" t="s">
        <v>976</v>
      </c>
      <c r="B913" s="15">
        <f>'Temp Dev, C, F'!D913</f>
        <v>56.695999999999998</v>
      </c>
    </row>
    <row r="914" spans="1:2" ht="15" customHeight="1">
      <c r="A914" t="s">
        <v>977</v>
      </c>
      <c r="B914" s="15">
        <f>'Temp Dev, C, F'!D914</f>
        <v>56.965999999999994</v>
      </c>
    </row>
    <row r="915" spans="1:2" ht="15" customHeight="1">
      <c r="A915" t="s">
        <v>978</v>
      </c>
      <c r="B915" s="15">
        <f>'Temp Dev, C, F'!D915</f>
        <v>56.768000000000001</v>
      </c>
    </row>
    <row r="916" spans="1:2" ht="15" customHeight="1">
      <c r="A916" t="s">
        <v>979</v>
      </c>
      <c r="B916" s="15">
        <f>'Temp Dev, C, F'!D916</f>
        <v>56.822000000000003</v>
      </c>
    </row>
    <row r="917" spans="1:2" ht="15" customHeight="1">
      <c r="A917" t="s">
        <v>980</v>
      </c>
      <c r="B917" s="15">
        <f>'Temp Dev, C, F'!D917</f>
        <v>56.695999999999998</v>
      </c>
    </row>
    <row r="918" spans="1:2" ht="15" customHeight="1">
      <c r="A918" t="s">
        <v>981</v>
      </c>
      <c r="B918" s="15">
        <f>'Temp Dev, C, F'!D918</f>
        <v>56.677999999999997</v>
      </c>
    </row>
    <row r="919" spans="1:2" ht="15" customHeight="1">
      <c r="A919" t="s">
        <v>982</v>
      </c>
      <c r="B919" s="15">
        <f>'Temp Dev, C, F'!D919</f>
        <v>56.93</v>
      </c>
    </row>
    <row r="920" spans="1:2" ht="15" customHeight="1">
      <c r="A920" t="s">
        <v>983</v>
      </c>
      <c r="B920" s="15">
        <f>'Temp Dev, C, F'!D920</f>
        <v>57.037999999999997</v>
      </c>
    </row>
    <row r="921" spans="1:2" ht="15" customHeight="1">
      <c r="A921" t="s">
        <v>984</v>
      </c>
      <c r="B921" s="15">
        <f>'Temp Dev, C, F'!D921</f>
        <v>56.75</v>
      </c>
    </row>
    <row r="922" spans="1:2" ht="15" customHeight="1">
      <c r="A922" t="s">
        <v>985</v>
      </c>
      <c r="B922" s="15">
        <f>'Temp Dev, C, F'!D922</f>
        <v>56.858000000000004</v>
      </c>
    </row>
    <row r="923" spans="1:2" ht="15" customHeight="1">
      <c r="A923" t="s">
        <v>986</v>
      </c>
      <c r="B923" s="15">
        <f>'Temp Dev, C, F'!D923</f>
        <v>56.786000000000001</v>
      </c>
    </row>
    <row r="924" spans="1:2" ht="15" customHeight="1">
      <c r="A924" t="s">
        <v>987</v>
      </c>
      <c r="B924" s="15">
        <f>'Temp Dev, C, F'!D924</f>
        <v>56.93</v>
      </c>
    </row>
    <row r="925" spans="1:2" ht="15" customHeight="1">
      <c r="A925" t="s">
        <v>988</v>
      </c>
      <c r="B925" s="15">
        <f>'Temp Dev, C, F'!D925</f>
        <v>57.091999999999999</v>
      </c>
    </row>
    <row r="926" spans="1:2" ht="15" customHeight="1">
      <c r="A926" t="s">
        <v>989</v>
      </c>
      <c r="B926" s="15">
        <f>'Temp Dev, C, F'!D926</f>
        <v>57.037999999999997</v>
      </c>
    </row>
    <row r="927" spans="1:2" ht="15" customHeight="1">
      <c r="A927" t="s">
        <v>990</v>
      </c>
      <c r="B927" s="15">
        <f>'Temp Dev, C, F'!D927</f>
        <v>57.146000000000001</v>
      </c>
    </row>
    <row r="928" spans="1:2" ht="15" customHeight="1">
      <c r="A928" t="s">
        <v>991</v>
      </c>
      <c r="B928" s="15">
        <f>'Temp Dev, C, F'!D928</f>
        <v>57.11</v>
      </c>
    </row>
    <row r="929" spans="1:3" ht="15" customHeight="1">
      <c r="A929" t="s">
        <v>992</v>
      </c>
      <c r="B929" s="15">
        <f>'Temp Dev, C, F'!D929</f>
        <v>57.2</v>
      </c>
    </row>
    <row r="930" spans="1:3" ht="15" customHeight="1">
      <c r="A930" t="s">
        <v>993</v>
      </c>
      <c r="B930" s="15">
        <f>'Temp Dev, C, F'!D930</f>
        <v>57.362000000000002</v>
      </c>
    </row>
    <row r="931" spans="1:3" ht="15" customHeight="1">
      <c r="A931" t="s">
        <v>994</v>
      </c>
      <c r="B931" s="15">
        <f>'Temp Dev, C, F'!D931</f>
        <v>57.47</v>
      </c>
    </row>
    <row r="932" spans="1:3" ht="15" customHeight="1">
      <c r="A932" t="s">
        <v>995</v>
      </c>
      <c r="B932" s="15">
        <f>'Temp Dev, C, F'!D932</f>
        <v>57.236000000000004</v>
      </c>
    </row>
    <row r="933" spans="1:3" ht="15" customHeight="1">
      <c r="A933" t="s">
        <v>996</v>
      </c>
      <c r="B933" s="15">
        <f>'Temp Dev, C, F'!D933</f>
        <v>57.47</v>
      </c>
    </row>
    <row r="934" spans="1:3" ht="15" customHeight="1">
      <c r="A934" t="s">
        <v>997</v>
      </c>
      <c r="B934" s="15">
        <f>'Temp Dev, C, F'!D934</f>
        <v>57.362000000000002</v>
      </c>
    </row>
    <row r="935" spans="1:3" ht="15" customHeight="1">
      <c r="A935" t="s">
        <v>998</v>
      </c>
      <c r="B935" s="15">
        <f>'Temp Dev, C, F'!D935</f>
        <v>57.218000000000004</v>
      </c>
    </row>
    <row r="936" spans="1:3" ht="15" customHeight="1">
      <c r="A936" t="s">
        <v>999</v>
      </c>
      <c r="B936" s="15">
        <f>'Temp Dev, C, F'!D936</f>
        <v>57.344000000000001</v>
      </c>
    </row>
    <row r="937" spans="1:3" ht="15" customHeight="1">
      <c r="A937" t="s">
        <v>1000</v>
      </c>
      <c r="B937" s="15">
        <f>'Temp Dev, C, F'!D937</f>
        <v>57.47</v>
      </c>
    </row>
    <row r="938" spans="1:3" ht="15" customHeight="1">
      <c r="A938" t="s">
        <v>1001</v>
      </c>
      <c r="B938" s="15">
        <f>'Temp Dev, C, F'!D938</f>
        <v>57.902000000000001</v>
      </c>
    </row>
    <row r="939" spans="1:3" ht="15" customHeight="1">
      <c r="A939" t="s">
        <v>1002</v>
      </c>
      <c r="B939" s="15">
        <f>'Temp Dev, C, F'!D939</f>
        <v>57.596000000000004</v>
      </c>
    </row>
    <row r="940" spans="1:3" ht="15" customHeight="1">
      <c r="A940" t="s">
        <v>1003</v>
      </c>
      <c r="B940" s="15">
        <f>'Temp Dev, C, F'!D940</f>
        <v>57.344000000000001</v>
      </c>
      <c r="C940">
        <f>SUMIFS(co2_mm_mlo!$D$42:$D$863,co2_mm_mlo!$A$42:$A$863,VALUE(RIGHT(A940,4)),co2_mm_mlo!$B$42:$B$863,VALUE(LEFT(A940,FIND("/",A940)-1)))</f>
        <v>315.70999999999998</v>
      </c>
    </row>
    <row r="941" spans="1:3" ht="15" customHeight="1">
      <c r="A941" t="s">
        <v>1004</v>
      </c>
      <c r="B941" s="15">
        <f>'Temp Dev, C, F'!D941</f>
        <v>57.218000000000004</v>
      </c>
      <c r="C941">
        <f>SUMIFS(co2_mm_mlo!$D$42:$D$863,co2_mm_mlo!$A$42:$A$863,VALUE(RIGHT(A941,4)),co2_mm_mlo!$B$42:$B$863,VALUE(LEFT(A941,FIND("/",A941)-1)))</f>
        <v>317.45</v>
      </c>
    </row>
    <row r="942" spans="1:3" ht="15" customHeight="1">
      <c r="A942" t="s">
        <v>1005</v>
      </c>
      <c r="B942" s="15">
        <f>'Temp Dev, C, F'!D942</f>
        <v>57.308</v>
      </c>
      <c r="C942">
        <f>SUMIFS(co2_mm_mlo!$D$42:$D$863,co2_mm_mlo!$A$42:$A$863,VALUE(RIGHT(A942,4)),co2_mm_mlo!$B$42:$B$863,VALUE(LEFT(A942,FIND("/",A942)-1)))</f>
        <v>317.51</v>
      </c>
    </row>
    <row r="943" spans="1:3" ht="15" customHeight="1">
      <c r="A943" t="s">
        <v>1006</v>
      </c>
      <c r="B943" s="15">
        <f>'Temp Dev, C, F'!D943</f>
        <v>57.037999999999997</v>
      </c>
      <c r="C943">
        <f>SUMIFS(co2_mm_mlo!$D$42:$D$863,co2_mm_mlo!$A$42:$A$863,VALUE(RIGHT(A943,4)),co2_mm_mlo!$B$42:$B$863,VALUE(LEFT(A943,FIND("/",A943)-1)))</f>
        <v>317.27</v>
      </c>
    </row>
    <row r="944" spans="1:3" ht="15" customHeight="1">
      <c r="A944" t="s">
        <v>1007</v>
      </c>
      <c r="B944" s="15">
        <f>'Temp Dev, C, F'!D944</f>
        <v>57.290000000000006</v>
      </c>
      <c r="C944">
        <f>SUMIFS(co2_mm_mlo!$D$42:$D$863,co2_mm_mlo!$A$42:$A$863,VALUE(RIGHT(A944,4)),co2_mm_mlo!$B$42:$B$863,VALUE(LEFT(A944,FIND("/",A944)-1)))</f>
        <v>315.87</v>
      </c>
    </row>
    <row r="945" spans="1:3" ht="15" customHeight="1">
      <c r="A945" t="s">
        <v>1008</v>
      </c>
      <c r="B945" s="15">
        <f>'Temp Dev, C, F'!D945</f>
        <v>57.11</v>
      </c>
      <c r="C945">
        <f>SUMIFS(co2_mm_mlo!$D$42:$D$863,co2_mm_mlo!$A$42:$A$863,VALUE(RIGHT(A945,4)),co2_mm_mlo!$B$42:$B$863,VALUE(LEFT(A945,FIND("/",A945)-1)))</f>
        <v>314.93</v>
      </c>
    </row>
    <row r="946" spans="1:3" ht="15" customHeight="1">
      <c r="A946" t="s">
        <v>1009</v>
      </c>
      <c r="B946" s="15">
        <f>'Temp Dev, C, F'!D946</f>
        <v>57.146000000000001</v>
      </c>
      <c r="C946">
        <f>SUMIFS(co2_mm_mlo!$D$42:$D$863,co2_mm_mlo!$A$42:$A$863,VALUE(RIGHT(A946,4)),co2_mm_mlo!$B$42:$B$863,VALUE(LEFT(A946,FIND("/",A946)-1)))</f>
        <v>313.20999999999998</v>
      </c>
    </row>
    <row r="947" spans="1:3" ht="15" customHeight="1">
      <c r="A947" t="s">
        <v>1010</v>
      </c>
      <c r="B947" s="15">
        <f>'Temp Dev, C, F'!D947</f>
        <v>57.271999999999998</v>
      </c>
      <c r="C947">
        <f>SUMIFS(co2_mm_mlo!$D$42:$D$863,co2_mm_mlo!$A$42:$A$863,VALUE(RIGHT(A947,4)),co2_mm_mlo!$B$42:$B$863,VALUE(LEFT(A947,FIND("/",A947)-1)))</f>
        <v>312.42</v>
      </c>
    </row>
    <row r="948" spans="1:3" ht="15" customHeight="1">
      <c r="A948" t="s">
        <v>1011</v>
      </c>
      <c r="B948" s="15">
        <f>'Temp Dev, C, F'!D948</f>
        <v>57.236000000000004</v>
      </c>
      <c r="C948">
        <f>SUMIFS(co2_mm_mlo!$D$42:$D$863,co2_mm_mlo!$A$42:$A$863,VALUE(RIGHT(A948,4)),co2_mm_mlo!$B$42:$B$863,VALUE(LEFT(A948,FIND("/",A948)-1)))</f>
        <v>313.33</v>
      </c>
    </row>
    <row r="949" spans="1:3" ht="15" customHeight="1">
      <c r="A949" t="s">
        <v>1012</v>
      </c>
      <c r="B949" s="15">
        <f>'Temp Dev, C, F'!D949</f>
        <v>57.218000000000004</v>
      </c>
      <c r="C949">
        <f>SUMIFS(co2_mm_mlo!$D$42:$D$863,co2_mm_mlo!$A$42:$A$863,VALUE(RIGHT(A949,4)),co2_mm_mlo!$B$42:$B$863,VALUE(LEFT(A949,FIND("/",A949)-1)))</f>
        <v>314.67</v>
      </c>
    </row>
    <row r="950" spans="1:3" ht="15" customHeight="1">
      <c r="A950" t="s">
        <v>1013</v>
      </c>
      <c r="B950" s="15">
        <f>'Temp Dev, C, F'!D950</f>
        <v>57.344000000000001</v>
      </c>
      <c r="C950">
        <f>SUMIFS(co2_mm_mlo!$D$42:$D$863,co2_mm_mlo!$A$42:$A$863,VALUE(RIGHT(A950,4)),co2_mm_mlo!$B$42:$B$863,VALUE(LEFT(A950,FIND("/",A950)-1)))</f>
        <v>315.58</v>
      </c>
    </row>
    <row r="951" spans="1:3" ht="15" customHeight="1">
      <c r="A951" t="s">
        <v>1014</v>
      </c>
      <c r="B951" s="15">
        <f>'Temp Dev, C, F'!D951</f>
        <v>57.326000000000001</v>
      </c>
      <c r="C951">
        <f>SUMIFS(co2_mm_mlo!$D$42:$D$863,co2_mm_mlo!$A$42:$A$863,VALUE(RIGHT(A951,4)),co2_mm_mlo!$B$42:$B$863,VALUE(LEFT(A951,FIND("/",A951)-1)))</f>
        <v>316.49</v>
      </c>
    </row>
    <row r="952" spans="1:3" ht="15" customHeight="1">
      <c r="A952" t="s">
        <v>1015</v>
      </c>
      <c r="B952" s="15">
        <f>'Temp Dev, C, F'!D952</f>
        <v>57.524000000000001</v>
      </c>
      <c r="C952">
        <f>SUMIFS(co2_mm_mlo!$D$42:$D$863,co2_mm_mlo!$A$42:$A$863,VALUE(RIGHT(A952,4)),co2_mm_mlo!$B$42:$B$863,VALUE(LEFT(A952,FIND("/",A952)-1)))</f>
        <v>316.64999999999998</v>
      </c>
    </row>
    <row r="953" spans="1:3" ht="15" customHeight="1">
      <c r="A953" t="s">
        <v>1016</v>
      </c>
      <c r="B953" s="15">
        <f>'Temp Dev, C, F'!D953</f>
        <v>57.488</v>
      </c>
      <c r="C953">
        <f>SUMIFS(co2_mm_mlo!$D$42:$D$863,co2_mm_mlo!$A$42:$A$863,VALUE(RIGHT(A953,4)),co2_mm_mlo!$B$42:$B$863,VALUE(LEFT(A953,FIND("/",A953)-1)))</f>
        <v>317.72000000000003</v>
      </c>
    </row>
    <row r="954" spans="1:3" ht="15" customHeight="1">
      <c r="A954" t="s">
        <v>1017</v>
      </c>
      <c r="B954" s="15">
        <f>'Temp Dev, C, F'!D954</f>
        <v>57.271999999999998</v>
      </c>
      <c r="C954">
        <f>SUMIFS(co2_mm_mlo!$D$42:$D$863,co2_mm_mlo!$A$42:$A$863,VALUE(RIGHT(A954,4)),co2_mm_mlo!$B$42:$B$863,VALUE(LEFT(A954,FIND("/",A954)-1)))</f>
        <v>318.29000000000002</v>
      </c>
    </row>
    <row r="955" spans="1:3" ht="15" customHeight="1">
      <c r="A955" t="s">
        <v>1018</v>
      </c>
      <c r="B955" s="15">
        <f>'Temp Dev, C, F'!D955</f>
        <v>57.253999999999998</v>
      </c>
      <c r="C955">
        <f>SUMIFS(co2_mm_mlo!$D$42:$D$863,co2_mm_mlo!$A$42:$A$863,VALUE(RIGHT(A955,4)),co2_mm_mlo!$B$42:$B$863,VALUE(LEFT(A955,FIND("/",A955)-1)))</f>
        <v>318.14999999999998</v>
      </c>
    </row>
    <row r="956" spans="1:3" ht="15" customHeight="1">
      <c r="A956" t="s">
        <v>1019</v>
      </c>
      <c r="B956" s="15">
        <f>'Temp Dev, C, F'!D956</f>
        <v>57.253999999999998</v>
      </c>
      <c r="C956">
        <f>SUMIFS(co2_mm_mlo!$D$42:$D$863,co2_mm_mlo!$A$42:$A$863,VALUE(RIGHT(A956,4)),co2_mm_mlo!$B$42:$B$863,VALUE(LEFT(A956,FIND("/",A956)-1)))</f>
        <v>316.54000000000002</v>
      </c>
    </row>
    <row r="957" spans="1:3" ht="15" customHeight="1">
      <c r="A957" t="s">
        <v>1020</v>
      </c>
      <c r="B957" s="15">
        <f>'Temp Dev, C, F'!D957</f>
        <v>57.182000000000002</v>
      </c>
      <c r="C957">
        <f>SUMIFS(co2_mm_mlo!$D$42:$D$863,co2_mm_mlo!$A$42:$A$863,VALUE(RIGHT(A957,4)),co2_mm_mlo!$B$42:$B$863,VALUE(LEFT(A957,FIND("/",A957)-1)))</f>
        <v>314.8</v>
      </c>
    </row>
    <row r="958" spans="1:3" ht="15" customHeight="1">
      <c r="A958" t="s">
        <v>1021</v>
      </c>
      <c r="B958" s="15">
        <f>'Temp Dev, C, F'!D958</f>
        <v>57.091999999999999</v>
      </c>
      <c r="C958">
        <f>SUMIFS(co2_mm_mlo!$D$42:$D$863,co2_mm_mlo!$A$42:$A$863,VALUE(RIGHT(A958,4)),co2_mm_mlo!$B$42:$B$863,VALUE(LEFT(A958,FIND("/",A958)-1)))</f>
        <v>313.83999999999997</v>
      </c>
    </row>
    <row r="959" spans="1:3" ht="15" customHeight="1">
      <c r="A959" t="s">
        <v>1022</v>
      </c>
      <c r="B959" s="15">
        <f>'Temp Dev, C, F'!D959</f>
        <v>57.073999999999998</v>
      </c>
      <c r="C959">
        <f>SUMIFS(co2_mm_mlo!$D$42:$D$863,co2_mm_mlo!$A$42:$A$863,VALUE(RIGHT(A959,4)),co2_mm_mlo!$B$42:$B$863,VALUE(LEFT(A959,FIND("/",A959)-1)))</f>
        <v>313.33</v>
      </c>
    </row>
    <row r="960" spans="1:3" ht="15" customHeight="1">
      <c r="A960" t="s">
        <v>1023</v>
      </c>
      <c r="B960" s="15">
        <f>'Temp Dev, C, F'!D960</f>
        <v>57.055999999999997</v>
      </c>
      <c r="C960">
        <f>SUMIFS(co2_mm_mlo!$D$42:$D$863,co2_mm_mlo!$A$42:$A$863,VALUE(RIGHT(A960,4)),co2_mm_mlo!$B$42:$B$863,VALUE(LEFT(A960,FIND("/",A960)-1)))</f>
        <v>314.81</v>
      </c>
    </row>
    <row r="961" spans="1:3" ht="15" customHeight="1">
      <c r="A961" t="s">
        <v>1024</v>
      </c>
      <c r="B961" s="15">
        <f>'Temp Dev, C, F'!D961</f>
        <v>57.2</v>
      </c>
      <c r="C961">
        <f>SUMIFS(co2_mm_mlo!$D$42:$D$863,co2_mm_mlo!$A$42:$A$863,VALUE(RIGHT(A961,4)),co2_mm_mlo!$B$42:$B$863,VALUE(LEFT(A961,FIND("/",A961)-1)))</f>
        <v>315.58</v>
      </c>
    </row>
    <row r="962" spans="1:3" ht="15" customHeight="1">
      <c r="A962" t="s">
        <v>1025</v>
      </c>
      <c r="B962" s="15">
        <f>'Temp Dev, C, F'!D962</f>
        <v>57.2</v>
      </c>
      <c r="C962">
        <f>SUMIFS(co2_mm_mlo!$D$42:$D$863,co2_mm_mlo!$A$42:$A$863,VALUE(RIGHT(A962,4)),co2_mm_mlo!$B$42:$B$863,VALUE(LEFT(A962,FIND("/",A962)-1)))</f>
        <v>316.43</v>
      </c>
    </row>
    <row r="963" spans="1:3" ht="15" customHeight="1">
      <c r="A963" t="s">
        <v>1026</v>
      </c>
      <c r="B963" s="15">
        <f>'Temp Dev, C, F'!D963</f>
        <v>57.433999999999997</v>
      </c>
      <c r="C963">
        <f>SUMIFS(co2_mm_mlo!$D$42:$D$863,co2_mm_mlo!$A$42:$A$863,VALUE(RIGHT(A963,4)),co2_mm_mlo!$B$42:$B$863,VALUE(LEFT(A963,FIND("/",A963)-1)))</f>
        <v>316.98</v>
      </c>
    </row>
    <row r="964" spans="1:3" ht="15" customHeight="1">
      <c r="A964" t="s">
        <v>1027</v>
      </c>
      <c r="B964" s="15">
        <f>'Temp Dev, C, F'!D964</f>
        <v>56.57</v>
      </c>
      <c r="C964">
        <f>SUMIFS(co2_mm_mlo!$D$42:$D$863,co2_mm_mlo!$A$42:$A$863,VALUE(RIGHT(A964,4)),co2_mm_mlo!$B$42:$B$863,VALUE(LEFT(A964,FIND("/",A964)-1)))</f>
        <v>317.58</v>
      </c>
    </row>
    <row r="965" spans="1:3" ht="15" customHeight="1">
      <c r="A965" t="s">
        <v>1028</v>
      </c>
      <c r="B965" s="15">
        <f>'Temp Dev, C, F'!D965</f>
        <v>56.93</v>
      </c>
      <c r="C965">
        <f>SUMIFS(co2_mm_mlo!$D$42:$D$863,co2_mm_mlo!$A$42:$A$863,VALUE(RIGHT(A965,4)),co2_mm_mlo!$B$42:$B$863,VALUE(LEFT(A965,FIND("/",A965)-1)))</f>
        <v>319.02999999999997</v>
      </c>
    </row>
    <row r="966" spans="1:3" ht="15" customHeight="1">
      <c r="A966" t="s">
        <v>1029</v>
      </c>
      <c r="B966" s="15">
        <f>'Temp Dev, C, F'!D966</f>
        <v>57.055999999999997</v>
      </c>
      <c r="C966">
        <f>SUMIFS(co2_mm_mlo!$D$42:$D$863,co2_mm_mlo!$A$42:$A$863,VALUE(RIGHT(A966,4)),co2_mm_mlo!$B$42:$B$863,VALUE(LEFT(A966,FIND("/",A966)-1)))</f>
        <v>320.02999999999997</v>
      </c>
    </row>
    <row r="967" spans="1:3" ht="15" customHeight="1">
      <c r="A967" t="s">
        <v>1030</v>
      </c>
      <c r="B967" s="15">
        <f>'Temp Dev, C, F'!D967</f>
        <v>57.128</v>
      </c>
      <c r="C967">
        <f>SUMIFS(co2_mm_mlo!$D$42:$D$863,co2_mm_mlo!$A$42:$A$863,VALUE(RIGHT(A967,4)),co2_mm_mlo!$B$42:$B$863,VALUE(LEFT(A967,FIND("/",A967)-1)))</f>
        <v>319.58</v>
      </c>
    </row>
    <row r="968" spans="1:3" ht="15" customHeight="1">
      <c r="A968" t="s">
        <v>1031</v>
      </c>
      <c r="B968" s="15">
        <f>'Temp Dev, C, F'!D968</f>
        <v>57.128</v>
      </c>
      <c r="C968">
        <f>SUMIFS(co2_mm_mlo!$D$42:$D$863,co2_mm_mlo!$A$42:$A$863,VALUE(RIGHT(A968,4)),co2_mm_mlo!$B$42:$B$863,VALUE(LEFT(A968,FIND("/",A968)-1)))</f>
        <v>318.18</v>
      </c>
    </row>
    <row r="969" spans="1:3" ht="15" customHeight="1">
      <c r="A969" t="s">
        <v>1032</v>
      </c>
      <c r="B969" s="15">
        <f>'Temp Dev, C, F'!D969</f>
        <v>57.236000000000004</v>
      </c>
      <c r="C969">
        <f>SUMIFS(co2_mm_mlo!$D$42:$D$863,co2_mm_mlo!$A$42:$A$863,VALUE(RIGHT(A969,4)),co2_mm_mlo!$B$42:$B$863,VALUE(LEFT(A969,FIND("/",A969)-1)))</f>
        <v>315.89999999999998</v>
      </c>
    </row>
    <row r="970" spans="1:3" ht="15" customHeight="1">
      <c r="A970" t="s">
        <v>1033</v>
      </c>
      <c r="B970" s="15">
        <f>'Temp Dev, C, F'!D970</f>
        <v>57.326000000000001</v>
      </c>
      <c r="C970">
        <f>SUMIFS(co2_mm_mlo!$D$42:$D$863,co2_mm_mlo!$A$42:$A$863,VALUE(RIGHT(A970,4)),co2_mm_mlo!$B$42:$B$863,VALUE(LEFT(A970,FIND("/",A970)-1)))</f>
        <v>314.17</v>
      </c>
    </row>
    <row r="971" spans="1:3" ht="15" customHeight="1">
      <c r="A971" t="s">
        <v>1034</v>
      </c>
      <c r="B971" s="15">
        <f>'Temp Dev, C, F'!D971</f>
        <v>57.308</v>
      </c>
      <c r="C971">
        <f>SUMIFS(co2_mm_mlo!$D$42:$D$863,co2_mm_mlo!$A$42:$A$863,VALUE(RIGHT(A971,4)),co2_mm_mlo!$B$42:$B$863,VALUE(LEFT(A971,FIND("/",A971)-1)))</f>
        <v>313.83</v>
      </c>
    </row>
    <row r="972" spans="1:3" ht="15" customHeight="1">
      <c r="A972" t="s">
        <v>1035</v>
      </c>
      <c r="B972" s="15">
        <f>'Temp Dev, C, F'!D972</f>
        <v>57.002000000000002</v>
      </c>
      <c r="C972">
        <f>SUMIFS(co2_mm_mlo!$D$42:$D$863,co2_mm_mlo!$A$42:$A$863,VALUE(RIGHT(A972,4)),co2_mm_mlo!$B$42:$B$863,VALUE(LEFT(A972,FIND("/",A972)-1)))</f>
        <v>315</v>
      </c>
    </row>
    <row r="973" spans="1:3" ht="15" customHeight="1">
      <c r="A973" t="s">
        <v>1036</v>
      </c>
      <c r="B973" s="15">
        <f>'Temp Dev, C, F'!D973</f>
        <v>57.542000000000002</v>
      </c>
      <c r="C973">
        <f>SUMIFS(co2_mm_mlo!$D$42:$D$863,co2_mm_mlo!$A$42:$A$863,VALUE(RIGHT(A973,4)),co2_mm_mlo!$B$42:$B$863,VALUE(LEFT(A973,FIND("/",A973)-1)))</f>
        <v>316.19</v>
      </c>
    </row>
    <row r="974" spans="1:3" ht="15" customHeight="1">
      <c r="A974" t="s">
        <v>1037</v>
      </c>
      <c r="B974" s="15">
        <f>'Temp Dev, C, F'!D974</f>
        <v>57.326000000000001</v>
      </c>
      <c r="C974">
        <f>SUMIFS(co2_mm_mlo!$D$42:$D$863,co2_mm_mlo!$A$42:$A$863,VALUE(RIGHT(A974,4)),co2_mm_mlo!$B$42:$B$863,VALUE(LEFT(A974,FIND("/",A974)-1)))</f>
        <v>316.89</v>
      </c>
    </row>
    <row r="975" spans="1:3" ht="15" customHeight="1">
      <c r="A975" t="s">
        <v>1038</v>
      </c>
      <c r="B975" s="15">
        <f>'Temp Dev, C, F'!D975</f>
        <v>57.542000000000002</v>
      </c>
      <c r="C975">
        <f>SUMIFS(co2_mm_mlo!$D$42:$D$863,co2_mm_mlo!$A$42:$A$863,VALUE(RIGHT(A975,4)),co2_mm_mlo!$B$42:$B$863,VALUE(LEFT(A975,FIND("/",A975)-1)))</f>
        <v>317.7</v>
      </c>
    </row>
    <row r="976" spans="1:3" ht="15" customHeight="1">
      <c r="A976" t="s">
        <v>1039</v>
      </c>
      <c r="B976" s="15">
        <f>'Temp Dev, C, F'!D976</f>
        <v>57.362000000000002</v>
      </c>
      <c r="C976">
        <f>SUMIFS(co2_mm_mlo!$D$42:$D$863,co2_mm_mlo!$A$42:$A$863,VALUE(RIGHT(A976,4)),co2_mm_mlo!$B$42:$B$863,VALUE(LEFT(A976,FIND("/",A976)-1)))</f>
        <v>318.54000000000002</v>
      </c>
    </row>
    <row r="977" spans="1:3" ht="15" customHeight="1">
      <c r="A977" t="s">
        <v>1040</v>
      </c>
      <c r="B977" s="15">
        <f>'Temp Dev, C, F'!D977</f>
        <v>57.433999999999997</v>
      </c>
      <c r="C977">
        <f>SUMIFS(co2_mm_mlo!$D$42:$D$863,co2_mm_mlo!$A$42:$A$863,VALUE(RIGHT(A977,4)),co2_mm_mlo!$B$42:$B$863,VALUE(LEFT(A977,FIND("/",A977)-1)))</f>
        <v>319.48</v>
      </c>
    </row>
    <row r="978" spans="1:3" ht="15" customHeight="1">
      <c r="A978" t="s">
        <v>1041</v>
      </c>
      <c r="B978" s="15">
        <f>'Temp Dev, C, F'!D978</f>
        <v>57.415999999999997</v>
      </c>
      <c r="C978">
        <f>SUMIFS(co2_mm_mlo!$D$42:$D$863,co2_mm_mlo!$A$42:$A$863,VALUE(RIGHT(A978,4)),co2_mm_mlo!$B$42:$B$863,VALUE(LEFT(A978,FIND("/",A978)-1)))</f>
        <v>320.58</v>
      </c>
    </row>
    <row r="979" spans="1:3" ht="15" customHeight="1">
      <c r="A979" t="s">
        <v>1042</v>
      </c>
      <c r="B979" s="15">
        <f>'Temp Dev, C, F'!D979</f>
        <v>57.397999999999996</v>
      </c>
      <c r="C979">
        <f>SUMIFS(co2_mm_mlo!$D$42:$D$863,co2_mm_mlo!$A$42:$A$863,VALUE(RIGHT(A979,4)),co2_mm_mlo!$B$42:$B$863,VALUE(LEFT(A979,FIND("/",A979)-1)))</f>
        <v>319.77</v>
      </c>
    </row>
    <row r="980" spans="1:3" ht="15" customHeight="1">
      <c r="A980" t="s">
        <v>1043</v>
      </c>
      <c r="B980" s="15">
        <f>'Temp Dev, C, F'!D980</f>
        <v>57.218000000000004</v>
      </c>
      <c r="C980">
        <f>SUMIFS(co2_mm_mlo!$D$42:$D$863,co2_mm_mlo!$A$42:$A$863,VALUE(RIGHT(A980,4)),co2_mm_mlo!$B$42:$B$863,VALUE(LEFT(A980,FIND("/",A980)-1)))</f>
        <v>318.56</v>
      </c>
    </row>
    <row r="981" spans="1:3" ht="15" customHeight="1">
      <c r="A981" t="s">
        <v>1044</v>
      </c>
      <c r="B981" s="15">
        <f>'Temp Dev, C, F'!D981</f>
        <v>57.218000000000004</v>
      </c>
      <c r="C981">
        <f>SUMIFS(co2_mm_mlo!$D$42:$D$863,co2_mm_mlo!$A$42:$A$863,VALUE(RIGHT(A981,4)),co2_mm_mlo!$B$42:$B$863,VALUE(LEFT(A981,FIND("/",A981)-1)))</f>
        <v>316.79000000000002</v>
      </c>
    </row>
    <row r="982" spans="1:3" ht="15" customHeight="1">
      <c r="A982" t="s">
        <v>1045</v>
      </c>
      <c r="B982" s="15">
        <f>'Temp Dev, C, F'!D982</f>
        <v>57.344000000000001</v>
      </c>
      <c r="C982">
        <f>SUMIFS(co2_mm_mlo!$D$42:$D$863,co2_mm_mlo!$A$42:$A$863,VALUE(RIGHT(A982,4)),co2_mm_mlo!$B$42:$B$863,VALUE(LEFT(A982,FIND("/",A982)-1)))</f>
        <v>314.99</v>
      </c>
    </row>
    <row r="983" spans="1:3" ht="15" customHeight="1">
      <c r="A983" t="s">
        <v>1046</v>
      </c>
      <c r="B983" s="15">
        <f>'Temp Dev, C, F'!D983</f>
        <v>57.2</v>
      </c>
      <c r="C983">
        <f>SUMIFS(co2_mm_mlo!$D$42:$D$863,co2_mm_mlo!$A$42:$A$863,VALUE(RIGHT(A983,4)),co2_mm_mlo!$B$42:$B$863,VALUE(LEFT(A983,FIND("/",A983)-1)))</f>
        <v>315.31</v>
      </c>
    </row>
    <row r="984" spans="1:3" ht="15" customHeight="1">
      <c r="A984" t="s">
        <v>1047</v>
      </c>
      <c r="B984" s="15">
        <f>'Temp Dev, C, F'!D984</f>
        <v>57.253999999999998</v>
      </c>
      <c r="C984">
        <f>SUMIFS(co2_mm_mlo!$D$42:$D$863,co2_mm_mlo!$A$42:$A$863,VALUE(RIGHT(A984,4)),co2_mm_mlo!$B$42:$B$863,VALUE(LEFT(A984,FIND("/",A984)-1)))</f>
        <v>316.10000000000002</v>
      </c>
    </row>
    <row r="985" spans="1:3" ht="15" customHeight="1">
      <c r="A985" t="s">
        <v>1048</v>
      </c>
      <c r="B985" s="15">
        <f>'Temp Dev, C, F'!D985</f>
        <v>56.911999999999999</v>
      </c>
      <c r="C985">
        <f>SUMIFS(co2_mm_mlo!$D$42:$D$863,co2_mm_mlo!$A$42:$A$863,VALUE(RIGHT(A985,4)),co2_mm_mlo!$B$42:$B$863,VALUE(LEFT(A985,FIND("/",A985)-1)))</f>
        <v>317.01</v>
      </c>
    </row>
    <row r="986" spans="1:3" ht="15" customHeight="1">
      <c r="A986" t="s">
        <v>1049</v>
      </c>
      <c r="B986" s="15">
        <f>'Temp Dev, C, F'!D986</f>
        <v>57.290000000000006</v>
      </c>
      <c r="C986">
        <f>SUMIFS(co2_mm_mlo!$D$42:$D$863,co2_mm_mlo!$A$42:$A$863,VALUE(RIGHT(A986,4)),co2_mm_mlo!$B$42:$B$863,VALUE(LEFT(A986,FIND("/",A986)-1)))</f>
        <v>317.94</v>
      </c>
    </row>
    <row r="987" spans="1:3" ht="15" customHeight="1">
      <c r="A987" t="s">
        <v>1050</v>
      </c>
      <c r="B987" s="15">
        <f>'Temp Dev, C, F'!D987</f>
        <v>57.47</v>
      </c>
      <c r="C987">
        <f>SUMIFS(co2_mm_mlo!$D$42:$D$863,co2_mm_mlo!$A$42:$A$863,VALUE(RIGHT(A987,4)),co2_mm_mlo!$B$42:$B$863,VALUE(LEFT(A987,FIND("/",A987)-1)))</f>
        <v>318.55</v>
      </c>
    </row>
    <row r="988" spans="1:3" ht="15" customHeight="1">
      <c r="A988" t="s">
        <v>1051</v>
      </c>
      <c r="B988" s="15">
        <f>'Temp Dev, C, F'!D988</f>
        <v>57.379999999999995</v>
      </c>
      <c r="C988">
        <f>SUMIFS(co2_mm_mlo!$D$42:$D$863,co2_mm_mlo!$A$42:$A$863,VALUE(RIGHT(A988,4)),co2_mm_mlo!$B$42:$B$863,VALUE(LEFT(A988,FIND("/",A988)-1)))</f>
        <v>319.68</v>
      </c>
    </row>
    <row r="989" spans="1:3" ht="15" customHeight="1">
      <c r="A989" t="s">
        <v>1052</v>
      </c>
      <c r="B989" s="15">
        <f>'Temp Dev, C, F'!D989</f>
        <v>57.290000000000006</v>
      </c>
      <c r="C989">
        <f>SUMIFS(co2_mm_mlo!$D$42:$D$863,co2_mm_mlo!$A$42:$A$863,VALUE(RIGHT(A989,4)),co2_mm_mlo!$B$42:$B$863,VALUE(LEFT(A989,FIND("/",A989)-1)))</f>
        <v>320.57</v>
      </c>
    </row>
    <row r="990" spans="1:3" ht="15" customHeight="1">
      <c r="A990" t="s">
        <v>1053</v>
      </c>
      <c r="B990" s="15">
        <f>'Temp Dev, C, F'!D990</f>
        <v>57.091999999999999</v>
      </c>
      <c r="C990">
        <f>SUMIFS(co2_mm_mlo!$D$42:$D$863,co2_mm_mlo!$A$42:$A$863,VALUE(RIGHT(A990,4)),co2_mm_mlo!$B$42:$B$863,VALUE(LEFT(A990,FIND("/",A990)-1)))</f>
        <v>321.02</v>
      </c>
    </row>
    <row r="991" spans="1:3" ht="15" customHeight="1">
      <c r="A991" t="s">
        <v>1054</v>
      </c>
      <c r="B991" s="15">
        <f>'Temp Dev, C, F'!D991</f>
        <v>57.253999999999998</v>
      </c>
      <c r="C991">
        <f>SUMIFS(co2_mm_mlo!$D$42:$D$863,co2_mm_mlo!$A$42:$A$863,VALUE(RIGHT(A991,4)),co2_mm_mlo!$B$42:$B$863,VALUE(LEFT(A991,FIND("/",A991)-1)))</f>
        <v>320.62</v>
      </c>
    </row>
    <row r="992" spans="1:3" ht="15" customHeight="1">
      <c r="A992" t="s">
        <v>1055</v>
      </c>
      <c r="B992" s="15">
        <f>'Temp Dev, C, F'!D992</f>
        <v>57.236000000000004</v>
      </c>
      <c r="C992">
        <f>SUMIFS(co2_mm_mlo!$D$42:$D$863,co2_mm_mlo!$A$42:$A$863,VALUE(RIGHT(A992,4)),co2_mm_mlo!$B$42:$B$863,VALUE(LEFT(A992,FIND("/",A992)-1)))</f>
        <v>319.61</v>
      </c>
    </row>
    <row r="993" spans="1:3" ht="15" customHeight="1">
      <c r="A993" t="s">
        <v>1056</v>
      </c>
      <c r="B993" s="15">
        <f>'Temp Dev, C, F'!D993</f>
        <v>57.182000000000002</v>
      </c>
      <c r="C993">
        <f>SUMIFS(co2_mm_mlo!$D$42:$D$863,co2_mm_mlo!$A$42:$A$863,VALUE(RIGHT(A993,4)),co2_mm_mlo!$B$42:$B$863,VALUE(LEFT(A993,FIND("/",A993)-1)))</f>
        <v>317.39999999999998</v>
      </c>
    </row>
    <row r="994" spans="1:3" ht="15" customHeight="1">
      <c r="A994" t="s">
        <v>1057</v>
      </c>
      <c r="B994" s="15">
        <f>'Temp Dev, C, F'!D994</f>
        <v>57.2</v>
      </c>
      <c r="C994">
        <f>SUMIFS(co2_mm_mlo!$D$42:$D$863,co2_mm_mlo!$A$42:$A$863,VALUE(RIGHT(A994,4)),co2_mm_mlo!$B$42:$B$863,VALUE(LEFT(A994,FIND("/",A994)-1)))</f>
        <v>316.24</v>
      </c>
    </row>
    <row r="995" spans="1:3" ht="15" customHeight="1">
      <c r="A995" t="s">
        <v>1058</v>
      </c>
      <c r="B995" s="15">
        <f>'Temp Dev, C, F'!D995</f>
        <v>57.218000000000004</v>
      </c>
      <c r="C995">
        <f>SUMIFS(co2_mm_mlo!$D$42:$D$863,co2_mm_mlo!$A$42:$A$863,VALUE(RIGHT(A995,4)),co2_mm_mlo!$B$42:$B$863,VALUE(LEFT(A995,FIND("/",A995)-1)))</f>
        <v>315.42</v>
      </c>
    </row>
    <row r="996" spans="1:3" ht="15" customHeight="1">
      <c r="A996" t="s">
        <v>1059</v>
      </c>
      <c r="B996" s="15">
        <f>'Temp Dev, C, F'!D996</f>
        <v>57.308</v>
      </c>
      <c r="C996">
        <f>SUMIFS(co2_mm_mlo!$D$42:$D$863,co2_mm_mlo!$A$42:$A$863,VALUE(RIGHT(A996,4)),co2_mm_mlo!$B$42:$B$863,VALUE(LEFT(A996,FIND("/",A996)-1)))</f>
        <v>316.69</v>
      </c>
    </row>
    <row r="997" spans="1:3" ht="15" customHeight="1">
      <c r="A997" t="s">
        <v>1060</v>
      </c>
      <c r="B997" s="15">
        <f>'Temp Dev, C, F'!D997</f>
        <v>57.146000000000001</v>
      </c>
      <c r="C997">
        <f>SUMIFS(co2_mm_mlo!$D$42:$D$863,co2_mm_mlo!$A$42:$A$863,VALUE(RIGHT(A997,4)),co2_mm_mlo!$B$42:$B$863,VALUE(LEFT(A997,FIND("/",A997)-1)))</f>
        <v>317.7</v>
      </c>
    </row>
    <row r="998" spans="1:3" ht="15" customHeight="1">
      <c r="A998" t="s">
        <v>1061</v>
      </c>
      <c r="B998" s="15">
        <f>'Temp Dev, C, F'!D998</f>
        <v>57.146000000000001</v>
      </c>
      <c r="C998">
        <f>SUMIFS(co2_mm_mlo!$D$42:$D$863,co2_mm_mlo!$A$42:$A$863,VALUE(RIGHT(A998,4)),co2_mm_mlo!$B$42:$B$863,VALUE(LEFT(A998,FIND("/",A998)-1)))</f>
        <v>318.74</v>
      </c>
    </row>
    <row r="999" spans="1:3" ht="15" customHeight="1">
      <c r="A999" t="s">
        <v>1062</v>
      </c>
      <c r="B999" s="15">
        <f>'Temp Dev, C, F'!D999</f>
        <v>57.524000000000001</v>
      </c>
      <c r="C999">
        <f>SUMIFS(co2_mm_mlo!$D$42:$D$863,co2_mm_mlo!$A$42:$A$863,VALUE(RIGHT(A999,4)),co2_mm_mlo!$B$42:$B$863,VALUE(LEFT(A999,FIND("/",A999)-1)))</f>
        <v>319.07</v>
      </c>
    </row>
    <row r="1000" spans="1:3" ht="15" customHeight="1">
      <c r="A1000" t="s">
        <v>1063</v>
      </c>
      <c r="B1000" s="15">
        <f>'Temp Dev, C, F'!D1000</f>
        <v>56.948</v>
      </c>
      <c r="C1000">
        <f>SUMIFS(co2_mm_mlo!$D$42:$D$863,co2_mm_mlo!$A$42:$A$863,VALUE(RIGHT(A1000,4)),co2_mm_mlo!$B$42:$B$863,VALUE(LEFT(A1000,FIND("/",A1000)-1)))</f>
        <v>319.86</v>
      </c>
    </row>
    <row r="1001" spans="1:3" ht="15" customHeight="1">
      <c r="A1001" t="s">
        <v>1064</v>
      </c>
      <c r="B1001" s="15">
        <f>'Temp Dev, C, F'!D1001</f>
        <v>57.073999999999998</v>
      </c>
      <c r="C1001">
        <f>SUMIFS(co2_mm_mlo!$D$42:$D$863,co2_mm_mlo!$A$42:$A$863,VALUE(RIGHT(A1001,4)),co2_mm_mlo!$B$42:$B$863,VALUE(LEFT(A1001,FIND("/",A1001)-1)))</f>
        <v>321.38</v>
      </c>
    </row>
    <row r="1002" spans="1:3" ht="15" customHeight="1">
      <c r="A1002" t="s">
        <v>1065</v>
      </c>
      <c r="B1002" s="15">
        <f>'Temp Dev, C, F'!D1002</f>
        <v>57.091999999999999</v>
      </c>
      <c r="C1002">
        <f>SUMIFS(co2_mm_mlo!$D$42:$D$863,co2_mm_mlo!$A$42:$A$863,VALUE(RIGHT(A1002,4)),co2_mm_mlo!$B$42:$B$863,VALUE(LEFT(A1002,FIND("/",A1002)-1)))</f>
        <v>322.24</v>
      </c>
    </row>
    <row r="1003" spans="1:3" ht="15" customHeight="1">
      <c r="A1003" t="s">
        <v>1066</v>
      </c>
      <c r="B1003" s="15">
        <f>'Temp Dev, C, F'!D1003</f>
        <v>57.290000000000006</v>
      </c>
      <c r="C1003">
        <f>SUMIFS(co2_mm_mlo!$D$42:$D$863,co2_mm_mlo!$A$42:$A$863,VALUE(RIGHT(A1003,4)),co2_mm_mlo!$B$42:$B$863,VALUE(LEFT(A1003,FIND("/",A1003)-1)))</f>
        <v>321.49</v>
      </c>
    </row>
    <row r="1004" spans="1:3" ht="15" customHeight="1">
      <c r="A1004" t="s">
        <v>1067</v>
      </c>
      <c r="B1004" s="15">
        <f>'Temp Dev, C, F'!D1004</f>
        <v>57.308</v>
      </c>
      <c r="C1004">
        <f>SUMIFS(co2_mm_mlo!$D$42:$D$863,co2_mm_mlo!$A$42:$A$863,VALUE(RIGHT(A1004,4)),co2_mm_mlo!$B$42:$B$863,VALUE(LEFT(A1004,FIND("/",A1004)-1)))</f>
        <v>319.74</v>
      </c>
    </row>
    <row r="1005" spans="1:3" ht="15" customHeight="1">
      <c r="A1005" t="s">
        <v>1068</v>
      </c>
      <c r="B1005" s="15">
        <f>'Temp Dev, C, F'!D1005</f>
        <v>57.596000000000004</v>
      </c>
      <c r="C1005">
        <f>SUMIFS(co2_mm_mlo!$D$42:$D$863,co2_mm_mlo!$A$42:$A$863,VALUE(RIGHT(A1005,4)),co2_mm_mlo!$B$42:$B$863,VALUE(LEFT(A1005,FIND("/",A1005)-1)))</f>
        <v>317.77</v>
      </c>
    </row>
    <row r="1006" spans="1:3" ht="15" customHeight="1">
      <c r="A1006" t="s">
        <v>1069</v>
      </c>
      <c r="B1006" s="15">
        <f>'Temp Dev, C, F'!D1006</f>
        <v>57.506</v>
      </c>
      <c r="C1006">
        <f>SUMIFS(co2_mm_mlo!$D$42:$D$863,co2_mm_mlo!$A$42:$A$863,VALUE(RIGHT(A1006,4)),co2_mm_mlo!$B$42:$B$863,VALUE(LEFT(A1006,FIND("/",A1006)-1)))</f>
        <v>316.20999999999998</v>
      </c>
    </row>
    <row r="1007" spans="1:3" ht="15" customHeight="1">
      <c r="A1007" t="s">
        <v>1070</v>
      </c>
      <c r="B1007" s="15">
        <f>'Temp Dev, C, F'!D1007</f>
        <v>57.47</v>
      </c>
      <c r="C1007">
        <f>SUMIFS(co2_mm_mlo!$D$42:$D$863,co2_mm_mlo!$A$42:$A$863,VALUE(RIGHT(A1007,4)),co2_mm_mlo!$B$42:$B$863,VALUE(LEFT(A1007,FIND("/",A1007)-1)))</f>
        <v>315.99</v>
      </c>
    </row>
    <row r="1008" spans="1:3" ht="15" customHeight="1">
      <c r="A1008" t="s">
        <v>1071</v>
      </c>
      <c r="B1008" s="15">
        <f>'Temp Dev, C, F'!D1008</f>
        <v>57.47</v>
      </c>
      <c r="C1008">
        <f>SUMIFS(co2_mm_mlo!$D$42:$D$863,co2_mm_mlo!$A$42:$A$863,VALUE(RIGHT(A1008,4)),co2_mm_mlo!$B$42:$B$863,VALUE(LEFT(A1008,FIND("/",A1008)-1)))</f>
        <v>317.07</v>
      </c>
    </row>
    <row r="1009" spans="1:3" ht="15" customHeight="1">
      <c r="A1009" t="s">
        <v>1072</v>
      </c>
      <c r="B1009" s="15">
        <f>'Temp Dev, C, F'!D1009</f>
        <v>57.146000000000001</v>
      </c>
      <c r="C1009">
        <f>SUMIFS(co2_mm_mlo!$D$42:$D$863,co2_mm_mlo!$A$42:$A$863,VALUE(RIGHT(A1009,4)),co2_mm_mlo!$B$42:$B$863,VALUE(LEFT(A1009,FIND("/",A1009)-1)))</f>
        <v>318.35000000000002</v>
      </c>
    </row>
    <row r="1010" spans="1:3" ht="15" customHeight="1">
      <c r="A1010" t="s">
        <v>1073</v>
      </c>
      <c r="B1010" s="15">
        <f>'Temp Dev, C, F'!D1010</f>
        <v>57.037999999999997</v>
      </c>
      <c r="C1010">
        <f>SUMIFS(co2_mm_mlo!$D$42:$D$863,co2_mm_mlo!$A$42:$A$863,VALUE(RIGHT(A1010,4)),co2_mm_mlo!$B$42:$B$863,VALUE(LEFT(A1010,FIND("/",A1010)-1)))</f>
        <v>319.57</v>
      </c>
    </row>
    <row r="1011" spans="1:3" ht="15" customHeight="1">
      <c r="A1011" t="s">
        <v>1074</v>
      </c>
      <c r="B1011" s="15">
        <f>'Temp Dev, C, F'!D1011</f>
        <v>57.019999999999996</v>
      </c>
      <c r="C1011">
        <f>SUMIFS(co2_mm_mlo!$D$42:$D$863,co2_mm_mlo!$A$42:$A$863,VALUE(RIGHT(A1011,4)),co2_mm_mlo!$B$42:$B$863,VALUE(LEFT(A1011,FIND("/",A1011)-1)))</f>
        <v>320.04000000000002</v>
      </c>
    </row>
    <row r="1012" spans="1:3" ht="15" customHeight="1">
      <c r="A1012" t="s">
        <v>1075</v>
      </c>
      <c r="B1012" s="15">
        <f>'Temp Dev, C, F'!D1012</f>
        <v>56.822000000000003</v>
      </c>
      <c r="C1012">
        <f>SUMIFS(co2_mm_mlo!$D$42:$D$863,co2_mm_mlo!$A$42:$A$863,VALUE(RIGHT(A1012,4)),co2_mm_mlo!$B$42:$B$863,VALUE(LEFT(A1012,FIND("/",A1012)-1)))</f>
        <v>320.75</v>
      </c>
    </row>
    <row r="1013" spans="1:3" ht="15" customHeight="1">
      <c r="A1013" t="s">
        <v>1076</v>
      </c>
      <c r="B1013" s="15">
        <f>'Temp Dev, C, F'!D1013</f>
        <v>56.623999999999995</v>
      </c>
      <c r="C1013">
        <f>SUMIFS(co2_mm_mlo!$D$42:$D$863,co2_mm_mlo!$A$42:$A$863,VALUE(RIGHT(A1013,4)),co2_mm_mlo!$B$42:$B$863,VALUE(LEFT(A1013,FIND("/",A1013)-1)))</f>
        <v>321.83999999999997</v>
      </c>
    </row>
    <row r="1014" spans="1:3" ht="15" customHeight="1">
      <c r="A1014" t="s">
        <v>1077</v>
      </c>
      <c r="B1014" s="15">
        <f>'Temp Dev, C, F'!D1014</f>
        <v>56.75</v>
      </c>
      <c r="C1014">
        <f>SUMIFS(co2_mm_mlo!$D$42:$D$863,co2_mm_mlo!$A$42:$A$863,VALUE(RIGHT(A1014,4)),co2_mm_mlo!$B$42:$B$863,VALUE(LEFT(A1014,FIND("/",A1014)-1)))</f>
        <v>322.25</v>
      </c>
    </row>
    <row r="1015" spans="1:3" ht="15" customHeight="1">
      <c r="A1015" t="s">
        <v>1078</v>
      </c>
      <c r="B1015" s="15">
        <f>'Temp Dev, C, F'!D1015</f>
        <v>57.128</v>
      </c>
      <c r="C1015">
        <f>SUMIFS(co2_mm_mlo!$D$42:$D$863,co2_mm_mlo!$A$42:$A$863,VALUE(RIGHT(A1015,4)),co2_mm_mlo!$B$42:$B$863,VALUE(LEFT(A1015,FIND("/",A1015)-1)))</f>
        <v>321.89</v>
      </c>
    </row>
    <row r="1016" spans="1:3" ht="15" customHeight="1">
      <c r="A1016" t="s">
        <v>1079</v>
      </c>
      <c r="B1016" s="15">
        <f>'Temp Dev, C, F'!D1016</f>
        <v>57.128</v>
      </c>
      <c r="C1016">
        <f>SUMIFS(co2_mm_mlo!$D$42:$D$863,co2_mm_mlo!$A$42:$A$863,VALUE(RIGHT(A1016,4)),co2_mm_mlo!$B$42:$B$863,VALUE(LEFT(A1016,FIND("/",A1016)-1)))</f>
        <v>320.44</v>
      </c>
    </row>
    <row r="1017" spans="1:3" ht="15" customHeight="1">
      <c r="A1017" t="s">
        <v>1080</v>
      </c>
      <c r="B1017" s="15">
        <f>'Temp Dev, C, F'!D1017</f>
        <v>56.804000000000002</v>
      </c>
      <c r="C1017">
        <f>SUMIFS(co2_mm_mlo!$D$42:$D$863,co2_mm_mlo!$A$42:$A$863,VALUE(RIGHT(A1017,4)),co2_mm_mlo!$B$42:$B$863,VALUE(LEFT(A1017,FIND("/",A1017)-1)))</f>
        <v>318.69</v>
      </c>
    </row>
    <row r="1018" spans="1:3" ht="15" customHeight="1">
      <c r="A1018" t="s">
        <v>1081</v>
      </c>
      <c r="B1018" s="15">
        <f>'Temp Dev, C, F'!D1018</f>
        <v>56.66</v>
      </c>
      <c r="C1018">
        <f>SUMIFS(co2_mm_mlo!$D$42:$D$863,co2_mm_mlo!$A$42:$A$863,VALUE(RIGHT(A1018,4)),co2_mm_mlo!$B$42:$B$863,VALUE(LEFT(A1018,FIND("/",A1018)-1)))</f>
        <v>316.70999999999998</v>
      </c>
    </row>
    <row r="1019" spans="1:3" ht="15" customHeight="1">
      <c r="A1019" t="s">
        <v>1082</v>
      </c>
      <c r="B1019" s="15">
        <f>'Temp Dev, C, F'!D1019</f>
        <v>56.641999999999996</v>
      </c>
      <c r="C1019">
        <f>SUMIFS(co2_mm_mlo!$D$42:$D$863,co2_mm_mlo!$A$42:$A$863,VALUE(RIGHT(A1019,4)),co2_mm_mlo!$B$42:$B$863,VALUE(LEFT(A1019,FIND("/",A1019)-1)))</f>
        <v>316.87</v>
      </c>
    </row>
    <row r="1020" spans="1:3" ht="15" customHeight="1">
      <c r="A1020" t="s">
        <v>1083</v>
      </c>
      <c r="B1020" s="15">
        <f>'Temp Dev, C, F'!D1020</f>
        <v>56.822000000000003</v>
      </c>
      <c r="C1020">
        <f>SUMIFS(co2_mm_mlo!$D$42:$D$863,co2_mm_mlo!$A$42:$A$863,VALUE(RIGHT(A1020,4)),co2_mm_mlo!$B$42:$B$863,VALUE(LEFT(A1020,FIND("/",A1020)-1)))</f>
        <v>317.68</v>
      </c>
    </row>
    <row r="1021" spans="1:3" ht="15" customHeight="1">
      <c r="A1021" t="s">
        <v>1084</v>
      </c>
      <c r="B1021" s="15">
        <f>'Temp Dev, C, F'!D1021</f>
        <v>56.66</v>
      </c>
      <c r="C1021">
        <f>SUMIFS(co2_mm_mlo!$D$42:$D$863,co2_mm_mlo!$A$42:$A$863,VALUE(RIGHT(A1021,4)),co2_mm_mlo!$B$42:$B$863,VALUE(LEFT(A1021,FIND("/",A1021)-1)))</f>
        <v>318.70999999999998</v>
      </c>
    </row>
    <row r="1022" spans="1:3" ht="15" customHeight="1">
      <c r="A1022" t="s">
        <v>1085</v>
      </c>
      <c r="B1022" s="15">
        <f>'Temp Dev, C, F'!D1022</f>
        <v>57.055999999999997</v>
      </c>
      <c r="C1022">
        <f>SUMIFS(co2_mm_mlo!$D$42:$D$863,co2_mm_mlo!$A$42:$A$863,VALUE(RIGHT(A1022,4)),co2_mm_mlo!$B$42:$B$863,VALUE(LEFT(A1022,FIND("/",A1022)-1)))</f>
        <v>319.44</v>
      </c>
    </row>
    <row r="1023" spans="1:3" ht="15" customHeight="1">
      <c r="A1023" t="s">
        <v>1086</v>
      </c>
      <c r="B1023" s="15">
        <f>'Temp Dev, C, F'!D1023</f>
        <v>56.894000000000005</v>
      </c>
      <c r="C1023">
        <f>SUMIFS(co2_mm_mlo!$D$42:$D$863,co2_mm_mlo!$A$42:$A$863,VALUE(RIGHT(A1023,4)),co2_mm_mlo!$B$42:$B$863,VALUE(LEFT(A1023,FIND("/",A1023)-1)))</f>
        <v>320.44</v>
      </c>
    </row>
    <row r="1024" spans="1:3" ht="15" customHeight="1">
      <c r="A1024" t="s">
        <v>1087</v>
      </c>
      <c r="B1024" s="15">
        <f>'Temp Dev, C, F'!D1024</f>
        <v>56.965999999999994</v>
      </c>
      <c r="C1024">
        <f>SUMIFS(co2_mm_mlo!$D$42:$D$863,co2_mm_mlo!$A$42:$A$863,VALUE(RIGHT(A1024,4)),co2_mm_mlo!$B$42:$B$863,VALUE(LEFT(A1024,FIND("/",A1024)-1)))</f>
        <v>320.89</v>
      </c>
    </row>
    <row r="1025" spans="1:3" ht="15" customHeight="1">
      <c r="A1025" t="s">
        <v>1088</v>
      </c>
      <c r="B1025" s="15">
        <f>'Temp Dev, C, F'!D1025</f>
        <v>56.858000000000004</v>
      </c>
      <c r="C1025">
        <f>SUMIFS(co2_mm_mlo!$D$42:$D$863,co2_mm_mlo!$A$42:$A$863,VALUE(RIGHT(A1025,4)),co2_mm_mlo!$B$42:$B$863,VALUE(LEFT(A1025,FIND("/",A1025)-1)))</f>
        <v>322.14</v>
      </c>
    </row>
    <row r="1026" spans="1:3" ht="15" customHeight="1">
      <c r="A1026" t="s">
        <v>1089</v>
      </c>
      <c r="B1026" s="15">
        <f>'Temp Dev, C, F'!D1026</f>
        <v>56.984000000000002</v>
      </c>
      <c r="C1026">
        <f>SUMIFS(co2_mm_mlo!$D$42:$D$863,co2_mm_mlo!$A$42:$A$863,VALUE(RIGHT(A1026,4)),co2_mm_mlo!$B$42:$B$863,VALUE(LEFT(A1026,FIND("/",A1026)-1)))</f>
        <v>322.17</v>
      </c>
    </row>
    <row r="1027" spans="1:3" ht="15" customHeight="1">
      <c r="A1027" t="s">
        <v>1090</v>
      </c>
      <c r="B1027" s="15">
        <f>'Temp Dev, C, F'!D1027</f>
        <v>57.055999999999997</v>
      </c>
      <c r="C1027">
        <f>SUMIFS(co2_mm_mlo!$D$42:$D$863,co2_mm_mlo!$A$42:$A$863,VALUE(RIGHT(A1027,4)),co2_mm_mlo!$B$42:$B$863,VALUE(LEFT(A1027,FIND("/",A1027)-1)))</f>
        <v>321.87</v>
      </c>
    </row>
    <row r="1028" spans="1:3" ht="15" customHeight="1">
      <c r="A1028" t="s">
        <v>1091</v>
      </c>
      <c r="B1028" s="15">
        <f>'Temp Dev, C, F'!D1028</f>
        <v>56.965999999999994</v>
      </c>
      <c r="C1028">
        <f>SUMIFS(co2_mm_mlo!$D$42:$D$863,co2_mm_mlo!$A$42:$A$863,VALUE(RIGHT(A1028,4)),co2_mm_mlo!$B$42:$B$863,VALUE(LEFT(A1028,FIND("/",A1028)-1)))</f>
        <v>321.20999999999998</v>
      </c>
    </row>
    <row r="1029" spans="1:3" ht="15" customHeight="1">
      <c r="A1029" t="s">
        <v>1092</v>
      </c>
      <c r="B1029" s="15">
        <f>'Temp Dev, C, F'!D1029</f>
        <v>57.128</v>
      </c>
      <c r="C1029">
        <f>SUMIFS(co2_mm_mlo!$D$42:$D$863,co2_mm_mlo!$A$42:$A$863,VALUE(RIGHT(A1029,4)),co2_mm_mlo!$B$42:$B$863,VALUE(LEFT(A1029,FIND("/",A1029)-1)))</f>
        <v>318.87</v>
      </c>
    </row>
    <row r="1030" spans="1:3" ht="15" customHeight="1">
      <c r="A1030" t="s">
        <v>1093</v>
      </c>
      <c r="B1030" s="15">
        <f>'Temp Dev, C, F'!D1030</f>
        <v>56.93</v>
      </c>
      <c r="C1030">
        <f>SUMIFS(co2_mm_mlo!$D$42:$D$863,co2_mm_mlo!$A$42:$A$863,VALUE(RIGHT(A1030,4)),co2_mm_mlo!$B$42:$B$863,VALUE(LEFT(A1030,FIND("/",A1030)-1)))</f>
        <v>317.82</v>
      </c>
    </row>
    <row r="1031" spans="1:3" ht="15" customHeight="1">
      <c r="A1031" t="s">
        <v>1094</v>
      </c>
      <c r="B1031" s="15">
        <f>'Temp Dev, C, F'!D1031</f>
        <v>57.11</v>
      </c>
      <c r="C1031">
        <f>SUMIFS(co2_mm_mlo!$D$42:$D$863,co2_mm_mlo!$A$42:$A$863,VALUE(RIGHT(A1031,4)),co2_mm_mlo!$B$42:$B$863,VALUE(LEFT(A1031,FIND("/",A1031)-1)))</f>
        <v>317.3</v>
      </c>
    </row>
    <row r="1032" spans="1:3" ht="15" customHeight="1">
      <c r="A1032" t="s">
        <v>1095</v>
      </c>
      <c r="B1032" s="15">
        <f>'Temp Dev, C, F'!D1032</f>
        <v>57.091999999999999</v>
      </c>
      <c r="C1032">
        <f>SUMIFS(co2_mm_mlo!$D$42:$D$863,co2_mm_mlo!$A$42:$A$863,VALUE(RIGHT(A1032,4)),co2_mm_mlo!$B$42:$B$863,VALUE(LEFT(A1032,FIND("/",A1032)-1)))</f>
        <v>318.87</v>
      </c>
    </row>
    <row r="1033" spans="1:3" ht="15" customHeight="1">
      <c r="A1033" t="s">
        <v>1096</v>
      </c>
      <c r="B1033" s="15">
        <f>'Temp Dev, C, F'!D1033</f>
        <v>57.055999999999997</v>
      </c>
      <c r="C1033">
        <f>SUMIFS(co2_mm_mlo!$D$42:$D$863,co2_mm_mlo!$A$42:$A$863,VALUE(RIGHT(A1033,4)),co2_mm_mlo!$B$42:$B$863,VALUE(LEFT(A1033,FIND("/",A1033)-1)))</f>
        <v>319.42</v>
      </c>
    </row>
    <row r="1034" spans="1:3" ht="15" customHeight="1">
      <c r="A1034" t="s">
        <v>1097</v>
      </c>
      <c r="B1034" s="15">
        <f>'Temp Dev, C, F'!D1034</f>
        <v>56.858000000000004</v>
      </c>
      <c r="C1034">
        <f>SUMIFS(co2_mm_mlo!$D$42:$D$863,co2_mm_mlo!$A$42:$A$863,VALUE(RIGHT(A1034,4)),co2_mm_mlo!$B$42:$B$863,VALUE(LEFT(A1034,FIND("/",A1034)-1)))</f>
        <v>320.62</v>
      </c>
    </row>
    <row r="1035" spans="1:3" ht="15" customHeight="1">
      <c r="A1035" t="s">
        <v>1098</v>
      </c>
      <c r="B1035" s="15">
        <f>'Temp Dev, C, F'!D1035</f>
        <v>57.128</v>
      </c>
      <c r="C1035">
        <f>SUMIFS(co2_mm_mlo!$D$42:$D$863,co2_mm_mlo!$A$42:$A$863,VALUE(RIGHT(A1035,4)),co2_mm_mlo!$B$42:$B$863,VALUE(LEFT(A1035,FIND("/",A1035)-1)))</f>
        <v>321.60000000000002</v>
      </c>
    </row>
    <row r="1036" spans="1:3" ht="15" customHeight="1">
      <c r="A1036" t="s">
        <v>1099</v>
      </c>
      <c r="B1036" s="15">
        <f>'Temp Dev, C, F'!D1036</f>
        <v>57.253999999999998</v>
      </c>
      <c r="C1036">
        <f>SUMIFS(co2_mm_mlo!$D$42:$D$863,co2_mm_mlo!$A$42:$A$863,VALUE(RIGHT(A1036,4)),co2_mm_mlo!$B$42:$B$863,VALUE(LEFT(A1036,FIND("/",A1036)-1)))</f>
        <v>322.39</v>
      </c>
    </row>
    <row r="1037" spans="1:3" ht="15" customHeight="1">
      <c r="A1037" t="s">
        <v>1100</v>
      </c>
      <c r="B1037" s="15">
        <f>'Temp Dev, C, F'!D1037</f>
        <v>56.965999999999994</v>
      </c>
      <c r="C1037">
        <f>SUMIFS(co2_mm_mlo!$D$42:$D$863,co2_mm_mlo!$A$42:$A$863,VALUE(RIGHT(A1037,4)),co2_mm_mlo!$B$42:$B$863,VALUE(LEFT(A1037,FIND("/",A1037)-1)))</f>
        <v>323.7</v>
      </c>
    </row>
    <row r="1038" spans="1:3" ht="15" customHeight="1">
      <c r="A1038" t="s">
        <v>1101</v>
      </c>
      <c r="B1038" s="15">
        <f>'Temp Dev, C, F'!D1038</f>
        <v>56.984000000000002</v>
      </c>
      <c r="C1038">
        <f>SUMIFS(co2_mm_mlo!$D$42:$D$863,co2_mm_mlo!$A$42:$A$863,VALUE(RIGHT(A1038,4)),co2_mm_mlo!$B$42:$B$863,VALUE(LEFT(A1038,FIND("/",A1038)-1)))</f>
        <v>324.08</v>
      </c>
    </row>
    <row r="1039" spans="1:3" ht="15" customHeight="1">
      <c r="A1039" t="s">
        <v>1102</v>
      </c>
      <c r="B1039" s="15">
        <f>'Temp Dev, C, F'!D1039</f>
        <v>57.218000000000004</v>
      </c>
      <c r="C1039">
        <f>SUMIFS(co2_mm_mlo!$D$42:$D$863,co2_mm_mlo!$A$42:$A$863,VALUE(RIGHT(A1039,4)),co2_mm_mlo!$B$42:$B$863,VALUE(LEFT(A1039,FIND("/",A1039)-1)))</f>
        <v>323.75</v>
      </c>
    </row>
    <row r="1040" spans="1:3" ht="15" customHeight="1">
      <c r="A1040" t="s">
        <v>1103</v>
      </c>
      <c r="B1040" s="15">
        <f>'Temp Dev, C, F'!D1040</f>
        <v>57.344000000000001</v>
      </c>
      <c r="C1040">
        <f>SUMIFS(co2_mm_mlo!$D$42:$D$863,co2_mm_mlo!$A$42:$A$863,VALUE(RIGHT(A1040,4)),co2_mm_mlo!$B$42:$B$863,VALUE(LEFT(A1040,FIND("/",A1040)-1)))</f>
        <v>322.37</v>
      </c>
    </row>
    <row r="1041" spans="1:3" ht="15" customHeight="1">
      <c r="A1041" t="s">
        <v>1104</v>
      </c>
      <c r="B1041" s="15">
        <f>'Temp Dev, C, F'!D1041</f>
        <v>57.037999999999997</v>
      </c>
      <c r="C1041">
        <f>SUMIFS(co2_mm_mlo!$D$42:$D$863,co2_mm_mlo!$A$42:$A$863,VALUE(RIGHT(A1041,4)),co2_mm_mlo!$B$42:$B$863,VALUE(LEFT(A1041,FIND("/",A1041)-1)))</f>
        <v>320.36</v>
      </c>
    </row>
    <row r="1042" spans="1:3" ht="15" customHeight="1">
      <c r="A1042" t="s">
        <v>1105</v>
      </c>
      <c r="B1042" s="15">
        <f>'Temp Dev, C, F'!D1042</f>
        <v>57.146000000000001</v>
      </c>
      <c r="C1042">
        <f>SUMIFS(co2_mm_mlo!$D$42:$D$863,co2_mm_mlo!$A$42:$A$863,VALUE(RIGHT(A1042,4)),co2_mm_mlo!$B$42:$B$863,VALUE(LEFT(A1042,FIND("/",A1042)-1)))</f>
        <v>318.64</v>
      </c>
    </row>
    <row r="1043" spans="1:3" ht="15" customHeight="1">
      <c r="A1043" t="s">
        <v>1106</v>
      </c>
      <c r="B1043" s="15">
        <f>'Temp Dev, C, F'!D1043</f>
        <v>56.894000000000005</v>
      </c>
      <c r="C1043">
        <f>SUMIFS(co2_mm_mlo!$D$42:$D$863,co2_mm_mlo!$A$42:$A$863,VALUE(RIGHT(A1043,4)),co2_mm_mlo!$B$42:$B$863,VALUE(LEFT(A1043,FIND("/",A1043)-1)))</f>
        <v>318.10000000000002</v>
      </c>
    </row>
    <row r="1044" spans="1:3" ht="15" customHeight="1">
      <c r="A1044" t="s">
        <v>1107</v>
      </c>
      <c r="B1044" s="15">
        <f>'Temp Dev, C, F'!D1044</f>
        <v>57.182000000000002</v>
      </c>
      <c r="C1044">
        <f>SUMIFS(co2_mm_mlo!$D$42:$D$863,co2_mm_mlo!$A$42:$A$863,VALUE(RIGHT(A1044,4)),co2_mm_mlo!$B$42:$B$863,VALUE(LEFT(A1044,FIND("/",A1044)-1)))</f>
        <v>319.77999999999997</v>
      </c>
    </row>
    <row r="1045" spans="1:3" ht="15" customHeight="1">
      <c r="A1045" t="s">
        <v>1108</v>
      </c>
      <c r="B1045" s="15">
        <f>'Temp Dev, C, F'!D1045</f>
        <v>57.146000000000001</v>
      </c>
      <c r="C1045">
        <f>SUMIFS(co2_mm_mlo!$D$42:$D$863,co2_mm_mlo!$A$42:$A$863,VALUE(RIGHT(A1045,4)),co2_mm_mlo!$B$42:$B$863,VALUE(LEFT(A1045,FIND("/",A1045)-1)))</f>
        <v>321.02</v>
      </c>
    </row>
    <row r="1046" spans="1:3" ht="15" customHeight="1">
      <c r="A1046" t="s">
        <v>1109</v>
      </c>
      <c r="B1046" s="15">
        <f>'Temp Dev, C, F'!D1046</f>
        <v>57.055999999999997</v>
      </c>
      <c r="C1046">
        <f>SUMIFS(co2_mm_mlo!$D$42:$D$863,co2_mm_mlo!$A$42:$A$863,VALUE(RIGHT(A1046,4)),co2_mm_mlo!$B$42:$B$863,VALUE(LEFT(A1046,FIND("/",A1046)-1)))</f>
        <v>322.33</v>
      </c>
    </row>
    <row r="1047" spans="1:3" ht="15" customHeight="1">
      <c r="A1047" t="s">
        <v>1110</v>
      </c>
      <c r="B1047" s="15">
        <f>'Temp Dev, C, F'!D1047</f>
        <v>56.822000000000003</v>
      </c>
      <c r="C1047">
        <f>SUMIFS(co2_mm_mlo!$D$42:$D$863,co2_mm_mlo!$A$42:$A$863,VALUE(RIGHT(A1047,4)),co2_mm_mlo!$B$42:$B$863,VALUE(LEFT(A1047,FIND("/",A1047)-1)))</f>
        <v>322.5</v>
      </c>
    </row>
    <row r="1048" spans="1:3" ht="15" customHeight="1">
      <c r="A1048" t="s">
        <v>1111</v>
      </c>
      <c r="B1048" s="15">
        <f>'Temp Dev, C, F'!D1048</f>
        <v>57.290000000000006</v>
      </c>
      <c r="C1048">
        <f>SUMIFS(co2_mm_mlo!$D$42:$D$863,co2_mm_mlo!$A$42:$A$863,VALUE(RIGHT(A1048,4)),co2_mm_mlo!$B$42:$B$863,VALUE(LEFT(A1048,FIND("/",A1048)-1)))</f>
        <v>323.02999999999997</v>
      </c>
    </row>
    <row r="1049" spans="1:3" ht="15" customHeight="1">
      <c r="A1049" t="s">
        <v>1112</v>
      </c>
      <c r="B1049" s="15">
        <f>'Temp Dev, C, F'!D1049</f>
        <v>57.11</v>
      </c>
      <c r="C1049">
        <f>SUMIFS(co2_mm_mlo!$D$42:$D$863,co2_mm_mlo!$A$42:$A$863,VALUE(RIGHT(A1049,4)),co2_mm_mlo!$B$42:$B$863,VALUE(LEFT(A1049,FIND("/",A1049)-1)))</f>
        <v>324.41000000000003</v>
      </c>
    </row>
    <row r="1050" spans="1:3" ht="15" customHeight="1">
      <c r="A1050" t="s">
        <v>1113</v>
      </c>
      <c r="B1050" s="15">
        <f>'Temp Dev, C, F'!D1050</f>
        <v>57.415999999999997</v>
      </c>
      <c r="C1050">
        <f>SUMIFS(co2_mm_mlo!$D$42:$D$863,co2_mm_mlo!$A$42:$A$863,VALUE(RIGHT(A1050,4)),co2_mm_mlo!$B$42:$B$863,VALUE(LEFT(A1050,FIND("/",A1050)-1)))</f>
        <v>325</v>
      </c>
    </row>
    <row r="1051" spans="1:3" ht="15" customHeight="1">
      <c r="A1051" t="s">
        <v>1114</v>
      </c>
      <c r="B1051" s="15">
        <f>'Temp Dev, C, F'!D1051</f>
        <v>57.055999999999997</v>
      </c>
      <c r="C1051">
        <f>SUMIFS(co2_mm_mlo!$D$42:$D$863,co2_mm_mlo!$A$42:$A$863,VALUE(RIGHT(A1051,4)),co2_mm_mlo!$B$42:$B$863,VALUE(LEFT(A1051,FIND("/",A1051)-1)))</f>
        <v>324.08999999999997</v>
      </c>
    </row>
    <row r="1052" spans="1:3" ht="15" customHeight="1">
      <c r="A1052" t="s">
        <v>1115</v>
      </c>
      <c r="B1052" s="15">
        <f>'Temp Dev, C, F'!D1052</f>
        <v>57.236000000000004</v>
      </c>
      <c r="C1052">
        <f>SUMIFS(co2_mm_mlo!$D$42:$D$863,co2_mm_mlo!$A$42:$A$863,VALUE(RIGHT(A1052,4)),co2_mm_mlo!$B$42:$B$863,VALUE(LEFT(A1052,FIND("/",A1052)-1)))</f>
        <v>322.54000000000002</v>
      </c>
    </row>
    <row r="1053" spans="1:3" ht="15" customHeight="1">
      <c r="A1053" t="s">
        <v>1116</v>
      </c>
      <c r="B1053" s="15">
        <f>'Temp Dev, C, F'!D1053</f>
        <v>57.218000000000004</v>
      </c>
      <c r="C1053">
        <f>SUMIFS(co2_mm_mlo!$D$42:$D$863,co2_mm_mlo!$A$42:$A$863,VALUE(RIGHT(A1053,4)),co2_mm_mlo!$B$42:$B$863,VALUE(LEFT(A1053,FIND("/",A1053)-1)))</f>
        <v>320.92</v>
      </c>
    </row>
    <row r="1054" spans="1:3" ht="15" customHeight="1">
      <c r="A1054" t="s">
        <v>1117</v>
      </c>
      <c r="B1054" s="15">
        <f>'Temp Dev, C, F'!D1054</f>
        <v>57.091999999999999</v>
      </c>
      <c r="C1054">
        <f>SUMIFS(co2_mm_mlo!$D$42:$D$863,co2_mm_mlo!$A$42:$A$863,VALUE(RIGHT(A1054,4)),co2_mm_mlo!$B$42:$B$863,VALUE(LEFT(A1054,FIND("/",A1054)-1)))</f>
        <v>319.25</v>
      </c>
    </row>
    <row r="1055" spans="1:3" ht="15" customHeight="1">
      <c r="A1055" t="s">
        <v>1118</v>
      </c>
      <c r="B1055" s="15">
        <f>'Temp Dev, C, F'!D1055</f>
        <v>57.362000000000002</v>
      </c>
      <c r="C1055">
        <f>SUMIFS(co2_mm_mlo!$D$42:$D$863,co2_mm_mlo!$A$42:$A$863,VALUE(RIGHT(A1055,4)),co2_mm_mlo!$B$42:$B$863,VALUE(LEFT(A1055,FIND("/",A1055)-1)))</f>
        <v>319.39</v>
      </c>
    </row>
    <row r="1056" spans="1:3" ht="15" customHeight="1">
      <c r="A1056" t="s">
        <v>1119</v>
      </c>
      <c r="B1056" s="15">
        <f>'Temp Dev, C, F'!D1056</f>
        <v>57.11</v>
      </c>
      <c r="C1056">
        <f>SUMIFS(co2_mm_mlo!$D$42:$D$863,co2_mm_mlo!$A$42:$A$863,VALUE(RIGHT(A1056,4)),co2_mm_mlo!$B$42:$B$863,VALUE(LEFT(A1056,FIND("/",A1056)-1)))</f>
        <v>320.73</v>
      </c>
    </row>
    <row r="1057" spans="1:3" ht="15" customHeight="1">
      <c r="A1057" t="s">
        <v>1120</v>
      </c>
      <c r="B1057" s="15">
        <f>'Temp Dev, C, F'!D1057</f>
        <v>57.11</v>
      </c>
      <c r="C1057">
        <f>SUMIFS(co2_mm_mlo!$D$42:$D$863,co2_mm_mlo!$A$42:$A$863,VALUE(RIGHT(A1057,4)),co2_mm_mlo!$B$42:$B$863,VALUE(LEFT(A1057,FIND("/",A1057)-1)))</f>
        <v>321.95999999999998</v>
      </c>
    </row>
    <row r="1058" spans="1:3" ht="15" customHeight="1">
      <c r="A1058" t="s">
        <v>1121</v>
      </c>
      <c r="B1058" s="15">
        <f>'Temp Dev, C, F'!D1058</f>
        <v>56.731999999999999</v>
      </c>
      <c r="C1058">
        <f>SUMIFS(co2_mm_mlo!$D$42:$D$863,co2_mm_mlo!$A$42:$A$863,VALUE(RIGHT(A1058,4)),co2_mm_mlo!$B$42:$B$863,VALUE(LEFT(A1058,FIND("/",A1058)-1)))</f>
        <v>322.57</v>
      </c>
    </row>
    <row r="1059" spans="1:3" ht="15" customHeight="1">
      <c r="A1059" t="s">
        <v>1122</v>
      </c>
      <c r="B1059" s="15">
        <f>'Temp Dev, C, F'!D1059</f>
        <v>56.948</v>
      </c>
      <c r="C1059">
        <f>SUMIFS(co2_mm_mlo!$D$42:$D$863,co2_mm_mlo!$A$42:$A$863,VALUE(RIGHT(A1059,4)),co2_mm_mlo!$B$42:$B$863,VALUE(LEFT(A1059,FIND("/",A1059)-1)))</f>
        <v>323.14999999999998</v>
      </c>
    </row>
    <row r="1060" spans="1:3" ht="15" customHeight="1">
      <c r="A1060" t="s">
        <v>1123</v>
      </c>
      <c r="B1060" s="15">
        <f>'Temp Dev, C, F'!D1060</f>
        <v>57.56</v>
      </c>
      <c r="C1060">
        <f>SUMIFS(co2_mm_mlo!$D$42:$D$863,co2_mm_mlo!$A$42:$A$863,VALUE(RIGHT(A1060,4)),co2_mm_mlo!$B$42:$B$863,VALUE(LEFT(A1060,FIND("/",A1060)-1)))</f>
        <v>323.89</v>
      </c>
    </row>
    <row r="1061" spans="1:3" ht="15" customHeight="1">
      <c r="A1061" t="s">
        <v>1124</v>
      </c>
      <c r="B1061" s="15">
        <f>'Temp Dev, C, F'!D1061</f>
        <v>57.091999999999999</v>
      </c>
      <c r="C1061">
        <f>SUMIFS(co2_mm_mlo!$D$42:$D$863,co2_mm_mlo!$A$42:$A$863,VALUE(RIGHT(A1061,4)),co2_mm_mlo!$B$42:$B$863,VALUE(LEFT(A1061,FIND("/",A1061)-1)))</f>
        <v>325.02</v>
      </c>
    </row>
    <row r="1062" spans="1:3" ht="15" customHeight="1">
      <c r="A1062" t="s">
        <v>1125</v>
      </c>
      <c r="B1062" s="15">
        <f>'Temp Dev, C, F'!D1062</f>
        <v>56.948</v>
      </c>
      <c r="C1062">
        <f>SUMIFS(co2_mm_mlo!$D$42:$D$863,co2_mm_mlo!$A$42:$A$863,VALUE(RIGHT(A1062,4)),co2_mm_mlo!$B$42:$B$863,VALUE(LEFT(A1062,FIND("/",A1062)-1)))</f>
        <v>325.57</v>
      </c>
    </row>
    <row r="1063" spans="1:3" ht="15" customHeight="1">
      <c r="A1063" t="s">
        <v>1126</v>
      </c>
      <c r="B1063" s="15">
        <f>'Temp Dev, C, F'!D1063</f>
        <v>57.037999999999997</v>
      </c>
      <c r="C1063">
        <f>SUMIFS(co2_mm_mlo!$D$42:$D$863,co2_mm_mlo!$A$42:$A$863,VALUE(RIGHT(A1063,4)),co2_mm_mlo!$B$42:$B$863,VALUE(LEFT(A1063,FIND("/",A1063)-1)))</f>
        <v>325.36</v>
      </c>
    </row>
    <row r="1064" spans="1:3" ht="15" customHeight="1">
      <c r="A1064" t="s">
        <v>1127</v>
      </c>
      <c r="B1064" s="15">
        <f>'Temp Dev, C, F'!D1064</f>
        <v>56.965999999999994</v>
      </c>
      <c r="C1064">
        <f>SUMIFS(co2_mm_mlo!$D$42:$D$863,co2_mm_mlo!$A$42:$A$863,VALUE(RIGHT(A1064,4)),co2_mm_mlo!$B$42:$B$863,VALUE(LEFT(A1064,FIND("/",A1064)-1)))</f>
        <v>324.14</v>
      </c>
    </row>
    <row r="1065" spans="1:3" ht="15" customHeight="1">
      <c r="A1065" t="s">
        <v>1128</v>
      </c>
      <c r="B1065" s="15">
        <f>'Temp Dev, C, F'!D1065</f>
        <v>57.055999999999997</v>
      </c>
      <c r="C1065">
        <f>SUMIFS(co2_mm_mlo!$D$42:$D$863,co2_mm_mlo!$A$42:$A$863,VALUE(RIGHT(A1065,4)),co2_mm_mlo!$B$42:$B$863,VALUE(LEFT(A1065,FIND("/",A1065)-1)))</f>
        <v>322.11</v>
      </c>
    </row>
    <row r="1066" spans="1:3" ht="15" customHeight="1">
      <c r="A1066" t="s">
        <v>1129</v>
      </c>
      <c r="B1066" s="15">
        <f>'Temp Dev, C, F'!D1066</f>
        <v>56.858000000000004</v>
      </c>
      <c r="C1066">
        <f>SUMIFS(co2_mm_mlo!$D$42:$D$863,co2_mm_mlo!$A$42:$A$863,VALUE(RIGHT(A1066,4)),co2_mm_mlo!$B$42:$B$863,VALUE(LEFT(A1066,FIND("/",A1066)-1)))</f>
        <v>320.33</v>
      </c>
    </row>
    <row r="1067" spans="1:3" ht="15" customHeight="1">
      <c r="A1067" t="s">
        <v>1130</v>
      </c>
      <c r="B1067" s="15">
        <f>'Temp Dev, C, F'!D1067</f>
        <v>57.362000000000002</v>
      </c>
      <c r="C1067">
        <f>SUMIFS(co2_mm_mlo!$D$42:$D$863,co2_mm_mlo!$A$42:$A$863,VALUE(RIGHT(A1067,4)),co2_mm_mlo!$B$42:$B$863,VALUE(LEFT(A1067,FIND("/",A1067)-1)))</f>
        <v>320.25</v>
      </c>
    </row>
    <row r="1068" spans="1:3" ht="15" customHeight="1">
      <c r="A1068" t="s">
        <v>1131</v>
      </c>
      <c r="B1068" s="15">
        <f>'Temp Dev, C, F'!D1068</f>
        <v>57.11</v>
      </c>
      <c r="C1068">
        <f>SUMIFS(co2_mm_mlo!$D$42:$D$863,co2_mm_mlo!$A$42:$A$863,VALUE(RIGHT(A1068,4)),co2_mm_mlo!$B$42:$B$863,VALUE(LEFT(A1068,FIND("/",A1068)-1)))</f>
        <v>321.32</v>
      </c>
    </row>
    <row r="1069" spans="1:3" ht="15" customHeight="1">
      <c r="A1069" t="s">
        <v>1132</v>
      </c>
      <c r="B1069" s="15">
        <f>'Temp Dev, C, F'!D1069</f>
        <v>56.948</v>
      </c>
      <c r="C1069">
        <f>SUMIFS(co2_mm_mlo!$D$42:$D$863,co2_mm_mlo!$A$42:$A$863,VALUE(RIGHT(A1069,4)),co2_mm_mlo!$B$42:$B$863,VALUE(LEFT(A1069,FIND("/",A1069)-1)))</f>
        <v>322.89</v>
      </c>
    </row>
    <row r="1070" spans="1:3" ht="15" customHeight="1">
      <c r="A1070" t="s">
        <v>1133</v>
      </c>
      <c r="B1070" s="15">
        <f>'Temp Dev, C, F'!D1070</f>
        <v>57.002000000000002</v>
      </c>
      <c r="C1070">
        <f>SUMIFS(co2_mm_mlo!$D$42:$D$863,co2_mm_mlo!$A$42:$A$863,VALUE(RIGHT(A1070,4)),co2_mm_mlo!$B$42:$B$863,VALUE(LEFT(A1070,FIND("/",A1070)-1)))</f>
        <v>324</v>
      </c>
    </row>
    <row r="1071" spans="1:3" ht="15" customHeight="1">
      <c r="A1071" t="s">
        <v>1134</v>
      </c>
      <c r="B1071" s="15">
        <f>'Temp Dev, C, F'!D1071</f>
        <v>56.876000000000005</v>
      </c>
      <c r="C1071">
        <f>SUMIFS(co2_mm_mlo!$D$42:$D$863,co2_mm_mlo!$A$42:$A$863,VALUE(RIGHT(A1071,4)),co2_mm_mlo!$B$42:$B$863,VALUE(LEFT(A1071,FIND("/",A1071)-1)))</f>
        <v>324.41000000000003</v>
      </c>
    </row>
    <row r="1072" spans="1:3" ht="15" customHeight="1">
      <c r="A1072" t="s">
        <v>1135</v>
      </c>
      <c r="B1072" s="15">
        <f>'Temp Dev, C, F'!D1072</f>
        <v>57.218000000000004</v>
      </c>
      <c r="C1072">
        <f>SUMIFS(co2_mm_mlo!$D$42:$D$863,co2_mm_mlo!$A$42:$A$863,VALUE(RIGHT(A1072,4)),co2_mm_mlo!$B$42:$B$863,VALUE(LEFT(A1072,FIND("/",A1072)-1)))</f>
        <v>325.63</v>
      </c>
    </row>
    <row r="1073" spans="1:3" ht="15" customHeight="1">
      <c r="A1073" t="s">
        <v>1136</v>
      </c>
      <c r="B1073" s="15">
        <f>'Temp Dev, C, F'!D1073</f>
        <v>57.506</v>
      </c>
      <c r="C1073">
        <f>SUMIFS(co2_mm_mlo!$D$42:$D$863,co2_mm_mlo!$A$42:$A$863,VALUE(RIGHT(A1073,4)),co2_mm_mlo!$B$42:$B$863,VALUE(LEFT(A1073,FIND("/",A1073)-1)))</f>
        <v>326.66000000000003</v>
      </c>
    </row>
    <row r="1074" spans="1:3" ht="15" customHeight="1">
      <c r="A1074" t="s">
        <v>1137</v>
      </c>
      <c r="B1074" s="15">
        <f>'Temp Dev, C, F'!D1074</f>
        <v>57.524000000000001</v>
      </c>
      <c r="C1074">
        <f>SUMIFS(co2_mm_mlo!$D$42:$D$863,co2_mm_mlo!$A$42:$A$863,VALUE(RIGHT(A1074,4)),co2_mm_mlo!$B$42:$B$863,VALUE(LEFT(A1074,FIND("/",A1074)-1)))</f>
        <v>327.38</v>
      </c>
    </row>
    <row r="1075" spans="1:3" ht="15" customHeight="1">
      <c r="A1075" t="s">
        <v>1138</v>
      </c>
      <c r="B1075" s="15">
        <f>'Temp Dev, C, F'!D1075</f>
        <v>57.253999999999998</v>
      </c>
      <c r="C1075">
        <f>SUMIFS(co2_mm_mlo!$D$42:$D$863,co2_mm_mlo!$A$42:$A$863,VALUE(RIGHT(A1075,4)),co2_mm_mlo!$B$42:$B$863,VALUE(LEFT(A1075,FIND("/",A1075)-1)))</f>
        <v>326.70999999999998</v>
      </c>
    </row>
    <row r="1076" spans="1:3" ht="15" customHeight="1">
      <c r="A1076" t="s">
        <v>1139</v>
      </c>
      <c r="B1076" s="15">
        <f>'Temp Dev, C, F'!D1076</f>
        <v>57.128</v>
      </c>
      <c r="C1076">
        <f>SUMIFS(co2_mm_mlo!$D$42:$D$863,co2_mm_mlo!$A$42:$A$863,VALUE(RIGHT(A1076,4)),co2_mm_mlo!$B$42:$B$863,VALUE(LEFT(A1076,FIND("/",A1076)-1)))</f>
        <v>325.88</v>
      </c>
    </row>
    <row r="1077" spans="1:3" ht="15" customHeight="1">
      <c r="A1077" t="s">
        <v>1140</v>
      </c>
      <c r="B1077" s="15">
        <f>'Temp Dev, C, F'!D1077</f>
        <v>57.271999999999998</v>
      </c>
      <c r="C1077">
        <f>SUMIFS(co2_mm_mlo!$D$42:$D$863,co2_mm_mlo!$A$42:$A$863,VALUE(RIGHT(A1077,4)),co2_mm_mlo!$B$42:$B$863,VALUE(LEFT(A1077,FIND("/",A1077)-1)))</f>
        <v>323.66000000000003</v>
      </c>
    </row>
    <row r="1078" spans="1:3" ht="15" customHeight="1">
      <c r="A1078" t="s">
        <v>1141</v>
      </c>
      <c r="B1078" s="15">
        <f>'Temp Dev, C, F'!D1078</f>
        <v>57.344000000000001</v>
      </c>
      <c r="C1078">
        <f>SUMIFS(co2_mm_mlo!$D$42:$D$863,co2_mm_mlo!$A$42:$A$863,VALUE(RIGHT(A1078,4)),co2_mm_mlo!$B$42:$B$863,VALUE(LEFT(A1078,FIND("/",A1078)-1)))</f>
        <v>322.38</v>
      </c>
    </row>
    <row r="1079" spans="1:3" ht="15" customHeight="1">
      <c r="A1079" t="s">
        <v>1142</v>
      </c>
      <c r="B1079" s="15">
        <f>'Temp Dev, C, F'!D1079</f>
        <v>57.362000000000002</v>
      </c>
      <c r="C1079">
        <f>SUMIFS(co2_mm_mlo!$D$42:$D$863,co2_mm_mlo!$A$42:$A$863,VALUE(RIGHT(A1079,4)),co2_mm_mlo!$B$42:$B$863,VALUE(LEFT(A1079,FIND("/",A1079)-1)))</f>
        <v>321.77999999999997</v>
      </c>
    </row>
    <row r="1080" spans="1:3" ht="15" customHeight="1">
      <c r="A1080" t="s">
        <v>1143</v>
      </c>
      <c r="B1080" s="15">
        <f>'Temp Dev, C, F'!D1080</f>
        <v>57.415999999999997</v>
      </c>
      <c r="C1080">
        <f>SUMIFS(co2_mm_mlo!$D$42:$D$863,co2_mm_mlo!$A$42:$A$863,VALUE(RIGHT(A1080,4)),co2_mm_mlo!$B$42:$B$863,VALUE(LEFT(A1080,FIND("/",A1080)-1)))</f>
        <v>322.85000000000002</v>
      </c>
    </row>
    <row r="1081" spans="1:3" ht="15" customHeight="1">
      <c r="A1081" t="s">
        <v>1144</v>
      </c>
      <c r="B1081" s="15">
        <f>'Temp Dev, C, F'!D1081</f>
        <v>57.632000000000005</v>
      </c>
      <c r="C1081">
        <f>SUMIFS(co2_mm_mlo!$D$42:$D$863,co2_mm_mlo!$A$42:$A$863,VALUE(RIGHT(A1081,4)),co2_mm_mlo!$B$42:$B$863,VALUE(LEFT(A1081,FIND("/",A1081)-1)))</f>
        <v>324.11</v>
      </c>
    </row>
    <row r="1082" spans="1:3" ht="15" customHeight="1">
      <c r="A1082" t="s">
        <v>1145</v>
      </c>
      <c r="B1082" s="15">
        <f>'Temp Dev, C, F'!D1082</f>
        <v>57.344000000000001</v>
      </c>
      <c r="C1082">
        <f>SUMIFS(co2_mm_mlo!$D$42:$D$863,co2_mm_mlo!$A$42:$A$863,VALUE(RIGHT(A1082,4)),co2_mm_mlo!$B$42:$B$863,VALUE(LEFT(A1082,FIND("/",A1082)-1)))</f>
        <v>325.06</v>
      </c>
    </row>
    <row r="1083" spans="1:3" ht="15" customHeight="1">
      <c r="A1083" t="s">
        <v>1146</v>
      </c>
      <c r="B1083" s="15">
        <f>'Temp Dev, C, F'!D1083</f>
        <v>57.596000000000004</v>
      </c>
      <c r="C1083">
        <f>SUMIFS(co2_mm_mlo!$D$42:$D$863,co2_mm_mlo!$A$42:$A$863,VALUE(RIGHT(A1083,4)),co2_mm_mlo!$B$42:$B$863,VALUE(LEFT(A1083,FIND("/",A1083)-1)))</f>
        <v>325.99</v>
      </c>
    </row>
    <row r="1084" spans="1:3" ht="15" customHeight="1">
      <c r="A1084" t="s">
        <v>1147</v>
      </c>
      <c r="B1084" s="15">
        <f>'Temp Dev, C, F'!D1084</f>
        <v>57.308</v>
      </c>
      <c r="C1084">
        <f>SUMIFS(co2_mm_mlo!$D$42:$D$863,co2_mm_mlo!$A$42:$A$863,VALUE(RIGHT(A1084,4)),co2_mm_mlo!$B$42:$B$863,VALUE(LEFT(A1084,FIND("/",A1084)-1)))</f>
        <v>326.93</v>
      </c>
    </row>
    <row r="1085" spans="1:3" ht="15" customHeight="1">
      <c r="A1085" t="s">
        <v>1148</v>
      </c>
      <c r="B1085" s="15">
        <f>'Temp Dev, C, F'!D1085</f>
        <v>57.290000000000006</v>
      </c>
      <c r="C1085">
        <f>SUMIFS(co2_mm_mlo!$D$42:$D$863,co2_mm_mlo!$A$42:$A$863,VALUE(RIGHT(A1085,4)),co2_mm_mlo!$B$42:$B$863,VALUE(LEFT(A1085,FIND("/",A1085)-1)))</f>
        <v>328.13</v>
      </c>
    </row>
    <row r="1086" spans="1:3" ht="15" customHeight="1">
      <c r="A1086" t="s">
        <v>1149</v>
      </c>
      <c r="B1086" s="15">
        <f>'Temp Dev, C, F'!D1086</f>
        <v>57.146000000000001</v>
      </c>
      <c r="C1086">
        <f>SUMIFS(co2_mm_mlo!$D$42:$D$863,co2_mm_mlo!$A$42:$A$863,VALUE(RIGHT(A1086,4)),co2_mm_mlo!$B$42:$B$863,VALUE(LEFT(A1086,FIND("/",A1086)-1)))</f>
        <v>328.08</v>
      </c>
    </row>
    <row r="1087" spans="1:3" ht="15" customHeight="1">
      <c r="A1087" t="s">
        <v>1150</v>
      </c>
      <c r="B1087" s="15">
        <f>'Temp Dev, C, F'!D1087</f>
        <v>57.164000000000001</v>
      </c>
      <c r="C1087">
        <f>SUMIFS(co2_mm_mlo!$D$42:$D$863,co2_mm_mlo!$A$42:$A$863,VALUE(RIGHT(A1087,4)),co2_mm_mlo!$B$42:$B$863,VALUE(LEFT(A1087,FIND("/",A1087)-1)))</f>
        <v>327.67</v>
      </c>
    </row>
    <row r="1088" spans="1:3" ht="15" customHeight="1">
      <c r="A1088" t="s">
        <v>1151</v>
      </c>
      <c r="B1088" s="15">
        <f>'Temp Dev, C, F'!D1088</f>
        <v>57.236000000000004</v>
      </c>
      <c r="C1088">
        <f>SUMIFS(co2_mm_mlo!$D$42:$D$863,co2_mm_mlo!$A$42:$A$863,VALUE(RIGHT(A1088,4)),co2_mm_mlo!$B$42:$B$863,VALUE(LEFT(A1088,FIND("/",A1088)-1)))</f>
        <v>326.33999999999997</v>
      </c>
    </row>
    <row r="1089" spans="1:3" ht="15" customHeight="1">
      <c r="A1089" t="s">
        <v>1152</v>
      </c>
      <c r="B1089" s="15">
        <f>'Temp Dev, C, F'!D1089</f>
        <v>57.019999999999996</v>
      </c>
      <c r="C1089">
        <f>SUMIFS(co2_mm_mlo!$D$42:$D$863,co2_mm_mlo!$A$42:$A$863,VALUE(RIGHT(A1089,4)),co2_mm_mlo!$B$42:$B$863,VALUE(LEFT(A1089,FIND("/",A1089)-1)))</f>
        <v>324.68</v>
      </c>
    </row>
    <row r="1090" spans="1:3" ht="15" customHeight="1">
      <c r="A1090" t="s">
        <v>1153</v>
      </c>
      <c r="B1090" s="15">
        <f>'Temp Dev, C, F'!D1090</f>
        <v>57.415999999999997</v>
      </c>
      <c r="C1090">
        <f>SUMIFS(co2_mm_mlo!$D$42:$D$863,co2_mm_mlo!$A$42:$A$863,VALUE(RIGHT(A1090,4)),co2_mm_mlo!$B$42:$B$863,VALUE(LEFT(A1090,FIND("/",A1090)-1)))</f>
        <v>323.10000000000002</v>
      </c>
    </row>
    <row r="1091" spans="1:3" ht="15" customHeight="1">
      <c r="A1091" t="s">
        <v>1154</v>
      </c>
      <c r="B1091" s="15">
        <f>'Temp Dev, C, F'!D1091</f>
        <v>57.253999999999998</v>
      </c>
      <c r="C1091">
        <f>SUMIFS(co2_mm_mlo!$D$42:$D$863,co2_mm_mlo!$A$42:$A$863,VALUE(RIGHT(A1091,4)),co2_mm_mlo!$B$42:$B$863,VALUE(LEFT(A1091,FIND("/",A1091)-1)))</f>
        <v>323.06</v>
      </c>
    </row>
    <row r="1092" spans="1:3" ht="15" customHeight="1">
      <c r="A1092" t="s">
        <v>1155</v>
      </c>
      <c r="B1092" s="15">
        <f>'Temp Dev, C, F'!D1092</f>
        <v>57.236000000000004</v>
      </c>
      <c r="C1092">
        <f>SUMIFS(co2_mm_mlo!$D$42:$D$863,co2_mm_mlo!$A$42:$A$863,VALUE(RIGHT(A1092,4)),co2_mm_mlo!$B$42:$B$863,VALUE(LEFT(A1092,FIND("/",A1092)-1)))</f>
        <v>324.01</v>
      </c>
    </row>
    <row r="1093" spans="1:3" ht="15" customHeight="1">
      <c r="A1093" t="s">
        <v>1156</v>
      </c>
      <c r="B1093" s="15">
        <f>'Temp Dev, C, F'!D1093</f>
        <v>56.984000000000002</v>
      </c>
      <c r="C1093">
        <f>SUMIFS(co2_mm_mlo!$D$42:$D$863,co2_mm_mlo!$A$42:$A$863,VALUE(RIGHT(A1093,4)),co2_mm_mlo!$B$42:$B$863,VALUE(LEFT(A1093,FIND("/",A1093)-1)))</f>
        <v>325.13</v>
      </c>
    </row>
    <row r="1094" spans="1:3" ht="15" customHeight="1">
      <c r="A1094" t="s">
        <v>1157</v>
      </c>
      <c r="B1094" s="15">
        <f>'Temp Dev, C, F'!D1094</f>
        <v>57.164000000000001</v>
      </c>
      <c r="C1094">
        <f>SUMIFS(co2_mm_mlo!$D$42:$D$863,co2_mm_mlo!$A$42:$A$863,VALUE(RIGHT(A1094,4)),co2_mm_mlo!$B$42:$B$863,VALUE(LEFT(A1094,FIND("/",A1094)-1)))</f>
        <v>326.17</v>
      </c>
    </row>
    <row r="1095" spans="1:3" ht="15" customHeight="1">
      <c r="A1095" t="s">
        <v>1158</v>
      </c>
      <c r="B1095" s="15">
        <f>'Temp Dev, C, F'!D1095</f>
        <v>56.93</v>
      </c>
      <c r="C1095">
        <f>SUMIFS(co2_mm_mlo!$D$42:$D$863,co2_mm_mlo!$A$42:$A$863,VALUE(RIGHT(A1095,4)),co2_mm_mlo!$B$42:$B$863,VALUE(LEFT(A1095,FIND("/",A1095)-1)))</f>
        <v>326.69</v>
      </c>
    </row>
    <row r="1096" spans="1:3" ht="15" customHeight="1">
      <c r="A1096" t="s">
        <v>1159</v>
      </c>
      <c r="B1096" s="15">
        <f>'Temp Dev, C, F'!D1096</f>
        <v>56.876000000000005</v>
      </c>
      <c r="C1096">
        <f>SUMIFS(co2_mm_mlo!$D$42:$D$863,co2_mm_mlo!$A$42:$A$863,VALUE(RIGHT(A1096,4)),co2_mm_mlo!$B$42:$B$863,VALUE(LEFT(A1096,FIND("/",A1096)-1)))</f>
        <v>327.18</v>
      </c>
    </row>
    <row r="1097" spans="1:3" ht="15" customHeight="1">
      <c r="A1097" t="s">
        <v>1160</v>
      </c>
      <c r="B1097" s="15">
        <f>'Temp Dev, C, F'!D1097</f>
        <v>57.073999999999998</v>
      </c>
      <c r="C1097">
        <f>SUMIFS(co2_mm_mlo!$D$42:$D$863,co2_mm_mlo!$A$42:$A$863,VALUE(RIGHT(A1097,4)),co2_mm_mlo!$B$42:$B$863,VALUE(LEFT(A1097,FIND("/",A1097)-1)))</f>
        <v>327.78</v>
      </c>
    </row>
    <row r="1098" spans="1:3" ht="15" customHeight="1">
      <c r="A1098" t="s">
        <v>1161</v>
      </c>
      <c r="B1098" s="15">
        <f>'Temp Dev, C, F'!D1098</f>
        <v>57.11</v>
      </c>
      <c r="C1098">
        <f>SUMIFS(co2_mm_mlo!$D$42:$D$863,co2_mm_mlo!$A$42:$A$863,VALUE(RIGHT(A1098,4)),co2_mm_mlo!$B$42:$B$863,VALUE(LEFT(A1098,FIND("/",A1098)-1)))</f>
        <v>328.93</v>
      </c>
    </row>
    <row r="1099" spans="1:3" ht="15" customHeight="1">
      <c r="A1099" t="s">
        <v>1162</v>
      </c>
      <c r="B1099" s="15">
        <f>'Temp Dev, C, F'!D1099</f>
        <v>56.911999999999999</v>
      </c>
      <c r="C1099">
        <f>SUMIFS(co2_mm_mlo!$D$42:$D$863,co2_mm_mlo!$A$42:$A$863,VALUE(RIGHT(A1099,4)),co2_mm_mlo!$B$42:$B$863,VALUE(LEFT(A1099,FIND("/",A1099)-1)))</f>
        <v>328.57</v>
      </c>
    </row>
    <row r="1100" spans="1:3" ht="15" customHeight="1">
      <c r="A1100" t="s">
        <v>1163</v>
      </c>
      <c r="B1100" s="15">
        <f>'Temp Dev, C, F'!D1100</f>
        <v>57.073999999999998</v>
      </c>
      <c r="C1100">
        <f>SUMIFS(co2_mm_mlo!$D$42:$D$863,co2_mm_mlo!$A$42:$A$863,VALUE(RIGHT(A1100,4)),co2_mm_mlo!$B$42:$B$863,VALUE(LEFT(A1100,FIND("/",A1100)-1)))</f>
        <v>327.36</v>
      </c>
    </row>
    <row r="1101" spans="1:3" ht="15" customHeight="1">
      <c r="A1101" t="s">
        <v>1164</v>
      </c>
      <c r="B1101" s="15">
        <f>'Temp Dev, C, F'!D1101</f>
        <v>57.182000000000002</v>
      </c>
      <c r="C1101">
        <f>SUMIFS(co2_mm_mlo!$D$42:$D$863,co2_mm_mlo!$A$42:$A$863,VALUE(RIGHT(A1101,4)),co2_mm_mlo!$B$42:$B$863,VALUE(LEFT(A1101,FIND("/",A1101)-1)))</f>
        <v>325.43</v>
      </c>
    </row>
    <row r="1102" spans="1:3" ht="15" customHeight="1">
      <c r="A1102" t="s">
        <v>1165</v>
      </c>
      <c r="B1102" s="15">
        <f>'Temp Dev, C, F'!D1102</f>
        <v>57.11</v>
      </c>
      <c r="C1102">
        <f>SUMIFS(co2_mm_mlo!$D$42:$D$863,co2_mm_mlo!$A$42:$A$863,VALUE(RIGHT(A1102,4)),co2_mm_mlo!$B$42:$B$863,VALUE(LEFT(A1102,FIND("/",A1102)-1)))</f>
        <v>323.36</v>
      </c>
    </row>
    <row r="1103" spans="1:3" ht="15" customHeight="1">
      <c r="A1103" t="s">
        <v>1166</v>
      </c>
      <c r="B1103" s="15">
        <f>'Temp Dev, C, F'!D1103</f>
        <v>57.128</v>
      </c>
      <c r="C1103">
        <f>SUMIFS(co2_mm_mlo!$D$42:$D$863,co2_mm_mlo!$A$42:$A$863,VALUE(RIGHT(A1103,4)),co2_mm_mlo!$B$42:$B$863,VALUE(LEFT(A1103,FIND("/",A1103)-1)))</f>
        <v>323.56</v>
      </c>
    </row>
    <row r="1104" spans="1:3" ht="15" customHeight="1">
      <c r="A1104" t="s">
        <v>1167</v>
      </c>
      <c r="B1104" s="15">
        <f>'Temp Dev, C, F'!D1104</f>
        <v>57.073999999999998</v>
      </c>
      <c r="C1104">
        <f>SUMIFS(co2_mm_mlo!$D$42:$D$863,co2_mm_mlo!$A$42:$A$863,VALUE(RIGHT(A1104,4)),co2_mm_mlo!$B$42:$B$863,VALUE(LEFT(A1104,FIND("/",A1104)-1)))</f>
        <v>324.8</v>
      </c>
    </row>
    <row r="1105" spans="1:3" ht="15" customHeight="1">
      <c r="A1105" t="s">
        <v>1168</v>
      </c>
      <c r="B1105" s="15">
        <f>'Temp Dev, C, F'!D1105</f>
        <v>57.055999999999997</v>
      </c>
      <c r="C1105">
        <f>SUMIFS(co2_mm_mlo!$D$42:$D$863,co2_mm_mlo!$A$42:$A$863,VALUE(RIGHT(A1105,4)),co2_mm_mlo!$B$42:$B$863,VALUE(LEFT(A1105,FIND("/",A1105)-1)))</f>
        <v>326.01</v>
      </c>
    </row>
    <row r="1106" spans="1:3" ht="15" customHeight="1">
      <c r="A1106" t="s">
        <v>1169</v>
      </c>
      <c r="B1106" s="15">
        <f>'Temp Dev, C, F'!D1106</f>
        <v>56.804000000000002</v>
      </c>
      <c r="C1106">
        <f>SUMIFS(co2_mm_mlo!$D$42:$D$863,co2_mm_mlo!$A$42:$A$863,VALUE(RIGHT(A1106,4)),co2_mm_mlo!$B$42:$B$863,VALUE(LEFT(A1106,FIND("/",A1106)-1)))</f>
        <v>326.77</v>
      </c>
    </row>
    <row r="1107" spans="1:3" ht="15" customHeight="1">
      <c r="A1107" t="s">
        <v>1170</v>
      </c>
      <c r="B1107" s="15">
        <f>'Temp Dev, C, F'!D1107</f>
        <v>56.876000000000005</v>
      </c>
      <c r="C1107">
        <f>SUMIFS(co2_mm_mlo!$D$42:$D$863,co2_mm_mlo!$A$42:$A$863,VALUE(RIGHT(A1107,4)),co2_mm_mlo!$B$42:$B$863,VALUE(LEFT(A1107,FIND("/",A1107)-1)))</f>
        <v>327.63</v>
      </c>
    </row>
    <row r="1108" spans="1:3" ht="15" customHeight="1">
      <c r="A1108" t="s">
        <v>1171</v>
      </c>
      <c r="B1108" s="15">
        <f>'Temp Dev, C, F'!D1108</f>
        <v>57.253999999999998</v>
      </c>
      <c r="C1108">
        <f>SUMIFS(co2_mm_mlo!$D$42:$D$863,co2_mm_mlo!$A$42:$A$863,VALUE(RIGHT(A1108,4)),co2_mm_mlo!$B$42:$B$863,VALUE(LEFT(A1108,FIND("/",A1108)-1)))</f>
        <v>327.75</v>
      </c>
    </row>
    <row r="1109" spans="1:3" ht="15" customHeight="1">
      <c r="A1109" t="s">
        <v>1172</v>
      </c>
      <c r="B1109" s="15">
        <f>'Temp Dev, C, F'!D1109</f>
        <v>57.2</v>
      </c>
      <c r="C1109">
        <f>SUMIFS(co2_mm_mlo!$D$42:$D$863,co2_mm_mlo!$A$42:$A$863,VALUE(RIGHT(A1109,4)),co2_mm_mlo!$B$42:$B$863,VALUE(LEFT(A1109,FIND("/",A1109)-1)))</f>
        <v>329.72</v>
      </c>
    </row>
    <row r="1110" spans="1:3" ht="15" customHeight="1">
      <c r="A1110" t="s">
        <v>1173</v>
      </c>
      <c r="B1110" s="15">
        <f>'Temp Dev, C, F'!D1110</f>
        <v>57.146000000000001</v>
      </c>
      <c r="C1110">
        <f>SUMIFS(co2_mm_mlo!$D$42:$D$863,co2_mm_mlo!$A$42:$A$863,VALUE(RIGHT(A1110,4)),co2_mm_mlo!$B$42:$B$863,VALUE(LEFT(A1110,FIND("/",A1110)-1)))</f>
        <v>330.07</v>
      </c>
    </row>
    <row r="1111" spans="1:3" ht="15" customHeight="1">
      <c r="A1111" t="s">
        <v>1174</v>
      </c>
      <c r="B1111" s="15">
        <f>'Temp Dev, C, F'!D1111</f>
        <v>57.271999999999998</v>
      </c>
      <c r="C1111">
        <f>SUMIFS(co2_mm_mlo!$D$42:$D$863,co2_mm_mlo!$A$42:$A$863,VALUE(RIGHT(A1111,4)),co2_mm_mlo!$B$42:$B$863,VALUE(LEFT(A1111,FIND("/",A1111)-1)))</f>
        <v>329.09</v>
      </c>
    </row>
    <row r="1112" spans="1:3" ht="15" customHeight="1">
      <c r="A1112" t="s">
        <v>1175</v>
      </c>
      <c r="B1112" s="15">
        <f>'Temp Dev, C, F'!D1112</f>
        <v>57.218000000000004</v>
      </c>
      <c r="C1112">
        <f>SUMIFS(co2_mm_mlo!$D$42:$D$863,co2_mm_mlo!$A$42:$A$863,VALUE(RIGHT(A1112,4)),co2_mm_mlo!$B$42:$B$863,VALUE(LEFT(A1112,FIND("/",A1112)-1)))</f>
        <v>328.04</v>
      </c>
    </row>
    <row r="1113" spans="1:3" ht="15" customHeight="1">
      <c r="A1113" t="s">
        <v>1176</v>
      </c>
      <c r="B1113" s="15">
        <f>'Temp Dev, C, F'!D1113</f>
        <v>57.488</v>
      </c>
      <c r="C1113">
        <f>SUMIFS(co2_mm_mlo!$D$42:$D$863,co2_mm_mlo!$A$42:$A$863,VALUE(RIGHT(A1113,4)),co2_mm_mlo!$B$42:$B$863,VALUE(LEFT(A1113,FIND("/",A1113)-1)))</f>
        <v>326.32</v>
      </c>
    </row>
    <row r="1114" spans="1:3" ht="15" customHeight="1">
      <c r="A1114" t="s">
        <v>1177</v>
      </c>
      <c r="B1114" s="15">
        <f>'Temp Dev, C, F'!D1114</f>
        <v>57.236000000000004</v>
      </c>
      <c r="C1114">
        <f>SUMIFS(co2_mm_mlo!$D$42:$D$863,co2_mm_mlo!$A$42:$A$863,VALUE(RIGHT(A1114,4)),co2_mm_mlo!$B$42:$B$863,VALUE(LEFT(A1114,FIND("/",A1114)-1)))</f>
        <v>324.83999999999997</v>
      </c>
    </row>
    <row r="1115" spans="1:3" ht="15" customHeight="1">
      <c r="A1115" t="s">
        <v>1178</v>
      </c>
      <c r="B1115" s="15">
        <f>'Temp Dev, C, F'!D1115</f>
        <v>57.344000000000001</v>
      </c>
      <c r="C1115">
        <f>SUMIFS(co2_mm_mlo!$D$42:$D$863,co2_mm_mlo!$A$42:$A$863,VALUE(RIGHT(A1115,4)),co2_mm_mlo!$B$42:$B$863,VALUE(LEFT(A1115,FIND("/",A1115)-1)))</f>
        <v>325.2</v>
      </c>
    </row>
    <row r="1116" spans="1:3" ht="15" customHeight="1">
      <c r="A1116" t="s">
        <v>1179</v>
      </c>
      <c r="B1116" s="15">
        <f>'Temp Dev, C, F'!D1116</f>
        <v>57.236000000000004</v>
      </c>
      <c r="C1116">
        <f>SUMIFS(co2_mm_mlo!$D$42:$D$863,co2_mm_mlo!$A$42:$A$863,VALUE(RIGHT(A1116,4)),co2_mm_mlo!$B$42:$B$863,VALUE(LEFT(A1116,FIND("/",A1116)-1)))</f>
        <v>326.5</v>
      </c>
    </row>
    <row r="1117" spans="1:3" ht="15" customHeight="1">
      <c r="A1117" t="s">
        <v>1180</v>
      </c>
      <c r="B1117" s="15">
        <f>'Temp Dev, C, F'!D1117</f>
        <v>57.524000000000001</v>
      </c>
      <c r="C1117">
        <f>SUMIFS(co2_mm_mlo!$D$42:$D$863,co2_mm_mlo!$A$42:$A$863,VALUE(RIGHT(A1117,4)),co2_mm_mlo!$B$42:$B$863,VALUE(LEFT(A1117,FIND("/",A1117)-1)))</f>
        <v>327.55</v>
      </c>
    </row>
    <row r="1118" spans="1:3" ht="15" customHeight="1">
      <c r="A1118" t="s">
        <v>1181</v>
      </c>
      <c r="B1118" s="15">
        <f>'Temp Dev, C, F'!D1118</f>
        <v>57.721999999999994</v>
      </c>
      <c r="C1118">
        <f>SUMIFS(co2_mm_mlo!$D$42:$D$863,co2_mm_mlo!$A$42:$A$863,VALUE(RIGHT(A1118,4)),co2_mm_mlo!$B$42:$B$863,VALUE(LEFT(A1118,FIND("/",A1118)-1)))</f>
        <v>328.55</v>
      </c>
    </row>
    <row r="1119" spans="1:3" ht="15" customHeight="1">
      <c r="A1119" t="s">
        <v>1182</v>
      </c>
      <c r="B1119" s="15">
        <f>'Temp Dev, C, F'!D1119</f>
        <v>57.775999999999996</v>
      </c>
      <c r="C1119">
        <f>SUMIFS(co2_mm_mlo!$D$42:$D$863,co2_mm_mlo!$A$42:$A$863,VALUE(RIGHT(A1119,4)),co2_mm_mlo!$B$42:$B$863,VALUE(LEFT(A1119,FIND("/",A1119)-1)))</f>
        <v>329.57</v>
      </c>
    </row>
    <row r="1120" spans="1:3" ht="15" customHeight="1">
      <c r="A1120" t="s">
        <v>1183</v>
      </c>
      <c r="B1120" s="15">
        <f>'Temp Dev, C, F'!D1120</f>
        <v>57.721999999999994</v>
      </c>
      <c r="C1120">
        <f>SUMIFS(co2_mm_mlo!$D$42:$D$863,co2_mm_mlo!$A$42:$A$863,VALUE(RIGHT(A1120,4)),co2_mm_mlo!$B$42:$B$863,VALUE(LEFT(A1120,FIND("/",A1120)-1)))</f>
        <v>330.3</v>
      </c>
    </row>
    <row r="1121" spans="1:3" ht="15" customHeight="1">
      <c r="A1121" t="s">
        <v>1184</v>
      </c>
      <c r="B1121" s="15">
        <f>'Temp Dev, C, F'!D1121</f>
        <v>57.686</v>
      </c>
      <c r="C1121">
        <f>SUMIFS(co2_mm_mlo!$D$42:$D$863,co2_mm_mlo!$A$42:$A$863,VALUE(RIGHT(A1121,4)),co2_mm_mlo!$B$42:$B$863,VALUE(LEFT(A1121,FIND("/",A1121)-1)))</f>
        <v>331.5</v>
      </c>
    </row>
    <row r="1122" spans="1:3" ht="15" customHeight="1">
      <c r="A1122" t="s">
        <v>1185</v>
      </c>
      <c r="B1122" s="15">
        <f>'Temp Dev, C, F'!D1122</f>
        <v>57.614000000000004</v>
      </c>
      <c r="C1122">
        <f>SUMIFS(co2_mm_mlo!$D$42:$D$863,co2_mm_mlo!$A$42:$A$863,VALUE(RIGHT(A1122,4)),co2_mm_mlo!$B$42:$B$863,VALUE(LEFT(A1122,FIND("/",A1122)-1)))</f>
        <v>332.48</v>
      </c>
    </row>
    <row r="1123" spans="1:3" ht="15" customHeight="1">
      <c r="A1123" t="s">
        <v>1186</v>
      </c>
      <c r="B1123" s="15">
        <f>'Temp Dev, C, F'!D1123</f>
        <v>57.542000000000002</v>
      </c>
      <c r="C1123">
        <f>SUMIFS(co2_mm_mlo!$D$42:$D$863,co2_mm_mlo!$A$42:$A$863,VALUE(RIGHT(A1123,4)),co2_mm_mlo!$B$42:$B$863,VALUE(LEFT(A1123,FIND("/",A1123)-1)))</f>
        <v>332.07</v>
      </c>
    </row>
    <row r="1124" spans="1:3" ht="15" customHeight="1">
      <c r="A1124" t="s">
        <v>1187</v>
      </c>
      <c r="B1124" s="15">
        <f>'Temp Dev, C, F'!D1124</f>
        <v>57.433999999999997</v>
      </c>
      <c r="C1124">
        <f>SUMIFS(co2_mm_mlo!$D$42:$D$863,co2_mm_mlo!$A$42:$A$863,VALUE(RIGHT(A1124,4)),co2_mm_mlo!$B$42:$B$863,VALUE(LEFT(A1124,FIND("/",A1124)-1)))</f>
        <v>330.87</v>
      </c>
    </row>
    <row r="1125" spans="1:3" ht="15" customHeight="1">
      <c r="A1125" t="s">
        <v>1188</v>
      </c>
      <c r="B1125" s="15">
        <f>'Temp Dev, C, F'!D1125</f>
        <v>57.290000000000006</v>
      </c>
      <c r="C1125">
        <f>SUMIFS(co2_mm_mlo!$D$42:$D$863,co2_mm_mlo!$A$42:$A$863,VALUE(RIGHT(A1125,4)),co2_mm_mlo!$B$42:$B$863,VALUE(LEFT(A1125,FIND("/",A1125)-1)))</f>
        <v>329.31</v>
      </c>
    </row>
    <row r="1126" spans="1:3" ht="15" customHeight="1">
      <c r="A1126" t="s">
        <v>1189</v>
      </c>
      <c r="B1126" s="15">
        <f>'Temp Dev, C, F'!D1126</f>
        <v>57.362000000000002</v>
      </c>
      <c r="C1126">
        <f>SUMIFS(co2_mm_mlo!$D$42:$D$863,co2_mm_mlo!$A$42:$A$863,VALUE(RIGHT(A1126,4)),co2_mm_mlo!$B$42:$B$863,VALUE(LEFT(A1126,FIND("/",A1126)-1)))</f>
        <v>327.52</v>
      </c>
    </row>
    <row r="1127" spans="1:3" ht="15" customHeight="1">
      <c r="A1127" t="s">
        <v>1190</v>
      </c>
      <c r="B1127" s="15">
        <f>'Temp Dev, C, F'!D1127</f>
        <v>57.379999999999995</v>
      </c>
      <c r="C1127">
        <f>SUMIFS(co2_mm_mlo!$D$42:$D$863,co2_mm_mlo!$A$42:$A$863,VALUE(RIGHT(A1127,4)),co2_mm_mlo!$B$42:$B$863,VALUE(LEFT(A1127,FIND("/",A1127)-1)))</f>
        <v>327.19</v>
      </c>
    </row>
    <row r="1128" spans="1:3" ht="15" customHeight="1">
      <c r="A1128" t="s">
        <v>1191</v>
      </c>
      <c r="B1128" s="15">
        <f>'Temp Dev, C, F'!D1128</f>
        <v>57.271999999999998</v>
      </c>
      <c r="C1128">
        <f>SUMIFS(co2_mm_mlo!$D$42:$D$863,co2_mm_mlo!$A$42:$A$863,VALUE(RIGHT(A1128,4)),co2_mm_mlo!$B$42:$B$863,VALUE(LEFT(A1128,FIND("/",A1128)-1)))</f>
        <v>328.17</v>
      </c>
    </row>
    <row r="1129" spans="1:3" ht="15" customHeight="1">
      <c r="A1129" t="s">
        <v>1192</v>
      </c>
      <c r="B1129" s="15">
        <f>'Temp Dev, C, F'!D1129</f>
        <v>57.073999999999998</v>
      </c>
      <c r="C1129">
        <f>SUMIFS(co2_mm_mlo!$D$42:$D$863,co2_mm_mlo!$A$42:$A$863,VALUE(RIGHT(A1129,4)),co2_mm_mlo!$B$42:$B$863,VALUE(LEFT(A1129,FIND("/",A1129)-1)))</f>
        <v>328.65</v>
      </c>
    </row>
    <row r="1130" spans="1:3" ht="15" customHeight="1">
      <c r="A1130" t="s">
        <v>1193</v>
      </c>
      <c r="B1130" s="15">
        <f>'Temp Dev, C, F'!D1130</f>
        <v>57.019999999999996</v>
      </c>
      <c r="C1130">
        <f>SUMIFS(co2_mm_mlo!$D$42:$D$863,co2_mm_mlo!$A$42:$A$863,VALUE(RIGHT(A1130,4)),co2_mm_mlo!$B$42:$B$863,VALUE(LEFT(A1130,FIND("/",A1130)-1)))</f>
        <v>329.36</v>
      </c>
    </row>
    <row r="1131" spans="1:3" ht="15" customHeight="1">
      <c r="A1131" t="s">
        <v>1194</v>
      </c>
      <c r="B1131" s="15">
        <f>'Temp Dev, C, F'!D1131</f>
        <v>56.713999999999999</v>
      </c>
      <c r="C1131">
        <f>SUMIFS(co2_mm_mlo!$D$42:$D$863,co2_mm_mlo!$A$42:$A$863,VALUE(RIGHT(A1131,4)),co2_mm_mlo!$B$42:$B$863,VALUE(LEFT(A1131,FIND("/",A1131)-1)))</f>
        <v>330.71</v>
      </c>
    </row>
    <row r="1132" spans="1:3" ht="15" customHeight="1">
      <c r="A1132" t="s">
        <v>1195</v>
      </c>
      <c r="B1132" s="15">
        <f>'Temp Dev, C, F'!D1132</f>
        <v>57.11</v>
      </c>
      <c r="C1132">
        <f>SUMIFS(co2_mm_mlo!$D$42:$D$863,co2_mm_mlo!$A$42:$A$863,VALUE(RIGHT(A1132,4)),co2_mm_mlo!$B$42:$B$863,VALUE(LEFT(A1132,FIND("/",A1132)-1)))</f>
        <v>331.49</v>
      </c>
    </row>
    <row r="1133" spans="1:3" ht="15" customHeight="1">
      <c r="A1133" t="s">
        <v>1196</v>
      </c>
      <c r="B1133" s="15">
        <f>'Temp Dev, C, F'!D1133</f>
        <v>56.984000000000002</v>
      </c>
      <c r="C1133">
        <f>SUMIFS(co2_mm_mlo!$D$42:$D$863,co2_mm_mlo!$A$42:$A$863,VALUE(RIGHT(A1133,4)),co2_mm_mlo!$B$42:$B$863,VALUE(LEFT(A1133,FIND("/",A1133)-1)))</f>
        <v>332.65</v>
      </c>
    </row>
    <row r="1134" spans="1:3" ht="15" customHeight="1">
      <c r="A1134" t="s">
        <v>1197</v>
      </c>
      <c r="B1134" s="15">
        <f>'Temp Dev, C, F'!D1134</f>
        <v>57.128</v>
      </c>
      <c r="C1134">
        <f>SUMIFS(co2_mm_mlo!$D$42:$D$863,co2_mm_mlo!$A$42:$A$863,VALUE(RIGHT(A1134,4)),co2_mm_mlo!$B$42:$B$863,VALUE(LEFT(A1134,FIND("/",A1134)-1)))</f>
        <v>333.19</v>
      </c>
    </row>
    <row r="1135" spans="1:3" ht="15" customHeight="1">
      <c r="A1135" t="s">
        <v>1198</v>
      </c>
      <c r="B1135" s="15">
        <f>'Temp Dev, C, F'!D1135</f>
        <v>57.11</v>
      </c>
      <c r="C1135">
        <f>SUMIFS(co2_mm_mlo!$D$42:$D$863,co2_mm_mlo!$A$42:$A$863,VALUE(RIGHT(A1135,4)),co2_mm_mlo!$B$42:$B$863,VALUE(LEFT(A1135,FIND("/",A1135)-1)))</f>
        <v>332.2</v>
      </c>
    </row>
    <row r="1136" spans="1:3" ht="15" customHeight="1">
      <c r="A1136" t="s">
        <v>1199</v>
      </c>
      <c r="B1136" s="15">
        <f>'Temp Dev, C, F'!D1136</f>
        <v>57.146000000000001</v>
      </c>
      <c r="C1136">
        <f>SUMIFS(co2_mm_mlo!$D$42:$D$863,co2_mm_mlo!$A$42:$A$863,VALUE(RIGHT(A1136,4)),co2_mm_mlo!$B$42:$B$863,VALUE(LEFT(A1136,FIND("/",A1136)-1)))</f>
        <v>331.07</v>
      </c>
    </row>
    <row r="1137" spans="1:3" ht="15" customHeight="1">
      <c r="A1137" t="s">
        <v>1200</v>
      </c>
      <c r="B1137" s="15">
        <f>'Temp Dev, C, F'!D1137</f>
        <v>57.379999999999995</v>
      </c>
      <c r="C1137">
        <f>SUMIFS(co2_mm_mlo!$D$42:$D$863,co2_mm_mlo!$A$42:$A$863,VALUE(RIGHT(A1137,4)),co2_mm_mlo!$B$42:$B$863,VALUE(LEFT(A1137,FIND("/",A1137)-1)))</f>
        <v>329.15</v>
      </c>
    </row>
    <row r="1138" spans="1:3" ht="15" customHeight="1">
      <c r="A1138" t="s">
        <v>1201</v>
      </c>
      <c r="B1138" s="15">
        <f>'Temp Dev, C, F'!D1138</f>
        <v>57.055999999999997</v>
      </c>
      <c r="C1138">
        <f>SUMIFS(co2_mm_mlo!$D$42:$D$863,co2_mm_mlo!$A$42:$A$863,VALUE(RIGHT(A1138,4)),co2_mm_mlo!$B$42:$B$863,VALUE(LEFT(A1138,FIND("/",A1138)-1)))</f>
        <v>327.33</v>
      </c>
    </row>
    <row r="1139" spans="1:3" ht="15" customHeight="1">
      <c r="A1139" t="s">
        <v>1202</v>
      </c>
      <c r="B1139" s="15">
        <f>'Temp Dev, C, F'!D1139</f>
        <v>57.091999999999999</v>
      </c>
      <c r="C1139">
        <f>SUMIFS(co2_mm_mlo!$D$42:$D$863,co2_mm_mlo!$A$42:$A$863,VALUE(RIGHT(A1139,4)),co2_mm_mlo!$B$42:$B$863,VALUE(LEFT(A1139,FIND("/",A1139)-1)))</f>
        <v>327.27999999999997</v>
      </c>
    </row>
    <row r="1140" spans="1:3" ht="15" customHeight="1">
      <c r="A1140" t="s">
        <v>1203</v>
      </c>
      <c r="B1140" s="15">
        <f>'Temp Dev, C, F'!D1140</f>
        <v>57.055999999999997</v>
      </c>
      <c r="C1140">
        <f>SUMIFS(co2_mm_mlo!$D$42:$D$863,co2_mm_mlo!$A$42:$A$863,VALUE(RIGHT(A1140,4)),co2_mm_mlo!$B$42:$B$863,VALUE(LEFT(A1140,FIND("/",A1140)-1)))</f>
        <v>328.31</v>
      </c>
    </row>
    <row r="1141" spans="1:3" ht="15" customHeight="1">
      <c r="A1141" t="s">
        <v>1204</v>
      </c>
      <c r="B1141" s="15">
        <f>'Temp Dev, C, F'!D1141</f>
        <v>57.055999999999997</v>
      </c>
      <c r="C1141">
        <f>SUMIFS(co2_mm_mlo!$D$42:$D$863,co2_mm_mlo!$A$42:$A$863,VALUE(RIGHT(A1141,4)),co2_mm_mlo!$B$42:$B$863,VALUE(LEFT(A1141,FIND("/",A1141)-1)))</f>
        <v>329.58</v>
      </c>
    </row>
    <row r="1142" spans="1:3" ht="15" customHeight="1">
      <c r="A1142" t="s">
        <v>1205</v>
      </c>
      <c r="B1142" s="15">
        <f>'Temp Dev, C, F'!D1142</f>
        <v>57.379999999999995</v>
      </c>
      <c r="C1142">
        <f>SUMIFS(co2_mm_mlo!$D$42:$D$863,co2_mm_mlo!$A$42:$A$863,VALUE(RIGHT(A1142,4)),co2_mm_mlo!$B$42:$B$863,VALUE(LEFT(A1142,FIND("/",A1142)-1)))</f>
        <v>330.73</v>
      </c>
    </row>
    <row r="1143" spans="1:3" ht="15" customHeight="1">
      <c r="A1143" t="s">
        <v>1206</v>
      </c>
      <c r="B1143" s="15">
        <f>'Temp Dev, C, F'!D1143</f>
        <v>57.344000000000001</v>
      </c>
      <c r="C1143">
        <f>SUMIFS(co2_mm_mlo!$D$42:$D$863,co2_mm_mlo!$A$42:$A$863,VALUE(RIGHT(A1143,4)),co2_mm_mlo!$B$42:$B$863,VALUE(LEFT(A1143,FIND("/",A1143)-1)))</f>
        <v>331.46</v>
      </c>
    </row>
    <row r="1144" spans="1:3" ht="15" customHeight="1">
      <c r="A1144" t="s">
        <v>1207</v>
      </c>
      <c r="B1144" s="15">
        <f>'Temp Dev, C, F'!D1144</f>
        <v>57.415999999999997</v>
      </c>
      <c r="C1144">
        <f>SUMIFS(co2_mm_mlo!$D$42:$D$863,co2_mm_mlo!$A$42:$A$863,VALUE(RIGHT(A1144,4)),co2_mm_mlo!$B$42:$B$863,VALUE(LEFT(A1144,FIND("/",A1144)-1)))</f>
        <v>331.94</v>
      </c>
    </row>
    <row r="1145" spans="1:3" ht="15" customHeight="1">
      <c r="A1145" t="s">
        <v>1208</v>
      </c>
      <c r="B1145" s="15">
        <f>'Temp Dev, C, F'!D1145</f>
        <v>57.271999999999998</v>
      </c>
      <c r="C1145">
        <f>SUMIFS(co2_mm_mlo!$D$42:$D$863,co2_mm_mlo!$A$42:$A$863,VALUE(RIGHT(A1145,4)),co2_mm_mlo!$B$42:$B$863,VALUE(LEFT(A1145,FIND("/",A1145)-1)))</f>
        <v>333.11</v>
      </c>
    </row>
    <row r="1146" spans="1:3" ht="15" customHeight="1">
      <c r="A1146" t="s">
        <v>1209</v>
      </c>
      <c r="B1146" s="15">
        <f>'Temp Dev, C, F'!D1146</f>
        <v>57.488</v>
      </c>
      <c r="C1146">
        <f>SUMIFS(co2_mm_mlo!$D$42:$D$863,co2_mm_mlo!$A$42:$A$863,VALUE(RIGHT(A1146,4)),co2_mm_mlo!$B$42:$B$863,VALUE(LEFT(A1146,FIND("/",A1146)-1)))</f>
        <v>333.95</v>
      </c>
    </row>
    <row r="1147" spans="1:3" ht="15" customHeight="1">
      <c r="A1147" t="s">
        <v>1210</v>
      </c>
      <c r="B1147" s="15">
        <f>'Temp Dev, C, F'!D1147</f>
        <v>57.182000000000002</v>
      </c>
      <c r="C1147">
        <f>SUMIFS(co2_mm_mlo!$D$42:$D$863,co2_mm_mlo!$A$42:$A$863,VALUE(RIGHT(A1147,4)),co2_mm_mlo!$B$42:$B$863,VALUE(LEFT(A1147,FIND("/",A1147)-1)))</f>
        <v>333.42</v>
      </c>
    </row>
    <row r="1148" spans="1:3" ht="15" customHeight="1">
      <c r="A1148" t="s">
        <v>1211</v>
      </c>
      <c r="B1148" s="15">
        <f>'Temp Dev, C, F'!D1148</f>
        <v>57.182000000000002</v>
      </c>
      <c r="C1148">
        <f>SUMIFS(co2_mm_mlo!$D$42:$D$863,co2_mm_mlo!$A$42:$A$863,VALUE(RIGHT(A1148,4)),co2_mm_mlo!$B$42:$B$863,VALUE(LEFT(A1148,FIND("/",A1148)-1)))</f>
        <v>331.97</v>
      </c>
    </row>
    <row r="1149" spans="1:3" ht="15" customHeight="1">
      <c r="A1149" t="s">
        <v>1212</v>
      </c>
      <c r="B1149" s="15">
        <f>'Temp Dev, C, F'!D1149</f>
        <v>56.894000000000005</v>
      </c>
      <c r="C1149">
        <f>SUMIFS(co2_mm_mlo!$D$42:$D$863,co2_mm_mlo!$A$42:$A$863,VALUE(RIGHT(A1149,4)),co2_mm_mlo!$B$42:$B$863,VALUE(LEFT(A1149,FIND("/",A1149)-1)))</f>
        <v>329.95</v>
      </c>
    </row>
    <row r="1150" spans="1:3" ht="15" customHeight="1">
      <c r="A1150" t="s">
        <v>1213</v>
      </c>
      <c r="B1150" s="15">
        <f>'Temp Dev, C, F'!D1150</f>
        <v>57.164000000000001</v>
      </c>
      <c r="C1150">
        <f>SUMIFS(co2_mm_mlo!$D$42:$D$863,co2_mm_mlo!$A$42:$A$863,VALUE(RIGHT(A1150,4)),co2_mm_mlo!$B$42:$B$863,VALUE(LEFT(A1150,FIND("/",A1150)-1)))</f>
        <v>328.49</v>
      </c>
    </row>
    <row r="1151" spans="1:3" ht="15" customHeight="1">
      <c r="A1151" t="s">
        <v>1214</v>
      </c>
      <c r="B1151" s="15">
        <f>'Temp Dev, C, F'!D1151</f>
        <v>57.002000000000002</v>
      </c>
      <c r="C1151">
        <f>SUMIFS(co2_mm_mlo!$D$42:$D$863,co2_mm_mlo!$A$42:$A$863,VALUE(RIGHT(A1151,4)),co2_mm_mlo!$B$42:$B$863,VALUE(LEFT(A1151,FIND("/",A1151)-1)))</f>
        <v>328.36</v>
      </c>
    </row>
    <row r="1152" spans="1:3" ht="15" customHeight="1">
      <c r="A1152" t="s">
        <v>1215</v>
      </c>
      <c r="B1152" s="15">
        <f>'Temp Dev, C, F'!D1152</f>
        <v>56.894000000000005</v>
      </c>
      <c r="C1152">
        <f>SUMIFS(co2_mm_mlo!$D$42:$D$863,co2_mm_mlo!$A$42:$A$863,VALUE(RIGHT(A1152,4)),co2_mm_mlo!$B$42:$B$863,VALUE(LEFT(A1152,FIND("/",A1152)-1)))</f>
        <v>329.38</v>
      </c>
    </row>
    <row r="1153" spans="1:3" ht="15" customHeight="1">
      <c r="A1153" t="s">
        <v>1216</v>
      </c>
      <c r="B1153" s="15">
        <f>'Temp Dev, C, F'!D1153</f>
        <v>56.894000000000005</v>
      </c>
      <c r="C1153">
        <f>SUMIFS(co2_mm_mlo!$D$42:$D$863,co2_mm_mlo!$A$42:$A$863,VALUE(RIGHT(A1153,4)),co2_mm_mlo!$B$42:$B$863,VALUE(LEFT(A1153,FIND("/",A1153)-1)))</f>
        <v>330.77</v>
      </c>
    </row>
    <row r="1154" spans="1:3" ht="15" customHeight="1">
      <c r="A1154" t="s">
        <v>1217</v>
      </c>
      <c r="B1154" s="15">
        <f>'Temp Dev, C, F'!D1154</f>
        <v>57.146000000000001</v>
      </c>
      <c r="C1154">
        <f>SUMIFS(co2_mm_mlo!$D$42:$D$863,co2_mm_mlo!$A$42:$A$863,VALUE(RIGHT(A1154,4)),co2_mm_mlo!$B$42:$B$863,VALUE(LEFT(A1154,FIND("/",A1154)-1)))</f>
        <v>331.56</v>
      </c>
    </row>
    <row r="1155" spans="1:3" ht="15" customHeight="1">
      <c r="A1155" t="s">
        <v>1218</v>
      </c>
      <c r="B1155" s="15">
        <f>'Temp Dev, C, F'!D1155</f>
        <v>57.091999999999999</v>
      </c>
      <c r="C1155">
        <f>SUMIFS(co2_mm_mlo!$D$42:$D$863,co2_mm_mlo!$A$42:$A$863,VALUE(RIGHT(A1155,4)),co2_mm_mlo!$B$42:$B$863,VALUE(LEFT(A1155,FIND("/",A1155)-1)))</f>
        <v>332.74</v>
      </c>
    </row>
    <row r="1156" spans="1:3" ht="15" customHeight="1">
      <c r="A1156" t="s">
        <v>1219</v>
      </c>
      <c r="B1156" s="15">
        <f>'Temp Dev, C, F'!D1156</f>
        <v>56.804000000000002</v>
      </c>
      <c r="C1156">
        <f>SUMIFS(co2_mm_mlo!$D$42:$D$863,co2_mm_mlo!$A$42:$A$863,VALUE(RIGHT(A1156,4)),co2_mm_mlo!$B$42:$B$863,VALUE(LEFT(A1156,FIND("/",A1156)-1)))</f>
        <v>333.36</v>
      </c>
    </row>
    <row r="1157" spans="1:3" ht="15" customHeight="1">
      <c r="A1157" t="s">
        <v>1220</v>
      </c>
      <c r="B1157" s="15">
        <f>'Temp Dev, C, F'!D1157</f>
        <v>57.073999999999998</v>
      </c>
      <c r="C1157">
        <f>SUMIFS(co2_mm_mlo!$D$42:$D$863,co2_mm_mlo!$A$42:$A$863,VALUE(RIGHT(A1157,4)),co2_mm_mlo!$B$42:$B$863,VALUE(LEFT(A1157,FIND("/",A1157)-1)))</f>
        <v>334.74</v>
      </c>
    </row>
    <row r="1158" spans="1:3" ht="15" customHeight="1">
      <c r="A1158" t="s">
        <v>1221</v>
      </c>
      <c r="B1158" s="15">
        <f>'Temp Dev, C, F'!D1158</f>
        <v>56.84</v>
      </c>
      <c r="C1158">
        <f>SUMIFS(co2_mm_mlo!$D$42:$D$863,co2_mm_mlo!$A$42:$A$863,VALUE(RIGHT(A1158,4)),co2_mm_mlo!$B$42:$B$863,VALUE(LEFT(A1158,FIND("/",A1158)-1)))</f>
        <v>334.72</v>
      </c>
    </row>
    <row r="1159" spans="1:3" ht="15" customHeight="1">
      <c r="A1159" t="s">
        <v>1222</v>
      </c>
      <c r="B1159" s="15">
        <f>'Temp Dev, C, F'!D1159</f>
        <v>56.984000000000002</v>
      </c>
      <c r="C1159">
        <f>SUMIFS(co2_mm_mlo!$D$42:$D$863,co2_mm_mlo!$A$42:$A$863,VALUE(RIGHT(A1159,4)),co2_mm_mlo!$B$42:$B$863,VALUE(LEFT(A1159,FIND("/",A1159)-1)))</f>
        <v>333.97</v>
      </c>
    </row>
    <row r="1160" spans="1:3" ht="15" customHeight="1">
      <c r="A1160" t="s">
        <v>1223</v>
      </c>
      <c r="B1160" s="15">
        <f>'Temp Dev, C, F'!D1160</f>
        <v>57.019999999999996</v>
      </c>
      <c r="C1160">
        <f>SUMIFS(co2_mm_mlo!$D$42:$D$863,co2_mm_mlo!$A$42:$A$863,VALUE(RIGHT(A1160,4)),co2_mm_mlo!$B$42:$B$863,VALUE(LEFT(A1160,FIND("/",A1160)-1)))</f>
        <v>333.08</v>
      </c>
    </row>
    <row r="1161" spans="1:3" ht="15" customHeight="1">
      <c r="A1161" t="s">
        <v>1224</v>
      </c>
      <c r="B1161" s="15">
        <f>'Temp Dev, C, F'!D1161</f>
        <v>56.984000000000002</v>
      </c>
      <c r="C1161">
        <f>SUMIFS(co2_mm_mlo!$D$42:$D$863,co2_mm_mlo!$A$42:$A$863,VALUE(RIGHT(A1161,4)),co2_mm_mlo!$B$42:$B$863,VALUE(LEFT(A1161,FIND("/",A1161)-1)))</f>
        <v>330.68</v>
      </c>
    </row>
    <row r="1162" spans="1:3" ht="15" customHeight="1">
      <c r="A1162" t="s">
        <v>1225</v>
      </c>
      <c r="B1162" s="15">
        <f>'Temp Dev, C, F'!D1162</f>
        <v>57.091999999999999</v>
      </c>
      <c r="C1162">
        <f>SUMIFS(co2_mm_mlo!$D$42:$D$863,co2_mm_mlo!$A$42:$A$863,VALUE(RIGHT(A1162,4)),co2_mm_mlo!$B$42:$B$863,VALUE(LEFT(A1162,FIND("/",A1162)-1)))</f>
        <v>328.96</v>
      </c>
    </row>
    <row r="1163" spans="1:3" ht="15" customHeight="1">
      <c r="A1163" t="s">
        <v>1226</v>
      </c>
      <c r="B1163" s="15">
        <f>'Temp Dev, C, F'!D1163</f>
        <v>56.768000000000001</v>
      </c>
      <c r="C1163">
        <f>SUMIFS(co2_mm_mlo!$D$42:$D$863,co2_mm_mlo!$A$42:$A$863,VALUE(RIGHT(A1163,4)),co2_mm_mlo!$B$42:$B$863,VALUE(LEFT(A1163,FIND("/",A1163)-1)))</f>
        <v>328.72</v>
      </c>
    </row>
    <row r="1164" spans="1:3" ht="15" customHeight="1">
      <c r="A1164" t="s">
        <v>1227</v>
      </c>
      <c r="B1164" s="15">
        <f>'Temp Dev, C, F'!D1164</f>
        <v>57.091999999999999</v>
      </c>
      <c r="C1164">
        <f>SUMIFS(co2_mm_mlo!$D$42:$D$863,co2_mm_mlo!$A$42:$A$863,VALUE(RIGHT(A1164,4)),co2_mm_mlo!$B$42:$B$863,VALUE(LEFT(A1164,FIND("/",A1164)-1)))</f>
        <v>330.16</v>
      </c>
    </row>
    <row r="1165" spans="1:3" ht="15" customHeight="1">
      <c r="A1165" t="s">
        <v>1228</v>
      </c>
      <c r="B1165" s="15">
        <f>'Temp Dev, C, F'!D1165</f>
        <v>57.397999999999996</v>
      </c>
      <c r="C1165">
        <f>SUMIFS(co2_mm_mlo!$D$42:$D$863,co2_mm_mlo!$A$42:$A$863,VALUE(RIGHT(A1165,4)),co2_mm_mlo!$B$42:$B$863,VALUE(LEFT(A1165,FIND("/",A1165)-1)))</f>
        <v>331.62</v>
      </c>
    </row>
    <row r="1166" spans="1:3" ht="15" customHeight="1">
      <c r="A1166" t="s">
        <v>1229</v>
      </c>
      <c r="B1166" s="15">
        <f>'Temp Dev, C, F'!D1166</f>
        <v>57.542000000000002</v>
      </c>
      <c r="C1166">
        <f>SUMIFS(co2_mm_mlo!$D$42:$D$863,co2_mm_mlo!$A$42:$A$863,VALUE(RIGHT(A1166,4)),co2_mm_mlo!$B$42:$B$863,VALUE(LEFT(A1166,FIND("/",A1166)-1)))</f>
        <v>332.68</v>
      </c>
    </row>
    <row r="1167" spans="1:3" ht="15" customHeight="1">
      <c r="A1167" t="s">
        <v>1230</v>
      </c>
      <c r="B1167" s="15">
        <f>'Temp Dev, C, F'!D1167</f>
        <v>57.614000000000004</v>
      </c>
      <c r="C1167">
        <f>SUMIFS(co2_mm_mlo!$D$42:$D$863,co2_mm_mlo!$A$42:$A$863,VALUE(RIGHT(A1167,4)),co2_mm_mlo!$B$42:$B$863,VALUE(LEFT(A1167,FIND("/",A1167)-1)))</f>
        <v>333.17</v>
      </c>
    </row>
    <row r="1168" spans="1:3" ht="15" customHeight="1">
      <c r="A1168" t="s">
        <v>1231</v>
      </c>
      <c r="B1168" s="15">
        <f>'Temp Dev, C, F'!D1168</f>
        <v>57.632000000000005</v>
      </c>
      <c r="C1168">
        <f>SUMIFS(co2_mm_mlo!$D$42:$D$863,co2_mm_mlo!$A$42:$A$863,VALUE(RIGHT(A1168,4)),co2_mm_mlo!$B$42:$B$863,VALUE(LEFT(A1168,FIND("/",A1168)-1)))</f>
        <v>334.96</v>
      </c>
    </row>
    <row r="1169" spans="1:3" ht="15" customHeight="1">
      <c r="A1169" t="s">
        <v>1232</v>
      </c>
      <c r="B1169" s="15">
        <f>'Temp Dev, C, F'!D1169</f>
        <v>57.667999999999999</v>
      </c>
      <c r="C1169">
        <f>SUMIFS(co2_mm_mlo!$D$42:$D$863,co2_mm_mlo!$A$42:$A$863,VALUE(RIGHT(A1169,4)),co2_mm_mlo!$B$42:$B$863,VALUE(LEFT(A1169,FIND("/",A1169)-1)))</f>
        <v>336.14</v>
      </c>
    </row>
    <row r="1170" spans="1:3" ht="15" customHeight="1">
      <c r="A1170" t="s">
        <v>1233</v>
      </c>
      <c r="B1170" s="15">
        <f>'Temp Dev, C, F'!D1170</f>
        <v>57.793999999999997</v>
      </c>
      <c r="C1170">
        <f>SUMIFS(co2_mm_mlo!$D$42:$D$863,co2_mm_mlo!$A$42:$A$863,VALUE(RIGHT(A1170,4)),co2_mm_mlo!$B$42:$B$863,VALUE(LEFT(A1170,FIND("/",A1170)-1)))</f>
        <v>336.93</v>
      </c>
    </row>
    <row r="1171" spans="1:3" ht="15" customHeight="1">
      <c r="A1171" t="s">
        <v>1234</v>
      </c>
      <c r="B1171" s="15">
        <f>'Temp Dev, C, F'!D1171</f>
        <v>57.686</v>
      </c>
      <c r="C1171">
        <f>SUMIFS(co2_mm_mlo!$D$42:$D$863,co2_mm_mlo!$A$42:$A$863,VALUE(RIGHT(A1171,4)),co2_mm_mlo!$B$42:$B$863,VALUE(LEFT(A1171,FIND("/",A1171)-1)))</f>
        <v>336.17</v>
      </c>
    </row>
    <row r="1172" spans="1:3" ht="15" customHeight="1">
      <c r="A1172" t="s">
        <v>1235</v>
      </c>
      <c r="B1172" s="15">
        <f>'Temp Dev, C, F'!D1172</f>
        <v>57.56</v>
      </c>
      <c r="C1172">
        <f>SUMIFS(co2_mm_mlo!$D$42:$D$863,co2_mm_mlo!$A$42:$A$863,VALUE(RIGHT(A1172,4)),co2_mm_mlo!$B$42:$B$863,VALUE(LEFT(A1172,FIND("/",A1172)-1)))</f>
        <v>334.89</v>
      </c>
    </row>
    <row r="1173" spans="1:3" ht="15" customHeight="1">
      <c r="A1173" t="s">
        <v>1236</v>
      </c>
      <c r="B1173" s="15">
        <f>'Temp Dev, C, F'!D1173</f>
        <v>57.524000000000001</v>
      </c>
      <c r="C1173">
        <f>SUMIFS(co2_mm_mlo!$D$42:$D$863,co2_mm_mlo!$A$42:$A$863,VALUE(RIGHT(A1173,4)),co2_mm_mlo!$B$42:$B$863,VALUE(LEFT(A1173,FIND("/",A1173)-1)))</f>
        <v>332.56</v>
      </c>
    </row>
    <row r="1174" spans="1:3" ht="15" customHeight="1">
      <c r="A1174" t="s">
        <v>1237</v>
      </c>
      <c r="B1174" s="15">
        <f>'Temp Dev, C, F'!D1174</f>
        <v>57.236000000000004</v>
      </c>
      <c r="C1174">
        <f>SUMIFS(co2_mm_mlo!$D$42:$D$863,co2_mm_mlo!$A$42:$A$863,VALUE(RIGHT(A1174,4)),co2_mm_mlo!$B$42:$B$863,VALUE(LEFT(A1174,FIND("/",A1174)-1)))</f>
        <v>331.29</v>
      </c>
    </row>
    <row r="1175" spans="1:3" ht="15" customHeight="1">
      <c r="A1175" t="s">
        <v>1238</v>
      </c>
      <c r="B1175" s="15">
        <f>'Temp Dev, C, F'!D1175</f>
        <v>57.253999999999998</v>
      </c>
      <c r="C1175">
        <f>SUMIFS(co2_mm_mlo!$D$42:$D$863,co2_mm_mlo!$A$42:$A$863,VALUE(RIGHT(A1175,4)),co2_mm_mlo!$B$42:$B$863,VALUE(LEFT(A1175,FIND("/",A1175)-1)))</f>
        <v>331.28</v>
      </c>
    </row>
    <row r="1176" spans="1:3" ht="15" customHeight="1">
      <c r="A1176" t="s">
        <v>1239</v>
      </c>
      <c r="B1176" s="15">
        <f>'Temp Dev, C, F'!D1176</f>
        <v>57.488</v>
      </c>
      <c r="C1176">
        <f>SUMIFS(co2_mm_mlo!$D$42:$D$863,co2_mm_mlo!$A$42:$A$863,VALUE(RIGHT(A1176,4)),co2_mm_mlo!$B$42:$B$863,VALUE(LEFT(A1176,FIND("/",A1176)-1)))</f>
        <v>332.46</v>
      </c>
    </row>
    <row r="1177" spans="1:3" ht="15" customHeight="1">
      <c r="A1177" t="s">
        <v>1240</v>
      </c>
      <c r="B1177" s="15">
        <f>'Temp Dev, C, F'!D1177</f>
        <v>57.253999999999998</v>
      </c>
      <c r="C1177">
        <f>SUMIFS(co2_mm_mlo!$D$42:$D$863,co2_mm_mlo!$A$42:$A$863,VALUE(RIGHT(A1177,4)),co2_mm_mlo!$B$42:$B$863,VALUE(LEFT(A1177,FIND("/",A1177)-1)))</f>
        <v>333.6</v>
      </c>
    </row>
    <row r="1178" spans="1:3" ht="15" customHeight="1">
      <c r="A1178" t="s">
        <v>1241</v>
      </c>
      <c r="B1178" s="15">
        <f>'Temp Dev, C, F'!D1178</f>
        <v>57.308</v>
      </c>
      <c r="C1178">
        <f>SUMIFS(co2_mm_mlo!$D$42:$D$863,co2_mm_mlo!$A$42:$A$863,VALUE(RIGHT(A1178,4)),co2_mm_mlo!$B$42:$B$863,VALUE(LEFT(A1178,FIND("/",A1178)-1)))</f>
        <v>334.94</v>
      </c>
    </row>
    <row r="1179" spans="1:3" ht="15" customHeight="1">
      <c r="A1179" t="s">
        <v>1242</v>
      </c>
      <c r="B1179" s="15">
        <f>'Temp Dev, C, F'!D1179</f>
        <v>57.379999999999995</v>
      </c>
      <c r="C1179">
        <f>SUMIFS(co2_mm_mlo!$D$42:$D$863,co2_mm_mlo!$A$42:$A$863,VALUE(RIGHT(A1179,4)),co2_mm_mlo!$B$42:$B$863,VALUE(LEFT(A1179,FIND("/",A1179)-1)))</f>
        <v>335.26</v>
      </c>
    </row>
    <row r="1180" spans="1:3" ht="15" customHeight="1">
      <c r="A1180" t="s">
        <v>1243</v>
      </c>
      <c r="B1180" s="15">
        <f>'Temp Dev, C, F'!D1180</f>
        <v>57.542000000000002</v>
      </c>
      <c r="C1180">
        <f>SUMIFS(co2_mm_mlo!$D$42:$D$863,co2_mm_mlo!$A$42:$A$863,VALUE(RIGHT(A1180,4)),co2_mm_mlo!$B$42:$B$863,VALUE(LEFT(A1180,FIND("/",A1180)-1)))</f>
        <v>336.66</v>
      </c>
    </row>
    <row r="1181" spans="1:3" ht="15" customHeight="1">
      <c r="A1181" t="s">
        <v>1244</v>
      </c>
      <c r="B1181" s="15">
        <f>'Temp Dev, C, F'!D1181</f>
        <v>57.506</v>
      </c>
      <c r="C1181">
        <f>SUMIFS(co2_mm_mlo!$D$42:$D$863,co2_mm_mlo!$A$42:$A$863,VALUE(RIGHT(A1181,4)),co2_mm_mlo!$B$42:$B$863,VALUE(LEFT(A1181,FIND("/",A1181)-1)))</f>
        <v>337.69</v>
      </c>
    </row>
    <row r="1182" spans="1:3" ht="15" customHeight="1">
      <c r="A1182" t="s">
        <v>1245</v>
      </c>
      <c r="B1182" s="15">
        <f>'Temp Dev, C, F'!D1182</f>
        <v>57.362000000000002</v>
      </c>
      <c r="C1182">
        <f>SUMIFS(co2_mm_mlo!$D$42:$D$863,co2_mm_mlo!$A$42:$A$863,VALUE(RIGHT(A1182,4)),co2_mm_mlo!$B$42:$B$863,VALUE(LEFT(A1182,FIND("/",A1182)-1)))</f>
        <v>338.02</v>
      </c>
    </row>
    <row r="1183" spans="1:3" ht="15" customHeight="1">
      <c r="A1183" t="s">
        <v>1246</v>
      </c>
      <c r="B1183" s="15">
        <f>'Temp Dev, C, F'!D1183</f>
        <v>57.182000000000002</v>
      </c>
      <c r="C1183">
        <f>SUMIFS(co2_mm_mlo!$D$42:$D$863,co2_mm_mlo!$A$42:$A$863,VALUE(RIGHT(A1183,4)),co2_mm_mlo!$B$42:$B$863,VALUE(LEFT(A1183,FIND("/",A1183)-1)))</f>
        <v>338.01</v>
      </c>
    </row>
    <row r="1184" spans="1:3" ht="15" customHeight="1">
      <c r="A1184" t="s">
        <v>1247</v>
      </c>
      <c r="B1184" s="15">
        <f>'Temp Dev, C, F'!D1184</f>
        <v>57.271999999999998</v>
      </c>
      <c r="C1184">
        <f>SUMIFS(co2_mm_mlo!$D$42:$D$863,co2_mm_mlo!$A$42:$A$863,VALUE(RIGHT(A1184,4)),co2_mm_mlo!$B$42:$B$863,VALUE(LEFT(A1184,FIND("/",A1184)-1)))</f>
        <v>336.5</v>
      </c>
    </row>
    <row r="1185" spans="1:3" ht="15" customHeight="1">
      <c r="A1185" t="s">
        <v>1248</v>
      </c>
      <c r="B1185" s="15">
        <f>'Temp Dev, C, F'!D1185</f>
        <v>56.948</v>
      </c>
      <c r="C1185">
        <f>SUMIFS(co2_mm_mlo!$D$42:$D$863,co2_mm_mlo!$A$42:$A$863,VALUE(RIGHT(A1185,4)),co2_mm_mlo!$B$42:$B$863,VALUE(LEFT(A1185,FIND("/",A1185)-1)))</f>
        <v>334.42</v>
      </c>
    </row>
    <row r="1186" spans="1:3" ht="15" customHeight="1">
      <c r="A1186" t="s">
        <v>1249</v>
      </c>
      <c r="B1186" s="15">
        <f>'Temp Dev, C, F'!D1186</f>
        <v>57.308</v>
      </c>
      <c r="C1186">
        <f>SUMIFS(co2_mm_mlo!$D$42:$D$863,co2_mm_mlo!$A$42:$A$863,VALUE(RIGHT(A1186,4)),co2_mm_mlo!$B$42:$B$863,VALUE(LEFT(A1186,FIND("/",A1186)-1)))</f>
        <v>332.36</v>
      </c>
    </row>
    <row r="1187" spans="1:3" ht="15" customHeight="1">
      <c r="A1187" t="s">
        <v>1250</v>
      </c>
      <c r="B1187" s="15">
        <f>'Temp Dev, C, F'!D1187</f>
        <v>57.253999999999998</v>
      </c>
      <c r="C1187">
        <f>SUMIFS(co2_mm_mlo!$D$42:$D$863,co2_mm_mlo!$A$42:$A$863,VALUE(RIGHT(A1187,4)),co2_mm_mlo!$B$42:$B$863,VALUE(LEFT(A1187,FIND("/",A1187)-1)))</f>
        <v>332.45</v>
      </c>
    </row>
    <row r="1188" spans="1:3" ht="15" customHeight="1">
      <c r="A1188" t="s">
        <v>1251</v>
      </c>
      <c r="B1188" s="15">
        <f>'Temp Dev, C, F'!D1188</f>
        <v>57.433999999999997</v>
      </c>
      <c r="C1188">
        <f>SUMIFS(co2_mm_mlo!$D$42:$D$863,co2_mm_mlo!$A$42:$A$863,VALUE(RIGHT(A1188,4)),co2_mm_mlo!$B$42:$B$863,VALUE(LEFT(A1188,FIND("/",A1188)-1)))</f>
        <v>333.76</v>
      </c>
    </row>
    <row r="1189" spans="1:3" ht="15" customHeight="1">
      <c r="A1189" t="s">
        <v>1252</v>
      </c>
      <c r="B1189" s="15">
        <f>'Temp Dev, C, F'!D1189</f>
        <v>57.344000000000001</v>
      </c>
      <c r="C1189">
        <f>SUMIFS(co2_mm_mlo!$D$42:$D$863,co2_mm_mlo!$A$42:$A$863,VALUE(RIGHT(A1189,4)),co2_mm_mlo!$B$42:$B$863,VALUE(LEFT(A1189,FIND("/",A1189)-1)))</f>
        <v>334.91</v>
      </c>
    </row>
    <row r="1190" spans="1:3" ht="15" customHeight="1">
      <c r="A1190" t="s">
        <v>1253</v>
      </c>
      <c r="B1190" s="15">
        <f>'Temp Dev, C, F'!D1190</f>
        <v>57.362000000000002</v>
      </c>
      <c r="C1190">
        <f>SUMIFS(co2_mm_mlo!$D$42:$D$863,co2_mm_mlo!$A$42:$A$863,VALUE(RIGHT(A1190,4)),co2_mm_mlo!$B$42:$B$863,VALUE(LEFT(A1190,FIND("/",A1190)-1)))</f>
        <v>336.14</v>
      </c>
    </row>
    <row r="1191" spans="1:3" ht="15" customHeight="1">
      <c r="A1191" t="s">
        <v>1254</v>
      </c>
      <c r="B1191" s="15">
        <f>'Temp Dev, C, F'!D1191</f>
        <v>57.019999999999996</v>
      </c>
      <c r="C1191">
        <f>SUMIFS(co2_mm_mlo!$D$42:$D$863,co2_mm_mlo!$A$42:$A$863,VALUE(RIGHT(A1191,4)),co2_mm_mlo!$B$42:$B$863,VALUE(LEFT(A1191,FIND("/",A1191)-1)))</f>
        <v>336.69</v>
      </c>
    </row>
    <row r="1192" spans="1:3" ht="15" customHeight="1">
      <c r="A1192" t="s">
        <v>1255</v>
      </c>
      <c r="B1192" s="15">
        <f>'Temp Dev, C, F'!D1192</f>
        <v>57.542000000000002</v>
      </c>
      <c r="C1192">
        <f>SUMIFS(co2_mm_mlo!$D$42:$D$863,co2_mm_mlo!$A$42:$A$863,VALUE(RIGHT(A1192,4)),co2_mm_mlo!$B$42:$B$863,VALUE(LEFT(A1192,FIND("/",A1192)-1)))</f>
        <v>338.27</v>
      </c>
    </row>
    <row r="1193" spans="1:3" ht="15" customHeight="1">
      <c r="A1193" t="s">
        <v>1256</v>
      </c>
      <c r="B1193" s="15">
        <f>'Temp Dev, C, F'!D1193</f>
        <v>57.47</v>
      </c>
      <c r="C1193">
        <f>SUMIFS(co2_mm_mlo!$D$42:$D$863,co2_mm_mlo!$A$42:$A$863,VALUE(RIGHT(A1193,4)),co2_mm_mlo!$B$42:$B$863,VALUE(LEFT(A1193,FIND("/",A1193)-1)))</f>
        <v>338.82</v>
      </c>
    </row>
    <row r="1194" spans="1:3" ht="15" customHeight="1">
      <c r="A1194" t="s">
        <v>1257</v>
      </c>
      <c r="B1194" s="15">
        <f>'Temp Dev, C, F'!D1194</f>
        <v>57.253999999999998</v>
      </c>
      <c r="C1194">
        <f>SUMIFS(co2_mm_mlo!$D$42:$D$863,co2_mm_mlo!$A$42:$A$863,VALUE(RIGHT(A1194,4)),co2_mm_mlo!$B$42:$B$863,VALUE(LEFT(A1194,FIND("/",A1194)-1)))</f>
        <v>339.24</v>
      </c>
    </row>
    <row r="1195" spans="1:3" ht="15" customHeight="1">
      <c r="A1195" t="s">
        <v>1258</v>
      </c>
      <c r="B1195" s="15">
        <f>'Temp Dev, C, F'!D1195</f>
        <v>57.451999999999998</v>
      </c>
      <c r="C1195">
        <f>SUMIFS(co2_mm_mlo!$D$42:$D$863,co2_mm_mlo!$A$42:$A$863,VALUE(RIGHT(A1195,4)),co2_mm_mlo!$B$42:$B$863,VALUE(LEFT(A1195,FIND("/",A1195)-1)))</f>
        <v>339.26</v>
      </c>
    </row>
    <row r="1196" spans="1:3" ht="15" customHeight="1">
      <c r="A1196" t="s">
        <v>1259</v>
      </c>
      <c r="B1196" s="15">
        <f>'Temp Dev, C, F'!D1196</f>
        <v>57.271999999999998</v>
      </c>
      <c r="C1196">
        <f>SUMIFS(co2_mm_mlo!$D$42:$D$863,co2_mm_mlo!$A$42:$A$863,VALUE(RIGHT(A1196,4)),co2_mm_mlo!$B$42:$B$863,VALUE(LEFT(A1196,FIND("/",A1196)-1)))</f>
        <v>337.54</v>
      </c>
    </row>
    <row r="1197" spans="1:3" ht="15" customHeight="1">
      <c r="A1197" t="s">
        <v>1260</v>
      </c>
      <c r="B1197" s="15">
        <f>'Temp Dev, C, F'!D1197</f>
        <v>57.506</v>
      </c>
      <c r="C1197">
        <f>SUMIFS(co2_mm_mlo!$D$42:$D$863,co2_mm_mlo!$A$42:$A$863,VALUE(RIGHT(A1197,4)),co2_mm_mlo!$B$42:$B$863,VALUE(LEFT(A1197,FIND("/",A1197)-1)))</f>
        <v>335.72</v>
      </c>
    </row>
    <row r="1198" spans="1:3" ht="15" customHeight="1">
      <c r="A1198" t="s">
        <v>1261</v>
      </c>
      <c r="B1198" s="15">
        <f>'Temp Dev, C, F'!D1198</f>
        <v>57.650000000000006</v>
      </c>
      <c r="C1198">
        <f>SUMIFS(co2_mm_mlo!$D$42:$D$863,co2_mm_mlo!$A$42:$A$863,VALUE(RIGHT(A1198,4)),co2_mm_mlo!$B$42:$B$863,VALUE(LEFT(A1198,FIND("/",A1198)-1)))</f>
        <v>333.97</v>
      </c>
    </row>
    <row r="1199" spans="1:3" ht="15" customHeight="1">
      <c r="A1199" t="s">
        <v>1262</v>
      </c>
      <c r="B1199" s="15">
        <f>'Temp Dev, C, F'!D1199</f>
        <v>57.667999999999999</v>
      </c>
      <c r="C1199">
        <f>SUMIFS(co2_mm_mlo!$D$42:$D$863,co2_mm_mlo!$A$42:$A$863,VALUE(RIGHT(A1199,4)),co2_mm_mlo!$B$42:$B$863,VALUE(LEFT(A1199,FIND("/",A1199)-1)))</f>
        <v>334.24</v>
      </c>
    </row>
    <row r="1200" spans="1:3" ht="15" customHeight="1">
      <c r="A1200" t="s">
        <v>1263</v>
      </c>
      <c r="B1200" s="15">
        <f>'Temp Dev, C, F'!D1200</f>
        <v>57.704000000000001</v>
      </c>
      <c r="C1200">
        <f>SUMIFS(co2_mm_mlo!$D$42:$D$863,co2_mm_mlo!$A$42:$A$863,VALUE(RIGHT(A1200,4)),co2_mm_mlo!$B$42:$B$863,VALUE(LEFT(A1200,FIND("/",A1200)-1)))</f>
        <v>335.32</v>
      </c>
    </row>
    <row r="1201" spans="1:3" ht="15" customHeight="1">
      <c r="A1201" t="s">
        <v>1264</v>
      </c>
      <c r="B1201" s="15">
        <f>'Temp Dev, C, F'!D1201</f>
        <v>58.046000000000006</v>
      </c>
      <c r="C1201">
        <f>SUMIFS(co2_mm_mlo!$D$42:$D$863,co2_mm_mlo!$A$42:$A$863,VALUE(RIGHT(A1201,4)),co2_mm_mlo!$B$42:$B$863,VALUE(LEFT(A1201,FIND("/",A1201)-1)))</f>
        <v>336.81</v>
      </c>
    </row>
    <row r="1202" spans="1:3" ht="15" customHeight="1">
      <c r="A1202" t="s">
        <v>1265</v>
      </c>
      <c r="B1202" s="15">
        <f>'Temp Dev, C, F'!D1202</f>
        <v>57.74</v>
      </c>
      <c r="C1202">
        <f>SUMIFS(co2_mm_mlo!$D$42:$D$863,co2_mm_mlo!$A$42:$A$863,VALUE(RIGHT(A1202,4)),co2_mm_mlo!$B$42:$B$863,VALUE(LEFT(A1202,FIND("/",A1202)-1)))</f>
        <v>337.9</v>
      </c>
    </row>
    <row r="1203" spans="1:3" ht="15" customHeight="1">
      <c r="A1203" t="s">
        <v>1266</v>
      </c>
      <c r="B1203" s="15">
        <f>'Temp Dev, C, F'!D1203</f>
        <v>57.902000000000001</v>
      </c>
      <c r="C1203">
        <f>SUMIFS(co2_mm_mlo!$D$42:$D$863,co2_mm_mlo!$A$42:$A$863,VALUE(RIGHT(A1203,4)),co2_mm_mlo!$B$42:$B$863,VALUE(LEFT(A1203,FIND("/",A1203)-1)))</f>
        <v>338.34</v>
      </c>
    </row>
    <row r="1204" spans="1:3" ht="15" customHeight="1">
      <c r="A1204" t="s">
        <v>1267</v>
      </c>
      <c r="B1204" s="15">
        <f>'Temp Dev, C, F'!D1204</f>
        <v>57.721999999999994</v>
      </c>
      <c r="C1204">
        <f>SUMIFS(co2_mm_mlo!$D$42:$D$863,co2_mm_mlo!$A$42:$A$863,VALUE(RIGHT(A1204,4)),co2_mm_mlo!$B$42:$B$863,VALUE(LEFT(A1204,FIND("/",A1204)-1)))</f>
        <v>340.07</v>
      </c>
    </row>
    <row r="1205" spans="1:3" ht="15" customHeight="1">
      <c r="A1205" t="s">
        <v>1268</v>
      </c>
      <c r="B1205" s="15">
        <f>'Temp Dev, C, F'!D1205</f>
        <v>57.74</v>
      </c>
      <c r="C1205">
        <f>SUMIFS(co2_mm_mlo!$D$42:$D$863,co2_mm_mlo!$A$42:$A$863,VALUE(RIGHT(A1205,4)),co2_mm_mlo!$B$42:$B$863,VALUE(LEFT(A1205,FIND("/",A1205)-1)))</f>
        <v>340.93</v>
      </c>
    </row>
    <row r="1206" spans="1:3" ht="15" customHeight="1">
      <c r="A1206" t="s">
        <v>1269</v>
      </c>
      <c r="B1206" s="15">
        <f>'Temp Dev, C, F'!D1206</f>
        <v>57.83</v>
      </c>
      <c r="C1206">
        <f>SUMIFS(co2_mm_mlo!$D$42:$D$863,co2_mm_mlo!$A$42:$A$863,VALUE(RIGHT(A1206,4)),co2_mm_mlo!$B$42:$B$863,VALUE(LEFT(A1206,FIND("/",A1206)-1)))</f>
        <v>341.45</v>
      </c>
    </row>
    <row r="1207" spans="1:3" ht="15" customHeight="1">
      <c r="A1207" t="s">
        <v>1270</v>
      </c>
      <c r="B1207" s="15">
        <f>'Temp Dev, C, F'!D1207</f>
        <v>57.56</v>
      </c>
      <c r="C1207">
        <f>SUMIFS(co2_mm_mlo!$D$42:$D$863,co2_mm_mlo!$A$42:$A$863,VALUE(RIGHT(A1207,4)),co2_mm_mlo!$B$42:$B$863,VALUE(LEFT(A1207,FIND("/",A1207)-1)))</f>
        <v>341.36</v>
      </c>
    </row>
    <row r="1208" spans="1:3" ht="15" customHeight="1">
      <c r="A1208" t="s">
        <v>1271</v>
      </c>
      <c r="B1208" s="15">
        <f>'Temp Dev, C, F'!D1208</f>
        <v>57.596000000000004</v>
      </c>
      <c r="C1208">
        <f>SUMIFS(co2_mm_mlo!$D$42:$D$863,co2_mm_mlo!$A$42:$A$863,VALUE(RIGHT(A1208,4)),co2_mm_mlo!$B$42:$B$863,VALUE(LEFT(A1208,FIND("/",A1208)-1)))</f>
        <v>339.45</v>
      </c>
    </row>
    <row r="1209" spans="1:3" ht="15" customHeight="1">
      <c r="A1209" t="s">
        <v>1272</v>
      </c>
      <c r="B1209" s="15">
        <f>'Temp Dev, C, F'!D1209</f>
        <v>57.524000000000001</v>
      </c>
      <c r="C1209">
        <f>SUMIFS(co2_mm_mlo!$D$42:$D$863,co2_mm_mlo!$A$42:$A$863,VALUE(RIGHT(A1209,4)),co2_mm_mlo!$B$42:$B$863,VALUE(LEFT(A1209,FIND("/",A1209)-1)))</f>
        <v>337.67</v>
      </c>
    </row>
    <row r="1210" spans="1:3" ht="15" customHeight="1">
      <c r="A1210" t="s">
        <v>1273</v>
      </c>
      <c r="B1210" s="15">
        <f>'Temp Dev, C, F'!D1210</f>
        <v>57.56</v>
      </c>
      <c r="C1210">
        <f>SUMIFS(co2_mm_mlo!$D$42:$D$863,co2_mm_mlo!$A$42:$A$863,VALUE(RIGHT(A1210,4)),co2_mm_mlo!$B$42:$B$863,VALUE(LEFT(A1210,FIND("/",A1210)-1)))</f>
        <v>336.25</v>
      </c>
    </row>
    <row r="1211" spans="1:3" ht="15" customHeight="1">
      <c r="A1211" t="s">
        <v>1274</v>
      </c>
      <c r="B1211" s="15">
        <f>'Temp Dev, C, F'!D1211</f>
        <v>57.433999999999997</v>
      </c>
      <c r="C1211">
        <f>SUMIFS(co2_mm_mlo!$D$42:$D$863,co2_mm_mlo!$A$42:$A$863,VALUE(RIGHT(A1211,4)),co2_mm_mlo!$B$42:$B$863,VALUE(LEFT(A1211,FIND("/",A1211)-1)))</f>
        <v>336.14</v>
      </c>
    </row>
    <row r="1212" spans="1:3" ht="15" customHeight="1">
      <c r="A1212" t="s">
        <v>1275</v>
      </c>
      <c r="B1212" s="15">
        <f>'Temp Dev, C, F'!D1212</f>
        <v>57.74</v>
      </c>
      <c r="C1212">
        <f>SUMIFS(co2_mm_mlo!$D$42:$D$863,co2_mm_mlo!$A$42:$A$863,VALUE(RIGHT(A1212,4)),co2_mm_mlo!$B$42:$B$863,VALUE(LEFT(A1212,FIND("/",A1212)-1)))</f>
        <v>337.3</v>
      </c>
    </row>
    <row r="1213" spans="1:3" ht="15" customHeight="1">
      <c r="A1213" t="s">
        <v>1276</v>
      </c>
      <c r="B1213" s="15">
        <f>'Temp Dev, C, F'!D1213</f>
        <v>57.578000000000003</v>
      </c>
      <c r="C1213">
        <f>SUMIFS(co2_mm_mlo!$D$42:$D$863,co2_mm_mlo!$A$42:$A$863,VALUE(RIGHT(A1213,4)),co2_mm_mlo!$B$42:$B$863,VALUE(LEFT(A1213,FIND("/",A1213)-1)))</f>
        <v>338.29</v>
      </c>
    </row>
    <row r="1214" spans="1:3" ht="15" customHeight="1">
      <c r="A1214" t="s">
        <v>1277</v>
      </c>
      <c r="B1214" s="15">
        <f>'Temp Dev, C, F'!D1214</f>
        <v>58.153999999999996</v>
      </c>
      <c r="C1214">
        <f>SUMIFS(co2_mm_mlo!$D$42:$D$863,co2_mm_mlo!$A$42:$A$863,VALUE(RIGHT(A1214,4)),co2_mm_mlo!$B$42:$B$863,VALUE(LEFT(A1214,FIND("/",A1214)-1)))</f>
        <v>339.29</v>
      </c>
    </row>
    <row r="1215" spans="1:3" ht="15" customHeight="1">
      <c r="A1215" t="s">
        <v>1278</v>
      </c>
      <c r="B1215" s="15">
        <f>'Temp Dev, C, F'!D1215</f>
        <v>57.956000000000003</v>
      </c>
      <c r="C1215">
        <f>SUMIFS(co2_mm_mlo!$D$42:$D$863,co2_mm_mlo!$A$42:$A$863,VALUE(RIGHT(A1215,4)),co2_mm_mlo!$B$42:$B$863,VALUE(LEFT(A1215,FIND("/",A1215)-1)))</f>
        <v>340.55</v>
      </c>
    </row>
    <row r="1216" spans="1:3" ht="15" customHeight="1">
      <c r="A1216" t="s">
        <v>1279</v>
      </c>
      <c r="B1216" s="15">
        <f>'Temp Dev, C, F'!D1216</f>
        <v>58.064</v>
      </c>
      <c r="C1216">
        <f>SUMIFS(co2_mm_mlo!$D$42:$D$863,co2_mm_mlo!$A$42:$A$863,VALUE(RIGHT(A1216,4)),co2_mm_mlo!$B$42:$B$863,VALUE(LEFT(A1216,FIND("/",A1216)-1)))</f>
        <v>341.63</v>
      </c>
    </row>
    <row r="1217" spans="1:3" ht="15" customHeight="1">
      <c r="A1217" t="s">
        <v>1280</v>
      </c>
      <c r="B1217" s="15">
        <f>'Temp Dev, C, F'!D1217</f>
        <v>57.775999999999996</v>
      </c>
      <c r="C1217">
        <f>SUMIFS(co2_mm_mlo!$D$42:$D$863,co2_mm_mlo!$A$42:$A$863,VALUE(RIGHT(A1217,4)),co2_mm_mlo!$B$42:$B$863,VALUE(LEFT(A1217,FIND("/",A1217)-1)))</f>
        <v>342.6</v>
      </c>
    </row>
    <row r="1218" spans="1:3" ht="15" customHeight="1">
      <c r="A1218" t="s">
        <v>1281</v>
      </c>
      <c r="B1218" s="15">
        <f>'Temp Dev, C, F'!D1218</f>
        <v>57.650000000000006</v>
      </c>
      <c r="C1218">
        <f>SUMIFS(co2_mm_mlo!$D$42:$D$863,co2_mm_mlo!$A$42:$A$863,VALUE(RIGHT(A1218,4)),co2_mm_mlo!$B$42:$B$863,VALUE(LEFT(A1218,FIND("/",A1218)-1)))</f>
        <v>343.04</v>
      </c>
    </row>
    <row r="1219" spans="1:3" ht="15" customHeight="1">
      <c r="A1219" t="s">
        <v>1282</v>
      </c>
      <c r="B1219" s="15">
        <f>'Temp Dev, C, F'!D1219</f>
        <v>57.721999999999994</v>
      </c>
      <c r="C1219">
        <f>SUMIFS(co2_mm_mlo!$D$42:$D$863,co2_mm_mlo!$A$42:$A$863,VALUE(RIGHT(A1219,4)),co2_mm_mlo!$B$42:$B$863,VALUE(LEFT(A1219,FIND("/",A1219)-1)))</f>
        <v>342.54</v>
      </c>
    </row>
    <row r="1220" spans="1:3" ht="15" customHeight="1">
      <c r="A1220" t="s">
        <v>1283</v>
      </c>
      <c r="B1220" s="15">
        <f>'Temp Dev, C, F'!D1220</f>
        <v>57.793999999999997</v>
      </c>
      <c r="C1220">
        <f>SUMIFS(co2_mm_mlo!$D$42:$D$863,co2_mm_mlo!$A$42:$A$863,VALUE(RIGHT(A1220,4)),co2_mm_mlo!$B$42:$B$863,VALUE(LEFT(A1220,FIND("/",A1220)-1)))</f>
        <v>340.82</v>
      </c>
    </row>
    <row r="1221" spans="1:3" ht="15" customHeight="1">
      <c r="A1221" t="s">
        <v>1284</v>
      </c>
      <c r="B1221" s="15">
        <f>'Temp Dev, C, F'!D1221</f>
        <v>57.83</v>
      </c>
      <c r="C1221">
        <f>SUMIFS(co2_mm_mlo!$D$42:$D$863,co2_mm_mlo!$A$42:$A$863,VALUE(RIGHT(A1221,4)),co2_mm_mlo!$B$42:$B$863,VALUE(LEFT(A1221,FIND("/",A1221)-1)))</f>
        <v>338.48</v>
      </c>
    </row>
    <row r="1222" spans="1:3" ht="15" customHeight="1">
      <c r="A1222" t="s">
        <v>1285</v>
      </c>
      <c r="B1222" s="15">
        <f>'Temp Dev, C, F'!D1222</f>
        <v>57.47</v>
      </c>
      <c r="C1222">
        <f>SUMIFS(co2_mm_mlo!$D$42:$D$863,co2_mm_mlo!$A$42:$A$863,VALUE(RIGHT(A1222,4)),co2_mm_mlo!$B$42:$B$863,VALUE(LEFT(A1222,FIND("/",A1222)-1)))</f>
        <v>336.95</v>
      </c>
    </row>
    <row r="1223" spans="1:3" ht="15" customHeight="1">
      <c r="A1223" t="s">
        <v>1286</v>
      </c>
      <c r="B1223" s="15">
        <f>'Temp Dev, C, F'!D1223</f>
        <v>57.415999999999997</v>
      </c>
      <c r="C1223">
        <f>SUMIFS(co2_mm_mlo!$D$42:$D$863,co2_mm_mlo!$A$42:$A$863,VALUE(RIGHT(A1223,4)),co2_mm_mlo!$B$42:$B$863,VALUE(LEFT(A1223,FIND("/",A1223)-1)))</f>
        <v>337.05</v>
      </c>
    </row>
    <row r="1224" spans="1:3" ht="15" customHeight="1">
      <c r="A1224" t="s">
        <v>1287</v>
      </c>
      <c r="B1224" s="15">
        <f>'Temp Dev, C, F'!D1224</f>
        <v>57.614000000000004</v>
      </c>
      <c r="C1224">
        <f>SUMIFS(co2_mm_mlo!$D$42:$D$863,co2_mm_mlo!$A$42:$A$863,VALUE(RIGHT(A1224,4)),co2_mm_mlo!$B$42:$B$863,VALUE(LEFT(A1224,FIND("/",A1224)-1)))</f>
        <v>338.58</v>
      </c>
    </row>
    <row r="1225" spans="1:3" ht="15" customHeight="1">
      <c r="A1225" t="s">
        <v>1288</v>
      </c>
      <c r="B1225" s="15">
        <f>'Temp Dev, C, F'!D1225</f>
        <v>57.938000000000002</v>
      </c>
      <c r="C1225">
        <f>SUMIFS(co2_mm_mlo!$D$42:$D$863,co2_mm_mlo!$A$42:$A$863,VALUE(RIGHT(A1225,4)),co2_mm_mlo!$B$42:$B$863,VALUE(LEFT(A1225,FIND("/",A1225)-1)))</f>
        <v>339.91</v>
      </c>
    </row>
    <row r="1226" spans="1:3" ht="15" customHeight="1">
      <c r="A1226" t="s">
        <v>1289</v>
      </c>
      <c r="B1226" s="15">
        <f>'Temp Dev, C, F'!D1226</f>
        <v>57.290000000000006</v>
      </c>
      <c r="C1226">
        <f>SUMIFS(co2_mm_mlo!$D$42:$D$863,co2_mm_mlo!$A$42:$A$863,VALUE(RIGHT(A1226,4)),co2_mm_mlo!$B$42:$B$863,VALUE(LEFT(A1226,FIND("/",A1226)-1)))</f>
        <v>340.93</v>
      </c>
    </row>
    <row r="1227" spans="1:3" ht="15" customHeight="1">
      <c r="A1227" t="s">
        <v>1290</v>
      </c>
      <c r="B1227" s="15">
        <f>'Temp Dev, C, F'!D1227</f>
        <v>57.47</v>
      </c>
      <c r="C1227">
        <f>SUMIFS(co2_mm_mlo!$D$42:$D$863,co2_mm_mlo!$A$42:$A$863,VALUE(RIGHT(A1227,4)),co2_mm_mlo!$B$42:$B$863,VALUE(LEFT(A1227,FIND("/",A1227)-1)))</f>
        <v>341.76</v>
      </c>
    </row>
    <row r="1228" spans="1:3" ht="15" customHeight="1">
      <c r="A1228" t="s">
        <v>1291</v>
      </c>
      <c r="B1228" s="15">
        <f>'Temp Dev, C, F'!D1228</f>
        <v>57.253999999999998</v>
      </c>
      <c r="C1228">
        <f>SUMIFS(co2_mm_mlo!$D$42:$D$863,co2_mm_mlo!$A$42:$A$863,VALUE(RIGHT(A1228,4)),co2_mm_mlo!$B$42:$B$863,VALUE(LEFT(A1228,FIND("/",A1228)-1)))</f>
        <v>342.78</v>
      </c>
    </row>
    <row r="1229" spans="1:3" ht="15" customHeight="1">
      <c r="A1229" t="s">
        <v>1292</v>
      </c>
      <c r="B1229" s="15">
        <f>'Temp Dev, C, F'!D1229</f>
        <v>57.47</v>
      </c>
      <c r="C1229">
        <f>SUMIFS(co2_mm_mlo!$D$42:$D$863,co2_mm_mlo!$A$42:$A$863,VALUE(RIGHT(A1229,4)),co2_mm_mlo!$B$42:$B$863,VALUE(LEFT(A1229,FIND("/",A1229)-1)))</f>
        <v>343.96</v>
      </c>
    </row>
    <row r="1230" spans="1:3" ht="15" customHeight="1">
      <c r="A1230" t="s">
        <v>1293</v>
      </c>
      <c r="B1230" s="15">
        <f>'Temp Dev, C, F'!D1230</f>
        <v>57.524000000000001</v>
      </c>
      <c r="C1230">
        <f>SUMIFS(co2_mm_mlo!$D$42:$D$863,co2_mm_mlo!$A$42:$A$863,VALUE(RIGHT(A1230,4)),co2_mm_mlo!$B$42:$B$863,VALUE(LEFT(A1230,FIND("/",A1230)-1)))</f>
        <v>344.77</v>
      </c>
    </row>
    <row r="1231" spans="1:3" ht="15" customHeight="1">
      <c r="A1231" t="s">
        <v>1294</v>
      </c>
      <c r="B1231" s="15">
        <f>'Temp Dev, C, F'!D1231</f>
        <v>57.308</v>
      </c>
      <c r="C1231">
        <f>SUMIFS(co2_mm_mlo!$D$42:$D$863,co2_mm_mlo!$A$42:$A$863,VALUE(RIGHT(A1231,4)),co2_mm_mlo!$B$42:$B$863,VALUE(LEFT(A1231,FIND("/",A1231)-1)))</f>
        <v>343.88</v>
      </c>
    </row>
    <row r="1232" spans="1:3" ht="15" customHeight="1">
      <c r="A1232" t="s">
        <v>1295</v>
      </c>
      <c r="B1232" s="15">
        <f>'Temp Dev, C, F'!D1232</f>
        <v>57.451999999999998</v>
      </c>
      <c r="C1232">
        <f>SUMIFS(co2_mm_mlo!$D$42:$D$863,co2_mm_mlo!$A$42:$A$863,VALUE(RIGHT(A1232,4)),co2_mm_mlo!$B$42:$B$863,VALUE(LEFT(A1232,FIND("/",A1232)-1)))</f>
        <v>342.42</v>
      </c>
    </row>
    <row r="1233" spans="1:3" ht="15" customHeight="1">
      <c r="A1233" t="s">
        <v>1296</v>
      </c>
      <c r="B1233" s="15">
        <f>'Temp Dev, C, F'!D1233</f>
        <v>57.253999999999998</v>
      </c>
      <c r="C1233">
        <f>SUMIFS(co2_mm_mlo!$D$42:$D$863,co2_mm_mlo!$A$42:$A$863,VALUE(RIGHT(A1233,4)),co2_mm_mlo!$B$42:$B$863,VALUE(LEFT(A1233,FIND("/",A1233)-1)))</f>
        <v>340.24</v>
      </c>
    </row>
    <row r="1234" spans="1:3" ht="15" customHeight="1">
      <c r="A1234" t="s">
        <v>1297</v>
      </c>
      <c r="B1234" s="15">
        <f>'Temp Dev, C, F'!D1234</f>
        <v>57.451999999999998</v>
      </c>
      <c r="C1234">
        <f>SUMIFS(co2_mm_mlo!$D$42:$D$863,co2_mm_mlo!$A$42:$A$863,VALUE(RIGHT(A1234,4)),co2_mm_mlo!$B$42:$B$863,VALUE(LEFT(A1234,FIND("/",A1234)-1)))</f>
        <v>338.37</v>
      </c>
    </row>
    <row r="1235" spans="1:3" ht="15" customHeight="1">
      <c r="A1235" t="s">
        <v>1298</v>
      </c>
      <c r="B1235" s="15">
        <f>'Temp Dev, C, F'!D1235</f>
        <v>57.433999999999997</v>
      </c>
      <c r="C1235">
        <f>SUMIFS(co2_mm_mlo!$D$42:$D$863,co2_mm_mlo!$A$42:$A$863,VALUE(RIGHT(A1235,4)),co2_mm_mlo!$B$42:$B$863,VALUE(LEFT(A1235,FIND("/",A1235)-1)))</f>
        <v>338.41</v>
      </c>
    </row>
    <row r="1236" spans="1:3" ht="15" customHeight="1">
      <c r="A1236" t="s">
        <v>1299</v>
      </c>
      <c r="B1236" s="15">
        <f>'Temp Dev, C, F'!D1236</f>
        <v>57.524000000000001</v>
      </c>
      <c r="C1236">
        <f>SUMIFS(co2_mm_mlo!$D$42:$D$863,co2_mm_mlo!$A$42:$A$863,VALUE(RIGHT(A1236,4)),co2_mm_mlo!$B$42:$B$863,VALUE(LEFT(A1236,FIND("/",A1236)-1)))</f>
        <v>339.44</v>
      </c>
    </row>
    <row r="1237" spans="1:3" ht="15" customHeight="1">
      <c r="A1237" t="s">
        <v>1300</v>
      </c>
      <c r="B1237" s="15">
        <f>'Temp Dev, C, F'!D1237</f>
        <v>57.974000000000004</v>
      </c>
      <c r="C1237">
        <f>SUMIFS(co2_mm_mlo!$D$42:$D$863,co2_mm_mlo!$A$42:$A$863,VALUE(RIGHT(A1237,4)),co2_mm_mlo!$B$42:$B$863,VALUE(LEFT(A1237,FIND("/",A1237)-1)))</f>
        <v>340.78</v>
      </c>
    </row>
    <row r="1238" spans="1:3" ht="15" customHeight="1">
      <c r="A1238" t="s">
        <v>1301</v>
      </c>
      <c r="B1238" s="15">
        <f>'Temp Dev, C, F'!D1238</f>
        <v>58.153999999999996</v>
      </c>
      <c r="C1238">
        <f>SUMIFS(co2_mm_mlo!$D$42:$D$863,co2_mm_mlo!$A$42:$A$863,VALUE(RIGHT(A1238,4)),co2_mm_mlo!$B$42:$B$863,VALUE(LEFT(A1238,FIND("/",A1238)-1)))</f>
        <v>341.57</v>
      </c>
    </row>
    <row r="1239" spans="1:3" ht="15" customHeight="1">
      <c r="A1239" t="s">
        <v>1302</v>
      </c>
      <c r="B1239" s="15">
        <f>'Temp Dev, C, F'!D1239</f>
        <v>57.974000000000004</v>
      </c>
      <c r="C1239">
        <f>SUMIFS(co2_mm_mlo!$D$42:$D$863,co2_mm_mlo!$A$42:$A$863,VALUE(RIGHT(A1239,4)),co2_mm_mlo!$B$42:$B$863,VALUE(LEFT(A1239,FIND("/",A1239)-1)))</f>
        <v>342.78</v>
      </c>
    </row>
    <row r="1240" spans="1:3" ht="15" customHeight="1">
      <c r="A1240" t="s">
        <v>1303</v>
      </c>
      <c r="B1240" s="15">
        <f>'Temp Dev, C, F'!D1240</f>
        <v>57.956000000000003</v>
      </c>
      <c r="C1240">
        <f>SUMIFS(co2_mm_mlo!$D$42:$D$863,co2_mm_mlo!$A$42:$A$863,VALUE(RIGHT(A1240,4)),co2_mm_mlo!$B$42:$B$863,VALUE(LEFT(A1240,FIND("/",A1240)-1)))</f>
        <v>343.37</v>
      </c>
    </row>
    <row r="1241" spans="1:3" ht="15" customHeight="1">
      <c r="A1241" t="s">
        <v>1304</v>
      </c>
      <c r="B1241" s="15">
        <f>'Temp Dev, C, F'!D1241</f>
        <v>57.704000000000001</v>
      </c>
      <c r="C1241">
        <f>SUMIFS(co2_mm_mlo!$D$42:$D$863,co2_mm_mlo!$A$42:$A$863,VALUE(RIGHT(A1241,4)),co2_mm_mlo!$B$42:$B$863,VALUE(LEFT(A1241,FIND("/",A1241)-1)))</f>
        <v>345.4</v>
      </c>
    </row>
    <row r="1242" spans="1:3" ht="15" customHeight="1">
      <c r="A1242" t="s">
        <v>1305</v>
      </c>
      <c r="B1242" s="15">
        <f>'Temp Dev, C, F'!D1242</f>
        <v>57.811999999999998</v>
      </c>
      <c r="C1242">
        <f>SUMIFS(co2_mm_mlo!$D$42:$D$863,co2_mm_mlo!$A$42:$A$863,VALUE(RIGHT(A1242,4)),co2_mm_mlo!$B$42:$B$863,VALUE(LEFT(A1242,FIND("/",A1242)-1)))</f>
        <v>346.14</v>
      </c>
    </row>
    <row r="1243" spans="1:3" ht="15" customHeight="1">
      <c r="A1243" t="s">
        <v>1306</v>
      </c>
      <c r="B1243" s="15">
        <f>'Temp Dev, C, F'!D1243</f>
        <v>57.614000000000004</v>
      </c>
      <c r="C1243">
        <f>SUMIFS(co2_mm_mlo!$D$42:$D$863,co2_mm_mlo!$A$42:$A$863,VALUE(RIGHT(A1243,4)),co2_mm_mlo!$B$42:$B$863,VALUE(LEFT(A1243,FIND("/",A1243)-1)))</f>
        <v>345.76</v>
      </c>
    </row>
    <row r="1244" spans="1:3" ht="15" customHeight="1">
      <c r="A1244" t="s">
        <v>1307</v>
      </c>
      <c r="B1244" s="15">
        <f>'Temp Dev, C, F'!D1244</f>
        <v>57.524000000000001</v>
      </c>
      <c r="C1244">
        <f>SUMIFS(co2_mm_mlo!$D$42:$D$863,co2_mm_mlo!$A$42:$A$863,VALUE(RIGHT(A1244,4)),co2_mm_mlo!$B$42:$B$863,VALUE(LEFT(A1244,FIND("/",A1244)-1)))</f>
        <v>344.32</v>
      </c>
    </row>
    <row r="1245" spans="1:3" ht="15" customHeight="1">
      <c r="A1245" t="s">
        <v>1308</v>
      </c>
      <c r="B1245" s="15">
        <f>'Temp Dev, C, F'!D1245</f>
        <v>57.847999999999999</v>
      </c>
      <c r="C1245">
        <f>SUMIFS(co2_mm_mlo!$D$42:$D$863,co2_mm_mlo!$A$42:$A$863,VALUE(RIGHT(A1245,4)),co2_mm_mlo!$B$42:$B$863,VALUE(LEFT(A1245,FIND("/",A1245)-1)))</f>
        <v>342.51</v>
      </c>
    </row>
    <row r="1246" spans="1:3" ht="15" customHeight="1">
      <c r="A1246" t="s">
        <v>1309</v>
      </c>
      <c r="B1246" s="15">
        <f>'Temp Dev, C, F'!D1246</f>
        <v>57.866</v>
      </c>
      <c r="C1246">
        <f>SUMIFS(co2_mm_mlo!$D$42:$D$863,co2_mm_mlo!$A$42:$A$863,VALUE(RIGHT(A1246,4)),co2_mm_mlo!$B$42:$B$863,VALUE(LEFT(A1246,FIND("/",A1246)-1)))</f>
        <v>340.46</v>
      </c>
    </row>
    <row r="1247" spans="1:3" ht="15" customHeight="1">
      <c r="A1247" t="s">
        <v>1310</v>
      </c>
      <c r="B1247" s="15">
        <f>'Temp Dev, C, F'!D1247</f>
        <v>57.506</v>
      </c>
      <c r="C1247">
        <f>SUMIFS(co2_mm_mlo!$D$42:$D$863,co2_mm_mlo!$A$42:$A$863,VALUE(RIGHT(A1247,4)),co2_mm_mlo!$B$42:$B$863,VALUE(LEFT(A1247,FIND("/",A1247)-1)))</f>
        <v>340.53</v>
      </c>
    </row>
    <row r="1248" spans="1:3" ht="15" customHeight="1">
      <c r="A1248" t="s">
        <v>1311</v>
      </c>
      <c r="B1248" s="15">
        <f>'Temp Dev, C, F'!D1248</f>
        <v>57.74</v>
      </c>
      <c r="C1248">
        <f>SUMIFS(co2_mm_mlo!$D$42:$D$863,co2_mm_mlo!$A$42:$A$863,VALUE(RIGHT(A1248,4)),co2_mm_mlo!$B$42:$B$863,VALUE(LEFT(A1248,FIND("/",A1248)-1)))</f>
        <v>341.79</v>
      </c>
    </row>
    <row r="1249" spans="1:3" ht="15" customHeight="1">
      <c r="A1249" t="s">
        <v>1312</v>
      </c>
      <c r="B1249" s="15">
        <f>'Temp Dev, C, F'!D1249</f>
        <v>57.506</v>
      </c>
      <c r="C1249">
        <f>SUMIFS(co2_mm_mlo!$D$42:$D$863,co2_mm_mlo!$A$42:$A$863,VALUE(RIGHT(A1249,4)),co2_mm_mlo!$B$42:$B$863,VALUE(LEFT(A1249,FIND("/",A1249)-1)))</f>
        <v>343.2</v>
      </c>
    </row>
    <row r="1250" spans="1:3" ht="15" customHeight="1">
      <c r="A1250" t="s">
        <v>1313</v>
      </c>
      <c r="B1250" s="15">
        <f>'Temp Dev, C, F'!D1250</f>
        <v>57.758000000000003</v>
      </c>
      <c r="C1250">
        <f>SUMIFS(co2_mm_mlo!$D$42:$D$863,co2_mm_mlo!$A$42:$A$863,VALUE(RIGHT(A1250,4)),co2_mm_mlo!$B$42:$B$863,VALUE(LEFT(A1250,FIND("/",A1250)-1)))</f>
        <v>344.21</v>
      </c>
    </row>
    <row r="1251" spans="1:3" ht="15" customHeight="1">
      <c r="A1251" t="s">
        <v>1314</v>
      </c>
      <c r="B1251" s="15">
        <f>'Temp Dev, C, F'!D1251</f>
        <v>57.451999999999998</v>
      </c>
      <c r="C1251">
        <f>SUMIFS(co2_mm_mlo!$D$42:$D$863,co2_mm_mlo!$A$42:$A$863,VALUE(RIGHT(A1251,4)),co2_mm_mlo!$B$42:$B$863,VALUE(LEFT(A1251,FIND("/",A1251)-1)))</f>
        <v>344.92</v>
      </c>
    </row>
    <row r="1252" spans="1:3" ht="15" customHeight="1">
      <c r="A1252" t="s">
        <v>1315</v>
      </c>
      <c r="B1252" s="15">
        <f>'Temp Dev, C, F'!D1252</f>
        <v>57.667999999999999</v>
      </c>
      <c r="C1252">
        <f>SUMIFS(co2_mm_mlo!$D$42:$D$863,co2_mm_mlo!$A$42:$A$863,VALUE(RIGHT(A1252,4)),co2_mm_mlo!$B$42:$B$863,VALUE(LEFT(A1252,FIND("/",A1252)-1)))</f>
        <v>345.68</v>
      </c>
    </row>
    <row r="1253" spans="1:3" ht="15" customHeight="1">
      <c r="A1253" t="s">
        <v>1316</v>
      </c>
      <c r="B1253" s="15">
        <f>'Temp Dev, C, F'!D1253</f>
        <v>57.308</v>
      </c>
      <c r="C1253">
        <f>SUMIFS(co2_mm_mlo!$D$42:$D$863,co2_mm_mlo!$A$42:$A$863,VALUE(RIGHT(A1253,4)),co2_mm_mlo!$B$42:$B$863,VALUE(LEFT(A1253,FIND("/",A1253)-1)))</f>
        <v>347.37</v>
      </c>
    </row>
    <row r="1254" spans="1:3" ht="15" customHeight="1">
      <c r="A1254" t="s">
        <v>1317</v>
      </c>
      <c r="B1254" s="15">
        <f>'Temp Dev, C, F'!D1254</f>
        <v>57.793999999999997</v>
      </c>
      <c r="C1254">
        <f>SUMIFS(co2_mm_mlo!$D$42:$D$863,co2_mm_mlo!$A$42:$A$863,VALUE(RIGHT(A1254,4)),co2_mm_mlo!$B$42:$B$863,VALUE(LEFT(A1254,FIND("/",A1254)-1)))</f>
        <v>347.77</v>
      </c>
    </row>
    <row r="1255" spans="1:3" ht="15" customHeight="1">
      <c r="A1255" t="s">
        <v>1318</v>
      </c>
      <c r="B1255" s="15">
        <f>'Temp Dev, C, F'!D1255</f>
        <v>57.236000000000004</v>
      </c>
      <c r="C1255">
        <f>SUMIFS(co2_mm_mlo!$D$42:$D$863,co2_mm_mlo!$A$42:$A$863,VALUE(RIGHT(A1255,4)),co2_mm_mlo!$B$42:$B$863,VALUE(LEFT(A1255,FIND("/",A1255)-1)))</f>
        <v>347.16</v>
      </c>
    </row>
    <row r="1256" spans="1:3" ht="15" customHeight="1">
      <c r="A1256" t="s">
        <v>1319</v>
      </c>
      <c r="B1256" s="15">
        <f>'Temp Dev, C, F'!D1256</f>
        <v>57.542000000000002</v>
      </c>
      <c r="C1256">
        <f>SUMIFS(co2_mm_mlo!$D$42:$D$863,co2_mm_mlo!$A$42:$A$863,VALUE(RIGHT(A1256,4)),co2_mm_mlo!$B$42:$B$863,VALUE(LEFT(A1256,FIND("/",A1256)-1)))</f>
        <v>345.79</v>
      </c>
    </row>
    <row r="1257" spans="1:3" ht="15" customHeight="1">
      <c r="A1257" t="s">
        <v>1320</v>
      </c>
      <c r="B1257" s="15">
        <f>'Temp Dev, C, F'!D1257</f>
        <v>57.542000000000002</v>
      </c>
      <c r="C1257">
        <f>SUMIFS(co2_mm_mlo!$D$42:$D$863,co2_mm_mlo!$A$42:$A$863,VALUE(RIGHT(A1257,4)),co2_mm_mlo!$B$42:$B$863,VALUE(LEFT(A1257,FIND("/",A1257)-1)))</f>
        <v>343.74</v>
      </c>
    </row>
    <row r="1258" spans="1:3" ht="15" customHeight="1">
      <c r="A1258" t="s">
        <v>1321</v>
      </c>
      <c r="B1258" s="15">
        <f>'Temp Dev, C, F'!D1258</f>
        <v>57.578000000000003</v>
      </c>
      <c r="C1258">
        <f>SUMIFS(co2_mm_mlo!$D$42:$D$863,co2_mm_mlo!$A$42:$A$863,VALUE(RIGHT(A1258,4)),co2_mm_mlo!$B$42:$B$863,VALUE(LEFT(A1258,FIND("/",A1258)-1)))</f>
        <v>341.59</v>
      </c>
    </row>
    <row r="1259" spans="1:3" ht="15" customHeight="1">
      <c r="A1259" t="s">
        <v>1322</v>
      </c>
      <c r="B1259" s="15">
        <f>'Temp Dev, C, F'!D1259</f>
        <v>57.433999999999997</v>
      </c>
      <c r="C1259">
        <f>SUMIFS(co2_mm_mlo!$D$42:$D$863,co2_mm_mlo!$A$42:$A$863,VALUE(RIGHT(A1259,4)),co2_mm_mlo!$B$42:$B$863,VALUE(LEFT(A1259,FIND("/",A1259)-1)))</f>
        <v>341.86</v>
      </c>
    </row>
    <row r="1260" spans="1:3" ht="15" customHeight="1">
      <c r="A1260" t="s">
        <v>1323</v>
      </c>
      <c r="B1260" s="15">
        <f>'Temp Dev, C, F'!D1260</f>
        <v>57.308</v>
      </c>
      <c r="C1260">
        <f>SUMIFS(co2_mm_mlo!$D$42:$D$863,co2_mm_mlo!$A$42:$A$863,VALUE(RIGHT(A1260,4)),co2_mm_mlo!$B$42:$B$863,VALUE(LEFT(A1260,FIND("/",A1260)-1)))</f>
        <v>343.31</v>
      </c>
    </row>
    <row r="1261" spans="1:3" ht="15" customHeight="1">
      <c r="A1261" t="s">
        <v>1324</v>
      </c>
      <c r="B1261" s="15">
        <f>'Temp Dev, C, F'!D1261</f>
        <v>57.128</v>
      </c>
      <c r="C1261">
        <f>SUMIFS(co2_mm_mlo!$D$42:$D$863,co2_mm_mlo!$A$42:$A$863,VALUE(RIGHT(A1261,4)),co2_mm_mlo!$B$42:$B$863,VALUE(LEFT(A1261,FIND("/",A1261)-1)))</f>
        <v>345</v>
      </c>
    </row>
    <row r="1262" spans="1:3" ht="15" customHeight="1">
      <c r="A1262" t="s">
        <v>1325</v>
      </c>
      <c r="B1262" s="15">
        <f>'Temp Dev, C, F'!D1262</f>
        <v>57.596000000000004</v>
      </c>
      <c r="C1262">
        <f>SUMIFS(co2_mm_mlo!$D$42:$D$863,co2_mm_mlo!$A$42:$A$863,VALUE(RIGHT(A1262,4)),co2_mm_mlo!$B$42:$B$863,VALUE(LEFT(A1262,FIND("/",A1262)-1)))</f>
        <v>345.48</v>
      </c>
    </row>
    <row r="1263" spans="1:3" ht="15" customHeight="1">
      <c r="A1263" t="s">
        <v>1326</v>
      </c>
      <c r="B1263" s="15">
        <f>'Temp Dev, C, F'!D1263</f>
        <v>57.128</v>
      </c>
      <c r="C1263">
        <f>SUMIFS(co2_mm_mlo!$D$42:$D$863,co2_mm_mlo!$A$42:$A$863,VALUE(RIGHT(A1263,4)),co2_mm_mlo!$B$42:$B$863,VALUE(LEFT(A1263,FIND("/",A1263)-1)))</f>
        <v>346.41</v>
      </c>
    </row>
    <row r="1264" spans="1:3" ht="15" customHeight="1">
      <c r="A1264" t="s">
        <v>1327</v>
      </c>
      <c r="B1264" s="15">
        <f>'Temp Dev, C, F'!D1264</f>
        <v>57.506</v>
      </c>
      <c r="C1264">
        <f>SUMIFS(co2_mm_mlo!$D$42:$D$863,co2_mm_mlo!$A$42:$A$863,VALUE(RIGHT(A1264,4)),co2_mm_mlo!$B$42:$B$863,VALUE(LEFT(A1264,FIND("/",A1264)-1)))</f>
        <v>347.91</v>
      </c>
    </row>
    <row r="1265" spans="1:3" ht="15" customHeight="1">
      <c r="A1265" t="s">
        <v>1328</v>
      </c>
      <c r="B1265" s="15">
        <f>'Temp Dev, C, F'!D1265</f>
        <v>57.415999999999997</v>
      </c>
      <c r="C1265">
        <f>SUMIFS(co2_mm_mlo!$D$42:$D$863,co2_mm_mlo!$A$42:$A$863,VALUE(RIGHT(A1265,4)),co2_mm_mlo!$B$42:$B$863,VALUE(LEFT(A1265,FIND("/",A1265)-1)))</f>
        <v>348.66</v>
      </c>
    </row>
    <row r="1266" spans="1:3" ht="15" customHeight="1">
      <c r="A1266" t="s">
        <v>1329</v>
      </c>
      <c r="B1266" s="15">
        <f>'Temp Dev, C, F'!D1266</f>
        <v>57.47</v>
      </c>
      <c r="C1266">
        <f>SUMIFS(co2_mm_mlo!$D$42:$D$863,co2_mm_mlo!$A$42:$A$863,VALUE(RIGHT(A1266,4)),co2_mm_mlo!$B$42:$B$863,VALUE(LEFT(A1266,FIND("/",A1266)-1)))</f>
        <v>349.28</v>
      </c>
    </row>
    <row r="1267" spans="1:3" ht="15" customHeight="1">
      <c r="A1267" t="s">
        <v>1330</v>
      </c>
      <c r="B1267" s="15">
        <f>'Temp Dev, C, F'!D1267</f>
        <v>57.47</v>
      </c>
      <c r="C1267">
        <f>SUMIFS(co2_mm_mlo!$D$42:$D$863,co2_mm_mlo!$A$42:$A$863,VALUE(RIGHT(A1267,4)),co2_mm_mlo!$B$42:$B$863,VALUE(LEFT(A1267,FIND("/",A1267)-1)))</f>
        <v>348.65</v>
      </c>
    </row>
    <row r="1268" spans="1:3" ht="15" customHeight="1">
      <c r="A1268" t="s">
        <v>1331</v>
      </c>
      <c r="B1268" s="15">
        <f>'Temp Dev, C, F'!D1268</f>
        <v>57.271999999999998</v>
      </c>
      <c r="C1268">
        <f>SUMIFS(co2_mm_mlo!$D$42:$D$863,co2_mm_mlo!$A$42:$A$863,VALUE(RIGHT(A1268,4)),co2_mm_mlo!$B$42:$B$863,VALUE(LEFT(A1268,FIND("/",A1268)-1)))</f>
        <v>346.9</v>
      </c>
    </row>
    <row r="1269" spans="1:3" ht="15" customHeight="1">
      <c r="A1269" t="s">
        <v>1332</v>
      </c>
      <c r="B1269" s="15">
        <f>'Temp Dev, C, F'!D1269</f>
        <v>57.506</v>
      </c>
      <c r="C1269">
        <f>SUMIFS(co2_mm_mlo!$D$42:$D$863,co2_mm_mlo!$A$42:$A$863,VALUE(RIGHT(A1269,4)),co2_mm_mlo!$B$42:$B$863,VALUE(LEFT(A1269,FIND("/",A1269)-1)))</f>
        <v>345.26</v>
      </c>
    </row>
    <row r="1270" spans="1:3" ht="15" customHeight="1">
      <c r="A1270" t="s">
        <v>1333</v>
      </c>
      <c r="B1270" s="15">
        <f>'Temp Dev, C, F'!D1270</f>
        <v>57.433999999999997</v>
      </c>
      <c r="C1270">
        <f>SUMIFS(co2_mm_mlo!$D$42:$D$863,co2_mm_mlo!$A$42:$A$863,VALUE(RIGHT(A1270,4)),co2_mm_mlo!$B$42:$B$863,VALUE(LEFT(A1270,FIND("/",A1270)-1)))</f>
        <v>343.47</v>
      </c>
    </row>
    <row r="1271" spans="1:3" ht="15" customHeight="1">
      <c r="A1271" t="s">
        <v>1334</v>
      </c>
      <c r="B1271" s="15">
        <f>'Temp Dev, C, F'!D1271</f>
        <v>57.415999999999997</v>
      </c>
      <c r="C1271">
        <f>SUMIFS(co2_mm_mlo!$D$42:$D$863,co2_mm_mlo!$A$42:$A$863,VALUE(RIGHT(A1271,4)),co2_mm_mlo!$B$42:$B$863,VALUE(LEFT(A1271,FIND("/",A1271)-1)))</f>
        <v>343.35</v>
      </c>
    </row>
    <row r="1272" spans="1:3" ht="15" customHeight="1">
      <c r="A1272" t="s">
        <v>1335</v>
      </c>
      <c r="B1272" s="15">
        <f>'Temp Dev, C, F'!D1272</f>
        <v>57.290000000000006</v>
      </c>
      <c r="C1272">
        <f>SUMIFS(co2_mm_mlo!$D$42:$D$863,co2_mm_mlo!$A$42:$A$863,VALUE(RIGHT(A1272,4)),co2_mm_mlo!$B$42:$B$863,VALUE(LEFT(A1272,FIND("/",A1272)-1)))</f>
        <v>344.73</v>
      </c>
    </row>
    <row r="1273" spans="1:3" ht="15" customHeight="1">
      <c r="A1273" t="s">
        <v>1336</v>
      </c>
      <c r="B1273" s="15">
        <f>'Temp Dev, C, F'!D1273</f>
        <v>57.451999999999998</v>
      </c>
      <c r="C1273">
        <f>SUMIFS(co2_mm_mlo!$D$42:$D$863,co2_mm_mlo!$A$42:$A$863,VALUE(RIGHT(A1273,4)),co2_mm_mlo!$B$42:$B$863,VALUE(LEFT(A1273,FIND("/",A1273)-1)))</f>
        <v>346.12</v>
      </c>
    </row>
    <row r="1274" spans="1:3" ht="15" customHeight="1">
      <c r="A1274" t="s">
        <v>1337</v>
      </c>
      <c r="B1274" s="15">
        <f>'Temp Dev, C, F'!D1274</f>
        <v>57.667999999999999</v>
      </c>
      <c r="C1274">
        <f>SUMIFS(co2_mm_mlo!$D$42:$D$863,co2_mm_mlo!$A$42:$A$863,VALUE(RIGHT(A1274,4)),co2_mm_mlo!$B$42:$B$863,VALUE(LEFT(A1274,FIND("/",A1274)-1)))</f>
        <v>346.78</v>
      </c>
    </row>
    <row r="1275" spans="1:3" ht="15" customHeight="1">
      <c r="A1275" t="s">
        <v>1338</v>
      </c>
      <c r="B1275" s="15">
        <f>'Temp Dev, C, F'!D1275</f>
        <v>57.866</v>
      </c>
      <c r="C1275">
        <f>SUMIFS(co2_mm_mlo!$D$42:$D$863,co2_mm_mlo!$A$42:$A$863,VALUE(RIGHT(A1275,4)),co2_mm_mlo!$B$42:$B$863,VALUE(LEFT(A1275,FIND("/",A1275)-1)))</f>
        <v>347.48</v>
      </c>
    </row>
    <row r="1276" spans="1:3" ht="15" customHeight="1">
      <c r="A1276" t="s">
        <v>1339</v>
      </c>
      <c r="B1276" s="15">
        <f>'Temp Dev, C, F'!D1276</f>
        <v>57.74</v>
      </c>
      <c r="C1276">
        <f>SUMIFS(co2_mm_mlo!$D$42:$D$863,co2_mm_mlo!$A$42:$A$863,VALUE(RIGHT(A1276,4)),co2_mm_mlo!$B$42:$B$863,VALUE(LEFT(A1276,FIND("/",A1276)-1)))</f>
        <v>348.25</v>
      </c>
    </row>
    <row r="1277" spans="1:3" ht="15" customHeight="1">
      <c r="A1277" t="s">
        <v>1340</v>
      </c>
      <c r="B1277" s="15">
        <f>'Temp Dev, C, F'!D1277</f>
        <v>57.596000000000004</v>
      </c>
      <c r="C1277">
        <f>SUMIFS(co2_mm_mlo!$D$42:$D$863,co2_mm_mlo!$A$42:$A$863,VALUE(RIGHT(A1277,4)),co2_mm_mlo!$B$42:$B$863,VALUE(LEFT(A1277,FIND("/",A1277)-1)))</f>
        <v>349.86</v>
      </c>
    </row>
    <row r="1278" spans="1:3" ht="15" customHeight="1">
      <c r="A1278" t="s">
        <v>1341</v>
      </c>
      <c r="B1278" s="15">
        <f>'Temp Dev, C, F'!D1278</f>
        <v>57.578000000000003</v>
      </c>
      <c r="C1278">
        <f>SUMIFS(co2_mm_mlo!$D$42:$D$863,co2_mm_mlo!$A$42:$A$863,VALUE(RIGHT(A1278,4)),co2_mm_mlo!$B$42:$B$863,VALUE(LEFT(A1278,FIND("/",A1278)-1)))</f>
        <v>350.52</v>
      </c>
    </row>
    <row r="1279" spans="1:3" ht="15" customHeight="1">
      <c r="A1279" t="s">
        <v>1342</v>
      </c>
      <c r="B1279" s="15">
        <f>'Temp Dev, C, F'!D1279</f>
        <v>57.415999999999997</v>
      </c>
      <c r="C1279">
        <f>SUMIFS(co2_mm_mlo!$D$42:$D$863,co2_mm_mlo!$A$42:$A$863,VALUE(RIGHT(A1279,4)),co2_mm_mlo!$B$42:$B$863,VALUE(LEFT(A1279,FIND("/",A1279)-1)))</f>
        <v>349.98</v>
      </c>
    </row>
    <row r="1280" spans="1:3" ht="15" customHeight="1">
      <c r="A1280" t="s">
        <v>1343</v>
      </c>
      <c r="B1280" s="15">
        <f>'Temp Dev, C, F'!D1280</f>
        <v>57.397999999999996</v>
      </c>
      <c r="C1280">
        <f>SUMIFS(co2_mm_mlo!$D$42:$D$863,co2_mm_mlo!$A$42:$A$863,VALUE(RIGHT(A1280,4)),co2_mm_mlo!$B$42:$B$863,VALUE(LEFT(A1280,FIND("/",A1280)-1)))</f>
        <v>348.25</v>
      </c>
    </row>
    <row r="1281" spans="1:3" ht="15" customHeight="1">
      <c r="A1281" t="s">
        <v>1344</v>
      </c>
      <c r="B1281" s="15">
        <f>'Temp Dev, C, F'!D1281</f>
        <v>57.488</v>
      </c>
      <c r="C1281">
        <f>SUMIFS(co2_mm_mlo!$D$42:$D$863,co2_mm_mlo!$A$42:$A$863,VALUE(RIGHT(A1281,4)),co2_mm_mlo!$B$42:$B$863,VALUE(LEFT(A1281,FIND("/",A1281)-1)))</f>
        <v>346.17</v>
      </c>
    </row>
    <row r="1282" spans="1:3" ht="15" customHeight="1">
      <c r="A1282" t="s">
        <v>1345</v>
      </c>
      <c r="B1282" s="15">
        <f>'Temp Dev, C, F'!D1282</f>
        <v>57.253999999999998</v>
      </c>
      <c r="C1282">
        <f>SUMIFS(co2_mm_mlo!$D$42:$D$863,co2_mm_mlo!$A$42:$A$863,VALUE(RIGHT(A1282,4)),co2_mm_mlo!$B$42:$B$863,VALUE(LEFT(A1282,FIND("/",A1282)-1)))</f>
        <v>345.48</v>
      </c>
    </row>
    <row r="1283" spans="1:3" ht="15" customHeight="1">
      <c r="A1283" t="s">
        <v>1346</v>
      </c>
      <c r="B1283" s="15">
        <f>'Temp Dev, C, F'!D1283</f>
        <v>57.47</v>
      </c>
      <c r="C1283">
        <f>SUMIFS(co2_mm_mlo!$D$42:$D$863,co2_mm_mlo!$A$42:$A$863,VALUE(RIGHT(A1283,4)),co2_mm_mlo!$B$42:$B$863,VALUE(LEFT(A1283,FIND("/",A1283)-1)))</f>
        <v>344.82</v>
      </c>
    </row>
    <row r="1284" spans="1:3" ht="15" customHeight="1">
      <c r="A1284" t="s">
        <v>1347</v>
      </c>
      <c r="B1284" s="15">
        <f>'Temp Dev, C, F'!D1284</f>
        <v>57.379999999999995</v>
      </c>
      <c r="C1284">
        <f>SUMIFS(co2_mm_mlo!$D$42:$D$863,co2_mm_mlo!$A$42:$A$863,VALUE(RIGHT(A1284,4)),co2_mm_mlo!$B$42:$B$863,VALUE(LEFT(A1284,FIND("/",A1284)-1)))</f>
        <v>346.22</v>
      </c>
    </row>
    <row r="1285" spans="1:3" ht="15" customHeight="1">
      <c r="A1285" t="s">
        <v>1348</v>
      </c>
      <c r="B1285" s="15">
        <f>'Temp Dev, C, F'!D1285</f>
        <v>57.433999999999997</v>
      </c>
      <c r="C1285">
        <f>SUMIFS(co2_mm_mlo!$D$42:$D$863,co2_mm_mlo!$A$42:$A$863,VALUE(RIGHT(A1285,4)),co2_mm_mlo!$B$42:$B$863,VALUE(LEFT(A1285,FIND("/",A1285)-1)))</f>
        <v>347.48</v>
      </c>
    </row>
    <row r="1286" spans="1:3" ht="15" customHeight="1">
      <c r="A1286" t="s">
        <v>1349</v>
      </c>
      <c r="B1286" s="15">
        <f>'Temp Dev, C, F'!D1286</f>
        <v>57.775999999999996</v>
      </c>
      <c r="C1286">
        <f>SUMIFS(co2_mm_mlo!$D$42:$D$863,co2_mm_mlo!$A$42:$A$863,VALUE(RIGHT(A1286,4)),co2_mm_mlo!$B$42:$B$863,VALUE(LEFT(A1286,FIND("/",A1286)-1)))</f>
        <v>348.73</v>
      </c>
    </row>
    <row r="1287" spans="1:3" ht="15" customHeight="1">
      <c r="A1287" t="s">
        <v>1350</v>
      </c>
      <c r="B1287" s="15">
        <f>'Temp Dev, C, F'!D1287</f>
        <v>57.974000000000004</v>
      </c>
      <c r="C1287">
        <f>SUMIFS(co2_mm_mlo!$D$42:$D$863,co2_mm_mlo!$A$42:$A$863,VALUE(RIGHT(A1287,4)),co2_mm_mlo!$B$42:$B$863,VALUE(LEFT(A1287,FIND("/",A1287)-1)))</f>
        <v>348.92</v>
      </c>
    </row>
    <row r="1288" spans="1:3" ht="15" customHeight="1">
      <c r="A1288" t="s">
        <v>1351</v>
      </c>
      <c r="B1288" s="15">
        <f>'Temp Dev, C, F'!D1288</f>
        <v>57.524000000000001</v>
      </c>
      <c r="C1288">
        <f>SUMIFS(co2_mm_mlo!$D$42:$D$863,co2_mm_mlo!$A$42:$A$863,VALUE(RIGHT(A1288,4)),co2_mm_mlo!$B$42:$B$863,VALUE(LEFT(A1288,FIND("/",A1288)-1)))</f>
        <v>349.81</v>
      </c>
    </row>
    <row r="1289" spans="1:3" ht="15" customHeight="1">
      <c r="A1289" t="s">
        <v>1352</v>
      </c>
      <c r="B1289" s="15">
        <f>'Temp Dev, C, F'!D1289</f>
        <v>57.632000000000005</v>
      </c>
      <c r="C1289">
        <f>SUMIFS(co2_mm_mlo!$D$42:$D$863,co2_mm_mlo!$A$42:$A$863,VALUE(RIGHT(A1289,4)),co2_mm_mlo!$B$42:$B$863,VALUE(LEFT(A1289,FIND("/",A1289)-1)))</f>
        <v>351.4</v>
      </c>
    </row>
    <row r="1290" spans="1:3" ht="15" customHeight="1">
      <c r="A1290" t="s">
        <v>1353</v>
      </c>
      <c r="B1290" s="15">
        <f>'Temp Dev, C, F'!D1290</f>
        <v>57.667999999999999</v>
      </c>
      <c r="C1290">
        <f>SUMIFS(co2_mm_mlo!$D$42:$D$863,co2_mm_mlo!$A$42:$A$863,VALUE(RIGHT(A1290,4)),co2_mm_mlo!$B$42:$B$863,VALUE(LEFT(A1290,FIND("/",A1290)-1)))</f>
        <v>352.15</v>
      </c>
    </row>
    <row r="1291" spans="1:3" ht="15" customHeight="1">
      <c r="A1291" t="s">
        <v>1354</v>
      </c>
      <c r="B1291" s="15">
        <f>'Temp Dev, C, F'!D1291</f>
        <v>57.83</v>
      </c>
      <c r="C1291">
        <f>SUMIFS(co2_mm_mlo!$D$42:$D$863,co2_mm_mlo!$A$42:$A$863,VALUE(RIGHT(A1291,4)),co2_mm_mlo!$B$42:$B$863,VALUE(LEFT(A1291,FIND("/",A1291)-1)))</f>
        <v>351.58</v>
      </c>
    </row>
    <row r="1292" spans="1:3" ht="15" customHeight="1">
      <c r="A1292" t="s">
        <v>1355</v>
      </c>
      <c r="B1292" s="15">
        <f>'Temp Dev, C, F'!D1292</f>
        <v>57.92</v>
      </c>
      <c r="C1292">
        <f>SUMIFS(co2_mm_mlo!$D$42:$D$863,co2_mm_mlo!$A$42:$A$863,VALUE(RIGHT(A1292,4)),co2_mm_mlo!$B$42:$B$863,VALUE(LEFT(A1292,FIND("/",A1292)-1)))</f>
        <v>350.21</v>
      </c>
    </row>
    <row r="1293" spans="1:3" ht="15" customHeight="1">
      <c r="A1293" t="s">
        <v>1356</v>
      </c>
      <c r="B1293" s="15">
        <f>'Temp Dev, C, F'!D1293</f>
        <v>57.650000000000006</v>
      </c>
      <c r="C1293">
        <f>SUMIFS(co2_mm_mlo!$D$42:$D$863,co2_mm_mlo!$A$42:$A$863,VALUE(RIGHT(A1293,4)),co2_mm_mlo!$B$42:$B$863,VALUE(LEFT(A1293,FIND("/",A1293)-1)))</f>
        <v>348.2</v>
      </c>
    </row>
    <row r="1294" spans="1:3" ht="15" customHeight="1">
      <c r="A1294" t="s">
        <v>1357</v>
      </c>
      <c r="B1294" s="15">
        <f>'Temp Dev, C, F'!D1294</f>
        <v>57.83</v>
      </c>
      <c r="C1294">
        <f>SUMIFS(co2_mm_mlo!$D$42:$D$863,co2_mm_mlo!$A$42:$A$863,VALUE(RIGHT(A1294,4)),co2_mm_mlo!$B$42:$B$863,VALUE(LEFT(A1294,FIND("/",A1294)-1)))</f>
        <v>346.66</v>
      </c>
    </row>
    <row r="1295" spans="1:3" ht="15" customHeight="1">
      <c r="A1295" t="s">
        <v>1358</v>
      </c>
      <c r="B1295" s="15">
        <f>'Temp Dev, C, F'!D1295</f>
        <v>57.793999999999997</v>
      </c>
      <c r="C1295">
        <f>SUMIFS(co2_mm_mlo!$D$42:$D$863,co2_mm_mlo!$A$42:$A$863,VALUE(RIGHT(A1295,4)),co2_mm_mlo!$B$42:$B$863,VALUE(LEFT(A1295,FIND("/",A1295)-1)))</f>
        <v>346.72</v>
      </c>
    </row>
    <row r="1296" spans="1:3" ht="15" customHeight="1">
      <c r="A1296" t="s">
        <v>1359</v>
      </c>
      <c r="B1296" s="15">
        <f>'Temp Dev, C, F'!D1296</f>
        <v>57.721999999999994</v>
      </c>
      <c r="C1296">
        <f>SUMIFS(co2_mm_mlo!$D$42:$D$863,co2_mm_mlo!$A$42:$A$863,VALUE(RIGHT(A1296,4)),co2_mm_mlo!$B$42:$B$863,VALUE(LEFT(A1296,FIND("/",A1296)-1)))</f>
        <v>348.08</v>
      </c>
    </row>
    <row r="1297" spans="1:3" ht="15" customHeight="1">
      <c r="A1297" t="s">
        <v>1360</v>
      </c>
      <c r="B1297" s="15">
        <f>'Temp Dev, C, F'!D1297</f>
        <v>58.028000000000006</v>
      </c>
      <c r="C1297">
        <f>SUMIFS(co2_mm_mlo!$D$42:$D$863,co2_mm_mlo!$A$42:$A$863,VALUE(RIGHT(A1297,4)),co2_mm_mlo!$B$42:$B$863,VALUE(LEFT(A1297,FIND("/",A1297)-1)))</f>
        <v>349.28</v>
      </c>
    </row>
    <row r="1298" spans="1:3" ht="15" customHeight="1">
      <c r="A1298" t="s">
        <v>1361</v>
      </c>
      <c r="B1298" s="15">
        <f>'Temp Dev, C, F'!D1298</f>
        <v>58.225999999999999</v>
      </c>
      <c r="C1298">
        <f>SUMIFS(co2_mm_mlo!$D$42:$D$863,co2_mm_mlo!$A$42:$A$863,VALUE(RIGHT(A1298,4)),co2_mm_mlo!$B$42:$B$863,VALUE(LEFT(A1298,FIND("/",A1298)-1)))</f>
        <v>350.51</v>
      </c>
    </row>
    <row r="1299" spans="1:3" ht="15" customHeight="1">
      <c r="A1299" t="s">
        <v>1362</v>
      </c>
      <c r="B1299" s="15">
        <f>'Temp Dev, C, F'!D1299</f>
        <v>57.992000000000004</v>
      </c>
      <c r="C1299">
        <f>SUMIFS(co2_mm_mlo!$D$42:$D$863,co2_mm_mlo!$A$42:$A$863,VALUE(RIGHT(A1299,4)),co2_mm_mlo!$B$42:$B$863,VALUE(LEFT(A1299,FIND("/",A1299)-1)))</f>
        <v>351.7</v>
      </c>
    </row>
    <row r="1300" spans="1:3" ht="15" customHeight="1">
      <c r="A1300" t="s">
        <v>1363</v>
      </c>
      <c r="B1300" s="15">
        <f>'Temp Dev, C, F'!D1300</f>
        <v>58.135999999999996</v>
      </c>
      <c r="C1300">
        <f>SUMIFS(co2_mm_mlo!$D$42:$D$863,co2_mm_mlo!$A$42:$A$863,VALUE(RIGHT(A1300,4)),co2_mm_mlo!$B$42:$B$863,VALUE(LEFT(A1300,FIND("/",A1300)-1)))</f>
        <v>352.5</v>
      </c>
    </row>
    <row r="1301" spans="1:3" ht="15" customHeight="1">
      <c r="A1301" t="s">
        <v>1364</v>
      </c>
      <c r="B1301" s="15">
        <f>'Temp Dev, C, F'!D1301</f>
        <v>57.974000000000004</v>
      </c>
      <c r="C1301">
        <f>SUMIFS(co2_mm_mlo!$D$42:$D$863,co2_mm_mlo!$A$42:$A$863,VALUE(RIGHT(A1301,4)),co2_mm_mlo!$B$42:$B$863,VALUE(LEFT(A1301,FIND("/",A1301)-1)))</f>
        <v>353.67</v>
      </c>
    </row>
    <row r="1302" spans="1:3" ht="15" customHeight="1">
      <c r="A1302" t="s">
        <v>1365</v>
      </c>
      <c r="B1302" s="15">
        <f>'Temp Dev, C, F'!D1302</f>
        <v>57.992000000000004</v>
      </c>
      <c r="C1302">
        <f>SUMIFS(co2_mm_mlo!$D$42:$D$863,co2_mm_mlo!$A$42:$A$863,VALUE(RIGHT(A1302,4)),co2_mm_mlo!$B$42:$B$863,VALUE(LEFT(A1302,FIND("/",A1302)-1)))</f>
        <v>354.35</v>
      </c>
    </row>
    <row r="1303" spans="1:3" ht="15" customHeight="1">
      <c r="A1303" t="s">
        <v>1366</v>
      </c>
      <c r="B1303" s="15">
        <f>'Temp Dev, C, F'!D1303</f>
        <v>57.92</v>
      </c>
      <c r="C1303">
        <f>SUMIFS(co2_mm_mlo!$D$42:$D$863,co2_mm_mlo!$A$42:$A$863,VALUE(RIGHT(A1303,4)),co2_mm_mlo!$B$42:$B$863,VALUE(LEFT(A1303,FIND("/",A1303)-1)))</f>
        <v>353.88</v>
      </c>
    </row>
    <row r="1304" spans="1:3" ht="15" customHeight="1">
      <c r="A1304" t="s">
        <v>1367</v>
      </c>
      <c r="B1304" s="15">
        <f>'Temp Dev, C, F'!D1304</f>
        <v>57.793999999999997</v>
      </c>
      <c r="C1304">
        <f>SUMIFS(co2_mm_mlo!$D$42:$D$863,co2_mm_mlo!$A$42:$A$863,VALUE(RIGHT(A1304,4)),co2_mm_mlo!$B$42:$B$863,VALUE(LEFT(A1304,FIND("/",A1304)-1)))</f>
        <v>352.8</v>
      </c>
    </row>
    <row r="1305" spans="1:3" ht="15" customHeight="1">
      <c r="A1305" t="s">
        <v>1368</v>
      </c>
      <c r="B1305" s="15">
        <f>'Temp Dev, C, F'!D1305</f>
        <v>57.902000000000001</v>
      </c>
      <c r="C1305">
        <f>SUMIFS(co2_mm_mlo!$D$42:$D$863,co2_mm_mlo!$A$42:$A$863,VALUE(RIGHT(A1305,4)),co2_mm_mlo!$B$42:$B$863,VALUE(LEFT(A1305,FIND("/",A1305)-1)))</f>
        <v>350.49</v>
      </c>
    </row>
    <row r="1306" spans="1:3" ht="15" customHeight="1">
      <c r="A1306" t="s">
        <v>1369</v>
      </c>
      <c r="B1306" s="15">
        <f>'Temp Dev, C, F'!D1306</f>
        <v>57.866</v>
      </c>
      <c r="C1306">
        <f>SUMIFS(co2_mm_mlo!$D$42:$D$863,co2_mm_mlo!$A$42:$A$863,VALUE(RIGHT(A1306,4)),co2_mm_mlo!$B$42:$B$863,VALUE(LEFT(A1306,FIND("/",A1306)-1)))</f>
        <v>348.97</v>
      </c>
    </row>
    <row r="1307" spans="1:3" ht="15" customHeight="1">
      <c r="A1307" t="s">
        <v>1370</v>
      </c>
      <c r="B1307" s="15">
        <f>'Temp Dev, C, F'!D1307</f>
        <v>57.884</v>
      </c>
      <c r="C1307">
        <f>SUMIFS(co2_mm_mlo!$D$42:$D$863,co2_mm_mlo!$A$42:$A$863,VALUE(RIGHT(A1307,4)),co2_mm_mlo!$B$42:$B$863,VALUE(LEFT(A1307,FIND("/",A1307)-1)))</f>
        <v>349.37</v>
      </c>
    </row>
    <row r="1308" spans="1:3" ht="15" customHeight="1">
      <c r="A1308" t="s">
        <v>1371</v>
      </c>
      <c r="B1308" s="15">
        <f>'Temp Dev, C, F'!D1308</f>
        <v>57.415999999999997</v>
      </c>
      <c r="C1308">
        <f>SUMIFS(co2_mm_mlo!$D$42:$D$863,co2_mm_mlo!$A$42:$A$863,VALUE(RIGHT(A1308,4)),co2_mm_mlo!$B$42:$B$863,VALUE(LEFT(A1308,FIND("/",A1308)-1)))</f>
        <v>350.42</v>
      </c>
    </row>
    <row r="1309" spans="1:3" ht="15" customHeight="1">
      <c r="A1309" t="s">
        <v>1372</v>
      </c>
      <c r="B1309" s="15">
        <f>'Temp Dev, C, F'!D1309</f>
        <v>57.721999999999994</v>
      </c>
      <c r="C1309">
        <f>SUMIFS(co2_mm_mlo!$D$42:$D$863,co2_mm_mlo!$A$42:$A$863,VALUE(RIGHT(A1309,4)),co2_mm_mlo!$B$42:$B$863,VALUE(LEFT(A1309,FIND("/",A1309)-1)))</f>
        <v>351.62</v>
      </c>
    </row>
    <row r="1310" spans="1:3" ht="15" customHeight="1">
      <c r="A1310" t="s">
        <v>1373</v>
      </c>
      <c r="B1310" s="15">
        <f>'Temp Dev, C, F'!D1310</f>
        <v>57.415999999999997</v>
      </c>
      <c r="C1310">
        <f>SUMIFS(co2_mm_mlo!$D$42:$D$863,co2_mm_mlo!$A$42:$A$863,VALUE(RIGHT(A1310,4)),co2_mm_mlo!$B$42:$B$863,VALUE(LEFT(A1310,FIND("/",A1310)-1)))</f>
        <v>353.07</v>
      </c>
    </row>
    <row r="1311" spans="1:3" ht="15" customHeight="1">
      <c r="A1311" t="s">
        <v>1374</v>
      </c>
      <c r="B1311" s="15">
        <f>'Temp Dev, C, F'!D1311</f>
        <v>57.74</v>
      </c>
      <c r="C1311">
        <f>SUMIFS(co2_mm_mlo!$D$42:$D$863,co2_mm_mlo!$A$42:$A$863,VALUE(RIGHT(A1311,4)),co2_mm_mlo!$B$42:$B$863,VALUE(LEFT(A1311,FIND("/",A1311)-1)))</f>
        <v>353.43</v>
      </c>
    </row>
    <row r="1312" spans="1:3" ht="15" customHeight="1">
      <c r="A1312" t="s">
        <v>1375</v>
      </c>
      <c r="B1312" s="15">
        <f>'Temp Dev, C, F'!D1312</f>
        <v>57.847999999999999</v>
      </c>
      <c r="C1312">
        <f>SUMIFS(co2_mm_mlo!$D$42:$D$863,co2_mm_mlo!$A$42:$A$863,VALUE(RIGHT(A1312,4)),co2_mm_mlo!$B$42:$B$863,VALUE(LEFT(A1312,FIND("/",A1312)-1)))</f>
        <v>354.08</v>
      </c>
    </row>
    <row r="1313" spans="1:3" ht="15" customHeight="1">
      <c r="A1313" t="s">
        <v>1376</v>
      </c>
      <c r="B1313" s="15">
        <f>'Temp Dev, C, F'!D1313</f>
        <v>57.721999999999994</v>
      </c>
      <c r="C1313">
        <f>SUMIFS(co2_mm_mlo!$D$42:$D$863,co2_mm_mlo!$A$42:$A$863,VALUE(RIGHT(A1313,4)),co2_mm_mlo!$B$42:$B$863,VALUE(LEFT(A1313,FIND("/",A1313)-1)))</f>
        <v>355.72</v>
      </c>
    </row>
    <row r="1314" spans="1:3" ht="15" customHeight="1">
      <c r="A1314" t="s">
        <v>1377</v>
      </c>
      <c r="B1314" s="15">
        <f>'Temp Dev, C, F'!D1314</f>
        <v>57.524000000000001</v>
      </c>
      <c r="C1314">
        <f>SUMIFS(co2_mm_mlo!$D$42:$D$863,co2_mm_mlo!$A$42:$A$863,VALUE(RIGHT(A1314,4)),co2_mm_mlo!$B$42:$B$863,VALUE(LEFT(A1314,FIND("/",A1314)-1)))</f>
        <v>355.95</v>
      </c>
    </row>
    <row r="1315" spans="1:3" ht="15" customHeight="1">
      <c r="A1315" t="s">
        <v>1378</v>
      </c>
      <c r="B1315" s="15">
        <f>'Temp Dev, C, F'!D1315</f>
        <v>57.47</v>
      </c>
      <c r="C1315">
        <f>SUMIFS(co2_mm_mlo!$D$42:$D$863,co2_mm_mlo!$A$42:$A$863,VALUE(RIGHT(A1315,4)),co2_mm_mlo!$B$42:$B$863,VALUE(LEFT(A1315,FIND("/",A1315)-1)))</f>
        <v>355.44</v>
      </c>
    </row>
    <row r="1316" spans="1:3" ht="15" customHeight="1">
      <c r="A1316" t="s">
        <v>1379</v>
      </c>
      <c r="B1316" s="15">
        <f>'Temp Dev, C, F'!D1316</f>
        <v>57.83</v>
      </c>
      <c r="C1316">
        <f>SUMIFS(co2_mm_mlo!$D$42:$D$863,co2_mm_mlo!$A$42:$A$863,VALUE(RIGHT(A1316,4)),co2_mm_mlo!$B$42:$B$863,VALUE(LEFT(A1316,FIND("/",A1316)-1)))</f>
        <v>354.05</v>
      </c>
    </row>
    <row r="1317" spans="1:3" ht="15" customHeight="1">
      <c r="A1317" t="s">
        <v>1380</v>
      </c>
      <c r="B1317" s="15">
        <f>'Temp Dev, C, F'!D1317</f>
        <v>57.793999999999997</v>
      </c>
      <c r="C1317">
        <f>SUMIFS(co2_mm_mlo!$D$42:$D$863,co2_mm_mlo!$A$42:$A$863,VALUE(RIGHT(A1317,4)),co2_mm_mlo!$B$42:$B$863,VALUE(LEFT(A1317,FIND("/",A1317)-1)))</f>
        <v>351.84</v>
      </c>
    </row>
    <row r="1318" spans="1:3" ht="15" customHeight="1">
      <c r="A1318" t="s">
        <v>1381</v>
      </c>
      <c r="B1318" s="15">
        <f>'Temp Dev, C, F'!D1318</f>
        <v>57.83</v>
      </c>
      <c r="C1318">
        <f>SUMIFS(co2_mm_mlo!$D$42:$D$863,co2_mm_mlo!$A$42:$A$863,VALUE(RIGHT(A1318,4)),co2_mm_mlo!$B$42:$B$863,VALUE(LEFT(A1318,FIND("/",A1318)-1)))</f>
        <v>350.09</v>
      </c>
    </row>
    <row r="1319" spans="1:3" ht="15" customHeight="1">
      <c r="A1319" t="s">
        <v>1382</v>
      </c>
      <c r="B1319" s="15">
        <f>'Temp Dev, C, F'!D1319</f>
        <v>57.721999999999994</v>
      </c>
      <c r="C1319">
        <f>SUMIFS(co2_mm_mlo!$D$42:$D$863,co2_mm_mlo!$A$42:$A$863,VALUE(RIGHT(A1319,4)),co2_mm_mlo!$B$42:$B$863,VALUE(LEFT(A1319,FIND("/",A1319)-1)))</f>
        <v>350.33</v>
      </c>
    </row>
    <row r="1320" spans="1:3" ht="15" customHeight="1">
      <c r="A1320" t="s">
        <v>1383</v>
      </c>
      <c r="B1320" s="15">
        <f>'Temp Dev, C, F'!D1320</f>
        <v>57.56</v>
      </c>
      <c r="C1320">
        <f>SUMIFS(co2_mm_mlo!$D$42:$D$863,co2_mm_mlo!$A$42:$A$863,VALUE(RIGHT(A1320,4)),co2_mm_mlo!$B$42:$B$863,VALUE(LEFT(A1320,FIND("/",A1320)-1)))</f>
        <v>351.55</v>
      </c>
    </row>
    <row r="1321" spans="1:3" ht="15" customHeight="1">
      <c r="A1321" t="s">
        <v>1384</v>
      </c>
      <c r="B1321" s="15">
        <f>'Temp Dev, C, F'!D1321</f>
        <v>57.866</v>
      </c>
      <c r="C1321">
        <f>SUMIFS(co2_mm_mlo!$D$42:$D$863,co2_mm_mlo!$A$42:$A$863,VALUE(RIGHT(A1321,4)),co2_mm_mlo!$B$42:$B$863,VALUE(LEFT(A1321,FIND("/",A1321)-1)))</f>
        <v>352.91</v>
      </c>
    </row>
    <row r="1322" spans="1:3" ht="15" customHeight="1">
      <c r="A1322" t="s">
        <v>1385</v>
      </c>
      <c r="B1322" s="15">
        <f>'Temp Dev, C, F'!D1322</f>
        <v>57.956000000000003</v>
      </c>
      <c r="C1322">
        <f>SUMIFS(co2_mm_mlo!$D$42:$D$863,co2_mm_mlo!$A$42:$A$863,VALUE(RIGHT(A1322,4)),co2_mm_mlo!$B$42:$B$863,VALUE(LEFT(A1322,FIND("/",A1322)-1)))</f>
        <v>353.86</v>
      </c>
    </row>
    <row r="1323" spans="1:3" ht="15" customHeight="1">
      <c r="A1323" t="s">
        <v>1386</v>
      </c>
      <c r="B1323" s="15">
        <f>'Temp Dev, C, F'!D1323</f>
        <v>57.992000000000004</v>
      </c>
      <c r="C1323">
        <f>SUMIFS(co2_mm_mlo!$D$42:$D$863,co2_mm_mlo!$A$42:$A$863,VALUE(RIGHT(A1323,4)),co2_mm_mlo!$B$42:$B$863,VALUE(LEFT(A1323,FIND("/",A1323)-1)))</f>
        <v>355.1</v>
      </c>
    </row>
    <row r="1324" spans="1:3" ht="15" customHeight="1">
      <c r="A1324" t="s">
        <v>1387</v>
      </c>
      <c r="B1324" s="15">
        <f>'Temp Dev, C, F'!D1324</f>
        <v>58.64</v>
      </c>
      <c r="C1324">
        <f>SUMIFS(co2_mm_mlo!$D$42:$D$863,co2_mm_mlo!$A$42:$A$863,VALUE(RIGHT(A1324,4)),co2_mm_mlo!$B$42:$B$863,VALUE(LEFT(A1324,FIND("/",A1324)-1)))</f>
        <v>355.75</v>
      </c>
    </row>
    <row r="1325" spans="1:3" ht="15" customHeight="1">
      <c r="A1325" t="s">
        <v>1388</v>
      </c>
      <c r="B1325" s="15">
        <f>'Temp Dev, C, F'!D1325</f>
        <v>58.207999999999998</v>
      </c>
      <c r="C1325">
        <f>SUMIFS(co2_mm_mlo!$D$42:$D$863,co2_mm_mlo!$A$42:$A$863,VALUE(RIGHT(A1325,4)),co2_mm_mlo!$B$42:$B$863,VALUE(LEFT(A1325,FIND("/",A1325)-1)))</f>
        <v>356.38</v>
      </c>
    </row>
    <row r="1326" spans="1:3" ht="15" customHeight="1">
      <c r="A1326" t="s">
        <v>1389</v>
      </c>
      <c r="B1326" s="15">
        <f>'Temp Dev, C, F'!D1326</f>
        <v>58.028000000000006</v>
      </c>
      <c r="C1326">
        <f>SUMIFS(co2_mm_mlo!$D$42:$D$863,co2_mm_mlo!$A$42:$A$863,VALUE(RIGHT(A1326,4)),co2_mm_mlo!$B$42:$B$863,VALUE(LEFT(A1326,FIND("/",A1326)-1)))</f>
        <v>357.38</v>
      </c>
    </row>
    <row r="1327" spans="1:3" ht="15" customHeight="1">
      <c r="A1327" t="s">
        <v>1390</v>
      </c>
      <c r="B1327" s="15">
        <f>'Temp Dev, C, F'!D1327</f>
        <v>57.866</v>
      </c>
      <c r="C1327">
        <f>SUMIFS(co2_mm_mlo!$D$42:$D$863,co2_mm_mlo!$A$42:$A$863,VALUE(RIGHT(A1327,4)),co2_mm_mlo!$B$42:$B$863,VALUE(LEFT(A1327,FIND("/",A1327)-1)))</f>
        <v>356.39</v>
      </c>
    </row>
    <row r="1328" spans="1:3" ht="15" customHeight="1">
      <c r="A1328" t="s">
        <v>1391</v>
      </c>
      <c r="B1328" s="15">
        <f>'Temp Dev, C, F'!D1328</f>
        <v>58.028000000000006</v>
      </c>
      <c r="C1328">
        <f>SUMIFS(co2_mm_mlo!$D$42:$D$863,co2_mm_mlo!$A$42:$A$863,VALUE(RIGHT(A1328,4)),co2_mm_mlo!$B$42:$B$863,VALUE(LEFT(A1328,FIND("/",A1328)-1)))</f>
        <v>354.89</v>
      </c>
    </row>
    <row r="1329" spans="1:3" ht="15" customHeight="1">
      <c r="A1329" t="s">
        <v>1392</v>
      </c>
      <c r="B1329" s="15">
        <f>'Temp Dev, C, F'!D1329</f>
        <v>57.811999999999998</v>
      </c>
      <c r="C1329">
        <f>SUMIFS(co2_mm_mlo!$D$42:$D$863,co2_mm_mlo!$A$42:$A$863,VALUE(RIGHT(A1329,4)),co2_mm_mlo!$B$42:$B$863,VALUE(LEFT(A1329,FIND("/",A1329)-1)))</f>
        <v>353.06</v>
      </c>
    </row>
    <row r="1330" spans="1:3" ht="15" customHeight="1">
      <c r="A1330" t="s">
        <v>1393</v>
      </c>
      <c r="B1330" s="15">
        <f>'Temp Dev, C, F'!D1330</f>
        <v>57.614000000000004</v>
      </c>
      <c r="C1330">
        <f>SUMIFS(co2_mm_mlo!$D$42:$D$863,co2_mm_mlo!$A$42:$A$863,VALUE(RIGHT(A1330,4)),co2_mm_mlo!$B$42:$B$863,VALUE(LEFT(A1330,FIND("/",A1330)-1)))</f>
        <v>351.38</v>
      </c>
    </row>
    <row r="1331" spans="1:3" ht="15" customHeight="1">
      <c r="A1331" t="s">
        <v>1394</v>
      </c>
      <c r="B1331" s="15">
        <f>'Temp Dev, C, F'!D1331</f>
        <v>58.01</v>
      </c>
      <c r="C1331">
        <f>SUMIFS(co2_mm_mlo!$D$42:$D$863,co2_mm_mlo!$A$42:$A$863,VALUE(RIGHT(A1331,4)),co2_mm_mlo!$B$42:$B$863,VALUE(LEFT(A1331,FIND("/",A1331)-1)))</f>
        <v>351.69</v>
      </c>
    </row>
    <row r="1332" spans="1:3" ht="15" customHeight="1">
      <c r="A1332" t="s">
        <v>1395</v>
      </c>
      <c r="B1332" s="15">
        <f>'Temp Dev, C, F'!D1332</f>
        <v>58.028000000000006</v>
      </c>
      <c r="C1332">
        <f>SUMIFS(co2_mm_mlo!$D$42:$D$863,co2_mm_mlo!$A$42:$A$863,VALUE(RIGHT(A1332,4)),co2_mm_mlo!$B$42:$B$863,VALUE(LEFT(A1332,FIND("/",A1332)-1)))</f>
        <v>353.14</v>
      </c>
    </row>
    <row r="1333" spans="1:3" ht="15" customHeight="1">
      <c r="A1333" t="s">
        <v>1396</v>
      </c>
      <c r="B1333" s="15">
        <f>'Temp Dev, C, F'!D1333</f>
        <v>57.92</v>
      </c>
      <c r="C1333">
        <f>SUMIFS(co2_mm_mlo!$D$42:$D$863,co2_mm_mlo!$A$42:$A$863,VALUE(RIGHT(A1333,4)),co2_mm_mlo!$B$42:$B$863,VALUE(LEFT(A1333,FIND("/",A1333)-1)))</f>
        <v>354.41</v>
      </c>
    </row>
    <row r="1334" spans="1:3" ht="15" customHeight="1">
      <c r="A1334" t="s">
        <v>1397</v>
      </c>
      <c r="B1334" s="15">
        <f>'Temp Dev, C, F'!D1334</f>
        <v>57.974000000000004</v>
      </c>
      <c r="C1334">
        <f>SUMIFS(co2_mm_mlo!$D$42:$D$863,co2_mm_mlo!$A$42:$A$863,VALUE(RIGHT(A1334,4)),co2_mm_mlo!$B$42:$B$863,VALUE(LEFT(A1334,FIND("/",A1334)-1)))</f>
        <v>354.93</v>
      </c>
    </row>
    <row r="1335" spans="1:3" ht="15" customHeight="1">
      <c r="A1335" t="s">
        <v>1398</v>
      </c>
      <c r="B1335" s="15">
        <f>'Temp Dev, C, F'!D1335</f>
        <v>58.1</v>
      </c>
      <c r="C1335">
        <f>SUMIFS(co2_mm_mlo!$D$42:$D$863,co2_mm_mlo!$A$42:$A$863,VALUE(RIGHT(A1335,4)),co2_mm_mlo!$B$42:$B$863,VALUE(LEFT(A1335,FIND("/",A1335)-1)))</f>
        <v>355.82</v>
      </c>
    </row>
    <row r="1336" spans="1:3" ht="15" customHeight="1">
      <c r="A1336" t="s">
        <v>1399</v>
      </c>
      <c r="B1336" s="15">
        <f>'Temp Dev, C, F'!D1336</f>
        <v>57.847999999999999</v>
      </c>
      <c r="C1336">
        <f>SUMIFS(co2_mm_mlo!$D$42:$D$863,co2_mm_mlo!$A$42:$A$863,VALUE(RIGHT(A1336,4)),co2_mm_mlo!$B$42:$B$863,VALUE(LEFT(A1336,FIND("/",A1336)-1)))</f>
        <v>357.33</v>
      </c>
    </row>
    <row r="1337" spans="1:3" ht="15" customHeight="1">
      <c r="A1337" t="s">
        <v>1400</v>
      </c>
      <c r="B1337" s="15">
        <f>'Temp Dev, C, F'!D1337</f>
        <v>58.117999999999995</v>
      </c>
      <c r="C1337">
        <f>SUMIFS(co2_mm_mlo!$D$42:$D$863,co2_mm_mlo!$A$42:$A$863,VALUE(RIGHT(A1337,4)),co2_mm_mlo!$B$42:$B$863,VALUE(LEFT(A1337,FIND("/",A1337)-1)))</f>
        <v>358.77</v>
      </c>
    </row>
    <row r="1338" spans="1:3" ht="15" customHeight="1">
      <c r="A1338" t="s">
        <v>1401</v>
      </c>
      <c r="B1338" s="15">
        <f>'Temp Dev, C, F'!D1338</f>
        <v>57.811999999999998</v>
      </c>
      <c r="C1338">
        <f>SUMIFS(co2_mm_mlo!$D$42:$D$863,co2_mm_mlo!$A$42:$A$863,VALUE(RIGHT(A1338,4)),co2_mm_mlo!$B$42:$B$863,VALUE(LEFT(A1338,FIND("/",A1338)-1)))</f>
        <v>359.23</v>
      </c>
    </row>
    <row r="1339" spans="1:3" ht="15" customHeight="1">
      <c r="A1339" t="s">
        <v>1402</v>
      </c>
      <c r="B1339" s="15">
        <f>'Temp Dev, C, F'!D1339</f>
        <v>58.153999999999996</v>
      </c>
      <c r="C1339">
        <f>SUMIFS(co2_mm_mlo!$D$42:$D$863,co2_mm_mlo!$A$42:$A$863,VALUE(RIGHT(A1339,4)),co2_mm_mlo!$B$42:$B$863,VALUE(LEFT(A1339,FIND("/",A1339)-1)))</f>
        <v>358.23</v>
      </c>
    </row>
    <row r="1340" spans="1:3" ht="15" customHeight="1">
      <c r="A1340" t="s">
        <v>1403</v>
      </c>
      <c r="B1340" s="15">
        <f>'Temp Dev, C, F'!D1340</f>
        <v>58.064</v>
      </c>
      <c r="C1340">
        <f>SUMIFS(co2_mm_mlo!$D$42:$D$863,co2_mm_mlo!$A$42:$A$863,VALUE(RIGHT(A1340,4)),co2_mm_mlo!$B$42:$B$863,VALUE(LEFT(A1340,FIND("/",A1340)-1)))</f>
        <v>356.3</v>
      </c>
    </row>
    <row r="1341" spans="1:3" ht="15" customHeight="1">
      <c r="A1341" t="s">
        <v>1404</v>
      </c>
      <c r="B1341" s="15">
        <f>'Temp Dev, C, F'!D1341</f>
        <v>57.902000000000001</v>
      </c>
      <c r="C1341">
        <f>SUMIFS(co2_mm_mlo!$D$42:$D$863,co2_mm_mlo!$A$42:$A$863,VALUE(RIGHT(A1341,4)),co2_mm_mlo!$B$42:$B$863,VALUE(LEFT(A1341,FIND("/",A1341)-1)))</f>
        <v>353.97</v>
      </c>
    </row>
    <row r="1342" spans="1:3" ht="15" customHeight="1">
      <c r="A1342" t="s">
        <v>1405</v>
      </c>
      <c r="B1342" s="15">
        <f>'Temp Dev, C, F'!D1342</f>
        <v>57.992000000000004</v>
      </c>
      <c r="C1342">
        <f>SUMIFS(co2_mm_mlo!$D$42:$D$863,co2_mm_mlo!$A$42:$A$863,VALUE(RIGHT(A1342,4)),co2_mm_mlo!$B$42:$B$863,VALUE(LEFT(A1342,FIND("/",A1342)-1)))</f>
        <v>352.34</v>
      </c>
    </row>
    <row r="1343" spans="1:3" ht="15" customHeight="1">
      <c r="A1343" t="s">
        <v>1406</v>
      </c>
      <c r="B1343" s="15">
        <f>'Temp Dev, C, F'!D1343</f>
        <v>57.721999999999994</v>
      </c>
      <c r="C1343">
        <f>SUMIFS(co2_mm_mlo!$D$42:$D$863,co2_mm_mlo!$A$42:$A$863,VALUE(RIGHT(A1343,4)),co2_mm_mlo!$B$42:$B$863,VALUE(LEFT(A1343,FIND("/",A1343)-1)))</f>
        <v>352.43</v>
      </c>
    </row>
    <row r="1344" spans="1:3" ht="15" customHeight="1">
      <c r="A1344" t="s">
        <v>1407</v>
      </c>
      <c r="B1344" s="15">
        <f>'Temp Dev, C, F'!D1344</f>
        <v>57.74</v>
      </c>
      <c r="C1344">
        <f>SUMIFS(co2_mm_mlo!$D$42:$D$863,co2_mm_mlo!$A$42:$A$863,VALUE(RIGHT(A1344,4)),co2_mm_mlo!$B$42:$B$863,VALUE(LEFT(A1344,FIND("/",A1344)-1)))</f>
        <v>353.89</v>
      </c>
    </row>
    <row r="1345" spans="1:3" ht="15" customHeight="1">
      <c r="A1345" t="s">
        <v>1408</v>
      </c>
      <c r="B1345" s="15">
        <f>'Temp Dev, C, F'!D1345</f>
        <v>57.775999999999996</v>
      </c>
      <c r="C1345">
        <f>SUMIFS(co2_mm_mlo!$D$42:$D$863,co2_mm_mlo!$A$42:$A$863,VALUE(RIGHT(A1345,4)),co2_mm_mlo!$B$42:$B$863,VALUE(LEFT(A1345,FIND("/",A1345)-1)))</f>
        <v>355.21</v>
      </c>
    </row>
    <row r="1346" spans="1:3" ht="15" customHeight="1">
      <c r="A1346" t="s">
        <v>1409</v>
      </c>
      <c r="B1346" s="15">
        <f>'Temp Dev, C, F'!D1346</f>
        <v>58.064</v>
      </c>
      <c r="C1346">
        <f>SUMIFS(co2_mm_mlo!$D$42:$D$863,co2_mm_mlo!$A$42:$A$863,VALUE(RIGHT(A1346,4)),co2_mm_mlo!$B$42:$B$863,VALUE(LEFT(A1346,FIND("/",A1346)-1)))</f>
        <v>356.34</v>
      </c>
    </row>
    <row r="1347" spans="1:3" ht="15" customHeight="1">
      <c r="A1347" t="s">
        <v>1410</v>
      </c>
      <c r="B1347" s="15">
        <f>'Temp Dev, C, F'!D1347</f>
        <v>57.92</v>
      </c>
      <c r="C1347">
        <f>SUMIFS(co2_mm_mlo!$D$42:$D$863,co2_mm_mlo!$A$42:$A$863,VALUE(RIGHT(A1347,4)),co2_mm_mlo!$B$42:$B$863,VALUE(LEFT(A1347,FIND("/",A1347)-1)))</f>
        <v>357.21</v>
      </c>
    </row>
    <row r="1348" spans="1:3" ht="15" customHeight="1">
      <c r="A1348" t="s">
        <v>1411</v>
      </c>
      <c r="B1348" s="15">
        <f>'Temp Dev, C, F'!D1348</f>
        <v>58.064</v>
      </c>
      <c r="C1348">
        <f>SUMIFS(co2_mm_mlo!$D$42:$D$863,co2_mm_mlo!$A$42:$A$863,VALUE(RIGHT(A1348,4)),co2_mm_mlo!$B$42:$B$863,VALUE(LEFT(A1348,FIND("/",A1348)-1)))</f>
        <v>357.97</v>
      </c>
    </row>
    <row r="1349" spans="1:3" ht="15" customHeight="1">
      <c r="A1349" t="s">
        <v>1412</v>
      </c>
      <c r="B1349" s="15">
        <f>'Temp Dev, C, F'!D1349</f>
        <v>57.704000000000001</v>
      </c>
      <c r="C1349">
        <f>SUMIFS(co2_mm_mlo!$D$42:$D$863,co2_mm_mlo!$A$42:$A$863,VALUE(RIGHT(A1349,4)),co2_mm_mlo!$B$42:$B$863,VALUE(LEFT(A1349,FIND("/",A1349)-1)))</f>
        <v>359.22</v>
      </c>
    </row>
    <row r="1350" spans="1:3" ht="15" customHeight="1">
      <c r="A1350" t="s">
        <v>1413</v>
      </c>
      <c r="B1350" s="15">
        <f>'Temp Dev, C, F'!D1350</f>
        <v>57.758000000000003</v>
      </c>
      <c r="C1350">
        <f>SUMIFS(co2_mm_mlo!$D$42:$D$863,co2_mm_mlo!$A$42:$A$863,VALUE(RIGHT(A1350,4)),co2_mm_mlo!$B$42:$B$863,VALUE(LEFT(A1350,FIND("/",A1350)-1)))</f>
        <v>359.71</v>
      </c>
    </row>
    <row r="1351" spans="1:3" ht="15" customHeight="1">
      <c r="A1351" t="s">
        <v>1414</v>
      </c>
      <c r="B1351" s="15">
        <f>'Temp Dev, C, F'!D1351</f>
        <v>57.667999999999999</v>
      </c>
      <c r="C1351">
        <f>SUMIFS(co2_mm_mlo!$D$42:$D$863,co2_mm_mlo!$A$42:$A$863,VALUE(RIGHT(A1351,4)),co2_mm_mlo!$B$42:$B$863,VALUE(LEFT(A1351,FIND("/",A1351)-1)))</f>
        <v>359.44</v>
      </c>
    </row>
    <row r="1352" spans="1:3" ht="15" customHeight="1">
      <c r="A1352" t="s">
        <v>1415</v>
      </c>
      <c r="B1352" s="15">
        <f>'Temp Dev, C, F'!D1352</f>
        <v>57.362000000000002</v>
      </c>
      <c r="C1352">
        <f>SUMIFS(co2_mm_mlo!$D$42:$D$863,co2_mm_mlo!$A$42:$A$863,VALUE(RIGHT(A1352,4)),co2_mm_mlo!$B$42:$B$863,VALUE(LEFT(A1352,FIND("/",A1352)-1)))</f>
        <v>357.15</v>
      </c>
    </row>
    <row r="1353" spans="1:3" ht="15" customHeight="1">
      <c r="A1353" t="s">
        <v>1416</v>
      </c>
      <c r="B1353" s="15">
        <f>'Temp Dev, C, F'!D1353</f>
        <v>57.344000000000001</v>
      </c>
      <c r="C1353">
        <f>SUMIFS(co2_mm_mlo!$D$42:$D$863,co2_mm_mlo!$A$42:$A$863,VALUE(RIGHT(A1353,4)),co2_mm_mlo!$B$42:$B$863,VALUE(LEFT(A1353,FIND("/",A1353)-1)))</f>
        <v>354.99</v>
      </c>
    </row>
    <row r="1354" spans="1:3" ht="15" customHeight="1">
      <c r="A1354" t="s">
        <v>1417</v>
      </c>
      <c r="B1354" s="15">
        <f>'Temp Dev, C, F'!D1354</f>
        <v>57.182000000000002</v>
      </c>
      <c r="C1354">
        <f>SUMIFS(co2_mm_mlo!$D$42:$D$863,co2_mm_mlo!$A$42:$A$863,VALUE(RIGHT(A1354,4)),co2_mm_mlo!$B$42:$B$863,VALUE(LEFT(A1354,FIND("/",A1354)-1)))</f>
        <v>353.01</v>
      </c>
    </row>
    <row r="1355" spans="1:3" ht="15" customHeight="1">
      <c r="A1355" t="s">
        <v>1418</v>
      </c>
      <c r="B1355" s="15">
        <f>'Temp Dev, C, F'!D1355</f>
        <v>57.326000000000001</v>
      </c>
      <c r="C1355">
        <f>SUMIFS(co2_mm_mlo!$D$42:$D$863,co2_mm_mlo!$A$42:$A$863,VALUE(RIGHT(A1355,4)),co2_mm_mlo!$B$42:$B$863,VALUE(LEFT(A1355,FIND("/",A1355)-1)))</f>
        <v>353.4</v>
      </c>
    </row>
    <row r="1356" spans="1:3" ht="15" customHeight="1">
      <c r="A1356" t="s">
        <v>1419</v>
      </c>
      <c r="B1356" s="15">
        <f>'Temp Dev, C, F'!D1356</f>
        <v>57.253999999999998</v>
      </c>
      <c r="C1356">
        <f>SUMIFS(co2_mm_mlo!$D$42:$D$863,co2_mm_mlo!$A$42:$A$863,VALUE(RIGHT(A1356,4)),co2_mm_mlo!$B$42:$B$863,VALUE(LEFT(A1356,FIND("/",A1356)-1)))</f>
        <v>354.42</v>
      </c>
    </row>
    <row r="1357" spans="1:3" ht="15" customHeight="1">
      <c r="A1357" t="s">
        <v>1420</v>
      </c>
      <c r="B1357" s="15">
        <f>'Temp Dev, C, F'!D1357</f>
        <v>57.596000000000004</v>
      </c>
      <c r="C1357">
        <f>SUMIFS(co2_mm_mlo!$D$42:$D$863,co2_mm_mlo!$A$42:$A$863,VALUE(RIGHT(A1357,4)),co2_mm_mlo!$B$42:$B$863,VALUE(LEFT(A1357,FIND("/",A1357)-1)))</f>
        <v>355.68</v>
      </c>
    </row>
    <row r="1358" spans="1:3" ht="15" customHeight="1">
      <c r="A1358" t="s">
        <v>1421</v>
      </c>
      <c r="B1358" s="15">
        <f>'Temp Dev, C, F'!D1358</f>
        <v>57.83</v>
      </c>
      <c r="C1358">
        <f>SUMIFS(co2_mm_mlo!$D$42:$D$863,co2_mm_mlo!$A$42:$A$863,VALUE(RIGHT(A1358,4)),co2_mm_mlo!$B$42:$B$863,VALUE(LEFT(A1358,FIND("/",A1358)-1)))</f>
        <v>357.1</v>
      </c>
    </row>
    <row r="1359" spans="1:3" ht="15" customHeight="1">
      <c r="A1359" t="s">
        <v>1422</v>
      </c>
      <c r="B1359" s="15">
        <f>'Temp Dev, C, F'!D1359</f>
        <v>57.866</v>
      </c>
      <c r="C1359">
        <f>SUMIFS(co2_mm_mlo!$D$42:$D$863,co2_mm_mlo!$A$42:$A$863,VALUE(RIGHT(A1359,4)),co2_mm_mlo!$B$42:$B$863,VALUE(LEFT(A1359,FIND("/",A1359)-1)))</f>
        <v>357.42</v>
      </c>
    </row>
    <row r="1360" spans="1:3" ht="15" customHeight="1">
      <c r="A1360" t="s">
        <v>1423</v>
      </c>
      <c r="B1360" s="15">
        <f>'Temp Dev, C, F'!D1360</f>
        <v>57.847999999999999</v>
      </c>
      <c r="C1360">
        <f>SUMIFS(co2_mm_mlo!$D$42:$D$863,co2_mm_mlo!$A$42:$A$863,VALUE(RIGHT(A1360,4)),co2_mm_mlo!$B$42:$B$863,VALUE(LEFT(A1360,FIND("/",A1360)-1)))</f>
        <v>358.59</v>
      </c>
    </row>
    <row r="1361" spans="1:3" ht="15" customHeight="1">
      <c r="A1361" t="s">
        <v>1424</v>
      </c>
      <c r="B1361" s="15">
        <f>'Temp Dev, C, F'!D1361</f>
        <v>57.704000000000001</v>
      </c>
      <c r="C1361">
        <f>SUMIFS(co2_mm_mlo!$D$42:$D$863,co2_mm_mlo!$A$42:$A$863,VALUE(RIGHT(A1361,4)),co2_mm_mlo!$B$42:$B$863,VALUE(LEFT(A1361,FIND("/",A1361)-1)))</f>
        <v>359.39</v>
      </c>
    </row>
    <row r="1362" spans="1:3" ht="15" customHeight="1">
      <c r="A1362" t="s">
        <v>1425</v>
      </c>
      <c r="B1362" s="15">
        <f>'Temp Dev, C, F'!D1362</f>
        <v>57.704000000000001</v>
      </c>
      <c r="C1362">
        <f>SUMIFS(co2_mm_mlo!$D$42:$D$863,co2_mm_mlo!$A$42:$A$863,VALUE(RIGHT(A1362,4)),co2_mm_mlo!$B$42:$B$863,VALUE(LEFT(A1362,FIND("/",A1362)-1)))</f>
        <v>360.3</v>
      </c>
    </row>
    <row r="1363" spans="1:3" ht="15" customHeight="1">
      <c r="A1363" t="s">
        <v>1426</v>
      </c>
      <c r="B1363" s="15">
        <f>'Temp Dev, C, F'!D1363</f>
        <v>57.614000000000004</v>
      </c>
      <c r="C1363">
        <f>SUMIFS(co2_mm_mlo!$D$42:$D$863,co2_mm_mlo!$A$42:$A$863,VALUE(RIGHT(A1363,4)),co2_mm_mlo!$B$42:$B$863,VALUE(LEFT(A1363,FIND("/",A1363)-1)))</f>
        <v>359.64</v>
      </c>
    </row>
    <row r="1364" spans="1:3" ht="15" customHeight="1">
      <c r="A1364" t="s">
        <v>1427</v>
      </c>
      <c r="B1364" s="15">
        <f>'Temp Dev, C, F'!D1364</f>
        <v>57.650000000000006</v>
      </c>
      <c r="C1364">
        <f>SUMIFS(co2_mm_mlo!$D$42:$D$863,co2_mm_mlo!$A$42:$A$863,VALUE(RIGHT(A1364,4)),co2_mm_mlo!$B$42:$B$863,VALUE(LEFT(A1364,FIND("/",A1364)-1)))</f>
        <v>357.45</v>
      </c>
    </row>
    <row r="1365" spans="1:3" ht="15" customHeight="1">
      <c r="A1365" t="s">
        <v>1428</v>
      </c>
      <c r="B1365" s="15">
        <f>'Temp Dev, C, F'!D1365</f>
        <v>57.397999999999996</v>
      </c>
      <c r="C1365">
        <f>SUMIFS(co2_mm_mlo!$D$42:$D$863,co2_mm_mlo!$A$42:$A$863,VALUE(RIGHT(A1365,4)),co2_mm_mlo!$B$42:$B$863,VALUE(LEFT(A1365,FIND("/",A1365)-1)))</f>
        <v>355.76</v>
      </c>
    </row>
    <row r="1366" spans="1:3" ht="15" customHeight="1">
      <c r="A1366" t="s">
        <v>1429</v>
      </c>
      <c r="B1366" s="15">
        <f>'Temp Dev, C, F'!D1366</f>
        <v>57.397999999999996</v>
      </c>
      <c r="C1366">
        <f>SUMIFS(co2_mm_mlo!$D$42:$D$863,co2_mm_mlo!$A$42:$A$863,VALUE(RIGHT(A1366,4)),co2_mm_mlo!$B$42:$B$863,VALUE(LEFT(A1366,FIND("/",A1366)-1)))</f>
        <v>354.14</v>
      </c>
    </row>
    <row r="1367" spans="1:3" ht="15" customHeight="1">
      <c r="A1367" t="s">
        <v>1430</v>
      </c>
      <c r="B1367" s="15">
        <f>'Temp Dev, C, F'!D1367</f>
        <v>57.632000000000005</v>
      </c>
      <c r="C1367">
        <f>SUMIFS(co2_mm_mlo!$D$42:$D$863,co2_mm_mlo!$A$42:$A$863,VALUE(RIGHT(A1367,4)),co2_mm_mlo!$B$42:$B$863,VALUE(LEFT(A1367,FIND("/",A1367)-1)))</f>
        <v>354.23</v>
      </c>
    </row>
    <row r="1368" spans="1:3" ht="15" customHeight="1">
      <c r="A1368" t="s">
        <v>1431</v>
      </c>
      <c r="B1368" s="15">
        <f>'Temp Dev, C, F'!D1368</f>
        <v>57.271999999999998</v>
      </c>
      <c r="C1368">
        <f>SUMIFS(co2_mm_mlo!$D$42:$D$863,co2_mm_mlo!$A$42:$A$863,VALUE(RIGHT(A1368,4)),co2_mm_mlo!$B$42:$B$863,VALUE(LEFT(A1368,FIND("/",A1368)-1)))</f>
        <v>355.53</v>
      </c>
    </row>
    <row r="1369" spans="1:3" ht="15" customHeight="1">
      <c r="A1369" t="s">
        <v>1432</v>
      </c>
      <c r="B1369" s="15">
        <f>'Temp Dev, C, F'!D1369</f>
        <v>57.524000000000001</v>
      </c>
      <c r="C1369">
        <f>SUMIFS(co2_mm_mlo!$D$42:$D$863,co2_mm_mlo!$A$42:$A$863,VALUE(RIGHT(A1369,4)),co2_mm_mlo!$B$42:$B$863,VALUE(LEFT(A1369,FIND("/",A1369)-1)))</f>
        <v>357.03</v>
      </c>
    </row>
    <row r="1370" spans="1:3" ht="15" customHeight="1">
      <c r="A1370" t="s">
        <v>1433</v>
      </c>
      <c r="B1370" s="15">
        <f>'Temp Dev, C, F'!D1370</f>
        <v>57.667999999999999</v>
      </c>
      <c r="C1370">
        <f>SUMIFS(co2_mm_mlo!$D$42:$D$863,co2_mm_mlo!$A$42:$A$863,VALUE(RIGHT(A1370,4)),co2_mm_mlo!$B$42:$B$863,VALUE(LEFT(A1370,FIND("/",A1370)-1)))</f>
        <v>358.36</v>
      </c>
    </row>
    <row r="1371" spans="1:3" ht="15" customHeight="1">
      <c r="A1371" t="s">
        <v>1434</v>
      </c>
      <c r="B1371" s="15">
        <f>'Temp Dev, C, F'!D1371</f>
        <v>57.236000000000004</v>
      </c>
      <c r="C1371">
        <f>SUMIFS(co2_mm_mlo!$D$42:$D$863,co2_mm_mlo!$A$42:$A$863,VALUE(RIGHT(A1371,4)),co2_mm_mlo!$B$42:$B$863,VALUE(LEFT(A1371,FIND("/",A1371)-1)))</f>
        <v>359.04</v>
      </c>
    </row>
    <row r="1372" spans="1:3" ht="15" customHeight="1">
      <c r="A1372" t="s">
        <v>1435</v>
      </c>
      <c r="B1372" s="15">
        <f>'Temp Dev, C, F'!D1372</f>
        <v>57.721999999999994</v>
      </c>
      <c r="C1372">
        <f>SUMIFS(co2_mm_mlo!$D$42:$D$863,co2_mm_mlo!$A$42:$A$863,VALUE(RIGHT(A1372,4)),co2_mm_mlo!$B$42:$B$863,VALUE(LEFT(A1372,FIND("/",A1372)-1)))</f>
        <v>360.11</v>
      </c>
    </row>
    <row r="1373" spans="1:3" ht="15" customHeight="1">
      <c r="A1373" t="s">
        <v>1436</v>
      </c>
      <c r="B1373" s="15">
        <f>'Temp Dev, C, F'!D1373</f>
        <v>57.938000000000002</v>
      </c>
      <c r="C1373">
        <f>SUMIFS(co2_mm_mlo!$D$42:$D$863,co2_mm_mlo!$A$42:$A$863,VALUE(RIGHT(A1373,4)),co2_mm_mlo!$B$42:$B$863,VALUE(LEFT(A1373,FIND("/",A1373)-1)))</f>
        <v>361.36</v>
      </c>
    </row>
    <row r="1374" spans="1:3" ht="15" customHeight="1">
      <c r="A1374" t="s">
        <v>1437</v>
      </c>
      <c r="B1374" s="15">
        <f>'Temp Dev, C, F'!D1374</f>
        <v>57.704000000000001</v>
      </c>
      <c r="C1374">
        <f>SUMIFS(co2_mm_mlo!$D$42:$D$863,co2_mm_mlo!$A$42:$A$863,VALUE(RIGHT(A1374,4)),co2_mm_mlo!$B$42:$B$863,VALUE(LEFT(A1374,FIND("/",A1374)-1)))</f>
        <v>361.78</v>
      </c>
    </row>
    <row r="1375" spans="1:3" ht="15" customHeight="1">
      <c r="A1375" t="s">
        <v>1438</v>
      </c>
      <c r="B1375" s="15">
        <f>'Temp Dev, C, F'!D1375</f>
        <v>57.974000000000004</v>
      </c>
      <c r="C1375">
        <f>SUMIFS(co2_mm_mlo!$D$42:$D$863,co2_mm_mlo!$A$42:$A$863,VALUE(RIGHT(A1375,4)),co2_mm_mlo!$B$42:$B$863,VALUE(LEFT(A1375,FIND("/",A1375)-1)))</f>
        <v>360.94</v>
      </c>
    </row>
    <row r="1376" spans="1:3" ht="15" customHeight="1">
      <c r="A1376" t="s">
        <v>1439</v>
      </c>
      <c r="B1376" s="15">
        <f>'Temp Dev, C, F'!D1376</f>
        <v>57.74</v>
      </c>
      <c r="C1376">
        <f>SUMIFS(co2_mm_mlo!$D$42:$D$863,co2_mm_mlo!$A$42:$A$863,VALUE(RIGHT(A1376,4)),co2_mm_mlo!$B$42:$B$863,VALUE(LEFT(A1376,FIND("/",A1376)-1)))</f>
        <v>359.51</v>
      </c>
    </row>
    <row r="1377" spans="1:3" ht="15" customHeight="1">
      <c r="A1377" t="s">
        <v>1440</v>
      </c>
      <c r="B1377" s="15">
        <f>'Temp Dev, C, F'!D1377</f>
        <v>57.596000000000004</v>
      </c>
      <c r="C1377">
        <f>SUMIFS(co2_mm_mlo!$D$42:$D$863,co2_mm_mlo!$A$42:$A$863,VALUE(RIGHT(A1377,4)),co2_mm_mlo!$B$42:$B$863,VALUE(LEFT(A1377,FIND("/",A1377)-1)))</f>
        <v>357.59</v>
      </c>
    </row>
    <row r="1378" spans="1:3" ht="15" customHeight="1">
      <c r="A1378" t="s">
        <v>1441</v>
      </c>
      <c r="B1378" s="15">
        <f>'Temp Dev, C, F'!D1378</f>
        <v>57.758000000000003</v>
      </c>
      <c r="C1378">
        <f>SUMIFS(co2_mm_mlo!$D$42:$D$863,co2_mm_mlo!$A$42:$A$863,VALUE(RIGHT(A1378,4)),co2_mm_mlo!$B$42:$B$863,VALUE(LEFT(A1378,FIND("/",A1378)-1)))</f>
        <v>355.86</v>
      </c>
    </row>
    <row r="1379" spans="1:3" ht="15" customHeight="1">
      <c r="A1379" t="s">
        <v>1442</v>
      </c>
      <c r="B1379" s="15">
        <f>'Temp Dev, C, F'!D1379</f>
        <v>57.974000000000004</v>
      </c>
      <c r="C1379">
        <f>SUMIFS(co2_mm_mlo!$D$42:$D$863,co2_mm_mlo!$A$42:$A$863,VALUE(RIGHT(A1379,4)),co2_mm_mlo!$B$42:$B$863,VALUE(LEFT(A1379,FIND("/",A1379)-1)))</f>
        <v>356.21</v>
      </c>
    </row>
    <row r="1380" spans="1:3" ht="15" customHeight="1">
      <c r="A1380" t="s">
        <v>1443</v>
      </c>
      <c r="B1380" s="15">
        <f>'Temp Dev, C, F'!D1380</f>
        <v>58.01</v>
      </c>
      <c r="C1380">
        <f>SUMIFS(co2_mm_mlo!$D$42:$D$863,co2_mm_mlo!$A$42:$A$863,VALUE(RIGHT(A1380,4)),co2_mm_mlo!$B$42:$B$863,VALUE(LEFT(A1380,FIND("/",A1380)-1)))</f>
        <v>357.65</v>
      </c>
    </row>
    <row r="1381" spans="1:3" ht="15" customHeight="1">
      <c r="A1381" t="s">
        <v>1444</v>
      </c>
      <c r="B1381" s="15">
        <f>'Temp Dev, C, F'!D1381</f>
        <v>57.902000000000001</v>
      </c>
      <c r="C1381">
        <f>SUMIFS(co2_mm_mlo!$D$42:$D$863,co2_mm_mlo!$A$42:$A$863,VALUE(RIGHT(A1381,4)),co2_mm_mlo!$B$42:$B$863,VALUE(LEFT(A1381,FIND("/",A1381)-1)))</f>
        <v>359.1</v>
      </c>
    </row>
    <row r="1382" spans="1:3" ht="15" customHeight="1">
      <c r="A1382" t="s">
        <v>1445</v>
      </c>
      <c r="B1382" s="15">
        <f>'Temp Dev, C, F'!D1382</f>
        <v>58.153999999999996</v>
      </c>
      <c r="C1382">
        <f>SUMIFS(co2_mm_mlo!$D$42:$D$863,co2_mm_mlo!$A$42:$A$863,VALUE(RIGHT(A1382,4)),co2_mm_mlo!$B$42:$B$863,VALUE(LEFT(A1382,FIND("/",A1382)-1)))</f>
        <v>360.04</v>
      </c>
    </row>
    <row r="1383" spans="1:3" ht="15" customHeight="1">
      <c r="A1383" t="s">
        <v>1446</v>
      </c>
      <c r="B1383" s="15">
        <f>'Temp Dev, C, F'!D1383</f>
        <v>58.622</v>
      </c>
      <c r="C1383">
        <f>SUMIFS(co2_mm_mlo!$D$42:$D$863,co2_mm_mlo!$A$42:$A$863,VALUE(RIGHT(A1383,4)),co2_mm_mlo!$B$42:$B$863,VALUE(LEFT(A1383,FIND("/",A1383)-1)))</f>
        <v>361</v>
      </c>
    </row>
    <row r="1384" spans="1:3" ht="15" customHeight="1">
      <c r="A1384" t="s">
        <v>1447</v>
      </c>
      <c r="B1384" s="15">
        <f>'Temp Dev, C, F'!D1384</f>
        <v>58.046000000000006</v>
      </c>
      <c r="C1384">
        <f>SUMIFS(co2_mm_mlo!$D$42:$D$863,co2_mm_mlo!$A$42:$A$863,VALUE(RIGHT(A1384,4)),co2_mm_mlo!$B$42:$B$863,VALUE(LEFT(A1384,FIND("/",A1384)-1)))</f>
        <v>361.98</v>
      </c>
    </row>
    <row r="1385" spans="1:3" ht="15" customHeight="1">
      <c r="A1385" t="s">
        <v>1448</v>
      </c>
      <c r="B1385" s="15">
        <f>'Temp Dev, C, F'!D1385</f>
        <v>58.046000000000006</v>
      </c>
      <c r="C1385">
        <f>SUMIFS(co2_mm_mlo!$D$42:$D$863,co2_mm_mlo!$A$42:$A$863,VALUE(RIGHT(A1385,4)),co2_mm_mlo!$B$42:$B$863,VALUE(LEFT(A1385,FIND("/",A1385)-1)))</f>
        <v>363.44</v>
      </c>
    </row>
    <row r="1386" spans="1:3" ht="15" customHeight="1">
      <c r="A1386" t="s">
        <v>1449</v>
      </c>
      <c r="B1386" s="15">
        <f>'Temp Dev, C, F'!D1386</f>
        <v>57.686</v>
      </c>
      <c r="C1386">
        <f>SUMIFS(co2_mm_mlo!$D$42:$D$863,co2_mm_mlo!$A$42:$A$863,VALUE(RIGHT(A1386,4)),co2_mm_mlo!$B$42:$B$863,VALUE(LEFT(A1386,FIND("/",A1386)-1)))</f>
        <v>363.83</v>
      </c>
    </row>
    <row r="1387" spans="1:3" ht="15" customHeight="1">
      <c r="A1387" t="s">
        <v>1450</v>
      </c>
      <c r="B1387" s="15">
        <f>'Temp Dev, C, F'!D1387</f>
        <v>57.974000000000004</v>
      </c>
      <c r="C1387">
        <f>SUMIFS(co2_mm_mlo!$D$42:$D$863,co2_mm_mlo!$A$42:$A$863,VALUE(RIGHT(A1387,4)),co2_mm_mlo!$B$42:$B$863,VALUE(LEFT(A1387,FIND("/",A1387)-1)))</f>
        <v>363.33</v>
      </c>
    </row>
    <row r="1388" spans="1:3" ht="15" customHeight="1">
      <c r="A1388" t="s">
        <v>1451</v>
      </c>
      <c r="B1388" s="15">
        <f>'Temp Dev, C, F'!D1388</f>
        <v>58.028000000000006</v>
      </c>
      <c r="C1388">
        <f>SUMIFS(co2_mm_mlo!$D$42:$D$863,co2_mm_mlo!$A$42:$A$863,VALUE(RIGHT(A1388,4)),co2_mm_mlo!$B$42:$B$863,VALUE(LEFT(A1388,FIND("/",A1388)-1)))</f>
        <v>361.78</v>
      </c>
    </row>
    <row r="1389" spans="1:3" ht="15" customHeight="1">
      <c r="A1389" t="s">
        <v>1452</v>
      </c>
      <c r="B1389" s="15">
        <f>'Temp Dev, C, F'!D1389</f>
        <v>58.01</v>
      </c>
      <c r="C1389">
        <f>SUMIFS(co2_mm_mlo!$D$42:$D$863,co2_mm_mlo!$A$42:$A$863,VALUE(RIGHT(A1389,4)),co2_mm_mlo!$B$42:$B$863,VALUE(LEFT(A1389,FIND("/",A1389)-1)))</f>
        <v>359.33</v>
      </c>
    </row>
    <row r="1390" spans="1:3" ht="15" customHeight="1">
      <c r="A1390" t="s">
        <v>1453</v>
      </c>
      <c r="B1390" s="15">
        <f>'Temp Dev, C, F'!D1390</f>
        <v>57.793999999999997</v>
      </c>
      <c r="C1390">
        <f>SUMIFS(co2_mm_mlo!$D$42:$D$863,co2_mm_mlo!$A$42:$A$863,VALUE(RIGHT(A1390,4)),co2_mm_mlo!$B$42:$B$863,VALUE(LEFT(A1390,FIND("/",A1390)-1)))</f>
        <v>358.32</v>
      </c>
    </row>
    <row r="1391" spans="1:3" ht="15" customHeight="1">
      <c r="A1391" t="s">
        <v>1454</v>
      </c>
      <c r="B1391" s="15">
        <f>'Temp Dev, C, F'!D1391</f>
        <v>58.028000000000006</v>
      </c>
      <c r="C1391">
        <f>SUMIFS(co2_mm_mlo!$D$42:$D$863,co2_mm_mlo!$A$42:$A$863,VALUE(RIGHT(A1391,4)),co2_mm_mlo!$B$42:$B$863,VALUE(LEFT(A1391,FIND("/",A1391)-1)))</f>
        <v>358.14</v>
      </c>
    </row>
    <row r="1392" spans="1:3" ht="15" customHeight="1">
      <c r="A1392" t="s">
        <v>1455</v>
      </c>
      <c r="B1392" s="15">
        <f>'Temp Dev, C, F'!D1392</f>
        <v>58.01</v>
      </c>
      <c r="C1392">
        <f>SUMIFS(co2_mm_mlo!$D$42:$D$863,co2_mm_mlo!$A$42:$A$863,VALUE(RIGHT(A1392,4)),co2_mm_mlo!$B$42:$B$863,VALUE(LEFT(A1392,FIND("/",A1392)-1)))</f>
        <v>359.61</v>
      </c>
    </row>
    <row r="1393" spans="1:3" ht="15" customHeight="1">
      <c r="A1393" t="s">
        <v>1456</v>
      </c>
      <c r="B1393" s="15">
        <f>'Temp Dev, C, F'!D1393</f>
        <v>57.667999999999999</v>
      </c>
      <c r="C1393">
        <f>SUMIFS(co2_mm_mlo!$D$42:$D$863,co2_mm_mlo!$A$42:$A$863,VALUE(RIGHT(A1393,4)),co2_mm_mlo!$B$42:$B$863,VALUE(LEFT(A1393,FIND("/",A1393)-1)))</f>
        <v>360.82</v>
      </c>
    </row>
    <row r="1394" spans="1:3" ht="15" customHeight="1">
      <c r="A1394" t="s">
        <v>1457</v>
      </c>
      <c r="B1394" s="15">
        <f>'Temp Dev, C, F'!D1394</f>
        <v>57.632000000000005</v>
      </c>
      <c r="C1394">
        <f>SUMIFS(co2_mm_mlo!$D$42:$D$863,co2_mm_mlo!$A$42:$A$863,VALUE(RIGHT(A1394,4)),co2_mm_mlo!$B$42:$B$863,VALUE(LEFT(A1394,FIND("/",A1394)-1)))</f>
        <v>362.2</v>
      </c>
    </row>
    <row r="1395" spans="1:3" ht="15" customHeight="1">
      <c r="A1395" t="s">
        <v>1458</v>
      </c>
      <c r="B1395" s="15">
        <f>'Temp Dev, C, F'!D1395</f>
        <v>58.028000000000006</v>
      </c>
      <c r="C1395">
        <f>SUMIFS(co2_mm_mlo!$D$42:$D$863,co2_mm_mlo!$A$42:$A$863,VALUE(RIGHT(A1395,4)),co2_mm_mlo!$B$42:$B$863,VALUE(LEFT(A1395,FIND("/",A1395)-1)))</f>
        <v>363.36</v>
      </c>
    </row>
    <row r="1396" spans="1:3" ht="15" customHeight="1">
      <c r="A1396" t="s">
        <v>1459</v>
      </c>
      <c r="B1396" s="15">
        <f>'Temp Dev, C, F'!D1396</f>
        <v>57.793999999999997</v>
      </c>
      <c r="C1396">
        <f>SUMIFS(co2_mm_mlo!$D$42:$D$863,co2_mm_mlo!$A$42:$A$863,VALUE(RIGHT(A1396,4)),co2_mm_mlo!$B$42:$B$863,VALUE(LEFT(A1396,FIND("/",A1396)-1)))</f>
        <v>364.28</v>
      </c>
    </row>
    <row r="1397" spans="1:3" ht="15" customHeight="1">
      <c r="A1397" t="s">
        <v>1460</v>
      </c>
      <c r="B1397" s="15">
        <f>'Temp Dev, C, F'!D1397</f>
        <v>57.793999999999997</v>
      </c>
      <c r="C1397">
        <f>SUMIFS(co2_mm_mlo!$D$42:$D$863,co2_mm_mlo!$A$42:$A$863,VALUE(RIGHT(A1397,4)),co2_mm_mlo!$B$42:$B$863,VALUE(LEFT(A1397,FIND("/",A1397)-1)))</f>
        <v>364.69</v>
      </c>
    </row>
    <row r="1398" spans="1:3" ht="15" customHeight="1">
      <c r="A1398" t="s">
        <v>1461</v>
      </c>
      <c r="B1398" s="15">
        <f>'Temp Dev, C, F'!D1398</f>
        <v>57.686</v>
      </c>
      <c r="C1398">
        <f>SUMIFS(co2_mm_mlo!$D$42:$D$863,co2_mm_mlo!$A$42:$A$863,VALUE(RIGHT(A1398,4)),co2_mm_mlo!$B$42:$B$863,VALUE(LEFT(A1398,FIND("/",A1398)-1)))</f>
        <v>365.25</v>
      </c>
    </row>
    <row r="1399" spans="1:3" ht="15" customHeight="1">
      <c r="A1399" t="s">
        <v>1462</v>
      </c>
      <c r="B1399" s="15">
        <f>'Temp Dev, C, F'!D1399</f>
        <v>57.667999999999999</v>
      </c>
      <c r="C1399">
        <f>SUMIFS(co2_mm_mlo!$D$42:$D$863,co2_mm_mlo!$A$42:$A$863,VALUE(RIGHT(A1399,4)),co2_mm_mlo!$B$42:$B$863,VALUE(LEFT(A1399,FIND("/",A1399)-1)))</f>
        <v>365.06</v>
      </c>
    </row>
    <row r="1400" spans="1:3" ht="15" customHeight="1">
      <c r="A1400" t="s">
        <v>1463</v>
      </c>
      <c r="B1400" s="15">
        <f>'Temp Dev, C, F'!D1400</f>
        <v>57.866</v>
      </c>
      <c r="C1400">
        <f>SUMIFS(co2_mm_mlo!$D$42:$D$863,co2_mm_mlo!$A$42:$A$863,VALUE(RIGHT(A1400,4)),co2_mm_mlo!$B$42:$B$863,VALUE(LEFT(A1400,FIND("/",A1400)-1)))</f>
        <v>363.69</v>
      </c>
    </row>
    <row r="1401" spans="1:3" ht="15" customHeight="1">
      <c r="A1401" t="s">
        <v>1464</v>
      </c>
      <c r="B1401" s="15">
        <f>'Temp Dev, C, F'!D1401</f>
        <v>58.064</v>
      </c>
      <c r="C1401">
        <f>SUMIFS(co2_mm_mlo!$D$42:$D$863,co2_mm_mlo!$A$42:$A$863,VALUE(RIGHT(A1401,4)),co2_mm_mlo!$B$42:$B$863,VALUE(LEFT(A1401,FIND("/",A1401)-1)))</f>
        <v>361.55</v>
      </c>
    </row>
    <row r="1402" spans="1:3" ht="15" customHeight="1">
      <c r="A1402" t="s">
        <v>1465</v>
      </c>
      <c r="B1402" s="15">
        <f>'Temp Dev, C, F'!D1402</f>
        <v>57.667999999999999</v>
      </c>
      <c r="C1402">
        <f>SUMIFS(co2_mm_mlo!$D$42:$D$863,co2_mm_mlo!$A$42:$A$863,VALUE(RIGHT(A1402,4)),co2_mm_mlo!$B$42:$B$863,VALUE(LEFT(A1402,FIND("/",A1402)-1)))</f>
        <v>359.69</v>
      </c>
    </row>
    <row r="1403" spans="1:3" ht="15" customHeight="1">
      <c r="A1403" t="s">
        <v>1466</v>
      </c>
      <c r="B1403" s="15">
        <f>'Temp Dev, C, F'!D1403</f>
        <v>57.596000000000004</v>
      </c>
      <c r="C1403">
        <f>SUMIFS(co2_mm_mlo!$D$42:$D$863,co2_mm_mlo!$A$42:$A$863,VALUE(RIGHT(A1403,4)),co2_mm_mlo!$B$42:$B$863,VALUE(LEFT(A1403,FIND("/",A1403)-1)))</f>
        <v>359.72</v>
      </c>
    </row>
    <row r="1404" spans="1:3" ht="15" customHeight="1">
      <c r="A1404" t="s">
        <v>1467</v>
      </c>
      <c r="B1404" s="15">
        <f>'Temp Dev, C, F'!D1404</f>
        <v>57.956000000000003</v>
      </c>
      <c r="C1404">
        <f>SUMIFS(co2_mm_mlo!$D$42:$D$863,co2_mm_mlo!$A$42:$A$863,VALUE(RIGHT(A1404,4)),co2_mm_mlo!$B$42:$B$863,VALUE(LEFT(A1404,FIND("/",A1404)-1)))</f>
        <v>361.04</v>
      </c>
    </row>
    <row r="1405" spans="1:3" ht="15" customHeight="1">
      <c r="A1405" t="s">
        <v>1468</v>
      </c>
      <c r="B1405" s="15">
        <f>'Temp Dev, C, F'!D1405</f>
        <v>57.866</v>
      </c>
      <c r="C1405">
        <f>SUMIFS(co2_mm_mlo!$D$42:$D$863,co2_mm_mlo!$A$42:$A$863,VALUE(RIGHT(A1405,4)),co2_mm_mlo!$B$42:$B$863,VALUE(LEFT(A1405,FIND("/",A1405)-1)))</f>
        <v>362.39</v>
      </c>
    </row>
    <row r="1406" spans="1:3" ht="15" customHeight="1">
      <c r="A1406" t="s">
        <v>1469</v>
      </c>
      <c r="B1406" s="15">
        <f>'Temp Dev, C, F'!D1406</f>
        <v>57.775999999999996</v>
      </c>
      <c r="C1406">
        <f>SUMIFS(co2_mm_mlo!$D$42:$D$863,co2_mm_mlo!$A$42:$A$863,VALUE(RIGHT(A1406,4)),co2_mm_mlo!$B$42:$B$863,VALUE(LEFT(A1406,FIND("/",A1406)-1)))</f>
        <v>363.24</v>
      </c>
    </row>
    <row r="1407" spans="1:3" ht="15" customHeight="1">
      <c r="A1407" t="s">
        <v>1470</v>
      </c>
      <c r="B1407" s="15">
        <f>'Temp Dev, C, F'!D1407</f>
        <v>57.938000000000002</v>
      </c>
      <c r="C1407">
        <f>SUMIFS(co2_mm_mlo!$D$42:$D$863,co2_mm_mlo!$A$42:$A$863,VALUE(RIGHT(A1407,4)),co2_mm_mlo!$B$42:$B$863,VALUE(LEFT(A1407,FIND("/",A1407)-1)))</f>
        <v>364.21</v>
      </c>
    </row>
    <row r="1408" spans="1:3" ht="15" customHeight="1">
      <c r="A1408" t="s">
        <v>1471</v>
      </c>
      <c r="B1408" s="15">
        <f>'Temp Dev, C, F'!D1408</f>
        <v>58.135999999999996</v>
      </c>
      <c r="C1408">
        <f>SUMIFS(co2_mm_mlo!$D$42:$D$863,co2_mm_mlo!$A$42:$A$863,VALUE(RIGHT(A1408,4)),co2_mm_mlo!$B$42:$B$863,VALUE(LEFT(A1408,FIND("/",A1408)-1)))</f>
        <v>364.65</v>
      </c>
    </row>
    <row r="1409" spans="1:3" ht="15" customHeight="1">
      <c r="A1409" t="s">
        <v>1472</v>
      </c>
      <c r="B1409" s="15">
        <f>'Temp Dev, C, F'!D1409</f>
        <v>57.811999999999998</v>
      </c>
      <c r="C1409">
        <f>SUMIFS(co2_mm_mlo!$D$42:$D$863,co2_mm_mlo!$A$42:$A$863,VALUE(RIGHT(A1409,4)),co2_mm_mlo!$B$42:$B$863,VALUE(LEFT(A1409,FIND("/",A1409)-1)))</f>
        <v>366.49</v>
      </c>
    </row>
    <row r="1410" spans="1:3" ht="15" customHeight="1">
      <c r="A1410" t="s">
        <v>1473</v>
      </c>
      <c r="B1410" s="15">
        <f>'Temp Dev, C, F'!D1410</f>
        <v>57.83</v>
      </c>
      <c r="C1410">
        <f>SUMIFS(co2_mm_mlo!$D$42:$D$863,co2_mm_mlo!$A$42:$A$863,VALUE(RIGHT(A1410,4)),co2_mm_mlo!$B$42:$B$863,VALUE(LEFT(A1410,FIND("/",A1410)-1)))</f>
        <v>366.77</v>
      </c>
    </row>
    <row r="1411" spans="1:3" ht="15" customHeight="1">
      <c r="A1411" t="s">
        <v>1474</v>
      </c>
      <c r="B1411" s="15">
        <f>'Temp Dev, C, F'!D1411</f>
        <v>58.19</v>
      </c>
      <c r="C1411">
        <f>SUMIFS(co2_mm_mlo!$D$42:$D$863,co2_mm_mlo!$A$42:$A$863,VALUE(RIGHT(A1411,4)),co2_mm_mlo!$B$42:$B$863,VALUE(LEFT(A1411,FIND("/",A1411)-1)))</f>
        <v>365.73</v>
      </c>
    </row>
    <row r="1412" spans="1:3" ht="15" customHeight="1">
      <c r="A1412" t="s">
        <v>1475</v>
      </c>
      <c r="B1412" s="15">
        <f>'Temp Dev, C, F'!D1412</f>
        <v>57.811999999999998</v>
      </c>
      <c r="C1412">
        <f>SUMIFS(co2_mm_mlo!$D$42:$D$863,co2_mm_mlo!$A$42:$A$863,VALUE(RIGHT(A1412,4)),co2_mm_mlo!$B$42:$B$863,VALUE(LEFT(A1412,FIND("/",A1412)-1)))</f>
        <v>364.46</v>
      </c>
    </row>
    <row r="1413" spans="1:3" ht="15" customHeight="1">
      <c r="A1413" t="s">
        <v>1476</v>
      </c>
      <c r="B1413" s="15">
        <f>'Temp Dev, C, F'!D1413</f>
        <v>57.938000000000002</v>
      </c>
      <c r="C1413">
        <f>SUMIFS(co2_mm_mlo!$D$42:$D$863,co2_mm_mlo!$A$42:$A$863,VALUE(RIGHT(A1413,4)),co2_mm_mlo!$B$42:$B$863,VALUE(LEFT(A1413,FIND("/",A1413)-1)))</f>
        <v>362.4</v>
      </c>
    </row>
    <row r="1414" spans="1:3" ht="15" customHeight="1">
      <c r="A1414" t="s">
        <v>1477</v>
      </c>
      <c r="B1414" s="15">
        <f>'Temp Dev, C, F'!D1414</f>
        <v>58.135999999999996</v>
      </c>
      <c r="C1414">
        <f>SUMIFS(co2_mm_mlo!$D$42:$D$863,co2_mm_mlo!$A$42:$A$863,VALUE(RIGHT(A1414,4)),co2_mm_mlo!$B$42:$B$863,VALUE(LEFT(A1414,FIND("/",A1414)-1)))</f>
        <v>360.44</v>
      </c>
    </row>
    <row r="1415" spans="1:3" ht="15" customHeight="1">
      <c r="A1415" t="s">
        <v>1478</v>
      </c>
      <c r="B1415" s="15">
        <f>'Temp Dev, C, F'!D1415</f>
        <v>58.298000000000002</v>
      </c>
      <c r="C1415">
        <f>SUMIFS(co2_mm_mlo!$D$42:$D$863,co2_mm_mlo!$A$42:$A$863,VALUE(RIGHT(A1415,4)),co2_mm_mlo!$B$42:$B$863,VALUE(LEFT(A1415,FIND("/",A1415)-1)))</f>
        <v>360.97</v>
      </c>
    </row>
    <row r="1416" spans="1:3" ht="15" customHeight="1">
      <c r="A1416" t="s">
        <v>1479</v>
      </c>
      <c r="B1416" s="15">
        <f>'Temp Dev, C, F'!D1416</f>
        <v>58.370000000000005</v>
      </c>
      <c r="C1416">
        <f>SUMIFS(co2_mm_mlo!$D$42:$D$863,co2_mm_mlo!$A$42:$A$863,VALUE(RIGHT(A1416,4)),co2_mm_mlo!$B$42:$B$863,VALUE(LEFT(A1416,FIND("/",A1416)-1)))</f>
        <v>362.65</v>
      </c>
    </row>
    <row r="1417" spans="1:3" ht="15" customHeight="1">
      <c r="A1417" t="s">
        <v>1480</v>
      </c>
      <c r="B1417" s="15">
        <f>'Temp Dev, C, F'!D1417</f>
        <v>58.262</v>
      </c>
      <c r="C1417">
        <f>SUMIFS(co2_mm_mlo!$D$42:$D$863,co2_mm_mlo!$A$42:$A$863,VALUE(RIGHT(A1417,4)),co2_mm_mlo!$B$42:$B$863,VALUE(LEFT(A1417,FIND("/",A1417)-1)))</f>
        <v>364.51</v>
      </c>
    </row>
    <row r="1418" spans="1:3" ht="15" customHeight="1">
      <c r="A1418" t="s">
        <v>1481</v>
      </c>
      <c r="B1418" s="15">
        <f>'Temp Dev, C, F'!D1418</f>
        <v>58.244</v>
      </c>
      <c r="C1418">
        <f>SUMIFS(co2_mm_mlo!$D$42:$D$863,co2_mm_mlo!$A$42:$A$863,VALUE(RIGHT(A1418,4)),co2_mm_mlo!$B$42:$B$863,VALUE(LEFT(A1418,FIND("/",A1418)-1)))</f>
        <v>365.39</v>
      </c>
    </row>
    <row r="1419" spans="1:3" ht="15" customHeight="1">
      <c r="A1419" t="s">
        <v>1482</v>
      </c>
      <c r="B1419" s="15">
        <f>'Temp Dev, C, F'!D1419</f>
        <v>58.784000000000006</v>
      </c>
      <c r="C1419">
        <f>SUMIFS(co2_mm_mlo!$D$42:$D$863,co2_mm_mlo!$A$42:$A$863,VALUE(RIGHT(A1419,4)),co2_mm_mlo!$B$42:$B$863,VALUE(LEFT(A1419,FIND("/",A1419)-1)))</f>
        <v>366.1</v>
      </c>
    </row>
    <row r="1420" spans="1:3" ht="15" customHeight="1">
      <c r="A1420" t="s">
        <v>1483</v>
      </c>
      <c r="B1420" s="15">
        <f>'Temp Dev, C, F'!D1420</f>
        <v>58.334000000000003</v>
      </c>
      <c r="C1420">
        <f>SUMIFS(co2_mm_mlo!$D$42:$D$863,co2_mm_mlo!$A$42:$A$863,VALUE(RIGHT(A1420,4)),co2_mm_mlo!$B$42:$B$863,VALUE(LEFT(A1420,FIND("/",A1420)-1)))</f>
        <v>367.36</v>
      </c>
    </row>
    <row r="1421" spans="1:3" ht="15" customHeight="1">
      <c r="A1421" t="s">
        <v>1484</v>
      </c>
      <c r="B1421" s="15">
        <f>'Temp Dev, C, F'!D1421</f>
        <v>58.352000000000004</v>
      </c>
      <c r="C1421">
        <f>SUMIFS(co2_mm_mlo!$D$42:$D$863,co2_mm_mlo!$A$42:$A$863,VALUE(RIGHT(A1421,4)),co2_mm_mlo!$B$42:$B$863,VALUE(LEFT(A1421,FIND("/",A1421)-1)))</f>
        <v>368.79</v>
      </c>
    </row>
    <row r="1422" spans="1:3" ht="15" customHeight="1">
      <c r="A1422" t="s">
        <v>1485</v>
      </c>
      <c r="B1422" s="15">
        <f>'Temp Dev, C, F'!D1422</f>
        <v>58.423999999999999</v>
      </c>
      <c r="C1422">
        <f>SUMIFS(co2_mm_mlo!$D$42:$D$863,co2_mm_mlo!$A$42:$A$863,VALUE(RIGHT(A1422,4)),co2_mm_mlo!$B$42:$B$863,VALUE(LEFT(A1422,FIND("/",A1422)-1)))</f>
        <v>369.56</v>
      </c>
    </row>
    <row r="1423" spans="1:3" ht="15" customHeight="1">
      <c r="A1423" t="s">
        <v>1486</v>
      </c>
      <c r="B1423" s="15">
        <f>'Temp Dev, C, F'!D1423</f>
        <v>58.585999999999999</v>
      </c>
      <c r="C1423">
        <f>SUMIFS(co2_mm_mlo!$D$42:$D$863,co2_mm_mlo!$A$42:$A$863,VALUE(RIGHT(A1423,4)),co2_mm_mlo!$B$42:$B$863,VALUE(LEFT(A1423,FIND("/",A1423)-1)))</f>
        <v>369.13</v>
      </c>
    </row>
    <row r="1424" spans="1:3" ht="15" customHeight="1">
      <c r="A1424" t="s">
        <v>1487</v>
      </c>
      <c r="B1424" s="15">
        <f>'Temp Dev, C, F'!D1424</f>
        <v>58.388000000000005</v>
      </c>
      <c r="C1424">
        <f>SUMIFS(co2_mm_mlo!$D$42:$D$863,co2_mm_mlo!$A$42:$A$863,VALUE(RIGHT(A1424,4)),co2_mm_mlo!$B$42:$B$863,VALUE(LEFT(A1424,FIND("/",A1424)-1)))</f>
        <v>367.98</v>
      </c>
    </row>
    <row r="1425" spans="1:3" ht="15" customHeight="1">
      <c r="A1425" t="s">
        <v>1488</v>
      </c>
      <c r="B1425" s="15">
        <f>'Temp Dev, C, F'!D1425</f>
        <v>58.370000000000005</v>
      </c>
      <c r="C1425">
        <f>SUMIFS(co2_mm_mlo!$D$42:$D$863,co2_mm_mlo!$A$42:$A$863,VALUE(RIGHT(A1425,4)),co2_mm_mlo!$B$42:$B$863,VALUE(LEFT(A1425,FIND("/",A1425)-1)))</f>
        <v>366.1</v>
      </c>
    </row>
    <row r="1426" spans="1:3" ht="15" customHeight="1">
      <c r="A1426" t="s">
        <v>1489</v>
      </c>
      <c r="B1426" s="15">
        <f>'Temp Dev, C, F'!D1426</f>
        <v>57.956000000000003</v>
      </c>
      <c r="C1426">
        <f>SUMIFS(co2_mm_mlo!$D$42:$D$863,co2_mm_mlo!$A$42:$A$863,VALUE(RIGHT(A1426,4)),co2_mm_mlo!$B$42:$B$863,VALUE(LEFT(A1426,FIND("/",A1426)-1)))</f>
        <v>364.16</v>
      </c>
    </row>
    <row r="1427" spans="1:3" ht="15" customHeight="1">
      <c r="A1427" t="s">
        <v>1490</v>
      </c>
      <c r="B1427" s="15">
        <f>'Temp Dev, C, F'!D1427</f>
        <v>57.956000000000003</v>
      </c>
      <c r="C1427">
        <f>SUMIFS(co2_mm_mlo!$D$42:$D$863,co2_mm_mlo!$A$42:$A$863,VALUE(RIGHT(A1427,4)),co2_mm_mlo!$B$42:$B$863,VALUE(LEFT(A1427,FIND("/",A1427)-1)))</f>
        <v>364.54</v>
      </c>
    </row>
    <row r="1428" spans="1:3" ht="15" customHeight="1">
      <c r="A1428" t="s">
        <v>1491</v>
      </c>
      <c r="B1428" s="15">
        <f>'Temp Dev, C, F'!D1428</f>
        <v>57.974000000000004</v>
      </c>
      <c r="C1428">
        <f>SUMIFS(co2_mm_mlo!$D$42:$D$863,co2_mm_mlo!$A$42:$A$863,VALUE(RIGHT(A1428,4)),co2_mm_mlo!$B$42:$B$863,VALUE(LEFT(A1428,FIND("/",A1428)-1)))</f>
        <v>365.67</v>
      </c>
    </row>
    <row r="1429" spans="1:3" ht="15" customHeight="1">
      <c r="A1429" t="s">
        <v>1492</v>
      </c>
      <c r="B1429" s="15">
        <f>'Temp Dev, C, F'!D1429</f>
        <v>58.19</v>
      </c>
      <c r="C1429">
        <f>SUMIFS(co2_mm_mlo!$D$42:$D$863,co2_mm_mlo!$A$42:$A$863,VALUE(RIGHT(A1429,4)),co2_mm_mlo!$B$42:$B$863,VALUE(LEFT(A1429,FIND("/",A1429)-1)))</f>
        <v>367.3</v>
      </c>
    </row>
    <row r="1430" spans="1:3" ht="15" customHeight="1">
      <c r="A1430" t="s">
        <v>1493</v>
      </c>
      <c r="B1430" s="15">
        <f>'Temp Dev, C, F'!D1430</f>
        <v>58.064</v>
      </c>
      <c r="C1430">
        <f>SUMIFS(co2_mm_mlo!$D$42:$D$863,co2_mm_mlo!$A$42:$A$863,VALUE(RIGHT(A1430,4)),co2_mm_mlo!$B$42:$B$863,VALUE(LEFT(A1430,FIND("/",A1430)-1)))</f>
        <v>368.35</v>
      </c>
    </row>
    <row r="1431" spans="1:3" ht="15" customHeight="1">
      <c r="A1431" t="s">
        <v>1494</v>
      </c>
      <c r="B1431" s="15">
        <f>'Temp Dev, C, F'!D1431</f>
        <v>58.352000000000004</v>
      </c>
      <c r="C1431">
        <f>SUMIFS(co2_mm_mlo!$D$42:$D$863,co2_mm_mlo!$A$42:$A$863,VALUE(RIGHT(A1431,4)),co2_mm_mlo!$B$42:$B$863,VALUE(LEFT(A1431,FIND("/",A1431)-1)))</f>
        <v>369.28</v>
      </c>
    </row>
    <row r="1432" spans="1:3" ht="15" customHeight="1">
      <c r="A1432" t="s">
        <v>1495</v>
      </c>
      <c r="B1432" s="15">
        <f>'Temp Dev, C, F'!D1432</f>
        <v>57.793999999999997</v>
      </c>
      <c r="C1432">
        <f>SUMIFS(co2_mm_mlo!$D$42:$D$863,co2_mm_mlo!$A$42:$A$863,VALUE(RIGHT(A1432,4)),co2_mm_mlo!$B$42:$B$863,VALUE(LEFT(A1432,FIND("/",A1432)-1)))</f>
        <v>369.84</v>
      </c>
    </row>
    <row r="1433" spans="1:3" ht="15" customHeight="1">
      <c r="A1433" t="s">
        <v>1496</v>
      </c>
      <c r="B1433" s="15">
        <f>'Temp Dev, C, F'!D1433</f>
        <v>57.775999999999996</v>
      </c>
      <c r="C1433">
        <f>SUMIFS(co2_mm_mlo!$D$42:$D$863,co2_mm_mlo!$A$42:$A$863,VALUE(RIGHT(A1433,4)),co2_mm_mlo!$B$42:$B$863,VALUE(LEFT(A1433,FIND("/",A1433)-1)))</f>
        <v>371.15</v>
      </c>
    </row>
    <row r="1434" spans="1:3" ht="15" customHeight="1">
      <c r="A1434" t="s">
        <v>1497</v>
      </c>
      <c r="B1434" s="15">
        <f>'Temp Dev, C, F'!D1434</f>
        <v>57.667999999999999</v>
      </c>
      <c r="C1434">
        <f>SUMIFS(co2_mm_mlo!$D$42:$D$863,co2_mm_mlo!$A$42:$A$863,VALUE(RIGHT(A1434,4)),co2_mm_mlo!$B$42:$B$863,VALUE(LEFT(A1434,FIND("/",A1434)-1)))</f>
        <v>371.12</v>
      </c>
    </row>
    <row r="1435" spans="1:3" ht="15" customHeight="1">
      <c r="A1435" t="s">
        <v>1498</v>
      </c>
      <c r="B1435" s="15">
        <f>'Temp Dev, C, F'!D1435</f>
        <v>57.847999999999999</v>
      </c>
      <c r="C1435">
        <f>SUMIFS(co2_mm_mlo!$D$42:$D$863,co2_mm_mlo!$A$42:$A$863,VALUE(RIGHT(A1435,4)),co2_mm_mlo!$B$42:$B$863,VALUE(LEFT(A1435,FIND("/",A1435)-1)))</f>
        <v>370.46</v>
      </c>
    </row>
    <row r="1436" spans="1:3" ht="15" customHeight="1">
      <c r="A1436" t="s">
        <v>1499</v>
      </c>
      <c r="B1436" s="15">
        <f>'Temp Dev, C, F'!D1436</f>
        <v>57.902000000000001</v>
      </c>
      <c r="C1436">
        <f>SUMIFS(co2_mm_mlo!$D$42:$D$863,co2_mm_mlo!$A$42:$A$863,VALUE(RIGHT(A1436,4)),co2_mm_mlo!$B$42:$B$863,VALUE(LEFT(A1436,FIND("/",A1436)-1)))</f>
        <v>369.61</v>
      </c>
    </row>
    <row r="1437" spans="1:3" ht="15" customHeight="1">
      <c r="A1437" t="s">
        <v>1500</v>
      </c>
      <c r="B1437" s="15">
        <f>'Temp Dev, C, F'!D1437</f>
        <v>57.758000000000003</v>
      </c>
      <c r="C1437">
        <f>SUMIFS(co2_mm_mlo!$D$42:$D$863,co2_mm_mlo!$A$42:$A$863,VALUE(RIGHT(A1437,4)),co2_mm_mlo!$B$42:$B$863,VALUE(LEFT(A1437,FIND("/",A1437)-1)))</f>
        <v>367.06</v>
      </c>
    </row>
    <row r="1438" spans="1:3" ht="15" customHeight="1">
      <c r="A1438" t="s">
        <v>1501</v>
      </c>
      <c r="B1438" s="15">
        <f>'Temp Dev, C, F'!D1438</f>
        <v>57.902000000000001</v>
      </c>
      <c r="C1438">
        <f>SUMIFS(co2_mm_mlo!$D$42:$D$863,co2_mm_mlo!$A$42:$A$863,VALUE(RIGHT(A1438,4)),co2_mm_mlo!$B$42:$B$863,VALUE(LEFT(A1438,FIND("/",A1438)-1)))</f>
        <v>364.95</v>
      </c>
    </row>
    <row r="1439" spans="1:3" ht="15" customHeight="1">
      <c r="A1439" t="s">
        <v>1502</v>
      </c>
      <c r="B1439" s="15">
        <f>'Temp Dev, C, F'!D1439</f>
        <v>57.811999999999998</v>
      </c>
      <c r="C1439">
        <f>SUMIFS(co2_mm_mlo!$D$42:$D$863,co2_mm_mlo!$A$42:$A$863,VALUE(RIGHT(A1439,4)),co2_mm_mlo!$B$42:$B$863,VALUE(LEFT(A1439,FIND("/",A1439)-1)))</f>
        <v>365.52</v>
      </c>
    </row>
    <row r="1440" spans="1:3" ht="15" customHeight="1">
      <c r="A1440" t="s">
        <v>1503</v>
      </c>
      <c r="B1440" s="15">
        <f>'Temp Dev, C, F'!D1440</f>
        <v>57.866</v>
      </c>
      <c r="C1440">
        <f>SUMIFS(co2_mm_mlo!$D$42:$D$863,co2_mm_mlo!$A$42:$A$863,VALUE(RIGHT(A1440,4)),co2_mm_mlo!$B$42:$B$863,VALUE(LEFT(A1440,FIND("/",A1440)-1)))</f>
        <v>366.88</v>
      </c>
    </row>
    <row r="1441" spans="1:3" ht="15" customHeight="1">
      <c r="A1441" t="s">
        <v>1504</v>
      </c>
      <c r="B1441" s="15">
        <f>'Temp Dev, C, F'!D1441</f>
        <v>57.92</v>
      </c>
      <c r="C1441">
        <f>SUMIFS(co2_mm_mlo!$D$42:$D$863,co2_mm_mlo!$A$42:$A$863,VALUE(RIGHT(A1441,4)),co2_mm_mlo!$B$42:$B$863,VALUE(LEFT(A1441,FIND("/",A1441)-1)))</f>
        <v>368.26</v>
      </c>
    </row>
    <row r="1442" spans="1:3" ht="15" customHeight="1">
      <c r="A1442" t="s">
        <v>1505</v>
      </c>
      <c r="B1442" s="15">
        <f>'Temp Dev, C, F'!D1442</f>
        <v>57.650000000000006</v>
      </c>
      <c r="C1442">
        <f>SUMIFS(co2_mm_mlo!$D$42:$D$863,co2_mm_mlo!$A$42:$A$863,VALUE(RIGHT(A1442,4)),co2_mm_mlo!$B$42:$B$863,VALUE(LEFT(A1442,FIND("/",A1442)-1)))</f>
        <v>369.45</v>
      </c>
    </row>
    <row r="1443" spans="1:3" ht="15" customHeight="1">
      <c r="A1443" t="s">
        <v>1506</v>
      </c>
      <c r="B1443" s="15">
        <f>'Temp Dev, C, F'!D1443</f>
        <v>58.207999999999998</v>
      </c>
      <c r="C1443">
        <f>SUMIFS(co2_mm_mlo!$D$42:$D$863,co2_mm_mlo!$A$42:$A$863,VALUE(RIGHT(A1443,4)),co2_mm_mlo!$B$42:$B$863,VALUE(LEFT(A1443,FIND("/",A1443)-1)))</f>
        <v>369.71</v>
      </c>
    </row>
    <row r="1444" spans="1:3" ht="15" customHeight="1">
      <c r="A1444" t="s">
        <v>1507</v>
      </c>
      <c r="B1444" s="15">
        <f>'Temp Dev, C, F'!D1444</f>
        <v>58.19</v>
      </c>
      <c r="C1444">
        <f>SUMIFS(co2_mm_mlo!$D$42:$D$863,co2_mm_mlo!$A$42:$A$863,VALUE(RIGHT(A1444,4)),co2_mm_mlo!$B$42:$B$863,VALUE(LEFT(A1444,FIND("/",A1444)-1)))</f>
        <v>370.75</v>
      </c>
    </row>
    <row r="1445" spans="1:3" ht="15" customHeight="1">
      <c r="A1445" t="s">
        <v>1508</v>
      </c>
      <c r="B1445" s="15">
        <f>'Temp Dev, C, F'!D1445</f>
        <v>58.207999999999998</v>
      </c>
      <c r="C1445">
        <f>SUMIFS(co2_mm_mlo!$D$42:$D$863,co2_mm_mlo!$A$42:$A$863,VALUE(RIGHT(A1445,4)),co2_mm_mlo!$B$42:$B$863,VALUE(LEFT(A1445,FIND("/",A1445)-1)))</f>
        <v>371.98</v>
      </c>
    </row>
    <row r="1446" spans="1:3" ht="15" customHeight="1">
      <c r="A1446" t="s">
        <v>1509</v>
      </c>
      <c r="B1446" s="15">
        <f>'Temp Dev, C, F'!D1446</f>
        <v>57.83</v>
      </c>
      <c r="C1446">
        <f>SUMIFS(co2_mm_mlo!$D$42:$D$863,co2_mm_mlo!$A$42:$A$863,VALUE(RIGHT(A1446,4)),co2_mm_mlo!$B$42:$B$863,VALUE(LEFT(A1446,FIND("/",A1446)-1)))</f>
        <v>371.75</v>
      </c>
    </row>
    <row r="1447" spans="1:3" ht="15" customHeight="1">
      <c r="A1447" t="s">
        <v>1510</v>
      </c>
      <c r="B1447" s="15">
        <f>'Temp Dev, C, F'!D1447</f>
        <v>57.92</v>
      </c>
      <c r="C1447">
        <f>SUMIFS(co2_mm_mlo!$D$42:$D$863,co2_mm_mlo!$A$42:$A$863,VALUE(RIGHT(A1447,4)),co2_mm_mlo!$B$42:$B$863,VALUE(LEFT(A1447,FIND("/",A1447)-1)))</f>
        <v>371.87</v>
      </c>
    </row>
    <row r="1448" spans="1:3" ht="15" customHeight="1">
      <c r="A1448" t="s">
        <v>1511</v>
      </c>
      <c r="B1448" s="15">
        <f>'Temp Dev, C, F'!D1448</f>
        <v>57.902000000000001</v>
      </c>
      <c r="C1448">
        <f>SUMIFS(co2_mm_mlo!$D$42:$D$863,co2_mm_mlo!$A$42:$A$863,VALUE(RIGHT(A1448,4)),co2_mm_mlo!$B$42:$B$863,VALUE(LEFT(A1448,FIND("/",A1448)-1)))</f>
        <v>370.02</v>
      </c>
    </row>
    <row r="1449" spans="1:3" ht="15" customHeight="1">
      <c r="A1449" t="s">
        <v>1512</v>
      </c>
      <c r="B1449" s="15">
        <f>'Temp Dev, C, F'!D1449</f>
        <v>57.956000000000003</v>
      </c>
      <c r="C1449">
        <f>SUMIFS(co2_mm_mlo!$D$42:$D$863,co2_mm_mlo!$A$42:$A$863,VALUE(RIGHT(A1449,4)),co2_mm_mlo!$B$42:$B$863,VALUE(LEFT(A1449,FIND("/",A1449)-1)))</f>
        <v>368.27</v>
      </c>
    </row>
    <row r="1450" spans="1:3" ht="15" customHeight="1">
      <c r="A1450" t="s">
        <v>1513</v>
      </c>
      <c r="B1450" s="15">
        <f>'Temp Dev, C, F'!D1450</f>
        <v>57.902000000000001</v>
      </c>
      <c r="C1450">
        <f>SUMIFS(co2_mm_mlo!$D$42:$D$863,co2_mm_mlo!$A$42:$A$863,VALUE(RIGHT(A1450,4)),co2_mm_mlo!$B$42:$B$863,VALUE(LEFT(A1450,FIND("/",A1450)-1)))</f>
        <v>367.15</v>
      </c>
    </row>
    <row r="1451" spans="1:3" ht="15" customHeight="1">
      <c r="A1451" t="s">
        <v>1514</v>
      </c>
      <c r="B1451" s="15">
        <f>'Temp Dev, C, F'!D1451</f>
        <v>57.686</v>
      </c>
      <c r="C1451">
        <f>SUMIFS(co2_mm_mlo!$D$42:$D$863,co2_mm_mlo!$A$42:$A$863,VALUE(RIGHT(A1451,4)),co2_mm_mlo!$B$42:$B$863,VALUE(LEFT(A1451,FIND("/",A1451)-1)))</f>
        <v>367.18</v>
      </c>
    </row>
    <row r="1452" spans="1:3" ht="15" customHeight="1">
      <c r="A1452" t="s">
        <v>1515</v>
      </c>
      <c r="B1452" s="15">
        <f>'Temp Dev, C, F'!D1452</f>
        <v>57.74</v>
      </c>
      <c r="C1452">
        <f>SUMIFS(co2_mm_mlo!$D$42:$D$863,co2_mm_mlo!$A$42:$A$863,VALUE(RIGHT(A1452,4)),co2_mm_mlo!$B$42:$B$863,VALUE(LEFT(A1452,FIND("/",A1452)-1)))</f>
        <v>368.53</v>
      </c>
    </row>
    <row r="1453" spans="1:3" ht="15" customHeight="1">
      <c r="A1453" t="s">
        <v>1516</v>
      </c>
      <c r="B1453" s="15">
        <f>'Temp Dev, C, F'!D1453</f>
        <v>57.704000000000001</v>
      </c>
      <c r="C1453">
        <f>SUMIFS(co2_mm_mlo!$D$42:$D$863,co2_mm_mlo!$A$42:$A$863,VALUE(RIGHT(A1453,4)),co2_mm_mlo!$B$42:$B$863,VALUE(LEFT(A1453,FIND("/",A1453)-1)))</f>
        <v>369.83</v>
      </c>
    </row>
    <row r="1454" spans="1:3" ht="15" customHeight="1">
      <c r="A1454" t="s">
        <v>1517</v>
      </c>
      <c r="B1454" s="15">
        <f>'Temp Dev, C, F'!D1454</f>
        <v>58.01</v>
      </c>
      <c r="C1454">
        <f>SUMIFS(co2_mm_mlo!$D$42:$D$863,co2_mm_mlo!$A$42:$A$863,VALUE(RIGHT(A1454,4)),co2_mm_mlo!$B$42:$B$863,VALUE(LEFT(A1454,FIND("/",A1454)-1)))</f>
        <v>370.76</v>
      </c>
    </row>
    <row r="1455" spans="1:3" ht="15" customHeight="1">
      <c r="A1455" t="s">
        <v>1518</v>
      </c>
      <c r="B1455" s="15">
        <f>'Temp Dev, C, F'!D1455</f>
        <v>57.992000000000004</v>
      </c>
      <c r="C1455">
        <f>SUMIFS(co2_mm_mlo!$D$42:$D$863,co2_mm_mlo!$A$42:$A$863,VALUE(RIGHT(A1455,4)),co2_mm_mlo!$B$42:$B$863,VALUE(LEFT(A1455,FIND("/",A1455)-1)))</f>
        <v>371.69</v>
      </c>
    </row>
    <row r="1456" spans="1:3" ht="15" customHeight="1">
      <c r="A1456" t="s">
        <v>1519</v>
      </c>
      <c r="B1456" s="15">
        <f>'Temp Dev, C, F'!D1456</f>
        <v>58.19</v>
      </c>
      <c r="C1456">
        <f>SUMIFS(co2_mm_mlo!$D$42:$D$863,co2_mm_mlo!$A$42:$A$863,VALUE(RIGHT(A1456,4)),co2_mm_mlo!$B$42:$B$863,VALUE(LEFT(A1456,FIND("/",A1456)-1)))</f>
        <v>372.63</v>
      </c>
    </row>
    <row r="1457" spans="1:3" ht="15" customHeight="1">
      <c r="A1457" t="s">
        <v>1520</v>
      </c>
      <c r="B1457" s="15">
        <f>'Temp Dev, C, F'!D1457</f>
        <v>58.1</v>
      </c>
      <c r="C1457">
        <f>SUMIFS(co2_mm_mlo!$D$42:$D$863,co2_mm_mlo!$A$42:$A$863,VALUE(RIGHT(A1457,4)),co2_mm_mlo!$B$42:$B$863,VALUE(LEFT(A1457,FIND("/",A1457)-1)))</f>
        <v>373.55</v>
      </c>
    </row>
    <row r="1458" spans="1:3" ht="15" customHeight="1">
      <c r="A1458" t="s">
        <v>1521</v>
      </c>
      <c r="B1458" s="15">
        <f>'Temp Dev, C, F'!D1458</f>
        <v>58.225999999999999</v>
      </c>
      <c r="C1458">
        <f>SUMIFS(co2_mm_mlo!$D$42:$D$863,co2_mm_mlo!$A$42:$A$863,VALUE(RIGHT(A1458,4)),co2_mm_mlo!$B$42:$B$863,VALUE(LEFT(A1458,FIND("/",A1458)-1)))</f>
        <v>374.03</v>
      </c>
    </row>
    <row r="1459" spans="1:3" ht="15" customHeight="1">
      <c r="A1459" t="s">
        <v>1522</v>
      </c>
      <c r="B1459" s="15">
        <f>'Temp Dev, C, F'!D1459</f>
        <v>58.153999999999996</v>
      </c>
      <c r="C1459">
        <f>SUMIFS(co2_mm_mlo!$D$42:$D$863,co2_mm_mlo!$A$42:$A$863,VALUE(RIGHT(A1459,4)),co2_mm_mlo!$B$42:$B$863,VALUE(LEFT(A1459,FIND("/",A1459)-1)))</f>
        <v>373.4</v>
      </c>
    </row>
    <row r="1460" spans="1:3" ht="15" customHeight="1">
      <c r="A1460" t="s">
        <v>1523</v>
      </c>
      <c r="B1460" s="15">
        <f>'Temp Dev, C, F'!D1460</f>
        <v>58.262</v>
      </c>
      <c r="C1460">
        <f>SUMIFS(co2_mm_mlo!$D$42:$D$863,co2_mm_mlo!$A$42:$A$863,VALUE(RIGHT(A1460,4)),co2_mm_mlo!$B$42:$B$863,VALUE(LEFT(A1460,FIND("/",A1460)-1)))</f>
        <v>371.68</v>
      </c>
    </row>
    <row r="1461" spans="1:3" ht="15" customHeight="1">
      <c r="A1461" t="s">
        <v>1524</v>
      </c>
      <c r="B1461" s="15">
        <f>'Temp Dev, C, F'!D1461</f>
        <v>58.064</v>
      </c>
      <c r="C1461">
        <f>SUMIFS(co2_mm_mlo!$D$42:$D$863,co2_mm_mlo!$A$42:$A$863,VALUE(RIGHT(A1461,4)),co2_mm_mlo!$B$42:$B$863,VALUE(LEFT(A1461,FIND("/",A1461)-1)))</f>
        <v>369.78</v>
      </c>
    </row>
    <row r="1462" spans="1:3" ht="15" customHeight="1">
      <c r="A1462" t="s">
        <v>1525</v>
      </c>
      <c r="B1462" s="15">
        <f>'Temp Dev, C, F'!D1462</f>
        <v>58.135999999999996</v>
      </c>
      <c r="C1462">
        <f>SUMIFS(co2_mm_mlo!$D$42:$D$863,co2_mm_mlo!$A$42:$A$863,VALUE(RIGHT(A1462,4)),co2_mm_mlo!$B$42:$B$863,VALUE(LEFT(A1462,FIND("/",A1462)-1)))</f>
        <v>368.34</v>
      </c>
    </row>
    <row r="1463" spans="1:3" ht="15" customHeight="1">
      <c r="A1463" t="s">
        <v>1526</v>
      </c>
      <c r="B1463" s="15">
        <f>'Temp Dev, C, F'!D1463</f>
        <v>58.1</v>
      </c>
      <c r="C1463">
        <f>SUMIFS(co2_mm_mlo!$D$42:$D$863,co2_mm_mlo!$A$42:$A$863,VALUE(RIGHT(A1463,4)),co2_mm_mlo!$B$42:$B$863,VALUE(LEFT(A1463,FIND("/",A1463)-1)))</f>
        <v>368.61</v>
      </c>
    </row>
    <row r="1464" spans="1:3" ht="15" customHeight="1">
      <c r="A1464" t="s">
        <v>1527</v>
      </c>
      <c r="B1464" s="15">
        <f>'Temp Dev, C, F'!D1464</f>
        <v>58.496000000000002</v>
      </c>
      <c r="C1464">
        <f>SUMIFS(co2_mm_mlo!$D$42:$D$863,co2_mm_mlo!$A$42:$A$863,VALUE(RIGHT(A1464,4)),co2_mm_mlo!$B$42:$B$863,VALUE(LEFT(A1464,FIND("/",A1464)-1)))</f>
        <v>369.94</v>
      </c>
    </row>
    <row r="1465" spans="1:3" ht="15" customHeight="1">
      <c r="A1465" t="s">
        <v>1528</v>
      </c>
      <c r="B1465" s="15">
        <f>'Temp Dev, C, F'!D1465</f>
        <v>58.19</v>
      </c>
      <c r="C1465">
        <f>SUMIFS(co2_mm_mlo!$D$42:$D$863,co2_mm_mlo!$A$42:$A$863,VALUE(RIGHT(A1465,4)),co2_mm_mlo!$B$42:$B$863,VALUE(LEFT(A1465,FIND("/",A1465)-1)))</f>
        <v>371.42</v>
      </c>
    </row>
    <row r="1466" spans="1:3" ht="15" customHeight="1">
      <c r="A1466" t="s">
        <v>1529</v>
      </c>
      <c r="B1466" s="15">
        <f>'Temp Dev, C, F'!D1466</f>
        <v>58.585999999999999</v>
      </c>
      <c r="C1466">
        <f>SUMIFS(co2_mm_mlo!$D$42:$D$863,co2_mm_mlo!$A$42:$A$863,VALUE(RIGHT(A1466,4)),co2_mm_mlo!$B$42:$B$863,VALUE(LEFT(A1466,FIND("/",A1466)-1)))</f>
        <v>372.7</v>
      </c>
    </row>
    <row r="1467" spans="1:3" ht="15" customHeight="1">
      <c r="A1467" t="s">
        <v>1530</v>
      </c>
      <c r="B1467" s="15">
        <f>'Temp Dev, C, F'!D1467</f>
        <v>58.603999999999999</v>
      </c>
      <c r="C1467">
        <f>SUMIFS(co2_mm_mlo!$D$42:$D$863,co2_mm_mlo!$A$42:$A$863,VALUE(RIGHT(A1467,4)),co2_mm_mlo!$B$42:$B$863,VALUE(LEFT(A1467,FIND("/",A1467)-1)))</f>
        <v>373.37</v>
      </c>
    </row>
    <row r="1468" spans="1:3" ht="15" customHeight="1">
      <c r="A1468" t="s">
        <v>1531</v>
      </c>
      <c r="B1468" s="15">
        <f>'Temp Dev, C, F'!D1468</f>
        <v>58.784000000000006</v>
      </c>
      <c r="C1468">
        <f>SUMIFS(co2_mm_mlo!$D$42:$D$863,co2_mm_mlo!$A$42:$A$863,VALUE(RIGHT(A1468,4)),co2_mm_mlo!$B$42:$B$863,VALUE(LEFT(A1468,FIND("/",A1468)-1)))</f>
        <v>374.3</v>
      </c>
    </row>
    <row r="1469" spans="1:3" ht="15" customHeight="1">
      <c r="A1469" t="s">
        <v>1532</v>
      </c>
      <c r="B1469" s="15">
        <f>'Temp Dev, C, F'!D1469</f>
        <v>58.244</v>
      </c>
      <c r="C1469">
        <f>SUMIFS(co2_mm_mlo!$D$42:$D$863,co2_mm_mlo!$A$42:$A$863,VALUE(RIGHT(A1469,4)),co2_mm_mlo!$B$42:$B$863,VALUE(LEFT(A1469,FIND("/",A1469)-1)))</f>
        <v>375.19</v>
      </c>
    </row>
    <row r="1470" spans="1:3" ht="15" customHeight="1">
      <c r="A1470" t="s">
        <v>1533</v>
      </c>
      <c r="B1470" s="15">
        <f>'Temp Dev, C, F'!D1470</f>
        <v>58.352000000000004</v>
      </c>
      <c r="C1470">
        <f>SUMIFS(co2_mm_mlo!$D$42:$D$863,co2_mm_mlo!$A$42:$A$863,VALUE(RIGHT(A1470,4)),co2_mm_mlo!$B$42:$B$863,VALUE(LEFT(A1470,FIND("/",A1470)-1)))</f>
        <v>375.93</v>
      </c>
    </row>
    <row r="1471" spans="1:3" ht="15" customHeight="1">
      <c r="A1471" t="s">
        <v>1534</v>
      </c>
      <c r="B1471" s="15">
        <f>'Temp Dev, C, F'!D1471</f>
        <v>58.153999999999996</v>
      </c>
      <c r="C1471">
        <f>SUMIFS(co2_mm_mlo!$D$42:$D$863,co2_mm_mlo!$A$42:$A$863,VALUE(RIGHT(A1471,4)),co2_mm_mlo!$B$42:$B$863,VALUE(LEFT(A1471,FIND("/",A1471)-1)))</f>
        <v>375.69</v>
      </c>
    </row>
    <row r="1472" spans="1:3" ht="15" customHeight="1">
      <c r="A1472" t="s">
        <v>1535</v>
      </c>
      <c r="B1472" s="15">
        <f>'Temp Dev, C, F'!D1472</f>
        <v>58.298000000000002</v>
      </c>
      <c r="C1472">
        <f>SUMIFS(co2_mm_mlo!$D$42:$D$863,co2_mm_mlo!$A$42:$A$863,VALUE(RIGHT(A1472,4)),co2_mm_mlo!$B$42:$B$863,VALUE(LEFT(A1472,FIND("/",A1472)-1)))</f>
        <v>374.16</v>
      </c>
    </row>
    <row r="1473" spans="1:3" ht="15" customHeight="1">
      <c r="A1473" t="s">
        <v>1536</v>
      </c>
      <c r="B1473" s="15">
        <f>'Temp Dev, C, F'!D1473</f>
        <v>58.153999999999996</v>
      </c>
      <c r="C1473">
        <f>SUMIFS(co2_mm_mlo!$D$42:$D$863,co2_mm_mlo!$A$42:$A$863,VALUE(RIGHT(A1473,4)),co2_mm_mlo!$B$42:$B$863,VALUE(LEFT(A1473,FIND("/",A1473)-1)))</f>
        <v>372.03</v>
      </c>
    </row>
    <row r="1474" spans="1:3" ht="15" customHeight="1">
      <c r="A1474" t="s">
        <v>1537</v>
      </c>
      <c r="B1474" s="15">
        <f>'Temp Dev, C, F'!D1474</f>
        <v>58.352000000000004</v>
      </c>
      <c r="C1474">
        <f>SUMIFS(co2_mm_mlo!$D$42:$D$863,co2_mm_mlo!$A$42:$A$863,VALUE(RIGHT(A1474,4)),co2_mm_mlo!$B$42:$B$863,VALUE(LEFT(A1474,FIND("/",A1474)-1)))</f>
        <v>370.92</v>
      </c>
    </row>
    <row r="1475" spans="1:3" ht="15" customHeight="1">
      <c r="A1475" t="s">
        <v>1538</v>
      </c>
      <c r="B1475" s="15">
        <f>'Temp Dev, C, F'!D1475</f>
        <v>58.171999999999997</v>
      </c>
      <c r="C1475">
        <f>SUMIFS(co2_mm_mlo!$D$42:$D$863,co2_mm_mlo!$A$42:$A$863,VALUE(RIGHT(A1475,4)),co2_mm_mlo!$B$42:$B$863,VALUE(LEFT(A1475,FIND("/",A1475)-1)))</f>
        <v>370.73</v>
      </c>
    </row>
    <row r="1476" spans="1:3" ht="15" customHeight="1">
      <c r="A1476" t="s">
        <v>1539</v>
      </c>
      <c r="B1476" s="15">
        <f>'Temp Dev, C, F'!D1476</f>
        <v>58.262</v>
      </c>
      <c r="C1476">
        <f>SUMIFS(co2_mm_mlo!$D$42:$D$863,co2_mm_mlo!$A$42:$A$863,VALUE(RIGHT(A1476,4)),co2_mm_mlo!$B$42:$B$863,VALUE(LEFT(A1476,FIND("/",A1476)-1)))</f>
        <v>372.43</v>
      </c>
    </row>
    <row r="1477" spans="1:3" ht="15" customHeight="1">
      <c r="A1477" t="s">
        <v>1540</v>
      </c>
      <c r="B1477" s="15">
        <f>'Temp Dev, C, F'!D1477</f>
        <v>57.992000000000004</v>
      </c>
      <c r="C1477">
        <f>SUMIFS(co2_mm_mlo!$D$42:$D$863,co2_mm_mlo!$A$42:$A$863,VALUE(RIGHT(A1477,4)),co2_mm_mlo!$B$42:$B$863,VALUE(LEFT(A1477,FIND("/",A1477)-1)))</f>
        <v>373.98</v>
      </c>
    </row>
    <row r="1478" spans="1:3" ht="15" customHeight="1">
      <c r="A1478" t="s">
        <v>1541</v>
      </c>
      <c r="B1478" s="15">
        <f>'Temp Dev, C, F'!D1478</f>
        <v>58.55</v>
      </c>
      <c r="C1478">
        <f>SUMIFS(co2_mm_mlo!$D$42:$D$863,co2_mm_mlo!$A$42:$A$863,VALUE(RIGHT(A1478,4)),co2_mm_mlo!$B$42:$B$863,VALUE(LEFT(A1478,FIND("/",A1478)-1)))</f>
        <v>375.07</v>
      </c>
    </row>
    <row r="1479" spans="1:3" ht="15" customHeight="1">
      <c r="A1479" t="s">
        <v>1542</v>
      </c>
      <c r="B1479" s="15">
        <f>'Temp Dev, C, F'!D1479</f>
        <v>58.244</v>
      </c>
      <c r="C1479">
        <f>SUMIFS(co2_mm_mlo!$D$42:$D$863,co2_mm_mlo!$A$42:$A$863,VALUE(RIGHT(A1479,4)),co2_mm_mlo!$B$42:$B$863,VALUE(LEFT(A1479,FIND("/",A1479)-1)))</f>
        <v>375.82</v>
      </c>
    </row>
    <row r="1480" spans="1:3" ht="15" customHeight="1">
      <c r="A1480" t="s">
        <v>1543</v>
      </c>
      <c r="B1480" s="15">
        <f>'Temp Dev, C, F'!D1480</f>
        <v>58.28</v>
      </c>
      <c r="C1480">
        <f>SUMIFS(co2_mm_mlo!$D$42:$D$863,co2_mm_mlo!$A$42:$A$863,VALUE(RIGHT(A1480,4)),co2_mm_mlo!$B$42:$B$863,VALUE(LEFT(A1480,FIND("/",A1480)-1)))</f>
        <v>376.64</v>
      </c>
    </row>
    <row r="1481" spans="1:3" ht="15" customHeight="1">
      <c r="A1481" t="s">
        <v>1544</v>
      </c>
      <c r="B1481" s="15">
        <f>'Temp Dev, C, F'!D1481</f>
        <v>58.19</v>
      </c>
      <c r="C1481">
        <f>SUMIFS(co2_mm_mlo!$D$42:$D$863,co2_mm_mlo!$A$42:$A$863,VALUE(RIGHT(A1481,4)),co2_mm_mlo!$B$42:$B$863,VALUE(LEFT(A1481,FIND("/",A1481)-1)))</f>
        <v>377.92</v>
      </c>
    </row>
    <row r="1482" spans="1:3" ht="15" customHeight="1">
      <c r="A1482" t="s">
        <v>1545</v>
      </c>
      <c r="B1482" s="15">
        <f>'Temp Dev, C, F'!D1482</f>
        <v>58.28</v>
      </c>
      <c r="C1482">
        <f>SUMIFS(co2_mm_mlo!$D$42:$D$863,co2_mm_mlo!$A$42:$A$863,VALUE(RIGHT(A1482,4)),co2_mm_mlo!$B$42:$B$863,VALUE(LEFT(A1482,FIND("/",A1482)-1)))</f>
        <v>378.78</v>
      </c>
    </row>
    <row r="1483" spans="1:3" ht="15" customHeight="1">
      <c r="A1483" t="s">
        <v>1546</v>
      </c>
      <c r="B1483" s="15">
        <f>'Temp Dev, C, F'!D1483</f>
        <v>58.064</v>
      </c>
      <c r="C1483">
        <f>SUMIFS(co2_mm_mlo!$D$42:$D$863,co2_mm_mlo!$A$42:$A$863,VALUE(RIGHT(A1483,4)),co2_mm_mlo!$B$42:$B$863,VALUE(LEFT(A1483,FIND("/",A1483)-1)))</f>
        <v>378.46</v>
      </c>
    </row>
    <row r="1484" spans="1:3" ht="15" customHeight="1">
      <c r="A1484" t="s">
        <v>1547</v>
      </c>
      <c r="B1484" s="15">
        <f>'Temp Dev, C, F'!D1484</f>
        <v>58.244</v>
      </c>
      <c r="C1484">
        <f>SUMIFS(co2_mm_mlo!$D$42:$D$863,co2_mm_mlo!$A$42:$A$863,VALUE(RIGHT(A1484,4)),co2_mm_mlo!$B$42:$B$863,VALUE(LEFT(A1484,FIND("/",A1484)-1)))</f>
        <v>376.88</v>
      </c>
    </row>
    <row r="1485" spans="1:3" ht="15" customHeight="1">
      <c r="A1485" t="s">
        <v>1548</v>
      </c>
      <c r="B1485" s="15">
        <f>'Temp Dev, C, F'!D1485</f>
        <v>58.352000000000004</v>
      </c>
      <c r="C1485">
        <f>SUMIFS(co2_mm_mlo!$D$42:$D$863,co2_mm_mlo!$A$42:$A$863,VALUE(RIGHT(A1485,4)),co2_mm_mlo!$B$42:$B$863,VALUE(LEFT(A1485,FIND("/",A1485)-1)))</f>
        <v>374.57</v>
      </c>
    </row>
    <row r="1486" spans="1:3" ht="15" customHeight="1">
      <c r="A1486" t="s">
        <v>1549</v>
      </c>
      <c r="B1486" s="15">
        <f>'Temp Dev, C, F'!D1486</f>
        <v>58.316000000000003</v>
      </c>
      <c r="C1486">
        <f>SUMIFS(co2_mm_mlo!$D$42:$D$863,co2_mm_mlo!$A$42:$A$863,VALUE(RIGHT(A1486,4)),co2_mm_mlo!$B$42:$B$863,VALUE(LEFT(A1486,FIND("/",A1486)-1)))</f>
        <v>373.34</v>
      </c>
    </row>
    <row r="1487" spans="1:3" ht="15" customHeight="1">
      <c r="A1487" t="s">
        <v>1550</v>
      </c>
      <c r="B1487" s="15">
        <f>'Temp Dev, C, F'!D1487</f>
        <v>58.496000000000002</v>
      </c>
      <c r="C1487">
        <f>SUMIFS(co2_mm_mlo!$D$42:$D$863,co2_mm_mlo!$A$42:$A$863,VALUE(RIGHT(A1487,4)),co2_mm_mlo!$B$42:$B$863,VALUE(LEFT(A1487,FIND("/",A1487)-1)))</f>
        <v>373.31</v>
      </c>
    </row>
    <row r="1488" spans="1:3" ht="15" customHeight="1">
      <c r="A1488" t="s">
        <v>1551</v>
      </c>
      <c r="B1488" s="15">
        <f>'Temp Dev, C, F'!D1488</f>
        <v>58.153999999999996</v>
      </c>
      <c r="C1488">
        <f>SUMIFS(co2_mm_mlo!$D$42:$D$863,co2_mm_mlo!$A$42:$A$863,VALUE(RIGHT(A1488,4)),co2_mm_mlo!$B$42:$B$863,VALUE(LEFT(A1488,FIND("/",A1488)-1)))</f>
        <v>374.84</v>
      </c>
    </row>
    <row r="1489" spans="1:3" ht="15" customHeight="1">
      <c r="A1489" t="s">
        <v>1552</v>
      </c>
      <c r="B1489" s="15">
        <f>'Temp Dev, C, F'!D1489</f>
        <v>58.55</v>
      </c>
      <c r="C1489">
        <f>SUMIFS(co2_mm_mlo!$D$42:$D$863,co2_mm_mlo!$A$42:$A$863,VALUE(RIGHT(A1489,4)),co2_mm_mlo!$B$42:$B$863,VALUE(LEFT(A1489,FIND("/",A1489)-1)))</f>
        <v>376.17</v>
      </c>
    </row>
    <row r="1490" spans="1:3" ht="15" customHeight="1">
      <c r="A1490" t="s">
        <v>1553</v>
      </c>
      <c r="B1490" s="15">
        <f>'Temp Dev, C, F'!D1490</f>
        <v>58.244</v>
      </c>
      <c r="C1490">
        <f>SUMIFS(co2_mm_mlo!$D$42:$D$863,co2_mm_mlo!$A$42:$A$863,VALUE(RIGHT(A1490,4)),co2_mm_mlo!$B$42:$B$863,VALUE(LEFT(A1490,FIND("/",A1490)-1)))</f>
        <v>377.17</v>
      </c>
    </row>
    <row r="1491" spans="1:3" ht="15" customHeight="1">
      <c r="A1491" t="s">
        <v>1554</v>
      </c>
      <c r="B1491" s="15">
        <f>'Temp Dev, C, F'!D1491</f>
        <v>58.496000000000002</v>
      </c>
      <c r="C1491">
        <f>SUMIFS(co2_mm_mlo!$D$42:$D$863,co2_mm_mlo!$A$42:$A$863,VALUE(RIGHT(A1491,4)),co2_mm_mlo!$B$42:$B$863,VALUE(LEFT(A1491,FIND("/",A1491)-1)))</f>
        <v>378.05</v>
      </c>
    </row>
    <row r="1492" spans="1:3" ht="15" customHeight="1">
      <c r="A1492" t="s">
        <v>1555</v>
      </c>
      <c r="B1492" s="15">
        <f>'Temp Dev, C, F'!D1492</f>
        <v>58.334000000000003</v>
      </c>
      <c r="C1492">
        <f>SUMIFS(co2_mm_mlo!$D$42:$D$863,co2_mm_mlo!$A$42:$A$863,VALUE(RIGHT(A1492,4)),co2_mm_mlo!$B$42:$B$863,VALUE(LEFT(A1492,FIND("/",A1492)-1)))</f>
        <v>379.06</v>
      </c>
    </row>
    <row r="1493" spans="1:3" ht="15" customHeight="1">
      <c r="A1493" t="s">
        <v>1556</v>
      </c>
      <c r="B1493" s="15">
        <f>'Temp Dev, C, F'!D1493</f>
        <v>58.298000000000002</v>
      </c>
      <c r="C1493">
        <f>SUMIFS(co2_mm_mlo!$D$42:$D$863,co2_mm_mlo!$A$42:$A$863,VALUE(RIGHT(A1493,4)),co2_mm_mlo!$B$42:$B$863,VALUE(LEFT(A1493,FIND("/",A1493)-1)))</f>
        <v>380.54</v>
      </c>
    </row>
    <row r="1494" spans="1:3" ht="15" customHeight="1">
      <c r="A1494" t="s">
        <v>1557</v>
      </c>
      <c r="B1494" s="15">
        <f>'Temp Dev, C, F'!D1494</f>
        <v>57.866</v>
      </c>
      <c r="C1494">
        <f>SUMIFS(co2_mm_mlo!$D$42:$D$863,co2_mm_mlo!$A$42:$A$863,VALUE(RIGHT(A1494,4)),co2_mm_mlo!$B$42:$B$863,VALUE(LEFT(A1494,FIND("/",A1494)-1)))</f>
        <v>380.8</v>
      </c>
    </row>
    <row r="1495" spans="1:3" ht="15" customHeight="1">
      <c r="A1495" t="s">
        <v>1558</v>
      </c>
      <c r="B1495" s="15">
        <f>'Temp Dev, C, F'!D1495</f>
        <v>57.992000000000004</v>
      </c>
      <c r="C1495">
        <f>SUMIFS(co2_mm_mlo!$D$42:$D$863,co2_mm_mlo!$A$42:$A$863,VALUE(RIGHT(A1495,4)),co2_mm_mlo!$B$42:$B$863,VALUE(LEFT(A1495,FIND("/",A1495)-1)))</f>
        <v>379.87</v>
      </c>
    </row>
    <row r="1496" spans="1:3" ht="15" customHeight="1">
      <c r="A1496" t="s">
        <v>1559</v>
      </c>
      <c r="B1496" s="15">
        <f>'Temp Dev, C, F'!D1496</f>
        <v>57.667999999999999</v>
      </c>
      <c r="C1496">
        <f>SUMIFS(co2_mm_mlo!$D$42:$D$863,co2_mm_mlo!$A$42:$A$863,VALUE(RIGHT(A1496,4)),co2_mm_mlo!$B$42:$B$863,VALUE(LEFT(A1496,FIND("/",A1496)-1)))</f>
        <v>377.65</v>
      </c>
    </row>
    <row r="1497" spans="1:3" ht="15" customHeight="1">
      <c r="A1497" t="s">
        <v>1560</v>
      </c>
      <c r="B1497" s="15">
        <f>'Temp Dev, C, F'!D1497</f>
        <v>58.01</v>
      </c>
      <c r="C1497">
        <f>SUMIFS(co2_mm_mlo!$D$42:$D$863,co2_mm_mlo!$A$42:$A$863,VALUE(RIGHT(A1497,4)),co2_mm_mlo!$B$42:$B$863,VALUE(LEFT(A1497,FIND("/",A1497)-1)))</f>
        <v>376.17</v>
      </c>
    </row>
    <row r="1498" spans="1:3" ht="15" customHeight="1">
      <c r="A1498" t="s">
        <v>1561</v>
      </c>
      <c r="B1498" s="15">
        <f>'Temp Dev, C, F'!D1498</f>
        <v>58.1</v>
      </c>
      <c r="C1498">
        <f>SUMIFS(co2_mm_mlo!$D$42:$D$863,co2_mm_mlo!$A$42:$A$863,VALUE(RIGHT(A1498,4)),co2_mm_mlo!$B$42:$B$863,VALUE(LEFT(A1498,FIND("/",A1498)-1)))</f>
        <v>374.43</v>
      </c>
    </row>
    <row r="1499" spans="1:3" ht="15" customHeight="1">
      <c r="A1499" t="s">
        <v>1562</v>
      </c>
      <c r="B1499" s="15">
        <f>'Temp Dev, C, F'!D1499</f>
        <v>58.298000000000002</v>
      </c>
      <c r="C1499">
        <f>SUMIFS(co2_mm_mlo!$D$42:$D$863,co2_mm_mlo!$A$42:$A$863,VALUE(RIGHT(A1499,4)),co2_mm_mlo!$B$42:$B$863,VALUE(LEFT(A1499,FIND("/",A1499)-1)))</f>
        <v>374.63</v>
      </c>
    </row>
    <row r="1500" spans="1:3" ht="15" customHeight="1">
      <c r="A1500" t="s">
        <v>1563</v>
      </c>
      <c r="B1500" s="15">
        <f>'Temp Dev, C, F'!D1500</f>
        <v>58.514000000000003</v>
      </c>
      <c r="C1500">
        <f>SUMIFS(co2_mm_mlo!$D$42:$D$863,co2_mm_mlo!$A$42:$A$863,VALUE(RIGHT(A1500,4)),co2_mm_mlo!$B$42:$B$863,VALUE(LEFT(A1500,FIND("/",A1500)-1)))</f>
        <v>376.33</v>
      </c>
    </row>
    <row r="1501" spans="1:3" ht="15" customHeight="1">
      <c r="A1501" t="s">
        <v>1564</v>
      </c>
      <c r="B1501" s="15">
        <f>'Temp Dev, C, F'!D1501</f>
        <v>58.117999999999995</v>
      </c>
      <c r="C1501">
        <f>SUMIFS(co2_mm_mlo!$D$42:$D$863,co2_mm_mlo!$A$42:$A$863,VALUE(RIGHT(A1501,4)),co2_mm_mlo!$B$42:$B$863,VALUE(LEFT(A1501,FIND("/",A1501)-1)))</f>
        <v>377.68</v>
      </c>
    </row>
    <row r="1502" spans="1:3" ht="15" customHeight="1">
      <c r="A1502" t="s">
        <v>1565</v>
      </c>
      <c r="B1502" s="15">
        <f>'Temp Dev, C, F'!D1502</f>
        <v>58.55</v>
      </c>
      <c r="C1502">
        <f>SUMIFS(co2_mm_mlo!$D$42:$D$863,co2_mm_mlo!$A$42:$A$863,VALUE(RIGHT(A1502,4)),co2_mm_mlo!$B$42:$B$863,VALUE(LEFT(A1502,FIND("/",A1502)-1)))</f>
        <v>378.63</v>
      </c>
    </row>
    <row r="1503" spans="1:3" ht="15" customHeight="1">
      <c r="A1503" t="s">
        <v>1566</v>
      </c>
      <c r="B1503" s="15">
        <f>'Temp Dev, C, F'!D1503</f>
        <v>58.28</v>
      </c>
      <c r="C1503">
        <f>SUMIFS(co2_mm_mlo!$D$42:$D$863,co2_mm_mlo!$A$42:$A$863,VALUE(RIGHT(A1503,4)),co2_mm_mlo!$B$42:$B$863,VALUE(LEFT(A1503,FIND("/",A1503)-1)))</f>
        <v>379.91</v>
      </c>
    </row>
    <row r="1504" spans="1:3" ht="15" customHeight="1">
      <c r="A1504" t="s">
        <v>1567</v>
      </c>
      <c r="B1504" s="15">
        <f>'Temp Dev, C, F'!D1504</f>
        <v>58.531999999999996</v>
      </c>
      <c r="C1504">
        <f>SUMIFS(co2_mm_mlo!$D$42:$D$863,co2_mm_mlo!$A$42:$A$863,VALUE(RIGHT(A1504,4)),co2_mm_mlo!$B$42:$B$863,VALUE(LEFT(A1504,FIND("/",A1504)-1)))</f>
        <v>380.95</v>
      </c>
    </row>
    <row r="1505" spans="1:3" ht="15" customHeight="1">
      <c r="A1505" t="s">
        <v>1568</v>
      </c>
      <c r="B1505" s="15">
        <f>'Temp Dev, C, F'!D1505</f>
        <v>58.405999999999999</v>
      </c>
      <c r="C1505">
        <f>SUMIFS(co2_mm_mlo!$D$42:$D$863,co2_mm_mlo!$A$42:$A$863,VALUE(RIGHT(A1505,4)),co2_mm_mlo!$B$42:$B$863,VALUE(LEFT(A1505,FIND("/",A1505)-1)))</f>
        <v>382.48</v>
      </c>
    </row>
    <row r="1506" spans="1:3" ht="15" customHeight="1">
      <c r="A1506" t="s">
        <v>1569</v>
      </c>
      <c r="B1506" s="15">
        <f>'Temp Dev, C, F'!D1506</f>
        <v>58.334000000000003</v>
      </c>
      <c r="C1506">
        <f>SUMIFS(co2_mm_mlo!$D$42:$D$863,co2_mm_mlo!$A$42:$A$863,VALUE(RIGHT(A1506,4)),co2_mm_mlo!$B$42:$B$863,VALUE(LEFT(A1506,FIND("/",A1506)-1)))</f>
        <v>382.64</v>
      </c>
    </row>
    <row r="1507" spans="1:3" ht="15" customHeight="1">
      <c r="A1507" t="s">
        <v>1570</v>
      </c>
      <c r="B1507" s="15">
        <f>'Temp Dev, C, F'!D1507</f>
        <v>58.370000000000005</v>
      </c>
      <c r="C1507">
        <f>SUMIFS(co2_mm_mlo!$D$42:$D$863,co2_mm_mlo!$A$42:$A$863,VALUE(RIGHT(A1507,4)),co2_mm_mlo!$B$42:$B$863,VALUE(LEFT(A1507,FIND("/",A1507)-1)))</f>
        <v>382.4</v>
      </c>
    </row>
    <row r="1508" spans="1:3" ht="15" customHeight="1">
      <c r="A1508" t="s">
        <v>1571</v>
      </c>
      <c r="B1508" s="15">
        <f>'Temp Dev, C, F'!D1508</f>
        <v>58.298000000000002</v>
      </c>
      <c r="C1508">
        <f>SUMIFS(co2_mm_mlo!$D$42:$D$863,co2_mm_mlo!$A$42:$A$863,VALUE(RIGHT(A1508,4)),co2_mm_mlo!$B$42:$B$863,VALUE(LEFT(A1508,FIND("/",A1508)-1)))</f>
        <v>380.93</v>
      </c>
    </row>
    <row r="1509" spans="1:3" ht="15" customHeight="1">
      <c r="A1509" t="s">
        <v>1572</v>
      </c>
      <c r="B1509" s="15">
        <f>'Temp Dev, C, F'!D1509</f>
        <v>58.28</v>
      </c>
      <c r="C1509">
        <f>SUMIFS(co2_mm_mlo!$D$42:$D$863,co2_mm_mlo!$A$42:$A$863,VALUE(RIGHT(A1509,4)),co2_mm_mlo!$B$42:$B$863,VALUE(LEFT(A1509,FIND("/",A1509)-1)))</f>
        <v>378.93</v>
      </c>
    </row>
    <row r="1510" spans="1:3" ht="15" customHeight="1">
      <c r="A1510" t="s">
        <v>1573</v>
      </c>
      <c r="B1510" s="15">
        <f>'Temp Dev, C, F'!D1510</f>
        <v>58.496000000000002</v>
      </c>
      <c r="C1510">
        <f>SUMIFS(co2_mm_mlo!$D$42:$D$863,co2_mm_mlo!$A$42:$A$863,VALUE(RIGHT(A1510,4)),co2_mm_mlo!$B$42:$B$863,VALUE(LEFT(A1510,FIND("/",A1510)-1)))</f>
        <v>376.89</v>
      </c>
    </row>
    <row r="1511" spans="1:3" ht="15" customHeight="1">
      <c r="A1511" t="s">
        <v>1574</v>
      </c>
      <c r="B1511" s="15">
        <f>'Temp Dev, C, F'!D1511</f>
        <v>58.567999999999998</v>
      </c>
      <c r="C1511">
        <f>SUMIFS(co2_mm_mlo!$D$42:$D$863,co2_mm_mlo!$A$42:$A$863,VALUE(RIGHT(A1511,4)),co2_mm_mlo!$B$42:$B$863,VALUE(LEFT(A1511,FIND("/",A1511)-1)))</f>
        <v>377.19</v>
      </c>
    </row>
    <row r="1512" spans="1:3" ht="15" customHeight="1">
      <c r="A1512" t="s">
        <v>1575</v>
      </c>
      <c r="B1512" s="15">
        <f>'Temp Dev, C, F'!D1512</f>
        <v>58.531999999999996</v>
      </c>
      <c r="C1512">
        <f>SUMIFS(co2_mm_mlo!$D$42:$D$863,co2_mm_mlo!$A$42:$A$863,VALUE(RIGHT(A1512,4)),co2_mm_mlo!$B$42:$B$863,VALUE(LEFT(A1512,FIND("/",A1512)-1)))</f>
        <v>378.54</v>
      </c>
    </row>
    <row r="1513" spans="1:3" ht="15" customHeight="1">
      <c r="A1513" t="s">
        <v>1576</v>
      </c>
      <c r="B1513" s="15">
        <f>'Temp Dev, C, F'!D1513</f>
        <v>58.423999999999999</v>
      </c>
      <c r="C1513">
        <f>SUMIFS(co2_mm_mlo!$D$42:$D$863,co2_mm_mlo!$A$42:$A$863,VALUE(RIGHT(A1513,4)),co2_mm_mlo!$B$42:$B$863,VALUE(LEFT(A1513,FIND("/",A1513)-1)))</f>
        <v>380.31</v>
      </c>
    </row>
    <row r="1514" spans="1:3" ht="15" customHeight="1">
      <c r="A1514" t="s">
        <v>1577</v>
      </c>
      <c r="B1514" s="15">
        <f>'Temp Dev, C, F'!D1514</f>
        <v>58.207999999999998</v>
      </c>
      <c r="C1514">
        <f>SUMIFS(co2_mm_mlo!$D$42:$D$863,co2_mm_mlo!$A$42:$A$863,VALUE(RIGHT(A1514,4)),co2_mm_mlo!$B$42:$B$863,VALUE(LEFT(A1514,FIND("/",A1514)-1)))</f>
        <v>381.58</v>
      </c>
    </row>
    <row r="1515" spans="1:3" ht="15" customHeight="1">
      <c r="A1515" t="s">
        <v>1578</v>
      </c>
      <c r="B1515" s="15">
        <f>'Temp Dev, C, F'!D1515</f>
        <v>58.531999999999996</v>
      </c>
      <c r="C1515">
        <f>SUMIFS(co2_mm_mlo!$D$42:$D$863,co2_mm_mlo!$A$42:$A$863,VALUE(RIGHT(A1515,4)),co2_mm_mlo!$B$42:$B$863,VALUE(LEFT(A1515,FIND("/",A1515)-1)))</f>
        <v>382.4</v>
      </c>
    </row>
    <row r="1516" spans="1:3" ht="15" customHeight="1">
      <c r="A1516" t="s">
        <v>1579</v>
      </c>
      <c r="B1516" s="15">
        <f>'Temp Dev, C, F'!D1516</f>
        <v>58.334000000000003</v>
      </c>
      <c r="C1516">
        <f>SUMIFS(co2_mm_mlo!$D$42:$D$863,co2_mm_mlo!$A$42:$A$863,VALUE(RIGHT(A1516,4)),co2_mm_mlo!$B$42:$B$863,VALUE(LEFT(A1516,FIND("/",A1516)-1)))</f>
        <v>382.86</v>
      </c>
    </row>
    <row r="1517" spans="1:3" ht="15" customHeight="1">
      <c r="A1517" t="s">
        <v>1580</v>
      </c>
      <c r="B1517" s="15">
        <f>'Temp Dev, C, F'!D1517</f>
        <v>58.046000000000006</v>
      </c>
      <c r="C1517">
        <f>SUMIFS(co2_mm_mlo!$D$42:$D$863,co2_mm_mlo!$A$42:$A$863,VALUE(RIGHT(A1517,4)),co2_mm_mlo!$B$42:$B$863,VALUE(LEFT(A1517,FIND("/",A1517)-1)))</f>
        <v>384.8</v>
      </c>
    </row>
    <row r="1518" spans="1:3" ht="15" customHeight="1">
      <c r="A1518" t="s">
        <v>1581</v>
      </c>
      <c r="B1518" s="15">
        <f>'Temp Dev, C, F'!D1518</f>
        <v>58.064</v>
      </c>
      <c r="C1518">
        <f>SUMIFS(co2_mm_mlo!$D$42:$D$863,co2_mm_mlo!$A$42:$A$863,VALUE(RIGHT(A1518,4)),co2_mm_mlo!$B$42:$B$863,VALUE(LEFT(A1518,FIND("/",A1518)-1)))</f>
        <v>385.22</v>
      </c>
    </row>
    <row r="1519" spans="1:3" ht="15" customHeight="1">
      <c r="A1519" t="s">
        <v>1582</v>
      </c>
      <c r="B1519" s="15">
        <f>'Temp Dev, C, F'!D1519</f>
        <v>58.405999999999999</v>
      </c>
      <c r="C1519">
        <f>SUMIFS(co2_mm_mlo!$D$42:$D$863,co2_mm_mlo!$A$42:$A$863,VALUE(RIGHT(A1519,4)),co2_mm_mlo!$B$42:$B$863,VALUE(LEFT(A1519,FIND("/",A1519)-1)))</f>
        <v>384.24</v>
      </c>
    </row>
    <row r="1520" spans="1:3" ht="15" customHeight="1">
      <c r="A1520" t="s">
        <v>1583</v>
      </c>
      <c r="B1520" s="15">
        <f>'Temp Dev, C, F'!D1520</f>
        <v>58.171999999999997</v>
      </c>
      <c r="C1520">
        <f>SUMIFS(co2_mm_mlo!$D$42:$D$863,co2_mm_mlo!$A$42:$A$863,VALUE(RIGHT(A1520,4)),co2_mm_mlo!$B$42:$B$863,VALUE(LEFT(A1520,FIND("/",A1520)-1)))</f>
        <v>382.65</v>
      </c>
    </row>
    <row r="1521" spans="1:3" ht="15" customHeight="1">
      <c r="A1521" t="s">
        <v>1584</v>
      </c>
      <c r="B1521" s="15">
        <f>'Temp Dev, C, F'!D1521</f>
        <v>58.478000000000002</v>
      </c>
      <c r="C1521">
        <f>SUMIFS(co2_mm_mlo!$D$42:$D$863,co2_mm_mlo!$A$42:$A$863,VALUE(RIGHT(A1521,4)),co2_mm_mlo!$B$42:$B$863,VALUE(LEFT(A1521,FIND("/",A1521)-1)))</f>
        <v>380.6</v>
      </c>
    </row>
    <row r="1522" spans="1:3" ht="15" customHeight="1">
      <c r="A1522" t="s">
        <v>1585</v>
      </c>
      <c r="B1522" s="15">
        <f>'Temp Dev, C, F'!D1522</f>
        <v>58.388000000000005</v>
      </c>
      <c r="C1522">
        <f>SUMIFS(co2_mm_mlo!$D$42:$D$863,co2_mm_mlo!$A$42:$A$863,VALUE(RIGHT(A1522,4)),co2_mm_mlo!$B$42:$B$863,VALUE(LEFT(A1522,FIND("/",A1522)-1)))</f>
        <v>379.04</v>
      </c>
    </row>
    <row r="1523" spans="1:3" ht="15" customHeight="1">
      <c r="A1523" t="s">
        <v>1586</v>
      </c>
      <c r="B1523" s="15">
        <f>'Temp Dev, C, F'!D1523</f>
        <v>58.478000000000002</v>
      </c>
      <c r="C1523">
        <f>SUMIFS(co2_mm_mlo!$D$42:$D$863,co2_mm_mlo!$A$42:$A$863,VALUE(RIGHT(A1523,4)),co2_mm_mlo!$B$42:$B$863,VALUE(LEFT(A1523,FIND("/",A1523)-1)))</f>
        <v>379.33</v>
      </c>
    </row>
    <row r="1524" spans="1:3" ht="15" customHeight="1">
      <c r="A1524" t="s">
        <v>1587</v>
      </c>
      <c r="B1524" s="15">
        <f>'Temp Dev, C, F'!D1524</f>
        <v>58.514000000000003</v>
      </c>
      <c r="C1524">
        <f>SUMIFS(co2_mm_mlo!$D$42:$D$863,co2_mm_mlo!$A$42:$A$863,VALUE(RIGHT(A1524,4)),co2_mm_mlo!$B$42:$B$863,VALUE(LEFT(A1524,FIND("/",A1524)-1)))</f>
        <v>380.35</v>
      </c>
    </row>
    <row r="1525" spans="1:3" ht="15" customHeight="1">
      <c r="A1525" t="s">
        <v>1588</v>
      </c>
      <c r="B1525" s="15">
        <f>'Temp Dev, C, F'!D1525</f>
        <v>58.622</v>
      </c>
      <c r="C1525">
        <f>SUMIFS(co2_mm_mlo!$D$42:$D$863,co2_mm_mlo!$A$42:$A$863,VALUE(RIGHT(A1525,4)),co2_mm_mlo!$B$42:$B$863,VALUE(LEFT(A1525,FIND("/",A1525)-1)))</f>
        <v>382.02</v>
      </c>
    </row>
    <row r="1526" spans="1:3" ht="15" customHeight="1">
      <c r="A1526" t="s">
        <v>1589</v>
      </c>
      <c r="B1526" s="15">
        <f>'Temp Dev, C, F'!D1526</f>
        <v>59.018000000000001</v>
      </c>
      <c r="C1526">
        <f>SUMIFS(co2_mm_mlo!$D$42:$D$863,co2_mm_mlo!$A$42:$A$863,VALUE(RIGHT(A1526,4)),co2_mm_mlo!$B$42:$B$863,VALUE(LEFT(A1526,FIND("/",A1526)-1)))</f>
        <v>383.1</v>
      </c>
    </row>
    <row r="1527" spans="1:3" ht="15" customHeight="1">
      <c r="A1527" t="s">
        <v>1590</v>
      </c>
      <c r="B1527" s="15">
        <f>'Temp Dev, C, F'!D1527</f>
        <v>58.46</v>
      </c>
      <c r="C1527">
        <f>SUMIFS(co2_mm_mlo!$D$42:$D$863,co2_mm_mlo!$A$42:$A$863,VALUE(RIGHT(A1527,4)),co2_mm_mlo!$B$42:$B$863,VALUE(LEFT(A1527,FIND("/",A1527)-1)))</f>
        <v>384.12</v>
      </c>
    </row>
    <row r="1528" spans="1:3" ht="15" customHeight="1">
      <c r="A1528" t="s">
        <v>1591</v>
      </c>
      <c r="B1528" s="15">
        <f>'Temp Dev, C, F'!D1528</f>
        <v>58.478000000000002</v>
      </c>
      <c r="C1528">
        <f>SUMIFS(co2_mm_mlo!$D$42:$D$863,co2_mm_mlo!$A$42:$A$863,VALUE(RIGHT(A1528,4)),co2_mm_mlo!$B$42:$B$863,VALUE(LEFT(A1528,FIND("/",A1528)-1)))</f>
        <v>384.81</v>
      </c>
    </row>
    <row r="1529" spans="1:3" ht="15" customHeight="1">
      <c r="A1529" t="s">
        <v>1592</v>
      </c>
      <c r="B1529" s="15">
        <f>'Temp Dev, C, F'!D1529</f>
        <v>58.585999999999999</v>
      </c>
      <c r="C1529">
        <f>SUMIFS(co2_mm_mlo!$D$42:$D$863,co2_mm_mlo!$A$42:$A$863,VALUE(RIGHT(A1529,4)),co2_mm_mlo!$B$42:$B$863,VALUE(LEFT(A1529,FIND("/",A1529)-1)))</f>
        <v>386.73</v>
      </c>
    </row>
    <row r="1530" spans="1:3" ht="15" customHeight="1">
      <c r="A1530" t="s">
        <v>1593</v>
      </c>
      <c r="B1530" s="15">
        <f>'Temp Dev, C, F'!D1530</f>
        <v>58.442</v>
      </c>
      <c r="C1530">
        <f>SUMIFS(co2_mm_mlo!$D$42:$D$863,co2_mm_mlo!$A$42:$A$863,VALUE(RIGHT(A1530,4)),co2_mm_mlo!$B$42:$B$863,VALUE(LEFT(A1530,FIND("/",A1530)-1)))</f>
        <v>386.78</v>
      </c>
    </row>
    <row r="1531" spans="1:3" ht="15" customHeight="1">
      <c r="A1531" t="s">
        <v>1594</v>
      </c>
      <c r="B1531" s="15">
        <f>'Temp Dev, C, F'!D1531</f>
        <v>58.298000000000002</v>
      </c>
      <c r="C1531">
        <f>SUMIFS(co2_mm_mlo!$D$42:$D$863,co2_mm_mlo!$A$42:$A$863,VALUE(RIGHT(A1531,4)),co2_mm_mlo!$B$42:$B$863,VALUE(LEFT(A1531,FIND("/",A1531)-1)))</f>
        <v>386.33</v>
      </c>
    </row>
    <row r="1532" spans="1:3" ht="15" customHeight="1">
      <c r="A1532" t="s">
        <v>1595</v>
      </c>
      <c r="B1532" s="15">
        <f>'Temp Dev, C, F'!D1532</f>
        <v>58.28</v>
      </c>
      <c r="C1532">
        <f>SUMIFS(co2_mm_mlo!$D$42:$D$863,co2_mm_mlo!$A$42:$A$863,VALUE(RIGHT(A1532,4)),co2_mm_mlo!$B$42:$B$863,VALUE(LEFT(A1532,FIND("/",A1532)-1)))</f>
        <v>384.73</v>
      </c>
    </row>
    <row r="1533" spans="1:3" ht="15" customHeight="1">
      <c r="A1533" t="s">
        <v>1596</v>
      </c>
      <c r="B1533" s="15">
        <f>'Temp Dev, C, F'!D1533</f>
        <v>58.28</v>
      </c>
      <c r="C1533">
        <f>SUMIFS(co2_mm_mlo!$D$42:$D$863,co2_mm_mlo!$A$42:$A$863,VALUE(RIGHT(A1533,4)),co2_mm_mlo!$B$42:$B$863,VALUE(LEFT(A1533,FIND("/",A1533)-1)))</f>
        <v>382.24</v>
      </c>
    </row>
    <row r="1534" spans="1:3" ht="15" customHeight="1">
      <c r="A1534" t="s">
        <v>1597</v>
      </c>
      <c r="B1534" s="15">
        <f>'Temp Dev, C, F'!D1534</f>
        <v>58.28</v>
      </c>
      <c r="C1534">
        <f>SUMIFS(co2_mm_mlo!$D$42:$D$863,co2_mm_mlo!$A$42:$A$863,VALUE(RIGHT(A1534,4)),co2_mm_mlo!$B$42:$B$863,VALUE(LEFT(A1534,FIND("/",A1534)-1)))</f>
        <v>381.2</v>
      </c>
    </row>
    <row r="1535" spans="1:3" ht="15" customHeight="1">
      <c r="A1535" t="s">
        <v>1598</v>
      </c>
      <c r="B1535" s="15">
        <f>'Temp Dev, C, F'!D1535</f>
        <v>58.262</v>
      </c>
      <c r="C1535">
        <f>SUMIFS(co2_mm_mlo!$D$42:$D$863,co2_mm_mlo!$A$42:$A$863,VALUE(RIGHT(A1535,4)),co2_mm_mlo!$B$42:$B$863,VALUE(LEFT(A1535,FIND("/",A1535)-1)))</f>
        <v>381.37</v>
      </c>
    </row>
    <row r="1536" spans="1:3" ht="15" customHeight="1">
      <c r="A1536" t="s">
        <v>1599</v>
      </c>
      <c r="B1536" s="15">
        <f>'Temp Dev, C, F'!D1536</f>
        <v>58.262</v>
      </c>
      <c r="C1536">
        <f>SUMIFS(co2_mm_mlo!$D$42:$D$863,co2_mm_mlo!$A$42:$A$863,VALUE(RIGHT(A1536,4)),co2_mm_mlo!$B$42:$B$863,VALUE(LEFT(A1536,FIND("/",A1536)-1)))</f>
        <v>382.7</v>
      </c>
    </row>
    <row r="1537" spans="1:3" ht="15" customHeight="1">
      <c r="A1537" t="s">
        <v>1600</v>
      </c>
      <c r="B1537" s="15">
        <f>'Temp Dev, C, F'!D1537</f>
        <v>58.1</v>
      </c>
      <c r="C1537">
        <f>SUMIFS(co2_mm_mlo!$D$42:$D$863,co2_mm_mlo!$A$42:$A$863,VALUE(RIGHT(A1537,4)),co2_mm_mlo!$B$42:$B$863,VALUE(LEFT(A1537,FIND("/",A1537)-1)))</f>
        <v>384.19</v>
      </c>
    </row>
    <row r="1538" spans="1:3" ht="15" customHeight="1">
      <c r="A1538" t="s">
        <v>1601</v>
      </c>
      <c r="B1538" s="15">
        <f>'Temp Dev, C, F'!D1538</f>
        <v>57.74</v>
      </c>
      <c r="C1538">
        <f>SUMIFS(co2_mm_mlo!$D$42:$D$863,co2_mm_mlo!$A$42:$A$863,VALUE(RIGHT(A1538,4)),co2_mm_mlo!$B$42:$B$863,VALUE(LEFT(A1538,FIND("/",A1538)-1)))</f>
        <v>385.78</v>
      </c>
    </row>
    <row r="1539" spans="1:3" ht="15" customHeight="1">
      <c r="A1539" t="s">
        <v>1602</v>
      </c>
      <c r="B1539" s="15">
        <f>'Temp Dev, C, F'!D1539</f>
        <v>57.884</v>
      </c>
      <c r="C1539">
        <f>SUMIFS(co2_mm_mlo!$D$42:$D$863,co2_mm_mlo!$A$42:$A$863,VALUE(RIGHT(A1539,4)),co2_mm_mlo!$B$42:$B$863,VALUE(LEFT(A1539,FIND("/",A1539)-1)))</f>
        <v>386.06</v>
      </c>
    </row>
    <row r="1540" spans="1:3" ht="15" customHeight="1">
      <c r="A1540" t="s">
        <v>1603</v>
      </c>
      <c r="B1540" s="15">
        <f>'Temp Dev, C, F'!D1540</f>
        <v>58.55</v>
      </c>
      <c r="C1540">
        <f>SUMIFS(co2_mm_mlo!$D$42:$D$863,co2_mm_mlo!$A$42:$A$863,VALUE(RIGHT(A1540,4)),co2_mm_mlo!$B$42:$B$863,VALUE(LEFT(A1540,FIND("/",A1540)-1)))</f>
        <v>386.28</v>
      </c>
    </row>
    <row r="1541" spans="1:3" ht="15" customHeight="1">
      <c r="A1541" t="s">
        <v>1604</v>
      </c>
      <c r="B1541" s="15">
        <f>'Temp Dev, C, F'!D1541</f>
        <v>58.171999999999997</v>
      </c>
      <c r="C1541">
        <f>SUMIFS(co2_mm_mlo!$D$42:$D$863,co2_mm_mlo!$A$42:$A$863,VALUE(RIGHT(A1541,4)),co2_mm_mlo!$B$42:$B$863,VALUE(LEFT(A1541,FIND("/",A1541)-1)))</f>
        <v>387.33</v>
      </c>
    </row>
    <row r="1542" spans="1:3" ht="15" customHeight="1">
      <c r="A1542" t="s">
        <v>1605</v>
      </c>
      <c r="B1542" s="15">
        <f>'Temp Dev, C, F'!D1542</f>
        <v>58.1</v>
      </c>
      <c r="C1542">
        <f>SUMIFS(co2_mm_mlo!$D$42:$D$863,co2_mm_mlo!$A$42:$A$863,VALUE(RIGHT(A1542,4)),co2_mm_mlo!$B$42:$B$863,VALUE(LEFT(A1542,FIND("/",A1542)-1)))</f>
        <v>388.78</v>
      </c>
    </row>
    <row r="1543" spans="1:3" ht="15" customHeight="1">
      <c r="A1543" t="s">
        <v>1606</v>
      </c>
      <c r="B1543" s="15">
        <f>'Temp Dev, C, F'!D1543</f>
        <v>58.1</v>
      </c>
      <c r="C1543">
        <f>SUMIFS(co2_mm_mlo!$D$42:$D$863,co2_mm_mlo!$A$42:$A$863,VALUE(RIGHT(A1543,4)),co2_mm_mlo!$B$42:$B$863,VALUE(LEFT(A1543,FIND("/",A1543)-1)))</f>
        <v>387.99</v>
      </c>
    </row>
    <row r="1544" spans="1:3" ht="15" customHeight="1">
      <c r="A1544" t="s">
        <v>1607</v>
      </c>
      <c r="B1544" s="15">
        <f>'Temp Dev, C, F'!D1544</f>
        <v>58.28</v>
      </c>
      <c r="C1544">
        <f>SUMIFS(co2_mm_mlo!$D$42:$D$863,co2_mm_mlo!$A$42:$A$863,VALUE(RIGHT(A1544,4)),co2_mm_mlo!$B$42:$B$863,VALUE(LEFT(A1544,FIND("/",A1544)-1)))</f>
        <v>386.62</v>
      </c>
    </row>
    <row r="1545" spans="1:3" ht="15" customHeight="1">
      <c r="A1545" t="s">
        <v>1608</v>
      </c>
      <c r="B1545" s="15">
        <f>'Temp Dev, C, F'!D1545</f>
        <v>58.01</v>
      </c>
      <c r="C1545">
        <f>SUMIFS(co2_mm_mlo!$D$42:$D$863,co2_mm_mlo!$A$42:$A$863,VALUE(RIGHT(A1545,4)),co2_mm_mlo!$B$42:$B$863,VALUE(LEFT(A1545,FIND("/",A1545)-1)))</f>
        <v>384.32</v>
      </c>
    </row>
    <row r="1546" spans="1:3" ht="15" customHeight="1">
      <c r="A1546" t="s">
        <v>1609</v>
      </c>
      <c r="B1546" s="15">
        <f>'Temp Dev, C, F'!D1546</f>
        <v>58.28</v>
      </c>
      <c r="C1546">
        <f>SUMIFS(co2_mm_mlo!$D$42:$D$863,co2_mm_mlo!$A$42:$A$863,VALUE(RIGHT(A1546,4)),co2_mm_mlo!$B$42:$B$863,VALUE(LEFT(A1546,FIND("/",A1546)-1)))</f>
        <v>383.41</v>
      </c>
    </row>
    <row r="1547" spans="1:3" ht="15" customHeight="1">
      <c r="A1547" t="s">
        <v>1610</v>
      </c>
      <c r="B1547" s="15">
        <f>'Temp Dev, C, F'!D1547</f>
        <v>58.405999999999999</v>
      </c>
      <c r="C1547">
        <f>SUMIFS(co2_mm_mlo!$D$42:$D$863,co2_mm_mlo!$A$42:$A$863,VALUE(RIGHT(A1547,4)),co2_mm_mlo!$B$42:$B$863,VALUE(LEFT(A1547,FIND("/",A1547)-1)))</f>
        <v>383.22</v>
      </c>
    </row>
    <row r="1548" spans="1:3" ht="15" customHeight="1">
      <c r="A1548" t="s">
        <v>1611</v>
      </c>
      <c r="B1548" s="15">
        <f>'Temp Dev, C, F'!D1548</f>
        <v>58.442</v>
      </c>
      <c r="C1548">
        <f>SUMIFS(co2_mm_mlo!$D$42:$D$863,co2_mm_mlo!$A$42:$A$863,VALUE(RIGHT(A1548,4)),co2_mm_mlo!$B$42:$B$863,VALUE(LEFT(A1548,FIND("/",A1548)-1)))</f>
        <v>384.41</v>
      </c>
    </row>
    <row r="1549" spans="1:3" ht="15" customHeight="1">
      <c r="A1549" t="s">
        <v>1612</v>
      </c>
      <c r="B1549" s="15">
        <f>'Temp Dev, C, F'!D1549</f>
        <v>58.171999999999997</v>
      </c>
      <c r="C1549">
        <f>SUMIFS(co2_mm_mlo!$D$42:$D$863,co2_mm_mlo!$A$42:$A$863,VALUE(RIGHT(A1549,4)),co2_mm_mlo!$B$42:$B$863,VALUE(LEFT(A1549,FIND("/",A1549)-1)))</f>
        <v>385.79</v>
      </c>
    </row>
    <row r="1550" spans="1:3" ht="15" customHeight="1">
      <c r="A1550" t="s">
        <v>1613</v>
      </c>
      <c r="B1550" s="15">
        <f>'Temp Dev, C, F'!D1550</f>
        <v>58.370000000000005</v>
      </c>
      <c r="C1550">
        <f>SUMIFS(co2_mm_mlo!$D$42:$D$863,co2_mm_mlo!$A$42:$A$863,VALUE(RIGHT(A1550,4)),co2_mm_mlo!$B$42:$B$863,VALUE(LEFT(A1550,FIND("/",A1550)-1)))</f>
        <v>387.17</v>
      </c>
    </row>
    <row r="1551" spans="1:3" ht="15" customHeight="1">
      <c r="A1551" t="s">
        <v>1614</v>
      </c>
      <c r="B1551" s="15">
        <f>'Temp Dev, C, F'!D1551</f>
        <v>58.153999999999996</v>
      </c>
      <c r="C1551">
        <f>SUMIFS(co2_mm_mlo!$D$42:$D$863,co2_mm_mlo!$A$42:$A$863,VALUE(RIGHT(A1551,4)),co2_mm_mlo!$B$42:$B$863,VALUE(LEFT(A1551,FIND("/",A1551)-1)))</f>
        <v>387.7</v>
      </c>
    </row>
    <row r="1552" spans="1:3" ht="15" customHeight="1">
      <c r="A1552" t="s">
        <v>1615</v>
      </c>
      <c r="B1552" s="15">
        <f>'Temp Dev, C, F'!D1552</f>
        <v>58.153999999999996</v>
      </c>
      <c r="C1552">
        <f>SUMIFS(co2_mm_mlo!$D$42:$D$863,co2_mm_mlo!$A$42:$A$863,VALUE(RIGHT(A1552,4)),co2_mm_mlo!$B$42:$B$863,VALUE(LEFT(A1552,FIND("/",A1552)-1)))</f>
        <v>389.04</v>
      </c>
    </row>
    <row r="1553" spans="1:3" ht="15" customHeight="1">
      <c r="A1553" t="s">
        <v>1616</v>
      </c>
      <c r="B1553" s="15">
        <f>'Temp Dev, C, F'!D1553</f>
        <v>58.298000000000002</v>
      </c>
      <c r="C1553">
        <f>SUMIFS(co2_mm_mlo!$D$42:$D$863,co2_mm_mlo!$A$42:$A$863,VALUE(RIGHT(A1553,4)),co2_mm_mlo!$B$42:$B$863,VALUE(LEFT(A1553,FIND("/",A1553)-1)))</f>
        <v>389.76</v>
      </c>
    </row>
    <row r="1554" spans="1:3" ht="15" customHeight="1">
      <c r="A1554" t="s">
        <v>1617</v>
      </c>
      <c r="B1554" s="15">
        <f>'Temp Dev, C, F'!D1554</f>
        <v>58.370000000000005</v>
      </c>
      <c r="C1554">
        <f>SUMIFS(co2_mm_mlo!$D$42:$D$863,co2_mm_mlo!$A$42:$A$863,VALUE(RIGHT(A1554,4)),co2_mm_mlo!$B$42:$B$863,VALUE(LEFT(A1554,FIND("/",A1554)-1)))</f>
        <v>390.36</v>
      </c>
    </row>
    <row r="1555" spans="1:3" ht="15" customHeight="1">
      <c r="A1555" t="s">
        <v>1618</v>
      </c>
      <c r="B1555" s="15">
        <f>'Temp Dev, C, F'!D1555</f>
        <v>58.334000000000003</v>
      </c>
      <c r="C1555">
        <f>SUMIFS(co2_mm_mlo!$D$42:$D$863,co2_mm_mlo!$A$42:$A$863,VALUE(RIGHT(A1555,4)),co2_mm_mlo!$B$42:$B$863,VALUE(LEFT(A1555,FIND("/",A1555)-1)))</f>
        <v>389.7</v>
      </c>
    </row>
    <row r="1556" spans="1:3" ht="15" customHeight="1">
      <c r="A1556" t="s">
        <v>1619</v>
      </c>
      <c r="B1556" s="15">
        <f>'Temp Dev, C, F'!D1556</f>
        <v>58.531999999999996</v>
      </c>
      <c r="C1556">
        <f>SUMIFS(co2_mm_mlo!$D$42:$D$863,co2_mm_mlo!$A$42:$A$863,VALUE(RIGHT(A1556,4)),co2_mm_mlo!$B$42:$B$863,VALUE(LEFT(A1556,FIND("/",A1556)-1)))</f>
        <v>388.24</v>
      </c>
    </row>
    <row r="1557" spans="1:3" ht="15" customHeight="1">
      <c r="A1557" t="s">
        <v>1620</v>
      </c>
      <c r="B1557" s="15">
        <f>'Temp Dev, C, F'!D1557</f>
        <v>58.442</v>
      </c>
      <c r="C1557">
        <f>SUMIFS(co2_mm_mlo!$D$42:$D$863,co2_mm_mlo!$A$42:$A$863,VALUE(RIGHT(A1557,4)),co2_mm_mlo!$B$42:$B$863,VALUE(LEFT(A1557,FIND("/",A1557)-1)))</f>
        <v>386.29</v>
      </c>
    </row>
    <row r="1558" spans="1:3" ht="15" customHeight="1">
      <c r="A1558" t="s">
        <v>1621</v>
      </c>
      <c r="B1558" s="15">
        <f>'Temp Dev, C, F'!D1558</f>
        <v>58.496000000000002</v>
      </c>
      <c r="C1558">
        <f>SUMIFS(co2_mm_mlo!$D$42:$D$863,co2_mm_mlo!$A$42:$A$863,VALUE(RIGHT(A1558,4)),co2_mm_mlo!$B$42:$B$863,VALUE(LEFT(A1558,FIND("/",A1558)-1)))</f>
        <v>384.95</v>
      </c>
    </row>
    <row r="1559" spans="1:3" ht="15" customHeight="1">
      <c r="A1559" t="s">
        <v>1622</v>
      </c>
      <c r="B1559" s="15">
        <f>'Temp Dev, C, F'!D1559</f>
        <v>58.370000000000005</v>
      </c>
      <c r="C1559">
        <f>SUMIFS(co2_mm_mlo!$D$42:$D$863,co2_mm_mlo!$A$42:$A$863,VALUE(RIGHT(A1559,4)),co2_mm_mlo!$B$42:$B$863,VALUE(LEFT(A1559,FIND("/",A1559)-1)))</f>
        <v>384.64</v>
      </c>
    </row>
    <row r="1560" spans="1:3" ht="15" customHeight="1">
      <c r="A1560" t="s">
        <v>1623</v>
      </c>
      <c r="B1560" s="15">
        <f>'Temp Dev, C, F'!D1560</f>
        <v>58.64</v>
      </c>
      <c r="C1560">
        <f>SUMIFS(co2_mm_mlo!$D$42:$D$863,co2_mm_mlo!$A$42:$A$863,VALUE(RIGHT(A1560,4)),co2_mm_mlo!$B$42:$B$863,VALUE(LEFT(A1560,FIND("/",A1560)-1)))</f>
        <v>386.23</v>
      </c>
    </row>
    <row r="1561" spans="1:3" ht="15" customHeight="1">
      <c r="A1561" t="s">
        <v>1624</v>
      </c>
      <c r="B1561" s="15">
        <f>'Temp Dev, C, F'!D1561</f>
        <v>58.405999999999999</v>
      </c>
      <c r="C1561">
        <f>SUMIFS(co2_mm_mlo!$D$42:$D$863,co2_mm_mlo!$A$42:$A$863,VALUE(RIGHT(A1561,4)),co2_mm_mlo!$B$42:$B$863,VALUE(LEFT(A1561,FIND("/",A1561)-1)))</f>
        <v>387.63</v>
      </c>
    </row>
    <row r="1562" spans="1:3" ht="15" customHeight="1">
      <c r="A1562" t="s">
        <v>1625</v>
      </c>
      <c r="B1562" s="15">
        <f>'Temp Dev, C, F'!D1562</f>
        <v>58.55</v>
      </c>
      <c r="C1562">
        <f>SUMIFS(co2_mm_mlo!$D$42:$D$863,co2_mm_mlo!$A$42:$A$863,VALUE(RIGHT(A1562,4)),co2_mm_mlo!$B$42:$B$863,VALUE(LEFT(A1562,FIND("/",A1562)-1)))</f>
        <v>388.91</v>
      </c>
    </row>
    <row r="1563" spans="1:3" ht="15" customHeight="1">
      <c r="A1563" t="s">
        <v>1626</v>
      </c>
      <c r="B1563" s="15">
        <f>'Temp Dev, C, F'!D1563</f>
        <v>58.712000000000003</v>
      </c>
      <c r="C1563">
        <f>SUMIFS(co2_mm_mlo!$D$42:$D$863,co2_mm_mlo!$A$42:$A$863,VALUE(RIGHT(A1563,4)),co2_mm_mlo!$B$42:$B$863,VALUE(LEFT(A1563,FIND("/",A1563)-1)))</f>
        <v>390.41</v>
      </c>
    </row>
    <row r="1564" spans="1:3" ht="15" customHeight="1">
      <c r="A1564" t="s">
        <v>1627</v>
      </c>
      <c r="B1564" s="15">
        <f>'Temp Dev, C, F'!D1564</f>
        <v>58.856000000000002</v>
      </c>
      <c r="C1564">
        <f>SUMIFS(co2_mm_mlo!$D$42:$D$863,co2_mm_mlo!$A$42:$A$863,VALUE(RIGHT(A1564,4)),co2_mm_mlo!$B$42:$B$863,VALUE(LEFT(A1564,FIND("/",A1564)-1)))</f>
        <v>391.37</v>
      </c>
    </row>
    <row r="1565" spans="1:3" ht="15" customHeight="1">
      <c r="A1565" t="s">
        <v>1628</v>
      </c>
      <c r="B1565" s="15">
        <f>'Temp Dev, C, F'!D1565</f>
        <v>58.730000000000004</v>
      </c>
      <c r="C1565">
        <f>SUMIFS(co2_mm_mlo!$D$42:$D$863,co2_mm_mlo!$A$42:$A$863,VALUE(RIGHT(A1565,4)),co2_mm_mlo!$B$42:$B$863,VALUE(LEFT(A1565,FIND("/",A1565)-1)))</f>
        <v>392.67</v>
      </c>
    </row>
    <row r="1566" spans="1:3" ht="15" customHeight="1">
      <c r="A1566" t="s">
        <v>1629</v>
      </c>
      <c r="B1566" s="15">
        <f>'Temp Dev, C, F'!D1566</f>
        <v>58.55</v>
      </c>
      <c r="C1566">
        <f>SUMIFS(co2_mm_mlo!$D$42:$D$863,co2_mm_mlo!$A$42:$A$863,VALUE(RIGHT(A1566,4)),co2_mm_mlo!$B$42:$B$863,VALUE(LEFT(A1566,FIND("/",A1566)-1)))</f>
        <v>393.21</v>
      </c>
    </row>
    <row r="1567" spans="1:3" ht="15" customHeight="1">
      <c r="A1567" t="s">
        <v>1630</v>
      </c>
      <c r="B1567" s="15">
        <f>'Temp Dev, C, F'!D1567</f>
        <v>58.423999999999999</v>
      </c>
      <c r="C1567">
        <f>SUMIFS(co2_mm_mlo!$D$42:$D$863,co2_mm_mlo!$A$42:$A$863,VALUE(RIGHT(A1567,4)),co2_mm_mlo!$B$42:$B$863,VALUE(LEFT(A1567,FIND("/",A1567)-1)))</f>
        <v>392.38</v>
      </c>
    </row>
    <row r="1568" spans="1:3" ht="15" customHeight="1">
      <c r="A1568" t="s">
        <v>1631</v>
      </c>
      <c r="B1568" s="15">
        <f>'Temp Dev, C, F'!D1568</f>
        <v>58.334000000000003</v>
      </c>
      <c r="C1568">
        <f>SUMIFS(co2_mm_mlo!$D$42:$D$863,co2_mm_mlo!$A$42:$A$863,VALUE(RIGHT(A1568,4)),co2_mm_mlo!$B$42:$B$863,VALUE(LEFT(A1568,FIND("/",A1568)-1)))</f>
        <v>390.41</v>
      </c>
    </row>
    <row r="1569" spans="1:3" ht="15" customHeight="1">
      <c r="A1569" t="s">
        <v>1632</v>
      </c>
      <c r="B1569" s="15">
        <f>'Temp Dev, C, F'!D1569</f>
        <v>58.405999999999999</v>
      </c>
      <c r="C1569">
        <f>SUMIFS(co2_mm_mlo!$D$42:$D$863,co2_mm_mlo!$A$42:$A$863,VALUE(RIGHT(A1569,4)),co2_mm_mlo!$B$42:$B$863,VALUE(LEFT(A1569,FIND("/",A1569)-1)))</f>
        <v>388.54</v>
      </c>
    </row>
    <row r="1570" spans="1:3" ht="15" customHeight="1">
      <c r="A1570" t="s">
        <v>1633</v>
      </c>
      <c r="B1570" s="15">
        <f>'Temp Dev, C, F'!D1570</f>
        <v>58.334000000000003</v>
      </c>
      <c r="C1570">
        <f>SUMIFS(co2_mm_mlo!$D$42:$D$863,co2_mm_mlo!$A$42:$A$863,VALUE(RIGHT(A1570,4)),co2_mm_mlo!$B$42:$B$863,VALUE(LEFT(A1570,FIND("/",A1570)-1)))</f>
        <v>387.03</v>
      </c>
    </row>
    <row r="1571" spans="1:3" ht="15" customHeight="1">
      <c r="A1571" t="s">
        <v>1634</v>
      </c>
      <c r="B1571" s="15">
        <f>'Temp Dev, C, F'!D1571</f>
        <v>58.478000000000002</v>
      </c>
      <c r="C1571">
        <f>SUMIFS(co2_mm_mlo!$D$42:$D$863,co2_mm_mlo!$A$42:$A$863,VALUE(RIGHT(A1571,4)),co2_mm_mlo!$B$42:$B$863,VALUE(LEFT(A1571,FIND("/",A1571)-1)))</f>
        <v>387.43</v>
      </c>
    </row>
    <row r="1572" spans="1:3" ht="15" customHeight="1">
      <c r="A1572" t="s">
        <v>1635</v>
      </c>
      <c r="B1572" s="15">
        <f>'Temp Dev, C, F'!D1572</f>
        <v>58.658000000000001</v>
      </c>
      <c r="C1572">
        <f>SUMIFS(co2_mm_mlo!$D$42:$D$863,co2_mm_mlo!$A$42:$A$863,VALUE(RIGHT(A1572,4)),co2_mm_mlo!$B$42:$B$863,VALUE(LEFT(A1572,FIND("/",A1572)-1)))</f>
        <v>388.87</v>
      </c>
    </row>
    <row r="1573" spans="1:3" ht="15" customHeight="1">
      <c r="A1573" t="s">
        <v>1636</v>
      </c>
      <c r="B1573" s="15">
        <f>'Temp Dev, C, F'!D1573</f>
        <v>58.01</v>
      </c>
      <c r="C1573">
        <f>SUMIFS(co2_mm_mlo!$D$42:$D$863,co2_mm_mlo!$A$42:$A$863,VALUE(RIGHT(A1573,4)),co2_mm_mlo!$B$42:$B$863,VALUE(LEFT(A1573,FIND("/",A1573)-1)))</f>
        <v>389.99</v>
      </c>
    </row>
    <row r="1574" spans="1:3" ht="15" customHeight="1">
      <c r="A1574" t="s">
        <v>1637</v>
      </c>
      <c r="B1574" s="15">
        <f>'Temp Dev, C, F'!D1574</f>
        <v>58.135999999999996</v>
      </c>
      <c r="C1574">
        <f>SUMIFS(co2_mm_mlo!$D$42:$D$863,co2_mm_mlo!$A$42:$A$863,VALUE(RIGHT(A1574,4)),co2_mm_mlo!$B$42:$B$863,VALUE(LEFT(A1574,FIND("/",A1574)-1)))</f>
        <v>391.5</v>
      </c>
    </row>
    <row r="1575" spans="1:3" ht="15" customHeight="1">
      <c r="A1575" t="s">
        <v>1638</v>
      </c>
      <c r="B1575" s="15">
        <f>'Temp Dev, C, F'!D1575</f>
        <v>58.046000000000006</v>
      </c>
      <c r="C1575">
        <f>SUMIFS(co2_mm_mlo!$D$42:$D$863,co2_mm_mlo!$A$42:$A$863,VALUE(RIGHT(A1575,4)),co2_mm_mlo!$B$42:$B$863,VALUE(LEFT(A1575,FIND("/",A1575)-1)))</f>
        <v>392.05</v>
      </c>
    </row>
    <row r="1576" spans="1:3" ht="15" customHeight="1">
      <c r="A1576" t="s">
        <v>1639</v>
      </c>
      <c r="B1576" s="15">
        <f>'Temp Dev, C, F'!D1576</f>
        <v>58.370000000000005</v>
      </c>
      <c r="C1576">
        <f>SUMIFS(co2_mm_mlo!$D$42:$D$863,co2_mm_mlo!$A$42:$A$863,VALUE(RIGHT(A1576,4)),co2_mm_mlo!$B$42:$B$863,VALUE(LEFT(A1576,FIND("/",A1576)-1)))</f>
        <v>392.8</v>
      </c>
    </row>
    <row r="1577" spans="1:3" ht="15" customHeight="1">
      <c r="A1577" t="s">
        <v>1640</v>
      </c>
      <c r="B1577" s="15">
        <f>'Temp Dev, C, F'!D1577</f>
        <v>58.352000000000004</v>
      </c>
      <c r="C1577">
        <f>SUMIFS(co2_mm_mlo!$D$42:$D$863,co2_mm_mlo!$A$42:$A$863,VALUE(RIGHT(A1577,4)),co2_mm_mlo!$B$42:$B$863,VALUE(LEFT(A1577,FIND("/",A1577)-1)))</f>
        <v>393.44</v>
      </c>
    </row>
    <row r="1578" spans="1:3" ht="15" customHeight="1">
      <c r="A1578" t="s">
        <v>1641</v>
      </c>
      <c r="B1578" s="15">
        <f>'Temp Dev, C, F'!D1578</f>
        <v>58.153999999999996</v>
      </c>
      <c r="C1578">
        <f>SUMIFS(co2_mm_mlo!$D$42:$D$863,co2_mm_mlo!$A$42:$A$863,VALUE(RIGHT(A1578,4)),co2_mm_mlo!$B$42:$B$863,VALUE(LEFT(A1578,FIND("/",A1578)-1)))</f>
        <v>394.41</v>
      </c>
    </row>
    <row r="1579" spans="1:3" ht="15" customHeight="1">
      <c r="A1579" t="s">
        <v>1642</v>
      </c>
      <c r="B1579" s="15">
        <f>'Temp Dev, C, F'!D1579</f>
        <v>58.316000000000003</v>
      </c>
      <c r="C1579">
        <f>SUMIFS(co2_mm_mlo!$D$42:$D$863,co2_mm_mlo!$A$42:$A$863,VALUE(RIGHT(A1579,4)),co2_mm_mlo!$B$42:$B$863,VALUE(LEFT(A1579,FIND("/",A1579)-1)))</f>
        <v>393.95</v>
      </c>
    </row>
    <row r="1580" spans="1:3" ht="15" customHeight="1">
      <c r="A1580" t="s">
        <v>1643</v>
      </c>
      <c r="B1580" s="15">
        <f>'Temp Dev, C, F'!D1580</f>
        <v>58.478000000000002</v>
      </c>
      <c r="C1580">
        <f>SUMIFS(co2_mm_mlo!$D$42:$D$863,co2_mm_mlo!$A$42:$A$863,VALUE(RIGHT(A1580,4)),co2_mm_mlo!$B$42:$B$863,VALUE(LEFT(A1580,FIND("/",A1580)-1)))</f>
        <v>392.72</v>
      </c>
    </row>
    <row r="1581" spans="1:3" ht="15" customHeight="1">
      <c r="A1581" t="s">
        <v>1644</v>
      </c>
      <c r="B1581" s="15">
        <f>'Temp Dev, C, F'!D1581</f>
        <v>58.531999999999996</v>
      </c>
      <c r="C1581">
        <f>SUMIFS(co2_mm_mlo!$D$42:$D$863,co2_mm_mlo!$A$42:$A$863,VALUE(RIGHT(A1581,4)),co2_mm_mlo!$B$42:$B$863,VALUE(LEFT(A1581,FIND("/",A1581)-1)))</f>
        <v>390.33</v>
      </c>
    </row>
    <row r="1582" spans="1:3" ht="15" customHeight="1">
      <c r="A1582" t="s">
        <v>1645</v>
      </c>
      <c r="B1582" s="15">
        <f>'Temp Dev, C, F'!D1582</f>
        <v>58.207999999999998</v>
      </c>
      <c r="C1582">
        <f>SUMIFS(co2_mm_mlo!$D$42:$D$863,co2_mm_mlo!$A$42:$A$863,VALUE(RIGHT(A1582,4)),co2_mm_mlo!$B$42:$B$863,VALUE(LEFT(A1582,FIND("/",A1582)-1)))</f>
        <v>389.28</v>
      </c>
    </row>
    <row r="1583" spans="1:3" ht="15" customHeight="1">
      <c r="A1583" t="s">
        <v>1646</v>
      </c>
      <c r="B1583" s="15">
        <f>'Temp Dev, C, F'!D1583</f>
        <v>58.370000000000005</v>
      </c>
      <c r="C1583">
        <f>SUMIFS(co2_mm_mlo!$D$42:$D$863,co2_mm_mlo!$A$42:$A$863,VALUE(RIGHT(A1583,4)),co2_mm_mlo!$B$42:$B$863,VALUE(LEFT(A1583,FIND("/",A1583)-1)))</f>
        <v>389.19</v>
      </c>
    </row>
    <row r="1584" spans="1:3" ht="15" customHeight="1">
      <c r="A1584" t="s">
        <v>1647</v>
      </c>
      <c r="B1584" s="15">
        <f>'Temp Dev, C, F'!D1584</f>
        <v>58.28</v>
      </c>
      <c r="C1584">
        <f>SUMIFS(co2_mm_mlo!$D$42:$D$863,co2_mm_mlo!$A$42:$A$863,VALUE(RIGHT(A1584,4)),co2_mm_mlo!$B$42:$B$863,VALUE(LEFT(A1584,FIND("/",A1584)-1)))</f>
        <v>390.48</v>
      </c>
    </row>
    <row r="1585" spans="1:3" ht="15" customHeight="1">
      <c r="A1585" t="s">
        <v>1648</v>
      </c>
      <c r="B1585" s="15">
        <f>'Temp Dev, C, F'!D1585</f>
        <v>58.28</v>
      </c>
      <c r="C1585">
        <f>SUMIFS(co2_mm_mlo!$D$42:$D$863,co2_mm_mlo!$A$42:$A$863,VALUE(RIGHT(A1585,4)),co2_mm_mlo!$B$42:$B$863,VALUE(LEFT(A1585,FIND("/",A1585)-1)))</f>
        <v>392.06</v>
      </c>
    </row>
    <row r="1586" spans="1:3" ht="15" customHeight="1">
      <c r="A1586" t="s">
        <v>1649</v>
      </c>
      <c r="B1586" s="15">
        <f>'Temp Dev, C, F'!D1586</f>
        <v>58.046000000000006</v>
      </c>
      <c r="C1586">
        <f>SUMIFS(co2_mm_mlo!$D$42:$D$863,co2_mm_mlo!$A$42:$A$863,VALUE(RIGHT(A1586,4)),co2_mm_mlo!$B$42:$B$863,VALUE(LEFT(A1586,FIND("/",A1586)-1)))</f>
        <v>393.31</v>
      </c>
    </row>
    <row r="1587" spans="1:3" ht="15" customHeight="1">
      <c r="A1587" t="s">
        <v>1650</v>
      </c>
      <c r="B1587" s="15">
        <f>'Temp Dev, C, F'!D1587</f>
        <v>58.064</v>
      </c>
      <c r="C1587">
        <f>SUMIFS(co2_mm_mlo!$D$42:$D$863,co2_mm_mlo!$A$42:$A$863,VALUE(RIGHT(A1587,4)),co2_mm_mlo!$B$42:$B$863,VALUE(LEFT(A1587,FIND("/",A1587)-1)))</f>
        <v>394.04</v>
      </c>
    </row>
    <row r="1588" spans="1:3" ht="15" customHeight="1">
      <c r="A1588" t="s">
        <v>1651</v>
      </c>
      <c r="B1588" s="15">
        <f>'Temp Dev, C, F'!D1588</f>
        <v>58.225999999999999</v>
      </c>
      <c r="C1588">
        <f>SUMIFS(co2_mm_mlo!$D$42:$D$863,co2_mm_mlo!$A$42:$A$863,VALUE(RIGHT(A1588,4)),co2_mm_mlo!$B$42:$B$863,VALUE(LEFT(A1588,FIND("/",A1588)-1)))</f>
        <v>394.59</v>
      </c>
    </row>
    <row r="1589" spans="1:3" ht="15" customHeight="1">
      <c r="A1589" t="s">
        <v>1652</v>
      </c>
      <c r="B1589" s="15">
        <f>'Temp Dev, C, F'!D1589</f>
        <v>58.514000000000003</v>
      </c>
      <c r="C1589">
        <f>SUMIFS(co2_mm_mlo!$D$42:$D$863,co2_mm_mlo!$A$42:$A$863,VALUE(RIGHT(A1589,4)),co2_mm_mlo!$B$42:$B$863,VALUE(LEFT(A1589,FIND("/",A1589)-1)))</f>
        <v>396.38</v>
      </c>
    </row>
    <row r="1590" spans="1:3" ht="15" customHeight="1">
      <c r="A1590" t="s">
        <v>1653</v>
      </c>
      <c r="B1590" s="15">
        <f>'Temp Dev, C, F'!D1590</f>
        <v>58.603999999999999</v>
      </c>
      <c r="C1590">
        <f>SUMIFS(co2_mm_mlo!$D$42:$D$863,co2_mm_mlo!$A$42:$A$863,VALUE(RIGHT(A1590,4)),co2_mm_mlo!$B$42:$B$863,VALUE(LEFT(A1590,FIND("/",A1590)-1)))</f>
        <v>396.93</v>
      </c>
    </row>
    <row r="1591" spans="1:3" ht="15" customHeight="1">
      <c r="A1591" t="s">
        <v>1654</v>
      </c>
      <c r="B1591" s="15">
        <f>'Temp Dev, C, F'!D1591</f>
        <v>58.370000000000005</v>
      </c>
      <c r="C1591">
        <f>SUMIFS(co2_mm_mlo!$D$42:$D$863,co2_mm_mlo!$A$42:$A$863,VALUE(RIGHT(A1591,4)),co2_mm_mlo!$B$42:$B$863,VALUE(LEFT(A1591,FIND("/",A1591)-1)))</f>
        <v>395.91</v>
      </c>
    </row>
    <row r="1592" spans="1:3" ht="15" customHeight="1">
      <c r="A1592" t="s">
        <v>1655</v>
      </c>
      <c r="B1592" s="15">
        <f>'Temp Dev, C, F'!D1592</f>
        <v>58.262</v>
      </c>
      <c r="C1592">
        <f>SUMIFS(co2_mm_mlo!$D$42:$D$863,co2_mm_mlo!$A$42:$A$863,VALUE(RIGHT(A1592,4)),co2_mm_mlo!$B$42:$B$863,VALUE(LEFT(A1592,FIND("/",A1592)-1)))</f>
        <v>394.56</v>
      </c>
    </row>
    <row r="1593" spans="1:3" ht="15" customHeight="1">
      <c r="A1593" t="s">
        <v>1656</v>
      </c>
      <c r="B1593" s="15">
        <f>'Temp Dev, C, F'!D1593</f>
        <v>58.388000000000005</v>
      </c>
      <c r="C1593">
        <f>SUMIFS(co2_mm_mlo!$D$42:$D$863,co2_mm_mlo!$A$42:$A$863,VALUE(RIGHT(A1593,4)),co2_mm_mlo!$B$42:$B$863,VALUE(LEFT(A1593,FIND("/",A1593)-1)))</f>
        <v>392.59</v>
      </c>
    </row>
    <row r="1594" spans="1:3" ht="15" customHeight="1">
      <c r="A1594" t="s">
        <v>1657</v>
      </c>
      <c r="B1594" s="15">
        <f>'Temp Dev, C, F'!D1594</f>
        <v>58.496000000000002</v>
      </c>
      <c r="C1594">
        <f>SUMIFS(co2_mm_mlo!$D$42:$D$863,co2_mm_mlo!$A$42:$A$863,VALUE(RIGHT(A1594,4)),co2_mm_mlo!$B$42:$B$863,VALUE(LEFT(A1594,FIND("/",A1594)-1)))</f>
        <v>391.32</v>
      </c>
    </row>
    <row r="1595" spans="1:3" ht="15" customHeight="1">
      <c r="A1595" t="s">
        <v>1658</v>
      </c>
      <c r="B1595" s="15">
        <f>'Temp Dev, C, F'!D1595</f>
        <v>58.64</v>
      </c>
      <c r="C1595">
        <f>SUMIFS(co2_mm_mlo!$D$42:$D$863,co2_mm_mlo!$A$42:$A$863,VALUE(RIGHT(A1595,4)),co2_mm_mlo!$B$42:$B$863,VALUE(LEFT(A1595,FIND("/",A1595)-1)))</f>
        <v>391.27</v>
      </c>
    </row>
    <row r="1596" spans="1:3" ht="15" customHeight="1">
      <c r="A1596" t="s">
        <v>1659</v>
      </c>
      <c r="B1596" s="15">
        <f>'Temp Dev, C, F'!D1596</f>
        <v>58.603999999999999</v>
      </c>
      <c r="C1596">
        <f>SUMIFS(co2_mm_mlo!$D$42:$D$863,co2_mm_mlo!$A$42:$A$863,VALUE(RIGHT(A1596,4)),co2_mm_mlo!$B$42:$B$863,VALUE(LEFT(A1596,FIND("/",A1596)-1)))</f>
        <v>393.2</v>
      </c>
    </row>
    <row r="1597" spans="1:3" ht="15" customHeight="1">
      <c r="A1597" t="s">
        <v>1660</v>
      </c>
      <c r="B1597" s="15">
        <f>'Temp Dev, C, F'!D1597</f>
        <v>58.153999999999996</v>
      </c>
      <c r="C1597">
        <f>SUMIFS(co2_mm_mlo!$D$42:$D$863,co2_mm_mlo!$A$42:$A$863,VALUE(RIGHT(A1597,4)),co2_mm_mlo!$B$42:$B$863,VALUE(LEFT(A1597,FIND("/",A1597)-1)))</f>
        <v>394.57</v>
      </c>
    </row>
    <row r="1598" spans="1:3" ht="15" customHeight="1">
      <c r="A1598" t="s">
        <v>1661</v>
      </c>
      <c r="B1598" s="15">
        <f>'Temp Dev, C, F'!D1598</f>
        <v>58.478000000000002</v>
      </c>
      <c r="C1598">
        <f>SUMIFS(co2_mm_mlo!$D$42:$D$863,co2_mm_mlo!$A$42:$A$863,VALUE(RIGHT(A1598,4)),co2_mm_mlo!$B$42:$B$863,VALUE(LEFT(A1598,FIND("/",A1598)-1)))</f>
        <v>395.78</v>
      </c>
    </row>
    <row r="1599" spans="1:3" ht="15" customHeight="1">
      <c r="A1599" t="s">
        <v>1662</v>
      </c>
      <c r="B1599" s="15">
        <f>'Temp Dev, C, F'!D1599</f>
        <v>58.316000000000003</v>
      </c>
      <c r="C1599">
        <f>SUMIFS(co2_mm_mlo!$D$42:$D$863,co2_mm_mlo!$A$42:$A$863,VALUE(RIGHT(A1599,4)),co2_mm_mlo!$B$42:$B$863,VALUE(LEFT(A1599,FIND("/",A1599)-1)))</f>
        <v>397.03</v>
      </c>
    </row>
    <row r="1600" spans="1:3" ht="15" customHeight="1">
      <c r="A1600" t="s">
        <v>1663</v>
      </c>
      <c r="B1600" s="15">
        <f>'Temp Dev, C, F'!D1600</f>
        <v>58.405999999999999</v>
      </c>
      <c r="C1600">
        <f>SUMIFS(co2_mm_mlo!$D$42:$D$863,co2_mm_mlo!$A$42:$A$863,VALUE(RIGHT(A1600,4)),co2_mm_mlo!$B$42:$B$863,VALUE(LEFT(A1600,FIND("/",A1600)-1)))</f>
        <v>397.66</v>
      </c>
    </row>
    <row r="1601" spans="1:3" ht="15" customHeight="1">
      <c r="A1601" t="s">
        <v>1664</v>
      </c>
      <c r="B1601" s="15">
        <f>'Temp Dev, C, F'!D1601</f>
        <v>58.153999999999996</v>
      </c>
      <c r="C1601">
        <f>SUMIFS(co2_mm_mlo!$D$42:$D$863,co2_mm_mlo!$A$42:$A$863,VALUE(RIGHT(A1601,4)),co2_mm_mlo!$B$42:$B$863,VALUE(LEFT(A1601,FIND("/",A1601)-1)))</f>
        <v>398.64</v>
      </c>
    </row>
    <row r="1602" spans="1:3" ht="15" customHeight="1">
      <c r="A1602" t="s">
        <v>1665</v>
      </c>
      <c r="B1602" s="15">
        <f>'Temp Dev, C, F'!D1602</f>
        <v>58.28</v>
      </c>
      <c r="C1602">
        <f>SUMIFS(co2_mm_mlo!$D$42:$D$863,co2_mm_mlo!$A$42:$A$863,VALUE(RIGHT(A1602,4)),co2_mm_mlo!$B$42:$B$863,VALUE(LEFT(A1602,FIND("/",A1602)-1)))</f>
        <v>400.02</v>
      </c>
    </row>
    <row r="1603" spans="1:3" ht="15" customHeight="1">
      <c r="A1603" t="s">
        <v>1666</v>
      </c>
      <c r="B1603" s="15">
        <f>'Temp Dev, C, F'!D1603</f>
        <v>58.46</v>
      </c>
      <c r="C1603">
        <f>SUMIFS(co2_mm_mlo!$D$42:$D$863,co2_mm_mlo!$A$42:$A$863,VALUE(RIGHT(A1603,4)),co2_mm_mlo!$B$42:$B$863,VALUE(LEFT(A1603,FIND("/",A1603)-1)))</f>
        <v>398.81</v>
      </c>
    </row>
    <row r="1604" spans="1:3" ht="15" customHeight="1">
      <c r="A1604" t="s">
        <v>1667</v>
      </c>
      <c r="B1604" s="15">
        <f>'Temp Dev, C, F'!D1604</f>
        <v>58.28</v>
      </c>
      <c r="C1604">
        <f>SUMIFS(co2_mm_mlo!$D$42:$D$863,co2_mm_mlo!$A$42:$A$863,VALUE(RIGHT(A1604,4)),co2_mm_mlo!$B$42:$B$863,VALUE(LEFT(A1604,FIND("/",A1604)-1)))</f>
        <v>397.51</v>
      </c>
    </row>
    <row r="1605" spans="1:3" ht="15" customHeight="1">
      <c r="A1605" t="s">
        <v>1668</v>
      </c>
      <c r="B1605" s="15">
        <f>'Temp Dev, C, F'!D1605</f>
        <v>58.46</v>
      </c>
      <c r="C1605">
        <f>SUMIFS(co2_mm_mlo!$D$42:$D$863,co2_mm_mlo!$A$42:$A$863,VALUE(RIGHT(A1605,4)),co2_mm_mlo!$B$42:$B$863,VALUE(LEFT(A1605,FIND("/",A1605)-1)))</f>
        <v>395.39</v>
      </c>
    </row>
    <row r="1606" spans="1:3" ht="15" customHeight="1">
      <c r="A1606" t="s">
        <v>1669</v>
      </c>
      <c r="B1606" s="15">
        <f>'Temp Dev, C, F'!D1606</f>
        <v>58.585999999999999</v>
      </c>
      <c r="C1606">
        <f>SUMIFS(co2_mm_mlo!$D$42:$D$863,co2_mm_mlo!$A$42:$A$863,VALUE(RIGHT(A1606,4)),co2_mm_mlo!$B$42:$B$863,VALUE(LEFT(A1606,FIND("/",A1606)-1)))</f>
        <v>393.72</v>
      </c>
    </row>
    <row r="1607" spans="1:3" ht="15" customHeight="1">
      <c r="A1607" t="s">
        <v>1670</v>
      </c>
      <c r="B1607" s="15">
        <f>'Temp Dev, C, F'!D1607</f>
        <v>58.442</v>
      </c>
      <c r="C1607">
        <f>SUMIFS(co2_mm_mlo!$D$42:$D$863,co2_mm_mlo!$A$42:$A$863,VALUE(RIGHT(A1607,4)),co2_mm_mlo!$B$42:$B$863,VALUE(LEFT(A1607,FIND("/",A1607)-1)))</f>
        <v>393.9</v>
      </c>
    </row>
    <row r="1608" spans="1:3" ht="15" customHeight="1">
      <c r="A1608" t="s">
        <v>1671</v>
      </c>
      <c r="B1608" s="15">
        <f>'Temp Dev, C, F'!D1608</f>
        <v>58.694000000000003</v>
      </c>
      <c r="C1608">
        <f>SUMIFS(co2_mm_mlo!$D$42:$D$863,co2_mm_mlo!$A$42:$A$863,VALUE(RIGHT(A1608,4)),co2_mm_mlo!$B$42:$B$863,VALUE(LEFT(A1608,FIND("/",A1608)-1)))</f>
        <v>395.36</v>
      </c>
    </row>
    <row r="1609" spans="1:3" ht="15" customHeight="1">
      <c r="A1609" t="s">
        <v>1672</v>
      </c>
      <c r="B1609" s="15">
        <f>'Temp Dev, C, F'!D1609</f>
        <v>58.46</v>
      </c>
      <c r="C1609">
        <f>SUMIFS(co2_mm_mlo!$D$42:$D$863,co2_mm_mlo!$A$42:$A$863,VALUE(RIGHT(A1609,4)),co2_mm_mlo!$B$42:$B$863,VALUE(LEFT(A1609,FIND("/",A1609)-1)))</f>
        <v>397.03</v>
      </c>
    </row>
    <row r="1610" spans="1:3" ht="15" customHeight="1">
      <c r="A1610" t="s">
        <v>1673</v>
      </c>
      <c r="B1610" s="15">
        <f>'Temp Dev, C, F'!D1610</f>
        <v>58.567999999999998</v>
      </c>
      <c r="C1610">
        <f>SUMIFS(co2_mm_mlo!$D$42:$D$863,co2_mm_mlo!$A$42:$A$863,VALUE(RIGHT(A1610,4)),co2_mm_mlo!$B$42:$B$863,VALUE(LEFT(A1610,FIND("/",A1610)-1)))</f>
        <v>398.04</v>
      </c>
    </row>
    <row r="1611" spans="1:3" ht="15" customHeight="1">
      <c r="A1611" t="s">
        <v>1674</v>
      </c>
      <c r="B1611" s="15">
        <f>'Temp Dev, C, F'!D1611</f>
        <v>58.19</v>
      </c>
      <c r="C1611">
        <f>SUMIFS(co2_mm_mlo!$D$42:$D$863,co2_mm_mlo!$A$42:$A$863,VALUE(RIGHT(A1611,4)),co2_mm_mlo!$B$42:$B$863,VALUE(LEFT(A1611,FIND("/",A1611)-1)))</f>
        <v>398.27</v>
      </c>
    </row>
    <row r="1612" spans="1:3" ht="15" customHeight="1">
      <c r="A1612" t="s">
        <v>1675</v>
      </c>
      <c r="B1612" s="15">
        <f>'Temp Dev, C, F'!D1612</f>
        <v>58.603999999999999</v>
      </c>
      <c r="C1612">
        <f>SUMIFS(co2_mm_mlo!$D$42:$D$863,co2_mm_mlo!$A$42:$A$863,VALUE(RIGHT(A1612,4)),co2_mm_mlo!$B$42:$B$863,VALUE(LEFT(A1612,FIND("/",A1612)-1)))</f>
        <v>399.91</v>
      </c>
    </row>
    <row r="1613" spans="1:3" ht="15" customHeight="1">
      <c r="A1613" t="s">
        <v>1676</v>
      </c>
      <c r="B1613" s="15">
        <f>'Temp Dev, C, F'!D1613</f>
        <v>58.658000000000001</v>
      </c>
      <c r="C1613">
        <f>SUMIFS(co2_mm_mlo!$D$42:$D$863,co2_mm_mlo!$A$42:$A$863,VALUE(RIGHT(A1613,4)),co2_mm_mlo!$B$42:$B$863,VALUE(LEFT(A1613,FIND("/",A1613)-1)))</f>
        <v>401.51</v>
      </c>
    </row>
    <row r="1614" spans="1:3" ht="15" customHeight="1">
      <c r="A1614" t="s">
        <v>1677</v>
      </c>
      <c r="B1614" s="15">
        <f>'Temp Dev, C, F'!D1614</f>
        <v>58.765999999999998</v>
      </c>
      <c r="C1614">
        <f>SUMIFS(co2_mm_mlo!$D$42:$D$863,co2_mm_mlo!$A$42:$A$863,VALUE(RIGHT(A1614,4)),co2_mm_mlo!$B$42:$B$863,VALUE(LEFT(A1614,FIND("/",A1614)-1)))</f>
        <v>401.96</v>
      </c>
    </row>
    <row r="1615" spans="1:3" ht="15" customHeight="1">
      <c r="A1615" t="s">
        <v>1678</v>
      </c>
      <c r="B1615" s="15">
        <f>'Temp Dev, C, F'!D1615</f>
        <v>58.405999999999999</v>
      </c>
      <c r="C1615">
        <f>SUMIFS(co2_mm_mlo!$D$42:$D$863,co2_mm_mlo!$A$42:$A$863,VALUE(RIGHT(A1615,4)),co2_mm_mlo!$B$42:$B$863,VALUE(LEFT(A1615,FIND("/",A1615)-1)))</f>
        <v>401.43</v>
      </c>
    </row>
    <row r="1616" spans="1:3" ht="15" customHeight="1">
      <c r="A1616" t="s">
        <v>1679</v>
      </c>
      <c r="B1616" s="15">
        <f>'Temp Dev, C, F'!D1616</f>
        <v>58.244</v>
      </c>
      <c r="C1616">
        <f>SUMIFS(co2_mm_mlo!$D$42:$D$863,co2_mm_mlo!$A$42:$A$863,VALUE(RIGHT(A1616,4)),co2_mm_mlo!$B$42:$B$863,VALUE(LEFT(A1616,FIND("/",A1616)-1)))</f>
        <v>399.27</v>
      </c>
    </row>
    <row r="1617" spans="1:3" ht="15" customHeight="1">
      <c r="A1617" t="s">
        <v>1680</v>
      </c>
      <c r="B1617" s="15">
        <f>'Temp Dev, C, F'!D1617</f>
        <v>58.694000000000003</v>
      </c>
      <c r="C1617">
        <f>SUMIFS(co2_mm_mlo!$D$42:$D$863,co2_mm_mlo!$A$42:$A$863,VALUE(RIGHT(A1617,4)),co2_mm_mlo!$B$42:$B$863,VALUE(LEFT(A1617,FIND("/",A1617)-1)))</f>
        <v>397.18</v>
      </c>
    </row>
    <row r="1618" spans="1:3" ht="15" customHeight="1">
      <c r="A1618" t="s">
        <v>1681</v>
      </c>
      <c r="B1618" s="15">
        <f>'Temp Dev, C, F'!D1618</f>
        <v>58.784000000000006</v>
      </c>
      <c r="C1618">
        <f>SUMIFS(co2_mm_mlo!$D$42:$D$863,co2_mm_mlo!$A$42:$A$863,VALUE(RIGHT(A1618,4)),co2_mm_mlo!$B$42:$B$863,VALUE(LEFT(A1618,FIND("/",A1618)-1)))</f>
        <v>395.54</v>
      </c>
    </row>
    <row r="1619" spans="1:3" ht="15" customHeight="1">
      <c r="A1619" t="s">
        <v>1682</v>
      </c>
      <c r="B1619" s="15">
        <f>'Temp Dev, C, F'!D1619</f>
        <v>58.64</v>
      </c>
      <c r="C1619">
        <f>SUMIFS(co2_mm_mlo!$D$42:$D$863,co2_mm_mlo!$A$42:$A$863,VALUE(RIGHT(A1619,4)),co2_mm_mlo!$B$42:$B$863,VALUE(LEFT(A1619,FIND("/",A1619)-1)))</f>
        <v>396.16</v>
      </c>
    </row>
    <row r="1620" spans="1:3" ht="15" customHeight="1">
      <c r="A1620" t="s">
        <v>1683</v>
      </c>
      <c r="B1620" s="15">
        <f>'Temp Dev, C, F'!D1620</f>
        <v>58.405999999999999</v>
      </c>
      <c r="C1620">
        <f>SUMIFS(co2_mm_mlo!$D$42:$D$863,co2_mm_mlo!$A$42:$A$863,VALUE(RIGHT(A1620,4)),co2_mm_mlo!$B$42:$B$863,VALUE(LEFT(A1620,FIND("/",A1620)-1)))</f>
        <v>397.4</v>
      </c>
    </row>
    <row r="1621" spans="1:3" ht="15" customHeight="1">
      <c r="A1621" t="s">
        <v>1684</v>
      </c>
      <c r="B1621" s="15">
        <f>'Temp Dev, C, F'!D1621</f>
        <v>58.622</v>
      </c>
      <c r="C1621">
        <f>SUMIFS(co2_mm_mlo!$D$42:$D$863,co2_mm_mlo!$A$42:$A$863,VALUE(RIGHT(A1621,4)),co2_mm_mlo!$B$42:$B$863,VALUE(LEFT(A1621,FIND("/",A1621)-1)))</f>
        <v>399.08</v>
      </c>
    </row>
    <row r="1622" spans="1:3" ht="15" customHeight="1">
      <c r="A1622" t="s">
        <v>1685</v>
      </c>
      <c r="B1622" s="15">
        <f>'Temp Dev, C, F'!D1622</f>
        <v>58.748000000000005</v>
      </c>
      <c r="C1622">
        <f>SUMIFS(co2_mm_mlo!$D$42:$D$863,co2_mm_mlo!$A$42:$A$863,VALUE(RIGHT(A1622,4)),co2_mm_mlo!$B$42:$B$863,VALUE(LEFT(A1622,FIND("/",A1622)-1)))</f>
        <v>400.18</v>
      </c>
    </row>
    <row r="1623" spans="1:3" ht="15" customHeight="1">
      <c r="A1623" t="s">
        <v>1686</v>
      </c>
      <c r="B1623" s="15">
        <f>'Temp Dev, C, F'!D1623</f>
        <v>58.838000000000001</v>
      </c>
      <c r="C1623">
        <f>SUMIFS(co2_mm_mlo!$D$42:$D$863,co2_mm_mlo!$A$42:$A$863,VALUE(RIGHT(A1623,4)),co2_mm_mlo!$B$42:$B$863,VALUE(LEFT(A1623,FIND("/",A1623)-1)))</f>
        <v>400.55</v>
      </c>
    </row>
    <row r="1624" spans="1:3" ht="15" customHeight="1">
      <c r="A1624" t="s">
        <v>1687</v>
      </c>
      <c r="B1624" s="15">
        <f>'Temp Dev, C, F'!D1624</f>
        <v>58.927999999999997</v>
      </c>
      <c r="C1624">
        <f>SUMIFS(co2_mm_mlo!$D$42:$D$863,co2_mm_mlo!$A$42:$A$863,VALUE(RIGHT(A1624,4)),co2_mm_mlo!$B$42:$B$863,VALUE(LEFT(A1624,FIND("/",A1624)-1)))</f>
        <v>401.74</v>
      </c>
    </row>
    <row r="1625" spans="1:3" ht="15" customHeight="1">
      <c r="A1625" t="s">
        <v>1688</v>
      </c>
      <c r="B1625" s="15">
        <f>'Temp Dev, C, F'!D1625</f>
        <v>58.55</v>
      </c>
      <c r="C1625">
        <f>SUMIFS(co2_mm_mlo!$D$42:$D$863,co2_mm_mlo!$A$42:$A$863,VALUE(RIGHT(A1625,4)),co2_mm_mlo!$B$42:$B$863,VALUE(LEFT(A1625,FIND("/",A1625)-1)))</f>
        <v>403.35</v>
      </c>
    </row>
    <row r="1626" spans="1:3" ht="15" customHeight="1">
      <c r="A1626" t="s">
        <v>1689</v>
      </c>
      <c r="B1626" s="15">
        <f>'Temp Dev, C, F'!D1626</f>
        <v>58.64</v>
      </c>
      <c r="C1626">
        <f>SUMIFS(co2_mm_mlo!$D$42:$D$863,co2_mm_mlo!$A$42:$A$863,VALUE(RIGHT(A1626,4)),co2_mm_mlo!$B$42:$B$863,VALUE(LEFT(A1626,FIND("/",A1626)-1)))</f>
        <v>404.15</v>
      </c>
    </row>
    <row r="1627" spans="1:3" ht="15" customHeight="1">
      <c r="A1627" t="s">
        <v>1690</v>
      </c>
      <c r="B1627" s="15">
        <f>'Temp Dev, C, F'!D1627</f>
        <v>58.676000000000002</v>
      </c>
      <c r="C1627">
        <f>SUMIFS(co2_mm_mlo!$D$42:$D$863,co2_mm_mlo!$A$42:$A$863,VALUE(RIGHT(A1627,4)),co2_mm_mlo!$B$42:$B$863,VALUE(LEFT(A1627,FIND("/",A1627)-1)))</f>
        <v>402.97</v>
      </c>
    </row>
    <row r="1628" spans="1:3" ht="15" customHeight="1">
      <c r="A1628" t="s">
        <v>1691</v>
      </c>
      <c r="B1628" s="15">
        <f>'Temp Dev, C, F'!D1628</f>
        <v>58.514000000000003</v>
      </c>
      <c r="C1628">
        <f>SUMIFS(co2_mm_mlo!$D$42:$D$863,co2_mm_mlo!$A$42:$A$863,VALUE(RIGHT(A1628,4)),co2_mm_mlo!$B$42:$B$863,VALUE(LEFT(A1628,FIND("/",A1628)-1)))</f>
        <v>401.46</v>
      </c>
    </row>
    <row r="1629" spans="1:3" ht="15" customHeight="1">
      <c r="A1629" t="s">
        <v>1692</v>
      </c>
      <c r="B1629" s="15">
        <f>'Temp Dev, C, F'!D1629</f>
        <v>58.64</v>
      </c>
      <c r="C1629">
        <f>SUMIFS(co2_mm_mlo!$D$42:$D$863,co2_mm_mlo!$A$42:$A$863,VALUE(RIGHT(A1629,4)),co2_mm_mlo!$B$42:$B$863,VALUE(LEFT(A1629,FIND("/",A1629)-1)))</f>
        <v>399.11</v>
      </c>
    </row>
    <row r="1630" spans="1:3" ht="15" customHeight="1">
      <c r="A1630" t="s">
        <v>1693</v>
      </c>
      <c r="B1630" s="15">
        <f>'Temp Dev, C, F'!D1630</f>
        <v>58.712000000000003</v>
      </c>
      <c r="C1630">
        <f>SUMIFS(co2_mm_mlo!$D$42:$D$863,co2_mm_mlo!$A$42:$A$863,VALUE(RIGHT(A1630,4)),co2_mm_mlo!$B$42:$B$863,VALUE(LEFT(A1630,FIND("/",A1630)-1)))</f>
        <v>397.82</v>
      </c>
    </row>
    <row r="1631" spans="1:3" ht="15" customHeight="1">
      <c r="A1631" t="s">
        <v>1694</v>
      </c>
      <c r="B1631" s="15">
        <f>'Temp Dev, C, F'!D1631</f>
        <v>59.144000000000005</v>
      </c>
      <c r="C1631">
        <f>SUMIFS(co2_mm_mlo!$D$42:$D$863,co2_mm_mlo!$A$42:$A$863,VALUE(RIGHT(A1631,4)),co2_mm_mlo!$B$42:$B$863,VALUE(LEFT(A1631,FIND("/",A1631)-1)))</f>
        <v>398.49</v>
      </c>
    </row>
    <row r="1632" spans="1:3" ht="15" customHeight="1">
      <c r="A1632" t="s">
        <v>1695</v>
      </c>
      <c r="B1632" s="15">
        <f>'Temp Dev, C, F'!D1632</f>
        <v>59.108000000000004</v>
      </c>
      <c r="C1632">
        <f>SUMIFS(co2_mm_mlo!$D$42:$D$863,co2_mm_mlo!$A$42:$A$863,VALUE(RIGHT(A1632,4)),co2_mm_mlo!$B$42:$B$863,VALUE(LEFT(A1632,FIND("/",A1632)-1)))</f>
        <v>400.27</v>
      </c>
    </row>
    <row r="1633" spans="1:3" ht="15" customHeight="1">
      <c r="A1633" t="s">
        <v>1696</v>
      </c>
      <c r="B1633" s="15">
        <f>'Temp Dev, C, F'!D1633</f>
        <v>59.305999999999997</v>
      </c>
      <c r="C1633">
        <f>SUMIFS(co2_mm_mlo!$D$42:$D$863,co2_mm_mlo!$A$42:$A$863,VALUE(RIGHT(A1633,4)),co2_mm_mlo!$B$42:$B$863,VALUE(LEFT(A1633,FIND("/",A1633)-1)))</f>
        <v>402.06</v>
      </c>
    </row>
    <row r="1634" spans="1:3" ht="15" customHeight="1">
      <c r="A1634" t="s">
        <v>1697</v>
      </c>
      <c r="B1634" s="15">
        <f>'Temp Dev, C, F'!D1634</f>
        <v>59.323999999999998</v>
      </c>
      <c r="C1634">
        <f>SUMIFS(co2_mm_mlo!$D$42:$D$863,co2_mm_mlo!$A$42:$A$863,VALUE(RIGHT(A1634,4)),co2_mm_mlo!$B$42:$B$863,VALUE(LEFT(A1634,FIND("/",A1634)-1)))</f>
        <v>402.73</v>
      </c>
    </row>
    <row r="1635" spans="1:3" ht="15" customHeight="1">
      <c r="A1635" t="s">
        <v>1698</v>
      </c>
      <c r="B1635" s="15">
        <f>'Temp Dev, C, F'!D1635</f>
        <v>59.666000000000004</v>
      </c>
      <c r="C1635">
        <f>SUMIFS(co2_mm_mlo!$D$42:$D$863,co2_mm_mlo!$A$42:$A$863,VALUE(RIGHT(A1635,4)),co2_mm_mlo!$B$42:$B$863,VALUE(LEFT(A1635,FIND("/",A1635)-1)))</f>
        <v>404.25</v>
      </c>
    </row>
    <row r="1636" spans="1:3" ht="15" customHeight="1">
      <c r="A1636" t="s">
        <v>1699</v>
      </c>
      <c r="B1636" s="15">
        <f>'Temp Dev, C, F'!D1636</f>
        <v>59.629999999999995</v>
      </c>
      <c r="C1636">
        <f>SUMIFS(co2_mm_mlo!$D$42:$D$863,co2_mm_mlo!$A$42:$A$863,VALUE(RIGHT(A1636,4)),co2_mm_mlo!$B$42:$B$863,VALUE(LEFT(A1636,FIND("/",A1636)-1)))</f>
        <v>405.06</v>
      </c>
    </row>
    <row r="1637" spans="1:3" ht="15" customHeight="1">
      <c r="A1637" t="s">
        <v>1700</v>
      </c>
      <c r="B1637" s="15">
        <f>'Temp Dev, C, F'!D1637</f>
        <v>59.161999999999999</v>
      </c>
      <c r="C1637">
        <f>SUMIFS(co2_mm_mlo!$D$42:$D$863,co2_mm_mlo!$A$42:$A$863,VALUE(RIGHT(A1637,4)),co2_mm_mlo!$B$42:$B$863,VALUE(LEFT(A1637,FIND("/",A1637)-1)))</f>
        <v>407.6</v>
      </c>
    </row>
    <row r="1638" spans="1:3" ht="15" customHeight="1">
      <c r="A1638" t="s">
        <v>1701</v>
      </c>
      <c r="B1638" s="15">
        <f>'Temp Dev, C, F'!D1638</f>
        <v>58.927999999999997</v>
      </c>
      <c r="C1638">
        <f>SUMIFS(co2_mm_mlo!$D$42:$D$863,co2_mm_mlo!$A$42:$A$863,VALUE(RIGHT(A1638,4)),co2_mm_mlo!$B$42:$B$863,VALUE(LEFT(A1638,FIND("/",A1638)-1)))</f>
        <v>407.9</v>
      </c>
    </row>
    <row r="1639" spans="1:3" ht="15" customHeight="1">
      <c r="A1639" t="s">
        <v>1702</v>
      </c>
      <c r="B1639" s="15">
        <f>'Temp Dev, C, F'!D1639</f>
        <v>58.658000000000001</v>
      </c>
      <c r="C1639">
        <f>SUMIFS(co2_mm_mlo!$D$42:$D$863,co2_mm_mlo!$A$42:$A$863,VALUE(RIGHT(A1639,4)),co2_mm_mlo!$B$42:$B$863,VALUE(LEFT(A1639,FIND("/",A1639)-1)))</f>
        <v>406.99</v>
      </c>
    </row>
    <row r="1640" spans="1:3" ht="15" customHeight="1">
      <c r="A1640" t="s">
        <v>1703</v>
      </c>
      <c r="B1640" s="15">
        <f>'Temp Dev, C, F'!D1640</f>
        <v>58.712000000000003</v>
      </c>
      <c r="C1640">
        <f>SUMIFS(co2_mm_mlo!$D$42:$D$863,co2_mm_mlo!$A$42:$A$863,VALUE(RIGHT(A1640,4)),co2_mm_mlo!$B$42:$B$863,VALUE(LEFT(A1640,FIND("/",A1640)-1)))</f>
        <v>404.59</v>
      </c>
    </row>
    <row r="1641" spans="1:3" ht="15" customHeight="1">
      <c r="A1641" t="s">
        <v>1704</v>
      </c>
      <c r="B1641" s="15">
        <f>'Temp Dev, C, F'!D1641</f>
        <v>59.018000000000001</v>
      </c>
      <c r="C1641">
        <f>SUMIFS(co2_mm_mlo!$D$42:$D$863,co2_mm_mlo!$A$42:$A$863,VALUE(RIGHT(A1641,4)),co2_mm_mlo!$B$42:$B$863,VALUE(LEFT(A1641,FIND("/",A1641)-1)))</f>
        <v>402.45</v>
      </c>
    </row>
    <row r="1642" spans="1:3" ht="15" customHeight="1">
      <c r="A1642" t="s">
        <v>1705</v>
      </c>
      <c r="B1642" s="15">
        <f>'Temp Dev, C, F'!D1642</f>
        <v>58.82</v>
      </c>
      <c r="C1642">
        <f>SUMIFS(co2_mm_mlo!$D$42:$D$863,co2_mm_mlo!$A$42:$A$863,VALUE(RIGHT(A1642,4)),co2_mm_mlo!$B$42:$B$863,VALUE(LEFT(A1642,FIND("/",A1642)-1)))</f>
        <v>401.23</v>
      </c>
    </row>
    <row r="1643" spans="1:3" ht="15" customHeight="1">
      <c r="A1643" t="s">
        <v>1706</v>
      </c>
      <c r="B1643" s="15">
        <f>'Temp Dev, C, F'!D1643</f>
        <v>58.765999999999998</v>
      </c>
      <c r="C1643">
        <f>SUMIFS(co2_mm_mlo!$D$42:$D$863,co2_mm_mlo!$A$42:$A$863,VALUE(RIGHT(A1643,4)),co2_mm_mlo!$B$42:$B$863,VALUE(LEFT(A1643,FIND("/",A1643)-1)))</f>
        <v>401.79</v>
      </c>
    </row>
    <row r="1644" spans="1:3" ht="15" customHeight="1">
      <c r="A1644" t="s">
        <v>1707</v>
      </c>
      <c r="B1644" s="15">
        <f>'Temp Dev, C, F'!D1644</f>
        <v>58.838000000000001</v>
      </c>
      <c r="C1644">
        <f>SUMIFS(co2_mm_mlo!$D$42:$D$863,co2_mm_mlo!$A$42:$A$863,VALUE(RIGHT(A1644,4)),co2_mm_mlo!$B$42:$B$863,VALUE(LEFT(A1644,FIND("/",A1644)-1)))</f>
        <v>403.72</v>
      </c>
    </row>
    <row r="1645" spans="1:3" ht="15" customHeight="1">
      <c r="A1645" t="s">
        <v>1708</v>
      </c>
      <c r="B1645" s="15">
        <f>'Temp Dev, C, F'!D1645</f>
        <v>58.748000000000005</v>
      </c>
      <c r="C1645">
        <f>SUMIFS(co2_mm_mlo!$D$42:$D$863,co2_mm_mlo!$A$42:$A$863,VALUE(RIGHT(A1645,4)),co2_mm_mlo!$B$42:$B$863,VALUE(LEFT(A1645,FIND("/",A1645)-1)))</f>
        <v>404.64</v>
      </c>
    </row>
    <row r="1646" spans="1:3" ht="15" customHeight="1">
      <c r="A1646" t="s">
        <v>1709</v>
      </c>
      <c r="B1646" s="15">
        <f>'Temp Dev, C, F'!D1646</f>
        <v>59.036000000000001</v>
      </c>
      <c r="C1646">
        <f>SUMIFS(co2_mm_mlo!$D$42:$D$863,co2_mm_mlo!$A$42:$A$863,VALUE(RIGHT(A1646,4)),co2_mm_mlo!$B$42:$B$863,VALUE(LEFT(A1646,FIND("/",A1646)-1)))</f>
        <v>406.36</v>
      </c>
    </row>
    <row r="1647" spans="1:3" ht="15" customHeight="1">
      <c r="A1647" t="s">
        <v>1710</v>
      </c>
      <c r="B1647" s="15">
        <f>'Temp Dev, C, F'!D1647</f>
        <v>59.233999999999995</v>
      </c>
      <c r="C1647">
        <f>SUMIFS(co2_mm_mlo!$D$42:$D$863,co2_mm_mlo!$A$42:$A$863,VALUE(RIGHT(A1647,4)),co2_mm_mlo!$B$42:$B$863,VALUE(LEFT(A1647,FIND("/",A1647)-1)))</f>
        <v>406.66</v>
      </c>
    </row>
    <row r="1648" spans="1:3" ht="15" customHeight="1">
      <c r="A1648" t="s">
        <v>1711</v>
      </c>
      <c r="B1648" s="15">
        <f>'Temp Dev, C, F'!D1648</f>
        <v>59.287999999999997</v>
      </c>
      <c r="C1648">
        <f>SUMIFS(co2_mm_mlo!$D$42:$D$863,co2_mm_mlo!$A$42:$A$863,VALUE(RIGHT(A1648,4)),co2_mm_mlo!$B$42:$B$863,VALUE(LEFT(A1648,FIND("/",A1648)-1)))</f>
        <v>407.54</v>
      </c>
    </row>
    <row r="1649" spans="1:3" ht="15" customHeight="1">
      <c r="A1649" t="s">
        <v>1712</v>
      </c>
      <c r="B1649" s="15">
        <f>'Temp Dev, C, F'!D1649</f>
        <v>58.891999999999996</v>
      </c>
      <c r="C1649">
        <f>SUMIFS(co2_mm_mlo!$D$42:$D$863,co2_mm_mlo!$A$42:$A$863,VALUE(RIGHT(A1649,4)),co2_mm_mlo!$B$42:$B$863,VALUE(LEFT(A1649,FIND("/",A1649)-1)))</f>
        <v>409.22</v>
      </c>
    </row>
    <row r="1650" spans="1:3" ht="15" customHeight="1">
      <c r="A1650" t="s">
        <v>1713</v>
      </c>
      <c r="B1650" s="15">
        <f>'Temp Dev, C, F'!D1650</f>
        <v>58.838000000000001</v>
      </c>
      <c r="C1650">
        <f>SUMIFS(co2_mm_mlo!$D$42:$D$863,co2_mm_mlo!$A$42:$A$863,VALUE(RIGHT(A1650,4)),co2_mm_mlo!$B$42:$B$863,VALUE(LEFT(A1650,FIND("/",A1650)-1)))</f>
        <v>409.89</v>
      </c>
    </row>
    <row r="1651" spans="1:3" ht="15" customHeight="1">
      <c r="A1651" t="s">
        <v>1714</v>
      </c>
      <c r="B1651" s="15">
        <f>'Temp Dev, C, F'!D1651</f>
        <v>58.478000000000002</v>
      </c>
      <c r="C1651">
        <f>SUMIFS(co2_mm_mlo!$D$42:$D$863,co2_mm_mlo!$A$42:$A$863,VALUE(RIGHT(A1651,4)),co2_mm_mlo!$B$42:$B$863,VALUE(LEFT(A1651,FIND("/",A1651)-1)))</f>
        <v>409.08</v>
      </c>
    </row>
    <row r="1652" spans="1:3" ht="15" customHeight="1">
      <c r="A1652" t="s">
        <v>1715</v>
      </c>
      <c r="B1652" s="15">
        <f>'Temp Dev, C, F'!D1652</f>
        <v>58.676000000000002</v>
      </c>
      <c r="C1652">
        <f>SUMIFS(co2_mm_mlo!$D$42:$D$863,co2_mm_mlo!$A$42:$A$863,VALUE(RIGHT(A1652,4)),co2_mm_mlo!$B$42:$B$863,VALUE(LEFT(A1652,FIND("/",A1652)-1)))</f>
        <v>407.33</v>
      </c>
    </row>
    <row r="1653" spans="1:3" ht="15" customHeight="1">
      <c r="A1653" t="s">
        <v>1716</v>
      </c>
      <c r="B1653" s="15">
        <f>'Temp Dev, C, F'!D1653</f>
        <v>58.765999999999998</v>
      </c>
      <c r="C1653">
        <f>SUMIFS(co2_mm_mlo!$D$42:$D$863,co2_mm_mlo!$A$42:$A$863,VALUE(RIGHT(A1653,4)),co2_mm_mlo!$B$42:$B$863,VALUE(LEFT(A1653,FIND("/",A1653)-1)))</f>
        <v>405.32</v>
      </c>
    </row>
    <row r="1654" spans="1:3" ht="15" customHeight="1">
      <c r="A1654" t="s">
        <v>1717</v>
      </c>
      <c r="B1654" s="15">
        <f>'Temp Dev, C, F'!D1654</f>
        <v>58.531999999999996</v>
      </c>
      <c r="C1654">
        <f>SUMIFS(co2_mm_mlo!$D$42:$D$863,co2_mm_mlo!$A$42:$A$863,VALUE(RIGHT(A1654,4)),co2_mm_mlo!$B$42:$B$863,VALUE(LEFT(A1654,FIND("/",A1654)-1)))</f>
        <v>403.57</v>
      </c>
    </row>
    <row r="1655" spans="1:3" ht="15" customHeight="1">
      <c r="A1655" t="s">
        <v>1718</v>
      </c>
      <c r="B1655" s="15">
        <f>'Temp Dev, C, F'!D1655</f>
        <v>58.784000000000006</v>
      </c>
      <c r="C1655">
        <f>SUMIFS(co2_mm_mlo!$D$42:$D$863,co2_mm_mlo!$A$42:$A$863,VALUE(RIGHT(A1655,4)),co2_mm_mlo!$B$42:$B$863,VALUE(LEFT(A1655,FIND("/",A1655)-1)))</f>
        <v>403.82</v>
      </c>
    </row>
    <row r="1656" spans="1:3" ht="15" customHeight="1">
      <c r="A1656" t="s">
        <v>1719</v>
      </c>
      <c r="B1656" s="15">
        <f>'Temp Dev, C, F'!D1656</f>
        <v>58.765999999999998</v>
      </c>
      <c r="C1656">
        <f>SUMIFS(co2_mm_mlo!$D$42:$D$863,co2_mm_mlo!$A$42:$A$863,VALUE(RIGHT(A1656,4)),co2_mm_mlo!$B$42:$B$863,VALUE(LEFT(A1656,FIND("/",A1656)-1)))</f>
        <v>405.31</v>
      </c>
    </row>
    <row r="1657" spans="1:3" ht="15" customHeight="1">
      <c r="A1657" t="s">
        <v>1720</v>
      </c>
      <c r="B1657" s="15">
        <f>'Temp Dev, C, F'!D1657</f>
        <v>58.873999999999995</v>
      </c>
      <c r="C1657">
        <f>SUMIFS(co2_mm_mlo!$D$42:$D$863,co2_mm_mlo!$A$42:$A$863,VALUE(RIGHT(A1657,4)),co2_mm_mlo!$B$42:$B$863,VALUE(LEFT(A1657,FIND("/",A1657)-1)))</f>
        <v>407</v>
      </c>
    </row>
    <row r="1658" spans="1:3" ht="15" customHeight="1">
      <c r="A1658" t="s">
        <v>1721</v>
      </c>
      <c r="B1658" s="15">
        <f>'Temp Dev, C, F'!D1658</f>
        <v>58.676000000000002</v>
      </c>
      <c r="C1658">
        <f>SUMIFS(co2_mm_mlo!$D$42:$D$863,co2_mm_mlo!$A$42:$A$863,VALUE(RIGHT(A1658,4)),co2_mm_mlo!$B$42:$B$863,VALUE(LEFT(A1658,FIND("/",A1658)-1)))</f>
        <v>408.15</v>
      </c>
    </row>
    <row r="1659" spans="1:3" ht="15" customHeight="1">
      <c r="A1659" t="s">
        <v>1722</v>
      </c>
      <c r="B1659" s="15">
        <f>'Temp Dev, C, F'!D1659</f>
        <v>58.730000000000004</v>
      </c>
      <c r="C1659">
        <f>SUMIFS(co2_mm_mlo!$D$42:$D$863,co2_mm_mlo!$A$42:$A$863,VALUE(RIGHT(A1659,4)),co2_mm_mlo!$B$42:$B$863,VALUE(LEFT(A1659,FIND("/",A1659)-1)))</f>
        <v>408.52</v>
      </c>
    </row>
    <row r="1660" spans="1:3" ht="15" customHeight="1">
      <c r="A1660" t="s">
        <v>1723</v>
      </c>
      <c r="B1660" s="15">
        <f>'Temp Dev, C, F'!D1660</f>
        <v>58.784000000000006</v>
      </c>
      <c r="C1660">
        <f>SUMIFS(co2_mm_mlo!$D$42:$D$863,co2_mm_mlo!$A$42:$A$863,VALUE(RIGHT(A1660,4)),co2_mm_mlo!$B$42:$B$863,VALUE(LEFT(A1660,FIND("/",A1660)-1)))</f>
        <v>409.59</v>
      </c>
    </row>
    <row r="1661" spans="1:3" ht="15" customHeight="1">
      <c r="A1661" t="s">
        <v>1724</v>
      </c>
      <c r="B1661" s="15">
        <f>'Temp Dev, C, F'!D1661</f>
        <v>58.784000000000006</v>
      </c>
      <c r="C1661">
        <f>SUMIFS(co2_mm_mlo!$D$42:$D$863,co2_mm_mlo!$A$42:$A$863,VALUE(RIGHT(A1661,4)),co2_mm_mlo!$B$42:$B$863,VALUE(LEFT(A1661,FIND("/",A1661)-1)))</f>
        <v>410.45</v>
      </c>
    </row>
    <row r="1662" spans="1:3" ht="15" customHeight="1">
      <c r="A1662" t="s">
        <v>1725</v>
      </c>
      <c r="B1662" s="15">
        <f>'Temp Dev, C, F'!D1662</f>
        <v>58.658000000000001</v>
      </c>
      <c r="C1662">
        <f>SUMIFS(co2_mm_mlo!$D$42:$D$863,co2_mm_mlo!$A$42:$A$863,VALUE(RIGHT(A1662,4)),co2_mm_mlo!$B$42:$B$863,VALUE(LEFT(A1662,FIND("/",A1662)-1)))</f>
        <v>411.44</v>
      </c>
    </row>
    <row r="1663" spans="1:3" ht="15" customHeight="1">
      <c r="A1663" t="s">
        <v>1726</v>
      </c>
      <c r="B1663" s="15">
        <f>'Temp Dev, C, F'!D1663</f>
        <v>58.585999999999999</v>
      </c>
      <c r="C1663">
        <f>SUMIFS(co2_mm_mlo!$D$42:$D$863,co2_mm_mlo!$A$42:$A$863,VALUE(RIGHT(A1663,4)),co2_mm_mlo!$B$42:$B$863,VALUE(LEFT(A1663,FIND("/",A1663)-1)))</f>
        <v>410.99</v>
      </c>
    </row>
    <row r="1664" spans="1:3" ht="15" customHeight="1">
      <c r="A1664" t="s">
        <v>1727</v>
      </c>
      <c r="B1664" s="15">
        <f>'Temp Dev, C, F'!D1664</f>
        <v>58.712000000000003</v>
      </c>
      <c r="C1664">
        <f>SUMIFS(co2_mm_mlo!$D$42:$D$863,co2_mm_mlo!$A$42:$A$863,VALUE(RIGHT(A1664,4)),co2_mm_mlo!$B$42:$B$863,VALUE(LEFT(A1664,FIND("/",A1664)-1)))</f>
        <v>408.9</v>
      </c>
    </row>
    <row r="1665" spans="1:3" ht="15" customHeight="1">
      <c r="A1665" t="s">
        <v>1728</v>
      </c>
      <c r="B1665" s="15">
        <f>'Temp Dev, C, F'!D1665</f>
        <v>58.603999999999999</v>
      </c>
      <c r="C1665">
        <f>SUMIFS(co2_mm_mlo!$D$42:$D$863,co2_mm_mlo!$A$42:$A$863,VALUE(RIGHT(A1665,4)),co2_mm_mlo!$B$42:$B$863,VALUE(LEFT(A1665,FIND("/",A1665)-1)))</f>
        <v>407.16</v>
      </c>
    </row>
    <row r="1666" spans="1:3" ht="15" customHeight="1">
      <c r="A1666" t="s">
        <v>1729</v>
      </c>
      <c r="B1666" s="15">
        <f>'Temp Dev, C, F'!D1666</f>
        <v>58.64</v>
      </c>
      <c r="C1666">
        <f>SUMIFS(co2_mm_mlo!$D$42:$D$863,co2_mm_mlo!$A$42:$A$863,VALUE(RIGHT(A1666,4)),co2_mm_mlo!$B$42:$B$863,VALUE(LEFT(A1666,FIND("/",A1666)-1)))</f>
        <v>405.71</v>
      </c>
    </row>
    <row r="1667" spans="1:3" ht="15" customHeight="1">
      <c r="A1667" t="s">
        <v>1730</v>
      </c>
      <c r="B1667" s="15">
        <f>'Temp Dev, C, F'!D1667</f>
        <v>59.036000000000001</v>
      </c>
      <c r="C1667">
        <f>SUMIFS(co2_mm_mlo!$D$42:$D$863,co2_mm_mlo!$A$42:$A$863,VALUE(RIGHT(A1667,4)),co2_mm_mlo!$B$42:$B$863,VALUE(LEFT(A1667,FIND("/",A1667)-1)))</f>
        <v>406.19</v>
      </c>
    </row>
    <row r="1668" spans="1:3" ht="15" customHeight="1">
      <c r="A1668" t="s">
        <v>1731</v>
      </c>
      <c r="B1668" s="15">
        <f>'Temp Dev, C, F'!D1668</f>
        <v>58.694000000000003</v>
      </c>
      <c r="C1668">
        <f>SUMIFS(co2_mm_mlo!$D$42:$D$863,co2_mm_mlo!$A$42:$A$863,VALUE(RIGHT(A1668,4)),co2_mm_mlo!$B$42:$B$863,VALUE(LEFT(A1668,FIND("/",A1668)-1)))</f>
        <v>408.21</v>
      </c>
    </row>
    <row r="1669" spans="1:3" ht="15" customHeight="1">
      <c r="A1669" t="s">
        <v>1732</v>
      </c>
      <c r="B1669" s="15">
        <f>'Temp Dev, C, F'!D1669</f>
        <v>58.873999999999995</v>
      </c>
      <c r="C1669">
        <f>SUMIFS(co2_mm_mlo!$D$42:$D$863,co2_mm_mlo!$A$42:$A$863,VALUE(RIGHT(A1669,4)),co2_mm_mlo!$B$42:$B$863,VALUE(LEFT(A1669,FIND("/",A1669)-1)))</f>
        <v>409.27</v>
      </c>
    </row>
    <row r="1670" spans="1:3" ht="15" customHeight="1">
      <c r="A1670" t="s">
        <v>1733</v>
      </c>
      <c r="B1670" s="15">
        <f>'Temp Dev, C, F'!D1670</f>
        <v>58.873999999999995</v>
      </c>
      <c r="C1670">
        <f>SUMIFS(co2_mm_mlo!$D$42:$D$863,co2_mm_mlo!$A$42:$A$863,VALUE(RIGHT(A1670,4)),co2_mm_mlo!$B$42:$B$863,VALUE(LEFT(A1670,FIND("/",A1670)-1)))</f>
        <v>411.03</v>
      </c>
    </row>
    <row r="1671" spans="1:3" ht="15" customHeight="1">
      <c r="A1671" t="s">
        <v>1734</v>
      </c>
      <c r="B1671" s="15">
        <f>'Temp Dev, C, F'!D1671</f>
        <v>58.927999999999997</v>
      </c>
      <c r="C1671">
        <f>SUMIFS(co2_mm_mlo!$D$42:$D$863,co2_mm_mlo!$A$42:$A$863,VALUE(RIGHT(A1671,4)),co2_mm_mlo!$B$42:$B$863,VALUE(LEFT(A1671,FIND("/",A1671)-1)))</f>
        <v>411.96</v>
      </c>
    </row>
    <row r="1672" spans="1:3" ht="15" customHeight="1">
      <c r="A1672" t="s">
        <v>1735</v>
      </c>
      <c r="B1672" s="15">
        <f>'Temp Dev, C, F'!D1672</f>
        <v>59.305999999999997</v>
      </c>
      <c r="C1672">
        <f>SUMIFS(co2_mm_mlo!$D$42:$D$863,co2_mm_mlo!$A$42:$A$863,VALUE(RIGHT(A1672,4)),co2_mm_mlo!$B$42:$B$863,VALUE(LEFT(A1672,FIND("/",A1672)-1)))</f>
        <v>412.18</v>
      </c>
    </row>
    <row r="1673" spans="1:3" ht="15" customHeight="1">
      <c r="A1673" t="s">
        <v>1736</v>
      </c>
      <c r="B1673" s="15">
        <f>'Temp Dev, C, F'!D1673</f>
        <v>59.018000000000001</v>
      </c>
      <c r="C1673">
        <f>SUMIFS(co2_mm_mlo!$D$42:$D$863,co2_mm_mlo!$A$42:$A$863,VALUE(RIGHT(A1673,4)),co2_mm_mlo!$B$42:$B$863,VALUE(LEFT(A1673,FIND("/",A1673)-1)))</f>
        <v>413.54</v>
      </c>
    </row>
    <row r="1674" spans="1:3" ht="15" customHeight="1">
      <c r="A1674" t="s">
        <v>1737</v>
      </c>
      <c r="B1674" s="15">
        <f>'Temp Dev, C, F'!D1674</f>
        <v>58.748000000000005</v>
      </c>
      <c r="C1674">
        <f>SUMIFS(co2_mm_mlo!$D$42:$D$863,co2_mm_mlo!$A$42:$A$863,VALUE(RIGHT(A1674,4)),co2_mm_mlo!$B$42:$B$863,VALUE(LEFT(A1674,FIND("/",A1674)-1)))</f>
        <v>414.86</v>
      </c>
    </row>
    <row r="1675" spans="1:3" ht="15" customHeight="1">
      <c r="A1675" t="s">
        <v>1738</v>
      </c>
      <c r="B1675" s="15">
        <f>'Temp Dev, C, F'!D1675</f>
        <v>58.82</v>
      </c>
      <c r="C1675">
        <f>SUMIFS(co2_mm_mlo!$D$42:$D$863,co2_mm_mlo!$A$42:$A$863,VALUE(RIGHT(A1675,4)),co2_mm_mlo!$B$42:$B$863,VALUE(LEFT(A1675,FIND("/",A1675)-1)))</f>
        <v>414.15</v>
      </c>
    </row>
    <row r="1676" spans="1:3" ht="15" customHeight="1">
      <c r="A1676" t="s">
        <v>1739</v>
      </c>
      <c r="B1676" s="15">
        <f>'Temp Dev, C, F'!D1676</f>
        <v>58.891999999999996</v>
      </c>
      <c r="C1676">
        <f>SUMIFS(co2_mm_mlo!$D$42:$D$863,co2_mm_mlo!$A$42:$A$863,VALUE(RIGHT(A1676,4)),co2_mm_mlo!$B$42:$B$863,VALUE(LEFT(A1676,FIND("/",A1676)-1)))</f>
        <v>411.96</v>
      </c>
    </row>
    <row r="1677" spans="1:3" ht="15" customHeight="1">
      <c r="A1677" t="s">
        <v>1740</v>
      </c>
      <c r="B1677" s="15">
        <f>'Temp Dev, C, F'!D1677</f>
        <v>58.91</v>
      </c>
      <c r="C1677">
        <f>SUMIFS(co2_mm_mlo!$D$42:$D$863,co2_mm_mlo!$A$42:$A$863,VALUE(RIGHT(A1677,4)),co2_mm_mlo!$B$42:$B$863,VALUE(LEFT(A1677,FIND("/",A1677)-1)))</f>
        <v>410.17</v>
      </c>
    </row>
    <row r="1678" spans="1:3" ht="15" customHeight="1">
      <c r="A1678" t="s">
        <v>1741</v>
      </c>
      <c r="B1678" s="15">
        <f>'Temp Dev, C, F'!D1678</f>
        <v>58.873999999999995</v>
      </c>
      <c r="C1678">
        <f>SUMIFS(co2_mm_mlo!$D$42:$D$863,co2_mm_mlo!$A$42:$A$863,VALUE(RIGHT(A1678,4)),co2_mm_mlo!$B$42:$B$863,VALUE(LEFT(A1678,FIND("/",A1678)-1)))</f>
        <v>408.76</v>
      </c>
    </row>
    <row r="1679" spans="1:3" ht="15" customHeight="1">
      <c r="A1679" t="s">
        <v>1742</v>
      </c>
      <c r="B1679" s="15">
        <f>'Temp Dev, C, F'!D1679</f>
        <v>59</v>
      </c>
      <c r="C1679">
        <f>SUMIFS(co2_mm_mlo!$D$42:$D$863,co2_mm_mlo!$A$42:$A$863,VALUE(RIGHT(A1679,4)),co2_mm_mlo!$B$42:$B$863,VALUE(LEFT(A1679,FIND("/",A1679)-1)))</f>
        <v>408.74</v>
      </c>
    </row>
    <row r="1680" spans="1:3" ht="15" customHeight="1">
      <c r="A1680" t="s">
        <v>1743</v>
      </c>
      <c r="B1680" s="15">
        <f>'Temp Dev, C, F'!D1680</f>
        <v>58.981999999999999</v>
      </c>
      <c r="C1680">
        <f>SUMIFS(co2_mm_mlo!$D$42:$D$863,co2_mm_mlo!$A$42:$A$863,VALUE(RIGHT(A1680,4)),co2_mm_mlo!$B$42:$B$863,VALUE(LEFT(A1680,FIND("/",A1680)-1)))</f>
        <v>410.47</v>
      </c>
    </row>
    <row r="1681" spans="1:3" ht="15" customHeight="1">
      <c r="A1681" t="s">
        <v>1744</v>
      </c>
      <c r="B1681" s="15">
        <f>'Temp Dev, C, F'!D1681</f>
        <v>59.216000000000001</v>
      </c>
      <c r="C1681">
        <f>SUMIFS(co2_mm_mlo!$D$42:$D$863,co2_mm_mlo!$A$42:$A$863,VALUE(RIGHT(A1681,4)),co2_mm_mlo!$B$42:$B$863,VALUE(LEFT(A1681,FIND("/",A1681)-1)))</f>
        <v>411.97</v>
      </c>
    </row>
    <row r="1682" spans="1:3" ht="15" customHeight="1">
      <c r="A1682" t="s">
        <v>1745</v>
      </c>
      <c r="B1682" s="15">
        <f>'Temp Dev, C, F'!D1682</f>
        <v>59.323999999999998</v>
      </c>
      <c r="C1682">
        <f>SUMIFS(co2_mm_mlo!$D$42:$D$863,co2_mm_mlo!$A$42:$A$863,VALUE(RIGHT(A1682,4)),co2_mm_mlo!$B$42:$B$863,VALUE(LEFT(A1682,FIND("/",A1682)-1)))</f>
        <v>413.59</v>
      </c>
    </row>
    <row r="1683" spans="1:3" ht="15" customHeight="1">
      <c r="A1683" t="s">
        <v>1746</v>
      </c>
      <c r="B1683" s="15">
        <f>'Temp Dev, C, F'!D1683</f>
        <v>59.432000000000002</v>
      </c>
      <c r="C1683">
        <f>SUMIFS(co2_mm_mlo!$D$42:$D$863,co2_mm_mlo!$A$42:$A$863,VALUE(RIGHT(A1683,4)),co2_mm_mlo!$B$42:$B$863,VALUE(LEFT(A1683,FIND("/",A1683)-1)))</f>
        <v>414.32</v>
      </c>
    </row>
    <row r="1684" spans="1:3" ht="15" customHeight="1">
      <c r="A1684" t="s">
        <v>1747</v>
      </c>
      <c r="B1684" s="15">
        <f>'Temp Dev, C, F'!D1684</f>
        <v>59.323999999999998</v>
      </c>
      <c r="C1684">
        <f>SUMIFS(co2_mm_mlo!$D$42:$D$863,co2_mm_mlo!$A$42:$A$863,VALUE(RIGHT(A1684,4)),co2_mm_mlo!$B$42:$B$863,VALUE(LEFT(A1684,FIND("/",A1684)-1)))</f>
        <v>414.72</v>
      </c>
    </row>
    <row r="1685" spans="1:3" ht="15" customHeight="1">
      <c r="A1685" t="s">
        <v>1748</v>
      </c>
      <c r="B1685" s="15">
        <f>'Temp Dev, C, F'!D1685</f>
        <v>59.216000000000001</v>
      </c>
      <c r="C1685">
        <f>SUMIFS(co2_mm_mlo!$D$42:$D$863,co2_mm_mlo!$A$42:$A$863,VALUE(RIGHT(A1685,4)),co2_mm_mlo!$B$42:$B$863,VALUE(LEFT(A1685,FIND("/",A1685)-1)))</f>
        <v>416.42</v>
      </c>
    </row>
    <row r="1686" spans="1:3" ht="15" customHeight="1">
      <c r="A1686" t="s">
        <v>1749</v>
      </c>
      <c r="B1686" s="15">
        <f>'Temp Dev, C, F'!D1686</f>
        <v>58.981999999999999</v>
      </c>
      <c r="C1686">
        <f>SUMIFS(co2_mm_mlo!$D$42:$D$863,co2_mm_mlo!$A$42:$A$863,VALUE(RIGHT(A1686,4)),co2_mm_mlo!$B$42:$B$863,VALUE(LEFT(A1686,FIND("/",A1686)-1)))</f>
        <v>417.28</v>
      </c>
    </row>
    <row r="1687" spans="1:3" ht="15" customHeight="1">
      <c r="A1687" t="s">
        <v>1750</v>
      </c>
      <c r="B1687" s="15">
        <f>'Temp Dev, C, F'!D1687</f>
        <v>58.838000000000001</v>
      </c>
      <c r="C1687">
        <f>SUMIFS(co2_mm_mlo!$D$42:$D$863,co2_mm_mlo!$A$42:$A$863,VALUE(RIGHT(A1687,4)),co2_mm_mlo!$B$42:$B$863,VALUE(LEFT(A1687,FIND("/",A1687)-1)))</f>
        <v>416.58</v>
      </c>
    </row>
    <row r="1688" spans="1:3" ht="15" customHeight="1">
      <c r="A1688" t="s">
        <v>1751</v>
      </c>
      <c r="B1688" s="15">
        <f>'Temp Dev, C, F'!D1688</f>
        <v>58.802000000000007</v>
      </c>
      <c r="C1688">
        <f>SUMIFS(co2_mm_mlo!$D$42:$D$863,co2_mm_mlo!$A$42:$A$863,VALUE(RIGHT(A1688,4)),co2_mm_mlo!$B$42:$B$863,VALUE(LEFT(A1688,FIND("/",A1688)-1)))</f>
        <v>414.58</v>
      </c>
    </row>
    <row r="1689" spans="1:3" ht="15" customHeight="1">
      <c r="A1689" t="s">
        <v>1752</v>
      </c>
      <c r="B1689" s="15">
        <f>'Temp Dev, C, F'!D1689</f>
        <v>58.748000000000005</v>
      </c>
      <c r="C1689">
        <f>SUMIFS(co2_mm_mlo!$D$42:$D$863,co2_mm_mlo!$A$42:$A$863,VALUE(RIGHT(A1689,4)),co2_mm_mlo!$B$42:$B$863,VALUE(LEFT(A1689,FIND("/",A1689)-1)))</f>
        <v>412.75</v>
      </c>
    </row>
    <row r="1690" spans="1:3" ht="15" customHeight="1">
      <c r="A1690" t="s">
        <v>1753</v>
      </c>
      <c r="B1690" s="15">
        <f>'Temp Dev, C, F'!D1690</f>
        <v>58.927999999999997</v>
      </c>
      <c r="C1690">
        <f>SUMIFS(co2_mm_mlo!$D$42:$D$863,co2_mm_mlo!$A$42:$A$863,VALUE(RIGHT(A1690,4)),co2_mm_mlo!$B$42:$B$863,VALUE(LEFT(A1690,FIND("/",A1690)-1)))</f>
        <v>411.5</v>
      </c>
    </row>
    <row r="1691" spans="1:3" ht="15" customHeight="1">
      <c r="A1691" t="s">
        <v>1754</v>
      </c>
      <c r="B1691" s="15">
        <f>'Temp Dev, C, F'!D1691</f>
        <v>58.765999999999998</v>
      </c>
      <c r="C1691">
        <f>SUMIFS(co2_mm_mlo!$D$42:$D$863,co2_mm_mlo!$A$42:$A$863,VALUE(RIGHT(A1691,4)),co2_mm_mlo!$B$42:$B$863,VALUE(LEFT(A1691,FIND("/",A1691)-1)))</f>
        <v>411.49</v>
      </c>
    </row>
    <row r="1692" spans="1:3" ht="15" customHeight="1">
      <c r="A1692" t="s">
        <v>1755</v>
      </c>
      <c r="B1692" s="15">
        <f>'Temp Dev, C, F'!D1692</f>
        <v>59.161999999999999</v>
      </c>
      <c r="C1692">
        <f>SUMIFS(co2_mm_mlo!$D$42:$D$863,co2_mm_mlo!$A$42:$A$863,VALUE(RIGHT(A1692,4)),co2_mm_mlo!$B$42:$B$863,VALUE(LEFT(A1692,FIND("/",A1692)-1)))</f>
        <v>413.1</v>
      </c>
    </row>
    <row r="1693" spans="1:3" ht="15" customHeight="1">
      <c r="A1693" t="s">
        <v>1756</v>
      </c>
      <c r="B1693" s="15">
        <f>'Temp Dev, C, F'!D1693</f>
        <v>58.64</v>
      </c>
      <c r="C1693">
        <f>SUMIFS(co2_mm_mlo!$D$42:$D$863,co2_mm_mlo!$A$42:$A$863,VALUE(RIGHT(A1693,4)),co2_mm_mlo!$B$42:$B$863,VALUE(LEFT(A1693,FIND("/",A1693)-1)))</f>
        <v>414.23</v>
      </c>
    </row>
    <row r="1694" spans="1:3" ht="15" customHeight="1">
      <c r="A1694" t="s">
        <v>1757</v>
      </c>
      <c r="B1694" s="15">
        <f>'Temp Dev, C, F'!D1694</f>
        <v>58.676000000000002</v>
      </c>
      <c r="C1694">
        <f>SUMIFS(co2_mm_mlo!$D$42:$D$863,co2_mm_mlo!$A$42:$A$863,VALUE(RIGHT(A1694,4)),co2_mm_mlo!$B$42:$B$863,VALUE(LEFT(A1694,FIND("/",A1694)-1)))</f>
        <v>415.49</v>
      </c>
    </row>
    <row r="1695" spans="1:3" ht="15" customHeight="1">
      <c r="A1695" t="s">
        <v>1758</v>
      </c>
      <c r="B1695" s="15">
        <f>'Temp Dev, C, F'!D1695</f>
        <v>58.352000000000004</v>
      </c>
      <c r="C1695">
        <f>SUMIFS(co2_mm_mlo!$D$42:$D$863,co2_mm_mlo!$A$42:$A$863,VALUE(RIGHT(A1695,4)),co2_mm_mlo!$B$42:$B$863,VALUE(LEFT(A1695,FIND("/",A1695)-1)))</f>
        <v>416.72</v>
      </c>
    </row>
    <row r="1696" spans="1:3" ht="15" customHeight="1">
      <c r="A1696" t="s">
        <v>1759</v>
      </c>
      <c r="B1696" s="15">
        <f>'Temp Dev, C, F'!D1696</f>
        <v>58.802000000000007</v>
      </c>
      <c r="C1696">
        <f>SUMIFS(co2_mm_mlo!$D$42:$D$863,co2_mm_mlo!$A$42:$A$863,VALUE(RIGHT(A1696,4)),co2_mm_mlo!$B$42:$B$863,VALUE(LEFT(A1696,FIND("/",A1696)-1)))</f>
        <v>417.61</v>
      </c>
    </row>
    <row r="1697" spans="1:3" ht="15" customHeight="1">
      <c r="A1697" t="s">
        <v>1760</v>
      </c>
      <c r="B1697" s="15">
        <f>'Temp Dev, C, F'!D1697</f>
        <v>58.567999999999998</v>
      </c>
      <c r="C1697">
        <f>SUMIFS(co2_mm_mlo!$D$42:$D$863,co2_mm_mlo!$A$42:$A$863,VALUE(RIGHT(A1697,4)),co2_mm_mlo!$B$42:$B$863,VALUE(LEFT(A1697,FIND("/",A1697)-1)))</f>
        <v>419.01</v>
      </c>
    </row>
    <row r="1698" spans="1:3" ht="15" customHeight="1">
      <c r="A1698" t="s">
        <v>1761</v>
      </c>
      <c r="B1698" s="15">
        <f>'Temp Dev, C, F'!D1698</f>
        <v>58.622</v>
      </c>
      <c r="C1698">
        <f>SUMIFS(co2_mm_mlo!$D$42:$D$863,co2_mm_mlo!$A$42:$A$863,VALUE(RIGHT(A1698,4)),co2_mm_mlo!$B$42:$B$863,VALUE(LEFT(A1698,FIND("/",A1698)-1)))</f>
        <v>419.09</v>
      </c>
    </row>
    <row r="1699" spans="1:3" ht="15" customHeight="1">
      <c r="A1699" t="s">
        <v>1762</v>
      </c>
      <c r="B1699" s="15">
        <f>'Temp Dev, C, F'!D1699</f>
        <v>58.730000000000004</v>
      </c>
      <c r="C1699">
        <f>SUMIFS(co2_mm_mlo!$D$42:$D$863,co2_mm_mlo!$A$42:$A$863,VALUE(RIGHT(A1699,4)),co2_mm_mlo!$B$42:$B$863,VALUE(LEFT(A1699,FIND("/",A1699)-1)))</f>
        <v>418.93</v>
      </c>
    </row>
    <row r="1700" spans="1:3" ht="15" customHeight="1">
      <c r="A1700" t="s">
        <v>1763</v>
      </c>
      <c r="B1700" s="15">
        <f>'Temp Dev, C, F'!D1700</f>
        <v>58.856000000000002</v>
      </c>
      <c r="C1700">
        <f>SUMIFS(co2_mm_mlo!$D$42:$D$863,co2_mm_mlo!$A$42:$A$863,VALUE(RIGHT(A1700,4)),co2_mm_mlo!$B$42:$B$863,VALUE(LEFT(A1700,FIND("/",A1700)-1)))</f>
        <v>416.9</v>
      </c>
    </row>
    <row r="1701" spans="1:3" ht="15" customHeight="1">
      <c r="A1701" t="s">
        <v>1764</v>
      </c>
      <c r="B1701" s="15">
        <f>'Temp Dev, C, F'!D1701</f>
        <v>58.658000000000001</v>
      </c>
      <c r="C1701">
        <f>SUMIFS(co2_mm_mlo!$D$42:$D$863,co2_mm_mlo!$A$42:$A$863,VALUE(RIGHT(A1701,4)),co2_mm_mlo!$B$42:$B$863,VALUE(LEFT(A1701,FIND("/",A1701)-1)))</f>
        <v>414.42</v>
      </c>
    </row>
    <row r="1702" spans="1:3" ht="15" customHeight="1">
      <c r="A1702" t="s">
        <v>1765</v>
      </c>
      <c r="B1702" s="15">
        <f>'Temp Dev, C, F'!D1702</f>
        <v>58.856000000000002</v>
      </c>
      <c r="C1702">
        <f>SUMIFS(co2_mm_mlo!$D$42:$D$863,co2_mm_mlo!$A$42:$A$863,VALUE(RIGHT(A1702,4)),co2_mm_mlo!$B$42:$B$863,VALUE(LEFT(A1702,FIND("/",A1702)-1)))</f>
        <v>413.26</v>
      </c>
    </row>
    <row r="1703" spans="1:3" ht="15" customHeight="1">
      <c r="A1703" t="s">
        <v>1766</v>
      </c>
      <c r="B1703" s="15">
        <f>'Temp Dev, C, F'!D1703</f>
        <v>58.963999999999999</v>
      </c>
      <c r="C1703">
        <f>SUMIFS(co2_mm_mlo!$D$42:$D$863,co2_mm_mlo!$A$42:$A$863,VALUE(RIGHT(A1703,4)),co2_mm_mlo!$B$42:$B$863,VALUE(LEFT(A1703,FIND("/",A1703)-1)))</f>
        <v>413.9</v>
      </c>
    </row>
    <row r="1704" spans="1:3" ht="15" customHeight="1">
      <c r="A1704" t="s">
        <v>1767</v>
      </c>
      <c r="B1704" s="15">
        <f>'Temp Dev, C, F'!D1704</f>
        <v>58.873999999999995</v>
      </c>
      <c r="C1704">
        <f>SUMIFS(co2_mm_mlo!$D$42:$D$863,co2_mm_mlo!$A$42:$A$863,VALUE(RIGHT(A1704,4)),co2_mm_mlo!$B$42:$B$863,VALUE(LEFT(A1704,FIND("/",A1704)-1)))</f>
        <v>414.97</v>
      </c>
    </row>
    <row r="1705" spans="1:3" ht="15" customHeight="1">
      <c r="A1705" t="s">
        <v>1768</v>
      </c>
      <c r="B1705" s="15">
        <f>'Temp Dev, C, F'!D1705</f>
        <v>58.784000000000006</v>
      </c>
      <c r="C1705">
        <f>SUMIFS(co2_mm_mlo!$D$42:$D$863,co2_mm_mlo!$A$42:$A$863,VALUE(RIGHT(A1705,4)),co2_mm_mlo!$B$42:$B$863,VALUE(LEFT(A1705,FIND("/",A1705)-1)))</f>
        <v>416.67</v>
      </c>
    </row>
    <row r="1706" spans="1:3" ht="15" customHeight="1">
      <c r="A1706" t="s">
        <v>1769</v>
      </c>
      <c r="B1706" s="15">
        <f>'Temp Dev, C, F'!D1706</f>
        <v>58.838000000000001</v>
      </c>
      <c r="C1706">
        <f>SUMIFS(co2_mm_mlo!$D$42:$D$863,co2_mm_mlo!$A$42:$A$863,VALUE(RIGHT(A1706,4)),co2_mm_mlo!$B$42:$B$863,VALUE(LEFT(A1706,FIND("/",A1706)-1)))</f>
        <v>418.13</v>
      </c>
    </row>
    <row r="1707" spans="1:3" ht="15" customHeight="1">
      <c r="A1707" t="s">
        <v>1770</v>
      </c>
      <c r="B1707" s="15">
        <f>'Temp Dev, C, F'!D1707</f>
        <v>58.802000000000007</v>
      </c>
      <c r="C1707">
        <f>SUMIFS(co2_mm_mlo!$D$42:$D$863,co2_mm_mlo!$A$42:$A$863,VALUE(RIGHT(A1707,4)),co2_mm_mlo!$B$42:$B$863,VALUE(LEFT(A1707,FIND("/",A1707)-1)))</f>
        <v>419.24</v>
      </c>
    </row>
    <row r="1708" spans="1:3" ht="15" customHeight="1">
      <c r="A1708" t="s">
        <v>1771</v>
      </c>
      <c r="B1708" s="15">
        <f>'Temp Dev, C, F'!D1708</f>
        <v>59.09</v>
      </c>
      <c r="C1708">
        <f>SUMIFS(co2_mm_mlo!$D$42:$D$863,co2_mm_mlo!$A$42:$A$863,VALUE(RIGHT(A1708,4)),co2_mm_mlo!$B$42:$B$863,VALUE(LEFT(A1708,FIND("/",A1708)-1)))</f>
        <v>418.76</v>
      </c>
    </row>
    <row r="1709" spans="1:3" ht="15" customHeight="1">
      <c r="A1709" t="s">
        <v>1772</v>
      </c>
      <c r="B1709" s="15">
        <f>'Temp Dev, C, F'!D1709</f>
        <v>58.694000000000003</v>
      </c>
      <c r="C1709">
        <f>SUMIFS(co2_mm_mlo!$D$42:$D$863,co2_mm_mlo!$A$42:$A$863,VALUE(RIGHT(A1709,4)),co2_mm_mlo!$B$42:$B$863,VALUE(LEFT(A1709,FIND("/",A1709)-1)))</f>
        <v>420.19</v>
      </c>
    </row>
    <row r="1710" spans="1:3" ht="15" customHeight="1">
      <c r="A1710" t="s">
        <v>1773</v>
      </c>
      <c r="B1710" s="15">
        <f>'Temp Dev, C, F'!D1710</f>
        <v>58.712000000000003</v>
      </c>
      <c r="C1710">
        <f>SUMIFS(co2_mm_mlo!$D$42:$D$863,co2_mm_mlo!$A$42:$A$863,VALUE(RIGHT(A1710,4)),co2_mm_mlo!$B$42:$B$863,VALUE(LEFT(A1710,FIND("/",A1710)-1)))</f>
        <v>420.97</v>
      </c>
    </row>
    <row r="1711" spans="1:3" ht="15" customHeight="1">
      <c r="A1711" t="s">
        <v>1774</v>
      </c>
      <c r="B1711" s="15">
        <f>'Temp Dev, C, F'!D1711</f>
        <v>58.873999999999995</v>
      </c>
      <c r="C1711">
        <f>SUMIFS(co2_mm_mlo!$D$42:$D$863,co2_mm_mlo!$A$42:$A$863,VALUE(RIGHT(A1711,4)),co2_mm_mlo!$B$42:$B$863,VALUE(LEFT(A1711,FIND("/",A1711)-1)))</f>
        <v>420.94</v>
      </c>
    </row>
    <row r="1712" spans="1:3" ht="15" customHeight="1">
      <c r="A1712" t="s">
        <v>1775</v>
      </c>
      <c r="B1712" s="15">
        <f>'Temp Dev, C, F'!D1712</f>
        <v>58.891999999999996</v>
      </c>
      <c r="C1712">
        <f>SUMIFS(co2_mm_mlo!$D$42:$D$863,co2_mm_mlo!$A$42:$A$863,VALUE(RIGHT(A1712,4)),co2_mm_mlo!$B$42:$B$863,VALUE(LEFT(A1712,FIND("/",A1712)-1)))</f>
        <v>418.85</v>
      </c>
    </row>
    <row r="1713" spans="1:3" ht="15" customHeight="1">
      <c r="A1713" t="s">
        <v>1776</v>
      </c>
      <c r="B1713" s="15">
        <f>'Temp Dev, C, F'!D1713</f>
        <v>58.891999999999996</v>
      </c>
      <c r="C1713">
        <f>SUMIFS(co2_mm_mlo!$D$42:$D$863,co2_mm_mlo!$A$42:$A$863,VALUE(RIGHT(A1713,4)),co2_mm_mlo!$B$42:$B$863,VALUE(LEFT(A1713,FIND("/",A1713)-1)))</f>
        <v>417.15</v>
      </c>
    </row>
    <row r="1714" spans="1:3" ht="15" customHeight="1">
      <c r="A1714" t="s">
        <v>1777</v>
      </c>
      <c r="B1714" s="15">
        <f>'Temp Dev, C, F'!D1714</f>
        <v>58.784000000000006</v>
      </c>
      <c r="C1714">
        <f>SUMIFS(co2_mm_mlo!$D$42:$D$863,co2_mm_mlo!$A$42:$A$863,VALUE(RIGHT(A1714,4)),co2_mm_mlo!$B$42:$B$863,VALUE(LEFT(A1714,FIND("/",A1714)-1)))</f>
        <v>415.91</v>
      </c>
    </row>
    <row r="1715" spans="1:3" ht="15" customHeight="1">
      <c r="A1715" t="s">
        <v>1778</v>
      </c>
      <c r="B1715" s="15">
        <f>'Temp Dev, C, F'!D1715</f>
        <v>58.945999999999998</v>
      </c>
      <c r="C1715">
        <f>SUMIFS(co2_mm_mlo!$D$42:$D$863,co2_mm_mlo!$A$42:$A$863,VALUE(RIGHT(A1715,4)),co2_mm_mlo!$B$42:$B$863,VALUE(LEFT(A1715,FIND("/",A1715)-1)))</f>
        <v>415.74</v>
      </c>
    </row>
    <row r="1716" spans="1:3" ht="15" customHeight="1">
      <c r="A1716" t="s">
        <v>1779</v>
      </c>
      <c r="B1716" s="15">
        <f>'Temp Dev, C, F'!D1716</f>
        <v>58.514000000000003</v>
      </c>
      <c r="C1716">
        <f>SUMIFS(co2_mm_mlo!$D$42:$D$863,co2_mm_mlo!$A$42:$A$863,VALUE(RIGHT(A1716,4)),co2_mm_mlo!$B$42:$B$863,VALUE(LEFT(A1716,FIND("/",A1716)-1)))</f>
        <v>417.47</v>
      </c>
    </row>
    <row r="1717" spans="1:3" ht="15" customHeight="1">
      <c r="A1717" t="s">
        <v>1780</v>
      </c>
      <c r="B1717" s="15">
        <f>'Temp Dev, C, F'!D1717</f>
        <v>58.64</v>
      </c>
      <c r="C1717">
        <f>SUMIFS(co2_mm_mlo!$D$42:$D$863,co2_mm_mlo!$A$42:$A$863,VALUE(RIGHT(A1717,4)),co2_mm_mlo!$B$42:$B$863,VALUE(LEFT(A1717,FIND("/",A1717)-1)))</f>
        <v>418.99</v>
      </c>
    </row>
    <row r="1718" spans="1:3" ht="15" customHeight="1">
      <c r="A1718" t="s">
        <v>1781</v>
      </c>
      <c r="B1718" s="15">
        <f>'Temp Dev, C, F'!D1718</f>
        <v>58.784000000000006</v>
      </c>
      <c r="C1718">
        <f>SUMIFS(co2_mm_mlo!$D$42:$D$863,co2_mm_mlo!$A$42:$A$863,VALUE(RIGHT(A1718,4)),co2_mm_mlo!$B$42:$B$863,VALUE(LEFT(A1718,FIND("/",A1718)-1)))</f>
        <v>419.48</v>
      </c>
    </row>
    <row r="1719" spans="1:3" ht="15" customHeight="1">
      <c r="A1719" t="s">
        <v>1782</v>
      </c>
      <c r="B1719" s="15">
        <f>'Temp Dev, C, F'!D1719</f>
        <v>58.945999999999998</v>
      </c>
      <c r="C1719">
        <f>SUMIFS(co2_mm_mlo!$D$42:$D$863,co2_mm_mlo!$A$42:$A$863,VALUE(RIGHT(A1719,4)),co2_mm_mlo!$B$42:$B$863,VALUE(LEFT(A1719,FIND("/",A1719)-1)))</f>
        <v>420.31</v>
      </c>
    </row>
    <row r="1720" spans="1:3" ht="15" customHeight="1">
      <c r="A1720" t="s">
        <v>1783</v>
      </c>
      <c r="B1720" s="15">
        <f>'Temp Dev, C, F'!D1720</f>
        <v>59.414000000000001</v>
      </c>
      <c r="C1720">
        <f>SUMIFS(co2_mm_mlo!$D$42:$D$863,co2_mm_mlo!$A$42:$A$863,VALUE(RIGHT(A1720,4)),co2_mm_mlo!$B$42:$B$863,VALUE(LEFT(A1720,FIND("/",A1720)-1)))</f>
        <v>420.99</v>
      </c>
    </row>
    <row r="1721" spans="1:3" ht="15" customHeight="1">
      <c r="A1721" t="s">
        <v>1784</v>
      </c>
      <c r="B1721" s="15">
        <f>'Temp Dev, C, F'!D1721</f>
        <v>58.981999999999999</v>
      </c>
      <c r="C1721">
        <f>SUMIFS(co2_mm_mlo!$D$42:$D$863,co2_mm_mlo!$A$42:$A$863,VALUE(RIGHT(A1721,4)),co2_mm_mlo!$B$42:$B$863,VALUE(LEFT(A1721,FIND("/",A1721)-1)))</f>
        <v>423.35</v>
      </c>
    </row>
    <row r="1722" spans="1:3" ht="15" customHeight="1">
      <c r="A1722" t="s">
        <v>1785</v>
      </c>
      <c r="B1722" s="15">
        <f>'Temp Dev, C, F'!D1722</f>
        <v>58.891999999999996</v>
      </c>
      <c r="C1722">
        <f>SUMIFS(co2_mm_mlo!$D$42:$D$863,co2_mm_mlo!$A$42:$A$863,VALUE(RIGHT(A1722,4)),co2_mm_mlo!$B$42:$B$863,VALUE(LEFT(A1722,FIND("/",A1722)-1)))</f>
        <v>424</v>
      </c>
    </row>
    <row r="1723" spans="1:3" ht="15" customHeight="1">
      <c r="A1723" t="s">
        <v>1786</v>
      </c>
      <c r="B1723" s="15">
        <f>'Temp Dev, C, F'!D1723</f>
        <v>59.161999999999999</v>
      </c>
      <c r="C1723">
        <f>SUMIFS(co2_mm_mlo!$D$42:$D$863,co2_mm_mlo!$A$42:$A$863,VALUE(RIGHT(A1723,4)),co2_mm_mlo!$B$42:$B$863,VALUE(LEFT(A1723,FIND("/",A1723)-1)))</f>
        <v>423.68</v>
      </c>
    </row>
    <row r="1724" spans="1:3" ht="15" customHeight="1">
      <c r="A1724" t="s">
        <v>1787</v>
      </c>
      <c r="B1724" s="15">
        <f>'Temp Dev, C, F'!D1724</f>
        <v>59.341999999999999</v>
      </c>
      <c r="C1724">
        <f>SUMIFS(co2_mm_mlo!$D$42:$D$863,co2_mm_mlo!$A$42:$A$863,VALUE(RIGHT(A1724,4)),co2_mm_mlo!$B$42:$B$863,VALUE(LEFT(A1724,FIND("/",A1724)-1)))</f>
        <v>421.83</v>
      </c>
    </row>
    <row r="1725" spans="1:3" ht="15" customHeight="1">
      <c r="A1725" t="s">
        <v>1788</v>
      </c>
      <c r="B1725" s="15">
        <f>'Temp Dev, C, F'!D1725</f>
        <v>59.341999999999999</v>
      </c>
      <c r="C1725">
        <f>SUMIFS(co2_mm_mlo!$D$42:$D$863,co2_mm_mlo!$A$42:$A$863,VALUE(RIGHT(A1725,4)),co2_mm_mlo!$B$42:$B$863,VALUE(LEFT(A1725,FIND("/",A1725)-1)))</f>
        <v>419.68</v>
      </c>
    </row>
    <row r="1726" spans="1:3" ht="15" customHeight="1">
      <c r="A1726" t="s">
        <v>1789</v>
      </c>
      <c r="B1726" s="15">
        <f>'Temp Dev, C, F'!D1726</f>
        <v>59.864000000000004</v>
      </c>
      <c r="C1726">
        <f>SUMIFS(co2_mm_mlo!$D$42:$D$863,co2_mm_mlo!$A$42:$A$863,VALUE(RIGHT(A1726,4)),co2_mm_mlo!$B$42:$B$863,VALUE(LEFT(A1726,FIND("/",A1726)-1)))</f>
        <v>418.5</v>
      </c>
    </row>
    <row r="1727" spans="1:3" ht="15" customHeight="1">
      <c r="A1727" t="s">
        <v>1790</v>
      </c>
      <c r="B1727" s="15">
        <f>'Temp Dev, C, F'!D1727</f>
        <v>59.629999999999995</v>
      </c>
      <c r="C1727">
        <f>SUMIFS(co2_mm_mlo!$D$42:$D$863,co2_mm_mlo!$A$42:$A$863,VALUE(RIGHT(A1727,4)),co2_mm_mlo!$B$42:$B$863,VALUE(LEFT(A1727,FIND("/",A1727)-1)))</f>
        <v>418.82</v>
      </c>
    </row>
    <row r="1728" spans="1:3" ht="15" customHeight="1">
      <c r="A1728" t="s">
        <v>1791</v>
      </c>
      <c r="B1728" s="15">
        <f>'Temp Dev, C, F'!D1728</f>
        <v>59.72</v>
      </c>
      <c r="C1728">
        <f>SUMIFS(co2_mm_mlo!$D$42:$D$863,co2_mm_mlo!$A$42:$A$863,VALUE(RIGHT(A1728,4)),co2_mm_mlo!$B$42:$B$863,VALUE(LEFT(A1728,FIND("/",A1728)-1)))</f>
        <v>420.46</v>
      </c>
    </row>
    <row r="1729" spans="1:3" ht="15" customHeight="1">
      <c r="A1729" t="s">
        <v>1792</v>
      </c>
      <c r="B1729" s="15">
        <f>'Temp Dev, C, F'!D1729</f>
        <v>59.647999999999996</v>
      </c>
      <c r="C1729">
        <f>SUMIFS(co2_mm_mlo!$D$42:$D$863,co2_mm_mlo!$A$42:$A$863,VALUE(RIGHT(A1729,4)),co2_mm_mlo!$B$42:$B$863,VALUE(LEFT(A1729,FIND("/",A1729)-1)))</f>
        <v>421.86</v>
      </c>
    </row>
    <row r="1730" spans="1:3" ht="15" customHeight="1">
      <c r="A1730" t="s">
        <v>1793</v>
      </c>
      <c r="B1730" s="15">
        <f>'Temp Dev, C, F'!D1730</f>
        <v>59.45</v>
      </c>
      <c r="C1730">
        <f>SUMIFS(co2_mm_mlo!$D$42:$D$863,co2_mm_mlo!$A$42:$A$863,VALUE(RIGHT(A1730,4)),co2_mm_mlo!$B$42:$B$863,VALUE(LEFT(A1730,FIND("/",A1730)-1)))</f>
        <v>422.8</v>
      </c>
    </row>
    <row r="1731" spans="1:3" ht="15" customHeight="1">
      <c r="A1731" t="s">
        <v>1794</v>
      </c>
      <c r="B1731" s="15">
        <f>'Temp Dev, C, F'!D1731</f>
        <v>59.792000000000002</v>
      </c>
      <c r="C1731">
        <f>SUMIFS(co2_mm_mlo!$D$42:$D$863,co2_mm_mlo!$A$42:$A$863,VALUE(RIGHT(A1731,4)),co2_mm_mlo!$B$42:$B$863,VALUE(LEFT(A1731,FIND("/",A1731)-1)))</f>
        <v>424.55</v>
      </c>
    </row>
    <row r="1732" spans="1:3" ht="15" customHeight="1">
      <c r="A1732" t="s">
        <v>1795</v>
      </c>
      <c r="B1732" s="15">
        <f>'Temp Dev, C, F'!D1732</f>
        <v>59.72</v>
      </c>
      <c r="C1732">
        <f>SUMIFS(co2_mm_mlo!$D$42:$D$863,co2_mm_mlo!$A$42:$A$863,VALUE(RIGHT(A1732,4)),co2_mm_mlo!$B$42:$B$863,VALUE(LEFT(A1732,FIND("/",A1732)-1)))</f>
        <v>425.38</v>
      </c>
    </row>
    <row r="1733" spans="1:3" ht="15" customHeight="1">
      <c r="A1733" t="s">
        <v>1796</v>
      </c>
      <c r="B1733" s="15">
        <f>'Temp Dev, C, F'!D1733</f>
        <v>59.576000000000001</v>
      </c>
      <c r="C1733">
        <f>SUMIFS(co2_mm_mlo!$D$42:$D$863,co2_mm_mlo!$A$42:$A$863,VALUE(RIGHT(A1733,4)),co2_mm_mlo!$B$42:$B$863,VALUE(LEFT(A1733,FIND("/",A1733)-1)))</f>
        <v>426.51</v>
      </c>
    </row>
    <row r="1734" spans="1:3" ht="15" customHeight="1">
      <c r="A1734" t="s">
        <v>1797</v>
      </c>
      <c r="B1734" s="15">
        <f>'Temp Dev, C, F'!D1734</f>
        <v>59.287999999999997</v>
      </c>
      <c r="C1734">
        <f>SUMIFS(co2_mm_mlo!$D$42:$D$863,co2_mm_mlo!$A$42:$A$863,VALUE(RIGHT(A1734,4)),co2_mm_mlo!$B$42:$B$863,VALUE(LEFT(A1734,FIND("/",A1734)-1)))</f>
        <v>426.9</v>
      </c>
    </row>
    <row r="1735" spans="1:3" ht="15" customHeight="1">
      <c r="A1735" t="s">
        <v>1798</v>
      </c>
      <c r="B1735" s="15">
        <f>'Temp Dev, C, F'!D1735</f>
        <v>59.414000000000001</v>
      </c>
      <c r="C1735">
        <f>SUMIFS(co2_mm_mlo!$D$42:$D$863,co2_mm_mlo!$A$42:$A$863,VALUE(RIGHT(A1735,4)),co2_mm_mlo!$B$42:$B$863,VALUE(LEFT(A1735,FIND("/",A1735)-1)))</f>
        <v>426.91</v>
      </c>
    </row>
    <row r="1736" spans="1:3" ht="15" customHeight="1">
      <c r="A1736" t="s">
        <v>1799</v>
      </c>
      <c r="B1736" s="15">
        <f>'Temp Dev, C, F'!D1736</f>
        <v>59.36</v>
      </c>
      <c r="C1736">
        <f>SUMIFS(co2_mm_mlo!$D$42:$D$863,co2_mm_mlo!$A$42:$A$863,VALUE(RIGHT(A1736,4)),co2_mm_mlo!$B$42:$B$863,VALUE(LEFT(A1736,FIND("/",A1736)-1)))</f>
        <v>425.55</v>
      </c>
    </row>
    <row r="1737" spans="1:3" ht="15" customHeight="1">
      <c r="A1737" t="s">
        <v>1800</v>
      </c>
      <c r="B1737" s="15">
        <f>'Temp Dev, C, F'!D1737</f>
        <v>59.540000000000006</v>
      </c>
      <c r="C1737">
        <f>SUMIFS(co2_mm_mlo!$D$42:$D$863,co2_mm_mlo!$A$42:$A$863,VALUE(RIGHT(A1737,4)),co2_mm_mlo!$B$42:$B$863,VALUE(LEFT(A1737,FIND("/",A1737)-1)))</f>
        <v>422.99</v>
      </c>
    </row>
    <row r="1738" spans="1:3" ht="15" customHeight="1">
      <c r="A1738" t="s">
        <v>1801</v>
      </c>
      <c r="B1738" s="15">
        <f>'Temp Dev, C, F'!D1738</f>
        <v>59.378</v>
      </c>
      <c r="C1738">
        <f>SUMIFS(co2_mm_mlo!$D$42:$D$863,co2_mm_mlo!$A$42:$A$863,VALUE(RIGHT(A1738,4)),co2_mm_mlo!$B$42:$B$863,VALUE(LEFT(A1738,FIND("/",A1738)-1)))</f>
        <v>422.03</v>
      </c>
    </row>
    <row r="1739" spans="1:3" ht="15" customHeight="1">
      <c r="A1739" t="s">
        <v>1802</v>
      </c>
      <c r="B1739" s="15">
        <f>'Temp Dev, C, F'!D1739</f>
        <v>59.629999999999995</v>
      </c>
      <c r="C1739">
        <f>SUMIFS(co2_mm_mlo!$D$42:$D$863,co2_mm_mlo!$A$42:$A$863,VALUE(RIGHT(A1739,4)),co2_mm_mlo!$B$42:$B$863,VALUE(LEFT(A1739,FIND("/",A1739)-1)))</f>
        <v>422.38</v>
      </c>
    </row>
    <row r="1740" spans="1:3" ht="15" customHeight="1">
      <c r="A1740" t="s">
        <v>1803</v>
      </c>
      <c r="B1740" s="15">
        <f>'Temp Dev, C, F'!D1740</f>
        <v>59.540000000000006</v>
      </c>
      <c r="C1740">
        <f>SUMIFS(co2_mm_mlo!$D$42:$D$863,co2_mm_mlo!$A$42:$A$863,VALUE(RIGHT(A1740,4)),co2_mm_mlo!$B$42:$B$863,VALUE(LEFT(A1740,FIND("/",A1740)-1)))</f>
        <v>423.85</v>
      </c>
    </row>
    <row r="1741" spans="1:3" ht="15" customHeight="1">
      <c r="A1741" t="s">
        <v>1804</v>
      </c>
      <c r="B1741" s="15">
        <f>'Temp Dev, C, F'!D1741</f>
        <v>59.486000000000004</v>
      </c>
      <c r="C1741">
        <f>SUMIFS(co2_mm_mlo!$D$42:$D$863,co2_mm_mlo!$A$42:$A$863,VALUE(RIGHT(A1741,4)),co2_mm_mlo!$B$42:$B$863,VALUE(LEFT(A1741,FIND("/",A1741)-1)))</f>
        <v>425.4</v>
      </c>
    </row>
    <row r="1742" spans="1:3" ht="15" customHeight="1">
      <c r="A1742" t="s">
        <v>1805</v>
      </c>
      <c r="B1742" s="15">
        <f>'Temp Dev, C, F'!D1742</f>
        <v>59.683999999999997</v>
      </c>
      <c r="C1742">
        <f>SUMIFS(co2_mm_mlo!$D$42:$D$863,co2_mm_mlo!$A$42:$A$863,VALUE(RIGHT(A1742,4)),co2_mm_mlo!$B$42:$B$863,VALUE(LEFT(A1742,FIND("/",A1742)-1)))</f>
        <v>426.65</v>
      </c>
    </row>
    <row r="1743" spans="1:3" ht="15" customHeight="1">
      <c r="A1743" t="s">
        <v>1806</v>
      </c>
      <c r="B1743" s="15">
        <f>'Temp Dev, C, F'!D1743</f>
        <v>59.468000000000004</v>
      </c>
      <c r="C1743">
        <f>SUMIFS(co2_mm_mlo!$D$42:$D$863,co2_mm_mlo!$A$42:$A$863,VALUE(RIGHT(A1743,4)),co2_mm_mlo!$B$42:$B$863,VALUE(LEFT(A1743,FIND("/",A1743)-1)))</f>
        <v>427.09</v>
      </c>
    </row>
    <row r="1744" spans="1:3" ht="15" customHeight="1">
      <c r="A1744" t="s">
        <v>1807</v>
      </c>
      <c r="B1744" s="15">
        <f>'Temp Dev, C, F'!D1744</f>
        <v>59.666000000000004</v>
      </c>
      <c r="C1744">
        <f>SUMIFS(co2_mm_mlo!$D$42:$D$863,co2_mm_mlo!$A$42:$A$863,VALUE(RIGHT(A1744,4)),co2_mm_mlo!$B$42:$B$863,VALUE(LEFT(A1744,FIND("/",A1744)-1)))</f>
        <v>428.15</v>
      </c>
    </row>
    <row r="1745" spans="1:3" ht="15" customHeight="1">
      <c r="A1745" t="s">
        <v>1808</v>
      </c>
      <c r="B1745" s="15">
        <f>'Temp Dev, C, F'!D1745</f>
        <v>59.45</v>
      </c>
      <c r="C1745">
        <f>SUMIFS(co2_mm_mlo!$D$42:$D$863,co2_mm_mlo!$A$42:$A$863,VALUE(RIGHT(A1745,4)),co2_mm_mlo!$B$42:$B$863,VALUE(LEFT(A1745,FIND("/",A1745)-1)))</f>
        <v>429.64</v>
      </c>
    </row>
    <row r="1746" spans="1:3" ht="15" customHeight="1">
      <c r="A1746" t="s">
        <v>1809</v>
      </c>
      <c r="B1746" s="15">
        <f>'Temp Dev, C, F'!D1746</f>
        <v>59.144000000000005</v>
      </c>
      <c r="C1746">
        <f>SUMIFS(co2_mm_mlo!$D$42:$D$863,co2_mm_mlo!$A$42:$A$863,VALUE(RIGHT(A1746,4)),co2_mm_mlo!$B$42:$B$863,VALUE(LEFT(A1746,FIND("/",A1746)-1)))</f>
        <v>430.51</v>
      </c>
    </row>
    <row r="1747" spans="1:3" ht="15" customHeight="1">
      <c r="A1747" t="s">
        <v>1810</v>
      </c>
      <c r="B1747" s="15">
        <f>'Temp Dev, C, F'!D1747</f>
        <v>59.126000000000005</v>
      </c>
      <c r="C1747">
        <f>SUMIFS(co2_mm_mlo!$D$42:$D$863,co2_mm_mlo!$A$42:$A$863,VALUE(RIGHT(A1747,4)),co2_mm_mlo!$B$42:$B$863,VALUE(LEFT(A1747,FIND("/",A1747)-1)))</f>
        <v>429.61</v>
      </c>
    </row>
    <row r="1748" spans="1:3" ht="15" customHeight="1">
      <c r="A1748" t="s">
        <v>1811</v>
      </c>
      <c r="B1748" s="15">
        <f>'Temp Dev, C, F'!D1748</f>
        <v>59.036000000000001</v>
      </c>
      <c r="C1748">
        <f>SUMIFS(co2_mm_mlo!$D$42:$D$863,co2_mm_mlo!$A$42:$A$863,VALUE(RIGHT(A1748,4)),co2_mm_mlo!$B$42:$B$863,VALUE(LEFT(A1748,FIND("/",A1748)-1)))</f>
        <v>427.87</v>
      </c>
    </row>
    <row r="1749" spans="1:3" ht="15" customHeight="1">
      <c r="A1749" t="s">
        <v>1812</v>
      </c>
      <c r="B1749" s="15">
        <f>'Temp Dev, C, F'!D1749</f>
        <v>59.323999999999998</v>
      </c>
      <c r="C1749">
        <f>SUMIFS(co2_mm_mlo!$D$42:$D$863,co2_mm_mlo!$A$42:$A$863,VALUE(RIGHT(A1749,4)),co2_mm_mlo!$B$42:$B$863,VALUE(LEFT(A1749,FIND("/",A1749)-1)))</f>
        <v>425.48</v>
      </c>
    </row>
    <row r="1750" spans="1:3" ht="15" customHeight="1">
      <c r="A1750" t="s">
        <v>1813</v>
      </c>
      <c r="B1750" s="15">
        <f>'Temp Dev, C, F'!D1750</f>
        <v>59.45</v>
      </c>
      <c r="C1750">
        <f>SUMIFS(co2_mm_mlo!$D$42:$D$863,co2_mm_mlo!$A$42:$A$863,VALUE(RIGHT(A1750,4)),co2_mm_mlo!$B$42:$B$863,VALUE(LEFT(A1750,FIND("/",A1750)-1)))</f>
        <v>424.37</v>
      </c>
    </row>
    <row r="1751" spans="1:3" ht="15" customHeight="1">
      <c r="A1751" t="s">
        <v>1814</v>
      </c>
      <c r="B1751" s="15">
        <f>'Temp Dev, C, F'!D1751</f>
        <v>59.341999999999999</v>
      </c>
      <c r="C1751">
        <f>SUMIFS(co2_mm_mlo!$D$42:$D$863,co2_mm_mlo!$A$42:$A$863,VALUE(RIGHT(A1751,4)),co2_mm_mlo!$B$42:$B$863,VALUE(LEFT(A1751,FIND("/",A1751)-1)))</f>
        <v>424.87</v>
      </c>
    </row>
    <row r="1752" spans="1:3" ht="15" customHeight="1">
      <c r="A1752" t="s">
        <v>1815</v>
      </c>
      <c r="B1752" s="15">
        <f>'Temp Dev, C, F'!D1752</f>
        <v>59.378</v>
      </c>
      <c r="C1752">
        <f>SUMIFS(co2_mm_mlo!$D$42:$D$863,co2_mm_mlo!$A$42:$A$863,VALUE(RIGHT(A1752,4)),co2_mm_mlo!$B$42:$B$863,VALUE(LEFT(A1752,FIND("/",A1752)-1)))</f>
        <v>426.46</v>
      </c>
    </row>
    <row r="1753" spans="1:3" ht="15" customHeight="1">
      <c r="A1753" t="s">
        <v>1816</v>
      </c>
      <c r="B1753" s="15">
        <f>'Temp Dev, C, F'!D1753</f>
        <v>59.108000000000004</v>
      </c>
      <c r="C1753">
        <f>SUMIFS(co2_mm_mlo!$D$42:$D$863,co2_mm_mlo!$A$42:$A$863,VALUE(RIGHT(A1753,4)),co2_mm_mlo!$B$42:$B$863,VALUE(LEFT(A1753,FIND("/",A1753)-1)))</f>
        <v>427.49</v>
      </c>
    </row>
    <row r="1754" spans="1:3" ht="15" customHeight="1">
      <c r="A1754" t="s">
        <v>1817</v>
      </c>
      <c r="B1754" s="15">
        <f>'Temp Dev, C, F'!D1754</f>
        <v>59.161999999999999</v>
      </c>
      <c r="C1754">
        <f>SUMIFS(co2_mm_mlo!$D$42:$D$863,co2_mm_mlo!$A$42:$A$863,VALUE(RIGHT(A1754,4)),co2_mm_mlo!$B$42:$B$863,VALUE(LEFT(A1754,FIND("/",A1754)-1)))</f>
        <v>428.62</v>
      </c>
    </row>
    <row r="1755" spans="1:3" ht="15" customHeight="1">
      <c r="A1755" t="s">
        <v>1818</v>
      </c>
      <c r="B1755" s="15">
        <f>'Temp Dev, C, F'!D1755</f>
        <v>59.45</v>
      </c>
      <c r="C1755">
        <f>SUMIFS(co2_mm_mlo!$D$42:$D$863,co2_mm_mlo!$A$42:$A$863,VALUE(RIGHT(A1755,4)),co2_mm_mlo!$B$42:$B$863,VALUE(LEFT(A1755,FIND("/",A1755)-1)))</f>
        <v>429.35</v>
      </c>
    </row>
    <row r="1756" spans="1:3" ht="15" customHeight="1">
      <c r="A1756" t="s">
        <v>1819</v>
      </c>
      <c r="B1756" s="15">
        <f>'Temp Dev, C, F'!D1756</f>
        <v>59.576000000000001</v>
      </c>
      <c r="C1756">
        <f>SUMIFS(co2_mm_mlo!$D$42:$D$863,co2_mm_mlo!$A$42:$A$863,VALUE(RIGHT(A1756,4)),co2_mm_mlo!$B$42:$B$863,VALUE(LEFT(A1756,FIND("/",A1756)-1)))</f>
        <v>430.15</v>
      </c>
    </row>
    <row r="1757" spans="1:3" ht="15" customHeight="1">
      <c r="A1757" t="s">
        <v>1820</v>
      </c>
      <c r="B1757" s="15">
        <f>'Temp Dev, C, F'!D1757</f>
        <v>59.305999999999997</v>
      </c>
      <c r="C1757">
        <f>SUMIFS(co2_mm_mlo!$D$42:$D$863,co2_mm_mlo!$A$42:$A$863,VALUE(RIGHT(A1757,4)),co2_mm_mlo!$B$42:$B$863,VALUE(LEFT(A1757,FIND("/",A1757)-1)))</f>
        <v>431.12</v>
      </c>
    </row>
    <row r="1758" spans="1:3" ht="15" customHeight="1">
      <c r="A1758" t="s">
        <v>1821</v>
      </c>
      <c r="B1758" s="15">
        <f>'Temp Dev, C, F'!D1758</f>
        <v>59.233999999999995</v>
      </c>
      <c r="C1758">
        <f>SUMIFS(co2_mm_mlo!$D$42:$D$863,co2_mm_mlo!$A$42:$A$863,VALUE(RIGHT(A1758,4)),co2_mm_mlo!$B$42:$B$863,VALUE(LEFT(A1758,FIND("/",A1758)-1)))</f>
        <v>432.34</v>
      </c>
    </row>
    <row r="1759" spans="1:3" ht="15" customHeight="1">
      <c r="A1759" t="s">
        <v>1822</v>
      </c>
      <c r="B1759" s="15">
        <f>'Temp Dev, C, F'!D1759</f>
        <v>59.323999999999998</v>
      </c>
      <c r="C1759">
        <f>SUMIFS(co2_mm_mlo!$D$42:$D$863,co2_mm_mlo!$A$42:$A$863,VALUE(RIGHT(A1759,4)),co2_mm_mlo!$B$42:$B$863,VALUE(LEFT(A1759,FIND("/",A1759)-1)))</f>
        <v>431.43</v>
      </c>
    </row>
    <row r="1760" spans="1:3" ht="15" customHeight="1">
      <c r="A1760" t="s">
        <v>1823</v>
      </c>
      <c r="B1760" s="15">
        <f>'Temp Dev, C, F'!D1760</f>
        <v>59.45</v>
      </c>
      <c r="C1760">
        <f>SUMIFS(co2_mm_mlo!$D$42:$D$863,co2_mm_mlo!$A$42:$A$863,VALUE(RIGHT(A1760,4)),co2_mm_mlo!$B$42:$B$863,VALUE(LEFT(A1760,FIND("/",A1760)-1)))</f>
        <v>429.13</v>
      </c>
    </row>
    <row r="1761" spans="1:3" ht="15" customHeight="1">
      <c r="A1761" t="s">
        <v>1824</v>
      </c>
      <c r="B1761" s="15">
        <f>'Temp Dev, C, F'!D1761</f>
        <v>59.72</v>
      </c>
      <c r="C1761">
        <f>SUMIFS(co2_mm_mlo!$D$42:$D$863,co2_mm_mlo!$A$42:$A$863,VALUE(RIGHT(A1761,4)),co2_mm_mlo!$B$42:$B$863,VALUE(LEFT(A1761,FIND("/",A1761)-1)))</f>
        <v>427.55</v>
      </c>
    </row>
    <row r="1762" spans="1:3" ht="15" customHeight="1">
      <c r="A1762" t="s">
        <v>1825</v>
      </c>
      <c r="B1762" t="str">
        <f>IF('Temp Dev, C, F'!D1762="","",'Temp Dev, C, F'!D1762)</f>
        <v/>
      </c>
    </row>
    <row r="1763" spans="1:3" ht="15" customHeight="1">
      <c r="A1763" t="s">
        <v>1826</v>
      </c>
      <c r="B1763" t="str">
        <f>IF('Temp Dev, C, F'!D1763="","",'Temp Dev, C, F'!D1763)</f>
        <v/>
      </c>
    </row>
    <row r="1764" spans="1:3" ht="15" customHeight="1">
      <c r="A1764" t="s">
        <v>1827</v>
      </c>
      <c r="B1764" t="str">
        <f>IF('Temp Dev, C, F'!D1764="","",'Temp Dev, C, F'!D1764)</f>
        <v/>
      </c>
    </row>
    <row r="1765" spans="1:3" ht="15" customHeight="1">
      <c r="A1765" t="s">
        <v>1828</v>
      </c>
      <c r="B1765" t="str">
        <f>IF('Temp Dev, C, F'!D1765="","",'Temp Dev, C, F'!D1765)</f>
        <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Summary</vt:lpstr>
      <vt:lpstr>Analysis</vt:lpstr>
      <vt:lpstr>Annual</vt:lpstr>
      <vt:lpstr>Solar</vt:lpstr>
      <vt:lpstr>ENSO</vt:lpstr>
      <vt:lpstr>Volcanic</vt:lpstr>
      <vt:lpstr>Forcing</vt:lpstr>
      <vt:lpstr>Kernel</vt:lpstr>
      <vt:lpstr>Diagnostics</vt:lpstr>
      <vt:lpstr>Open Items</vt:lpstr>
      <vt:lpstr>Recent 2023-25</vt:lpstr>
      <vt:lpstr>Sensitivity</vt:lpstr>
      <vt:lpstr>CERES</vt:lpstr>
      <vt:lpstr>Sources</vt:lpstr>
      <vt:lpstr>Change log</vt:lpstr>
      <vt:lpstr>Acronyms</vt:lpstr>
      <vt:lpstr>Glossary</vt:lpstr>
      <vt:lpstr>GLB.Ts+dSST (4)</vt:lpstr>
      <vt:lpstr>co2_mm_mlo</vt:lpstr>
      <vt:lpstr>co2_annmean_mlo</vt:lpstr>
      <vt:lpstr>Temp Dev, C, F</vt:lpstr>
      <vt:lpstr>F Plus CO2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Russell Nida</cp:lastModifiedBy>
  <cp:revision>6</cp:revision>
  <dcterms:created xsi:type="dcterms:W3CDTF">2026-09-19T17:40:05Z</dcterms:created>
  <dcterms:modified xsi:type="dcterms:W3CDTF">2026-10-23T19:20:30Z</dcterms:modified>
  <dc:language>en-US</dc:language>
</cp:coreProperties>
</file>